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defaultThemeVersion="124226"/>
  <mc:AlternateContent xmlns:mc="http://schemas.openxmlformats.org/markup-compatibility/2006">
    <mc:Choice Requires="x15">
      <x15ac:absPath xmlns:x15ac="http://schemas.microsoft.com/office/spreadsheetml/2010/11/ac" url="C:\Users\Zondot\Documents\Buget 2021\Adjustment Budget Feb\"/>
    </mc:Choice>
  </mc:AlternateContent>
  <xr:revisionPtr revIDLastSave="0" documentId="8_{8672CD5B-4FDD-44CC-A468-041702B70949}" xr6:coauthVersionLast="46" xr6:coauthVersionMax="46" xr10:uidLastSave="{00000000-0000-0000-0000-000000000000}"/>
  <workbookProtection workbookAlgorithmName="SHA-512" workbookHashValue="Sf2XYINh+3Jfi7kx7Kipitg8B6rgH6Q2qKhDdlQrg8uSbvO/XI+TfhRtLQkKnnfiAWaU6TJ56TC9wFNB/Kg+Ag==" workbookSaltValue="hVmdjSM74Z0JyGEL5P1GCw==" workbookSpinCount="100000" lockStructure="1"/>
  <bookViews>
    <workbookView xWindow="-120" yWindow="-120" windowWidth="29040" windowHeight="15225" tabRatio="936" firstSheet="2" activeTab="7" xr2:uid="{00000000-000D-0000-FFFF-FFFF00000000}"/>
  </bookViews>
  <sheets>
    <sheet name="Sheet1" sheetId="54" state="hidden" r:id="rId1"/>
    <sheet name="START" sheetId="40" r:id="rId2"/>
    <sheet name="Instructions" sheetId="45" r:id="rId3"/>
    <sheet name="Template names" sheetId="39" state="veryHidden" r:id="rId4"/>
    <sheet name="Lookup and lists" sheetId="38" state="veryHidden" r:id="rId5"/>
    <sheet name="Org structure" sheetId="51" r:id="rId6"/>
    <sheet name="Contacts" sheetId="50" r:id="rId7"/>
    <sheet name="B1-Sum" sheetId="7" r:id="rId8"/>
    <sheet name="B2-FinPerf SC" sheetId="9" r:id="rId9"/>
    <sheet name="B2B" sheetId="46" r:id="rId10"/>
    <sheet name="B3B" sheetId="47" r:id="rId11"/>
    <sheet name="B3-FinPerf V" sheetId="8" r:id="rId12"/>
    <sheet name="B4-FinPerf RE" sheetId="10" r:id="rId13"/>
    <sheet name="B5-Capex" sheetId="11" r:id="rId14"/>
    <sheet name="B5B" sheetId="48" r:id="rId15"/>
    <sheet name="B6-FinPos" sheetId="12" r:id="rId16"/>
    <sheet name="B7-CFlow" sheetId="13" r:id="rId17"/>
    <sheet name="B8-ResRecon" sheetId="14" r:id="rId18"/>
    <sheet name="B9-Asset" sheetId="15" r:id="rId19"/>
    <sheet name="B10-SerDel" sheetId="16" r:id="rId20"/>
    <sheet name="SB1" sheetId="17" r:id="rId21"/>
    <sheet name="SB2" sheetId="18" r:id="rId22"/>
    <sheet name="SB3" sheetId="19" r:id="rId23"/>
    <sheet name="SB4" sheetId="20" r:id="rId24"/>
    <sheet name="SB5" sheetId="21" r:id="rId25"/>
    <sheet name="SB6" sheetId="22" r:id="rId26"/>
    <sheet name="SB7" sheetId="23" r:id="rId27"/>
    <sheet name="SB8" sheetId="24" r:id="rId28"/>
    <sheet name="SB9" sheetId="25" r:id="rId29"/>
    <sheet name="SB10" sheetId="26" r:id="rId30"/>
    <sheet name="SB11" sheetId="27" r:id="rId31"/>
    <sheet name="SB12" sheetId="28" r:id="rId32"/>
    <sheet name="SB13" sheetId="29" r:id="rId33"/>
    <sheet name="SB14" sheetId="30" r:id="rId34"/>
    <sheet name="SB15" sheetId="31" r:id="rId35"/>
    <sheet name="SB16" sheetId="32" r:id="rId36"/>
    <sheet name="SB17" sheetId="33" r:id="rId37"/>
    <sheet name="SB18a" sheetId="34" r:id="rId38"/>
    <sheet name="SB18b" sheetId="37" r:id="rId39"/>
    <sheet name="SB18c" sheetId="1" r:id="rId40"/>
    <sheet name="SB18d" sheetId="52" r:id="rId41"/>
    <sheet name="SB18e" sheetId="53" r:id="rId42"/>
    <sheet name="SB19" sheetId="35" r:id="rId43"/>
    <sheet name="SB20" sheetId="36" r:id="rId44"/>
  </sheets>
  <externalReferences>
    <externalReference r:id="rId45"/>
    <externalReference r:id="rId46"/>
    <externalReference r:id="rId47"/>
    <externalReference r:id="rId48"/>
    <externalReference r:id="rId49"/>
    <externalReference r:id="rId50"/>
    <externalReference r:id="rId51"/>
    <externalReference r:id="rId52"/>
  </externalReferences>
  <definedNames>
    <definedName name="_ADJ1" localSheetId="6">'[1]Template names'!#REF!</definedName>
    <definedName name="_ADJ1" localSheetId="5">'[2]Template names'!#REF!</definedName>
    <definedName name="_ADJ1" localSheetId="40">'Template names'!#REF!</definedName>
    <definedName name="_ADJ1" localSheetId="41">'Template names'!#REF!</definedName>
    <definedName name="_ADJ1">'Template names'!#REF!</definedName>
    <definedName name="_ADJ10" localSheetId="6">'[1]Template names'!#REF!</definedName>
    <definedName name="_ADJ10" localSheetId="2">'Template names'!#REF!</definedName>
    <definedName name="_ADJ10" localSheetId="5">'[2]Template names'!#REF!</definedName>
    <definedName name="_ADJ10">'Template names'!$B$76</definedName>
    <definedName name="_ADJ11" localSheetId="6">'[1]Template names'!#REF!</definedName>
    <definedName name="_ADJ11" localSheetId="5">'[2]Template names'!#REF!</definedName>
    <definedName name="_ADJ11" localSheetId="40">'Template names'!#REF!</definedName>
    <definedName name="_ADJ11" localSheetId="41">'Template names'!#REF!</definedName>
    <definedName name="_ADJ11">'Template names'!#REF!</definedName>
    <definedName name="_ADJ12" localSheetId="6">'[1]Template names'!#REF!</definedName>
    <definedName name="_ADJ12" localSheetId="5">'[2]Template names'!#REF!</definedName>
    <definedName name="_ADJ12" localSheetId="40">'Template names'!#REF!</definedName>
    <definedName name="_ADJ12" localSheetId="41">'Template names'!#REF!</definedName>
    <definedName name="_ADJ12">'Template names'!#REF!</definedName>
    <definedName name="_ADJ13" localSheetId="6">'[1]Template names'!#REF!</definedName>
    <definedName name="_ADJ13" localSheetId="5">'[2]Template names'!#REF!</definedName>
    <definedName name="_ADJ13" localSheetId="40">'Template names'!#REF!</definedName>
    <definedName name="_ADJ13" localSheetId="41">'Template names'!#REF!</definedName>
    <definedName name="_ADJ13">'Template names'!#REF!</definedName>
    <definedName name="_ADJ14" localSheetId="6">'[1]Template names'!#REF!</definedName>
    <definedName name="_ADJ14" localSheetId="5">'[2]Template names'!#REF!</definedName>
    <definedName name="_ADJ14" localSheetId="40">'Template names'!#REF!</definedName>
    <definedName name="_ADJ14" localSheetId="41">'Template names'!#REF!</definedName>
    <definedName name="_ADJ14">'Template names'!#REF!</definedName>
    <definedName name="_ADJ16" localSheetId="6">'[1]Template names'!#REF!</definedName>
    <definedName name="_ADJ16" localSheetId="5">'[2]Template names'!#REF!</definedName>
    <definedName name="_ADJ16" localSheetId="40">'Template names'!#REF!</definedName>
    <definedName name="_ADJ16" localSheetId="41">'Template names'!#REF!</definedName>
    <definedName name="_ADJ16">'Template names'!#REF!</definedName>
    <definedName name="_ADJ17" localSheetId="6">'[1]Template names'!#REF!</definedName>
    <definedName name="_ADJ17" localSheetId="5">'[2]Template names'!#REF!</definedName>
    <definedName name="_ADJ17" localSheetId="40">'Template names'!#REF!</definedName>
    <definedName name="_ADJ17" localSheetId="41">'Template names'!#REF!</definedName>
    <definedName name="_ADJ17">'Template names'!#REF!</definedName>
    <definedName name="_ADJ18" localSheetId="6">'[1]Template names'!#REF!</definedName>
    <definedName name="_ADJ18" localSheetId="5">'[2]Template names'!#REF!</definedName>
    <definedName name="_ADJ18" localSheetId="40">'Template names'!#REF!</definedName>
    <definedName name="_ADJ18" localSheetId="41">'Template names'!#REF!</definedName>
    <definedName name="_ADJ18">'Template names'!#REF!</definedName>
    <definedName name="_ADJ19" localSheetId="6">'[1]Template names'!#REF!</definedName>
    <definedName name="_ADJ19" localSheetId="5">'[2]Template names'!#REF!</definedName>
    <definedName name="_ADJ19" localSheetId="40">'Template names'!#REF!</definedName>
    <definedName name="_ADJ19" localSheetId="41">'Template names'!#REF!</definedName>
    <definedName name="_ADJ19">'Template names'!#REF!</definedName>
    <definedName name="_ADJ2" localSheetId="6">'[1]Template names'!#REF!</definedName>
    <definedName name="_ADJ2" localSheetId="2">'Template names'!#REF!</definedName>
    <definedName name="_ADJ2" localSheetId="5">'[2]Template names'!#REF!</definedName>
    <definedName name="_ADJ2">'Template names'!$B$68</definedName>
    <definedName name="_ADJ3" localSheetId="6">'[1]Template names'!#REF!</definedName>
    <definedName name="_ADJ3" localSheetId="2">'Template names'!#REF!</definedName>
    <definedName name="_ADJ3" localSheetId="5">'[2]Template names'!#REF!</definedName>
    <definedName name="_ADJ3">'Template names'!$B$69</definedName>
    <definedName name="_ADJ4" localSheetId="6">'[1]Template names'!#REF!</definedName>
    <definedName name="_ADJ4" localSheetId="2">'Template names'!#REF!</definedName>
    <definedName name="_ADJ4" localSheetId="5">'[2]Template names'!#REF!</definedName>
    <definedName name="_ADJ4">'Template names'!$B$70</definedName>
    <definedName name="_ADJ5" localSheetId="6">'[1]Template names'!#REF!</definedName>
    <definedName name="_ADJ5" localSheetId="2">'Template names'!#REF!</definedName>
    <definedName name="_ADJ5" localSheetId="5">'[2]Template names'!#REF!</definedName>
    <definedName name="_ADJ5">'Template names'!$B$71</definedName>
    <definedName name="_ADJ6" localSheetId="6">'[1]Template names'!#REF!</definedName>
    <definedName name="_ADJ6" localSheetId="2">'Template names'!#REF!</definedName>
    <definedName name="_ADJ6" localSheetId="5">'[2]Template names'!#REF!</definedName>
    <definedName name="_ADJ6">'Template names'!$B$72</definedName>
    <definedName name="_ADJ7" localSheetId="6">'[1]Template names'!#REF!</definedName>
    <definedName name="_ADJ7" localSheetId="2">'Template names'!#REF!</definedName>
    <definedName name="_ADJ7" localSheetId="5">'[2]Template names'!#REF!</definedName>
    <definedName name="_ADJ7">'Template names'!$B$73</definedName>
    <definedName name="_ADJ8" localSheetId="6">'[1]Template names'!#REF!</definedName>
    <definedName name="_ADJ8" localSheetId="2">'Template names'!#REF!</definedName>
    <definedName name="_ADJ8" localSheetId="5">'[2]Template names'!#REF!</definedName>
    <definedName name="_ADJ8">'Template names'!$B$74</definedName>
    <definedName name="_ADJ9" localSheetId="6">'[1]Template names'!#REF!</definedName>
    <definedName name="_ADJ9" localSheetId="2">'Template names'!#REF!</definedName>
    <definedName name="_ADJ9" localSheetId="5">'[2]Template names'!#REF!</definedName>
    <definedName name="_ADJ9">'Template names'!$B$75</definedName>
    <definedName name="_ccf04" localSheetId="40">#REF!</definedName>
    <definedName name="_ccf04" localSheetId="41">#REF!</definedName>
    <definedName name="_ccf04">#REF!</definedName>
    <definedName name="_ccf05" localSheetId="40">#REF!</definedName>
    <definedName name="_ccf05" localSheetId="41">#REF!</definedName>
    <definedName name="_ccf05">#REF!</definedName>
    <definedName name="_ccf06" localSheetId="41">#REF!</definedName>
    <definedName name="_ccf06">#REF!</definedName>
    <definedName name="_ccf07" localSheetId="41">#REF!</definedName>
    <definedName name="_ccf07">#REF!</definedName>
    <definedName name="_ccf08" localSheetId="41">#REF!</definedName>
    <definedName name="_ccf08">#REF!</definedName>
    <definedName name="_ccf09" localSheetId="41">#REF!</definedName>
    <definedName name="_ccf09">#REF!</definedName>
    <definedName name="_ccf10" localSheetId="41">#REF!</definedName>
    <definedName name="_ccf10">#REF!</definedName>
    <definedName name="_ccf11" localSheetId="41">#REF!</definedName>
    <definedName name="_ccf11">#REF!</definedName>
    <definedName name="_ccf12" localSheetId="41">#REF!</definedName>
    <definedName name="_ccf12">#REF!</definedName>
    <definedName name="_ccf13" localSheetId="41">#REF!</definedName>
    <definedName name="_ccf13">#REF!</definedName>
    <definedName name="_cpi1">'[3]Balance Sheet'!$D$50</definedName>
    <definedName name="_cpi2">'[3]Balance Sheet'!$E$50</definedName>
    <definedName name="_cpi3">'[3]Balance Sheet'!$F$50</definedName>
    <definedName name="_ecf04" localSheetId="40">#REF!</definedName>
    <definedName name="_ecf04" localSheetId="41">#REF!</definedName>
    <definedName name="_ecf04">#REF!</definedName>
    <definedName name="_ecf05" localSheetId="40">#REF!</definedName>
    <definedName name="_ecf05" localSheetId="41">#REF!</definedName>
    <definedName name="_ecf05">#REF!</definedName>
    <definedName name="_ecf06" localSheetId="41">#REF!</definedName>
    <definedName name="_ecf06">#REF!</definedName>
    <definedName name="_ecf07" localSheetId="41">#REF!</definedName>
    <definedName name="_ecf07">#REF!</definedName>
    <definedName name="_ecf08" localSheetId="41">#REF!</definedName>
    <definedName name="_ecf08">#REF!</definedName>
    <definedName name="_ecf09" localSheetId="41">#REF!</definedName>
    <definedName name="_ecf09">#REF!</definedName>
    <definedName name="_ecf10" localSheetId="41">#REF!</definedName>
    <definedName name="_ecf10">#REF!</definedName>
    <definedName name="_ecf11" localSheetId="41">#REF!</definedName>
    <definedName name="_ecf11">#REF!</definedName>
    <definedName name="_ecf12" localSheetId="41">#REF!</definedName>
    <definedName name="_ecf12">#REF!</definedName>
    <definedName name="_ecf13" localSheetId="41">#REF!</definedName>
    <definedName name="_ecf13">#REF!</definedName>
    <definedName name="_emp04" localSheetId="40">#REF!</definedName>
    <definedName name="_emp04" localSheetId="41">#REF!</definedName>
    <definedName name="_emp04">#REF!</definedName>
    <definedName name="_emp05" localSheetId="40">#REF!</definedName>
    <definedName name="_emp05" localSheetId="41">#REF!</definedName>
    <definedName name="_emp05">#REF!</definedName>
    <definedName name="_emp06" localSheetId="41">#REF!</definedName>
    <definedName name="_emp06">#REF!</definedName>
    <definedName name="_emp07" localSheetId="41">#REF!</definedName>
    <definedName name="_emp07">#REF!</definedName>
    <definedName name="_emp08" localSheetId="41">#REF!</definedName>
    <definedName name="_emp08">#REF!</definedName>
    <definedName name="_emp09" localSheetId="41">#REF!</definedName>
    <definedName name="_emp09">#REF!</definedName>
    <definedName name="_emp10" localSheetId="41">#REF!</definedName>
    <definedName name="_emp10">#REF!</definedName>
    <definedName name="_emp11" localSheetId="41">#REF!</definedName>
    <definedName name="_emp11">#REF!</definedName>
    <definedName name="_emp12" localSheetId="41">#REF!</definedName>
    <definedName name="_emp12">#REF!</definedName>
    <definedName name="_emp13" localSheetId="41">#REF!</definedName>
    <definedName name="_emp13">#REF!</definedName>
    <definedName name="_emp14" localSheetId="41">#REF!</definedName>
    <definedName name="_emp14">#REF!</definedName>
    <definedName name="_emp15" localSheetId="41">#REF!</definedName>
    <definedName name="_emp15">#REF!</definedName>
    <definedName name="_emp16" localSheetId="41">#REF!</definedName>
    <definedName name="_emp16">#REF!</definedName>
    <definedName name="_emp17" localSheetId="41">#REF!</definedName>
    <definedName name="_emp17">#REF!</definedName>
    <definedName name="_emp18" localSheetId="41">#REF!</definedName>
    <definedName name="_emp18">#REF!</definedName>
    <definedName name="_emp19" localSheetId="41">#REF!</definedName>
    <definedName name="_emp19">#REF!</definedName>
    <definedName name="_emp20" localSheetId="41">#REF!</definedName>
    <definedName name="_emp20">#REF!</definedName>
    <definedName name="_emp21" localSheetId="41">#REF!</definedName>
    <definedName name="_emp21">#REF!</definedName>
    <definedName name="_xlnm._FilterDatabase" localSheetId="5" hidden="1">'Org structure'!$G$1:$I$1</definedName>
    <definedName name="_inf1" localSheetId="40">#REF!</definedName>
    <definedName name="_inf1" localSheetId="41">#REF!</definedName>
    <definedName name="_inf1">#REF!</definedName>
    <definedName name="_inf2" localSheetId="40">#REF!</definedName>
    <definedName name="_inf2" localSheetId="41">#REF!</definedName>
    <definedName name="_inf2">#REF!</definedName>
    <definedName name="_inf3" localSheetId="40">#REF!</definedName>
    <definedName name="_inf3" localSheetId="41">#REF!</definedName>
    <definedName name="_inf3">#REF!</definedName>
    <definedName name="_int04" localSheetId="40">#REF!</definedName>
    <definedName name="_int04" localSheetId="41">#REF!</definedName>
    <definedName name="_int04">#REF!</definedName>
    <definedName name="_int05" localSheetId="40">#REF!</definedName>
    <definedName name="_int05" localSheetId="41">#REF!</definedName>
    <definedName name="_int05">#REF!</definedName>
    <definedName name="_int06" localSheetId="41">#REF!</definedName>
    <definedName name="_int06">#REF!</definedName>
    <definedName name="_int07" localSheetId="41">#REF!</definedName>
    <definedName name="_int07">#REF!</definedName>
    <definedName name="_int08" localSheetId="41">#REF!</definedName>
    <definedName name="_int08">#REF!</definedName>
    <definedName name="_int09" localSheetId="41">#REF!</definedName>
    <definedName name="_int09">#REF!</definedName>
    <definedName name="_int10" localSheetId="41">#REF!</definedName>
    <definedName name="_int10">#REF!</definedName>
    <definedName name="_int11" localSheetId="41">#REF!</definedName>
    <definedName name="_int11">#REF!</definedName>
    <definedName name="_int12" localSheetId="41">#REF!</definedName>
    <definedName name="_int12">#REF!</definedName>
    <definedName name="_int13" localSheetId="41">#REF!</definedName>
    <definedName name="_int13">#REF!</definedName>
    <definedName name="_int14" localSheetId="41">#REF!</definedName>
    <definedName name="_int14">#REF!</definedName>
    <definedName name="_int15" localSheetId="41">#REF!</definedName>
    <definedName name="_int15">#REF!</definedName>
    <definedName name="_int16" localSheetId="41">#REF!</definedName>
    <definedName name="_int16">#REF!</definedName>
    <definedName name="_int17" localSheetId="41">#REF!</definedName>
    <definedName name="_int17">#REF!</definedName>
    <definedName name="_int18" localSheetId="41">#REF!</definedName>
    <definedName name="_int18">#REF!</definedName>
    <definedName name="_int19" localSheetId="41">#REF!</definedName>
    <definedName name="_int19">#REF!</definedName>
    <definedName name="_int20" localSheetId="41">#REF!</definedName>
    <definedName name="_int20">#REF!</definedName>
    <definedName name="_inv04" localSheetId="40">#REF!</definedName>
    <definedName name="_inv04" localSheetId="41">#REF!</definedName>
    <definedName name="_inv04">#REF!</definedName>
    <definedName name="_inv05" localSheetId="40">#REF!</definedName>
    <definedName name="_inv05" localSheetId="41">#REF!</definedName>
    <definedName name="_inv05">#REF!</definedName>
    <definedName name="_inv06" localSheetId="41">#REF!</definedName>
    <definedName name="_inv06">#REF!</definedName>
    <definedName name="_inv07" localSheetId="41">#REF!</definedName>
    <definedName name="_inv07">#REF!</definedName>
    <definedName name="_inv08" localSheetId="41">#REF!</definedName>
    <definedName name="_inv08">#REF!</definedName>
    <definedName name="_inv09" localSheetId="41">#REF!</definedName>
    <definedName name="_inv09">#REF!</definedName>
    <definedName name="_inv10" localSheetId="41">#REF!</definedName>
    <definedName name="_inv10">#REF!</definedName>
    <definedName name="_inv11" localSheetId="41">#REF!</definedName>
    <definedName name="_inv11">#REF!</definedName>
    <definedName name="_inv12" localSheetId="41">#REF!</definedName>
    <definedName name="_inv12">#REF!</definedName>
    <definedName name="_inv13" localSheetId="41">#REF!</definedName>
    <definedName name="_inv13">#REF!</definedName>
    <definedName name="_MEB1" localSheetId="6">'[1]Template names'!#REF!</definedName>
    <definedName name="_MEB1" localSheetId="5">'[2]Template names'!#REF!</definedName>
    <definedName name="_MEB1" localSheetId="40">'Template names'!#REF!</definedName>
    <definedName name="_MEB1" localSheetId="41">'Template names'!#REF!</definedName>
    <definedName name="_MEB1">'Template names'!#REF!</definedName>
    <definedName name="_MEB10" localSheetId="6">'[1]Template names'!#REF!</definedName>
    <definedName name="_MEB10" localSheetId="5">'[2]Template names'!#REF!</definedName>
    <definedName name="_MEB10" localSheetId="40">'Template names'!#REF!</definedName>
    <definedName name="_MEB10" localSheetId="41">'Template names'!#REF!</definedName>
    <definedName name="_MEB10">'Template names'!#REF!</definedName>
    <definedName name="_MEB11" localSheetId="6">'[1]Template names'!#REF!</definedName>
    <definedName name="_MEB11" localSheetId="5">'[2]Template names'!#REF!</definedName>
    <definedName name="_MEB11" localSheetId="40">'Template names'!#REF!</definedName>
    <definedName name="_MEB11" localSheetId="41">'Template names'!#REF!</definedName>
    <definedName name="_MEB11">'Template names'!#REF!</definedName>
    <definedName name="_MEB12" localSheetId="6">'[1]Template names'!#REF!</definedName>
    <definedName name="_MEB12" localSheetId="5">'[2]Template names'!#REF!</definedName>
    <definedName name="_MEB12" localSheetId="40">'Template names'!#REF!</definedName>
    <definedName name="_MEB12" localSheetId="41">'Template names'!#REF!</definedName>
    <definedName name="_MEB12">'Template names'!#REF!</definedName>
    <definedName name="_MEB2" localSheetId="6">'[1]Template names'!#REF!</definedName>
    <definedName name="_MEB2" localSheetId="5">'[2]Template names'!#REF!</definedName>
    <definedName name="_MEB2" localSheetId="40">'Template names'!#REF!</definedName>
    <definedName name="_MEB2" localSheetId="41">'Template names'!#REF!</definedName>
    <definedName name="_MEB2">'Template names'!#REF!</definedName>
    <definedName name="_MEB3" localSheetId="6">'[1]Template names'!#REF!</definedName>
    <definedName name="_MEB3" localSheetId="5">'[2]Template names'!#REF!</definedName>
    <definedName name="_MEB3" localSheetId="40">'Template names'!#REF!</definedName>
    <definedName name="_MEB3" localSheetId="41">'Template names'!#REF!</definedName>
    <definedName name="_MEB3">'Template names'!#REF!</definedName>
    <definedName name="_MEB4" localSheetId="6">'[1]Template names'!#REF!</definedName>
    <definedName name="_MEB4" localSheetId="5">'[2]Template names'!#REF!</definedName>
    <definedName name="_MEB4" localSheetId="40">'Template names'!#REF!</definedName>
    <definedName name="_MEB4" localSheetId="41">'Template names'!#REF!</definedName>
    <definedName name="_MEB4">'Template names'!#REF!</definedName>
    <definedName name="_MEB5" localSheetId="6">'[1]Template names'!#REF!</definedName>
    <definedName name="_MEB5" localSheetId="5">'[2]Template names'!#REF!</definedName>
    <definedName name="_MEB5" localSheetId="40">'Template names'!#REF!</definedName>
    <definedName name="_MEB5" localSheetId="41">'Template names'!#REF!</definedName>
    <definedName name="_MEB5">'Template names'!#REF!</definedName>
    <definedName name="_MEB6" localSheetId="6">'[1]Template names'!#REF!</definedName>
    <definedName name="_MEB6" localSheetId="5">'[2]Template names'!#REF!</definedName>
    <definedName name="_MEB6" localSheetId="40">'Template names'!#REF!</definedName>
    <definedName name="_MEB6" localSheetId="41">'Template names'!#REF!</definedName>
    <definedName name="_MEB6">'Template names'!#REF!</definedName>
    <definedName name="_MEB7" localSheetId="6">'[1]Template names'!#REF!</definedName>
    <definedName name="_MEB7" localSheetId="5">'[2]Template names'!#REF!</definedName>
    <definedName name="_MEB7" localSheetId="40">'Template names'!#REF!</definedName>
    <definedName name="_MEB7" localSheetId="41">'Template names'!#REF!</definedName>
    <definedName name="_MEB7">'Template names'!#REF!</definedName>
    <definedName name="_MEB8" localSheetId="6">'[1]Template names'!#REF!</definedName>
    <definedName name="_MEB8" localSheetId="5">'[2]Template names'!#REF!</definedName>
    <definedName name="_MEB8" localSheetId="40">'Template names'!#REF!</definedName>
    <definedName name="_MEB8" localSheetId="41">'Template names'!#REF!</definedName>
    <definedName name="_MEB8">'Template names'!#REF!</definedName>
    <definedName name="_MEB9" localSheetId="6">'[1]Template names'!#REF!</definedName>
    <definedName name="_MEB9" localSheetId="5">'[2]Template names'!#REF!</definedName>
    <definedName name="_MEB9" localSheetId="40">'Template names'!#REF!</definedName>
    <definedName name="_MEB9" localSheetId="41">'Template names'!#REF!</definedName>
    <definedName name="_MEB9">'Template names'!#REF!</definedName>
    <definedName name="_MER1" localSheetId="6">'[1]Template names'!#REF!</definedName>
    <definedName name="_MER1" localSheetId="5">'[2]Template names'!#REF!</definedName>
    <definedName name="_MER1" localSheetId="40">'Template names'!#REF!</definedName>
    <definedName name="_MER1" localSheetId="41">'Template names'!#REF!</definedName>
    <definedName name="_MER1">'Template names'!#REF!</definedName>
    <definedName name="_MER10" localSheetId="6">'[1]Template names'!#REF!</definedName>
    <definedName name="_MER10" localSheetId="5">'[2]Template names'!#REF!</definedName>
    <definedName name="_MER10" localSheetId="40">'Template names'!#REF!</definedName>
    <definedName name="_MER10" localSheetId="41">'Template names'!#REF!</definedName>
    <definedName name="_MER10">'Template names'!#REF!</definedName>
    <definedName name="_MER11" localSheetId="6">'[1]Template names'!#REF!</definedName>
    <definedName name="_MER11" localSheetId="5">'[2]Template names'!#REF!</definedName>
    <definedName name="_MER11" localSheetId="40">'Template names'!#REF!</definedName>
    <definedName name="_MER11" localSheetId="41">'Template names'!#REF!</definedName>
    <definedName name="_MER11">'Template names'!#REF!</definedName>
    <definedName name="_MER2" localSheetId="6">'[1]Template names'!#REF!</definedName>
    <definedName name="_MER2" localSheetId="5">'[2]Template names'!#REF!</definedName>
    <definedName name="_MER2" localSheetId="40">'Template names'!#REF!</definedName>
    <definedName name="_MER2" localSheetId="41">'Template names'!#REF!</definedName>
    <definedName name="_MER2">'Template names'!#REF!</definedName>
    <definedName name="_MER3" localSheetId="6">'[1]Template names'!#REF!</definedName>
    <definedName name="_MER3" localSheetId="5">'[2]Template names'!#REF!</definedName>
    <definedName name="_MER3" localSheetId="40">'Template names'!#REF!</definedName>
    <definedName name="_MER3" localSheetId="41">'Template names'!#REF!</definedName>
    <definedName name="_MER3">'Template names'!#REF!</definedName>
    <definedName name="_MER4" localSheetId="6">'[1]Template names'!#REF!</definedName>
    <definedName name="_MER4" localSheetId="5">'[2]Template names'!#REF!</definedName>
    <definedName name="_MER4" localSheetId="40">'Template names'!#REF!</definedName>
    <definedName name="_MER4" localSheetId="41">'Template names'!#REF!</definedName>
    <definedName name="_MER4">'Template names'!#REF!</definedName>
    <definedName name="_MER5" localSheetId="6">'[1]Template names'!#REF!</definedName>
    <definedName name="_MER5" localSheetId="5">'[2]Template names'!#REF!</definedName>
    <definedName name="_MER5" localSheetId="40">'Template names'!#REF!</definedName>
    <definedName name="_MER5" localSheetId="41">'Template names'!#REF!</definedName>
    <definedName name="_MER5">'Template names'!#REF!</definedName>
    <definedName name="_MER6" localSheetId="6">'[1]Template names'!#REF!</definedName>
    <definedName name="_MER6" localSheetId="5">'[2]Template names'!#REF!</definedName>
    <definedName name="_MER6" localSheetId="40">'Template names'!#REF!</definedName>
    <definedName name="_MER6" localSheetId="41">'Template names'!#REF!</definedName>
    <definedName name="_MER6">'Template names'!#REF!</definedName>
    <definedName name="_MER7" localSheetId="6">'[1]Template names'!#REF!</definedName>
    <definedName name="_MER7" localSheetId="5">'[2]Template names'!#REF!</definedName>
    <definedName name="_MER7" localSheetId="40">'Template names'!#REF!</definedName>
    <definedName name="_MER7" localSheetId="41">'Template names'!#REF!</definedName>
    <definedName name="_MER7">'Template names'!#REF!</definedName>
    <definedName name="_MER8" localSheetId="6">'[1]Template names'!#REF!</definedName>
    <definedName name="_MER8" localSheetId="5">'[2]Template names'!#REF!</definedName>
    <definedName name="_MER8" localSheetId="40">'Template names'!#REF!</definedName>
    <definedName name="_MER8" localSheetId="41">'Template names'!#REF!</definedName>
    <definedName name="_MER8">'Template names'!#REF!</definedName>
    <definedName name="_MER9" localSheetId="6">'[1]Template names'!#REF!</definedName>
    <definedName name="_MER9" localSheetId="5">'[2]Template names'!#REF!</definedName>
    <definedName name="_MER9" localSheetId="40">'Template names'!#REF!</definedName>
    <definedName name="_MER9" localSheetId="41">'Template names'!#REF!</definedName>
    <definedName name="_MER9">'Template names'!#REF!</definedName>
    <definedName name="_rat03" localSheetId="40">#REF!</definedName>
    <definedName name="_rat03" localSheetId="41">#REF!</definedName>
    <definedName name="_rat03">#REF!</definedName>
    <definedName name="_rat04" localSheetId="40">#REF!</definedName>
    <definedName name="_rat04" localSheetId="41">#REF!</definedName>
    <definedName name="_rat04">#REF!</definedName>
    <definedName name="_rat05" localSheetId="40">#REF!</definedName>
    <definedName name="_rat05" localSheetId="41">#REF!</definedName>
    <definedName name="_rat05">#REF!</definedName>
    <definedName name="_rat06" localSheetId="40">#REF!</definedName>
    <definedName name="_rat06" localSheetId="41">#REF!</definedName>
    <definedName name="_rat06">#REF!</definedName>
    <definedName name="_rat07" localSheetId="40">#REF!</definedName>
    <definedName name="_rat07" localSheetId="41">#REF!</definedName>
    <definedName name="_rat07">#REF!</definedName>
    <definedName name="_rat08" localSheetId="40">#REF!</definedName>
    <definedName name="_rat08" localSheetId="41">#REF!</definedName>
    <definedName name="_rat08">#REF!</definedName>
    <definedName name="_rat09" localSheetId="40">#REF!</definedName>
    <definedName name="_rat09" localSheetId="41">#REF!</definedName>
    <definedName name="_rat09">#REF!</definedName>
    <definedName name="_rat10" localSheetId="40">#REF!</definedName>
    <definedName name="_rat10" localSheetId="41">#REF!</definedName>
    <definedName name="_rat10">#REF!</definedName>
    <definedName name="_rat11" localSheetId="40">#REF!</definedName>
    <definedName name="_rat11" localSheetId="41">#REF!</definedName>
    <definedName name="_rat11">#REF!</definedName>
    <definedName name="_rat12" localSheetId="40">#REF!</definedName>
    <definedName name="_rat12" localSheetId="41">#REF!</definedName>
    <definedName name="_rat12">#REF!</definedName>
    <definedName name="_rat13" localSheetId="40">#REF!</definedName>
    <definedName name="_rat13" localSheetId="41">#REF!</definedName>
    <definedName name="_rat13">#REF!</definedName>
    <definedName name="_rgr05" localSheetId="40">#REF!</definedName>
    <definedName name="_rgr05" localSheetId="41">#REF!</definedName>
    <definedName name="_rgr05">#REF!</definedName>
    <definedName name="_rgr06" localSheetId="41">#REF!</definedName>
    <definedName name="_rgr06">#REF!</definedName>
    <definedName name="_rgr07" localSheetId="41">#REF!</definedName>
    <definedName name="_rgr07">#REF!</definedName>
    <definedName name="_rgr08" localSheetId="41">#REF!</definedName>
    <definedName name="_rgr08">#REF!</definedName>
    <definedName name="_rgr09" localSheetId="41">#REF!</definedName>
    <definedName name="_rgr09">#REF!</definedName>
    <definedName name="_rgr10" localSheetId="41">#REF!</definedName>
    <definedName name="_rgr10">#REF!</definedName>
    <definedName name="_rgr11" localSheetId="41">#REF!</definedName>
    <definedName name="_rgr11">#REF!</definedName>
    <definedName name="_rgr12" localSheetId="41">#REF!</definedName>
    <definedName name="_rgr12">#REF!</definedName>
    <definedName name="_rgr13" localSheetId="41">#REF!</definedName>
    <definedName name="_rgr13">#REF!</definedName>
    <definedName name="_rgr14" localSheetId="41">#REF!</definedName>
    <definedName name="_rgr14">#REF!</definedName>
    <definedName name="_rgr15" localSheetId="41">#REF!</definedName>
    <definedName name="_rgr15">#REF!</definedName>
    <definedName name="_rgr16" localSheetId="41">#REF!</definedName>
    <definedName name="_rgr16">#REF!</definedName>
    <definedName name="_rgr17" localSheetId="41">#REF!</definedName>
    <definedName name="_rgr17">#REF!</definedName>
    <definedName name="_rgr18" localSheetId="41">#REF!</definedName>
    <definedName name="_rgr18">#REF!</definedName>
    <definedName name="_rgr19" localSheetId="41">#REF!</definedName>
    <definedName name="_rgr19">#REF!</definedName>
    <definedName name="_rgr20" localSheetId="41">#REF!</definedName>
    <definedName name="_rgr20">#REF!</definedName>
    <definedName name="_rmc05" localSheetId="2">#REF!</definedName>
    <definedName name="_rmc05" localSheetId="40">#REF!</definedName>
    <definedName name="_rmc05" localSheetId="41">#REF!</definedName>
    <definedName name="_rmc05">#REF!</definedName>
    <definedName name="_rmc06" localSheetId="41">#REF!</definedName>
    <definedName name="_rmc06">#REF!</definedName>
    <definedName name="_rmc07" localSheetId="41">#REF!</definedName>
    <definedName name="_rmc07">#REF!</definedName>
    <definedName name="_rmc08" localSheetId="41">#REF!</definedName>
    <definedName name="_rmc08">#REF!</definedName>
    <definedName name="_rmc09" localSheetId="41">#REF!</definedName>
    <definedName name="_rmc09">#REF!</definedName>
    <definedName name="_rmc10" localSheetId="41">#REF!</definedName>
    <definedName name="_rmc10">#REF!</definedName>
    <definedName name="_rmc11" localSheetId="41">#REF!</definedName>
    <definedName name="_rmc11">#REF!</definedName>
    <definedName name="_rmc12" localSheetId="41">#REF!</definedName>
    <definedName name="_rmc12">#REF!</definedName>
    <definedName name="_rmc13" localSheetId="41">#REF!</definedName>
    <definedName name="_rmc13">#REF!</definedName>
    <definedName name="_rmc14" localSheetId="41">#REF!</definedName>
    <definedName name="_rmc14">#REF!</definedName>
    <definedName name="_rmc15" localSheetId="41">#REF!</definedName>
    <definedName name="_rmc15">#REF!</definedName>
    <definedName name="_rmc16" localSheetId="41">#REF!</definedName>
    <definedName name="_rmc16">#REF!</definedName>
    <definedName name="_rmc17" localSheetId="41">#REF!</definedName>
    <definedName name="_rmc17">#REF!</definedName>
    <definedName name="_rmc18" localSheetId="41">#REF!</definedName>
    <definedName name="_rmc18">#REF!</definedName>
    <definedName name="_rmc19" localSheetId="41">#REF!</definedName>
    <definedName name="_rmc19">#REF!</definedName>
    <definedName name="_rmc20" localSheetId="41">#REF!</definedName>
    <definedName name="_rmc20">#REF!</definedName>
    <definedName name="_rmc21" localSheetId="41">#REF!</definedName>
    <definedName name="_rmc21">#REF!</definedName>
    <definedName name="_Sch1" localSheetId="40">'[4]Template names'!#REF!</definedName>
    <definedName name="_Sch1" localSheetId="41">'[4]Template names'!#REF!</definedName>
    <definedName name="_Sch1">'[4]Template names'!#REF!</definedName>
    <definedName name="_Sch10" localSheetId="40">'[4]Template names'!#REF!</definedName>
    <definedName name="_Sch10" localSheetId="41">'[4]Template names'!#REF!</definedName>
    <definedName name="_Sch10">'[4]Template names'!#REF!</definedName>
    <definedName name="_sch11" localSheetId="40">'[4]Template names'!#REF!</definedName>
    <definedName name="_sch11" localSheetId="41">'[4]Template names'!#REF!</definedName>
    <definedName name="_sch11">'[4]Template names'!#REF!</definedName>
    <definedName name="_Sch2" localSheetId="40">'[4]Template names'!#REF!</definedName>
    <definedName name="_Sch2" localSheetId="41">'[4]Template names'!#REF!</definedName>
    <definedName name="_Sch2">'[4]Template names'!#REF!</definedName>
    <definedName name="_Sch3" localSheetId="40">'[4]Template names'!#REF!</definedName>
    <definedName name="_Sch3" localSheetId="41">'[4]Template names'!#REF!</definedName>
    <definedName name="_Sch3">'[4]Template names'!#REF!</definedName>
    <definedName name="_Sch4" localSheetId="40">'[4]Template names'!#REF!</definedName>
    <definedName name="_Sch4" localSheetId="41">'[4]Template names'!#REF!</definedName>
    <definedName name="_Sch4">'[4]Template names'!#REF!</definedName>
    <definedName name="_Sch5" localSheetId="40">'[4]Template names'!#REF!</definedName>
    <definedName name="_Sch5" localSheetId="41">'[4]Template names'!#REF!</definedName>
    <definedName name="_Sch5">'[4]Template names'!#REF!</definedName>
    <definedName name="_Sch6" localSheetId="40">'[4]Template names'!#REF!</definedName>
    <definedName name="_Sch6" localSheetId="41">'[4]Template names'!#REF!</definedName>
    <definedName name="_Sch6">'[4]Template names'!#REF!</definedName>
    <definedName name="_Sch7" localSheetId="40">'[4]Template names'!#REF!</definedName>
    <definedName name="_Sch7" localSheetId="41">'[4]Template names'!#REF!</definedName>
    <definedName name="_Sch7">'[4]Template names'!#REF!</definedName>
    <definedName name="_Sch8" localSheetId="40">'[4]Template names'!#REF!</definedName>
    <definedName name="_Sch8" localSheetId="41">'[4]Template names'!#REF!</definedName>
    <definedName name="_Sch8">'[4]Template names'!#REF!</definedName>
    <definedName name="_Sch9" localSheetId="40">'[4]Template names'!#REF!</definedName>
    <definedName name="_Sch9" localSheetId="41">'[4]Template names'!#REF!</definedName>
    <definedName name="_Sch9">'[4]Template names'!#REF!</definedName>
    <definedName name="_sdc05" localSheetId="2">#REF!</definedName>
    <definedName name="_sdc05" localSheetId="40">#REF!</definedName>
    <definedName name="_sdc05" localSheetId="41">#REF!</definedName>
    <definedName name="_sdc05">#REF!</definedName>
    <definedName name="_sdc06" localSheetId="41">#REF!</definedName>
    <definedName name="_sdc06">#REF!</definedName>
    <definedName name="_sdc07" localSheetId="41">#REF!</definedName>
    <definedName name="_sdc07">#REF!</definedName>
    <definedName name="_sdc08" localSheetId="41">#REF!</definedName>
    <definedName name="_sdc08">#REF!</definedName>
    <definedName name="_sdc09" localSheetId="41">#REF!</definedName>
    <definedName name="_sdc09">#REF!</definedName>
    <definedName name="_sdc10" localSheetId="41">#REF!</definedName>
    <definedName name="_sdc10">#REF!</definedName>
    <definedName name="_sdc11" localSheetId="41">#REF!</definedName>
    <definedName name="_sdc11">#REF!</definedName>
    <definedName name="_sdc12" localSheetId="41">#REF!</definedName>
    <definedName name="_sdc12">#REF!</definedName>
    <definedName name="_sdc13" localSheetId="41">#REF!</definedName>
    <definedName name="_sdc13">#REF!</definedName>
    <definedName name="_sdc14" localSheetId="41">#REF!</definedName>
    <definedName name="_sdc14">#REF!</definedName>
    <definedName name="_sdc15" localSheetId="41">#REF!</definedName>
    <definedName name="_sdc15">#REF!</definedName>
    <definedName name="_sdc16" localSheetId="41">#REF!</definedName>
    <definedName name="_sdc16">#REF!</definedName>
    <definedName name="_sdc17" localSheetId="41">#REF!</definedName>
    <definedName name="_sdc17">#REF!</definedName>
    <definedName name="_sdc18" localSheetId="41">#REF!</definedName>
    <definedName name="_sdc18">#REF!</definedName>
    <definedName name="_sdc19" localSheetId="41">#REF!</definedName>
    <definedName name="_sdc19">#REF!</definedName>
    <definedName name="_sdc20" localSheetId="41">#REF!</definedName>
    <definedName name="_sdc20">#REF!</definedName>
    <definedName name="_wc05" localSheetId="2">#REF!</definedName>
    <definedName name="_wc05" localSheetId="40">#REF!</definedName>
    <definedName name="_wc05" localSheetId="41">#REF!</definedName>
    <definedName name="_wc05">#REF!</definedName>
    <definedName name="_wc06" localSheetId="41">#REF!</definedName>
    <definedName name="_wc06">#REF!</definedName>
    <definedName name="_wc07" localSheetId="41">#REF!</definedName>
    <definedName name="_wc07">#REF!</definedName>
    <definedName name="_wc08" localSheetId="41">#REF!</definedName>
    <definedName name="_wc08">#REF!</definedName>
    <definedName name="_wc09" localSheetId="41">#REF!</definedName>
    <definedName name="_wc09">#REF!</definedName>
    <definedName name="_wc10" localSheetId="41">#REF!</definedName>
    <definedName name="_wc10">#REF!</definedName>
    <definedName name="_wc11" localSheetId="41">#REF!</definedName>
    <definedName name="_wc11">#REF!</definedName>
    <definedName name="_wc12" localSheetId="41">#REF!</definedName>
    <definedName name="_wc12">#REF!</definedName>
    <definedName name="_wc13" localSheetId="41">#REF!</definedName>
    <definedName name="_wc13">#REF!</definedName>
    <definedName name="_wc14" localSheetId="41">#REF!</definedName>
    <definedName name="_wc14">#REF!</definedName>
    <definedName name="_wc15" localSheetId="41">#REF!</definedName>
    <definedName name="_wc15">#REF!</definedName>
    <definedName name="_wc16" localSheetId="41">#REF!</definedName>
    <definedName name="_wc16">#REF!</definedName>
    <definedName name="_wc17" localSheetId="41">#REF!</definedName>
    <definedName name="_wc17">#REF!</definedName>
    <definedName name="_wc18" localSheetId="41">#REF!</definedName>
    <definedName name="_wc18">#REF!</definedName>
    <definedName name="_wc19" localSheetId="41">#REF!</definedName>
    <definedName name="_wc19">#REF!</definedName>
    <definedName name="_wc20" localSheetId="41">#REF!</definedName>
    <definedName name="_wc20">#REF!</definedName>
    <definedName name="ADJ10plus" localSheetId="6">'[1]Template names'!#REF!</definedName>
    <definedName name="ADJ10plus" localSheetId="5">'[2]Template names'!#REF!</definedName>
    <definedName name="ADJ10plus" localSheetId="40">'Template names'!#REF!</definedName>
    <definedName name="ADJ10plus" localSheetId="41">'Template names'!#REF!</definedName>
    <definedName name="ADJ10plus">'Template names'!#REF!</definedName>
    <definedName name="ADJ18A" localSheetId="6">'[1]Template names'!#REF!</definedName>
    <definedName name="ADJ18A" localSheetId="5">'[2]Template names'!#REF!</definedName>
    <definedName name="ADJ18A" localSheetId="40">'Template names'!#REF!</definedName>
    <definedName name="ADJ18A" localSheetId="41">'Template names'!#REF!</definedName>
    <definedName name="ADJ18A">'Template names'!#REF!</definedName>
    <definedName name="ADJ18B" localSheetId="6">'[1]Template names'!#REF!</definedName>
    <definedName name="ADJ18B" localSheetId="5">'[2]Template names'!#REF!</definedName>
    <definedName name="ADJ18B" localSheetId="40">'Template names'!#REF!</definedName>
    <definedName name="ADJ18B" localSheetId="41">'Template names'!#REF!</definedName>
    <definedName name="ADJ18B">'Template names'!#REF!</definedName>
    <definedName name="ADJ19B" localSheetId="6">'[1]Template names'!#REF!</definedName>
    <definedName name="ADJ19B" localSheetId="5">'[2]Template names'!#REF!</definedName>
    <definedName name="ADJ19B" localSheetId="40">'Template names'!#REF!</definedName>
    <definedName name="ADJ19B" localSheetId="41">'Template names'!#REF!</definedName>
    <definedName name="ADJ19B">'Template names'!#REF!</definedName>
    <definedName name="ADJ8A" localSheetId="6">'[1]Template names'!#REF!</definedName>
    <definedName name="ADJ8A" localSheetId="5">'[2]Template names'!#REF!</definedName>
    <definedName name="ADJ8A" localSheetId="40">'Template names'!#REF!</definedName>
    <definedName name="ADJ8A" localSheetId="41">'Template names'!#REF!</definedName>
    <definedName name="ADJ8A">'Template names'!#REF!</definedName>
    <definedName name="ADJ8B" localSheetId="6">'[1]Template names'!#REF!</definedName>
    <definedName name="ADJ8B" localSheetId="5">'[2]Template names'!#REF!</definedName>
    <definedName name="ADJ8B" localSheetId="40">'Template names'!#REF!</definedName>
    <definedName name="ADJ8B" localSheetId="41">'Template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6">'[1]Template names'!#REF!</definedName>
    <definedName name="ADJP1" localSheetId="5">'[2]Template names'!#REF!</definedName>
    <definedName name="ADJP1" localSheetId="40">'Template names'!#REF!</definedName>
    <definedName name="ADJP1" localSheetId="41">'Template names'!#REF!</definedName>
    <definedName name="ADJP1">'Template names'!#REF!</definedName>
    <definedName name="adjsum" localSheetId="6">'[1]Template names'!#REF!</definedName>
    <definedName name="adjsum" localSheetId="2">'Template names'!#REF!</definedName>
    <definedName name="adjsum" localSheetId="5">'[2]Template names'!#REF!</definedName>
    <definedName name="adjsum">'Template names'!$B$67</definedName>
    <definedName name="ADJTB1" localSheetId="6">'[1]Template names'!#REF!</definedName>
    <definedName name="ADJTB1" localSheetId="5">'[2]Template names'!#REF!</definedName>
    <definedName name="ADJTB1" localSheetId="40">'Template names'!#REF!</definedName>
    <definedName name="ADJTB1" localSheetId="41">'Template names'!#REF!</definedName>
    <definedName name="ADJTB1">'Template names'!#REF!</definedName>
    <definedName name="ADJXX" localSheetId="6">'[1]Template names'!#REF!</definedName>
    <definedName name="ADJXX" localSheetId="5">'[2]Template names'!#REF!</definedName>
    <definedName name="ADJXX" localSheetId="40">'Template names'!#REF!</definedName>
    <definedName name="ADJXX" localSheetId="41">'Template names'!#REF!</definedName>
    <definedName name="ADJXX">'Template names'!#REF!</definedName>
    <definedName name="Approve1" localSheetId="5">'[2]Template names'!$B$100</definedName>
    <definedName name="Approve1">'[1]Template names'!$B$100</definedName>
    <definedName name="Approve10" localSheetId="5">'[2]Template names'!$B$109</definedName>
    <definedName name="Approve10">'[1]Template names'!$B$109</definedName>
    <definedName name="Approve2" localSheetId="5">'[2]Template names'!$B$102</definedName>
    <definedName name="Approve2">'[1]Template names'!$B$102</definedName>
    <definedName name="Approve3" localSheetId="5">'[2]Template names'!$B$101</definedName>
    <definedName name="Approve3">'[1]Template names'!$B$101</definedName>
    <definedName name="Approve4" localSheetId="5">'[2]Template names'!$B$103</definedName>
    <definedName name="Approve4">'[1]Template names'!$B$103</definedName>
    <definedName name="Approve5" localSheetId="5">'[2]Template names'!$B$104</definedName>
    <definedName name="Approve5">'[1]Template names'!$B$104</definedName>
    <definedName name="Approve6" localSheetId="5">'[2]Template names'!$B$105</definedName>
    <definedName name="Approve6">'[1]Template names'!$B$105</definedName>
    <definedName name="Approve7" localSheetId="5">'[2]Template names'!$B$106</definedName>
    <definedName name="Approve7">'[1]Template names'!$B$106</definedName>
    <definedName name="Approve8" localSheetId="5">'[2]Template names'!$B$107</definedName>
    <definedName name="Approve8">'[1]Template names'!$B$107</definedName>
    <definedName name="Approve9" localSheetId="5">'[2]Template names'!$B$108</definedName>
    <definedName name="Approve9">'[1]Template names'!$B$108</definedName>
    <definedName name="Asset_Class">'Lookup and lists'!$R$17:$R$41</definedName>
    <definedName name="Asset_sub_class">'Lookup and lists'!$T$17:$T$125</definedName>
    <definedName name="avelife07" localSheetId="41">#REF!</definedName>
    <definedName name="avelife07">#REF!</definedName>
    <definedName name="avelife08" localSheetId="41">#REF!</definedName>
    <definedName name="avelife08">#REF!</definedName>
    <definedName name="avelife09" localSheetId="41">#REF!</definedName>
    <definedName name="avelife09">#REF!</definedName>
    <definedName name="avelife10" localSheetId="41">#REF!</definedName>
    <definedName name="avelife10">#REF!</definedName>
    <definedName name="avelife11" localSheetId="41">#REF!</definedName>
    <definedName name="avelife11">#REF!</definedName>
    <definedName name="avelife12" localSheetId="41">#REF!</definedName>
    <definedName name="avelife12">#REF!</definedName>
    <definedName name="avelife13" localSheetId="41">#REF!</definedName>
    <definedName name="avelife13">#REF!</definedName>
    <definedName name="balloon" localSheetId="40">#REF!</definedName>
    <definedName name="balloon" localSheetId="41">#REF!</definedName>
    <definedName name="balloon">#REF!</definedName>
    <definedName name="basedesc">'Template names'!$D$27:$D$27</definedName>
    <definedName name="Bus" localSheetId="40">#REF!</definedName>
    <definedName name="Bus" localSheetId="41">#REF!</definedName>
    <definedName name="Bus">#REF!</definedName>
    <definedName name="capexfactor" localSheetId="40">#REF!</definedName>
    <definedName name="capexfactor" localSheetId="41">#REF!</definedName>
    <definedName name="capexfactor">#REF!</definedName>
    <definedName name="capexlimit06" localSheetId="41">#REF!</definedName>
    <definedName name="capexlimit06">#REF!</definedName>
    <definedName name="capexlimit07" localSheetId="41">#REF!</definedName>
    <definedName name="capexlimit07">#REF!</definedName>
    <definedName name="capexlimit08" localSheetId="41">#REF!</definedName>
    <definedName name="capexlimit08">#REF!</definedName>
    <definedName name="capexlimit09" localSheetId="41">#REF!</definedName>
    <definedName name="capexlimit09">#REF!</definedName>
    <definedName name="capexrate04" localSheetId="40">#REF!</definedName>
    <definedName name="capexrate04" localSheetId="41">#REF!</definedName>
    <definedName name="capexrate04">#REF!</definedName>
    <definedName name="capexrate05" localSheetId="40">#REF!</definedName>
    <definedName name="capexrate05" localSheetId="41">#REF!</definedName>
    <definedName name="capexrate05">#REF!</definedName>
    <definedName name="capexrate06" localSheetId="41">#REF!</definedName>
    <definedName name="capexrate06">#REF!</definedName>
    <definedName name="capexrate07" localSheetId="41">#REF!</definedName>
    <definedName name="capexrate07">#REF!</definedName>
    <definedName name="capexrate08" localSheetId="41">#REF!</definedName>
    <definedName name="capexrate08">#REF!</definedName>
    <definedName name="capexrate09" localSheetId="41">#REF!</definedName>
    <definedName name="capexrate09">#REF!</definedName>
    <definedName name="capexrate10" localSheetId="41">#REF!</definedName>
    <definedName name="capexrate10">#REF!</definedName>
    <definedName name="capexrate11" localSheetId="41">#REF!</definedName>
    <definedName name="capexrate11">#REF!</definedName>
    <definedName name="capexrate12" localSheetId="41">#REF!</definedName>
    <definedName name="capexrate12">#REF!</definedName>
    <definedName name="capexrate13" localSheetId="41">#REF!</definedName>
    <definedName name="capexrate13">#REF!</definedName>
    <definedName name="capexrate14" localSheetId="41">#REF!</definedName>
    <definedName name="capexrate14">#REF!</definedName>
    <definedName name="capexrate15" localSheetId="41">#REF!</definedName>
    <definedName name="capexrate15">#REF!</definedName>
    <definedName name="capexrate16" localSheetId="41">#REF!</definedName>
    <definedName name="capexrate16">#REF!</definedName>
    <definedName name="capexrate17" localSheetId="41">#REF!</definedName>
    <definedName name="capexrate17">#REF!</definedName>
    <definedName name="capexrate18" localSheetId="41">#REF!</definedName>
    <definedName name="capexrate18">#REF!</definedName>
    <definedName name="capexrate19" localSheetId="41">#REF!</definedName>
    <definedName name="capexrate19">#REF!</definedName>
    <definedName name="capexrate20" localSheetId="41">#REF!</definedName>
    <definedName name="capexrate20">#REF!</definedName>
    <definedName name="capexrate21" localSheetId="41">#REF!</definedName>
    <definedName name="capexrate21">#REF!</definedName>
    <definedName name="Capytd" localSheetId="41">#REF!</definedName>
    <definedName name="Capytd">#REF!</definedName>
    <definedName name="Cash1">'Template names'!$B$59</definedName>
    <definedName name="Cash2">'Template names'!$B$60</definedName>
    <definedName name="cfactor08" localSheetId="41">#REF!</definedName>
    <definedName name="cfactor08">#REF!</definedName>
    <definedName name="cfactor09" localSheetId="41">#REF!</definedName>
    <definedName name="cfactor09">#REF!</definedName>
    <definedName name="cfactor10" localSheetId="41">#REF!</definedName>
    <definedName name="cfactor10">#REF!</definedName>
    <definedName name="cfactor11" localSheetId="41">#REF!</definedName>
    <definedName name="cfactor11">#REF!</definedName>
    <definedName name="cfactor12" localSheetId="41">#REF!</definedName>
    <definedName name="cfactor12">#REF!</definedName>
    <definedName name="cfactor13" localSheetId="41">#REF!</definedName>
    <definedName name="cfactor13">#REF!</definedName>
    <definedName name="Consolques" localSheetId="6">'[1]Template names'!$A$95</definedName>
    <definedName name="Consolques" localSheetId="5">'[2]Template names'!$A$95</definedName>
    <definedName name="Consolques">'Template names'!$A$65</definedName>
    <definedName name="cpix04" localSheetId="40">#REF!</definedName>
    <definedName name="cpix04" localSheetId="41">#REF!</definedName>
    <definedName name="cpix04">#REF!</definedName>
    <definedName name="cpix05" localSheetId="40">#REF!</definedName>
    <definedName name="cpix05" localSheetId="41">#REF!</definedName>
    <definedName name="cpix05">#REF!</definedName>
    <definedName name="cpix06" localSheetId="41">#REF!</definedName>
    <definedName name="cpix06">#REF!</definedName>
    <definedName name="cpix07" localSheetId="41">#REF!</definedName>
    <definedName name="cpix07">#REF!</definedName>
    <definedName name="cpix08" localSheetId="41">#REF!</definedName>
    <definedName name="cpix08">#REF!</definedName>
    <definedName name="cpix09" localSheetId="41">#REF!</definedName>
    <definedName name="cpix09">#REF!</definedName>
    <definedName name="cpix10" localSheetId="41">#REF!</definedName>
    <definedName name="cpix10">#REF!</definedName>
    <definedName name="cpix11" localSheetId="41">#REF!</definedName>
    <definedName name="cpix11">#REF!</definedName>
    <definedName name="cpix12" localSheetId="41">#REF!</definedName>
    <definedName name="cpix12">#REF!</definedName>
    <definedName name="cpix13" localSheetId="41">#REF!</definedName>
    <definedName name="cpix13">#REF!</definedName>
    <definedName name="cpix14" localSheetId="41">#REF!</definedName>
    <definedName name="cpix14">#REF!</definedName>
    <definedName name="cpix15" localSheetId="41">#REF!</definedName>
    <definedName name="cpix15">#REF!</definedName>
    <definedName name="cpix16" localSheetId="41">#REF!</definedName>
    <definedName name="cpix16">#REF!</definedName>
    <definedName name="cpix17" localSheetId="41">#REF!</definedName>
    <definedName name="cpix17">#REF!</definedName>
    <definedName name="cpix18" localSheetId="41">#REF!</definedName>
    <definedName name="cpix18">#REF!</definedName>
    <definedName name="cpix19" localSheetId="41">#REF!</definedName>
    <definedName name="cpix19">#REF!</definedName>
    <definedName name="cpix20" localSheetId="41">#REF!</definedName>
    <definedName name="cpix20">#REF!</definedName>
    <definedName name="cpix21" localSheetId="41">#REF!</definedName>
    <definedName name="cpix21">#REF!</definedName>
    <definedName name="credit06" localSheetId="40">#REF!</definedName>
    <definedName name="credit06" localSheetId="41">#REF!</definedName>
    <definedName name="credit06">#REF!</definedName>
    <definedName name="date" localSheetId="6">[5]Data!$B$2</definedName>
    <definedName name="Date" localSheetId="2">Instructions!$X$10</definedName>
    <definedName name="date" localSheetId="5">[5]Data!$B$2</definedName>
    <definedName name="Date">Instructions!$X$10</definedName>
    <definedName name="debt03" localSheetId="40">#REF!</definedName>
    <definedName name="debt03" localSheetId="41">#REF!</definedName>
    <definedName name="debt03">#REF!</definedName>
    <definedName name="debt04" localSheetId="40">#REF!</definedName>
    <definedName name="debt04" localSheetId="41">#REF!</definedName>
    <definedName name="debt04">#REF!</definedName>
    <definedName name="debt05" localSheetId="40">#REF!</definedName>
    <definedName name="debt05" localSheetId="41">#REF!</definedName>
    <definedName name="debt05">#REF!</definedName>
    <definedName name="debt06" localSheetId="41">#REF!</definedName>
    <definedName name="debt06">#REF!</definedName>
    <definedName name="debt07" localSheetId="41">#REF!</definedName>
    <definedName name="debt07">#REF!</definedName>
    <definedName name="debt08" localSheetId="41">#REF!</definedName>
    <definedName name="debt08">#REF!</definedName>
    <definedName name="debt09" localSheetId="41">#REF!</definedName>
    <definedName name="debt09">#REF!</definedName>
    <definedName name="debt10" localSheetId="41">#REF!</definedName>
    <definedName name="debt10">#REF!</definedName>
    <definedName name="debt11" localSheetId="41">#REF!</definedName>
    <definedName name="debt11">#REF!</definedName>
    <definedName name="debt12" localSheetId="41">#REF!</definedName>
    <definedName name="debt12">#REF!</definedName>
    <definedName name="debt13" localSheetId="41">#REF!</definedName>
    <definedName name="debt13">#REF!</definedName>
    <definedName name="debt14" localSheetId="41">#REF!</definedName>
    <definedName name="debt14">#REF!</definedName>
    <definedName name="debt15" localSheetId="41">#REF!</definedName>
    <definedName name="debt15">#REF!</definedName>
    <definedName name="debt16" localSheetId="41">#REF!</definedName>
    <definedName name="debt16">#REF!</definedName>
    <definedName name="debt17" localSheetId="41">#REF!</definedName>
    <definedName name="debt17">#REF!</definedName>
    <definedName name="debt18" localSheetId="41">#REF!</definedName>
    <definedName name="debt18">#REF!</definedName>
    <definedName name="debt19" localSheetId="41">#REF!</definedName>
    <definedName name="debt19">#REF!</definedName>
    <definedName name="debt20" localSheetId="41">#REF!</definedName>
    <definedName name="debt20">#REF!</definedName>
    <definedName name="debt21" localSheetId="41">#REF!</definedName>
    <definedName name="debt21">#REF!</definedName>
    <definedName name="debtrev04" localSheetId="40">#REF!</definedName>
    <definedName name="debtrev04" localSheetId="41">#REF!</definedName>
    <definedName name="debtrev04">#REF!</definedName>
    <definedName name="debtrev05" localSheetId="40">#REF!</definedName>
    <definedName name="debtrev05" localSheetId="41">#REF!</definedName>
    <definedName name="debtrev05">#REF!</definedName>
    <definedName name="debtrev06" localSheetId="41">#REF!</definedName>
    <definedName name="debtrev06">#REF!</definedName>
    <definedName name="debtrev07" localSheetId="41">#REF!</definedName>
    <definedName name="debtrev07">#REF!</definedName>
    <definedName name="debtrev08" localSheetId="41">#REF!</definedName>
    <definedName name="debtrev08">#REF!</definedName>
    <definedName name="debtrev09" localSheetId="41">#REF!</definedName>
    <definedName name="debtrev09">#REF!</definedName>
    <definedName name="debtrev10" localSheetId="41">#REF!</definedName>
    <definedName name="debtrev10">#REF!</definedName>
    <definedName name="debtrev11" localSheetId="41">#REF!</definedName>
    <definedName name="debtrev11">#REF!</definedName>
    <definedName name="debtrev12" localSheetId="41">#REF!</definedName>
    <definedName name="debtrev12">#REF!</definedName>
    <definedName name="debtrev13" localSheetId="41">#REF!</definedName>
    <definedName name="debtrev13">#REF!</definedName>
    <definedName name="debtrev14" localSheetId="41">#REF!</definedName>
    <definedName name="debtrev14">#REF!</definedName>
    <definedName name="debtrev15" localSheetId="41">#REF!</definedName>
    <definedName name="debtrev15">#REF!</definedName>
    <definedName name="debtrev16" localSheetId="41">#REF!</definedName>
    <definedName name="debtrev16">#REF!</definedName>
    <definedName name="debtrev17" localSheetId="41">#REF!</definedName>
    <definedName name="debtrev17">#REF!</definedName>
    <definedName name="debtrev18" localSheetId="41">#REF!</definedName>
    <definedName name="debtrev18">#REF!</definedName>
    <definedName name="debtrev19" localSheetId="41">#REF!</definedName>
    <definedName name="debtrev19">#REF!</definedName>
    <definedName name="debtrev20" localSheetId="41">#REF!</definedName>
    <definedName name="debtrev20">#REF!</definedName>
    <definedName name="debtrev21" localSheetId="41">#REF!</definedName>
    <definedName name="debtrev21">#REF!</definedName>
    <definedName name="desc" localSheetId="6">'[1]Template names'!$B$30</definedName>
    <definedName name="desc" localSheetId="5">'[2]Template names'!$B$30</definedName>
    <definedName name="desc">'Template names'!$B$19</definedName>
    <definedName name="dfratio03" localSheetId="41">#REF!</definedName>
    <definedName name="dfratio03">#REF!</definedName>
    <definedName name="dfratio04" localSheetId="41">#REF!</definedName>
    <definedName name="dfratio04">#REF!</definedName>
    <definedName name="dfratio05" localSheetId="41">#REF!</definedName>
    <definedName name="dfratio05">#REF!</definedName>
    <definedName name="dfratio06" localSheetId="41">#REF!</definedName>
    <definedName name="dfratio06">#REF!</definedName>
    <definedName name="dfratioadj04" localSheetId="41">#REF!</definedName>
    <definedName name="dfratioadj04">#REF!</definedName>
    <definedName name="dfration02" localSheetId="41">#REF!</definedName>
    <definedName name="dfration02">#REF!</definedName>
    <definedName name="ecchoice" localSheetId="40">#REF!</definedName>
    <definedName name="ecchoice" localSheetId="41">#REF!</definedName>
    <definedName name="ecchoice">#REF!</definedName>
    <definedName name="elec05" localSheetId="40">#REF!</definedName>
    <definedName name="elec05" localSheetId="41">#REF!</definedName>
    <definedName name="elec05">#REF!</definedName>
    <definedName name="elec06" localSheetId="41">#REF!</definedName>
    <definedName name="elec06">#REF!</definedName>
    <definedName name="elec07" localSheetId="41">#REF!</definedName>
    <definedName name="elec07">#REF!</definedName>
    <definedName name="elec08" localSheetId="41">#REF!</definedName>
    <definedName name="elec08">#REF!</definedName>
    <definedName name="elec09" localSheetId="41">#REF!</definedName>
    <definedName name="elec09">#REF!</definedName>
    <definedName name="elec10" localSheetId="41">#REF!</definedName>
    <definedName name="elec10">#REF!</definedName>
    <definedName name="elec11" localSheetId="41">#REF!</definedName>
    <definedName name="elec11">#REF!</definedName>
    <definedName name="elec12" localSheetId="41">#REF!</definedName>
    <definedName name="elec12">#REF!</definedName>
    <definedName name="elec13" localSheetId="41">#REF!</definedName>
    <definedName name="elec13">#REF!</definedName>
    <definedName name="elecbulk06" localSheetId="41">#REF!</definedName>
    <definedName name="elecbulk06">#REF!</definedName>
    <definedName name="elecextra" localSheetId="41">#REF!</definedName>
    <definedName name="elecextra">#REF!</definedName>
    <definedName name="elecrev06" localSheetId="41">#REF!</definedName>
    <definedName name="elecrev06">#REF!</definedName>
    <definedName name="elecrev07" localSheetId="41">#REF!</definedName>
    <definedName name="elecrev07">#REF!</definedName>
    <definedName name="elecrev08" localSheetId="41">#REF!</definedName>
    <definedName name="elecrev08">#REF!</definedName>
    <definedName name="elecrev09" localSheetId="41">#REF!</definedName>
    <definedName name="elecrev09">#REF!</definedName>
    <definedName name="elecrev10" localSheetId="41">#REF!</definedName>
    <definedName name="elecrev10">#REF!</definedName>
    <definedName name="elecrev11" localSheetId="41">#REF!</definedName>
    <definedName name="elecrev11">#REF!</definedName>
    <definedName name="elecrev12" localSheetId="41">#REF!</definedName>
    <definedName name="elecrev12">#REF!</definedName>
    <definedName name="elecrev13" localSheetId="41">#REF!</definedName>
    <definedName name="elecrev13">#REF!</definedName>
    <definedName name="elecrev14" localSheetId="41">#REF!</definedName>
    <definedName name="elecrev14">#REF!</definedName>
    <definedName name="elecrev15" localSheetId="41">#REF!</definedName>
    <definedName name="elecrev15">#REF!</definedName>
    <definedName name="elecrev16" localSheetId="41">#REF!</definedName>
    <definedName name="elecrev16">#REF!</definedName>
    <definedName name="elecrev17" localSheetId="41">#REF!</definedName>
    <definedName name="elecrev17">#REF!</definedName>
    <definedName name="elecrev18" localSheetId="41">#REF!</definedName>
    <definedName name="elecrev18">#REF!</definedName>
    <definedName name="elecrev19" localSheetId="41">#REF!</definedName>
    <definedName name="elecrev19">#REF!</definedName>
    <definedName name="elecrev20" localSheetId="41">#REF!</definedName>
    <definedName name="elecrev20">#REF!</definedName>
    <definedName name="elecrev21" localSheetId="41">#REF!</definedName>
    <definedName name="elecrev21">#REF!</definedName>
    <definedName name="ENG_BI_CORE_LOCATION">"C:\Program Files (x86)\Sage Evolution\BIC\"</definedName>
    <definedName name="ENG_BI_EXE_FULL_PATH">"C:\Program Files (x86)\Sage Evolution\BIC\BICORE.EXE"</definedName>
    <definedName name="ENG_BI_EXE_NAME" hidden="1">"BICORE.EXE"</definedName>
    <definedName name="ENG_BI_EXEC_CMD_ARGS" hidden="1">"03304607807810712209810611910111403704607003604507812808407808506607809309606808406807306607711611309711310309811710810511411003208511810009711703307812211010910410512110610810912112212612706807008908908907606205313412409611711410912309712511006807008"</definedName>
    <definedName name="ENG_BI_EXEC_CMD_ARGS_10" hidden="1">"07606910410011212111012012007011411709811010810609811309305009606510810811112111511707710511810511309304106706303205812612410011212110310811410808210511711208110111610806606706709907011812006707407207710512109707710611610113012409611611710211310510809"</definedName>
    <definedName name="ENG_BI_EXEC_CMD_ARGS_11" hidden="1">"21161011231160620540531291280951211260981121101000661041091091151051241231150971251121150891111151130761141081011141201021010650841181221011341300961121260991091100990861061031141241161051191021010711111131170971191280790971181020620821071081021091071"</definedName>
    <definedName name="ENG_BI_EXEC_CMD_ARGS_12" hidden="1">"06116108110111106036076115104097117039078117119106100110112101113105125130125127100113118102108109104080123118101117108117087106114119110111119070049052051050047053046052053049134130096112126099109110099086106112120123116081102111098107101118087101112"</definedName>
    <definedName name="ENG_BI_EXEC_CMD_ARGS_13" hidden="1">"11211611611011510210506108811911711013412309911711809911210510308407607408707809711909810410611408011009911011911510510506207110110811910612513210211311710710910610407110511510511009110110711011611710511410510506109312111810113412409611711710211310510"</definedName>
    <definedName name="ENG_BI_EXEC_CMD_ARGS_14" hidden="1">"80821101191210981091120801011211040700740590920891151121081141011140320791141081051200330411240560580460920921041041010410701191161081211211051201190920700780680931291230991171171071151060990781191121131171201101111190810971141051091020650490590600540"</definedName>
    <definedName name="ENG_BI_EXEC_CMD_ARGS_15" hidden="1">"65058057125132096113122098112110099077120119114113112098104067115114109126117106116130086083081061108121116121124058051052120120123046119102103110112111116110109109110103105115099110055099115114048115105112115119116100102096093126117106113105120126047"</definedName>
    <definedName name="ENG_BI_EXEC_CMD_ARGS_16" hidden="1">"12410610310509609609609710112211610812612310611111904812612809511612209811711409908311510910611410107411611412611608608208506210512111611606304705612109711912110210905009911505112210605408109712411710211309109910009309212010212012409811510509109910009"</definedName>
    <definedName name="ENG_BI_EXEC_CMD_ARGS_17" hidden="1">"30741061001111261111171021101201200911041040930741161151181130470771151001101270470971241131261280951161220981171140990911060991161091161050771111181080860820850621051211161161200580560561191231240471161011031051101101251081091081141041021150991050510"</definedName>
    <definedName name="ENG_BI_EXEC_CMD_ARGS_18" hidden="1">"99120118047119116109118120105115115115056122098103110092096100093105123111117126116109116111048129123099117117107115106099074100098105101113126085091085061108121117113062047051124119128053116097112102106115116105113108114112101114104102098103097104106"</definedName>
    <definedName name="ENG_BI_EXEC_CMD_ARGS_19" hidden="1">"10913005310011111804811611010311411010213011311409912009810410504711611911111510810011612405104811310110111911011411910311912111211510512512710011212610510910510807611111611911210610011210709711910608608308006110812111612106504804711609904712009710710"</definedName>
    <definedName name="ENG_BI_EXEC_CMD_ARGS_2" hidden="1">"80700830900690860661021141170981101081020511301230991171141141270971201060690670710650880700760880780621090920680800700320811121041061180981011211051061141050360811111081041090320861181111100991091170971171141161251301240961161141091230971251080690660"</definedName>
    <definedName name="ENG_BI_EXEC_CMD_ARGS_20" hidden="1">"6105119125101112113106104105110103106046108118110047134124080087068073087069077089065086070078084065049129"</definedName>
    <definedName name="ENG_BI_EXEC_CMD_ARGS_21" hidden="1">"08101119106102046108112110052125127084082077078082073073081066086065081088061058132"</definedName>
    <definedName name="ENG_BI_EXEC_CMD_ARGS_3" hidden="1">"94084070087061119102125132104112118110119098120101072071080074090084087088083069066083071087065086067049058057060051053054063055049057066050055059060050061052063054053066068050056058060058059059053062056068057049057068051051054059061059059058064049063"</definedName>
    <definedName name="ENG_BI_EXEC_CMD_ARGS_4" hidden="1">"06205506005305305806405006005606005006105506005505105406404905706605905405705106005305305506405506406605105206106005006005512912809512112609811211010007706907807507207907707606210111912612410011211811011810612510106909008508009906708308307810409007008"</definedName>
    <definedName name="ENG_BI_EXEC_CMD_ARGS_5" hidden="1">"20950700830661021091150971191081010541301240961161141091230971251080660850930800960720790820830950760740840690810800720651090870720790740390781071130981101030971201091051191140320801161000981120320811221101141061061121061091061211211291280951211231051"</definedName>
    <definedName name="ENG_BI_EXEC_CMD_ARGS_6" hidden="1">"22102117102069085088084095076086079078104086084074082065120097134132095116119106119101116105070085093086096067088079079100080069088083096088082072066068098113101112120097073056051051134124096117114109123097125110065089089080096071079082083095076086078"</definedName>
    <definedName name="ENG_BI_EXEC_CMD_ARGS_7" hidden="1">"07708807909608806908609106909107010210911509811110310105413012310411911510512709811710606508908907910407607908208309606808307708108407810407506608407406706608806906507411812011711712011011211107111111311411111913212409512111510612309712010606509409307"</definedName>
    <definedName name="ENG_BI_EXEC_CMD_ARGS_8" hidden="1">"90990720800790820950710840770860860790950940840700870780690820690701240971291280961131181051221021161100720860840880960680840780821000670880860770830830960810690830870920790910750620671061101021131151010690490590601251271001131181021081091040690950860"</definedName>
    <definedName name="ENG_BI_EXEC_CMD_ARGS_9" hidden="1">"67082074079068077073072066091104104093053130124096116114109123097125108083079096078066088075070087073077080069065128083080091077069088075067098070110125106117110101119098046100078110120110117106105115099110066123104111099113074069098125095100098127080"</definedName>
    <definedName name="ENG_BI_GEN_LIC" hidden="1">"15"</definedName>
    <definedName name="ENG_BI_GEN_LIC_WS" hidden="1">"True"</definedName>
    <definedName name="ENG_BI_LANG_CODE" hidden="1">"en"</definedName>
    <definedName name="ENG_BI_LBI" hidden="1">"DRLFOVJJA0"</definedName>
    <definedName name="ENG_BI_REPOS_FILE" hidden="1">"C:\EvoBICMetaData\alchemex.svd"</definedName>
    <definedName name="ENG_BI_REPOS_PATH" hidden="1">"C:\EvoBICMetaData"</definedName>
    <definedName name="ENG_BI_TLA" hidden="1">"65;144;183;186;45;228;115;169;36;87;258;251;49;18;185;203;200;165;47;55;39;202;109;230;137;265;95;270;84;199;219;86"</definedName>
    <definedName name="ENG_BI_TLA2" hidden="1">"70;96;245;43;97;24;62;85;145;160;28;226;228;182;228;172;57;72;122;248;16;181;163;119;5;199;177;59;225;218;199;1"</definedName>
    <definedName name="EOYcapex" localSheetId="41">#REF!</definedName>
    <definedName name="EOYcapex">#REF!</definedName>
    <definedName name="eskom07" localSheetId="40">#REF!</definedName>
    <definedName name="eskom07" localSheetId="41">#REF!</definedName>
    <definedName name="eskom07">#REF!</definedName>
    <definedName name="FinYear" localSheetId="2">Instructions!$X$38</definedName>
    <definedName name="FinYear" localSheetId="5">[2]Instructions!$X$36</definedName>
    <definedName name="FinYear">[1]Instructions!$X$36</definedName>
    <definedName name="finyears" localSheetId="40">#REF!</definedName>
    <definedName name="finyears" localSheetId="41">#REF!</definedName>
    <definedName name="finyears">#REF!</definedName>
    <definedName name="GrantNatCapex" localSheetId="5">'[2]Lookup and lists'!$AB$2:$AB$9</definedName>
    <definedName name="GrantNatCapex">'[1]Lookup and lists'!$AB$2:$AB$6</definedName>
    <definedName name="GrantNatOpex" localSheetId="5">'[2]Lookup and lists'!$Z$2:$Z$13</definedName>
    <definedName name="GrantNatOpex">'[1]Lookup and lists'!$Z$2:$Z$8</definedName>
    <definedName name="GrantProvOpex" localSheetId="5">'[2]Lookup and lists'!$AA$2:$AA$6</definedName>
    <definedName name="GrantProvOpex">'[1]Lookup and lists'!$AA$2:$AA$6</definedName>
    <definedName name="Head1" localSheetId="6">'[1]Template names'!$B$2</definedName>
    <definedName name="Head1" localSheetId="5">'[2]Template names'!$B$2</definedName>
    <definedName name="Head1">'Template names'!$B$2</definedName>
    <definedName name="Head10" localSheetId="6">'[1]Template names'!$B$16</definedName>
    <definedName name="Head10" localSheetId="5">'[2]Template names'!$B$16</definedName>
    <definedName name="Head10">'Template names'!$B$17</definedName>
    <definedName name="Head11" localSheetId="6">'[1]Template names'!$B$17</definedName>
    <definedName name="Head11" localSheetId="5">'[2]Template names'!$B$17</definedName>
    <definedName name="Head11">'Template names'!$B$18</definedName>
    <definedName name="Head12" localSheetId="5">'[2]Template names'!$B$18</definedName>
    <definedName name="Head12">'[1]Template names'!$B$18</definedName>
    <definedName name="Head13" localSheetId="5">'[2]Template names'!$B$19</definedName>
    <definedName name="Head13">'[1]Template names'!$B$19</definedName>
    <definedName name="Head14" localSheetId="5">'[2]Template names'!$B$20</definedName>
    <definedName name="Head14">'[1]Template names'!$B$20</definedName>
    <definedName name="Head15" localSheetId="5">'[2]Template names'!$B$21</definedName>
    <definedName name="Head15">'[1]Template names'!$B$21</definedName>
    <definedName name="Head16" localSheetId="5">'[2]Template names'!$B$22</definedName>
    <definedName name="Head16">'[1]Template names'!$B$22</definedName>
    <definedName name="Head17" localSheetId="5">'[2]Template names'!$B$23</definedName>
    <definedName name="Head17">'[1]Template names'!$B$23</definedName>
    <definedName name="Head18" localSheetId="5">'[2]Template names'!$B$24</definedName>
    <definedName name="Head18">'[1]Template names'!$B$24</definedName>
    <definedName name="Head19" localSheetId="5">'[2]Template names'!$B$25</definedName>
    <definedName name="Head19">'[1]Template names'!$B$25</definedName>
    <definedName name="head1A" localSheetId="6">'[1]Template names'!$B$3</definedName>
    <definedName name="head1A" localSheetId="5">'[2]Template names'!$B$3</definedName>
    <definedName name="Head1A">'Template names'!$B$3</definedName>
    <definedName name="head1b" localSheetId="6">'[1]Template names'!$B$4</definedName>
    <definedName name="head1b" localSheetId="5">'[2]Template names'!$B$4</definedName>
    <definedName name="Head1B">'Template names'!$B$4</definedName>
    <definedName name="Head2" localSheetId="6">'[1]Template names'!$B$5</definedName>
    <definedName name="Head2" localSheetId="5">'[2]Template names'!$B$5</definedName>
    <definedName name="Head2">'Template names'!$B$5</definedName>
    <definedName name="Head20" localSheetId="5">'[2]Template names'!$B$26</definedName>
    <definedName name="Head20">'[1]Template names'!$B$26</definedName>
    <definedName name="Head21" localSheetId="5">'[2]Template names'!$B$27</definedName>
    <definedName name="Head21">'[1]Template names'!$B$27</definedName>
    <definedName name="Head22" localSheetId="5">'[2]Template names'!$B$28</definedName>
    <definedName name="Head22">'[1]Template names'!$B$28</definedName>
    <definedName name="Head23" localSheetId="5">'[2]Template names'!$B$29</definedName>
    <definedName name="Head23">'[1]Template names'!$B$29</definedName>
    <definedName name="Head24">'Template names'!$B$19</definedName>
    <definedName name="head27" localSheetId="6">'[1]Template names'!$B$33</definedName>
    <definedName name="head27" localSheetId="5">'[2]Template names'!$B$33</definedName>
    <definedName name="head27">'Template names'!$B$21</definedName>
    <definedName name="head27a" localSheetId="6">'[1]Template names'!$B$34</definedName>
    <definedName name="head27a" localSheetId="5">'[2]Template names'!$B$34</definedName>
    <definedName name="head27a">'Template names'!$B$22</definedName>
    <definedName name="Head29">'Template names'!$B$24</definedName>
    <definedName name="Head2A">'Template names'!$B$6</definedName>
    <definedName name="Head2B" localSheetId="40">'[4]Template names'!#REF!</definedName>
    <definedName name="Head2B" localSheetId="41">'[4]Template names'!#REF!</definedName>
    <definedName name="Head2B">'[4]Template names'!#REF!</definedName>
    <definedName name="Head3" localSheetId="6">'[1]Template names'!$B$7</definedName>
    <definedName name="Head3" localSheetId="5">'[2]Template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6">'[1]Template names'!$B$8</definedName>
    <definedName name="Head4" localSheetId="5">'[2]Template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6">'[1]Template names'!$B$51</definedName>
    <definedName name="Head44" localSheetId="5">'[2]Template names'!$B$51</definedName>
    <definedName name="Head44">'Template names'!$B$39</definedName>
    <definedName name="Head45" localSheetId="6">'[1]Template names'!$B$52</definedName>
    <definedName name="Head45" localSheetId="5">'[2]Template names'!$B$52</definedName>
    <definedName name="Head45">'Template names'!$B$40</definedName>
    <definedName name="head46">'Template names'!$B$41</definedName>
    <definedName name="Head47" localSheetId="6">'[1]Template names'!$B$54</definedName>
    <definedName name="Head47" localSheetId="5">'[2]Template names'!$B$54</definedName>
    <definedName name="Head47">'Template names'!$B$42</definedName>
    <definedName name="Head48" localSheetId="6">'[1]Template names'!$B$55</definedName>
    <definedName name="Head48" localSheetId="5">'[2]Template names'!$B$55</definedName>
    <definedName name="Head48">'Template names'!$B$43</definedName>
    <definedName name="Head49">'Template names'!$B$44</definedName>
    <definedName name="Head5" localSheetId="6">'[1]Template names'!$B$9</definedName>
    <definedName name="Head5" localSheetId="5">'[2]Template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6">'[1]Template names'!$B$10</definedName>
    <definedName name="Head5A" localSheetId="5">'[2]Template names'!$B$10</definedName>
    <definedName name="Head5A">'Template names'!$B$11</definedName>
    <definedName name="Head5b" localSheetId="6">'[1]Template names'!$B$11</definedName>
    <definedName name="Head5b" localSheetId="5">'[2]Template names'!$B$11</definedName>
    <definedName name="Head5b">'Template names'!$B$12</definedName>
    <definedName name="Head6" localSheetId="6">'[1]Template names'!$B$12</definedName>
    <definedName name="Head6" localSheetId="5">'[2]Template names'!$B$12</definedName>
    <definedName name="Head6">'Template names'!$B$13</definedName>
    <definedName name="Head7" localSheetId="6">'[1]Template names'!$B$13</definedName>
    <definedName name="Head7" localSheetId="5">'[2]Template names'!$B$13</definedName>
    <definedName name="Head7">'Template names'!$B$14</definedName>
    <definedName name="Head8" localSheetId="6">'[1]Template names'!$B$14</definedName>
    <definedName name="Head8" localSheetId="5">'[2]Template names'!$B$14</definedName>
    <definedName name="Head8">'Template names'!$B$15</definedName>
    <definedName name="Head9" localSheetId="6">'[1]Template names'!$B$15</definedName>
    <definedName name="Head9" localSheetId="5">'[2]Template names'!$B$15</definedName>
    <definedName name="Head9">'Template names'!$B$16</definedName>
    <definedName name="Headings" localSheetId="6">'[1]Lookup and lists'!$A$1:$O$24</definedName>
    <definedName name="Headings" localSheetId="5">'[2]Lookup and lists'!$A$1:$O$24</definedName>
    <definedName name="Headings">'Lookup and lists'!$B$1:$O$10</definedName>
    <definedName name="hhgr05" localSheetId="40">#REF!</definedName>
    <definedName name="hhgr05" localSheetId="41">#REF!</definedName>
    <definedName name="hhgr05">#REF!</definedName>
    <definedName name="hhgr06" localSheetId="41">#REF!</definedName>
    <definedName name="hhgr06">#REF!</definedName>
    <definedName name="hhgr07" localSheetId="41">#REF!</definedName>
    <definedName name="hhgr07">#REF!</definedName>
    <definedName name="hhgr08" localSheetId="41">#REF!</definedName>
    <definedName name="hhgr08">#REF!</definedName>
    <definedName name="hhgr09" localSheetId="41">#REF!</definedName>
    <definedName name="hhgr09">#REF!</definedName>
    <definedName name="hhgr10" localSheetId="41">#REF!</definedName>
    <definedName name="hhgr10">#REF!</definedName>
    <definedName name="hhgr11" localSheetId="41">#REF!</definedName>
    <definedName name="hhgr11">#REF!</definedName>
    <definedName name="hhgr12" localSheetId="41">#REF!</definedName>
    <definedName name="hhgr12">#REF!</definedName>
    <definedName name="hhgr13" localSheetId="41">#REF!</definedName>
    <definedName name="hhgr13">#REF!</definedName>
    <definedName name="hhgr14" localSheetId="41">#REF!</definedName>
    <definedName name="hhgr14">#REF!</definedName>
    <definedName name="hhgr15" localSheetId="41">#REF!</definedName>
    <definedName name="hhgr15">#REF!</definedName>
    <definedName name="hhgr16" localSheetId="41">#REF!</definedName>
    <definedName name="hhgr16">#REF!</definedName>
    <definedName name="hhgr17" localSheetId="41">#REF!</definedName>
    <definedName name="hhgr17">#REF!</definedName>
    <definedName name="hhgr18" localSheetId="41">#REF!</definedName>
    <definedName name="hhgr18">#REF!</definedName>
    <definedName name="hhgr19" localSheetId="41">#REF!</definedName>
    <definedName name="hhgr19">#REF!</definedName>
    <definedName name="hhgr20" localSheetId="41">#REF!</definedName>
    <definedName name="hhgr20">#REF!</definedName>
    <definedName name="hhgr21" localSheetId="41">#REF!</definedName>
    <definedName name="hhgr21">#REF!</definedName>
    <definedName name="incentive" localSheetId="40">#REF!</definedName>
    <definedName name="incentive" localSheetId="41">#REF!</definedName>
    <definedName name="incentive">#REF!</definedName>
    <definedName name="INFO_BI_EXE_NAME" hidden="1">"BICORE.EXE"</definedName>
    <definedName name="INFO_EXE_SERVER_PATH" hidden="1">"C:\Program Files (x86)\Sage Evolution\BIC\BICORE.EXE"</definedName>
    <definedName name="INFO_INSTANCE_ID" hidden="1">"0"</definedName>
    <definedName name="INFO_INSTANCE_NAME" hidden="1">"NT B_SCHEDULE V_6.9.2_20210305_11_02_49_022.xls"</definedName>
    <definedName name="INFO_REPORT_CODE" hidden="1">""</definedName>
    <definedName name="INFO_REPORT_ID" hidden="1">"1"</definedName>
    <definedName name="INFO_REPORT_NAME" hidden="1">"NT B_SCHEDULE V_6.9.2"</definedName>
    <definedName name="INFO_RUN_USER" hidden="1">""</definedName>
    <definedName name="INFO_RUN_WORKSTATION" hidden="1">"ZONDOT"</definedName>
    <definedName name="infra" localSheetId="41">#REF!</definedName>
    <definedName name="infra">#REF!</definedName>
    <definedName name="Infrarenewal" localSheetId="41">#REF!</definedName>
    <definedName name="Infrarenewal">#REF!</definedName>
    <definedName name="infrastratnum" localSheetId="41">#REF!</definedName>
    <definedName name="infrastratnum">#REF!</definedName>
    <definedName name="Instructions" localSheetId="2">#REF!</definedName>
    <definedName name="Instructions" localSheetId="41">#REF!</definedName>
    <definedName name="Instructions">#REF!</definedName>
    <definedName name="inventory" localSheetId="40">#REF!</definedName>
    <definedName name="inventory" localSheetId="41">#REF!</definedName>
    <definedName name="inventory">#REF!</definedName>
    <definedName name="IUDF">'Lookup and lists'!$U$17:$U$20</definedName>
    <definedName name="List1" localSheetId="5">'[2]Lookup and lists'!$Q$2:$Q$4</definedName>
    <definedName name="List1">'[1]Lookup and lists'!$Q$2:$Q$4</definedName>
    <definedName name="List2" localSheetId="5">'[2]Lookup and lists'!$R$2:$R$8</definedName>
    <definedName name="List2">'[1]Lookup and lists'!$R$2:$R$8</definedName>
    <definedName name="List3" localSheetId="5">'[2]Lookup and lists'!$S$2:$S$7</definedName>
    <definedName name="List3">'[1]Lookup and lists'!$S$2:$S$7</definedName>
    <definedName name="List4" localSheetId="5">'[2]Lookup and lists'!$T$2:$T$4</definedName>
    <definedName name="List4">'[1]Lookup and lists'!$T$2:$T$4</definedName>
    <definedName name="List5" localSheetId="5">'[2]Lookup and lists'!$U$2:$U$4</definedName>
    <definedName name="List5">'[1]Lookup and lists'!$U$2:$U$4</definedName>
    <definedName name="List6" localSheetId="5">'[2]Lookup and lists'!$V$2:$V$3</definedName>
    <definedName name="List6">'[1]Lookup and lists'!$V$2:$V$3</definedName>
    <definedName name="List7" localSheetId="5">'[2]Lookup and lists'!$W$2:$W$3</definedName>
    <definedName name="List7">'[1]Lookup and lists'!$W$2:$W$3</definedName>
    <definedName name="List8" localSheetId="5">'[2]Lookup and lists'!$X$2:$X$3</definedName>
    <definedName name="List8">'[1]Lookup and lists'!$X$2:$X$3</definedName>
    <definedName name="longterm" localSheetId="40">#REF!</definedName>
    <definedName name="longterm" localSheetId="41">#REF!</definedName>
    <definedName name="longterm">#REF!</definedName>
    <definedName name="MainVote">Sheet1!$BO:$BQ</definedName>
    <definedName name="MEAB1" localSheetId="6">'[1]Template names'!#REF!</definedName>
    <definedName name="MEAB1" localSheetId="5">'[2]Template names'!#REF!</definedName>
    <definedName name="MEAB1" localSheetId="40">'Template names'!#REF!</definedName>
    <definedName name="MEAB1" localSheetId="41">'Template names'!#REF!</definedName>
    <definedName name="MEAB1">'Template names'!#REF!</definedName>
    <definedName name="MEAB10" localSheetId="6">'[1]Template names'!#REF!</definedName>
    <definedName name="MEAB10" localSheetId="5">'[2]Template names'!#REF!</definedName>
    <definedName name="MEAB10" localSheetId="40">'Template names'!#REF!</definedName>
    <definedName name="MEAB10" localSheetId="41">'Template names'!#REF!</definedName>
    <definedName name="MEAB10">'Template names'!#REF!</definedName>
    <definedName name="MEAB11" localSheetId="6">'[1]Template names'!#REF!</definedName>
    <definedName name="MEAB11" localSheetId="5">'[2]Template names'!#REF!</definedName>
    <definedName name="MEAB11" localSheetId="40">'Template names'!#REF!</definedName>
    <definedName name="MEAB11" localSheetId="41">'Template names'!#REF!</definedName>
    <definedName name="MEAB11">'Template names'!#REF!</definedName>
    <definedName name="MEAB2" localSheetId="6">'[1]Template names'!#REF!</definedName>
    <definedName name="MEAB2" localSheetId="5">'[2]Template names'!#REF!</definedName>
    <definedName name="MEAB2" localSheetId="40">'Template names'!#REF!</definedName>
    <definedName name="MEAB2" localSheetId="41">'Template names'!#REF!</definedName>
    <definedName name="MEAB2">'Template names'!#REF!</definedName>
    <definedName name="MEAB3" localSheetId="6">'[1]Template names'!#REF!</definedName>
    <definedName name="MEAB3" localSheetId="5">'[2]Template names'!#REF!</definedName>
    <definedName name="MEAB3" localSheetId="40">'Template names'!#REF!</definedName>
    <definedName name="MEAB3" localSheetId="41">'Template names'!#REF!</definedName>
    <definedName name="MEAB3">'Template names'!#REF!</definedName>
    <definedName name="MEAB4" localSheetId="6">'[1]Template names'!#REF!</definedName>
    <definedName name="MEAB4" localSheetId="5">'[2]Template names'!#REF!</definedName>
    <definedName name="MEAB4" localSheetId="40">'Template names'!#REF!</definedName>
    <definedName name="MEAB4" localSheetId="41">'Template names'!#REF!</definedName>
    <definedName name="MEAB4">'Template names'!#REF!</definedName>
    <definedName name="MEAB5" localSheetId="6">'[1]Template names'!#REF!</definedName>
    <definedName name="MEAB5" localSheetId="5">'[2]Template names'!#REF!</definedName>
    <definedName name="MEAB5" localSheetId="40">'Template names'!#REF!</definedName>
    <definedName name="MEAB5" localSheetId="41">'Template names'!#REF!</definedName>
    <definedName name="MEAB5">'Template names'!#REF!</definedName>
    <definedName name="MEAB6" localSheetId="6">'[1]Template names'!#REF!</definedName>
    <definedName name="MEAB6" localSheetId="5">'[2]Template names'!#REF!</definedName>
    <definedName name="MEAB6" localSheetId="40">'Template names'!#REF!</definedName>
    <definedName name="MEAB6" localSheetId="41">'Template names'!#REF!</definedName>
    <definedName name="MEAB6">'Template names'!#REF!</definedName>
    <definedName name="MEAB7" localSheetId="6">'[1]Template names'!#REF!</definedName>
    <definedName name="MEAB7" localSheetId="5">'[2]Template names'!#REF!</definedName>
    <definedName name="MEAB7" localSheetId="40">'Template names'!#REF!</definedName>
    <definedName name="MEAB7" localSheetId="41">'Template names'!#REF!</definedName>
    <definedName name="MEAB7">'Template names'!#REF!</definedName>
    <definedName name="MEAB8" localSheetId="6">'[1]Template names'!#REF!</definedName>
    <definedName name="MEAB8" localSheetId="5">'[2]Template names'!#REF!</definedName>
    <definedName name="MEAB8" localSheetId="40">'Template names'!#REF!</definedName>
    <definedName name="MEAB8" localSheetId="41">'Template names'!#REF!</definedName>
    <definedName name="MEAB8">'Template names'!#REF!</definedName>
    <definedName name="MEAB9" localSheetId="6">'[1]Template names'!#REF!</definedName>
    <definedName name="MEAB9" localSheetId="5">'[2]Template names'!#REF!</definedName>
    <definedName name="MEAB9" localSheetId="40">'Template names'!#REF!</definedName>
    <definedName name="MEAB9" localSheetId="41">'Template names'!#REF!</definedName>
    <definedName name="MEAB9">'Template names'!#REF!</definedName>
    <definedName name="MEABsum" localSheetId="6">'[1]Template names'!#REF!</definedName>
    <definedName name="MEABsum" localSheetId="5">'[2]Template names'!#REF!</definedName>
    <definedName name="MEABsum" localSheetId="40">'Template names'!#REF!</definedName>
    <definedName name="MEABsum" localSheetId="41">'Template names'!#REF!</definedName>
    <definedName name="MEABsum">'Template names'!#REF!</definedName>
    <definedName name="MEB1A" localSheetId="6">'[1]Template names'!#REF!</definedName>
    <definedName name="MEB1A" localSheetId="5">'[2]Template names'!#REF!</definedName>
    <definedName name="MEB1A" localSheetId="40">'Template names'!#REF!</definedName>
    <definedName name="MEB1A" localSheetId="41">'Template names'!#REF!</definedName>
    <definedName name="MEB1A">'Template names'!#REF!</definedName>
    <definedName name="MEBsum" localSheetId="6">'[1]Template names'!#REF!</definedName>
    <definedName name="MEBsum" localSheetId="5">'[2]Template names'!#REF!</definedName>
    <definedName name="MEBsum" localSheetId="40">'Template names'!#REF!</definedName>
    <definedName name="MEBsum" localSheetId="41">'Template names'!#REF!</definedName>
    <definedName name="MEBsum">'Template names'!#REF!</definedName>
    <definedName name="MERsum" localSheetId="6">'[1]Template names'!#REF!</definedName>
    <definedName name="MERsum" localSheetId="5">'[2]Template names'!#REF!</definedName>
    <definedName name="MERsum" localSheetId="40">'Template names'!#REF!</definedName>
    <definedName name="MERsum" localSheetId="41">'Template names'!#REF!</definedName>
    <definedName name="MERsum">'Template names'!#REF!</definedName>
    <definedName name="month">[5]Data!$B$1</definedName>
    <definedName name="MTREF" localSheetId="6">[1]Instructions!$X$34</definedName>
    <definedName name="MTREF" localSheetId="2">Instructions!$X$36</definedName>
    <definedName name="MTREF" localSheetId="5">[2]Instructions!$X$34</definedName>
    <definedName name="MTREF">Instructions!$X$36</definedName>
    <definedName name="MTSF">'Lookup and lists'!$V$17:$V$30</definedName>
    <definedName name="muni" localSheetId="6">'[1]Template names'!$B$93</definedName>
    <definedName name="muni" localSheetId="5">'[2]Template names'!$B$93</definedName>
    <definedName name="muni">'Template names'!$B$63</definedName>
    <definedName name="MuniEntities" localSheetId="6">'[1]Template names'!$B$94</definedName>
    <definedName name="MuniEntities" localSheetId="5">'[2]Template names'!$B$94</definedName>
    <definedName name="MuniEntities">'Template names'!$B$64</definedName>
    <definedName name="MuniType" localSheetId="6">'[1]Template names'!$D$94</definedName>
    <definedName name="MuniType" localSheetId="5">'[2]Template names'!$D$94</definedName>
    <definedName name="MuniType">'Template names'!$D$64</definedName>
    <definedName name="NatCapexGrantNames" localSheetId="4">'Lookup and lists'!$T$2:$T$9</definedName>
    <definedName name="NatCapexGrantNames">'Lookup and lists'!$T$2:$T$9</definedName>
    <definedName name="NatOpexGrantNames" localSheetId="4">'Lookup and lists'!$R$2:$R$13</definedName>
    <definedName name="NatOpexGrantNames">'Lookup and lists'!$R$2:$R$13</definedName>
    <definedName name="nersa07" localSheetId="40">#REF!</definedName>
    <definedName name="nersa07" localSheetId="41">#REF!</definedName>
    <definedName name="nersa07">#REF!</definedName>
    <definedName name="nersa08" localSheetId="40">#REF!</definedName>
    <definedName name="nersa08" localSheetId="41">#REF!</definedName>
    <definedName name="nersa08">#REF!</definedName>
    <definedName name="nethhgr05" localSheetId="40">#REF!</definedName>
    <definedName name="nethhgr05" localSheetId="41">#REF!</definedName>
    <definedName name="nethhgr05">#REF!</definedName>
    <definedName name="nethhgr06" localSheetId="41">#REF!</definedName>
    <definedName name="nethhgr06">#REF!</definedName>
    <definedName name="nethhgr07" localSheetId="41">#REF!</definedName>
    <definedName name="nethhgr07">#REF!</definedName>
    <definedName name="nethhgr08" localSheetId="41">#REF!</definedName>
    <definedName name="nethhgr08">#REF!</definedName>
    <definedName name="nethhgr09" localSheetId="41">#REF!</definedName>
    <definedName name="nethhgr09">#REF!</definedName>
    <definedName name="nethhgr10" localSheetId="41">#REF!</definedName>
    <definedName name="nethhgr10">#REF!</definedName>
    <definedName name="nethhgr11" localSheetId="41">#REF!</definedName>
    <definedName name="nethhgr11">#REF!</definedName>
    <definedName name="nethhgr12" localSheetId="41">#REF!</definedName>
    <definedName name="nethhgr12">#REF!</definedName>
    <definedName name="nethhgr13" localSheetId="41">#REF!</definedName>
    <definedName name="nethhgr13">#REF!</definedName>
    <definedName name="nethhgr14" localSheetId="41">#REF!</definedName>
    <definedName name="nethhgr14">#REF!</definedName>
    <definedName name="nethhgr15" localSheetId="41">#REF!</definedName>
    <definedName name="nethhgr15">#REF!</definedName>
    <definedName name="nethhgr16" localSheetId="41">#REF!</definedName>
    <definedName name="nethhgr16">#REF!</definedName>
    <definedName name="nethhgr17" localSheetId="41">#REF!</definedName>
    <definedName name="nethhgr17">#REF!</definedName>
    <definedName name="nethhgr18" localSheetId="41">#REF!</definedName>
    <definedName name="nethhgr18">#REF!</definedName>
    <definedName name="nethhgr19" localSheetId="41">#REF!</definedName>
    <definedName name="nethhgr19">#REF!</definedName>
    <definedName name="nethhgr20" localSheetId="41">#REF!</definedName>
    <definedName name="nethhgr20">#REF!</definedName>
    <definedName name="nethhgr21" localSheetId="41">#REF!</definedName>
    <definedName name="nethhgr21">#REF!</definedName>
    <definedName name="ninety" localSheetId="41">#REF!</definedName>
    <definedName name="ninety">#REF!</definedName>
    <definedName name="Note20">[6]Names!$B$89</definedName>
    <definedName name="Orgstructurevotes" localSheetId="5">'Org structure'!$C$2</definedName>
    <definedName name="OrgStructureVotes" localSheetId="41">#REF!</definedName>
    <definedName name="OrgStructureVotes">#REF!</definedName>
    <definedName name="poorgr06" localSheetId="41">#REF!</definedName>
    <definedName name="poorgr06">#REF!</definedName>
    <definedName name="_xlnm.Print_Area" localSheetId="19">'B10-SerDel'!$A$1:$M$96</definedName>
    <definedName name="_xlnm.Print_Area" localSheetId="7">'B1-Sum'!$A$1:$L$68</definedName>
    <definedName name="_xlnm.Print_Area" localSheetId="8" xml:space="preserve">   'B2-FinPerf SC'!$A$1:$M$64</definedName>
    <definedName name="_xlnm.Print_Area" localSheetId="11">'B3-FinPerf V'!$A$1:$M$163</definedName>
    <definedName name="_xlnm.Print_Area" localSheetId="12" xml:space="preserve">  'B4-FinPerf RE'!$A$1:$M$61</definedName>
    <definedName name="_xlnm.Print_Area" localSheetId="13">'B5-Capex'!$A$1:$M$89</definedName>
    <definedName name="_xlnm.Print_Area" localSheetId="15">'B6-FinPos'!$A$1:$M$62</definedName>
    <definedName name="_xlnm.Print_Area" localSheetId="16" xml:space="preserve">        'B7-CFlow'!$A$1:$M$53</definedName>
    <definedName name="_xlnm.Print_Area" localSheetId="17">'B8-ResRecon'!$A$1:$M$32</definedName>
    <definedName name="_xlnm.Print_Area" localSheetId="18">'B9-Asset'!$A$1:$M$224</definedName>
    <definedName name="_xlnm.Print_Area" localSheetId="6">Contacts!$A$1:$D$140</definedName>
    <definedName name="_xlnm.Print_Area" localSheetId="2">Instructions!$A$1:$M$47</definedName>
    <definedName name="_xlnm.Print_Area" localSheetId="20">'SB1'!$A$1:$M$195</definedName>
    <definedName name="_xlnm.Print_Area" localSheetId="29">'SB10'!$A$1:$M$44</definedName>
    <definedName name="_xlnm.Print_Area" localSheetId="30">'SB11'!$A$1:$L$120</definedName>
    <definedName name="_xlnm.Print_Area" localSheetId="31">'SB12'!$A$1:$R$43</definedName>
    <definedName name="_xlnm.Print_Area" localSheetId="32">'SB13'!$A$1:$R$53</definedName>
    <definedName name="_xlnm.Print_Area" localSheetId="33">'SB14'!$A$1:$R$44</definedName>
    <definedName name="_xlnm.Print_Area" localSheetId="34">'SB15'!$A$1:$R$56</definedName>
    <definedName name="_xlnm.Print_Area" localSheetId="35">'SB16'!$A$1:$R$43</definedName>
    <definedName name="_xlnm.Print_Area" localSheetId="36">'SB17'!$A$1:$Q$29</definedName>
    <definedName name="_xlnm.Print_Area" localSheetId="37">SB18a!$A$1:$M$180</definedName>
    <definedName name="_xlnm.Print_Area" localSheetId="21">'SB2'!$A$1:$M$82</definedName>
    <definedName name="_xlnm.Print_Area" localSheetId="43">'SB20'!$A$1:$M$55</definedName>
    <definedName name="_xlnm.Print_Area" localSheetId="22">'SB3'!$A$1:$M$75</definedName>
    <definedName name="_xlnm.Print_Area" localSheetId="23">'SB4'!$A$1:$J$41</definedName>
    <definedName name="_xlnm.Print_Area" localSheetId="24">'SB5'!$A$1:$K$304</definedName>
    <definedName name="_xlnm.Print_Area" localSheetId="25">'SB6'!$A$1:$K$33</definedName>
    <definedName name="_xlnm.Print_Area" localSheetId="26">'SB7'!$A$1:$K$62</definedName>
    <definedName name="_xlnm.Print_Area" localSheetId="28">'SB9'!$A$1:$K$65</definedName>
    <definedName name="_xlnm.Print_Titles" localSheetId="22">'SB3'!$2:$4</definedName>
    <definedName name="proptax07" localSheetId="41">#REF!</definedName>
    <definedName name="proptax07">#REF!</definedName>
    <definedName name="ProvCapexGrantNames" localSheetId="4">'Lookup and lists'!$U$2:$U$9</definedName>
    <definedName name="ProvCapexGrantNames">'Lookup and lists'!$U$2:$U$9</definedName>
    <definedName name="ProvOpexGrantNames" localSheetId="4">'Lookup and lists'!$S$2:$S$6</definedName>
    <definedName name="ProvOpexGrantNames">'Lookup and lists'!$S$2:$S$6</definedName>
    <definedName name="Rand000" localSheetId="40">#REF!</definedName>
    <definedName name="Rand000" localSheetId="41">#REF!</definedName>
    <definedName name="Rand000">#REF!</definedName>
    <definedName name="RandM">'Template names'!$B$61</definedName>
    <definedName name="RawData" localSheetId="0">Sheet1!$A$1:$CT$2084</definedName>
    <definedName name="RawDataCols" localSheetId="0">Sheet1!$A:$CT</definedName>
    <definedName name="REDHHGR06" localSheetId="40">#REF!</definedName>
    <definedName name="REDHHGR06" localSheetId="41">#REF!</definedName>
    <definedName name="REDHHGR06">#REF!</definedName>
    <definedName name="redhhgr07" localSheetId="40">#REF!</definedName>
    <definedName name="redhhgr07" localSheetId="41">#REF!</definedName>
    <definedName name="redhhgr07">#REF!</definedName>
    <definedName name="redrev06" localSheetId="40">#REF!</definedName>
    <definedName name="redrev06" localSheetId="41">#REF!</definedName>
    <definedName name="redrev06">#REF!</definedName>
    <definedName name="redrev07" localSheetId="40">#REF!</definedName>
    <definedName name="redrev07" localSheetId="41">#REF!</definedName>
    <definedName name="redrev07">#REF!</definedName>
    <definedName name="Reds" localSheetId="40">#REF!</definedName>
    <definedName name="Reds" localSheetId="41">#REF!</definedName>
    <definedName name="Reds">#REF!</definedName>
    <definedName name="renewyears" localSheetId="41">#REF!</definedName>
    <definedName name="renewyears">#REF!</definedName>
    <definedName name="Request0506" localSheetId="40">#REF!</definedName>
    <definedName name="Request0506" localSheetId="41">#REF!</definedName>
    <definedName name="Request0506">#REF!</definedName>
    <definedName name="resiprop" localSheetId="41">#REF!</definedName>
    <definedName name="resiprop">#REF!</definedName>
    <definedName name="result" localSheetId="6">'[1]Template names'!$B$35</definedName>
    <definedName name="result" localSheetId="5">'[2]Template names'!$B$35</definedName>
    <definedName name="result">'Template names'!$B$23</definedName>
    <definedName name="rmcRED06" localSheetId="2">#REF!</definedName>
    <definedName name="rmcRED06" localSheetId="40">#REF!</definedName>
    <definedName name="rmcRED06" localSheetId="41">#REF!</definedName>
    <definedName name="rmcRED06">#REF!</definedName>
    <definedName name="rmcred07" localSheetId="2">#REF!</definedName>
    <definedName name="rmcred07" localSheetId="40">#REF!</definedName>
    <definedName name="rmcred07" localSheetId="41">#REF!</definedName>
    <definedName name="rmcred07">#REF!</definedName>
    <definedName name="roundfactor" localSheetId="2">#REF!</definedName>
    <definedName name="roundfactor" localSheetId="40">#REF!</definedName>
    <definedName name="roundfactor" localSheetId="41">#REF!</definedName>
    <definedName name="roundfactor">#REF!</definedName>
    <definedName name="S71_A2Code" localSheetId="0">Sheet1!$L:$L</definedName>
    <definedName name="S71_A2Description" localSheetId="0">Sheet1!$M:$M</definedName>
    <definedName name="S71_A2SubCode" localSheetId="0">Sheet1!$N:$N</definedName>
    <definedName name="S71_A2SubDescription" localSheetId="0">Sheet1!$O:$O</definedName>
    <definedName name="S71_A4Code" localSheetId="0">Sheet1!$F:$F</definedName>
    <definedName name="S71_A4Description" localSheetId="0">Sheet1!$G:$G</definedName>
    <definedName name="S71_A4SubCode" localSheetId="0">Sheet1!$H:$H</definedName>
    <definedName name="S71_A4SubDescription" localSheetId="0">Sheet1!$I:$I</definedName>
    <definedName name="S71_A5CapexCode" localSheetId="0">Sheet1!$P:$P</definedName>
    <definedName name="S71_A5GCode" localSheetId="0">Sheet1!$Q:$Q</definedName>
    <definedName name="S71_A5GDescription" localSheetId="0">Sheet1!$R:$R</definedName>
    <definedName name="S71_A6Code" localSheetId="0">Sheet1!$U:$U</definedName>
    <definedName name="S71_A6Description" localSheetId="0">Sheet1!$V:$V</definedName>
    <definedName name="S71_A6SubCode" localSheetId="0">Sheet1!$W:$W</definedName>
    <definedName name="S71_A6SubDescription" localSheetId="0">Sheet1!$X:$X</definedName>
    <definedName name="S71_A7Code" localSheetId="0">Sheet1!$Y:$Y</definedName>
    <definedName name="S71_A7CodePayments" localSheetId="0">Sheet1!$AC:$AC</definedName>
    <definedName name="S71_A7Description" localSheetId="0">Sheet1!$Z:$Z</definedName>
    <definedName name="S71_A7DescriptionPayments" localSheetId="0">Sheet1!$AD:$AD</definedName>
    <definedName name="S71_A7SubCode" localSheetId="0">Sheet1!$AA:$AA</definedName>
    <definedName name="S71_A7SubCodePayments" localSheetId="0">Sheet1!$AE:$AE</definedName>
    <definedName name="S71_A7SubDescription" localSheetId="0">Sheet1!$AB:$AB</definedName>
    <definedName name="S71_A7SubDescriptionPayments" localSheetId="0">Sheet1!$AF:$AF</definedName>
    <definedName name="S71_A9Code" localSheetId="0">Sheet1!$AG:$AG</definedName>
    <definedName name="S71_A9Description" localSheetId="0">Sheet1!$AH:$AH</definedName>
    <definedName name="S71_A9SubCode" localSheetId="0">Sheet1!$AI:$AI</definedName>
    <definedName name="S71_A9SubDescription" localSheetId="0">Sheet1!$AJ:$AJ</definedName>
    <definedName name="S71_Account" localSheetId="0">Sheet1!$A:$A</definedName>
    <definedName name="S71_AccountExtAccount" localSheetId="0">Sheet1!$C:$C</definedName>
    <definedName name="S71_AccountExtensionID" localSheetId="0">Sheet1!$D:$D</definedName>
    <definedName name="S71_AccountLink" localSheetId="0">Sheet1!$B:$B</definedName>
    <definedName name="S71_AdjustedBudget" localSheetId="0">Sheet1!$BY:$BY</definedName>
    <definedName name="S71_AdjustmentAmount" localSheetId="0">Sheet1!$BX:$BX</definedName>
    <definedName name="S71_CFCode" localSheetId="0">Sheet1!$AQ:$AQ</definedName>
    <definedName name="S71_DepCode" localSheetId="0">Sheet1!$BI:$BI</definedName>
    <definedName name="S71_FxVoteDescription" localSheetId="0">Sheet1!$BR:$BR</definedName>
    <definedName name="S71_ItemSCOAAccount" localSheetId="0">Sheet1!$E:$E</definedName>
    <definedName name="S71_ItemType" localSheetId="0">Sheet1!$T:$T</definedName>
    <definedName name="S71_MasterVoteDescription" localSheetId="0">Sheet1!$BQ:$BQ</definedName>
    <definedName name="S71_MasterVoteMunicipal" localSheetId="0">Sheet1!$BO:$BO</definedName>
    <definedName name="S71_MonthlyOutcomeApr" localSheetId="0">Sheet1!$CK:$CK</definedName>
    <definedName name="S71_MonthlyOutcomeAug" localSheetId="0">Sheet1!$CC:$CC</definedName>
    <definedName name="S71_MonthlyOutcomeDec" localSheetId="0">Sheet1!$CG:$CG</definedName>
    <definedName name="S71_MonthlyOutcomeFeb" localSheetId="0">Sheet1!$CI:$CI</definedName>
    <definedName name="S71_MonthlyOutcomeJan" localSheetId="0">Sheet1!$CH:$CH</definedName>
    <definedName name="S71_MonthlyOutcomeJul" localSheetId="0">Sheet1!$CB:$CB</definedName>
    <definedName name="S71_MonthlyOutcomeJun" localSheetId="0">Sheet1!$CM:$CM</definedName>
    <definedName name="S71_MonthlyOutcomeMar" localSheetId="0">Sheet1!$CJ:$CJ</definedName>
    <definedName name="S71_MonthlyOutcomeMay" localSheetId="0">Sheet1!$CL:$CL</definedName>
    <definedName name="S71_MonthlyOutcomeNov" localSheetId="0">Sheet1!$CF:$CF</definedName>
    <definedName name="S71_MonthlyOutcomeOct" localSheetId="0">Sheet1!$CE:$CE</definedName>
    <definedName name="S71_MonthlyOutcomeSep" localSheetId="0">Sheet1!$CD:$CD</definedName>
    <definedName name="S71_OriginalBudget" localSheetId="0">Sheet1!$BU:$BU</definedName>
    <definedName name="S71_OY1AdjustedBudget" localSheetId="0">Sheet1!$BZ:$BZ</definedName>
    <definedName name="S71_OY2AdjustedBudget" localSheetId="0">Sheet1!$CA:$CA</definedName>
    <definedName name="S71_ProjectType" localSheetId="0">Sheet1!$S:$S</definedName>
    <definedName name="S71_RepMaintCode" localSheetId="0">Sheet1!$BD:$BD</definedName>
    <definedName name="S71_SA15Ref" localSheetId="0">Sheet1!$BS:$BS</definedName>
    <definedName name="S71_SA17Ref" localSheetId="0">Sheet1!$BT:$BT</definedName>
    <definedName name="S71_SA1SubCode" localSheetId="0">Sheet1!$J:$J</definedName>
    <definedName name="S71_SA1SubDescription" localSheetId="0">Sheet1!$K:$K</definedName>
    <definedName name="S71_SA30FDSubCode" localSheetId="0">Sheet1!$AO:$AO</definedName>
    <definedName name="S71_SA30FDSubDescription" localSheetId="0">Sheet1!$AP:$AP</definedName>
    <definedName name="S71_SA34aCode" localSheetId="0">Sheet1!$AR:$AR</definedName>
    <definedName name="S71_SA34aCode_2" localSheetId="0">Sheet1!$AT:$AT</definedName>
    <definedName name="S71_SA34aDescription" localSheetId="0">Sheet1!$AS:$AS</definedName>
    <definedName name="S71_SA34aSubDescription" localSheetId="0">Sheet1!$AU:$AU</definedName>
    <definedName name="S71_SA34bSubCode" localSheetId="0">Sheet1!$AX:$AX</definedName>
    <definedName name="S71_SA34bSubDescription" localSheetId="0">Sheet1!$AY:$AY</definedName>
    <definedName name="S71_SA34cCode" localSheetId="0">Sheet1!$AZ:$AZ</definedName>
    <definedName name="S71_SA34cDescription" localSheetId="0">Sheet1!$BA:$BA</definedName>
    <definedName name="S71_SA34Code" localSheetId="0">Sheet1!$AV:$AV</definedName>
    <definedName name="S71_SA34cSubCode" localSheetId="0">Sheet1!$BB:$BB</definedName>
    <definedName name="S71_SA34cSubDescription" localSheetId="0">Sheet1!$BC:$BC</definedName>
    <definedName name="S71_SA34dCode" localSheetId="0">Sheet1!$BE:$BE</definedName>
    <definedName name="S71_SA34dDescription" localSheetId="0">Sheet1!$BF:$BF</definedName>
    <definedName name="S71_SA34Description" localSheetId="0">Sheet1!$AW:$AW</definedName>
    <definedName name="S71_SA34dSubCode" localSheetId="0">Sheet1!$BG:$BG</definedName>
    <definedName name="S71_SA34dSubDescription" localSheetId="0">Sheet1!$BH:$BH</definedName>
    <definedName name="S71_SA34eCode" localSheetId="0">Sheet1!$BJ:$BJ</definedName>
    <definedName name="S71_SA34eDescription" localSheetId="0">Sheet1!$BK:$BK</definedName>
    <definedName name="S71_SA34eSubCode" localSheetId="0">Sheet1!$BL:$BL</definedName>
    <definedName name="S71_SA34eSubDescription" localSheetId="0">Sheet1!$BM:$BM</definedName>
    <definedName name="S71_SA3Code" localSheetId="0">Sheet1!$AK:$AK</definedName>
    <definedName name="S71_SA3Description" localSheetId="0">Sheet1!$AL:$AL</definedName>
    <definedName name="S71_SA3SubCode" localSheetId="0">Sheet1!$AM:$AM</definedName>
    <definedName name="S71_SA3SubDescription" localSheetId="0">Sheet1!$AN:$AN</definedName>
    <definedName name="S71_SpecAdjustmentAmount" localSheetId="0">Sheet1!$BV:$BV</definedName>
    <definedName name="S71_SpecialAdjustedBudget" localSheetId="0">Sheet1!$BW:$BW</definedName>
    <definedName name="S71_StaffCode" localSheetId="0">Sheet1!$BN:$BN</definedName>
    <definedName name="S71_SubMunicipalVoteNo" localSheetId="0">Sheet1!$BP:$BP</definedName>
    <definedName name="S71A" localSheetId="6">'[1]Template names'!#REF!</definedName>
    <definedName name="S71A" localSheetId="5">'[2]Template names'!#REF!</definedName>
    <definedName name="S71A" localSheetId="40">'Template names'!#REF!</definedName>
    <definedName name="S71A" localSheetId="41">'Template names'!#REF!</definedName>
    <definedName name="S71A">'Template names'!#REF!</definedName>
    <definedName name="S71B" localSheetId="6">'[1]Template names'!#REF!</definedName>
    <definedName name="S71B" localSheetId="5">'[2]Template names'!#REF!</definedName>
    <definedName name="S71B" localSheetId="40">'Template names'!#REF!</definedName>
    <definedName name="S71B" localSheetId="41">'Template names'!#REF!</definedName>
    <definedName name="S71B">'Template names'!#REF!</definedName>
    <definedName name="s71B8" localSheetId="6">'[1]Template names'!#REF!</definedName>
    <definedName name="s71B8" localSheetId="5">'[2]Template names'!#REF!</definedName>
    <definedName name="s71B8" localSheetId="40">'Template names'!#REF!</definedName>
    <definedName name="s71B8" localSheetId="41">'Template names'!#REF!</definedName>
    <definedName name="s71B8">'Template names'!#REF!</definedName>
    <definedName name="s71B9" localSheetId="6">'[1]Template names'!#REF!</definedName>
    <definedName name="s71B9" localSheetId="5">'[2]Template names'!#REF!</definedName>
    <definedName name="s71B9" localSheetId="40">'Template names'!#REF!</definedName>
    <definedName name="s71B9" localSheetId="41">'Template names'!#REF!</definedName>
    <definedName name="s71B9">'Template names'!#REF!</definedName>
    <definedName name="S71C" localSheetId="6">'[1]Template names'!#REF!</definedName>
    <definedName name="S71C" localSheetId="5">'[2]Template names'!#REF!</definedName>
    <definedName name="S71C" localSheetId="40">'Template names'!#REF!</definedName>
    <definedName name="S71C" localSheetId="41">'Template names'!#REF!</definedName>
    <definedName name="S71C">'Template names'!#REF!</definedName>
    <definedName name="S71D" localSheetId="6">'[1]Template names'!#REF!</definedName>
    <definedName name="S71D" localSheetId="5">'[2]Template names'!#REF!</definedName>
    <definedName name="S71D" localSheetId="40">'Template names'!#REF!</definedName>
    <definedName name="S71D" localSheetId="41">'Template names'!#REF!</definedName>
    <definedName name="S71D">'Template names'!#REF!</definedName>
    <definedName name="S71E" localSheetId="6">'[1]Template names'!#REF!</definedName>
    <definedName name="S71E" localSheetId="5">'[2]Template names'!#REF!</definedName>
    <definedName name="S71E" localSheetId="40">'Template names'!#REF!</definedName>
    <definedName name="S71E" localSheetId="41">'Template names'!#REF!</definedName>
    <definedName name="S71E">'Template names'!#REF!</definedName>
    <definedName name="S71F" localSheetId="6">'[1]Template names'!#REF!</definedName>
    <definedName name="S71F" localSheetId="5">'[2]Template names'!#REF!</definedName>
    <definedName name="S71F" localSheetId="40">'Template names'!#REF!</definedName>
    <definedName name="S71F" localSheetId="41">'Template names'!#REF!</definedName>
    <definedName name="S71F">'Template names'!#REF!</definedName>
    <definedName name="S71G" localSheetId="6">'[1]Template names'!#REF!</definedName>
    <definedName name="S71G" localSheetId="5">'[2]Template names'!#REF!</definedName>
    <definedName name="S71G" localSheetId="40">'Template names'!#REF!</definedName>
    <definedName name="S71G" localSheetId="41">'Template names'!#REF!</definedName>
    <definedName name="S71G">'Template names'!#REF!</definedName>
    <definedName name="S71H" localSheetId="6">'[1]Template names'!#REF!</definedName>
    <definedName name="S71H" localSheetId="5">'[2]Template names'!#REF!</definedName>
    <definedName name="S71H" localSheetId="40">'Template names'!#REF!</definedName>
    <definedName name="S71H" localSheetId="41">'Template names'!#REF!</definedName>
    <definedName name="S71H">'Template names'!#REF!</definedName>
    <definedName name="S71I" localSheetId="6">'[1]Template names'!#REF!</definedName>
    <definedName name="S71I" localSheetId="5">'[2]Template names'!#REF!</definedName>
    <definedName name="S71I" localSheetId="40">'Template names'!#REF!</definedName>
    <definedName name="S71I" localSheetId="41">'Template names'!#REF!</definedName>
    <definedName name="S71I">'Template names'!#REF!</definedName>
    <definedName name="S71J" localSheetId="6">'[1]Template names'!#REF!</definedName>
    <definedName name="S71J" localSheetId="5">'[2]Template names'!#REF!</definedName>
    <definedName name="S71J" localSheetId="40">'Template names'!#REF!</definedName>
    <definedName name="S71J" localSheetId="41">'Template names'!#REF!</definedName>
    <definedName name="S71J">'Template names'!#REF!</definedName>
    <definedName name="S71K" localSheetId="6">'[1]Template names'!#REF!</definedName>
    <definedName name="S71K" localSheetId="5">'[2]Template names'!#REF!</definedName>
    <definedName name="S71K" localSheetId="40">'Template names'!#REF!</definedName>
    <definedName name="S71K" localSheetId="41">'Template names'!#REF!</definedName>
    <definedName name="S71K">'Template names'!#REF!</definedName>
    <definedName name="S71L" localSheetId="6">'[1]Template names'!#REF!</definedName>
    <definedName name="S71L" localSheetId="5">'[2]Template names'!#REF!</definedName>
    <definedName name="S71L" localSheetId="40">'Template names'!#REF!</definedName>
    <definedName name="S71L" localSheetId="41">'Template names'!#REF!</definedName>
    <definedName name="S71L">'Template names'!#REF!</definedName>
    <definedName name="S71M" localSheetId="6">'[1]Template names'!#REF!</definedName>
    <definedName name="S71M" localSheetId="5">'[2]Template names'!#REF!</definedName>
    <definedName name="S71M" localSheetId="40">'Template names'!#REF!</definedName>
    <definedName name="S71M" localSheetId="41">'Template names'!#REF!</definedName>
    <definedName name="S71M">'Template names'!#REF!</definedName>
    <definedName name="S71N" localSheetId="6">'[1]Template names'!#REF!</definedName>
    <definedName name="S71N" localSheetId="5">'[2]Template names'!#REF!</definedName>
    <definedName name="S71N" localSheetId="40">'Template names'!#REF!</definedName>
    <definedName name="S71N" localSheetId="41">'Template names'!#REF!</definedName>
    <definedName name="S71N">'Template names'!#REF!</definedName>
    <definedName name="S71O" localSheetId="6">'[1]Template names'!#REF!</definedName>
    <definedName name="S71O" localSheetId="5">'[2]Template names'!#REF!</definedName>
    <definedName name="S71O" localSheetId="40">'Template names'!#REF!</definedName>
    <definedName name="S71O" localSheetId="41">'Template names'!#REF!</definedName>
    <definedName name="S71O">'Template names'!#REF!</definedName>
    <definedName name="S71P" localSheetId="6">'[1]Template names'!#REF!</definedName>
    <definedName name="S71P" localSheetId="5">'[2]Template names'!#REF!</definedName>
    <definedName name="S71P" localSheetId="40">'Template names'!#REF!</definedName>
    <definedName name="S71P" localSheetId="41">'Template names'!#REF!</definedName>
    <definedName name="S71P">'Template names'!#REF!</definedName>
    <definedName name="S71Q" localSheetId="6">'[1]Template names'!#REF!</definedName>
    <definedName name="S71Q" localSheetId="5">'[2]Template names'!#REF!</definedName>
    <definedName name="S71Q" localSheetId="40">'Template names'!#REF!</definedName>
    <definedName name="S71Q" localSheetId="41">'Template names'!#REF!</definedName>
    <definedName name="S71Q">'Template names'!#REF!</definedName>
    <definedName name="S71SDBIP" localSheetId="6">'[1]Template names'!#REF!</definedName>
    <definedName name="S71SDBIP" localSheetId="2">'Template names'!#REF!</definedName>
    <definedName name="S71SDBIP" localSheetId="5">'[2]Template names'!#REF!</definedName>
    <definedName name="S71SDBIP" localSheetId="40">'[4]Template names'!#REF!</definedName>
    <definedName name="S71SDBIP" localSheetId="41">'[4]Template names'!#REF!</definedName>
    <definedName name="S71SDBIP">'[4]Template names'!#REF!</definedName>
    <definedName name="s71sum" localSheetId="6">'[1]Template names'!#REF!</definedName>
    <definedName name="s71sum" localSheetId="5">'[2]Template names'!#REF!</definedName>
    <definedName name="s71sum" localSheetId="40">'Template names'!#REF!</definedName>
    <definedName name="s71sum" localSheetId="41">'Template names'!#REF!</definedName>
    <definedName name="s71sum">'Template names'!#REF!</definedName>
    <definedName name="Scale" localSheetId="6">'[1]Compliance assessment'!$L$77</definedName>
    <definedName name="Scale" localSheetId="5">'[2]Compliance assessment'!$L$77</definedName>
    <definedName name="Scale" localSheetId="40">'[4]Template names'!#REF!</definedName>
    <definedName name="Scale" localSheetId="41">'[4]Template names'!#REF!</definedName>
    <definedName name="Scale">'[4]Template names'!#REF!</definedName>
    <definedName name="scenario" localSheetId="2">#REF!</definedName>
    <definedName name="scenario" localSheetId="40">#REF!</definedName>
    <definedName name="scenario" localSheetId="41">#REF!</definedName>
    <definedName name="scenario">#REF!</definedName>
    <definedName name="Sch1a" localSheetId="40">'[4]Template names'!#REF!</definedName>
    <definedName name="Sch1a" localSheetId="41">'[4]Template names'!#REF!</definedName>
    <definedName name="Sch1a">'[4]Template names'!#REF!</definedName>
    <definedName name="Sch2N" localSheetId="40">'[4]Template names'!#REF!</definedName>
    <definedName name="Sch2N" localSheetId="41">'[4]Template names'!#REF!</definedName>
    <definedName name="Sch2N">'[4]Template names'!#REF!</definedName>
    <definedName name="Sch5N" localSheetId="40">'[4]Template names'!#REF!</definedName>
    <definedName name="Sch5N" localSheetId="41">'[4]Template names'!#REF!</definedName>
    <definedName name="Sch5N">'[4]Template names'!#REF!</definedName>
    <definedName name="Sch7N" localSheetId="40">'[4]Template names'!#REF!</definedName>
    <definedName name="Sch7N" localSheetId="41">'[4]Template names'!#REF!</definedName>
    <definedName name="Sch7N">'[4]Template names'!#REF!</definedName>
    <definedName name="SDBIP1" localSheetId="6">'[1]Template names'!#REF!</definedName>
    <definedName name="SDBIP1" localSheetId="2">'Template names'!#REF!</definedName>
    <definedName name="SDBIP1" localSheetId="5">'[2]Template names'!#REF!</definedName>
    <definedName name="SDBIP1" localSheetId="40">'[4]Template names'!#REF!</definedName>
    <definedName name="SDBIP1" localSheetId="41">'[4]Template names'!#REF!</definedName>
    <definedName name="SDBIP1">'[4]Template names'!#REF!</definedName>
    <definedName name="SDBIP10" localSheetId="6">'[1]Template names'!#REF!</definedName>
    <definedName name="SDBIP10" localSheetId="2">'Template names'!#REF!</definedName>
    <definedName name="SDBIP10" localSheetId="5">'[2]Template names'!#REF!</definedName>
    <definedName name="SDBIP10" localSheetId="40">'[4]Template names'!#REF!</definedName>
    <definedName name="SDBIP10" localSheetId="41">'[4]Template names'!#REF!</definedName>
    <definedName name="SDBIP10">'[4]Template names'!#REF!</definedName>
    <definedName name="SDBIP2" localSheetId="6">'[1]Template names'!#REF!</definedName>
    <definedName name="SDBIP2" localSheetId="2">'Template names'!#REF!</definedName>
    <definedName name="SDBIP2" localSheetId="5">'[2]Template names'!#REF!</definedName>
    <definedName name="SDBIP2" localSheetId="40">'[4]Template names'!#REF!</definedName>
    <definedName name="SDBIP2" localSheetId="41">'[4]Template names'!#REF!</definedName>
    <definedName name="SDBIP2">'[4]Template names'!#REF!</definedName>
    <definedName name="SDBIP3" localSheetId="6">'[1]Template names'!#REF!</definedName>
    <definedName name="SDBIP3" localSheetId="2">'Template names'!#REF!</definedName>
    <definedName name="SDBIP3" localSheetId="5">'[2]Template names'!#REF!</definedName>
    <definedName name="SDBIP3" localSheetId="40">'[4]Template names'!#REF!</definedName>
    <definedName name="SDBIP3" localSheetId="41">'[4]Template names'!#REF!</definedName>
    <definedName name="SDBIP3">'[4]Template names'!#REF!</definedName>
    <definedName name="SDBIP4" localSheetId="6">'[1]Template names'!#REF!</definedName>
    <definedName name="SDBIP4" localSheetId="2">'Template names'!#REF!</definedName>
    <definedName name="SDBIP4" localSheetId="5">'[2]Template names'!#REF!</definedName>
    <definedName name="SDBIP4" localSheetId="40">'[4]Template names'!#REF!</definedName>
    <definedName name="SDBIP4" localSheetId="41">'[4]Template names'!#REF!</definedName>
    <definedName name="SDBIP4">'[4]Template names'!#REF!</definedName>
    <definedName name="SDBIP8" localSheetId="6">'[1]Template names'!#REF!</definedName>
    <definedName name="SDBIP8" localSheetId="2">'Template names'!#REF!</definedName>
    <definedName name="SDBIP8" localSheetId="5">'[2]Template names'!#REF!</definedName>
    <definedName name="SDBIP8" localSheetId="40">'[4]Template names'!#REF!</definedName>
    <definedName name="SDBIP8" localSheetId="41">'[4]Template names'!#REF!</definedName>
    <definedName name="SDBIP8">'[4]Template names'!#REF!</definedName>
    <definedName name="sdcred06" localSheetId="41">#REF!</definedName>
    <definedName name="sdcred06">#REF!</definedName>
    <definedName name="SFPerf1">'Template names'!$B$55</definedName>
    <definedName name="SFPerf2" localSheetId="6">'[1]Template names'!$B$65</definedName>
    <definedName name="SFPerf2" localSheetId="5">'[2]Template names'!$B$65</definedName>
    <definedName name="SFPerf2">'Template names'!$B$56</definedName>
    <definedName name="SFpos1">'Template names'!$B$57</definedName>
    <definedName name="SFpos2">'Template names'!$B$58</definedName>
    <definedName name="SubVote">Sheet1!$BP:$BR</definedName>
    <definedName name="SV_AUTO_CONN_CATALOG" hidden="1">"mSCOA Mkhambathini Local Municipality"</definedName>
    <definedName name="SV_AUTO_CONN_SERVER" hidden="1">"finance2"</definedName>
    <definedName name="SV_DBTYPE">"5"</definedName>
    <definedName name="SV_ENCPT_AUTO_CONN_PASSWORD" hidden="1">"083096084083070073098110103108119099064058057051"</definedName>
    <definedName name="SV_ENCPT_AUTO_CONN_USER" hidden="1">"095094088070084121098"</definedName>
    <definedName name="SV_ENCPT_LOGON_PWD" hidden="1">"078104085088070"</definedName>
    <definedName name="SV_ENCPT_LOGON_USER" hidden="1">"095094088070084084104118100097114103110"</definedName>
    <definedName name="SV_REPORT_CODE">""</definedName>
    <definedName name="SV_REPORT_ID">"1"</definedName>
    <definedName name="SV_REPORT_NAME">"NT B_SCHEDULE V_6.9.2"</definedName>
    <definedName name="SV_REPOSCODE">""</definedName>
    <definedName name="SV_SOLUTION_ID">"33"</definedName>
    <definedName name="SV_TENANT_CODE">"Mkhambathini Local Municipality"</definedName>
    <definedName name="TabC19" localSheetId="40">'[4]Template names'!#REF!</definedName>
    <definedName name="TabC19" localSheetId="41">'[4]Template names'!#REF!</definedName>
    <definedName name="TabC19">'[4]Template names'!#REF!</definedName>
    <definedName name="TabC3" localSheetId="6">'[1]Template names'!#REF!</definedName>
    <definedName name="TabC3" localSheetId="2">'Template names'!#REF!</definedName>
    <definedName name="TabC3" localSheetId="5">'[2]Template names'!#REF!</definedName>
    <definedName name="TabC3" localSheetId="40">'[4]Template names'!#REF!</definedName>
    <definedName name="TabC3" localSheetId="41">'[4]Template names'!#REF!</definedName>
    <definedName name="TabC3">'[4]Template names'!#REF!</definedName>
    <definedName name="TabC4" localSheetId="6">'[1]Template names'!#REF!</definedName>
    <definedName name="TabC4" localSheetId="2">'Template names'!#REF!</definedName>
    <definedName name="TabC4" localSheetId="5">'[2]Template names'!#REF!</definedName>
    <definedName name="TabC4" localSheetId="40">'[4]Template names'!#REF!</definedName>
    <definedName name="TabC4" localSheetId="41">'[4]Template names'!#REF!</definedName>
    <definedName name="TabC4">'[4]Template names'!#REF!</definedName>
    <definedName name="TabC5" localSheetId="6">'[1]Template names'!#REF!</definedName>
    <definedName name="TabC5" localSheetId="2">'Template names'!#REF!</definedName>
    <definedName name="TabC5" localSheetId="5">'[2]Template names'!#REF!</definedName>
    <definedName name="TabC5" localSheetId="40">'[4]Template names'!#REF!</definedName>
    <definedName name="TabC5" localSheetId="41">'[4]Template names'!#REF!</definedName>
    <definedName name="TabC5">'[4]Template names'!#REF!</definedName>
    <definedName name="TabC6" localSheetId="6">'[1]Template names'!#REF!</definedName>
    <definedName name="TabC6" localSheetId="2">'Template names'!#REF!</definedName>
    <definedName name="TabC6" localSheetId="5">'[2]Template names'!#REF!</definedName>
    <definedName name="TabC6" localSheetId="40">'[4]Template names'!#REF!</definedName>
    <definedName name="TabC6" localSheetId="41">'[4]Template names'!#REF!</definedName>
    <definedName name="TabC6">'[4]Template names'!#REF!</definedName>
    <definedName name="Tabc7" localSheetId="6">'[1]Template names'!#REF!</definedName>
    <definedName name="Tabc7" localSheetId="2">'Template names'!#REF!</definedName>
    <definedName name="Tabc7" localSheetId="5">'[2]Template names'!#REF!</definedName>
    <definedName name="Tabc7" localSheetId="40">'[4]Template names'!#REF!</definedName>
    <definedName name="Tabc7" localSheetId="41">'[4]Template names'!#REF!</definedName>
    <definedName name="Tabc7">'[4]Template names'!#REF!</definedName>
    <definedName name="Tabc8" localSheetId="6">'[1]Template names'!#REF!</definedName>
    <definedName name="Tabc8" localSheetId="2">'Template names'!#REF!</definedName>
    <definedName name="Tabc8" localSheetId="5">'[2]Template names'!#REF!</definedName>
    <definedName name="Tabc8" localSheetId="40">'[4]Template names'!#REF!</definedName>
    <definedName name="Tabc8" localSheetId="41">'[4]Template names'!#REF!</definedName>
    <definedName name="Tabc8">'[4]Template names'!#REF!</definedName>
    <definedName name="Tabc9" localSheetId="6">'[1]Template names'!#REF!</definedName>
    <definedName name="Tabc9" localSheetId="2">'Template names'!#REF!</definedName>
    <definedName name="Tabc9" localSheetId="5">'[2]Template names'!#REF!</definedName>
    <definedName name="Tabc9" localSheetId="40">'[4]Template names'!#REF!</definedName>
    <definedName name="Tabc9" localSheetId="41">'[4]Template names'!#REF!</definedName>
    <definedName name="Tabc9">'[4]Template names'!#REF!</definedName>
    <definedName name="Tablc8" localSheetId="6">'[1]Template names'!#REF!</definedName>
    <definedName name="Tablc8" localSheetId="2">'Template names'!#REF!</definedName>
    <definedName name="Tablc8" localSheetId="5">'[2]Template names'!#REF!</definedName>
    <definedName name="Tablc8">'Template names'!$F$86</definedName>
    <definedName name="Table1" localSheetId="40">'[4]Template names'!#REF!</definedName>
    <definedName name="Table1" localSheetId="41">'[4]Template names'!#REF!</definedName>
    <definedName name="Table1">'[4]Template names'!#REF!</definedName>
    <definedName name="Table10" localSheetId="40">'[4]Template names'!#REF!</definedName>
    <definedName name="Table10" localSheetId="41">'[4]Template names'!#REF!</definedName>
    <definedName name="Table10">'[4]Template names'!#REF!</definedName>
    <definedName name="Table11" localSheetId="40">'[4]Template names'!#REF!</definedName>
    <definedName name="Table11" localSheetId="41">'[4]Template names'!#REF!</definedName>
    <definedName name="Table11">'[4]Template names'!#REF!</definedName>
    <definedName name="Table12" localSheetId="40">'[4]Template names'!#REF!</definedName>
    <definedName name="Table12" localSheetId="41">'[4]Template names'!#REF!</definedName>
    <definedName name="Table12">'[4]Template names'!#REF!</definedName>
    <definedName name="Table13" localSheetId="40">'[4]Template names'!#REF!</definedName>
    <definedName name="Table13" localSheetId="41">'[4]Template names'!#REF!</definedName>
    <definedName name="Table13">'[4]Template names'!#REF!</definedName>
    <definedName name="Table14" localSheetId="40">'[4]Template names'!#REF!</definedName>
    <definedName name="Table14" localSheetId="41">'[4]Template names'!#REF!</definedName>
    <definedName name="Table14">'[4]Template names'!#REF!</definedName>
    <definedName name="Table14A" localSheetId="40">'[4]Template names'!#REF!</definedName>
    <definedName name="Table14A" localSheetId="41">'[4]Template names'!#REF!</definedName>
    <definedName name="Table14A">'[4]Template names'!#REF!</definedName>
    <definedName name="Table14B" localSheetId="40">'[4]Template names'!#REF!</definedName>
    <definedName name="Table14B" localSheetId="41">'[4]Template names'!#REF!</definedName>
    <definedName name="Table14B">'[4]Template names'!#REF!</definedName>
    <definedName name="Table15" localSheetId="40">'[4]Template names'!#REF!</definedName>
    <definedName name="Table15" localSheetId="41">'[4]Template names'!#REF!</definedName>
    <definedName name="Table15">'[4]Template names'!#REF!</definedName>
    <definedName name="Table15A" localSheetId="40">'[4]Template names'!#REF!</definedName>
    <definedName name="Table15A" localSheetId="41">'[4]Template names'!#REF!</definedName>
    <definedName name="Table15A">'[4]Template names'!#REF!</definedName>
    <definedName name="Table15New" localSheetId="40">'[4]Template names'!#REF!</definedName>
    <definedName name="Table15New" localSheetId="41">'[4]Template names'!#REF!</definedName>
    <definedName name="Table15New">'[4]Template names'!#REF!</definedName>
    <definedName name="Table16" localSheetId="40">'[4]Template names'!#REF!</definedName>
    <definedName name="Table16" localSheetId="41">'[4]Template names'!#REF!</definedName>
    <definedName name="Table16">'[4]Template names'!#REF!</definedName>
    <definedName name="Table17" localSheetId="40">'[4]Template names'!#REF!</definedName>
    <definedName name="Table17" localSheetId="41">'[4]Template names'!#REF!</definedName>
    <definedName name="Table17">'[4]Template names'!#REF!</definedName>
    <definedName name="Table18" localSheetId="40">'[4]Template names'!#REF!</definedName>
    <definedName name="Table18" localSheetId="41">'[4]Template names'!#REF!</definedName>
    <definedName name="Table18">'[4]Template names'!#REF!</definedName>
    <definedName name="Table19" localSheetId="40">'[4]Template names'!#REF!</definedName>
    <definedName name="Table19" localSheetId="41">'[4]Template names'!#REF!</definedName>
    <definedName name="Table19">'[4]Template names'!#REF!</definedName>
    <definedName name="Table2" localSheetId="40">'[4]Template names'!#REF!</definedName>
    <definedName name="Table2" localSheetId="41">'[4]Template names'!#REF!</definedName>
    <definedName name="Table2">'[4]Template names'!#REF!</definedName>
    <definedName name="Table20" localSheetId="40">'[4]Template names'!#REF!</definedName>
    <definedName name="Table20" localSheetId="41">'[4]Template names'!#REF!</definedName>
    <definedName name="Table20">'[4]Template names'!#REF!</definedName>
    <definedName name="Table21" localSheetId="40">'[4]Template names'!#REF!</definedName>
    <definedName name="Table21" localSheetId="41">'[4]Template names'!#REF!</definedName>
    <definedName name="Table21">'[4]Template names'!#REF!</definedName>
    <definedName name="Table22" localSheetId="40">'[4]Template names'!#REF!</definedName>
    <definedName name="Table22" localSheetId="41">'[4]Template names'!#REF!</definedName>
    <definedName name="Table22">'[4]Template names'!#REF!</definedName>
    <definedName name="Table23" localSheetId="40">'[4]Template names'!#REF!</definedName>
    <definedName name="Table23" localSheetId="41">'[4]Template names'!#REF!</definedName>
    <definedName name="Table23">'[4]Template names'!#REF!</definedName>
    <definedName name="Table24" localSheetId="40">'[4]Template names'!#REF!</definedName>
    <definedName name="Table24" localSheetId="41">'[4]Template names'!#REF!</definedName>
    <definedName name="Table24">'[4]Template names'!#REF!</definedName>
    <definedName name="Table24A" localSheetId="40">'[4]Template names'!#REF!</definedName>
    <definedName name="Table24A" localSheetId="41">'[4]Template names'!#REF!</definedName>
    <definedName name="Table24A">'[4]Template names'!#REF!</definedName>
    <definedName name="Table25" localSheetId="40">'[4]Template names'!#REF!</definedName>
    <definedName name="Table25" localSheetId="41">'[4]Template names'!#REF!</definedName>
    <definedName name="Table25">'[4]Template names'!#REF!</definedName>
    <definedName name="Table26" localSheetId="40">'[4]Template names'!#REF!</definedName>
    <definedName name="Table26" localSheetId="41">'[4]Template names'!#REF!</definedName>
    <definedName name="Table26">'[4]Template names'!#REF!</definedName>
    <definedName name="Table27" localSheetId="40">'[4]Template names'!#REF!</definedName>
    <definedName name="Table27" localSheetId="41">'[4]Template names'!#REF!</definedName>
    <definedName name="Table27">'[4]Template names'!#REF!</definedName>
    <definedName name="Table28" localSheetId="40">'[4]Template names'!#REF!</definedName>
    <definedName name="Table28" localSheetId="41">'[4]Template names'!#REF!</definedName>
    <definedName name="Table28">'[4]Template names'!#REF!</definedName>
    <definedName name="Table29" localSheetId="40">'[4]Template names'!#REF!</definedName>
    <definedName name="Table29" localSheetId="41">'[4]Template names'!#REF!</definedName>
    <definedName name="Table29">'[4]Template names'!#REF!</definedName>
    <definedName name="Table3" localSheetId="40">'[4]Template names'!#REF!</definedName>
    <definedName name="Table3" localSheetId="41">'[4]Template names'!#REF!</definedName>
    <definedName name="Table3">'[4]Template names'!#REF!</definedName>
    <definedName name="Table30" localSheetId="40">'[4]Template names'!#REF!</definedName>
    <definedName name="Table30" localSheetId="41">'[4]Template names'!#REF!</definedName>
    <definedName name="Table30">'[4]Template names'!#REF!</definedName>
    <definedName name="Table31" localSheetId="40">'[4]Template names'!#REF!</definedName>
    <definedName name="Table31" localSheetId="41">'[4]Template names'!#REF!</definedName>
    <definedName name="Table31">'[4]Template names'!#REF!</definedName>
    <definedName name="Table32" localSheetId="40">'[4]Template names'!#REF!</definedName>
    <definedName name="Table32" localSheetId="41">'[4]Template names'!#REF!</definedName>
    <definedName name="Table32">'[4]Template names'!#REF!</definedName>
    <definedName name="Table33" localSheetId="40">'[4]Template names'!#REF!</definedName>
    <definedName name="Table33" localSheetId="41">'[4]Template names'!#REF!</definedName>
    <definedName name="Table33">'[4]Template names'!#REF!</definedName>
    <definedName name="Table4" localSheetId="40">'[4]Template names'!#REF!</definedName>
    <definedName name="Table4" localSheetId="41">'[4]Template names'!#REF!</definedName>
    <definedName name="Table4">'[4]Template names'!#REF!</definedName>
    <definedName name="Table5" localSheetId="40">'[4]Template names'!#REF!</definedName>
    <definedName name="Table5" localSheetId="41">'[4]Template names'!#REF!</definedName>
    <definedName name="Table5">'[4]Template names'!#REF!</definedName>
    <definedName name="Table6" localSheetId="40">'[4]Template names'!#REF!</definedName>
    <definedName name="Table6" localSheetId="41">'[4]Template names'!#REF!</definedName>
    <definedName name="Table6">'[4]Template names'!#REF!</definedName>
    <definedName name="Table7" localSheetId="40">'[4]Template names'!#REF!</definedName>
    <definedName name="Table7" localSheetId="41">'[4]Template names'!#REF!</definedName>
    <definedName name="Table7">'[4]Template names'!#REF!</definedName>
    <definedName name="Table8" localSheetId="40">'[4]Template names'!#REF!</definedName>
    <definedName name="Table8" localSheetId="41">'[4]Template names'!#REF!</definedName>
    <definedName name="Table8">'[4]Template names'!#REF!</definedName>
    <definedName name="Table9" localSheetId="40">'[4]Template names'!#REF!</definedName>
    <definedName name="Table9" localSheetId="41">'[4]Template names'!#REF!</definedName>
    <definedName name="Table9">'[4]Template names'!#REF!</definedName>
    <definedName name="TableA1" localSheetId="5">'[2]Template names'!$B$111</definedName>
    <definedName name="TableA1">'[1]Template names'!$B$111</definedName>
    <definedName name="TableA10" localSheetId="5">'[2]Template names'!$B$120</definedName>
    <definedName name="TableA10">'[1]Template names'!$B$120</definedName>
    <definedName name="TableA11" localSheetId="5">'[2]Template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5">'[2]Template names'!$B$124</definedName>
    <definedName name="TableA13">'[1]Template names'!$B$123</definedName>
    <definedName name="TableA14" localSheetId="5">'[2]Template names'!$B$125</definedName>
    <definedName name="TableA14">'[1]Template names'!$B$124</definedName>
    <definedName name="TableA15" localSheetId="5">'[2]Template names'!$B$126</definedName>
    <definedName name="TableA15">'[1]Template names'!$B$125</definedName>
    <definedName name="TableA16" localSheetId="5">'[2]Template names'!$B$127</definedName>
    <definedName name="TableA16">'[1]Template names'!$B$126</definedName>
    <definedName name="TableA17" localSheetId="5">'[2]Template names'!$B$128</definedName>
    <definedName name="TableA17">'[1]Template names'!$B$127</definedName>
    <definedName name="TableA18" localSheetId="5">'[2]Template names'!$B$129</definedName>
    <definedName name="TableA18">'[1]Template names'!$B$128</definedName>
    <definedName name="TableA19" localSheetId="5">'[2]Template names'!$B$130</definedName>
    <definedName name="TableA19">'[1]Template names'!$B$129</definedName>
    <definedName name="TableA2" localSheetId="5">'[2]Template names'!$B$112</definedName>
    <definedName name="TableA2">'[1]Template names'!$B$112</definedName>
    <definedName name="TableA20" localSheetId="5">'[2]Template names'!$B$131</definedName>
    <definedName name="TableA20">'[1]Template names'!$B$130</definedName>
    <definedName name="TableA21" localSheetId="5">'[2]Template names'!$B$132</definedName>
    <definedName name="TableA21">'[1]Template names'!$B$131</definedName>
    <definedName name="TableA22" localSheetId="5">'[2]Template names'!$B$133</definedName>
    <definedName name="TableA22">'[1]Template names'!$B$132</definedName>
    <definedName name="TableA23" localSheetId="5">'[2]Template names'!$B$134</definedName>
    <definedName name="TableA23">'[1]Template names'!$B$133</definedName>
    <definedName name="TableA24" localSheetId="5">'[2]Template names'!$B$135</definedName>
    <definedName name="TableA24">'[1]Template names'!$B$134</definedName>
    <definedName name="TableA25" localSheetId="5">'[2]Template names'!$B$136</definedName>
    <definedName name="TableA25">'[1]Template names'!$B$135</definedName>
    <definedName name="TableA26" localSheetId="5">'[2]Template names'!$B$137</definedName>
    <definedName name="TableA26">'[1]Template names'!$B$136</definedName>
    <definedName name="TableA27" localSheetId="5">'[2]Template names'!$B$138</definedName>
    <definedName name="TableA27">'[1]Template names'!$B$137</definedName>
    <definedName name="TableA28" localSheetId="5">'[2]Template names'!$B$139</definedName>
    <definedName name="TableA28">'[1]Template names'!$B$138</definedName>
    <definedName name="TableA29" localSheetId="5">'[2]Template names'!$B$140</definedName>
    <definedName name="TableA29">'[1]Template names'!$B$139</definedName>
    <definedName name="TableA3" localSheetId="5">'[2]Template names'!$B$113</definedName>
    <definedName name="TableA3">'[1]Template names'!$B$113</definedName>
    <definedName name="TableA30" localSheetId="5">'[2]Template names'!$B$141</definedName>
    <definedName name="TableA30">'[1]Template names'!$B$140</definedName>
    <definedName name="TableA31" localSheetId="5">'[2]Template names'!$B$142</definedName>
    <definedName name="TableA31">'[1]Template names'!$B$141</definedName>
    <definedName name="TableA32" localSheetId="5">'[2]Template names'!$B$143</definedName>
    <definedName name="TableA32">'[1]Template names'!$B$142</definedName>
    <definedName name="TableA33" localSheetId="5">'[2]Template names'!$B$144</definedName>
    <definedName name="TableA33">'[1]Template names'!$B$143</definedName>
    <definedName name="TableA34a" localSheetId="5">'[2]Template names'!$B$145</definedName>
    <definedName name="TableA34a">'[1]Template names'!$B$144</definedName>
    <definedName name="TableA34b" localSheetId="5">'[2]Template names'!$B$146</definedName>
    <definedName name="TableA34b">'[1]Template names'!$B$145</definedName>
    <definedName name="TableA34c" localSheetId="5">'[2]Template names'!$B$147</definedName>
    <definedName name="TableA34c">'[1]Template names'!$B$146</definedName>
    <definedName name="TableA34d">'[2]Template names'!$B$148</definedName>
    <definedName name="TableA35" localSheetId="5">'[2]Template names'!$B$149</definedName>
    <definedName name="TableA35">'[1]Template names'!$B$147</definedName>
    <definedName name="TableA36" localSheetId="5">'[2]Template names'!$B$150</definedName>
    <definedName name="TableA36">'[1]Template names'!$B$148</definedName>
    <definedName name="TableA37" localSheetId="5">'[2]Template names'!$B$151</definedName>
    <definedName name="TableA37">'[1]Template names'!$B$149</definedName>
    <definedName name="TableA4" localSheetId="5">'[2]Template names'!$B$114</definedName>
    <definedName name="TableA4">'[1]Template names'!$B$114</definedName>
    <definedName name="TableA5" localSheetId="5">'[2]Template names'!$B$115</definedName>
    <definedName name="TableA5">'[1]Template names'!$B$115</definedName>
    <definedName name="TableA6" localSheetId="5">'[2]Template names'!$B$116</definedName>
    <definedName name="TableA6">'[1]Template names'!$B$116</definedName>
    <definedName name="TableA7" localSheetId="5">'[2]Template names'!$B$117</definedName>
    <definedName name="TableA7">'[1]Template names'!$B$117</definedName>
    <definedName name="TableA8" localSheetId="5">'[2]Template names'!$B$118</definedName>
    <definedName name="TableA8">'[1]Template names'!$B$118</definedName>
    <definedName name="TableA9" localSheetId="6">'[1]Template names'!$B$119</definedName>
    <definedName name="TableA9" localSheetId="5">'[2]Template names'!$B$119</definedName>
    <definedName name="TableA9">'[7]Template names'!$B$119</definedName>
    <definedName name="TableD7" localSheetId="6">'[1]Template names'!#REF!</definedName>
    <definedName name="TableD7" localSheetId="2">'Template names'!#REF!</definedName>
    <definedName name="TableD7" localSheetId="5">'[2]Template names'!#REF!</definedName>
    <definedName name="TableD7" localSheetId="40">'[4]Template names'!#REF!</definedName>
    <definedName name="TableD7" localSheetId="41">'[4]Template names'!#REF!</definedName>
    <definedName name="TableD7">'[4]Template names'!#REF!</definedName>
    <definedName name="TableD8" localSheetId="6">'[1]Template names'!#REF!</definedName>
    <definedName name="TableD8" localSheetId="2">'Template names'!#REF!</definedName>
    <definedName name="TableD8" localSheetId="5">'[2]Template names'!#REF!</definedName>
    <definedName name="TableD8" localSheetId="40">'[4]Template names'!#REF!</definedName>
    <definedName name="TableD8" localSheetId="41">'[4]Template names'!#REF!</definedName>
    <definedName name="TableD8">'[4]Template names'!#REF!</definedName>
    <definedName name="TableE4" localSheetId="6">'[1]Template names'!#REF!</definedName>
    <definedName name="TableE4" localSheetId="2">'Template names'!#REF!</definedName>
    <definedName name="TableE4" localSheetId="5">'[2]Template names'!#REF!</definedName>
    <definedName name="TableE4" localSheetId="40">'[4]Template names'!#REF!</definedName>
    <definedName name="TableE4" localSheetId="41">'[4]Template names'!#REF!</definedName>
    <definedName name="TableE4">'[4]Template names'!#REF!</definedName>
    <definedName name="TableE7" localSheetId="6">'[1]Template names'!#REF!</definedName>
    <definedName name="TableE7" localSheetId="2">'Template names'!#REF!</definedName>
    <definedName name="TableE7" localSheetId="5">'[2]Template names'!#REF!</definedName>
    <definedName name="TableE7" localSheetId="40">'[4]Template names'!#REF!</definedName>
    <definedName name="TableE7" localSheetId="41">'[4]Template names'!#REF!</definedName>
    <definedName name="TableE7">'[4]Template names'!#REF!</definedName>
    <definedName name="TableE9" localSheetId="6">'[1]Template names'!#REF!</definedName>
    <definedName name="TableE9" localSheetId="2">'Template names'!#REF!</definedName>
    <definedName name="TableE9" localSheetId="5">'[2]Template names'!#REF!</definedName>
    <definedName name="TableE9" localSheetId="40">'[4]Template names'!#REF!</definedName>
    <definedName name="TableE9" localSheetId="41">'[4]Template names'!#REF!</definedName>
    <definedName name="TableE9">'[4]Template names'!#REF!</definedName>
    <definedName name="TableF6" localSheetId="6">'[1]Template names'!#REF!</definedName>
    <definedName name="TableF6" localSheetId="2">'Template names'!#REF!</definedName>
    <definedName name="TableF6" localSheetId="5">'[2]Template names'!#REF!</definedName>
    <definedName name="TableF6" localSheetId="40">'[4]Template names'!#REF!</definedName>
    <definedName name="TableF6" localSheetId="41">'[4]Template names'!#REF!</definedName>
    <definedName name="TableF6">'[4]Template names'!#REF!</definedName>
    <definedName name="tariffdisc05" localSheetId="2">#REF!</definedName>
    <definedName name="tariffdisc05" localSheetId="40">#REF!</definedName>
    <definedName name="tariffdisc05" localSheetId="41">#REF!</definedName>
    <definedName name="tariffdisc05">#REF!</definedName>
    <definedName name="tariffdisc06" localSheetId="41">#REF!</definedName>
    <definedName name="tariffdisc06">#REF!</definedName>
    <definedName name="tariffdisc07" localSheetId="41">#REF!</definedName>
    <definedName name="tariffdisc07">#REF!</definedName>
    <definedName name="tariffdisc08" localSheetId="41">#REF!</definedName>
    <definedName name="tariffdisc08">#REF!</definedName>
    <definedName name="tariffdisc09" localSheetId="41">#REF!</definedName>
    <definedName name="tariffdisc09">#REF!</definedName>
    <definedName name="tariffdisc10" localSheetId="41">#REF!</definedName>
    <definedName name="tariffdisc10">#REF!</definedName>
    <definedName name="tariffdisc11" localSheetId="41">#REF!</definedName>
    <definedName name="tariffdisc11">#REF!</definedName>
    <definedName name="tariffdisc12" localSheetId="41">#REF!</definedName>
    <definedName name="tariffdisc12">#REF!</definedName>
    <definedName name="tariffdisc13" localSheetId="41">#REF!</definedName>
    <definedName name="tariffdisc13">#REF!</definedName>
    <definedName name="tariffdisc14" localSheetId="41">#REF!</definedName>
    <definedName name="tariffdisc14">#REF!</definedName>
    <definedName name="tariffdisc15" localSheetId="41">#REF!</definedName>
    <definedName name="tariffdisc15">#REF!</definedName>
    <definedName name="tariffdisc16" localSheetId="41">#REF!</definedName>
    <definedName name="tariffdisc16">#REF!</definedName>
    <definedName name="tariffdisc17" localSheetId="41">#REF!</definedName>
    <definedName name="tariffdisc17">#REF!</definedName>
    <definedName name="tariffdisc18" localSheetId="41">#REF!</definedName>
    <definedName name="tariffdisc18">#REF!</definedName>
    <definedName name="tariffdisc19" localSheetId="41">#REF!</definedName>
    <definedName name="tariffdisc19">#REF!</definedName>
    <definedName name="tariffdisc20" localSheetId="41">#REF!</definedName>
    <definedName name="tariffdisc20">#REF!</definedName>
    <definedName name="title1" localSheetId="41">#REF!</definedName>
    <definedName name="title1">#REF!</definedName>
    <definedName name="Vdesc" localSheetId="6">'[1]Template names'!$B$32</definedName>
    <definedName name="Vdesc" localSheetId="5">'[2]Template names'!$B$32</definedName>
    <definedName name="Vdesc">'Template names'!$B$20</definedName>
    <definedName name="Vote" localSheetId="6">'[1]Org structure'!$A$2:$A$16</definedName>
    <definedName name="Vote" localSheetId="5">'Org structure'!$A$2:$A$16</definedName>
    <definedName name="Vote" localSheetId="41">#REF!</definedName>
    <definedName name="Vote">#REF!</definedName>
    <definedName name="Vote1" localSheetId="6">'[1]Org structure'!$B$3:$B$12</definedName>
    <definedName name="Vote1" localSheetId="5">'Org structure'!$D$3:$D$12</definedName>
    <definedName name="Vote1" localSheetId="41">#REF!</definedName>
    <definedName name="Vote1">#REF!</definedName>
    <definedName name="Vote10" localSheetId="6">'[1]Org structure'!$B$103:$B$112</definedName>
    <definedName name="Vote10" localSheetId="5">'Org structure'!$D$102:$D$111</definedName>
    <definedName name="Vote10" localSheetId="41">#REF!</definedName>
    <definedName name="Vote10">#REF!</definedName>
    <definedName name="Vote11" localSheetId="6">'[1]Org structure'!$B$114:$B$123</definedName>
    <definedName name="Vote11" localSheetId="5">'Org structure'!$D$113:$D$122</definedName>
    <definedName name="Vote11" localSheetId="41">#REF!</definedName>
    <definedName name="Vote11">#REF!</definedName>
    <definedName name="Vote12" localSheetId="6">'[1]Org structure'!$B$125:$B$134</definedName>
    <definedName name="Vote12" localSheetId="5">'Org structure'!$D$124:$D$133</definedName>
    <definedName name="Vote12" localSheetId="41">#REF!</definedName>
    <definedName name="Vote12">#REF!</definedName>
    <definedName name="Vote13" localSheetId="6">'[1]Org structure'!$B$136:$B$145</definedName>
    <definedName name="Vote13" localSheetId="5">'Org structure'!$D$135:$D$144</definedName>
    <definedName name="Vote13" localSheetId="41">#REF!</definedName>
    <definedName name="Vote13">#REF!</definedName>
    <definedName name="Vote14" localSheetId="6">'[1]Org structure'!$B$147:$B$156</definedName>
    <definedName name="Vote14" localSheetId="5">'Org structure'!$D$146:$D$155</definedName>
    <definedName name="Vote14" localSheetId="41">#REF!</definedName>
    <definedName name="Vote14">#REF!</definedName>
    <definedName name="Vote15" localSheetId="6">'[1]Org structure'!$B$158:$B$167</definedName>
    <definedName name="Vote15" localSheetId="5">'Org structure'!$D$157:$D$166</definedName>
    <definedName name="Vote15" localSheetId="41">#REF!</definedName>
    <definedName name="Vote15">#REF!</definedName>
    <definedName name="Vote2" localSheetId="6">'[1]Org structure'!$B$14:$B$23</definedName>
    <definedName name="Vote2" localSheetId="5">'Org structure'!$D$14:$D$23</definedName>
    <definedName name="Vote2" localSheetId="41">#REF!</definedName>
    <definedName name="Vote2">#REF!</definedName>
    <definedName name="Vote3" localSheetId="6">'[1]Org structure'!$B$25:$B$34</definedName>
    <definedName name="Vote3" localSheetId="5">'Org structure'!$D$25:$D$34</definedName>
    <definedName name="Vote3" localSheetId="41">#REF!</definedName>
    <definedName name="Vote3">#REF!</definedName>
    <definedName name="Vote4" localSheetId="6">'[1]Org structure'!$B$36:$B$45</definedName>
    <definedName name="Vote4" localSheetId="5">'Org structure'!$D$36:$D$45</definedName>
    <definedName name="Vote4" localSheetId="41">#REF!</definedName>
    <definedName name="Vote4">#REF!</definedName>
    <definedName name="Vote5" localSheetId="6">'[1]Org structure'!$B$47:$B$56</definedName>
    <definedName name="Vote5" localSheetId="5">'Org structure'!$D$47:$D$56</definedName>
    <definedName name="Vote5" localSheetId="41">#REF!</definedName>
    <definedName name="Vote5">#REF!</definedName>
    <definedName name="Vote6" localSheetId="6">'[1]Org structure'!$B$58:$B$67</definedName>
    <definedName name="Vote6" localSheetId="5">'Org structure'!$D$58:$D$67</definedName>
    <definedName name="Vote6" localSheetId="41">#REF!</definedName>
    <definedName name="Vote6">#REF!</definedName>
    <definedName name="Vote7" localSheetId="6">'[1]Org structure'!$B$69:$B$78</definedName>
    <definedName name="Vote7" localSheetId="5">'Org structure'!$D$69:$D$78</definedName>
    <definedName name="Vote7" localSheetId="41">#REF!</definedName>
    <definedName name="Vote7">#REF!</definedName>
    <definedName name="Vote8" localSheetId="6">'[1]Org structure'!$B$80:$B$90</definedName>
    <definedName name="Vote8" localSheetId="5">'Org structure'!$D$80:$D$89</definedName>
    <definedName name="Vote8" localSheetId="41">#REF!</definedName>
    <definedName name="Vote8">#REF!</definedName>
    <definedName name="Vote9" localSheetId="6">'[1]Org structure'!$B$92:$B$101</definedName>
    <definedName name="Vote9" localSheetId="5">'Org structure'!$D$91:$D$100</definedName>
    <definedName name="Vote9" localSheetId="41">#REF!</definedName>
    <definedName name="Vote9">#REF!</definedName>
    <definedName name="Y_N">'Lookup and lists'!$R$62:$R$64</definedName>
    <definedName name="YesNo" localSheetId="4">'Lookup and lists'!$V$2:$V$3</definedName>
    <definedName name="YesNo">'Lookup and lists'!$V$2:$V$3</definedName>
    <definedName name="yrend">[5]Data!$B$3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4" i="17" l="1"/>
  <c r="I55" i="18"/>
  <c r="I54" i="18"/>
  <c r="I56" i="18"/>
  <c r="D36" i="10"/>
  <c r="C35" i="12"/>
  <c r="D35" i="12"/>
  <c r="I35" i="12"/>
  <c r="L35" i="12"/>
  <c r="I45" i="18"/>
  <c r="I44" i="18"/>
  <c r="I42" i="18"/>
  <c r="M35" i="12"/>
  <c r="I51" i="18"/>
  <c r="I50" i="18"/>
  <c r="M50" i="18"/>
  <c r="L50" i="18"/>
  <c r="D50" i="18"/>
  <c r="C50" i="18"/>
  <c r="D37" i="13"/>
  <c r="D18" i="13"/>
  <c r="D17" i="13"/>
  <c r="E179" i="17"/>
  <c r="F179" i="17"/>
  <c r="G179" i="17"/>
  <c r="H179" i="17"/>
  <c r="M12" i="18"/>
  <c r="L12" i="18"/>
  <c r="I12" i="18"/>
  <c r="M23" i="13"/>
  <c r="L23" i="13"/>
  <c r="I23" i="13"/>
  <c r="D23" i="13"/>
  <c r="C23" i="13"/>
  <c r="C41" i="13"/>
  <c r="I167" i="37"/>
  <c r="D167" i="37"/>
  <c r="C167" i="37"/>
  <c r="I164" i="37"/>
  <c r="D164" i="37"/>
  <c r="C164" i="37"/>
  <c r="I161" i="37"/>
  <c r="D161" i="37"/>
  <c r="C161" i="37"/>
  <c r="I158" i="37"/>
  <c r="D158" i="37"/>
  <c r="C158" i="37"/>
  <c r="I155" i="37"/>
  <c r="D155" i="37"/>
  <c r="C155" i="37"/>
  <c r="C54" i="47"/>
  <c r="D54" i="47"/>
  <c r="I54" i="47"/>
  <c r="C55" i="47"/>
  <c r="D55" i="47"/>
  <c r="I55" i="47"/>
  <c r="C56" i="47"/>
  <c r="D56" i="47"/>
  <c r="I56" i="47"/>
  <c r="C57" i="47"/>
  <c r="D57" i="47"/>
  <c r="I57" i="47"/>
  <c r="C58" i="47"/>
  <c r="D58" i="47"/>
  <c r="I58" i="47"/>
  <c r="C59" i="47"/>
  <c r="D59" i="47"/>
  <c r="I59" i="47"/>
  <c r="C60" i="47"/>
  <c r="D60" i="47"/>
  <c r="I60" i="47"/>
  <c r="C61" i="47"/>
  <c r="D61" i="47"/>
  <c r="I61" i="47"/>
  <c r="CS2" i="54"/>
  <c r="CT2" i="54" s="1"/>
  <c r="CS3" i="54"/>
  <c r="CS4" i="54"/>
  <c r="CS5" i="54"/>
  <c r="CS6" i="54"/>
  <c r="CS7" i="54"/>
  <c r="CS8" i="54"/>
  <c r="CS9" i="54"/>
  <c r="CS10" i="54"/>
  <c r="CS11" i="54"/>
  <c r="CS12" i="54"/>
  <c r="CS13" i="54"/>
  <c r="CS14" i="54"/>
  <c r="CS15" i="54"/>
  <c r="CS16" i="54"/>
  <c r="CS17" i="54"/>
  <c r="CS18" i="54"/>
  <c r="CS19" i="54"/>
  <c r="CS20" i="54"/>
  <c r="CS21" i="54"/>
  <c r="CS22" i="54"/>
  <c r="CS23" i="54"/>
  <c r="CS24" i="54"/>
  <c r="CS25" i="54"/>
  <c r="CS26" i="54"/>
  <c r="CS27" i="54"/>
  <c r="CS28" i="54"/>
  <c r="CS29" i="54"/>
  <c r="CS30" i="54"/>
  <c r="CS31" i="54"/>
  <c r="CS32" i="54"/>
  <c r="CS33" i="54"/>
  <c r="CS34" i="54"/>
  <c r="CS35" i="54"/>
  <c r="CS36" i="54"/>
  <c r="CS37" i="54"/>
  <c r="CS38" i="54"/>
  <c r="CS39" i="54"/>
  <c r="CS40" i="54"/>
  <c r="CS41" i="54"/>
  <c r="CS42" i="54"/>
  <c r="CS43" i="54"/>
  <c r="CS44" i="54"/>
  <c r="CS45" i="54"/>
  <c r="CS46" i="54"/>
  <c r="CS47" i="54"/>
  <c r="CS48" i="54"/>
  <c r="CS49" i="54"/>
  <c r="CS50" i="54"/>
  <c r="CS51" i="54"/>
  <c r="CS52" i="54"/>
  <c r="CS53" i="54"/>
  <c r="CS54" i="54"/>
  <c r="CS55" i="54"/>
  <c r="CS56" i="54"/>
  <c r="CS57" i="54"/>
  <c r="CS58" i="54"/>
  <c r="CS59" i="54"/>
  <c r="CS60" i="54"/>
  <c r="CS61" i="54"/>
  <c r="CS62" i="54"/>
  <c r="CS63" i="54"/>
  <c r="CS64" i="54"/>
  <c r="CS65" i="54"/>
  <c r="CS66" i="54"/>
  <c r="CS67" i="54"/>
  <c r="CS68" i="54"/>
  <c r="CS69" i="54"/>
  <c r="CS70" i="54"/>
  <c r="CS71" i="54"/>
  <c r="CS72" i="54"/>
  <c r="CS73" i="54"/>
  <c r="CS74" i="54"/>
  <c r="CS75" i="54"/>
  <c r="CS76" i="54"/>
  <c r="CS77" i="54"/>
  <c r="CS78" i="54"/>
  <c r="CS79" i="54"/>
  <c r="CS80" i="54"/>
  <c r="CS81" i="54"/>
  <c r="CS82" i="54"/>
  <c r="CS83" i="54"/>
  <c r="CS84" i="54"/>
  <c r="CS85" i="54"/>
  <c r="CS86" i="54"/>
  <c r="CS87" i="54"/>
  <c r="CS88" i="54"/>
  <c r="CS89" i="54"/>
  <c r="CS90" i="54"/>
  <c r="CS91" i="54"/>
  <c r="CS92" i="54"/>
  <c r="CS93" i="54"/>
  <c r="CS94" i="54"/>
  <c r="CS95" i="54"/>
  <c r="CS96" i="54"/>
  <c r="CS97" i="54"/>
  <c r="CS98" i="54"/>
  <c r="CS99" i="54"/>
  <c r="CS100" i="54"/>
  <c r="CS101" i="54"/>
  <c r="CS102" i="54"/>
  <c r="CS103" i="54"/>
  <c r="CS104" i="54"/>
  <c r="CS105" i="54"/>
  <c r="CS106" i="54"/>
  <c r="CS107" i="54"/>
  <c r="CS108" i="54"/>
  <c r="CS109" i="54"/>
  <c r="CS110" i="54"/>
  <c r="CS111" i="54"/>
  <c r="CS112" i="54"/>
  <c r="CS113" i="54"/>
  <c r="CS114" i="54"/>
  <c r="CS115" i="54"/>
  <c r="CS116" i="54"/>
  <c r="CS117" i="54"/>
  <c r="CS118" i="54"/>
  <c r="CS119" i="54"/>
  <c r="CS120" i="54"/>
  <c r="CS121" i="54"/>
  <c r="CS122" i="54"/>
  <c r="CS123" i="54"/>
  <c r="CS124" i="54"/>
  <c r="CS125" i="54"/>
  <c r="CS126" i="54"/>
  <c r="CS127" i="54"/>
  <c r="CS128" i="54"/>
  <c r="CS129" i="54"/>
  <c r="CS130" i="54"/>
  <c r="CS131" i="54"/>
  <c r="CS132" i="54"/>
  <c r="CS133" i="54"/>
  <c r="CS134" i="54"/>
  <c r="CS135" i="54"/>
  <c r="CS136" i="54"/>
  <c r="CS137" i="54"/>
  <c r="CS138" i="54"/>
  <c r="CS139" i="54"/>
  <c r="CS140" i="54"/>
  <c r="CS141" i="54"/>
  <c r="CS142" i="54"/>
  <c r="CS143" i="54"/>
  <c r="CS144" i="54"/>
  <c r="CS145" i="54"/>
  <c r="CS146" i="54"/>
  <c r="CS147" i="54"/>
  <c r="CS148" i="54"/>
  <c r="CS149" i="54"/>
  <c r="CS150" i="54"/>
  <c r="CS151" i="54"/>
  <c r="CS152" i="54"/>
  <c r="CS153" i="54"/>
  <c r="CS154" i="54"/>
  <c r="CS155" i="54"/>
  <c r="CS156" i="54"/>
  <c r="CS157" i="54"/>
  <c r="CS158" i="54"/>
  <c r="CS159" i="54"/>
  <c r="CS160" i="54"/>
  <c r="CS161" i="54"/>
  <c r="CS162" i="54"/>
  <c r="CS163" i="54"/>
  <c r="CS164" i="54"/>
  <c r="CS165" i="54"/>
  <c r="CS166" i="54"/>
  <c r="CS167" i="54"/>
  <c r="CS168" i="54"/>
  <c r="CS169" i="54"/>
  <c r="CS170" i="54"/>
  <c r="CS171" i="54"/>
  <c r="CS172" i="54"/>
  <c r="CS173" i="54"/>
  <c r="CS174" i="54"/>
  <c r="CS175" i="54"/>
  <c r="CS176" i="54"/>
  <c r="CS177" i="54"/>
  <c r="CS178" i="54"/>
  <c r="CS179" i="54"/>
  <c r="CS180" i="54"/>
  <c r="CS181" i="54"/>
  <c r="CS182" i="54"/>
  <c r="CS183" i="54"/>
  <c r="CS184" i="54"/>
  <c r="CS185" i="54"/>
  <c r="CS186" i="54"/>
  <c r="CS187" i="54"/>
  <c r="CS188" i="54"/>
  <c r="CS189" i="54"/>
  <c r="CS190" i="54"/>
  <c r="CS191" i="54"/>
  <c r="CS192" i="54"/>
  <c r="CS193" i="54"/>
  <c r="CS194" i="54"/>
  <c r="CS195" i="54"/>
  <c r="CS196" i="54"/>
  <c r="CS197" i="54"/>
  <c r="CS198" i="54"/>
  <c r="CS199" i="54"/>
  <c r="CS200" i="54"/>
  <c r="CS201" i="54"/>
  <c r="CS202" i="54"/>
  <c r="CS203" i="54"/>
  <c r="CS204" i="54"/>
  <c r="CS205" i="54"/>
  <c r="CS206" i="54"/>
  <c r="CS207" i="54"/>
  <c r="CS208" i="54"/>
  <c r="CS209" i="54"/>
  <c r="CS210" i="54"/>
  <c r="CS211" i="54"/>
  <c r="CS212" i="54"/>
  <c r="CS213" i="54"/>
  <c r="CS214" i="54"/>
  <c r="CS215" i="54"/>
  <c r="CS216" i="54"/>
  <c r="CS217" i="54"/>
  <c r="CS218" i="54"/>
  <c r="CS219" i="54"/>
  <c r="CS220" i="54"/>
  <c r="CS221" i="54"/>
  <c r="CS222" i="54"/>
  <c r="CS223" i="54"/>
  <c r="CS224" i="54"/>
  <c r="CS225" i="54"/>
  <c r="CS226" i="54"/>
  <c r="CS227" i="54"/>
  <c r="CS228" i="54"/>
  <c r="CS229" i="54"/>
  <c r="CS230" i="54"/>
  <c r="CS231" i="54"/>
  <c r="CS232" i="54"/>
  <c r="CS233" i="54"/>
  <c r="CS234" i="54"/>
  <c r="CS235" i="54"/>
  <c r="CS236" i="54"/>
  <c r="CS237" i="54"/>
  <c r="CS238" i="54"/>
  <c r="CS239" i="54"/>
  <c r="CS240" i="54"/>
  <c r="CS241" i="54"/>
  <c r="CS242" i="54"/>
  <c r="CS243" i="54"/>
  <c r="CS244" i="54"/>
  <c r="CS245" i="54"/>
  <c r="CS246" i="54"/>
  <c r="CS247" i="54"/>
  <c r="CS248" i="54"/>
  <c r="CS249" i="54"/>
  <c r="CS250" i="54"/>
  <c r="CS251" i="54"/>
  <c r="CS252" i="54"/>
  <c r="CS253" i="54"/>
  <c r="CS254" i="54"/>
  <c r="CS255" i="54"/>
  <c r="CS256" i="54"/>
  <c r="CS257" i="54"/>
  <c r="CS258" i="54"/>
  <c r="CS259" i="54"/>
  <c r="CS260" i="54"/>
  <c r="CS261" i="54"/>
  <c r="CS262" i="54"/>
  <c r="CS263" i="54"/>
  <c r="CS264" i="54"/>
  <c r="CS265" i="54"/>
  <c r="CS266" i="54"/>
  <c r="CS267" i="54"/>
  <c r="CS268" i="54"/>
  <c r="CS269" i="54"/>
  <c r="CS270" i="54"/>
  <c r="CS271" i="54"/>
  <c r="CS272" i="54"/>
  <c r="CS273" i="54"/>
  <c r="CS274" i="54"/>
  <c r="CS275" i="54"/>
  <c r="CS276" i="54"/>
  <c r="CS277" i="54"/>
  <c r="CS278" i="54"/>
  <c r="CS279" i="54"/>
  <c r="CS280" i="54"/>
  <c r="CS281" i="54"/>
  <c r="CS282" i="54"/>
  <c r="CS283" i="54"/>
  <c r="CS284" i="54"/>
  <c r="CS285" i="54"/>
  <c r="CS286" i="54"/>
  <c r="CS287" i="54"/>
  <c r="CS288" i="54"/>
  <c r="CS289" i="54"/>
  <c r="CS290" i="54"/>
  <c r="CS291" i="54"/>
  <c r="CS292" i="54"/>
  <c r="CS293" i="54"/>
  <c r="CS294" i="54"/>
  <c r="CS295" i="54"/>
  <c r="CS296" i="54"/>
  <c r="CS297" i="54"/>
  <c r="CS298" i="54"/>
  <c r="CS299" i="54"/>
  <c r="CS300" i="54"/>
  <c r="CS301" i="54"/>
  <c r="CS302" i="54"/>
  <c r="CS303" i="54"/>
  <c r="CS304" i="54"/>
  <c r="CS305" i="54"/>
  <c r="CS306" i="54"/>
  <c r="CS307" i="54"/>
  <c r="CS308" i="54"/>
  <c r="CS309" i="54"/>
  <c r="CS310" i="54"/>
  <c r="CS311" i="54"/>
  <c r="CS312" i="54"/>
  <c r="CS313" i="54"/>
  <c r="CS314" i="54"/>
  <c r="CS315" i="54"/>
  <c r="CS316" i="54"/>
  <c r="CS317" i="54"/>
  <c r="CS318" i="54"/>
  <c r="CS319" i="54"/>
  <c r="CS320" i="54"/>
  <c r="CS321" i="54"/>
  <c r="CS322" i="54"/>
  <c r="CS323" i="54"/>
  <c r="CS324" i="54"/>
  <c r="CS325" i="54"/>
  <c r="CS326" i="54"/>
  <c r="CS327" i="54"/>
  <c r="CS328" i="54"/>
  <c r="CS329" i="54"/>
  <c r="CS330" i="54"/>
  <c r="CS331" i="54"/>
  <c r="CS332" i="54"/>
  <c r="CS333" i="54"/>
  <c r="CS334" i="54"/>
  <c r="CS335" i="54"/>
  <c r="CS336" i="54"/>
  <c r="CS337" i="54"/>
  <c r="CS338" i="54"/>
  <c r="CS339" i="54"/>
  <c r="CS340" i="54"/>
  <c r="CS341" i="54"/>
  <c r="CS342" i="54"/>
  <c r="CS343" i="54"/>
  <c r="CS344" i="54"/>
  <c r="CS345" i="54"/>
  <c r="CS346" i="54"/>
  <c r="CS347" i="54"/>
  <c r="CS348" i="54"/>
  <c r="CS349" i="54"/>
  <c r="CS350" i="54"/>
  <c r="CS351" i="54"/>
  <c r="CS352" i="54"/>
  <c r="CS353" i="54"/>
  <c r="CS354" i="54"/>
  <c r="CS355" i="54"/>
  <c r="CS356" i="54"/>
  <c r="CS357" i="54"/>
  <c r="CS358" i="54"/>
  <c r="CS359" i="54"/>
  <c r="CS360" i="54"/>
  <c r="CS361" i="54"/>
  <c r="CS362" i="54"/>
  <c r="CS363" i="54"/>
  <c r="CS364" i="54"/>
  <c r="CS365" i="54"/>
  <c r="CS366" i="54"/>
  <c r="CS367" i="54"/>
  <c r="CS368" i="54"/>
  <c r="CS369" i="54"/>
  <c r="CS370" i="54"/>
  <c r="CS371" i="54"/>
  <c r="CS372" i="54"/>
  <c r="CS373" i="54"/>
  <c r="CS374" i="54"/>
  <c r="CS375" i="54"/>
  <c r="CS376" i="54"/>
  <c r="CS377" i="54"/>
  <c r="CS378" i="54"/>
  <c r="CS379" i="54"/>
  <c r="CS380" i="54"/>
  <c r="CS381" i="54"/>
  <c r="CS382" i="54"/>
  <c r="CS383" i="54"/>
  <c r="CS384" i="54"/>
  <c r="CS385" i="54"/>
  <c r="CS386" i="54"/>
  <c r="CS387" i="54"/>
  <c r="CS388" i="54"/>
  <c r="CS389" i="54"/>
  <c r="CS390" i="54"/>
  <c r="CS391" i="54"/>
  <c r="CS392" i="54"/>
  <c r="CS393" i="54"/>
  <c r="CS394" i="54"/>
  <c r="CS395" i="54"/>
  <c r="CS396" i="54"/>
  <c r="CS397" i="54"/>
  <c r="CS398" i="54"/>
  <c r="CS399" i="54"/>
  <c r="CS400" i="54"/>
  <c r="CS401" i="54"/>
  <c r="CS402" i="54"/>
  <c r="CS403" i="54"/>
  <c r="CS404" i="54"/>
  <c r="CS405" i="54"/>
  <c r="CS406" i="54"/>
  <c r="CS407" i="54"/>
  <c r="CS408" i="54"/>
  <c r="CS409" i="54"/>
  <c r="CS410" i="54"/>
  <c r="CS411" i="54"/>
  <c r="CS412" i="54"/>
  <c r="CS413" i="54"/>
  <c r="CS414" i="54"/>
  <c r="CS415" i="54"/>
  <c r="CS416" i="54"/>
  <c r="CS417" i="54"/>
  <c r="CS418" i="54"/>
  <c r="CS419" i="54"/>
  <c r="CS420" i="54"/>
  <c r="CS421" i="54"/>
  <c r="CS422" i="54"/>
  <c r="CS423" i="54"/>
  <c r="CS424" i="54"/>
  <c r="CS425" i="54"/>
  <c r="CS426" i="54"/>
  <c r="CS427" i="54"/>
  <c r="CS428" i="54"/>
  <c r="CS429" i="54"/>
  <c r="CS430" i="54"/>
  <c r="CS431" i="54"/>
  <c r="CS432" i="54"/>
  <c r="CS433" i="54"/>
  <c r="CS434" i="54"/>
  <c r="CS435" i="54"/>
  <c r="CS436" i="54"/>
  <c r="CS437" i="54"/>
  <c r="CS438" i="54"/>
  <c r="CS439" i="54"/>
  <c r="CS440" i="54"/>
  <c r="CS441" i="54"/>
  <c r="CS442" i="54"/>
  <c r="CS443" i="54"/>
  <c r="CS444" i="54"/>
  <c r="CS445" i="54"/>
  <c r="CS446" i="54"/>
  <c r="CS447" i="54"/>
  <c r="CS448" i="54"/>
  <c r="CS449" i="54"/>
  <c r="CS450" i="54"/>
  <c r="CS451" i="54"/>
  <c r="CS452" i="54"/>
  <c r="CS453" i="54"/>
  <c r="CS454" i="54"/>
  <c r="CS455" i="54"/>
  <c r="CS456" i="54"/>
  <c r="CS457" i="54"/>
  <c r="CS458" i="54"/>
  <c r="CS459" i="54"/>
  <c r="CS460" i="54"/>
  <c r="CS461" i="54"/>
  <c r="CS462" i="54"/>
  <c r="CS463" i="54"/>
  <c r="CS464" i="54"/>
  <c r="CS465" i="54"/>
  <c r="CS466" i="54"/>
  <c r="CS467" i="54"/>
  <c r="CS468" i="54"/>
  <c r="CS469" i="54"/>
  <c r="CS470" i="54"/>
  <c r="CS471" i="54"/>
  <c r="CS472" i="54"/>
  <c r="CS473" i="54"/>
  <c r="CS474" i="54"/>
  <c r="CS475" i="54"/>
  <c r="CS476" i="54"/>
  <c r="CS477" i="54"/>
  <c r="CS478" i="54"/>
  <c r="CS479" i="54"/>
  <c r="CS480" i="54"/>
  <c r="CS481" i="54"/>
  <c r="CS482" i="54"/>
  <c r="CS483" i="54"/>
  <c r="CS484" i="54"/>
  <c r="CS485" i="54"/>
  <c r="CS486" i="54"/>
  <c r="CS487" i="54"/>
  <c r="CS488" i="54"/>
  <c r="CS489" i="54"/>
  <c r="CS490" i="54"/>
  <c r="CS491" i="54"/>
  <c r="CS492" i="54"/>
  <c r="CS493" i="54"/>
  <c r="CS494" i="54"/>
  <c r="CS495" i="54"/>
  <c r="CS496" i="54"/>
  <c r="CS497" i="54"/>
  <c r="CS498" i="54"/>
  <c r="CS499" i="54"/>
  <c r="CS500" i="54"/>
  <c r="CS501" i="54"/>
  <c r="CS502" i="54"/>
  <c r="CS503" i="54"/>
  <c r="CS504" i="54"/>
  <c r="CS505" i="54"/>
  <c r="CS506" i="54"/>
  <c r="CS507" i="54"/>
  <c r="CS508" i="54"/>
  <c r="CS509" i="54"/>
  <c r="CS510" i="54"/>
  <c r="CS511" i="54"/>
  <c r="CS512" i="54"/>
  <c r="CS513" i="54"/>
  <c r="CS514" i="54"/>
  <c r="CS515" i="54"/>
  <c r="CS516" i="54"/>
  <c r="CS517" i="54"/>
  <c r="CS518" i="54"/>
  <c r="CS519" i="54"/>
  <c r="CS520" i="54"/>
  <c r="CS521" i="54"/>
  <c r="CS522" i="54"/>
  <c r="CS523" i="54"/>
  <c r="CS524" i="54"/>
  <c r="CS525" i="54"/>
  <c r="CS526" i="54"/>
  <c r="CS527" i="54"/>
  <c r="CS528" i="54"/>
  <c r="CS529" i="54"/>
  <c r="CS530" i="54"/>
  <c r="CS531" i="54"/>
  <c r="CS532" i="54"/>
  <c r="CS533" i="54"/>
  <c r="CS534" i="54"/>
  <c r="CS535" i="54"/>
  <c r="CS536" i="54"/>
  <c r="CS537" i="54"/>
  <c r="CS538" i="54"/>
  <c r="CS539" i="54"/>
  <c r="CS540" i="54"/>
  <c r="CS541" i="54"/>
  <c r="CS542" i="54"/>
  <c r="CS543" i="54"/>
  <c r="CS544" i="54"/>
  <c r="CS545" i="54"/>
  <c r="CS546" i="54"/>
  <c r="CS547" i="54"/>
  <c r="CS548" i="54"/>
  <c r="CS549" i="54"/>
  <c r="CS550" i="54"/>
  <c r="CS551" i="54"/>
  <c r="CS552" i="54"/>
  <c r="CS553" i="54"/>
  <c r="CS554" i="54"/>
  <c r="CS555" i="54"/>
  <c r="CS556" i="54"/>
  <c r="CS557" i="54"/>
  <c r="CS558" i="54"/>
  <c r="CS559" i="54"/>
  <c r="CS560" i="54"/>
  <c r="CS561" i="54"/>
  <c r="CS562" i="54"/>
  <c r="CS563" i="54"/>
  <c r="CS564" i="54"/>
  <c r="CS565" i="54"/>
  <c r="CS566" i="54"/>
  <c r="CS567" i="54"/>
  <c r="CS568" i="54"/>
  <c r="CS569" i="54"/>
  <c r="CS570" i="54"/>
  <c r="CS571" i="54"/>
  <c r="CS572" i="54"/>
  <c r="CS573" i="54"/>
  <c r="CS574" i="54"/>
  <c r="CS575" i="54"/>
  <c r="CS576" i="54"/>
  <c r="CS577" i="54"/>
  <c r="CS578" i="54"/>
  <c r="CS579" i="54"/>
  <c r="CS580" i="54"/>
  <c r="CS581" i="54"/>
  <c r="CS582" i="54"/>
  <c r="CS583" i="54"/>
  <c r="CS584" i="54"/>
  <c r="CS585" i="54"/>
  <c r="CS586" i="54"/>
  <c r="CS587" i="54"/>
  <c r="CS588" i="54"/>
  <c r="CS589" i="54"/>
  <c r="CS590" i="54"/>
  <c r="CS591" i="54"/>
  <c r="CS592" i="54"/>
  <c r="CS593" i="54"/>
  <c r="CS594" i="54"/>
  <c r="CS595" i="54"/>
  <c r="CS596" i="54"/>
  <c r="CS597" i="54"/>
  <c r="CS598" i="54"/>
  <c r="CS599" i="54"/>
  <c r="CS600" i="54"/>
  <c r="CS601" i="54"/>
  <c r="CS602" i="54"/>
  <c r="CS603" i="54"/>
  <c r="CS604" i="54"/>
  <c r="CS605" i="54"/>
  <c r="CS606" i="54"/>
  <c r="CS607" i="54"/>
  <c r="CS608" i="54"/>
  <c r="CS609" i="54"/>
  <c r="CS610" i="54"/>
  <c r="CS611" i="54"/>
  <c r="CS612" i="54"/>
  <c r="CS613" i="54"/>
  <c r="CS614" i="54"/>
  <c r="CS615" i="54"/>
  <c r="CS616" i="54"/>
  <c r="CS617" i="54"/>
  <c r="CS618" i="54"/>
  <c r="CS619" i="54"/>
  <c r="CS620" i="54"/>
  <c r="CS621" i="54"/>
  <c r="CS622" i="54"/>
  <c r="CS623" i="54"/>
  <c r="CS624" i="54"/>
  <c r="CS625" i="54"/>
  <c r="CS626" i="54"/>
  <c r="CS627" i="54"/>
  <c r="CS628" i="54"/>
  <c r="CS629" i="54"/>
  <c r="CS630" i="54"/>
  <c r="CS631" i="54"/>
  <c r="CS632" i="54"/>
  <c r="CS633" i="54"/>
  <c r="CS634" i="54"/>
  <c r="CS635" i="54"/>
  <c r="CS636" i="54"/>
  <c r="CS637" i="54"/>
  <c r="CS638" i="54"/>
  <c r="CS639" i="54"/>
  <c r="CS640" i="54"/>
  <c r="CS641" i="54"/>
  <c r="CS642" i="54"/>
  <c r="CS643" i="54"/>
  <c r="CS644" i="54"/>
  <c r="CS645" i="54"/>
  <c r="CS646" i="54"/>
  <c r="CS647" i="54"/>
  <c r="CS648" i="54"/>
  <c r="CS649" i="54"/>
  <c r="CS650" i="54"/>
  <c r="CS651" i="54"/>
  <c r="CS652" i="54"/>
  <c r="CS653" i="54"/>
  <c r="CS654" i="54"/>
  <c r="CS655" i="54"/>
  <c r="CS656" i="54"/>
  <c r="CS657" i="54"/>
  <c r="CS658" i="54"/>
  <c r="CS659" i="54"/>
  <c r="CS660" i="54"/>
  <c r="CS661" i="54"/>
  <c r="CS662" i="54"/>
  <c r="CS663" i="54"/>
  <c r="CS664" i="54"/>
  <c r="CS665" i="54"/>
  <c r="CS666" i="54"/>
  <c r="CS667" i="54"/>
  <c r="CS668" i="54"/>
  <c r="CS669" i="54"/>
  <c r="CS670" i="54"/>
  <c r="CS671" i="54"/>
  <c r="CS672" i="54"/>
  <c r="CS673" i="54"/>
  <c r="CS674" i="54"/>
  <c r="CS675" i="54"/>
  <c r="CS676" i="54"/>
  <c r="CS677" i="54"/>
  <c r="CS678" i="54"/>
  <c r="CS679" i="54"/>
  <c r="CS680" i="54"/>
  <c r="CS681" i="54"/>
  <c r="CS682" i="54"/>
  <c r="CS683" i="54"/>
  <c r="CS684" i="54"/>
  <c r="CS685" i="54"/>
  <c r="CS686" i="54"/>
  <c r="CS687" i="54"/>
  <c r="CS688" i="54"/>
  <c r="CS689" i="54"/>
  <c r="CS690" i="54"/>
  <c r="CS691" i="54"/>
  <c r="CS692" i="54"/>
  <c r="CS693" i="54"/>
  <c r="CS694" i="54"/>
  <c r="CS695" i="54"/>
  <c r="CS696" i="54"/>
  <c r="CS697" i="54"/>
  <c r="CS698" i="54"/>
  <c r="CS699" i="54"/>
  <c r="CS700" i="54"/>
  <c r="CS701" i="54"/>
  <c r="CS702" i="54"/>
  <c r="CS703" i="54"/>
  <c r="CS704" i="54"/>
  <c r="CS705" i="54"/>
  <c r="CS706" i="54"/>
  <c r="CS707" i="54"/>
  <c r="CS708" i="54"/>
  <c r="CS709" i="54"/>
  <c r="CS710" i="54"/>
  <c r="CS711" i="54"/>
  <c r="CS712" i="54"/>
  <c r="CS713" i="54"/>
  <c r="CS714" i="54"/>
  <c r="CS715" i="54"/>
  <c r="CS716" i="54"/>
  <c r="CS717" i="54"/>
  <c r="CS718" i="54"/>
  <c r="CS719" i="54"/>
  <c r="CS720" i="54"/>
  <c r="CS721" i="54"/>
  <c r="CS722" i="54"/>
  <c r="CS723" i="54"/>
  <c r="CS724" i="54"/>
  <c r="CS725" i="54"/>
  <c r="CS726" i="54"/>
  <c r="CS727" i="54"/>
  <c r="CS728" i="54"/>
  <c r="CS729" i="54"/>
  <c r="CS730" i="54"/>
  <c r="CS731" i="54"/>
  <c r="CS732" i="54"/>
  <c r="CS733" i="54"/>
  <c r="CS734" i="54"/>
  <c r="CS735" i="54"/>
  <c r="CS736" i="54"/>
  <c r="CS737" i="54"/>
  <c r="CS738" i="54"/>
  <c r="CS739" i="54"/>
  <c r="CS740" i="54"/>
  <c r="CS741" i="54"/>
  <c r="CS742" i="54"/>
  <c r="CS743" i="54"/>
  <c r="CS744" i="54"/>
  <c r="CS745" i="54"/>
  <c r="CS746" i="54"/>
  <c r="CS747" i="54"/>
  <c r="CS748" i="54"/>
  <c r="CS749" i="54"/>
  <c r="CS750" i="54"/>
  <c r="CS751" i="54"/>
  <c r="CS752" i="54"/>
  <c r="CS753" i="54"/>
  <c r="CS754" i="54"/>
  <c r="CS755" i="54"/>
  <c r="CS756" i="54"/>
  <c r="CS757" i="54"/>
  <c r="CS758" i="54"/>
  <c r="CS759" i="54"/>
  <c r="CS760" i="54"/>
  <c r="CS761" i="54"/>
  <c r="CS762" i="54"/>
  <c r="CS763" i="54"/>
  <c r="CS764" i="54"/>
  <c r="CS765" i="54"/>
  <c r="CS766" i="54"/>
  <c r="CS767" i="54"/>
  <c r="CS768" i="54"/>
  <c r="CS769" i="54"/>
  <c r="CS770" i="54"/>
  <c r="CS771" i="54"/>
  <c r="CS772" i="54"/>
  <c r="CS773" i="54"/>
  <c r="CS774" i="54"/>
  <c r="CS775" i="54"/>
  <c r="CS776" i="54"/>
  <c r="CS777" i="54"/>
  <c r="CS778" i="54"/>
  <c r="CS779" i="54"/>
  <c r="CS780" i="54"/>
  <c r="CS781" i="54"/>
  <c r="CS782" i="54"/>
  <c r="CS783" i="54"/>
  <c r="CS784" i="54"/>
  <c r="CS785" i="54"/>
  <c r="CS786" i="54"/>
  <c r="CS787" i="54"/>
  <c r="CS788" i="54"/>
  <c r="CS789" i="54"/>
  <c r="CS790" i="54"/>
  <c r="CS791" i="54"/>
  <c r="CS792" i="54"/>
  <c r="CS793" i="54"/>
  <c r="CS794" i="54"/>
  <c r="CS795" i="54"/>
  <c r="CS796" i="54"/>
  <c r="CS797" i="54"/>
  <c r="CS798" i="54"/>
  <c r="CS799" i="54"/>
  <c r="CS800" i="54"/>
  <c r="CS801" i="54"/>
  <c r="CS802" i="54"/>
  <c r="CS803" i="54"/>
  <c r="CS804" i="54"/>
  <c r="CS805" i="54"/>
  <c r="CS806" i="54"/>
  <c r="CS807" i="54"/>
  <c r="CS808" i="54"/>
  <c r="CS809" i="54"/>
  <c r="CS810" i="54"/>
  <c r="CS811" i="54"/>
  <c r="CS812" i="54"/>
  <c r="CS813" i="54"/>
  <c r="CS814" i="54"/>
  <c r="CS815" i="54"/>
  <c r="CS816" i="54"/>
  <c r="CS817" i="54"/>
  <c r="CS818" i="54"/>
  <c r="CS819" i="54"/>
  <c r="CS820" i="54"/>
  <c r="CS821" i="54"/>
  <c r="CS822" i="54"/>
  <c r="CS823" i="54"/>
  <c r="CS824" i="54"/>
  <c r="CS825" i="54"/>
  <c r="CS826" i="54"/>
  <c r="CS827" i="54"/>
  <c r="CS828" i="54"/>
  <c r="CS829" i="54"/>
  <c r="CS830" i="54"/>
  <c r="CS831" i="54"/>
  <c r="CS832" i="54"/>
  <c r="CS833" i="54"/>
  <c r="CS834" i="54"/>
  <c r="CS835" i="54"/>
  <c r="CS836" i="54"/>
  <c r="CS837" i="54"/>
  <c r="CS838" i="54"/>
  <c r="CS839" i="54"/>
  <c r="CS840" i="54"/>
  <c r="CS841" i="54"/>
  <c r="CS842" i="54"/>
  <c r="CS843" i="54"/>
  <c r="CS844" i="54"/>
  <c r="CS845" i="54"/>
  <c r="CS846" i="54"/>
  <c r="CS847" i="54"/>
  <c r="CS848" i="54"/>
  <c r="CS849" i="54"/>
  <c r="CS850" i="54"/>
  <c r="CS851" i="54"/>
  <c r="CS852" i="54"/>
  <c r="CS853" i="54"/>
  <c r="CS854" i="54"/>
  <c r="CS855" i="54"/>
  <c r="CS856" i="54"/>
  <c r="CS857" i="54"/>
  <c r="CS858" i="54"/>
  <c r="CS859" i="54"/>
  <c r="CS860" i="54"/>
  <c r="CS861" i="54"/>
  <c r="CS862" i="54"/>
  <c r="CS863" i="54"/>
  <c r="CS864" i="54"/>
  <c r="CS865" i="54"/>
  <c r="CS866" i="54"/>
  <c r="CS867" i="54"/>
  <c r="CS868" i="54"/>
  <c r="CS869" i="54"/>
  <c r="CS870" i="54"/>
  <c r="CS871" i="54"/>
  <c r="CS872" i="54"/>
  <c r="CS873" i="54"/>
  <c r="CS874" i="54"/>
  <c r="CS875" i="54"/>
  <c r="CS876" i="54"/>
  <c r="CS877" i="54"/>
  <c r="CS878" i="54"/>
  <c r="CS879" i="54"/>
  <c r="CS880" i="54"/>
  <c r="CS881" i="54"/>
  <c r="CS882" i="54"/>
  <c r="CS883" i="54"/>
  <c r="CS884" i="54"/>
  <c r="CS885" i="54"/>
  <c r="CS886" i="54"/>
  <c r="CS887" i="54"/>
  <c r="CS888" i="54"/>
  <c r="CS889" i="54"/>
  <c r="CS890" i="54"/>
  <c r="CS891" i="54"/>
  <c r="CS892" i="54"/>
  <c r="CS893" i="54"/>
  <c r="CS894" i="54"/>
  <c r="CS895" i="54"/>
  <c r="CS896" i="54"/>
  <c r="CS897" i="54"/>
  <c r="CS898" i="54"/>
  <c r="CS899" i="54"/>
  <c r="CS900" i="54"/>
  <c r="CS901" i="54"/>
  <c r="CS902" i="54"/>
  <c r="CS903" i="54"/>
  <c r="CS904" i="54"/>
  <c r="CS905" i="54"/>
  <c r="CS906" i="54"/>
  <c r="CS907" i="54"/>
  <c r="CS908" i="54"/>
  <c r="CS909" i="54"/>
  <c r="CS910" i="54"/>
  <c r="CS911" i="54"/>
  <c r="CS912" i="54"/>
  <c r="CS913" i="54"/>
  <c r="CS914" i="54"/>
  <c r="CS915" i="54"/>
  <c r="CS916" i="54"/>
  <c r="CS917" i="54"/>
  <c r="CS918" i="54"/>
  <c r="CS919" i="54"/>
  <c r="CS920" i="54"/>
  <c r="CS921" i="54"/>
  <c r="CS922" i="54"/>
  <c r="CS923" i="54"/>
  <c r="CS924" i="54"/>
  <c r="CS925" i="54"/>
  <c r="CS926" i="54"/>
  <c r="CS927" i="54"/>
  <c r="CS928" i="54"/>
  <c r="CS929" i="54"/>
  <c r="CS930" i="54"/>
  <c r="CS931" i="54"/>
  <c r="CS932" i="54"/>
  <c r="CS933" i="54"/>
  <c r="CS934" i="54"/>
  <c r="CS935" i="54"/>
  <c r="CS936" i="54"/>
  <c r="CS937" i="54"/>
  <c r="CS938" i="54"/>
  <c r="CS939" i="54"/>
  <c r="CS940" i="54"/>
  <c r="CS941" i="54"/>
  <c r="CS942" i="54"/>
  <c r="CS943" i="54"/>
  <c r="CS944" i="54"/>
  <c r="CS945" i="54"/>
  <c r="CS946" i="54"/>
  <c r="CS947" i="54"/>
  <c r="CS948" i="54"/>
  <c r="CS949" i="54"/>
  <c r="CS950" i="54"/>
  <c r="CS951" i="54"/>
  <c r="CS952" i="54"/>
  <c r="CS953" i="54"/>
  <c r="CS954" i="54"/>
  <c r="CS955" i="54"/>
  <c r="CS956" i="54"/>
  <c r="CS957" i="54"/>
  <c r="CS958" i="54"/>
  <c r="CS959" i="54"/>
  <c r="CS960" i="54"/>
  <c r="CS961" i="54"/>
  <c r="CS962" i="54"/>
  <c r="CS963" i="54"/>
  <c r="CS964" i="54"/>
  <c r="CS965" i="54"/>
  <c r="CS966" i="54"/>
  <c r="CS967" i="54"/>
  <c r="CS968" i="54"/>
  <c r="CS969" i="54"/>
  <c r="CS970" i="54"/>
  <c r="CS971" i="54"/>
  <c r="CS972" i="54"/>
  <c r="CS973" i="54"/>
  <c r="CS974" i="54"/>
  <c r="CS975" i="54"/>
  <c r="CS976" i="54"/>
  <c r="CS977" i="54"/>
  <c r="CS978" i="54"/>
  <c r="CS979" i="54"/>
  <c r="CS980" i="54"/>
  <c r="CS981" i="54"/>
  <c r="CS982" i="54"/>
  <c r="CS983" i="54"/>
  <c r="CS984" i="54"/>
  <c r="CS985" i="54"/>
  <c r="CS986" i="54"/>
  <c r="CS987" i="54"/>
  <c r="CS988" i="54"/>
  <c r="CS989" i="54"/>
  <c r="CS990" i="54"/>
  <c r="CS991" i="54"/>
  <c r="CS992" i="54"/>
  <c r="CS993" i="54"/>
  <c r="CS994" i="54"/>
  <c r="CS995" i="54"/>
  <c r="CS996" i="54"/>
  <c r="CS997" i="54"/>
  <c r="CS998" i="54"/>
  <c r="CS999" i="54"/>
  <c r="CS1000" i="54"/>
  <c r="CS1001" i="54"/>
  <c r="CS1002" i="54"/>
  <c r="CS1003" i="54"/>
  <c r="CS1004" i="54"/>
  <c r="CS1005" i="54"/>
  <c r="CS1006" i="54"/>
  <c r="CS1007" i="54"/>
  <c r="CS1008" i="54"/>
  <c r="CS1009" i="54"/>
  <c r="CS1010" i="54"/>
  <c r="CS1011" i="54"/>
  <c r="CS1012" i="54"/>
  <c r="CS1013" i="54"/>
  <c r="CS1014" i="54"/>
  <c r="CS1015" i="54"/>
  <c r="CS1016" i="54"/>
  <c r="CS1017" i="54"/>
  <c r="CS1018" i="54"/>
  <c r="CS1019" i="54"/>
  <c r="CS1020" i="54"/>
  <c r="CS1021" i="54"/>
  <c r="CS1022" i="54"/>
  <c r="CS1023" i="54"/>
  <c r="CS1024" i="54"/>
  <c r="CS1025" i="54"/>
  <c r="CS1026" i="54"/>
  <c r="CS1027" i="54"/>
  <c r="CS1028" i="54"/>
  <c r="CS1029" i="54"/>
  <c r="CS1030" i="54"/>
  <c r="CS1031" i="54"/>
  <c r="CS1032" i="54"/>
  <c r="CS1033" i="54"/>
  <c r="CS1034" i="54"/>
  <c r="CS1035" i="54"/>
  <c r="CS1036" i="54"/>
  <c r="CS1037" i="54"/>
  <c r="CS1038" i="54"/>
  <c r="CS1039" i="54"/>
  <c r="CS1040" i="54"/>
  <c r="CS1041" i="54"/>
  <c r="CS1042" i="54"/>
  <c r="CS1043" i="54"/>
  <c r="CS1044" i="54"/>
  <c r="CS1045" i="54"/>
  <c r="CS1046" i="54"/>
  <c r="CS1047" i="54"/>
  <c r="CS1048" i="54"/>
  <c r="CS1049" i="54"/>
  <c r="CS1050" i="54"/>
  <c r="CS1051" i="54"/>
  <c r="CS1052" i="54"/>
  <c r="CS1053" i="54"/>
  <c r="CS1054" i="54"/>
  <c r="CS1055" i="54"/>
  <c r="CS1056" i="54"/>
  <c r="CS1057" i="54"/>
  <c r="CS1058" i="54"/>
  <c r="CS1059" i="54"/>
  <c r="CS1060" i="54"/>
  <c r="CS1061" i="54"/>
  <c r="CS1062" i="54"/>
  <c r="CS1063" i="54"/>
  <c r="CS1064" i="54"/>
  <c r="CS1065" i="54"/>
  <c r="CS1066" i="54"/>
  <c r="CS1067" i="54"/>
  <c r="CS1068" i="54"/>
  <c r="CS1069" i="54"/>
  <c r="CS1070" i="54"/>
  <c r="CS1071" i="54"/>
  <c r="CS1072" i="54"/>
  <c r="CS1073" i="54"/>
  <c r="CS1074" i="54"/>
  <c r="CS1075" i="54"/>
  <c r="CS1076" i="54"/>
  <c r="CS1077" i="54"/>
  <c r="CS1078" i="54"/>
  <c r="CS1079" i="54"/>
  <c r="CS1080" i="54"/>
  <c r="CS1081" i="54"/>
  <c r="CS1082" i="54"/>
  <c r="CS1083" i="54"/>
  <c r="CS1084" i="54"/>
  <c r="CS1085" i="54"/>
  <c r="CS1086" i="54"/>
  <c r="CS1087" i="54"/>
  <c r="CS1088" i="54"/>
  <c r="CS1089" i="54"/>
  <c r="CS1090" i="54"/>
  <c r="CS1091" i="54"/>
  <c r="CS1092" i="54"/>
  <c r="CS1093" i="54"/>
  <c r="CS1094" i="54"/>
  <c r="CS1095" i="54"/>
  <c r="CS1096" i="54"/>
  <c r="CS1097" i="54"/>
  <c r="CS1098" i="54"/>
  <c r="CS1099" i="54"/>
  <c r="CS1100" i="54"/>
  <c r="CS1101" i="54"/>
  <c r="CS1102" i="54"/>
  <c r="CS1103" i="54"/>
  <c r="CS1104" i="54"/>
  <c r="CS1105" i="54"/>
  <c r="CS1106" i="54"/>
  <c r="CS1107" i="54"/>
  <c r="CS1108" i="54"/>
  <c r="CS1109" i="54"/>
  <c r="CS1110" i="54"/>
  <c r="CS1111" i="54"/>
  <c r="CS1112" i="54"/>
  <c r="CS1113" i="54"/>
  <c r="CS1114" i="54"/>
  <c r="CS1115" i="54"/>
  <c r="CS1116" i="54"/>
  <c r="CS1117" i="54"/>
  <c r="CS1118" i="54"/>
  <c r="CS1119" i="54"/>
  <c r="CS1120" i="54"/>
  <c r="CS1121" i="54"/>
  <c r="CS1122" i="54"/>
  <c r="CS1123" i="54"/>
  <c r="CS1124" i="54"/>
  <c r="CS1125" i="54"/>
  <c r="CS1126" i="54"/>
  <c r="CS1127" i="54"/>
  <c r="CS1128" i="54"/>
  <c r="CS1129" i="54"/>
  <c r="CS1130" i="54"/>
  <c r="CS1131" i="54"/>
  <c r="CS1132" i="54"/>
  <c r="CS1133" i="54"/>
  <c r="CS1134" i="54"/>
  <c r="CS1135" i="54"/>
  <c r="CS1136" i="54"/>
  <c r="CS1137" i="54"/>
  <c r="CS1138" i="54"/>
  <c r="CS1139" i="54"/>
  <c r="CS1140" i="54"/>
  <c r="CS1141" i="54"/>
  <c r="CS1142" i="54"/>
  <c r="CS1143" i="54"/>
  <c r="CS1144" i="54"/>
  <c r="CS1145" i="54"/>
  <c r="CS1146" i="54"/>
  <c r="CS1147" i="54"/>
  <c r="CS1148" i="54"/>
  <c r="CS1149" i="54"/>
  <c r="CS1150" i="54"/>
  <c r="CS1151" i="54"/>
  <c r="CS1152" i="54"/>
  <c r="CS1153" i="54"/>
  <c r="CS1154" i="54"/>
  <c r="CS1155" i="54"/>
  <c r="CS1156" i="54"/>
  <c r="CS1157" i="54"/>
  <c r="CS1158" i="54"/>
  <c r="CS1159" i="54"/>
  <c r="CS1160" i="54"/>
  <c r="CS1161" i="54"/>
  <c r="CS1162" i="54"/>
  <c r="CS1163" i="54"/>
  <c r="CS1164" i="54"/>
  <c r="CS1165" i="54"/>
  <c r="CS1166" i="54"/>
  <c r="CS1167" i="54"/>
  <c r="CS1168" i="54"/>
  <c r="CS1169" i="54"/>
  <c r="CS1170" i="54"/>
  <c r="CS1171" i="54"/>
  <c r="CS1172" i="54"/>
  <c r="CS1173" i="54"/>
  <c r="CS1174" i="54"/>
  <c r="CS1175" i="54"/>
  <c r="CS1176" i="54"/>
  <c r="CS1177" i="54"/>
  <c r="CS1178" i="54"/>
  <c r="CS1179" i="54"/>
  <c r="CS1180" i="54"/>
  <c r="CS1181" i="54"/>
  <c r="CS1182" i="54"/>
  <c r="CS1183" i="54"/>
  <c r="CS1184" i="54"/>
  <c r="CS1185" i="54"/>
  <c r="CS1186" i="54"/>
  <c r="CS1187" i="54"/>
  <c r="CS1188" i="54"/>
  <c r="CS1189" i="54"/>
  <c r="CS1190" i="54"/>
  <c r="CS1191" i="54"/>
  <c r="CS1192" i="54"/>
  <c r="CS1193" i="54"/>
  <c r="CS1194" i="54"/>
  <c r="CS1195" i="54"/>
  <c r="CS1196" i="54"/>
  <c r="CS1197" i="54"/>
  <c r="CS1198" i="54"/>
  <c r="CS1199" i="54"/>
  <c r="CS1200" i="54"/>
  <c r="CS1201" i="54"/>
  <c r="CS1202" i="54"/>
  <c r="CS1203" i="54"/>
  <c r="CS1204" i="54"/>
  <c r="CS1205" i="54"/>
  <c r="CS1206" i="54"/>
  <c r="CS1207" i="54"/>
  <c r="CS1208" i="54"/>
  <c r="CS1209" i="54"/>
  <c r="CS1210" i="54"/>
  <c r="CS1211" i="54"/>
  <c r="CS1212" i="54"/>
  <c r="CS1213" i="54"/>
  <c r="CS1214" i="54"/>
  <c r="CS1215" i="54"/>
  <c r="CS1216" i="54"/>
  <c r="CS1217" i="54"/>
  <c r="CS1218" i="54"/>
  <c r="CS1219" i="54"/>
  <c r="CS1220" i="54"/>
  <c r="CS1221" i="54"/>
  <c r="CS1222" i="54"/>
  <c r="CS1223" i="54"/>
  <c r="CS1224" i="54"/>
  <c r="CS1225" i="54"/>
  <c r="CS1226" i="54"/>
  <c r="CS1227" i="54"/>
  <c r="CS1228" i="54"/>
  <c r="CS1229" i="54"/>
  <c r="CS1230" i="54"/>
  <c r="CS1231" i="54"/>
  <c r="CS1232" i="54"/>
  <c r="CS1233" i="54"/>
  <c r="CS1234" i="54"/>
  <c r="CS1235" i="54"/>
  <c r="CS1236" i="54"/>
  <c r="CS1237" i="54"/>
  <c r="CS1238" i="54"/>
  <c r="CS1239" i="54"/>
  <c r="CS1240" i="54"/>
  <c r="CS1241" i="54"/>
  <c r="CS1242" i="54"/>
  <c r="CS1243" i="54"/>
  <c r="CS1244" i="54"/>
  <c r="CS1245" i="54"/>
  <c r="CS1246" i="54"/>
  <c r="CS1247" i="54"/>
  <c r="CS1248" i="54"/>
  <c r="CS1249" i="54"/>
  <c r="CS1250" i="54"/>
  <c r="CS1251" i="54"/>
  <c r="CS1252" i="54"/>
  <c r="CS1253" i="54"/>
  <c r="CS1254" i="54"/>
  <c r="CS1255" i="54"/>
  <c r="CS1256" i="54"/>
  <c r="CS1257" i="54"/>
  <c r="CS1258" i="54"/>
  <c r="CS1259" i="54"/>
  <c r="CS1260" i="54"/>
  <c r="CS1261" i="54"/>
  <c r="CS1262" i="54"/>
  <c r="CS1263" i="54"/>
  <c r="CS1264" i="54"/>
  <c r="CS1265" i="54"/>
  <c r="CS1266" i="54"/>
  <c r="CS1267" i="54"/>
  <c r="CS1268" i="54"/>
  <c r="CS1269" i="54"/>
  <c r="CS1270" i="54"/>
  <c r="CS1271" i="54"/>
  <c r="CS1272" i="54"/>
  <c r="CS1273" i="54"/>
  <c r="CS1274" i="54"/>
  <c r="CS1275" i="54"/>
  <c r="CS1276" i="54"/>
  <c r="CS1277" i="54"/>
  <c r="CS1278" i="54"/>
  <c r="CS1279" i="54"/>
  <c r="CS1280" i="54"/>
  <c r="CS1281" i="54"/>
  <c r="CS1282" i="54"/>
  <c r="CS1283" i="54"/>
  <c r="CS1284" i="54"/>
  <c r="CS1285" i="54"/>
  <c r="CS1286" i="54"/>
  <c r="CS1287" i="54"/>
  <c r="CS1288" i="54"/>
  <c r="CS1289" i="54"/>
  <c r="CS1290" i="54"/>
  <c r="CS1291" i="54"/>
  <c r="CS1292" i="54"/>
  <c r="CS1293" i="54"/>
  <c r="CS1294" i="54"/>
  <c r="CS1295" i="54"/>
  <c r="CS1296" i="54"/>
  <c r="CS1297" i="54"/>
  <c r="CS1298" i="54"/>
  <c r="CS1299" i="54"/>
  <c r="CS1300" i="54"/>
  <c r="CS1301" i="54"/>
  <c r="CS1302" i="54"/>
  <c r="CS1303" i="54"/>
  <c r="CS1304" i="54"/>
  <c r="CS1305" i="54"/>
  <c r="CS1306" i="54"/>
  <c r="CS1307" i="54"/>
  <c r="CS1308" i="54"/>
  <c r="CS1309" i="54"/>
  <c r="CS1310" i="54"/>
  <c r="CS1311" i="54"/>
  <c r="CS1312" i="54"/>
  <c r="CS1313" i="54"/>
  <c r="CS1314" i="54"/>
  <c r="CS1315" i="54"/>
  <c r="CS1316" i="54"/>
  <c r="CS1317" i="54"/>
  <c r="CS1318" i="54"/>
  <c r="CS1319" i="54"/>
  <c r="CS1320" i="54"/>
  <c r="CS1321" i="54"/>
  <c r="CS1322" i="54"/>
  <c r="CS1323" i="54"/>
  <c r="CS1324" i="54"/>
  <c r="CS1325" i="54"/>
  <c r="CS1326" i="54"/>
  <c r="CS1327" i="54"/>
  <c r="CS1328" i="54"/>
  <c r="CS1329" i="54"/>
  <c r="CS1330" i="54"/>
  <c r="CS1331" i="54"/>
  <c r="CS1332" i="54"/>
  <c r="CS1333" i="54"/>
  <c r="CS1334" i="54"/>
  <c r="CS1335" i="54"/>
  <c r="CS1336" i="54"/>
  <c r="CS1337" i="54"/>
  <c r="CS1338" i="54"/>
  <c r="CS1339" i="54"/>
  <c r="CS1340" i="54"/>
  <c r="CS1341" i="54"/>
  <c r="CS1342" i="54"/>
  <c r="CS1343" i="54"/>
  <c r="CS1344" i="54"/>
  <c r="CS1345" i="54"/>
  <c r="CS1346" i="54"/>
  <c r="CS1347" i="54"/>
  <c r="CS1348" i="54"/>
  <c r="CS1349" i="54"/>
  <c r="CS1350" i="54"/>
  <c r="CS1351" i="54"/>
  <c r="CS1352" i="54"/>
  <c r="CS1353" i="54"/>
  <c r="CS1354" i="54"/>
  <c r="CS1355" i="54"/>
  <c r="CS1356" i="54"/>
  <c r="CS1357" i="54"/>
  <c r="CS1358" i="54"/>
  <c r="CS1359" i="54"/>
  <c r="CS1360" i="54"/>
  <c r="CS1361" i="54"/>
  <c r="CS1362" i="54"/>
  <c r="CS1363" i="54"/>
  <c r="CS1364" i="54"/>
  <c r="CS1365" i="54"/>
  <c r="CS1366" i="54"/>
  <c r="CS1367" i="54"/>
  <c r="CS1368" i="54"/>
  <c r="CS1369" i="54"/>
  <c r="CS1370" i="54"/>
  <c r="CS1371" i="54"/>
  <c r="CS1372" i="54"/>
  <c r="CS1373" i="54"/>
  <c r="CS1374" i="54"/>
  <c r="CS1375" i="54"/>
  <c r="CS1376" i="54"/>
  <c r="CS1377" i="54"/>
  <c r="CS1378" i="54"/>
  <c r="CS1379" i="54"/>
  <c r="CS1380" i="54"/>
  <c r="CS1381" i="54"/>
  <c r="CS1382" i="54"/>
  <c r="CS1383" i="54"/>
  <c r="CS1384" i="54"/>
  <c r="CS1385" i="54"/>
  <c r="CS1386" i="54"/>
  <c r="CS1387" i="54"/>
  <c r="CS1388" i="54"/>
  <c r="CS1389" i="54"/>
  <c r="CS1390" i="54"/>
  <c r="CS1391" i="54"/>
  <c r="CS1392" i="54"/>
  <c r="CS1393" i="54"/>
  <c r="CS1394" i="54"/>
  <c r="CS1395" i="54"/>
  <c r="CS1396" i="54"/>
  <c r="CS1397" i="54"/>
  <c r="CS1398" i="54"/>
  <c r="CS1399" i="54"/>
  <c r="CS1400" i="54"/>
  <c r="CS1401" i="54"/>
  <c r="CS1402" i="54"/>
  <c r="CS1403" i="54"/>
  <c r="CS1404" i="54"/>
  <c r="CS1405" i="54"/>
  <c r="CS1406" i="54"/>
  <c r="CS1407" i="54"/>
  <c r="CS1408" i="54"/>
  <c r="CS1409" i="54"/>
  <c r="CS1410" i="54"/>
  <c r="CS1411" i="54"/>
  <c r="CS1412" i="54"/>
  <c r="CS1413" i="54"/>
  <c r="CS1414" i="54"/>
  <c r="CS1415" i="54"/>
  <c r="CS1416" i="54"/>
  <c r="CS1417" i="54"/>
  <c r="CS1418" i="54"/>
  <c r="CS1419" i="54"/>
  <c r="CS1420" i="54"/>
  <c r="CS1421" i="54"/>
  <c r="CS1422" i="54"/>
  <c r="CS1423" i="54"/>
  <c r="CS1424" i="54"/>
  <c r="CS1425" i="54"/>
  <c r="CS1426" i="54"/>
  <c r="CS1427" i="54"/>
  <c r="CS1428" i="54"/>
  <c r="CS1429" i="54"/>
  <c r="CS1430" i="54"/>
  <c r="CS1431" i="54"/>
  <c r="CS1432" i="54"/>
  <c r="CS1433" i="54"/>
  <c r="CS1434" i="54"/>
  <c r="CS1435" i="54"/>
  <c r="CS1436" i="54"/>
  <c r="CS1437" i="54"/>
  <c r="CS1438" i="54"/>
  <c r="CS1439" i="54"/>
  <c r="CS1440" i="54"/>
  <c r="CS1441" i="54"/>
  <c r="CS1442" i="54"/>
  <c r="CS1443" i="54"/>
  <c r="CS1444" i="54"/>
  <c r="CS1445" i="54"/>
  <c r="CS1446" i="54"/>
  <c r="CS1447" i="54"/>
  <c r="CS1448" i="54"/>
  <c r="CS1449" i="54"/>
  <c r="CS1450" i="54"/>
  <c r="CS1451" i="54"/>
  <c r="CS1452" i="54"/>
  <c r="CS1453" i="54"/>
  <c r="CS1454" i="54"/>
  <c r="CS1455" i="54"/>
  <c r="CS1456" i="54"/>
  <c r="CS1457" i="54"/>
  <c r="CS1458" i="54"/>
  <c r="CS1459" i="54"/>
  <c r="CS1460" i="54"/>
  <c r="CS1461" i="54"/>
  <c r="CS1462" i="54"/>
  <c r="CS1463" i="54"/>
  <c r="CS1464" i="54"/>
  <c r="CS1465" i="54"/>
  <c r="CS1466" i="54"/>
  <c r="CS1467" i="54"/>
  <c r="CS1468" i="54"/>
  <c r="CS1469" i="54"/>
  <c r="CS1470" i="54"/>
  <c r="CS1471" i="54"/>
  <c r="CS1472" i="54"/>
  <c r="CS1473" i="54"/>
  <c r="CS1474" i="54"/>
  <c r="CS1475" i="54"/>
  <c r="CS1476" i="54"/>
  <c r="CS1477" i="54"/>
  <c r="CS1478" i="54"/>
  <c r="CS1479" i="54"/>
  <c r="CS1480" i="54"/>
  <c r="CS1481" i="54"/>
  <c r="CS1482" i="54"/>
  <c r="CS1483" i="54"/>
  <c r="CS1484" i="54"/>
  <c r="CS1485" i="54"/>
  <c r="CS1486" i="54"/>
  <c r="CS1487" i="54"/>
  <c r="CS1488" i="54"/>
  <c r="CS1489" i="54"/>
  <c r="CS1490" i="54"/>
  <c r="CS1491" i="54"/>
  <c r="CS1492" i="54"/>
  <c r="CS1493" i="54"/>
  <c r="CS1494" i="54"/>
  <c r="CS1495" i="54"/>
  <c r="CS1496" i="54"/>
  <c r="CS1497" i="54"/>
  <c r="CS1498" i="54"/>
  <c r="CS1499" i="54"/>
  <c r="CS1500" i="54"/>
  <c r="CS1501" i="54"/>
  <c r="CS1502" i="54"/>
  <c r="CS1503" i="54"/>
  <c r="CS1504" i="54"/>
  <c r="CS1505" i="54"/>
  <c r="CS1506" i="54"/>
  <c r="CS1507" i="54"/>
  <c r="CS1508" i="54"/>
  <c r="CS1509" i="54"/>
  <c r="CS1510" i="54"/>
  <c r="CS1511" i="54"/>
  <c r="CS1512" i="54"/>
  <c r="CS1513" i="54"/>
  <c r="CS1514" i="54"/>
  <c r="CS1515" i="54"/>
  <c r="CS1516" i="54"/>
  <c r="CS1517" i="54"/>
  <c r="CS1518" i="54"/>
  <c r="CS1519" i="54"/>
  <c r="CS1520" i="54"/>
  <c r="CS1521" i="54"/>
  <c r="CS1522" i="54"/>
  <c r="CS1523" i="54"/>
  <c r="CS1524" i="54"/>
  <c r="CS1525" i="54"/>
  <c r="CS1526" i="54"/>
  <c r="CS1527" i="54"/>
  <c r="CS1528" i="54"/>
  <c r="CS1529" i="54"/>
  <c r="CS1530" i="54"/>
  <c r="CS1531" i="54"/>
  <c r="CS1532" i="54"/>
  <c r="CS1533" i="54"/>
  <c r="CS1534" i="54"/>
  <c r="CS1535" i="54"/>
  <c r="CS1536" i="54"/>
  <c r="CS1537" i="54"/>
  <c r="CS1538" i="54"/>
  <c r="CS1539" i="54"/>
  <c r="CS1540" i="54"/>
  <c r="CS1541" i="54"/>
  <c r="CS1542" i="54"/>
  <c r="CS1543" i="54"/>
  <c r="CS1544" i="54"/>
  <c r="CS1545" i="54"/>
  <c r="CS1546" i="54"/>
  <c r="CS1547" i="54"/>
  <c r="CS1548" i="54"/>
  <c r="CS1549" i="54"/>
  <c r="CS1550" i="54"/>
  <c r="CS1551" i="54"/>
  <c r="CS1552" i="54"/>
  <c r="CS1553" i="54"/>
  <c r="CS1554" i="54"/>
  <c r="CS1555" i="54"/>
  <c r="CS1556" i="54"/>
  <c r="CS1557" i="54"/>
  <c r="CS1558" i="54"/>
  <c r="CS1559" i="54"/>
  <c r="CS1560" i="54"/>
  <c r="CS1561" i="54"/>
  <c r="CS1562" i="54"/>
  <c r="CS1563" i="54"/>
  <c r="CS1564" i="54"/>
  <c r="CS1565" i="54"/>
  <c r="CS1566" i="54"/>
  <c r="CS1567" i="54"/>
  <c r="CS1568" i="54"/>
  <c r="CS1569" i="54"/>
  <c r="CS1570" i="54"/>
  <c r="CS1571" i="54"/>
  <c r="CS1572" i="54"/>
  <c r="CS1573" i="54"/>
  <c r="CS1574" i="54"/>
  <c r="CS1575" i="54"/>
  <c r="CS1576" i="54"/>
  <c r="CS1577" i="54"/>
  <c r="CS1578" i="54"/>
  <c r="CS1579" i="54"/>
  <c r="CS1580" i="54"/>
  <c r="CS1581" i="54"/>
  <c r="CS1582" i="54"/>
  <c r="CS1583" i="54"/>
  <c r="CS1584" i="54"/>
  <c r="CS1585" i="54"/>
  <c r="CS1586" i="54"/>
  <c r="CS1587" i="54"/>
  <c r="CS1588" i="54"/>
  <c r="CS1589" i="54"/>
  <c r="CS1590" i="54"/>
  <c r="CS1591" i="54"/>
  <c r="CS1592" i="54"/>
  <c r="CS1593" i="54"/>
  <c r="CS1594" i="54"/>
  <c r="CS1595" i="54"/>
  <c r="CS1596" i="54"/>
  <c r="CS1597" i="54"/>
  <c r="CS1598" i="54"/>
  <c r="CS1599" i="54"/>
  <c r="CS1600" i="54"/>
  <c r="CS1601" i="54"/>
  <c r="CS1602" i="54"/>
  <c r="CS1603" i="54"/>
  <c r="CS1604" i="54"/>
  <c r="CS1605" i="54"/>
  <c r="CS1606" i="54"/>
  <c r="CS1607" i="54"/>
  <c r="CS1608" i="54"/>
  <c r="CS1609" i="54"/>
  <c r="CS1610" i="54"/>
  <c r="CS1611" i="54"/>
  <c r="CS1612" i="54"/>
  <c r="CS1613" i="54"/>
  <c r="CS1614" i="54"/>
  <c r="CS1615" i="54"/>
  <c r="CS1616" i="54"/>
  <c r="CS1617" i="54"/>
  <c r="CS1618" i="54"/>
  <c r="CS1619" i="54"/>
  <c r="CS1620" i="54"/>
  <c r="CS1621" i="54"/>
  <c r="CS1622" i="54"/>
  <c r="CS1623" i="54"/>
  <c r="CS1624" i="54"/>
  <c r="CS1625" i="54"/>
  <c r="CS1626" i="54"/>
  <c r="CS1627" i="54"/>
  <c r="CS1628" i="54"/>
  <c r="CS1629" i="54"/>
  <c r="CS1630" i="54"/>
  <c r="CS1631" i="54"/>
  <c r="CS1632" i="54"/>
  <c r="CS1633" i="54"/>
  <c r="CS1634" i="54"/>
  <c r="CS1635" i="54"/>
  <c r="CS1636" i="54"/>
  <c r="CS1637" i="54"/>
  <c r="CS1638" i="54"/>
  <c r="CS1639" i="54"/>
  <c r="CS1640" i="54"/>
  <c r="CS1641" i="54"/>
  <c r="CS1642" i="54"/>
  <c r="CS1643" i="54"/>
  <c r="CS1644" i="54"/>
  <c r="CS1645" i="54"/>
  <c r="CS1646" i="54"/>
  <c r="CS1647" i="54"/>
  <c r="CS1648" i="54"/>
  <c r="CS1649" i="54"/>
  <c r="CS1650" i="54"/>
  <c r="CS1651" i="54"/>
  <c r="CS1652" i="54"/>
  <c r="CS1653" i="54"/>
  <c r="CS1654" i="54"/>
  <c r="CS1655" i="54"/>
  <c r="CS1656" i="54"/>
  <c r="CS1657" i="54"/>
  <c r="CS1658" i="54"/>
  <c r="CS1659" i="54"/>
  <c r="CS1660" i="54"/>
  <c r="CS1661" i="54"/>
  <c r="CS1662" i="54"/>
  <c r="CS1663" i="54"/>
  <c r="CS1664" i="54"/>
  <c r="CS1665" i="54"/>
  <c r="CS1666" i="54"/>
  <c r="CS1667" i="54"/>
  <c r="CS1668" i="54"/>
  <c r="CS1669" i="54"/>
  <c r="CS1670" i="54"/>
  <c r="CS1671" i="54"/>
  <c r="CS1672" i="54"/>
  <c r="CS1673" i="54"/>
  <c r="CS1674" i="54"/>
  <c r="CS1675" i="54"/>
  <c r="CS1676" i="54"/>
  <c r="CS1677" i="54"/>
  <c r="CS1678" i="54"/>
  <c r="CS1679" i="54"/>
  <c r="CS1680" i="54"/>
  <c r="CS1681" i="54"/>
  <c r="CS1682" i="54"/>
  <c r="CS1683" i="54"/>
  <c r="CS1684" i="54"/>
  <c r="CS1685" i="54"/>
  <c r="CS1686" i="54"/>
  <c r="CS1687" i="54"/>
  <c r="CS1688" i="54"/>
  <c r="CS1689" i="54"/>
  <c r="CS1690" i="54"/>
  <c r="CS1691" i="54"/>
  <c r="CS1692" i="54"/>
  <c r="CS1693" i="54"/>
  <c r="CS1694" i="54"/>
  <c r="CS1695" i="54"/>
  <c r="CS1696" i="54"/>
  <c r="CS1697" i="54"/>
  <c r="CS1698" i="54"/>
  <c r="CS1699" i="54"/>
  <c r="CS1700" i="54"/>
  <c r="CS1701" i="54"/>
  <c r="CS1702" i="54"/>
  <c r="CS1703" i="54"/>
  <c r="CS1704" i="54"/>
  <c r="CS1705" i="54"/>
  <c r="CS1706" i="54"/>
  <c r="CS1707" i="54"/>
  <c r="CS1708" i="54"/>
  <c r="CS1709" i="54"/>
  <c r="CS1710" i="54"/>
  <c r="CS1711" i="54"/>
  <c r="CS1712" i="54"/>
  <c r="CS1713" i="54"/>
  <c r="CS1714" i="54"/>
  <c r="CS1715" i="54"/>
  <c r="CS1716" i="54"/>
  <c r="CS1717" i="54"/>
  <c r="CS1718" i="54"/>
  <c r="CS1719" i="54"/>
  <c r="CS1720" i="54"/>
  <c r="CS1721" i="54"/>
  <c r="CS1722" i="54"/>
  <c r="CS1723" i="54"/>
  <c r="CS1724" i="54"/>
  <c r="CS1725" i="54"/>
  <c r="CS1726" i="54"/>
  <c r="CS1727" i="54"/>
  <c r="CS1728" i="54"/>
  <c r="CS1729" i="54"/>
  <c r="CS1730" i="54"/>
  <c r="CS1731" i="54"/>
  <c r="CS1732" i="54"/>
  <c r="CS1733" i="54"/>
  <c r="CS1734" i="54"/>
  <c r="CS1735" i="54"/>
  <c r="CS1736" i="54"/>
  <c r="CS1737" i="54"/>
  <c r="CS1738" i="54"/>
  <c r="CS1739" i="54"/>
  <c r="CS1740" i="54"/>
  <c r="CS1741" i="54"/>
  <c r="CS1742" i="54"/>
  <c r="CS1743" i="54"/>
  <c r="CS1744" i="54"/>
  <c r="CS1745" i="54"/>
  <c r="CS1746" i="54"/>
  <c r="CS1747" i="54"/>
  <c r="CS1748" i="54"/>
  <c r="CS1749" i="54"/>
  <c r="CS1750" i="54"/>
  <c r="CS1751" i="54"/>
  <c r="CS1752" i="54"/>
  <c r="CS1753" i="54"/>
  <c r="CS1754" i="54"/>
  <c r="CS1755" i="54"/>
  <c r="CS1756" i="54"/>
  <c r="CS1757" i="54"/>
  <c r="CS1758" i="54"/>
  <c r="CS1759" i="54"/>
  <c r="CS1760" i="54"/>
  <c r="CS1761" i="54"/>
  <c r="CS1762" i="54"/>
  <c r="CS1763" i="54"/>
  <c r="CS1764" i="54"/>
  <c r="CS1765" i="54"/>
  <c r="CS1766" i="54"/>
  <c r="CS1767" i="54"/>
  <c r="CS1768" i="54"/>
  <c r="CS1769" i="54"/>
  <c r="CS1770" i="54"/>
  <c r="CS1771" i="54"/>
  <c r="CS1772" i="54"/>
  <c r="CS1773" i="54"/>
  <c r="CS1774" i="54"/>
  <c r="CS1775" i="54"/>
  <c r="CS1776" i="54"/>
  <c r="CS1777" i="54"/>
  <c r="CS1778" i="54"/>
  <c r="CS1779" i="54"/>
  <c r="CS1780" i="54"/>
  <c r="CS1781" i="54"/>
  <c r="CS1782" i="54"/>
  <c r="CS1783" i="54"/>
  <c r="CS1784" i="54"/>
  <c r="CS1785" i="54"/>
  <c r="CS1786" i="54"/>
  <c r="CS1787" i="54"/>
  <c r="CS1788" i="54"/>
  <c r="CS1789" i="54"/>
  <c r="CS1790" i="54"/>
  <c r="CS1791" i="54"/>
  <c r="CS1792" i="54"/>
  <c r="CS1793" i="54"/>
  <c r="CS1794" i="54"/>
  <c r="CS1795" i="54"/>
  <c r="CS1796" i="54"/>
  <c r="CS1797" i="54"/>
  <c r="CS1798" i="54"/>
  <c r="CS1799" i="54"/>
  <c r="CS1800" i="54"/>
  <c r="CS1801" i="54"/>
  <c r="CS1802" i="54"/>
  <c r="CS1803" i="54"/>
  <c r="CS1804" i="54"/>
  <c r="CS1805" i="54"/>
  <c r="CS1806" i="54"/>
  <c r="CS1807" i="54"/>
  <c r="CS1808" i="54"/>
  <c r="CS1809" i="54"/>
  <c r="CS1810" i="54"/>
  <c r="CS1811" i="54"/>
  <c r="CS1812" i="54"/>
  <c r="CS1813" i="54"/>
  <c r="CS1814" i="54"/>
  <c r="CS1815" i="54"/>
  <c r="CS1816" i="54"/>
  <c r="CS1817" i="54"/>
  <c r="CS1818" i="54"/>
  <c r="CS1819" i="54"/>
  <c r="CS1820" i="54"/>
  <c r="CS1821" i="54"/>
  <c r="CS1822" i="54"/>
  <c r="CS1823" i="54"/>
  <c r="CS1824" i="54"/>
  <c r="CS1825" i="54"/>
  <c r="CS1826" i="54"/>
  <c r="CS1827" i="54"/>
  <c r="CS1828" i="54"/>
  <c r="CS1829" i="54"/>
  <c r="CS1830" i="54"/>
  <c r="CS1831" i="54"/>
  <c r="CS1832" i="54"/>
  <c r="CS1833" i="54"/>
  <c r="CS1834" i="54"/>
  <c r="CS1835" i="54"/>
  <c r="CS1836" i="54"/>
  <c r="CS1837" i="54"/>
  <c r="CS1838" i="54"/>
  <c r="CS1839" i="54"/>
  <c r="CS1840" i="54"/>
  <c r="CS1841" i="54"/>
  <c r="CS1842" i="54"/>
  <c r="CS1843" i="54"/>
  <c r="CS1844" i="54"/>
  <c r="CS1845" i="54"/>
  <c r="CS1846" i="54"/>
  <c r="CS1847" i="54"/>
  <c r="CS1848" i="54"/>
  <c r="CS1849" i="54"/>
  <c r="CS1850" i="54"/>
  <c r="CS1851" i="54"/>
  <c r="CS1852" i="54"/>
  <c r="CS1853" i="54"/>
  <c r="CS1854" i="54"/>
  <c r="CS1855" i="54"/>
  <c r="CS1856" i="54"/>
  <c r="CS1857" i="54"/>
  <c r="CS1858" i="54"/>
  <c r="CS1859" i="54"/>
  <c r="CS1860" i="54"/>
  <c r="CS1861" i="54"/>
  <c r="CS1862" i="54"/>
  <c r="CS1863" i="54"/>
  <c r="CS1864" i="54"/>
  <c r="CS1865" i="54"/>
  <c r="CS1866" i="54"/>
  <c r="CS1867" i="54"/>
  <c r="CS1868" i="54"/>
  <c r="CS1869" i="54"/>
  <c r="CS1870" i="54"/>
  <c r="CS1871" i="54"/>
  <c r="CS1872" i="54"/>
  <c r="CS1873" i="54"/>
  <c r="CS1874" i="54"/>
  <c r="CS1875" i="54"/>
  <c r="CS1876" i="54"/>
  <c r="CS1877" i="54"/>
  <c r="CS1878" i="54"/>
  <c r="CS1879" i="54"/>
  <c r="CS1880" i="54"/>
  <c r="CS1881" i="54"/>
  <c r="CS1882" i="54"/>
  <c r="CS1883" i="54"/>
  <c r="CS1884" i="54"/>
  <c r="CS1885" i="54"/>
  <c r="CS1886" i="54"/>
  <c r="CS1887" i="54"/>
  <c r="CS1888" i="54"/>
  <c r="CS1889" i="54"/>
  <c r="CS1890" i="54"/>
  <c r="CS1891" i="54"/>
  <c r="CS1892" i="54"/>
  <c r="CS1893" i="54"/>
  <c r="CS1894" i="54"/>
  <c r="CS1895" i="54"/>
  <c r="CS1896" i="54"/>
  <c r="CS1897" i="54"/>
  <c r="CS1898" i="54"/>
  <c r="CS1899" i="54"/>
  <c r="CS1900" i="54"/>
  <c r="CS1901" i="54"/>
  <c r="CS1902" i="54"/>
  <c r="CS1903" i="54"/>
  <c r="CS1904" i="54"/>
  <c r="CS1905" i="54"/>
  <c r="CS1906" i="54"/>
  <c r="CS1907" i="54"/>
  <c r="CS1908" i="54"/>
  <c r="CS1909" i="54"/>
  <c r="CS1910" i="54"/>
  <c r="CS1911" i="54"/>
  <c r="CS1912" i="54"/>
  <c r="CS1913" i="54"/>
  <c r="CS1914" i="54"/>
  <c r="CS1915" i="54"/>
  <c r="CS1916" i="54"/>
  <c r="CS1917" i="54"/>
  <c r="CS1918" i="54"/>
  <c r="CS1919" i="54"/>
  <c r="CS1920" i="54"/>
  <c r="CS1921" i="54"/>
  <c r="CS1922" i="54"/>
  <c r="CS1923" i="54"/>
  <c r="CS1924" i="54"/>
  <c r="CS1925" i="54"/>
  <c r="CS1926" i="54"/>
  <c r="CS1927" i="54"/>
  <c r="CS1928" i="54"/>
  <c r="CS1929" i="54"/>
  <c r="CS1930" i="54"/>
  <c r="CS1931" i="54"/>
  <c r="CS1932" i="54"/>
  <c r="CS1933" i="54"/>
  <c r="CS1934" i="54"/>
  <c r="CS1935" i="54"/>
  <c r="CS1936" i="54"/>
  <c r="CS1937" i="54"/>
  <c r="CS1938" i="54"/>
  <c r="CS1939" i="54"/>
  <c r="CS1940" i="54"/>
  <c r="CS1941" i="54"/>
  <c r="CS1942" i="54"/>
  <c r="CS1943" i="54"/>
  <c r="CS1944" i="54"/>
  <c r="CS1945" i="54"/>
  <c r="CS1946" i="54"/>
  <c r="CS1947" i="54"/>
  <c r="CS1948" i="54"/>
  <c r="CS1949" i="54"/>
  <c r="CS1950" i="54"/>
  <c r="CS1951" i="54"/>
  <c r="CS1952" i="54"/>
  <c r="CS1953" i="54"/>
  <c r="CS1954" i="54"/>
  <c r="CS1955" i="54"/>
  <c r="CS1956" i="54"/>
  <c r="CS1957" i="54"/>
  <c r="CS1958" i="54"/>
  <c r="CS1959" i="54"/>
  <c r="CS1960" i="54"/>
  <c r="CS1961" i="54"/>
  <c r="CS1962" i="54"/>
  <c r="CS1963" i="54"/>
  <c r="CS1964" i="54"/>
  <c r="CS1965" i="54"/>
  <c r="CS1966" i="54"/>
  <c r="CS1967" i="54"/>
  <c r="CS1968" i="54"/>
  <c r="CS1969" i="54"/>
  <c r="CS1970" i="54"/>
  <c r="CS1971" i="54"/>
  <c r="CS1972" i="54"/>
  <c r="CS1973" i="54"/>
  <c r="CS1974" i="54"/>
  <c r="CS1975" i="54"/>
  <c r="CS1976" i="54"/>
  <c r="CS1977" i="54"/>
  <c r="CS1978" i="54"/>
  <c r="CS1979" i="54"/>
  <c r="CS1980" i="54"/>
  <c r="CS1981" i="54"/>
  <c r="CS1982" i="54"/>
  <c r="CS1983" i="54"/>
  <c r="CS1984" i="54"/>
  <c r="CS1985" i="54"/>
  <c r="CS1986" i="54"/>
  <c r="CS1987" i="54"/>
  <c r="CS1988" i="54"/>
  <c r="CS1989" i="54"/>
  <c r="CS1990" i="54"/>
  <c r="CS1991" i="54"/>
  <c r="CS1992" i="54"/>
  <c r="CS1993" i="54"/>
  <c r="CS1994" i="54"/>
  <c r="CS1995" i="54"/>
  <c r="CS1996" i="54"/>
  <c r="CS1997" i="54"/>
  <c r="CS1998" i="54"/>
  <c r="CS1999" i="54"/>
  <c r="CS2000" i="54"/>
  <c r="CS2001" i="54"/>
  <c r="CS2002" i="54"/>
  <c r="CS2003" i="54"/>
  <c r="CS2004" i="54"/>
  <c r="CS2005" i="54"/>
  <c r="CS2006" i="54"/>
  <c r="CS2007" i="54"/>
  <c r="CS2008" i="54"/>
  <c r="CS2009" i="54"/>
  <c r="CS2010" i="54"/>
  <c r="CS2011" i="54"/>
  <c r="CS2012" i="54"/>
  <c r="CS2013" i="54"/>
  <c r="CS2014" i="54"/>
  <c r="CS2015" i="54"/>
  <c r="CS2016" i="54"/>
  <c r="CS2017" i="54"/>
  <c r="CS2018" i="54"/>
  <c r="CS2019" i="54"/>
  <c r="CS2020" i="54"/>
  <c r="CS2021" i="54"/>
  <c r="CS2022" i="54"/>
  <c r="CS2023" i="54"/>
  <c r="CS2024" i="54"/>
  <c r="CS2025" i="54"/>
  <c r="CS2026" i="54"/>
  <c r="CS2027" i="54"/>
  <c r="CS2028" i="54"/>
  <c r="CS2029" i="54"/>
  <c r="CS2030" i="54"/>
  <c r="CS2031" i="54"/>
  <c r="CS2032" i="54"/>
  <c r="CS2033" i="54"/>
  <c r="CS2034" i="54"/>
  <c r="CS2035" i="54"/>
  <c r="CS2036" i="54"/>
  <c r="CS2037" i="54"/>
  <c r="CS2038" i="54"/>
  <c r="CS2039" i="54"/>
  <c r="CS2040" i="54"/>
  <c r="CS2041" i="54"/>
  <c r="CS2042" i="54"/>
  <c r="CS2043" i="54"/>
  <c r="CS2044" i="54"/>
  <c r="CS2045" i="54"/>
  <c r="CS2046" i="54"/>
  <c r="CS2047" i="54"/>
  <c r="CS2048" i="54"/>
  <c r="CS2049" i="54"/>
  <c r="CS2050" i="54"/>
  <c r="CS2051" i="54"/>
  <c r="CS2052" i="54"/>
  <c r="CS2053" i="54"/>
  <c r="CS2054" i="54"/>
  <c r="CS2055" i="54"/>
  <c r="CS2056" i="54"/>
  <c r="CS2057" i="54"/>
  <c r="CS2058" i="54"/>
  <c r="CS2059" i="54"/>
  <c r="CS2060" i="54"/>
  <c r="CS2061" i="54"/>
  <c r="CS2062" i="54"/>
  <c r="CS2063" i="54"/>
  <c r="CS2064" i="54"/>
  <c r="CS2065" i="54"/>
  <c r="CS2066" i="54"/>
  <c r="CS2067" i="54"/>
  <c r="CS2068" i="54"/>
  <c r="CS2069" i="54"/>
  <c r="CS2070" i="54"/>
  <c r="CS2071" i="54"/>
  <c r="CS2072" i="54"/>
  <c r="CS2073" i="54"/>
  <c r="CS2074" i="54"/>
  <c r="CS2075" i="54"/>
  <c r="CS2076" i="54"/>
  <c r="CS2077" i="54"/>
  <c r="CS2078" i="54"/>
  <c r="CS2079" i="54"/>
  <c r="CS2080" i="54"/>
  <c r="CS2081" i="54"/>
  <c r="CS2082" i="54"/>
  <c r="CS2083" i="54"/>
  <c r="CS2084" i="54"/>
  <c r="CS2085" i="54"/>
  <c r="CS2086" i="54"/>
  <c r="CS2087" i="54"/>
  <c r="CS2088" i="54"/>
  <c r="CS2089" i="54"/>
  <c r="CS2090" i="54"/>
  <c r="CS2091" i="54"/>
  <c r="CS2092" i="54"/>
  <c r="CS2093" i="54"/>
  <c r="CS2094" i="54"/>
  <c r="CS2095" i="54"/>
  <c r="CS2096" i="54"/>
  <c r="CS2097" i="54"/>
  <c r="CS2098" i="54"/>
  <c r="CS2099" i="54"/>
  <c r="CS2100" i="54"/>
  <c r="CS2101" i="54"/>
  <c r="CS2102" i="54"/>
  <c r="CS2103" i="54"/>
  <c r="CS2104" i="54"/>
  <c r="CS2105" i="54"/>
  <c r="CS2106" i="54"/>
  <c r="CS2107" i="54"/>
  <c r="CS2108" i="54"/>
  <c r="CS2109" i="54"/>
  <c r="CS2110" i="54"/>
  <c r="CS2111" i="54"/>
  <c r="CS2112" i="54"/>
  <c r="CS2113" i="54"/>
  <c r="CS2114" i="54"/>
  <c r="CS2115" i="54"/>
  <c r="CS2116" i="54"/>
  <c r="CS2117" i="54"/>
  <c r="CS2118" i="54"/>
  <c r="CS2119" i="54"/>
  <c r="CS2120" i="54"/>
  <c r="CS2121" i="54"/>
  <c r="CS2122" i="54"/>
  <c r="CS2123" i="54"/>
  <c r="CS2124" i="54"/>
  <c r="CS2125" i="54"/>
  <c r="CS2126" i="54"/>
  <c r="CS2127" i="54"/>
  <c r="CS2128" i="54"/>
  <c r="CS2129" i="54"/>
  <c r="CS2130" i="54"/>
  <c r="CS2131" i="54"/>
  <c r="CS2132" i="54"/>
  <c r="CS2133" i="54"/>
  <c r="CS2134" i="54"/>
  <c r="CS2135" i="54"/>
  <c r="CS2136" i="54"/>
  <c r="CS2137" i="54"/>
  <c r="CS2138" i="54"/>
  <c r="CS2139" i="54"/>
  <c r="CS2140" i="54"/>
  <c r="CS2141" i="54"/>
  <c r="CS2142" i="54"/>
  <c r="CS2143" i="54"/>
  <c r="CS2144" i="54"/>
  <c r="M41" i="13"/>
  <c r="L41" i="13"/>
  <c r="I41" i="13"/>
  <c r="C166" i="51"/>
  <c r="C165" i="51"/>
  <c r="C164" i="51"/>
  <c r="C163" i="51"/>
  <c r="C162" i="51"/>
  <c r="C161" i="51"/>
  <c r="C160" i="51"/>
  <c r="C159" i="51"/>
  <c r="C158" i="51"/>
  <c r="C157" i="51"/>
  <c r="C155" i="51"/>
  <c r="C154" i="51"/>
  <c r="C153" i="51"/>
  <c r="C152" i="51"/>
  <c r="C151" i="51"/>
  <c r="C150" i="51"/>
  <c r="C149" i="51"/>
  <c r="C148" i="51"/>
  <c r="C147" i="51"/>
  <c r="C146" i="51"/>
  <c r="C144" i="51"/>
  <c r="C143" i="51"/>
  <c r="C142" i="51"/>
  <c r="C141" i="51"/>
  <c r="C140" i="51"/>
  <c r="C139" i="51"/>
  <c r="C138" i="51"/>
  <c r="C137" i="51"/>
  <c r="C136" i="51"/>
  <c r="C135" i="51"/>
  <c r="C133" i="51"/>
  <c r="C132" i="51"/>
  <c r="C131" i="51"/>
  <c r="C130" i="51"/>
  <c r="C129" i="51"/>
  <c r="C128" i="51"/>
  <c r="C127" i="51"/>
  <c r="C126" i="51"/>
  <c r="C125" i="51"/>
  <c r="C124" i="51"/>
  <c r="C122" i="51"/>
  <c r="C121" i="51"/>
  <c r="C120" i="51"/>
  <c r="C119" i="51"/>
  <c r="C118" i="51"/>
  <c r="C117" i="51"/>
  <c r="C116" i="51"/>
  <c r="C115" i="51"/>
  <c r="C114" i="51"/>
  <c r="C113" i="51"/>
  <c r="C111" i="51"/>
  <c r="C110" i="51"/>
  <c r="C109" i="51"/>
  <c r="C108" i="51"/>
  <c r="C107" i="51"/>
  <c r="C106" i="51"/>
  <c r="C105" i="51"/>
  <c r="C104" i="51"/>
  <c r="C103" i="51"/>
  <c r="C102" i="51"/>
  <c r="C100" i="51"/>
  <c r="C99" i="51"/>
  <c r="C98" i="51"/>
  <c r="C97" i="51"/>
  <c r="C96" i="51"/>
  <c r="C95" i="51"/>
  <c r="C94" i="51"/>
  <c r="C93" i="51"/>
  <c r="C92" i="51"/>
  <c r="C91" i="51"/>
  <c r="C89" i="51"/>
  <c r="C88" i="51"/>
  <c r="C87" i="51"/>
  <c r="C86" i="51"/>
  <c r="C85" i="51"/>
  <c r="C84" i="51"/>
  <c r="C83" i="51"/>
  <c r="C82" i="51"/>
  <c r="C81" i="51"/>
  <c r="C80" i="51"/>
  <c r="C78" i="51"/>
  <c r="C77" i="51"/>
  <c r="C76" i="51"/>
  <c r="C75" i="51"/>
  <c r="C74" i="51"/>
  <c r="C73" i="51"/>
  <c r="C72" i="51"/>
  <c r="C71" i="51"/>
  <c r="C70" i="51"/>
  <c r="C69" i="51"/>
  <c r="C67" i="51"/>
  <c r="C66" i="51"/>
  <c r="C65" i="51"/>
  <c r="C64" i="51"/>
  <c r="C63" i="51"/>
  <c r="C62" i="51"/>
  <c r="C61" i="51"/>
  <c r="C60" i="51"/>
  <c r="C59" i="51"/>
  <c r="C58" i="51"/>
  <c r="C56" i="51"/>
  <c r="C55" i="51"/>
  <c r="C54" i="51"/>
  <c r="C53" i="51"/>
  <c r="C52" i="51"/>
  <c r="C51" i="51"/>
  <c r="C50" i="51"/>
  <c r="C49" i="51"/>
  <c r="C48" i="51"/>
  <c r="C47" i="51"/>
  <c r="C45" i="51"/>
  <c r="C44" i="51"/>
  <c r="C43" i="51"/>
  <c r="C42" i="51"/>
  <c r="C41" i="51"/>
  <c r="C40" i="51"/>
  <c r="C39" i="51"/>
  <c r="C38" i="51"/>
  <c r="C37" i="51"/>
  <c r="C36" i="51"/>
  <c r="C34" i="51"/>
  <c r="C33" i="51"/>
  <c r="C32" i="51"/>
  <c r="C31" i="51"/>
  <c r="C30" i="51"/>
  <c r="C29" i="51"/>
  <c r="C28" i="51"/>
  <c r="C27" i="51"/>
  <c r="C26" i="51"/>
  <c r="C25" i="51"/>
  <c r="C23" i="51"/>
  <c r="C22" i="51"/>
  <c r="C21" i="51"/>
  <c r="C20" i="51"/>
  <c r="C19" i="51"/>
  <c r="C18" i="51"/>
  <c r="C17" i="51"/>
  <c r="C16" i="51"/>
  <c r="C15" i="51"/>
  <c r="C14" i="51"/>
  <c r="C12" i="51"/>
  <c r="C11" i="51"/>
  <c r="C10" i="51"/>
  <c r="C9" i="51"/>
  <c r="C8" i="51"/>
  <c r="C7" i="51"/>
  <c r="C6" i="51"/>
  <c r="C5" i="51"/>
  <c r="C4" i="51"/>
  <c r="C3" i="51"/>
  <c r="I60" i="18"/>
  <c r="I61" i="18"/>
  <c r="I62" i="18"/>
  <c r="I63" i="18"/>
  <c r="I59" i="18"/>
  <c r="D59" i="18"/>
  <c r="D44" i="18"/>
  <c r="D43" i="18"/>
  <c r="D45" i="18"/>
  <c r="D42" i="18"/>
  <c r="C43" i="18"/>
  <c r="C44" i="18"/>
  <c r="C45" i="18"/>
  <c r="C42" i="18"/>
  <c r="C38" i="18"/>
  <c r="D39" i="18"/>
  <c r="I39" i="18"/>
  <c r="I38" i="18"/>
  <c r="D38" i="18"/>
  <c r="C39" i="18"/>
  <c r="C35" i="18"/>
  <c r="I33" i="18"/>
  <c r="I34" i="18"/>
  <c r="I35" i="18"/>
  <c r="I32" i="18"/>
  <c r="D32" i="18"/>
  <c r="D33" i="18"/>
  <c r="D34" i="18"/>
  <c r="D35" i="18"/>
  <c r="C33" i="18"/>
  <c r="C34" i="18"/>
  <c r="C32" i="18"/>
  <c r="C28" i="18"/>
  <c r="I29" i="18"/>
  <c r="I28" i="18"/>
  <c r="C29" i="18"/>
  <c r="D29" i="18"/>
  <c r="D28" i="18"/>
  <c r="C21" i="18"/>
  <c r="I23" i="18"/>
  <c r="I22" i="18"/>
  <c r="I21" i="18"/>
  <c r="D23" i="18"/>
  <c r="D22" i="18"/>
  <c r="D21" i="18"/>
  <c r="C23" i="18"/>
  <c r="C22" i="18"/>
  <c r="D17" i="18"/>
  <c r="D18" i="18"/>
  <c r="I17" i="18"/>
  <c r="I18" i="18"/>
  <c r="I16" i="18"/>
  <c r="D16" i="18"/>
  <c r="C16" i="18"/>
  <c r="C18" i="18"/>
  <c r="C17" i="18"/>
  <c r="I43" i="18"/>
  <c r="D12" i="18"/>
  <c r="C12" i="18"/>
  <c r="I9" i="17"/>
  <c r="I14" i="17"/>
  <c r="I20" i="17"/>
  <c r="I26" i="17"/>
  <c r="I33" i="17"/>
  <c r="D31" i="12"/>
  <c r="D33" i="12"/>
  <c r="I13" i="10" l="1"/>
  <c r="I14" i="10"/>
  <c r="I15" i="10"/>
  <c r="I16" i="10"/>
  <c r="I17" i="10"/>
  <c r="I18" i="10"/>
  <c r="I19" i="10"/>
  <c r="I20" i="10"/>
  <c r="D26" i="46"/>
  <c r="A52" i="9"/>
  <c r="E4" i="9"/>
  <c r="M3" i="9"/>
  <c r="L3" i="9"/>
  <c r="K3" i="9"/>
  <c r="J3" i="9"/>
  <c r="I3" i="9"/>
  <c r="H3" i="9"/>
  <c r="G3" i="9"/>
  <c r="F3" i="9"/>
  <c r="E3" i="9"/>
  <c r="D3" i="9"/>
  <c r="C3" i="9"/>
  <c r="B2" i="9"/>
  <c r="A2" i="9"/>
  <c r="D75" i="11"/>
  <c r="C33" i="7" s="1"/>
  <c r="D74" i="11"/>
  <c r="C32" i="7" s="1"/>
  <c r="D69" i="11"/>
  <c r="D70" i="11"/>
  <c r="D71" i="11"/>
  <c r="D68" i="11"/>
  <c r="C68" i="11"/>
  <c r="D63" i="18"/>
  <c r="D62" i="18"/>
  <c r="D61" i="18"/>
  <c r="D60" i="18"/>
  <c r="D56" i="18"/>
  <c r="D55" i="18"/>
  <c r="D54" i="18"/>
  <c r="D51" i="18"/>
  <c r="I19" i="17"/>
  <c r="I32" i="17"/>
  <c r="I31" i="17"/>
  <c r="I25" i="17"/>
  <c r="I13" i="17"/>
  <c r="D33" i="17"/>
  <c r="D26" i="17"/>
  <c r="D20" i="17"/>
  <c r="D14" i="17"/>
  <c r="D9" i="17"/>
  <c r="D171" i="47"/>
  <c r="D170" i="47"/>
  <c r="D169" i="47"/>
  <c r="D168" i="47"/>
  <c r="D167" i="47"/>
  <c r="D166" i="47"/>
  <c r="D165" i="47"/>
  <c r="D164" i="47"/>
  <c r="D163" i="47"/>
  <c r="D162" i="47"/>
  <c r="D160" i="47"/>
  <c r="D159" i="47"/>
  <c r="D158" i="47"/>
  <c r="D157" i="47"/>
  <c r="D156" i="47"/>
  <c r="D155" i="47"/>
  <c r="D154" i="47"/>
  <c r="D153" i="47"/>
  <c r="D152" i="47"/>
  <c r="D151" i="47"/>
  <c r="D149" i="47"/>
  <c r="D148" i="47"/>
  <c r="D147" i="47"/>
  <c r="D146" i="47"/>
  <c r="D145" i="47"/>
  <c r="D144" i="47"/>
  <c r="D143" i="47"/>
  <c r="D142" i="47"/>
  <c r="D141" i="47"/>
  <c r="D140" i="47"/>
  <c r="D138" i="47"/>
  <c r="D137" i="47"/>
  <c r="D136" i="47"/>
  <c r="D135" i="47"/>
  <c r="D134" i="47"/>
  <c r="D133" i="47"/>
  <c r="D132" i="47"/>
  <c r="D131" i="47"/>
  <c r="D130" i="47"/>
  <c r="D129" i="47"/>
  <c r="D127" i="47"/>
  <c r="D126" i="47"/>
  <c r="D125" i="47"/>
  <c r="D124" i="47"/>
  <c r="D123" i="47"/>
  <c r="D122" i="47"/>
  <c r="D121" i="47"/>
  <c r="D120" i="47"/>
  <c r="D119" i="47"/>
  <c r="D118" i="47"/>
  <c r="D116" i="47"/>
  <c r="D115" i="47"/>
  <c r="D114" i="47"/>
  <c r="D113" i="47"/>
  <c r="D112" i="47"/>
  <c r="D111" i="47"/>
  <c r="D110" i="47"/>
  <c r="D109" i="47"/>
  <c r="D108" i="47"/>
  <c r="D107" i="47"/>
  <c r="D105" i="47"/>
  <c r="D104" i="47"/>
  <c r="D103" i="47"/>
  <c r="D102" i="47"/>
  <c r="D101" i="47"/>
  <c r="D100" i="47"/>
  <c r="D99" i="47"/>
  <c r="D98" i="47"/>
  <c r="D97" i="47"/>
  <c r="D96" i="47"/>
  <c r="D94" i="47"/>
  <c r="D93" i="47"/>
  <c r="D92" i="47"/>
  <c r="D91" i="47"/>
  <c r="D90" i="47"/>
  <c r="D89" i="47"/>
  <c r="D88" i="47"/>
  <c r="D87" i="47"/>
  <c r="D86" i="47"/>
  <c r="D85" i="47"/>
  <c r="D83" i="47"/>
  <c r="D82" i="47"/>
  <c r="D81" i="47"/>
  <c r="D80" i="47"/>
  <c r="D79" i="47"/>
  <c r="D78" i="47"/>
  <c r="D77" i="47"/>
  <c r="D76" i="47"/>
  <c r="D75" i="47"/>
  <c r="D74" i="47"/>
  <c r="D72" i="47"/>
  <c r="D71" i="47"/>
  <c r="D70" i="47"/>
  <c r="D69" i="47"/>
  <c r="D68" i="47"/>
  <c r="D67" i="47"/>
  <c r="D66" i="47"/>
  <c r="D65" i="47"/>
  <c r="D64" i="47"/>
  <c r="D63" i="47"/>
  <c r="D53" i="47"/>
  <c r="D52" i="47"/>
  <c r="D50" i="47"/>
  <c r="D49" i="47"/>
  <c r="D48" i="47"/>
  <c r="D47" i="47"/>
  <c r="D46" i="47"/>
  <c r="D45" i="47"/>
  <c r="D44" i="47"/>
  <c r="D43" i="47"/>
  <c r="D42" i="47"/>
  <c r="D41" i="47"/>
  <c r="D39" i="47"/>
  <c r="D38" i="47"/>
  <c r="D37" i="47"/>
  <c r="D36" i="47"/>
  <c r="D35" i="47"/>
  <c r="D34" i="47"/>
  <c r="D33" i="47"/>
  <c r="D32" i="47"/>
  <c r="D31" i="47"/>
  <c r="D30" i="47"/>
  <c r="D28" i="47"/>
  <c r="D27" i="47"/>
  <c r="D26" i="47"/>
  <c r="D25" i="47"/>
  <c r="D24" i="47"/>
  <c r="D23" i="47"/>
  <c r="D22" i="47"/>
  <c r="D21" i="47"/>
  <c r="D20" i="47"/>
  <c r="D19" i="47"/>
  <c r="D17" i="47"/>
  <c r="D16" i="47"/>
  <c r="D15" i="47"/>
  <c r="D14" i="47"/>
  <c r="D13" i="47"/>
  <c r="D12" i="47"/>
  <c r="D11" i="47"/>
  <c r="D10" i="47"/>
  <c r="D9" i="47"/>
  <c r="D8" i="47"/>
  <c r="D125" i="46"/>
  <c r="D124" i="46"/>
  <c r="D123" i="46"/>
  <c r="D122" i="46"/>
  <c r="D121" i="46"/>
  <c r="D120" i="46"/>
  <c r="D132" i="46"/>
  <c r="D131" i="46"/>
  <c r="D118" i="46"/>
  <c r="D117" i="46"/>
  <c r="D116" i="46"/>
  <c r="D115" i="46"/>
  <c r="D113" i="46"/>
  <c r="D112" i="46"/>
  <c r="D111" i="46"/>
  <c r="D110" i="46"/>
  <c r="D108" i="46"/>
  <c r="D107" i="46"/>
  <c r="D106" i="46"/>
  <c r="D104" i="46"/>
  <c r="D103" i="46"/>
  <c r="D102" i="46"/>
  <c r="D99" i="46"/>
  <c r="D98" i="46"/>
  <c r="D97" i="46"/>
  <c r="D96" i="46"/>
  <c r="D95" i="46"/>
  <c r="D94" i="46"/>
  <c r="D92" i="46"/>
  <c r="D91" i="46"/>
  <c r="D90" i="46"/>
  <c r="D89" i="46"/>
  <c r="D87" i="46"/>
  <c r="D86" i="46"/>
  <c r="D85" i="46"/>
  <c r="D84" i="46"/>
  <c r="D83" i="46"/>
  <c r="D82" i="46"/>
  <c r="D81" i="46"/>
  <c r="D80" i="46"/>
  <c r="D79" i="46"/>
  <c r="D78" i="46"/>
  <c r="D75" i="46"/>
  <c r="D74" i="46"/>
  <c r="D73" i="46"/>
  <c r="D72" i="46"/>
  <c r="D71" i="46"/>
  <c r="D70" i="46"/>
  <c r="D69" i="46"/>
  <c r="D67" i="46"/>
  <c r="D66" i="46"/>
  <c r="D64" i="46"/>
  <c r="D63" i="46"/>
  <c r="D62" i="46"/>
  <c r="D61" i="46"/>
  <c r="D60" i="46"/>
  <c r="D59" i="46"/>
  <c r="D58" i="46"/>
  <c r="D57" i="46"/>
  <c r="D55" i="46"/>
  <c r="D54" i="46"/>
  <c r="D53" i="46"/>
  <c r="D52" i="46"/>
  <c r="D51" i="46"/>
  <c r="D49" i="46"/>
  <c r="D48" i="46"/>
  <c r="D47" i="46"/>
  <c r="D46" i="46"/>
  <c r="D45" i="46"/>
  <c r="D44" i="46"/>
  <c r="D43" i="46"/>
  <c r="D42" i="46"/>
  <c r="D41" i="46"/>
  <c r="D40" i="46"/>
  <c r="D39" i="46"/>
  <c r="D38" i="46"/>
  <c r="D37" i="46"/>
  <c r="D36" i="46"/>
  <c r="D35" i="46"/>
  <c r="D34" i="46"/>
  <c r="D33" i="46"/>
  <c r="D32" i="46"/>
  <c r="D31" i="46"/>
  <c r="D30" i="46"/>
  <c r="D29" i="46"/>
  <c r="M247" i="46"/>
  <c r="L247" i="46"/>
  <c r="I247" i="46"/>
  <c r="D247" i="46"/>
  <c r="C247" i="46"/>
  <c r="M246" i="46"/>
  <c r="L246" i="46"/>
  <c r="I246" i="46"/>
  <c r="D246" i="46"/>
  <c r="C246" i="46"/>
  <c r="M245" i="46"/>
  <c r="L245" i="46"/>
  <c r="I245" i="46"/>
  <c r="D245" i="46"/>
  <c r="C245" i="46"/>
  <c r="M244" i="46"/>
  <c r="L244" i="46"/>
  <c r="I244" i="46"/>
  <c r="D244" i="46"/>
  <c r="C244" i="46"/>
  <c r="M243" i="46"/>
  <c r="L243" i="46"/>
  <c r="I243" i="46"/>
  <c r="D243" i="46"/>
  <c r="C243" i="46"/>
  <c r="M242" i="46"/>
  <c r="L242" i="46"/>
  <c r="I242" i="46"/>
  <c r="D242" i="46"/>
  <c r="C242" i="46"/>
  <c r="M240" i="46"/>
  <c r="L240" i="46"/>
  <c r="I240" i="46"/>
  <c r="D240" i="46"/>
  <c r="C240" i="46"/>
  <c r="M239" i="46"/>
  <c r="L239" i="46"/>
  <c r="I239" i="46"/>
  <c r="D239" i="46"/>
  <c r="C239" i="46"/>
  <c r="M238" i="46"/>
  <c r="L238" i="46"/>
  <c r="I238" i="46"/>
  <c r="D238" i="46"/>
  <c r="C238" i="46"/>
  <c r="M237" i="46"/>
  <c r="L237" i="46"/>
  <c r="I237" i="46"/>
  <c r="D237" i="46"/>
  <c r="C237" i="46"/>
  <c r="M235" i="46"/>
  <c r="L235" i="46"/>
  <c r="I235" i="46"/>
  <c r="D235" i="46"/>
  <c r="C235" i="46"/>
  <c r="M234" i="46"/>
  <c r="L234" i="46"/>
  <c r="I234" i="46"/>
  <c r="D234" i="46"/>
  <c r="C234" i="46"/>
  <c r="M233" i="46"/>
  <c r="L233" i="46"/>
  <c r="I233" i="46"/>
  <c r="D233" i="46"/>
  <c r="C233" i="46"/>
  <c r="M232" i="46"/>
  <c r="L232" i="46"/>
  <c r="I232" i="46"/>
  <c r="D232" i="46"/>
  <c r="C232" i="46"/>
  <c r="M230" i="46"/>
  <c r="L230" i="46"/>
  <c r="I230" i="46"/>
  <c r="D230" i="46"/>
  <c r="C230" i="46"/>
  <c r="M229" i="46"/>
  <c r="L229" i="46"/>
  <c r="I229" i="46"/>
  <c r="D229" i="46"/>
  <c r="C229" i="46"/>
  <c r="M228" i="46"/>
  <c r="L228" i="46"/>
  <c r="I228" i="46"/>
  <c r="D228" i="46"/>
  <c r="C228" i="46"/>
  <c r="M226" i="46"/>
  <c r="L226" i="46"/>
  <c r="I226" i="46"/>
  <c r="D226" i="46"/>
  <c r="C226" i="46"/>
  <c r="M225" i="46"/>
  <c r="L225" i="46"/>
  <c r="I225" i="46"/>
  <c r="D225" i="46"/>
  <c r="C225" i="46"/>
  <c r="M224" i="46"/>
  <c r="L224" i="46"/>
  <c r="I224" i="46"/>
  <c r="D224" i="46"/>
  <c r="C224" i="46"/>
  <c r="M221" i="46"/>
  <c r="L221" i="46"/>
  <c r="I221" i="46"/>
  <c r="D221" i="46"/>
  <c r="C221" i="46"/>
  <c r="M220" i="46"/>
  <c r="L220" i="46"/>
  <c r="I220" i="46"/>
  <c r="D220" i="46"/>
  <c r="C220" i="46"/>
  <c r="M219" i="46"/>
  <c r="L219" i="46"/>
  <c r="I219" i="46"/>
  <c r="D219" i="46"/>
  <c r="C219" i="46"/>
  <c r="M218" i="46"/>
  <c r="L218" i="46"/>
  <c r="I218" i="46"/>
  <c r="D218" i="46"/>
  <c r="C218" i="46"/>
  <c r="M217" i="46"/>
  <c r="L217" i="46"/>
  <c r="I217" i="46"/>
  <c r="D217" i="46"/>
  <c r="C217" i="46"/>
  <c r="M216" i="46"/>
  <c r="L216" i="46"/>
  <c r="I216" i="46"/>
  <c r="D216" i="46"/>
  <c r="C216" i="46"/>
  <c r="M214" i="46"/>
  <c r="L214" i="46"/>
  <c r="I214" i="46"/>
  <c r="D214" i="46"/>
  <c r="C214" i="46"/>
  <c r="M213" i="46"/>
  <c r="L213" i="46"/>
  <c r="I213" i="46"/>
  <c r="D213" i="46"/>
  <c r="C213" i="46"/>
  <c r="M212" i="46"/>
  <c r="L212" i="46"/>
  <c r="I212" i="46"/>
  <c r="D212" i="46"/>
  <c r="C212" i="46"/>
  <c r="M211" i="46"/>
  <c r="L211" i="46"/>
  <c r="I211" i="46"/>
  <c r="D211" i="46"/>
  <c r="C211" i="46"/>
  <c r="M209" i="46"/>
  <c r="L209" i="46"/>
  <c r="I209" i="46"/>
  <c r="D209" i="46"/>
  <c r="C209" i="46"/>
  <c r="M208" i="46"/>
  <c r="L208" i="46"/>
  <c r="I208" i="46"/>
  <c r="D208" i="46"/>
  <c r="C208" i="46"/>
  <c r="M207" i="46"/>
  <c r="L207" i="46"/>
  <c r="I207" i="46"/>
  <c r="D207" i="46"/>
  <c r="C207" i="46"/>
  <c r="M206" i="46"/>
  <c r="L206" i="46"/>
  <c r="I206" i="46"/>
  <c r="D206" i="46"/>
  <c r="C206" i="46"/>
  <c r="M205" i="46"/>
  <c r="L205" i="46"/>
  <c r="I205" i="46"/>
  <c r="D205" i="46"/>
  <c r="C205" i="46"/>
  <c r="M204" i="46"/>
  <c r="L204" i="46"/>
  <c r="I204" i="46"/>
  <c r="D204" i="46"/>
  <c r="C204" i="46"/>
  <c r="M203" i="46"/>
  <c r="L203" i="46"/>
  <c r="I203" i="46"/>
  <c r="D203" i="46"/>
  <c r="C203" i="46"/>
  <c r="M202" i="46"/>
  <c r="L202" i="46"/>
  <c r="I202" i="46"/>
  <c r="D202" i="46"/>
  <c r="C202" i="46"/>
  <c r="M201" i="46"/>
  <c r="L201" i="46"/>
  <c r="I201" i="46"/>
  <c r="D201" i="46"/>
  <c r="C201" i="46"/>
  <c r="M200" i="46"/>
  <c r="L200" i="46"/>
  <c r="I200" i="46"/>
  <c r="D200" i="46"/>
  <c r="C200" i="46"/>
  <c r="M197" i="46"/>
  <c r="L197" i="46"/>
  <c r="I197" i="46"/>
  <c r="D197" i="46"/>
  <c r="C197" i="46"/>
  <c r="M196" i="46"/>
  <c r="L196" i="46"/>
  <c r="I196" i="46"/>
  <c r="D196" i="46"/>
  <c r="C196" i="46"/>
  <c r="M195" i="46"/>
  <c r="L195" i="46"/>
  <c r="I195" i="46"/>
  <c r="D195" i="46"/>
  <c r="C195" i="46"/>
  <c r="M194" i="46"/>
  <c r="L194" i="46"/>
  <c r="I194" i="46"/>
  <c r="D194" i="46"/>
  <c r="C194" i="46"/>
  <c r="M193" i="46"/>
  <c r="L193" i="46"/>
  <c r="I193" i="46"/>
  <c r="D193" i="46"/>
  <c r="C193" i="46"/>
  <c r="M192" i="46"/>
  <c r="L192" i="46"/>
  <c r="I192" i="46"/>
  <c r="D192" i="46"/>
  <c r="C192" i="46"/>
  <c r="M191" i="46"/>
  <c r="L191" i="46"/>
  <c r="I191" i="46"/>
  <c r="D191" i="46"/>
  <c r="C191" i="46"/>
  <c r="M189" i="46"/>
  <c r="L189" i="46"/>
  <c r="I189" i="46"/>
  <c r="D189" i="46"/>
  <c r="C189" i="46"/>
  <c r="M188" i="46"/>
  <c r="L188" i="46"/>
  <c r="I188" i="46"/>
  <c r="D188" i="46"/>
  <c r="C188" i="46"/>
  <c r="M186" i="46"/>
  <c r="L186" i="46"/>
  <c r="I186" i="46"/>
  <c r="D186" i="46"/>
  <c r="C186" i="46"/>
  <c r="M185" i="46"/>
  <c r="L185" i="46"/>
  <c r="I185" i="46"/>
  <c r="D185" i="46"/>
  <c r="C185" i="46"/>
  <c r="M184" i="46"/>
  <c r="L184" i="46"/>
  <c r="I184" i="46"/>
  <c r="D184" i="46"/>
  <c r="C184" i="46"/>
  <c r="M183" i="46"/>
  <c r="L183" i="46"/>
  <c r="I183" i="46"/>
  <c r="D183" i="46"/>
  <c r="C183" i="46"/>
  <c r="M182" i="46"/>
  <c r="L182" i="46"/>
  <c r="I182" i="46"/>
  <c r="D182" i="46"/>
  <c r="C182" i="46"/>
  <c r="M181" i="46"/>
  <c r="L181" i="46"/>
  <c r="I181" i="46"/>
  <c r="D181" i="46"/>
  <c r="C181" i="46"/>
  <c r="M180" i="46"/>
  <c r="L180" i="46"/>
  <c r="I180" i="46"/>
  <c r="D180" i="46"/>
  <c r="C180" i="46"/>
  <c r="M179" i="46"/>
  <c r="L179" i="46"/>
  <c r="I179" i="46"/>
  <c r="D179" i="46"/>
  <c r="C179" i="46"/>
  <c r="M177" i="46"/>
  <c r="L177" i="46"/>
  <c r="I177" i="46"/>
  <c r="D177" i="46"/>
  <c r="C177" i="46"/>
  <c r="M176" i="46"/>
  <c r="L176" i="46"/>
  <c r="I176" i="46"/>
  <c r="D176" i="46"/>
  <c r="C176" i="46"/>
  <c r="M175" i="46"/>
  <c r="L175" i="46"/>
  <c r="I175" i="46"/>
  <c r="D175" i="46"/>
  <c r="C175" i="46"/>
  <c r="M174" i="46"/>
  <c r="L174" i="46"/>
  <c r="I174" i="46"/>
  <c r="D174" i="46"/>
  <c r="C174" i="46"/>
  <c r="M173" i="46"/>
  <c r="L173" i="46"/>
  <c r="I173" i="46"/>
  <c r="D173" i="46"/>
  <c r="C173" i="46"/>
  <c r="M171" i="46"/>
  <c r="L171" i="46"/>
  <c r="I171" i="46"/>
  <c r="D171" i="46"/>
  <c r="C171" i="46"/>
  <c r="M170" i="46"/>
  <c r="L170" i="46"/>
  <c r="I170" i="46"/>
  <c r="D170" i="46"/>
  <c r="C170" i="46"/>
  <c r="M169" i="46"/>
  <c r="L169" i="46"/>
  <c r="I169" i="46"/>
  <c r="D169" i="46"/>
  <c r="C169" i="46"/>
  <c r="M168" i="46"/>
  <c r="L168" i="46"/>
  <c r="I168" i="46"/>
  <c r="D168" i="46"/>
  <c r="C168" i="46"/>
  <c r="M167" i="46"/>
  <c r="L167" i="46"/>
  <c r="I167" i="46"/>
  <c r="D167" i="46"/>
  <c r="C167" i="46"/>
  <c r="M166" i="46"/>
  <c r="L166" i="46"/>
  <c r="I166" i="46"/>
  <c r="D166" i="46"/>
  <c r="C166" i="46"/>
  <c r="M165" i="46"/>
  <c r="L165" i="46"/>
  <c r="I165" i="46"/>
  <c r="D165" i="46"/>
  <c r="C165" i="46"/>
  <c r="M164" i="46"/>
  <c r="L164" i="46"/>
  <c r="I164" i="46"/>
  <c r="D164" i="46"/>
  <c r="C164" i="46"/>
  <c r="M163" i="46"/>
  <c r="L163" i="46"/>
  <c r="I163" i="46"/>
  <c r="D163" i="46"/>
  <c r="C163" i="46"/>
  <c r="M162" i="46"/>
  <c r="L162" i="46"/>
  <c r="I162" i="46"/>
  <c r="D162" i="46"/>
  <c r="C162" i="46"/>
  <c r="M161" i="46"/>
  <c r="L161" i="46"/>
  <c r="I161" i="46"/>
  <c r="D161" i="46"/>
  <c r="C161" i="46"/>
  <c r="M160" i="46"/>
  <c r="L160" i="46"/>
  <c r="I160" i="46"/>
  <c r="D160" i="46"/>
  <c r="C160" i="46"/>
  <c r="M159" i="46"/>
  <c r="L159" i="46"/>
  <c r="I159" i="46"/>
  <c r="D159" i="46"/>
  <c r="C159" i="46"/>
  <c r="M158" i="46"/>
  <c r="L158" i="46"/>
  <c r="I158" i="46"/>
  <c r="D158" i="46"/>
  <c r="C158" i="46"/>
  <c r="M157" i="46"/>
  <c r="L157" i="46"/>
  <c r="I157" i="46"/>
  <c r="D157" i="46"/>
  <c r="C157" i="46"/>
  <c r="M156" i="46"/>
  <c r="L156" i="46"/>
  <c r="I156" i="46"/>
  <c r="D156" i="46"/>
  <c r="C156" i="46"/>
  <c r="M155" i="46"/>
  <c r="L155" i="46"/>
  <c r="I155" i="46"/>
  <c r="D155" i="46"/>
  <c r="C155" i="46"/>
  <c r="M154" i="46"/>
  <c r="L154" i="46"/>
  <c r="I154" i="46"/>
  <c r="D154" i="46"/>
  <c r="C154" i="46"/>
  <c r="M153" i="46"/>
  <c r="L153" i="46"/>
  <c r="I153" i="46"/>
  <c r="D153" i="46"/>
  <c r="C153" i="46"/>
  <c r="M152" i="46"/>
  <c r="L152" i="46"/>
  <c r="I152" i="46"/>
  <c r="D152" i="46"/>
  <c r="C152" i="46"/>
  <c r="M151" i="46"/>
  <c r="L151" i="46"/>
  <c r="I151" i="46"/>
  <c r="D151" i="46"/>
  <c r="C151" i="46"/>
  <c r="M148" i="46"/>
  <c r="L148" i="46"/>
  <c r="I148" i="46"/>
  <c r="D148" i="46"/>
  <c r="C148" i="46"/>
  <c r="M146" i="46"/>
  <c r="L146" i="46"/>
  <c r="I146" i="46"/>
  <c r="D146" i="46"/>
  <c r="C146" i="46"/>
  <c r="M145" i="46"/>
  <c r="L145" i="46"/>
  <c r="I145" i="46"/>
  <c r="D145" i="46"/>
  <c r="C145" i="46"/>
  <c r="M144" i="46"/>
  <c r="L144" i="46"/>
  <c r="I144" i="46"/>
  <c r="D144" i="46"/>
  <c r="C144" i="46"/>
  <c r="M143" i="46"/>
  <c r="L143" i="46"/>
  <c r="I143" i="46"/>
  <c r="D143" i="46"/>
  <c r="C143" i="46"/>
  <c r="M142" i="46"/>
  <c r="L142" i="46"/>
  <c r="I142" i="46"/>
  <c r="D142" i="46"/>
  <c r="C142" i="46"/>
  <c r="M141" i="46"/>
  <c r="L141" i="46"/>
  <c r="I141" i="46"/>
  <c r="D141" i="46"/>
  <c r="C141" i="46"/>
  <c r="M140" i="46"/>
  <c r="L140" i="46"/>
  <c r="I140" i="46"/>
  <c r="D140" i="46"/>
  <c r="C140" i="46"/>
  <c r="M139" i="46"/>
  <c r="L139" i="46"/>
  <c r="I139" i="46"/>
  <c r="D139" i="46"/>
  <c r="C139" i="46"/>
  <c r="M138" i="46"/>
  <c r="L138" i="46"/>
  <c r="I138" i="46"/>
  <c r="D138" i="46"/>
  <c r="C138" i="46"/>
  <c r="M137" i="46"/>
  <c r="L137" i="46"/>
  <c r="I137" i="46"/>
  <c r="D137" i="46"/>
  <c r="C137" i="46"/>
  <c r="M136" i="46"/>
  <c r="L136" i="46"/>
  <c r="I136" i="46"/>
  <c r="D136" i="46"/>
  <c r="C136" i="46"/>
  <c r="M135" i="46"/>
  <c r="L135" i="46"/>
  <c r="I135" i="46"/>
  <c r="D135" i="46"/>
  <c r="C135" i="46"/>
  <c r="M134" i="46"/>
  <c r="L134" i="46"/>
  <c r="I134" i="46"/>
  <c r="D134" i="46"/>
  <c r="C134" i="46"/>
  <c r="M132" i="46"/>
  <c r="L132" i="46"/>
  <c r="I132" i="46"/>
  <c r="C132" i="46"/>
  <c r="M131" i="46"/>
  <c r="L131" i="46"/>
  <c r="I131" i="46"/>
  <c r="C131" i="46"/>
  <c r="M125" i="46"/>
  <c r="L125" i="46"/>
  <c r="I125" i="46"/>
  <c r="C125" i="46"/>
  <c r="M124" i="46"/>
  <c r="L124" i="46"/>
  <c r="I124" i="46"/>
  <c r="C124" i="46"/>
  <c r="M123" i="46"/>
  <c r="L123" i="46"/>
  <c r="I123" i="46"/>
  <c r="C123" i="46"/>
  <c r="M122" i="46"/>
  <c r="L122" i="46"/>
  <c r="I122" i="46"/>
  <c r="C122" i="46"/>
  <c r="M121" i="46"/>
  <c r="L121" i="46"/>
  <c r="I121" i="46"/>
  <c r="C121" i="46"/>
  <c r="M120" i="46"/>
  <c r="L120" i="46"/>
  <c r="I120" i="46"/>
  <c r="C120" i="46"/>
  <c r="M118" i="46"/>
  <c r="L118" i="46"/>
  <c r="I118" i="46"/>
  <c r="C118" i="46"/>
  <c r="M117" i="46"/>
  <c r="L117" i="46"/>
  <c r="I117" i="46"/>
  <c r="C117" i="46"/>
  <c r="M116" i="46"/>
  <c r="L116" i="46"/>
  <c r="I116" i="46"/>
  <c r="C116" i="46"/>
  <c r="M115" i="46"/>
  <c r="L115" i="46"/>
  <c r="I115" i="46"/>
  <c r="C115" i="46"/>
  <c r="M113" i="46"/>
  <c r="L113" i="46"/>
  <c r="I113" i="46"/>
  <c r="C113" i="46"/>
  <c r="M112" i="46"/>
  <c r="L112" i="46"/>
  <c r="I112" i="46"/>
  <c r="C112" i="46"/>
  <c r="M111" i="46"/>
  <c r="L111" i="46"/>
  <c r="I111" i="46"/>
  <c r="C111" i="46"/>
  <c r="M110" i="46"/>
  <c r="L110" i="46"/>
  <c r="I110" i="46"/>
  <c r="C110" i="46"/>
  <c r="M108" i="46"/>
  <c r="L108" i="46"/>
  <c r="I108" i="46"/>
  <c r="C108" i="46"/>
  <c r="M107" i="46"/>
  <c r="L107" i="46"/>
  <c r="I107" i="46"/>
  <c r="C107" i="46"/>
  <c r="M106" i="46"/>
  <c r="L106" i="46"/>
  <c r="I106" i="46"/>
  <c r="C106" i="46"/>
  <c r="M104" i="46"/>
  <c r="L104" i="46"/>
  <c r="I104" i="46"/>
  <c r="C104" i="46"/>
  <c r="M103" i="46"/>
  <c r="L103" i="46"/>
  <c r="I103" i="46"/>
  <c r="C103" i="46"/>
  <c r="M102" i="46"/>
  <c r="L102" i="46"/>
  <c r="I102" i="46"/>
  <c r="C102" i="46"/>
  <c r="M99" i="46"/>
  <c r="L99" i="46"/>
  <c r="I99" i="46"/>
  <c r="C99" i="46"/>
  <c r="M98" i="46"/>
  <c r="L98" i="46"/>
  <c r="I98" i="46"/>
  <c r="C98" i="46"/>
  <c r="M97" i="46"/>
  <c r="L97" i="46"/>
  <c r="I97" i="46"/>
  <c r="C97" i="46"/>
  <c r="M96" i="46"/>
  <c r="L96" i="46"/>
  <c r="I96" i="46"/>
  <c r="C96" i="46"/>
  <c r="M95" i="46"/>
  <c r="L95" i="46"/>
  <c r="I95" i="46"/>
  <c r="C95" i="46"/>
  <c r="M94" i="46"/>
  <c r="L94" i="46"/>
  <c r="I94" i="46"/>
  <c r="C94" i="46"/>
  <c r="M92" i="46"/>
  <c r="L92" i="46"/>
  <c r="I92" i="46"/>
  <c r="C92" i="46"/>
  <c r="M91" i="46"/>
  <c r="L91" i="46"/>
  <c r="I91" i="46"/>
  <c r="C91" i="46"/>
  <c r="M90" i="46"/>
  <c r="L90" i="46"/>
  <c r="I90" i="46"/>
  <c r="C90" i="46"/>
  <c r="M89" i="46"/>
  <c r="L89" i="46"/>
  <c r="I89" i="46"/>
  <c r="C89" i="46"/>
  <c r="M87" i="46"/>
  <c r="L87" i="46"/>
  <c r="I87" i="46"/>
  <c r="C87" i="46"/>
  <c r="M86" i="46"/>
  <c r="L86" i="46"/>
  <c r="I86" i="46"/>
  <c r="C86" i="46"/>
  <c r="M85" i="46"/>
  <c r="L85" i="46"/>
  <c r="I85" i="46"/>
  <c r="C85" i="46"/>
  <c r="M84" i="46"/>
  <c r="L84" i="46"/>
  <c r="I84" i="46"/>
  <c r="C84" i="46"/>
  <c r="M83" i="46"/>
  <c r="L83" i="46"/>
  <c r="I83" i="46"/>
  <c r="C83" i="46"/>
  <c r="M82" i="46"/>
  <c r="L82" i="46"/>
  <c r="I82" i="46"/>
  <c r="C82" i="46"/>
  <c r="M81" i="46"/>
  <c r="L81" i="46"/>
  <c r="I81" i="46"/>
  <c r="C81" i="46"/>
  <c r="M80" i="46"/>
  <c r="L80" i="46"/>
  <c r="I80" i="46"/>
  <c r="C80" i="46"/>
  <c r="M79" i="46"/>
  <c r="L79" i="46"/>
  <c r="I79" i="46"/>
  <c r="C79" i="46"/>
  <c r="M78" i="46"/>
  <c r="L78" i="46"/>
  <c r="I78" i="46"/>
  <c r="C78" i="46"/>
  <c r="M75" i="46"/>
  <c r="L75" i="46"/>
  <c r="I75" i="46"/>
  <c r="C75" i="46"/>
  <c r="M74" i="46"/>
  <c r="L74" i="46"/>
  <c r="I74" i="46"/>
  <c r="C74" i="46"/>
  <c r="M73" i="46"/>
  <c r="L73" i="46"/>
  <c r="I73" i="46"/>
  <c r="C73" i="46"/>
  <c r="M72" i="46"/>
  <c r="L72" i="46"/>
  <c r="I72" i="46"/>
  <c r="C72" i="46"/>
  <c r="M71" i="46"/>
  <c r="L71" i="46"/>
  <c r="I71" i="46"/>
  <c r="C71" i="46"/>
  <c r="M70" i="46"/>
  <c r="L70" i="46"/>
  <c r="I70" i="46"/>
  <c r="C70" i="46"/>
  <c r="M69" i="46"/>
  <c r="L69" i="46"/>
  <c r="I69" i="46"/>
  <c r="C69" i="46"/>
  <c r="M67" i="46"/>
  <c r="L67" i="46"/>
  <c r="I67" i="46"/>
  <c r="C67" i="46"/>
  <c r="M66" i="46"/>
  <c r="L66" i="46"/>
  <c r="I66" i="46"/>
  <c r="C66" i="46"/>
  <c r="M64" i="46"/>
  <c r="L64" i="46"/>
  <c r="I64" i="46"/>
  <c r="C64" i="46"/>
  <c r="M63" i="46"/>
  <c r="L63" i="46"/>
  <c r="I63" i="46"/>
  <c r="C63" i="46"/>
  <c r="M62" i="46"/>
  <c r="L62" i="46"/>
  <c r="I62" i="46"/>
  <c r="C62" i="46"/>
  <c r="M61" i="46"/>
  <c r="L61" i="46"/>
  <c r="I61" i="46"/>
  <c r="C61" i="46"/>
  <c r="M60" i="46"/>
  <c r="L60" i="46"/>
  <c r="I60" i="46"/>
  <c r="C60" i="46"/>
  <c r="M59" i="46"/>
  <c r="L59" i="46"/>
  <c r="I59" i="46"/>
  <c r="C59" i="46"/>
  <c r="M58" i="46"/>
  <c r="L58" i="46"/>
  <c r="I58" i="46"/>
  <c r="C58" i="46"/>
  <c r="M57" i="46"/>
  <c r="L57" i="46"/>
  <c r="I57" i="46"/>
  <c r="C57" i="46"/>
  <c r="M55" i="46"/>
  <c r="L55" i="46"/>
  <c r="I55" i="46"/>
  <c r="C55" i="46"/>
  <c r="M54" i="46"/>
  <c r="L54" i="46"/>
  <c r="I54" i="46"/>
  <c r="C54" i="46"/>
  <c r="M53" i="46"/>
  <c r="L53" i="46"/>
  <c r="I53" i="46"/>
  <c r="C53" i="46"/>
  <c r="M52" i="46"/>
  <c r="L52" i="46"/>
  <c r="I52" i="46"/>
  <c r="C52" i="46"/>
  <c r="M51" i="46"/>
  <c r="L51" i="46"/>
  <c r="I51" i="46"/>
  <c r="C51" i="46"/>
  <c r="M49" i="46"/>
  <c r="L49" i="46"/>
  <c r="I49" i="46"/>
  <c r="C49" i="46"/>
  <c r="M48" i="46"/>
  <c r="L48" i="46"/>
  <c r="I48" i="46"/>
  <c r="C48" i="46"/>
  <c r="M47" i="46"/>
  <c r="L47" i="46"/>
  <c r="I47" i="46"/>
  <c r="C47" i="46"/>
  <c r="M46" i="46"/>
  <c r="L46" i="46"/>
  <c r="I46" i="46"/>
  <c r="C46" i="46"/>
  <c r="M45" i="46"/>
  <c r="L45" i="46"/>
  <c r="I45" i="46"/>
  <c r="C45" i="46"/>
  <c r="M44" i="46"/>
  <c r="L44" i="46"/>
  <c r="I44" i="46"/>
  <c r="C44" i="46"/>
  <c r="M43" i="46"/>
  <c r="L43" i="46"/>
  <c r="I43" i="46"/>
  <c r="C43" i="46"/>
  <c r="M42" i="46"/>
  <c r="L42" i="46"/>
  <c r="I42" i="46"/>
  <c r="C42" i="46"/>
  <c r="M41" i="46"/>
  <c r="L41" i="46"/>
  <c r="I41" i="46"/>
  <c r="C41" i="46"/>
  <c r="M40" i="46"/>
  <c r="L40" i="46"/>
  <c r="I40" i="46"/>
  <c r="C40" i="46"/>
  <c r="M39" i="46"/>
  <c r="L39" i="46"/>
  <c r="I39" i="46"/>
  <c r="C39" i="46"/>
  <c r="M38" i="46"/>
  <c r="L38" i="46"/>
  <c r="I38" i="46"/>
  <c r="C38" i="46"/>
  <c r="M37" i="46"/>
  <c r="L37" i="46"/>
  <c r="I37" i="46"/>
  <c r="C37" i="46"/>
  <c r="M36" i="46"/>
  <c r="L36" i="46"/>
  <c r="I36" i="46"/>
  <c r="C36" i="46"/>
  <c r="M35" i="46"/>
  <c r="L35" i="46"/>
  <c r="I35" i="46"/>
  <c r="C35" i="46"/>
  <c r="M34" i="46"/>
  <c r="L34" i="46"/>
  <c r="I34" i="46"/>
  <c r="C34" i="46"/>
  <c r="M33" i="46"/>
  <c r="L33" i="46"/>
  <c r="I33" i="46"/>
  <c r="C33" i="46"/>
  <c r="M32" i="46"/>
  <c r="L32" i="46"/>
  <c r="I32" i="46"/>
  <c r="C32" i="46"/>
  <c r="M31" i="46"/>
  <c r="L31" i="46"/>
  <c r="I31" i="46"/>
  <c r="C31" i="46"/>
  <c r="M30" i="46"/>
  <c r="L30" i="46"/>
  <c r="I30" i="46"/>
  <c r="C30" i="46"/>
  <c r="M29" i="46"/>
  <c r="L29" i="46"/>
  <c r="I29" i="46"/>
  <c r="C29" i="46"/>
  <c r="M26" i="46"/>
  <c r="L26" i="46"/>
  <c r="I26" i="46"/>
  <c r="C26" i="46"/>
  <c r="M24" i="46"/>
  <c r="L24" i="46"/>
  <c r="I24" i="46"/>
  <c r="D24" i="46"/>
  <c r="C24" i="46"/>
  <c r="M23" i="46"/>
  <c r="L23" i="46"/>
  <c r="I23" i="46"/>
  <c r="D23" i="46"/>
  <c r="C23" i="46"/>
  <c r="M22" i="46"/>
  <c r="L22" i="46"/>
  <c r="I22" i="46"/>
  <c r="D22" i="46"/>
  <c r="C22" i="46"/>
  <c r="M21" i="46"/>
  <c r="L21" i="46"/>
  <c r="I21" i="46"/>
  <c r="D21" i="46"/>
  <c r="C21" i="46"/>
  <c r="M20" i="46"/>
  <c r="L20" i="46"/>
  <c r="I20" i="46"/>
  <c r="D20" i="46"/>
  <c r="C20" i="46"/>
  <c r="M19" i="46"/>
  <c r="L19" i="46"/>
  <c r="I19" i="46"/>
  <c r="D19" i="46"/>
  <c r="C19" i="46"/>
  <c r="M18" i="46"/>
  <c r="L18" i="46"/>
  <c r="I18" i="46"/>
  <c r="D18" i="46"/>
  <c r="C18" i="46"/>
  <c r="M17" i="46"/>
  <c r="L17" i="46"/>
  <c r="I17" i="46"/>
  <c r="D17" i="46"/>
  <c r="C17" i="46"/>
  <c r="M16" i="46"/>
  <c r="L16" i="46"/>
  <c r="I16" i="46"/>
  <c r="D16" i="46"/>
  <c r="C16" i="46"/>
  <c r="M15" i="46"/>
  <c r="L15" i="46"/>
  <c r="I15" i="46"/>
  <c r="D15" i="46"/>
  <c r="C15" i="46"/>
  <c r="M14" i="46"/>
  <c r="L14" i="46"/>
  <c r="I14" i="46"/>
  <c r="D14" i="46"/>
  <c r="C14" i="46"/>
  <c r="M13" i="46"/>
  <c r="L13" i="46"/>
  <c r="I13" i="46"/>
  <c r="D13" i="46"/>
  <c r="C13" i="46"/>
  <c r="M12" i="46"/>
  <c r="L12" i="46"/>
  <c r="I12" i="46"/>
  <c r="D12" i="46"/>
  <c r="C12" i="46"/>
  <c r="M10" i="46"/>
  <c r="L10" i="46"/>
  <c r="I10" i="46"/>
  <c r="D10" i="46"/>
  <c r="C10" i="46"/>
  <c r="M9" i="46"/>
  <c r="L9" i="46"/>
  <c r="I9" i="46"/>
  <c r="D9" i="46"/>
  <c r="C9" i="46"/>
  <c r="D39" i="17"/>
  <c r="D40" i="17"/>
  <c r="D41" i="17"/>
  <c r="D42" i="17"/>
  <c r="D43" i="17"/>
  <c r="D44" i="17"/>
  <c r="D45" i="17"/>
  <c r="D46" i="17"/>
  <c r="D47" i="17"/>
  <c r="D48" i="17"/>
  <c r="D49" i="17"/>
  <c r="D50" i="17"/>
  <c r="D51" i="17"/>
  <c r="D52" i="17"/>
  <c r="D53" i="17"/>
  <c r="D54" i="17"/>
  <c r="D55" i="17"/>
  <c r="D56" i="17"/>
  <c r="D38" i="17"/>
  <c r="D34" i="10"/>
  <c r="C18" i="7" s="1"/>
  <c r="D32" i="10"/>
  <c r="D30" i="10"/>
  <c r="C16" i="7" s="1"/>
  <c r="D28" i="10"/>
  <c r="D27" i="10"/>
  <c r="C14" i="7" s="1"/>
  <c r="L3" i="7"/>
  <c r="K3" i="7"/>
  <c r="J3" i="7"/>
  <c r="I3" i="7"/>
  <c r="H3" i="7"/>
  <c r="G3" i="7"/>
  <c r="F3" i="7"/>
  <c r="E3" i="7"/>
  <c r="D3" i="7"/>
  <c r="C3" i="7"/>
  <c r="B3" i="7"/>
  <c r="A2" i="7"/>
  <c r="J167" i="37"/>
  <c r="J164" i="37"/>
  <c r="J161" i="37"/>
  <c r="J158" i="37"/>
  <c r="H50" i="25"/>
  <c r="H48" i="25"/>
  <c r="H47" i="25"/>
  <c r="H45" i="25"/>
  <c r="H43" i="25"/>
  <c r="H42" i="25"/>
  <c r="H40" i="25"/>
  <c r="H38" i="25"/>
  <c r="H37" i="25"/>
  <c r="H35" i="25"/>
  <c r="H33" i="25"/>
  <c r="H32" i="25"/>
  <c r="H26" i="25"/>
  <c r="H24" i="25"/>
  <c r="H23" i="25"/>
  <c r="H21" i="25"/>
  <c r="H19" i="25"/>
  <c r="H18" i="25"/>
  <c r="H16" i="25"/>
  <c r="H14" i="25"/>
  <c r="H13" i="25"/>
  <c r="H11" i="25"/>
  <c r="H9" i="25"/>
  <c r="H8" i="25"/>
  <c r="H47" i="24"/>
  <c r="H46" i="24"/>
  <c r="H44" i="24"/>
  <c r="H43" i="24"/>
  <c r="H41" i="24"/>
  <c r="H40" i="24"/>
  <c r="H38" i="24"/>
  <c r="H37" i="24"/>
  <c r="H36" i="24"/>
  <c r="H35" i="24"/>
  <c r="H34" i="24"/>
  <c r="H33" i="24"/>
  <c r="H28" i="24"/>
  <c r="H27" i="24"/>
  <c r="H25" i="24"/>
  <c r="H24" i="24"/>
  <c r="H22" i="24"/>
  <c r="H21" i="24"/>
  <c r="H20" i="24"/>
  <c r="H19" i="24"/>
  <c r="H18" i="24"/>
  <c r="H16" i="24"/>
  <c r="H15" i="24"/>
  <c r="H14" i="24"/>
  <c r="H13" i="24"/>
  <c r="H12" i="24"/>
  <c r="H11" i="24"/>
  <c r="H10" i="24"/>
  <c r="H47" i="23"/>
  <c r="H46" i="23"/>
  <c r="H44" i="23"/>
  <c r="H43" i="23"/>
  <c r="H41" i="23"/>
  <c r="H40" i="23"/>
  <c r="H38" i="23"/>
  <c r="H37" i="23"/>
  <c r="H36" i="23"/>
  <c r="H35" i="23"/>
  <c r="H34" i="23"/>
  <c r="H33" i="23"/>
  <c r="H28" i="23"/>
  <c r="H27" i="23"/>
  <c r="H25" i="23"/>
  <c r="H24" i="23"/>
  <c r="H22" i="23"/>
  <c r="H21" i="23"/>
  <c r="H20" i="23"/>
  <c r="H19" i="23"/>
  <c r="H18" i="23"/>
  <c r="H16" i="23"/>
  <c r="H15" i="23"/>
  <c r="H14" i="23"/>
  <c r="H13" i="23"/>
  <c r="H12" i="23"/>
  <c r="H11" i="23"/>
  <c r="H10" i="23"/>
  <c r="J68" i="19"/>
  <c r="J66" i="19"/>
  <c r="J64" i="19"/>
  <c r="J62" i="19"/>
  <c r="J60" i="19"/>
  <c r="J58" i="19"/>
  <c r="J55" i="19"/>
  <c r="J53" i="19"/>
  <c r="J51" i="19"/>
  <c r="J48" i="19"/>
  <c r="J46" i="19"/>
  <c r="J42" i="19"/>
  <c r="J40" i="19"/>
  <c r="J38" i="19"/>
  <c r="J35" i="19"/>
  <c r="J33" i="19"/>
  <c r="J31" i="19"/>
  <c r="J29" i="19"/>
  <c r="J25" i="19"/>
  <c r="J23" i="19"/>
  <c r="J21" i="19"/>
  <c r="J19" i="19"/>
  <c r="J15" i="19"/>
  <c r="J11" i="19"/>
  <c r="J8" i="19"/>
  <c r="J180" i="17"/>
  <c r="J178" i="17"/>
  <c r="J177" i="17"/>
  <c r="J160" i="17"/>
  <c r="J159" i="17"/>
  <c r="J158" i="17"/>
  <c r="J157" i="17"/>
  <c r="J156" i="17"/>
  <c r="J155" i="17"/>
  <c r="J154" i="17"/>
  <c r="J18" i="14"/>
  <c r="J17" i="14"/>
  <c r="J15" i="14"/>
  <c r="J14" i="14"/>
  <c r="J172" i="48"/>
  <c r="J171" i="48"/>
  <c r="J170" i="48"/>
  <c r="J169" i="48"/>
  <c r="J168" i="48"/>
  <c r="J167" i="48"/>
  <c r="J166" i="48"/>
  <c r="J165" i="48"/>
  <c r="J164" i="48"/>
  <c r="J163" i="48"/>
  <c r="J161" i="48"/>
  <c r="J160" i="48"/>
  <c r="J159" i="48"/>
  <c r="J158" i="48"/>
  <c r="J157" i="48"/>
  <c r="J156" i="48"/>
  <c r="J155" i="48"/>
  <c r="J154" i="48"/>
  <c r="J153" i="48"/>
  <c r="J152" i="48"/>
  <c r="J150" i="48"/>
  <c r="J149" i="48"/>
  <c r="J148" i="48"/>
  <c r="J147" i="48"/>
  <c r="J146" i="48"/>
  <c r="J145" i="48"/>
  <c r="J144" i="48"/>
  <c r="J143" i="48"/>
  <c r="J142" i="48"/>
  <c r="J141" i="48"/>
  <c r="J139" i="48"/>
  <c r="J138" i="48"/>
  <c r="J137" i="48"/>
  <c r="J136" i="48"/>
  <c r="J135" i="48"/>
  <c r="J134" i="48"/>
  <c r="J133" i="48"/>
  <c r="J132" i="48"/>
  <c r="J131" i="48"/>
  <c r="J130" i="48"/>
  <c r="J128" i="48"/>
  <c r="J127" i="48"/>
  <c r="J126" i="48"/>
  <c r="J125" i="48"/>
  <c r="J124" i="48"/>
  <c r="J123" i="48"/>
  <c r="J122" i="48"/>
  <c r="J121" i="48"/>
  <c r="J120" i="48"/>
  <c r="J119" i="48"/>
  <c r="J117" i="48"/>
  <c r="J116" i="48"/>
  <c r="J115" i="48"/>
  <c r="J114" i="48"/>
  <c r="J113" i="48"/>
  <c r="J112" i="48"/>
  <c r="J111" i="48"/>
  <c r="J110" i="48"/>
  <c r="J109" i="48"/>
  <c r="J108" i="48"/>
  <c r="J106" i="48"/>
  <c r="J105" i="48"/>
  <c r="J104" i="48"/>
  <c r="J103" i="48"/>
  <c r="J102" i="48"/>
  <c r="J101" i="48"/>
  <c r="J100" i="48"/>
  <c r="J99" i="48"/>
  <c r="J98" i="48"/>
  <c r="J97" i="48"/>
  <c r="J95" i="48"/>
  <c r="J94" i="48"/>
  <c r="J93" i="48"/>
  <c r="J92" i="48"/>
  <c r="J91" i="48"/>
  <c r="J90" i="48"/>
  <c r="J89" i="48"/>
  <c r="J88" i="48"/>
  <c r="J87" i="48"/>
  <c r="J86" i="48"/>
  <c r="J84" i="48"/>
  <c r="J83" i="48"/>
  <c r="J82" i="48"/>
  <c r="J81" i="48"/>
  <c r="J80" i="48"/>
  <c r="J79" i="48"/>
  <c r="J78" i="48"/>
  <c r="J77" i="48"/>
  <c r="J76" i="48"/>
  <c r="J75" i="48"/>
  <c r="J73" i="48"/>
  <c r="J72" i="48"/>
  <c r="J71" i="48"/>
  <c r="J70" i="48"/>
  <c r="J69" i="48"/>
  <c r="J68" i="48"/>
  <c r="J67" i="48"/>
  <c r="J66" i="48"/>
  <c r="J65" i="48"/>
  <c r="J64" i="48"/>
  <c r="J62" i="48"/>
  <c r="J61" i="48"/>
  <c r="J60" i="48"/>
  <c r="J59" i="48"/>
  <c r="J58" i="48"/>
  <c r="J57" i="48"/>
  <c r="J56" i="48"/>
  <c r="J55" i="48"/>
  <c r="J54" i="48"/>
  <c r="J53" i="48"/>
  <c r="J51" i="48"/>
  <c r="J50" i="48"/>
  <c r="J49" i="48"/>
  <c r="J48" i="48"/>
  <c r="J47" i="48"/>
  <c r="J46" i="48"/>
  <c r="J45" i="48"/>
  <c r="J44" i="48"/>
  <c r="J43" i="48"/>
  <c r="J42" i="48"/>
  <c r="J40" i="48"/>
  <c r="J39" i="48"/>
  <c r="J38" i="48"/>
  <c r="J37" i="48"/>
  <c r="J36" i="48"/>
  <c r="J35" i="48"/>
  <c r="J34" i="48"/>
  <c r="J33" i="48"/>
  <c r="J32" i="48"/>
  <c r="J31" i="48"/>
  <c r="J29" i="48"/>
  <c r="J28" i="48"/>
  <c r="J27" i="48"/>
  <c r="J26" i="48"/>
  <c r="J25" i="48"/>
  <c r="J24" i="48"/>
  <c r="J23" i="48"/>
  <c r="J22" i="48"/>
  <c r="J21" i="48"/>
  <c r="J20" i="48"/>
  <c r="J18" i="48"/>
  <c r="J17" i="48"/>
  <c r="J16" i="48"/>
  <c r="J15" i="48"/>
  <c r="J14" i="48"/>
  <c r="J13" i="48"/>
  <c r="J12" i="48"/>
  <c r="J11" i="48"/>
  <c r="J10" i="48"/>
  <c r="J9" i="48"/>
  <c r="J128" i="46"/>
  <c r="J127" i="46"/>
  <c r="D167" i="53"/>
  <c r="D164" i="53"/>
  <c r="D161" i="53"/>
  <c r="D158" i="53"/>
  <c r="D155" i="53"/>
  <c r="D152" i="53"/>
  <c r="D149" i="53"/>
  <c r="D148" i="53"/>
  <c r="D147" i="53"/>
  <c r="D146" i="53"/>
  <c r="D145" i="53"/>
  <c r="D144" i="53"/>
  <c r="D142" i="53"/>
  <c r="D139" i="53"/>
  <c r="D136" i="53"/>
  <c r="D135" i="53"/>
  <c r="D134" i="53"/>
  <c r="D132" i="53"/>
  <c r="D131" i="53"/>
  <c r="D130" i="53"/>
  <c r="D129" i="53"/>
  <c r="D128" i="53"/>
  <c r="D127" i="53"/>
  <c r="D126" i="53"/>
  <c r="D125" i="53"/>
  <c r="D124" i="53"/>
  <c r="D123" i="53"/>
  <c r="D122" i="53"/>
  <c r="D118" i="53"/>
  <c r="D117" i="53"/>
  <c r="D115" i="53"/>
  <c r="D114" i="53"/>
  <c r="D110" i="53"/>
  <c r="D109" i="53"/>
  <c r="D108" i="53"/>
  <c r="D107" i="53"/>
  <c r="D106" i="53"/>
  <c r="D103" i="53"/>
  <c r="D102" i="53"/>
  <c r="D101" i="53"/>
  <c r="D99" i="53"/>
  <c r="D98" i="53"/>
  <c r="D97" i="53"/>
  <c r="D96" i="53"/>
  <c r="D95" i="53"/>
  <c r="D94" i="53"/>
  <c r="D93" i="53"/>
  <c r="D92" i="53"/>
  <c r="D91" i="53"/>
  <c r="D90" i="53"/>
  <c r="D89" i="53"/>
  <c r="D88" i="53"/>
  <c r="D87" i="53"/>
  <c r="D86" i="53"/>
  <c r="D85" i="53"/>
  <c r="D84" i="53"/>
  <c r="D83" i="53"/>
  <c r="D82" i="53"/>
  <c r="D81" i="53"/>
  <c r="D80" i="53"/>
  <c r="D79" i="53"/>
  <c r="D78" i="53"/>
  <c r="D74" i="53"/>
  <c r="D73" i="53"/>
  <c r="D72" i="53"/>
  <c r="D71" i="53"/>
  <c r="D69" i="53"/>
  <c r="D68" i="53"/>
  <c r="D67" i="53"/>
  <c r="D66" i="53"/>
  <c r="D65" i="53"/>
  <c r="D63" i="53"/>
  <c r="D62" i="53"/>
  <c r="D61" i="53"/>
  <c r="D60" i="53"/>
  <c r="D59" i="53"/>
  <c r="D58" i="53"/>
  <c r="D57" i="53"/>
  <c r="D56" i="53"/>
  <c r="D55" i="53"/>
  <c r="D53" i="53"/>
  <c r="D52" i="53"/>
  <c r="D51" i="53"/>
  <c r="D50" i="53"/>
  <c r="D49" i="53"/>
  <c r="D48" i="53"/>
  <c r="D47" i="53"/>
  <c r="D45" i="53"/>
  <c r="D44" i="53"/>
  <c r="D43" i="53"/>
  <c r="D42" i="53"/>
  <c r="D41" i="53"/>
  <c r="D40" i="53"/>
  <c r="D38" i="53"/>
  <c r="D37" i="53"/>
  <c r="D36" i="53"/>
  <c r="D35" i="53"/>
  <c r="D34" i="53"/>
  <c r="D33" i="53"/>
  <c r="D32" i="53"/>
  <c r="D31" i="53"/>
  <c r="D30" i="53"/>
  <c r="D29" i="53"/>
  <c r="D27" i="53"/>
  <c r="D26" i="53"/>
  <c r="D25" i="53"/>
  <c r="D24" i="53"/>
  <c r="D23" i="53"/>
  <c r="D22" i="53"/>
  <c r="D21" i="53"/>
  <c r="D20" i="53"/>
  <c r="D19" i="53"/>
  <c r="D17" i="53"/>
  <c r="D16" i="53"/>
  <c r="D15" i="53"/>
  <c r="D13" i="53"/>
  <c r="D12" i="53"/>
  <c r="D11" i="53"/>
  <c r="D10" i="53"/>
  <c r="D167" i="52"/>
  <c r="D164" i="52"/>
  <c r="D161" i="52"/>
  <c r="D158" i="52"/>
  <c r="D155" i="52"/>
  <c r="D152" i="52"/>
  <c r="D149" i="52"/>
  <c r="D148" i="52"/>
  <c r="D147" i="52"/>
  <c r="D146" i="52"/>
  <c r="D145" i="52"/>
  <c r="D144" i="52"/>
  <c r="D142" i="52"/>
  <c r="D139" i="52"/>
  <c r="D136" i="52"/>
  <c r="D135" i="52"/>
  <c r="D134" i="52"/>
  <c r="D132" i="52"/>
  <c r="D131" i="52"/>
  <c r="D130" i="52"/>
  <c r="D129" i="52"/>
  <c r="D128" i="52"/>
  <c r="D127" i="52"/>
  <c r="D126" i="52"/>
  <c r="D125" i="52"/>
  <c r="D124" i="52"/>
  <c r="D123" i="52"/>
  <c r="D122" i="52"/>
  <c r="D118" i="52"/>
  <c r="D117" i="52"/>
  <c r="D115" i="52"/>
  <c r="D114" i="52"/>
  <c r="D110" i="52"/>
  <c r="D109" i="52"/>
  <c r="D108" i="52"/>
  <c r="D107" i="52"/>
  <c r="D106" i="52"/>
  <c r="D103" i="52"/>
  <c r="D102" i="52"/>
  <c r="D101" i="52"/>
  <c r="D99" i="52"/>
  <c r="D98" i="52"/>
  <c r="D97" i="52"/>
  <c r="D96" i="52"/>
  <c r="D95" i="52"/>
  <c r="D94" i="52"/>
  <c r="D93" i="52"/>
  <c r="D92" i="52"/>
  <c r="D91" i="52"/>
  <c r="D90" i="52"/>
  <c r="D89" i="52"/>
  <c r="D88" i="52"/>
  <c r="D87" i="52"/>
  <c r="D86" i="52"/>
  <c r="D85" i="52"/>
  <c r="D84" i="52"/>
  <c r="D83" i="52"/>
  <c r="D82" i="52"/>
  <c r="D81" i="52"/>
  <c r="D80" i="52"/>
  <c r="D79" i="52"/>
  <c r="D78" i="52"/>
  <c r="D74" i="52"/>
  <c r="D73" i="52"/>
  <c r="D72" i="52"/>
  <c r="D71" i="52"/>
  <c r="D69" i="52"/>
  <c r="D68" i="52"/>
  <c r="D67" i="52"/>
  <c r="D66" i="52"/>
  <c r="D65" i="52"/>
  <c r="D63" i="52"/>
  <c r="D62" i="52"/>
  <c r="D61" i="52"/>
  <c r="D60" i="52"/>
  <c r="D59" i="52"/>
  <c r="D58" i="52"/>
  <c r="D57" i="52"/>
  <c r="D56" i="52"/>
  <c r="D55" i="52"/>
  <c r="D53" i="52"/>
  <c r="D52" i="52"/>
  <c r="D51" i="52"/>
  <c r="D50" i="52"/>
  <c r="D49" i="52"/>
  <c r="D48" i="52"/>
  <c r="D47" i="52"/>
  <c r="D45" i="52"/>
  <c r="D44" i="52"/>
  <c r="D43" i="52"/>
  <c r="D42" i="52"/>
  <c r="D41" i="52"/>
  <c r="D40" i="52"/>
  <c r="D38" i="52"/>
  <c r="D37" i="52"/>
  <c r="D36" i="52"/>
  <c r="D35" i="52"/>
  <c r="D34" i="52"/>
  <c r="D33" i="52"/>
  <c r="D32" i="52"/>
  <c r="D31" i="52"/>
  <c r="D30" i="52"/>
  <c r="D29" i="52"/>
  <c r="D27" i="52"/>
  <c r="D26" i="52"/>
  <c r="D25" i="52"/>
  <c r="D24" i="52"/>
  <c r="D23" i="52"/>
  <c r="D22" i="52"/>
  <c r="D21" i="52"/>
  <c r="D20" i="52"/>
  <c r="D19" i="52"/>
  <c r="D17" i="52"/>
  <c r="D16" i="52"/>
  <c r="D15" i="52"/>
  <c r="D13" i="52"/>
  <c r="D12" i="52"/>
  <c r="D11" i="52"/>
  <c r="D10" i="52"/>
  <c r="D167" i="1"/>
  <c r="D164" i="1"/>
  <c r="D161" i="1"/>
  <c r="D158" i="1"/>
  <c r="D155" i="1"/>
  <c r="D152" i="1"/>
  <c r="D149" i="1"/>
  <c r="D148" i="1"/>
  <c r="D147" i="1"/>
  <c r="D146" i="1"/>
  <c r="D145" i="1"/>
  <c r="D144" i="1"/>
  <c r="D142" i="1"/>
  <c r="D139" i="1"/>
  <c r="D136" i="1"/>
  <c r="D135" i="1"/>
  <c r="D134" i="1"/>
  <c r="D132" i="1"/>
  <c r="D131" i="1"/>
  <c r="D130" i="1"/>
  <c r="D129" i="1"/>
  <c r="D128" i="1"/>
  <c r="D127" i="1"/>
  <c r="D126" i="1"/>
  <c r="D125" i="1"/>
  <c r="D124" i="1"/>
  <c r="D123" i="1"/>
  <c r="D122" i="1"/>
  <c r="D118" i="1"/>
  <c r="D117" i="1"/>
  <c r="D115" i="1"/>
  <c r="D114" i="1"/>
  <c r="D110" i="1"/>
  <c r="D109" i="1"/>
  <c r="D108" i="1"/>
  <c r="D107" i="1"/>
  <c r="D106" i="1"/>
  <c r="D103" i="1"/>
  <c r="D102" i="1"/>
  <c r="D101" i="1"/>
  <c r="D99" i="1"/>
  <c r="D98" i="1"/>
  <c r="D97" i="1"/>
  <c r="D96" i="1"/>
  <c r="D95" i="1"/>
  <c r="D94" i="1"/>
  <c r="D93" i="1"/>
  <c r="D92" i="1"/>
  <c r="D91" i="1"/>
  <c r="D90" i="1"/>
  <c r="D89" i="1"/>
  <c r="D88" i="1"/>
  <c r="D87" i="1"/>
  <c r="D86" i="1"/>
  <c r="D85" i="1"/>
  <c r="D84" i="1"/>
  <c r="D83" i="1"/>
  <c r="D82" i="1"/>
  <c r="D81" i="1"/>
  <c r="D80" i="1"/>
  <c r="D79" i="1"/>
  <c r="D78" i="1"/>
  <c r="D74" i="1"/>
  <c r="D73" i="1"/>
  <c r="D72" i="1"/>
  <c r="D71" i="1"/>
  <c r="D69" i="1"/>
  <c r="D68" i="1"/>
  <c r="D67" i="1"/>
  <c r="D66" i="1"/>
  <c r="D65" i="1"/>
  <c r="D63" i="1"/>
  <c r="D62" i="1"/>
  <c r="D61" i="1"/>
  <c r="D60" i="1"/>
  <c r="D59" i="1"/>
  <c r="D58" i="1"/>
  <c r="D57" i="1"/>
  <c r="D56" i="1"/>
  <c r="D55" i="1"/>
  <c r="D53" i="1"/>
  <c r="D52" i="1"/>
  <c r="D51" i="1"/>
  <c r="D50" i="1"/>
  <c r="D49" i="1"/>
  <c r="D48" i="1"/>
  <c r="D47" i="1"/>
  <c r="D45" i="1"/>
  <c r="D44" i="1"/>
  <c r="D43" i="1"/>
  <c r="D42" i="1"/>
  <c r="D41" i="1"/>
  <c r="D40" i="1"/>
  <c r="D38" i="1"/>
  <c r="D37" i="1"/>
  <c r="D36" i="1"/>
  <c r="D35" i="1"/>
  <c r="D34" i="1"/>
  <c r="D33" i="1"/>
  <c r="D32" i="1"/>
  <c r="D31" i="1"/>
  <c r="D30" i="1"/>
  <c r="D29" i="1"/>
  <c r="D27" i="1"/>
  <c r="D26" i="1"/>
  <c r="D25" i="1"/>
  <c r="D24" i="1"/>
  <c r="D23" i="1"/>
  <c r="D22" i="1"/>
  <c r="D21" i="1"/>
  <c r="D20" i="1"/>
  <c r="D19" i="1"/>
  <c r="D17" i="1"/>
  <c r="D16" i="1"/>
  <c r="D15" i="1"/>
  <c r="D13" i="1"/>
  <c r="D12" i="1"/>
  <c r="D11" i="1"/>
  <c r="D10" i="1"/>
  <c r="D152" i="37"/>
  <c r="D149" i="37"/>
  <c r="D148" i="37"/>
  <c r="D147" i="37"/>
  <c r="D146" i="37"/>
  <c r="D145" i="37"/>
  <c r="D144" i="37"/>
  <c r="D142" i="37"/>
  <c r="D139" i="37"/>
  <c r="D136" i="37"/>
  <c r="D135" i="37"/>
  <c r="D134" i="37"/>
  <c r="D132" i="37"/>
  <c r="D131" i="37"/>
  <c r="D130" i="37"/>
  <c r="D129" i="37"/>
  <c r="D128" i="37"/>
  <c r="D127" i="37"/>
  <c r="D126" i="37"/>
  <c r="D125" i="37"/>
  <c r="D124" i="37"/>
  <c r="D123" i="37"/>
  <c r="D122" i="37"/>
  <c r="D118" i="37"/>
  <c r="D117" i="37"/>
  <c r="D115" i="37"/>
  <c r="D114" i="37"/>
  <c r="D110" i="37"/>
  <c r="D109" i="37"/>
  <c r="D108" i="37"/>
  <c r="D107" i="37"/>
  <c r="D106" i="37"/>
  <c r="D103" i="37"/>
  <c r="D102" i="37"/>
  <c r="D101" i="37"/>
  <c r="D99" i="37"/>
  <c r="D98" i="37"/>
  <c r="D97" i="37"/>
  <c r="D96" i="37"/>
  <c r="D95" i="37"/>
  <c r="D94" i="37"/>
  <c r="D93" i="37"/>
  <c r="D92" i="37"/>
  <c r="D91" i="37"/>
  <c r="D90" i="37"/>
  <c r="D89" i="37"/>
  <c r="D88" i="37"/>
  <c r="D87" i="37"/>
  <c r="D86" i="37"/>
  <c r="D85" i="37"/>
  <c r="D84" i="37"/>
  <c r="D83" i="37"/>
  <c r="D82" i="37"/>
  <c r="D81" i="37"/>
  <c r="D80" i="37"/>
  <c r="D79" i="37"/>
  <c r="D78" i="37"/>
  <c r="D74" i="37"/>
  <c r="D73" i="37"/>
  <c r="D72" i="37"/>
  <c r="D71" i="37"/>
  <c r="D69" i="37"/>
  <c r="D68" i="37"/>
  <c r="D67" i="37"/>
  <c r="D66" i="37"/>
  <c r="D65" i="37"/>
  <c r="D63" i="37"/>
  <c r="D62" i="37"/>
  <c r="D61" i="37"/>
  <c r="D60" i="37"/>
  <c r="D59" i="37"/>
  <c r="D58" i="37"/>
  <c r="D57" i="37"/>
  <c r="D56" i="37"/>
  <c r="D55" i="37"/>
  <c r="D53" i="37"/>
  <c r="D52" i="37"/>
  <c r="D51" i="37"/>
  <c r="D50" i="37"/>
  <c r="D49" i="37"/>
  <c r="D48" i="37"/>
  <c r="D47" i="37"/>
  <c r="D45" i="37"/>
  <c r="D44" i="37"/>
  <c r="D43" i="37"/>
  <c r="D42" i="37"/>
  <c r="D41" i="37"/>
  <c r="D40" i="37"/>
  <c r="D38" i="37"/>
  <c r="D37" i="37"/>
  <c r="D36" i="37"/>
  <c r="D35" i="37"/>
  <c r="D34" i="37"/>
  <c r="D33" i="37"/>
  <c r="D32" i="37"/>
  <c r="D31" i="37"/>
  <c r="D30" i="37"/>
  <c r="D29" i="37"/>
  <c r="D27" i="37"/>
  <c r="D26" i="37"/>
  <c r="D25" i="37"/>
  <c r="D24" i="37"/>
  <c r="D23" i="37"/>
  <c r="D22" i="37"/>
  <c r="D21" i="37"/>
  <c r="D20" i="37"/>
  <c r="D19" i="37"/>
  <c r="D17" i="37"/>
  <c r="D16" i="37"/>
  <c r="D15" i="37"/>
  <c r="D13" i="37"/>
  <c r="D12" i="37"/>
  <c r="D11" i="37"/>
  <c r="D10" i="37"/>
  <c r="D167" i="34"/>
  <c r="D164" i="34"/>
  <c r="D161" i="34"/>
  <c r="D158" i="34"/>
  <c r="D155" i="34"/>
  <c r="D152" i="34"/>
  <c r="D149" i="34"/>
  <c r="D148" i="34"/>
  <c r="D147" i="34"/>
  <c r="D146" i="34"/>
  <c r="D145" i="34"/>
  <c r="D144" i="34"/>
  <c r="D142" i="34"/>
  <c r="D139" i="34"/>
  <c r="D136" i="34"/>
  <c r="D135" i="34"/>
  <c r="D134" i="34"/>
  <c r="D132" i="34"/>
  <c r="D131" i="34"/>
  <c r="D130" i="34"/>
  <c r="D129" i="34"/>
  <c r="D128" i="34"/>
  <c r="D127" i="34"/>
  <c r="D126" i="34"/>
  <c r="D125" i="34"/>
  <c r="D124" i="34"/>
  <c r="D123" i="34"/>
  <c r="D122" i="34"/>
  <c r="D118" i="34"/>
  <c r="D117" i="34"/>
  <c r="D115" i="34"/>
  <c r="D114" i="34"/>
  <c r="D110" i="34"/>
  <c r="D109" i="34"/>
  <c r="D108" i="34"/>
  <c r="D107" i="34"/>
  <c r="D106" i="34"/>
  <c r="D103" i="34"/>
  <c r="D102" i="34"/>
  <c r="D101" i="34"/>
  <c r="D99" i="34"/>
  <c r="D98" i="34"/>
  <c r="D97" i="34"/>
  <c r="D96" i="34"/>
  <c r="D95" i="34"/>
  <c r="D94" i="34"/>
  <c r="D93" i="34"/>
  <c r="D92" i="34"/>
  <c r="D91" i="34"/>
  <c r="D90" i="34"/>
  <c r="D89" i="34"/>
  <c r="D88" i="34"/>
  <c r="D87" i="34"/>
  <c r="D86" i="34"/>
  <c r="D85" i="34"/>
  <c r="D84" i="34"/>
  <c r="D83" i="34"/>
  <c r="D82" i="34"/>
  <c r="D81" i="34"/>
  <c r="D80" i="34"/>
  <c r="D79" i="34"/>
  <c r="D78" i="34"/>
  <c r="D74" i="34"/>
  <c r="D73" i="34"/>
  <c r="D72" i="34"/>
  <c r="D71" i="34"/>
  <c r="D69" i="34"/>
  <c r="D68" i="34"/>
  <c r="D67" i="34"/>
  <c r="D66" i="34"/>
  <c r="D65" i="34"/>
  <c r="D63" i="34"/>
  <c r="D62" i="34"/>
  <c r="D61" i="34"/>
  <c r="D60" i="34"/>
  <c r="D59" i="34"/>
  <c r="D58" i="34"/>
  <c r="D57" i="34"/>
  <c r="D56" i="34"/>
  <c r="D55" i="34"/>
  <c r="D53" i="34"/>
  <c r="D52" i="34"/>
  <c r="D51" i="34"/>
  <c r="D50" i="34"/>
  <c r="D49" i="34"/>
  <c r="D48" i="34"/>
  <c r="D47" i="34"/>
  <c r="D45" i="34"/>
  <c r="D44" i="34"/>
  <c r="D43" i="34"/>
  <c r="D42" i="34"/>
  <c r="D41" i="34"/>
  <c r="D40" i="34"/>
  <c r="D38" i="34"/>
  <c r="D37" i="34"/>
  <c r="D36" i="34"/>
  <c r="D35" i="34"/>
  <c r="D34" i="34"/>
  <c r="D33" i="34"/>
  <c r="D32" i="34"/>
  <c r="D31" i="34"/>
  <c r="D30" i="34"/>
  <c r="D29" i="34"/>
  <c r="D27" i="34"/>
  <c r="D26" i="34"/>
  <c r="D25" i="34"/>
  <c r="D24" i="34"/>
  <c r="D23" i="34"/>
  <c r="D22" i="34"/>
  <c r="D21" i="34"/>
  <c r="D20" i="34"/>
  <c r="D19" i="34"/>
  <c r="D17" i="34"/>
  <c r="D16" i="34"/>
  <c r="D15" i="34"/>
  <c r="D13" i="34"/>
  <c r="D12" i="34"/>
  <c r="D11" i="34"/>
  <c r="D10" i="34"/>
  <c r="D45" i="27"/>
  <c r="D44" i="27"/>
  <c r="D43" i="27"/>
  <c r="D42" i="27"/>
  <c r="D41" i="27"/>
  <c r="D40" i="27"/>
  <c r="D39" i="27"/>
  <c r="D38" i="27"/>
  <c r="D37" i="27"/>
  <c r="D36" i="27"/>
  <c r="D35" i="27"/>
  <c r="D34" i="27"/>
  <c r="D29" i="27"/>
  <c r="D28" i="27"/>
  <c r="D27" i="27"/>
  <c r="D26" i="27"/>
  <c r="D25" i="27"/>
  <c r="D24" i="27"/>
  <c r="D23" i="27"/>
  <c r="D22" i="27"/>
  <c r="D21" i="27"/>
  <c r="D20" i="27"/>
  <c r="D19" i="27"/>
  <c r="D18" i="27"/>
  <c r="D13" i="27"/>
  <c r="D12" i="27"/>
  <c r="D11" i="27"/>
  <c r="D10" i="27"/>
  <c r="D9" i="27"/>
  <c r="D8" i="27"/>
  <c r="D7" i="27"/>
  <c r="D53" i="26"/>
  <c r="D52" i="26"/>
  <c r="D51" i="26"/>
  <c r="D47" i="26"/>
  <c r="D46" i="26"/>
  <c r="D45" i="26"/>
  <c r="D41" i="26"/>
  <c r="D40" i="26"/>
  <c r="D39" i="26"/>
  <c r="D35" i="26"/>
  <c r="D34" i="26"/>
  <c r="D33" i="26"/>
  <c r="D27" i="26"/>
  <c r="D26" i="26"/>
  <c r="D25" i="26"/>
  <c r="D21" i="26"/>
  <c r="D20" i="26"/>
  <c r="D19" i="26"/>
  <c r="D15" i="26"/>
  <c r="D14" i="26"/>
  <c r="D13" i="26"/>
  <c r="D9" i="26"/>
  <c r="D8" i="26"/>
  <c r="D7" i="26"/>
  <c r="D9" i="18"/>
  <c r="D8" i="18"/>
  <c r="D153" i="17"/>
  <c r="D152" i="17"/>
  <c r="D151" i="17"/>
  <c r="D150" i="17"/>
  <c r="D149" i="17"/>
  <c r="D148" i="17"/>
  <c r="D116" i="17"/>
  <c r="D115" i="17"/>
  <c r="D114" i="17"/>
  <c r="D110" i="17"/>
  <c r="D109" i="17"/>
  <c r="D105" i="17"/>
  <c r="D104" i="17"/>
  <c r="D99" i="17"/>
  <c r="D98" i="17"/>
  <c r="D97" i="17"/>
  <c r="D84" i="17"/>
  <c r="D82" i="17"/>
  <c r="D81" i="17"/>
  <c r="D80" i="17"/>
  <c r="D79" i="17"/>
  <c r="D78" i="17"/>
  <c r="D77" i="17"/>
  <c r="D76" i="17"/>
  <c r="D75" i="17"/>
  <c r="D74" i="17"/>
  <c r="D73" i="17"/>
  <c r="D72" i="17"/>
  <c r="D71" i="17"/>
  <c r="D32" i="17"/>
  <c r="D31" i="17"/>
  <c r="D25" i="17"/>
  <c r="D19" i="17"/>
  <c r="D13" i="17"/>
  <c r="D8" i="17"/>
  <c r="D166" i="15"/>
  <c r="D165" i="15"/>
  <c r="D164" i="15"/>
  <c r="D163" i="15"/>
  <c r="D162" i="15"/>
  <c r="D161" i="15"/>
  <c r="D160" i="15"/>
  <c r="D159" i="15"/>
  <c r="D158" i="15"/>
  <c r="D157" i="15"/>
  <c r="D156" i="15"/>
  <c r="D155" i="15"/>
  <c r="D154" i="15"/>
  <c r="D153" i="15"/>
  <c r="D152" i="15"/>
  <c r="D151" i="15"/>
  <c r="D150" i="15"/>
  <c r="D149" i="15"/>
  <c r="D145" i="15"/>
  <c r="D144" i="15"/>
  <c r="D143" i="15"/>
  <c r="D142" i="15"/>
  <c r="D141" i="15"/>
  <c r="D140" i="15"/>
  <c r="D139" i="15"/>
  <c r="D138" i="15"/>
  <c r="D137" i="15"/>
  <c r="D35" i="13"/>
  <c r="D34" i="13"/>
  <c r="D33" i="13"/>
  <c r="D26" i="13"/>
  <c r="D25" i="13"/>
  <c r="D14" i="13"/>
  <c r="D12" i="13"/>
  <c r="D9" i="13"/>
  <c r="D8" i="13"/>
  <c r="D25" i="12"/>
  <c r="D24" i="12"/>
  <c r="D23" i="12"/>
  <c r="D20" i="12"/>
  <c r="D19" i="12"/>
  <c r="D18" i="12"/>
  <c r="D17" i="12"/>
  <c r="D13" i="12"/>
  <c r="D12" i="12"/>
  <c r="D11" i="12"/>
  <c r="D8" i="12"/>
  <c r="D341" i="48"/>
  <c r="D340" i="48"/>
  <c r="D339" i="48"/>
  <c r="D338" i="48"/>
  <c r="D337" i="48"/>
  <c r="D336" i="48"/>
  <c r="D335" i="48"/>
  <c r="D334" i="48"/>
  <c r="D333" i="48"/>
  <c r="D332" i="48"/>
  <c r="D330" i="48"/>
  <c r="D329" i="48"/>
  <c r="D328" i="48"/>
  <c r="D327" i="48"/>
  <c r="D326" i="48"/>
  <c r="D325" i="48"/>
  <c r="D324" i="48"/>
  <c r="D323" i="48"/>
  <c r="D322" i="48"/>
  <c r="D321" i="48"/>
  <c r="D319" i="48"/>
  <c r="D318" i="48"/>
  <c r="D317" i="48"/>
  <c r="D316" i="48"/>
  <c r="D315" i="48"/>
  <c r="D314" i="48"/>
  <c r="D313" i="48"/>
  <c r="D312" i="48"/>
  <c r="D311" i="48"/>
  <c r="D310" i="48"/>
  <c r="D308" i="48"/>
  <c r="D307" i="48"/>
  <c r="D306" i="48"/>
  <c r="D305" i="48"/>
  <c r="D304" i="48"/>
  <c r="D303" i="48"/>
  <c r="D302" i="48"/>
  <c r="D301" i="48"/>
  <c r="D300" i="48"/>
  <c r="D299" i="48"/>
  <c r="D297" i="48"/>
  <c r="D296" i="48"/>
  <c r="D295" i="48"/>
  <c r="D294" i="48"/>
  <c r="D293" i="48"/>
  <c r="D292" i="48"/>
  <c r="D291" i="48"/>
  <c r="D290" i="48"/>
  <c r="D289" i="48"/>
  <c r="D288" i="48"/>
  <c r="D286" i="48"/>
  <c r="D285" i="48"/>
  <c r="D284" i="48"/>
  <c r="D283" i="48"/>
  <c r="D282" i="48"/>
  <c r="D281" i="48"/>
  <c r="D280" i="48"/>
  <c r="D279" i="48"/>
  <c r="D278" i="48"/>
  <c r="D277" i="48"/>
  <c r="D275" i="48"/>
  <c r="D274" i="48"/>
  <c r="D273" i="48"/>
  <c r="D272" i="48"/>
  <c r="D271" i="48"/>
  <c r="D270" i="48"/>
  <c r="D269" i="48"/>
  <c r="D268" i="48"/>
  <c r="D267" i="48"/>
  <c r="D266" i="48"/>
  <c r="D264" i="48"/>
  <c r="D263" i="48"/>
  <c r="D262" i="48"/>
  <c r="D261" i="48"/>
  <c r="D260" i="48"/>
  <c r="D259" i="48"/>
  <c r="D258" i="48"/>
  <c r="D257" i="48"/>
  <c r="D256" i="48"/>
  <c r="D255" i="48"/>
  <c r="D253" i="48"/>
  <c r="D252" i="48"/>
  <c r="D251" i="48"/>
  <c r="D250" i="48"/>
  <c r="D249" i="48"/>
  <c r="D248" i="48"/>
  <c r="D247" i="48"/>
  <c r="D246" i="48"/>
  <c r="D245" i="48"/>
  <c r="D244" i="48"/>
  <c r="D242" i="48"/>
  <c r="D241" i="48"/>
  <c r="D240" i="48"/>
  <c r="D239" i="48"/>
  <c r="D238" i="48"/>
  <c r="D237" i="48"/>
  <c r="D236" i="48"/>
  <c r="D235" i="48"/>
  <c r="D234" i="48"/>
  <c r="D233" i="48"/>
  <c r="D231" i="48"/>
  <c r="D230" i="48"/>
  <c r="D229" i="48"/>
  <c r="D228" i="48"/>
  <c r="D227" i="48"/>
  <c r="D226" i="48"/>
  <c r="D225" i="48"/>
  <c r="D224" i="48"/>
  <c r="D223" i="48"/>
  <c r="D222" i="48"/>
  <c r="D220" i="48"/>
  <c r="D219" i="48"/>
  <c r="D218" i="48"/>
  <c r="D217" i="48"/>
  <c r="D216" i="48"/>
  <c r="D215" i="48"/>
  <c r="D214" i="48"/>
  <c r="D213" i="48"/>
  <c r="D212" i="48"/>
  <c r="D211" i="48"/>
  <c r="D209" i="48"/>
  <c r="D208" i="48"/>
  <c r="D207" i="48"/>
  <c r="D206" i="48"/>
  <c r="D205" i="48"/>
  <c r="D204" i="48"/>
  <c r="D203" i="48"/>
  <c r="D202" i="48"/>
  <c r="D201" i="48"/>
  <c r="D200" i="48"/>
  <c r="D198" i="48"/>
  <c r="D197" i="48"/>
  <c r="D196" i="48"/>
  <c r="D195" i="48"/>
  <c r="D194" i="48"/>
  <c r="D193" i="48"/>
  <c r="D192" i="48"/>
  <c r="D191" i="48"/>
  <c r="D190" i="48"/>
  <c r="D189" i="48"/>
  <c r="D187" i="48"/>
  <c r="D186" i="48"/>
  <c r="D185" i="48"/>
  <c r="D184" i="48"/>
  <c r="D183" i="48"/>
  <c r="D182" i="48"/>
  <c r="D181" i="48"/>
  <c r="D180" i="48"/>
  <c r="D179" i="48"/>
  <c r="D178" i="48"/>
  <c r="D64" i="11"/>
  <c r="D63" i="11"/>
  <c r="D62" i="11"/>
  <c r="D61" i="11"/>
  <c r="D60" i="11"/>
  <c r="D58" i="11"/>
  <c r="D57" i="11"/>
  <c r="D56" i="11"/>
  <c r="D54" i="11"/>
  <c r="D53" i="11"/>
  <c r="D52" i="11"/>
  <c r="D51" i="11"/>
  <c r="D50" i="11"/>
  <c r="D48" i="11"/>
  <c r="D47" i="11"/>
  <c r="D46" i="11"/>
  <c r="D48" i="10"/>
  <c r="C25" i="7" s="1"/>
  <c r="D46" i="10"/>
  <c r="D44" i="10"/>
  <c r="D42" i="10"/>
  <c r="D41" i="10"/>
  <c r="D40" i="10"/>
  <c r="C22" i="7" s="1"/>
  <c r="D22" i="10"/>
  <c r="D20" i="10"/>
  <c r="C10" i="7" s="1"/>
  <c r="D19" i="10"/>
  <c r="D18" i="10"/>
  <c r="D17" i="10"/>
  <c r="D16" i="10"/>
  <c r="D15" i="10"/>
  <c r="D14" i="10"/>
  <c r="C9" i="7" s="1"/>
  <c r="D13" i="10"/>
  <c r="D339" i="47"/>
  <c r="D338" i="47"/>
  <c r="D337" i="47"/>
  <c r="D336" i="47"/>
  <c r="D335" i="47"/>
  <c r="D334" i="47"/>
  <c r="D333" i="47"/>
  <c r="D332" i="47"/>
  <c r="D331" i="47"/>
  <c r="D330" i="47"/>
  <c r="D328" i="47"/>
  <c r="D327" i="47"/>
  <c r="D326" i="47"/>
  <c r="D325" i="47"/>
  <c r="D324" i="47"/>
  <c r="D323" i="47"/>
  <c r="D322" i="47"/>
  <c r="D321" i="47"/>
  <c r="D320" i="47"/>
  <c r="D319" i="47"/>
  <c r="D317" i="47"/>
  <c r="D316" i="47"/>
  <c r="D315" i="47"/>
  <c r="D314" i="47"/>
  <c r="D313" i="47"/>
  <c r="D312" i="47"/>
  <c r="D311" i="47"/>
  <c r="D310" i="47"/>
  <c r="D309" i="47"/>
  <c r="D308" i="47"/>
  <c r="D306" i="47"/>
  <c r="D305" i="47"/>
  <c r="D304" i="47"/>
  <c r="D303" i="47"/>
  <c r="D302" i="47"/>
  <c r="D301" i="47"/>
  <c r="D300" i="47"/>
  <c r="D299" i="47"/>
  <c r="D298" i="47"/>
  <c r="D297" i="47"/>
  <c r="D295" i="47"/>
  <c r="D294" i="47"/>
  <c r="D293" i="47"/>
  <c r="D292" i="47"/>
  <c r="D291" i="47"/>
  <c r="D290" i="47"/>
  <c r="D289" i="47"/>
  <c r="D288" i="47"/>
  <c r="D287" i="47"/>
  <c r="D286" i="47"/>
  <c r="D284" i="47"/>
  <c r="D283" i="47"/>
  <c r="D282" i="47"/>
  <c r="D281" i="47"/>
  <c r="D280" i="47"/>
  <c r="D279" i="47"/>
  <c r="D278" i="47"/>
  <c r="D277" i="47"/>
  <c r="D276" i="47"/>
  <c r="D275" i="47"/>
  <c r="D273" i="47"/>
  <c r="D272" i="47"/>
  <c r="D271" i="47"/>
  <c r="D270" i="47"/>
  <c r="D269" i="47"/>
  <c r="D268" i="47"/>
  <c r="D267" i="47"/>
  <c r="D266" i="47"/>
  <c r="D265" i="47"/>
  <c r="D264" i="47"/>
  <c r="D262" i="47"/>
  <c r="D261" i="47"/>
  <c r="D260" i="47"/>
  <c r="D259" i="47"/>
  <c r="D258" i="47"/>
  <c r="D257" i="47"/>
  <c r="D256" i="47"/>
  <c r="D255" i="47"/>
  <c r="D254" i="47"/>
  <c r="D253" i="47"/>
  <c r="D251" i="47"/>
  <c r="D250" i="47"/>
  <c r="D249" i="47"/>
  <c r="D248" i="47"/>
  <c r="D247" i="47"/>
  <c r="D246" i="47"/>
  <c r="D245" i="47"/>
  <c r="D244" i="47"/>
  <c r="D243" i="47"/>
  <c r="D242" i="47"/>
  <c r="D240" i="47"/>
  <c r="D239" i="47"/>
  <c r="D238" i="47"/>
  <c r="D237" i="47"/>
  <c r="D236" i="47"/>
  <c r="D235" i="47"/>
  <c r="D234" i="47"/>
  <c r="D233" i="47"/>
  <c r="D232" i="47"/>
  <c r="D231" i="47"/>
  <c r="D229" i="47"/>
  <c r="D228" i="47"/>
  <c r="D227" i="47"/>
  <c r="D226" i="47"/>
  <c r="D225" i="47"/>
  <c r="D224" i="47"/>
  <c r="D223" i="47"/>
  <c r="D222" i="47"/>
  <c r="D221" i="47"/>
  <c r="D220" i="47"/>
  <c r="D218" i="47"/>
  <c r="D217" i="47"/>
  <c r="D216" i="47"/>
  <c r="D215" i="47"/>
  <c r="D214" i="47"/>
  <c r="D213" i="47"/>
  <c r="D212" i="47"/>
  <c r="D211" i="47"/>
  <c r="D210" i="47"/>
  <c r="D209" i="47"/>
  <c r="D207" i="47"/>
  <c r="D206" i="47"/>
  <c r="D205" i="47"/>
  <c r="D204" i="47"/>
  <c r="D203" i="47"/>
  <c r="D202" i="47"/>
  <c r="D201" i="47"/>
  <c r="D200" i="47"/>
  <c r="D199" i="47"/>
  <c r="D198" i="47"/>
  <c r="D196" i="47"/>
  <c r="D195" i="47"/>
  <c r="D194" i="47"/>
  <c r="D193" i="47"/>
  <c r="D192" i="47"/>
  <c r="D191" i="47"/>
  <c r="D190" i="47"/>
  <c r="D189" i="47"/>
  <c r="D188" i="47"/>
  <c r="D187" i="47"/>
  <c r="D185" i="47"/>
  <c r="D184" i="47"/>
  <c r="D183" i="47"/>
  <c r="D182" i="47"/>
  <c r="D181" i="47"/>
  <c r="D180" i="47"/>
  <c r="D179" i="47"/>
  <c r="D178" i="47"/>
  <c r="D177" i="47"/>
  <c r="D176" i="47"/>
  <c r="C33" i="17"/>
  <c r="C26" i="17"/>
  <c r="C14" i="17"/>
  <c r="C9" i="17"/>
  <c r="C10" i="53"/>
  <c r="E9" i="53"/>
  <c r="E8" i="53"/>
  <c r="M3" i="53"/>
  <c r="L3" i="53"/>
  <c r="K3" i="53"/>
  <c r="J3" i="53"/>
  <c r="I3" i="53"/>
  <c r="H3" i="53"/>
  <c r="G3" i="53"/>
  <c r="F3" i="53"/>
  <c r="E3" i="53"/>
  <c r="D3" i="53"/>
  <c r="C3" i="53"/>
  <c r="B2" i="53"/>
  <c r="A2" i="53"/>
  <c r="J96" i="27"/>
  <c r="J95" i="27"/>
  <c r="J94" i="27"/>
  <c r="J93" i="27"/>
  <c r="J92" i="27"/>
  <c r="J91" i="27"/>
  <c r="J90" i="27"/>
  <c r="J89" i="27"/>
  <c r="J88" i="27"/>
  <c r="J87" i="27"/>
  <c r="J86" i="27"/>
  <c r="J85" i="27"/>
  <c r="J80" i="27"/>
  <c r="J79" i="27"/>
  <c r="J78" i="27"/>
  <c r="J77" i="27"/>
  <c r="J76" i="27"/>
  <c r="J75" i="27"/>
  <c r="J74" i="27"/>
  <c r="J73" i="27"/>
  <c r="J72" i="27"/>
  <c r="J71" i="27"/>
  <c r="J70" i="27"/>
  <c r="J69" i="27"/>
  <c r="J64" i="27"/>
  <c r="J63" i="27"/>
  <c r="J62" i="27"/>
  <c r="J61" i="27"/>
  <c r="J58" i="27"/>
  <c r="J57" i="27"/>
  <c r="J56" i="27"/>
  <c r="J55" i="27"/>
  <c r="J54" i="27"/>
  <c r="J53" i="27"/>
  <c r="J52" i="27"/>
  <c r="C8" i="18"/>
  <c r="M3" i="18"/>
  <c r="L3" i="18"/>
  <c r="K3" i="18"/>
  <c r="J3" i="18"/>
  <c r="I3" i="18"/>
  <c r="H3" i="18"/>
  <c r="G3" i="18"/>
  <c r="F3" i="18"/>
  <c r="E3" i="18"/>
  <c r="D3" i="18"/>
  <c r="C3" i="18"/>
  <c r="B2" i="18"/>
  <c r="A2" i="18"/>
  <c r="J3" i="46"/>
  <c r="J3" i="47"/>
  <c r="E93" i="46"/>
  <c r="E88" i="46"/>
  <c r="E76" i="46" s="1"/>
  <c r="E8" i="46"/>
  <c r="M28" i="13"/>
  <c r="L28" i="13"/>
  <c r="M20" i="17"/>
  <c r="L20" i="17"/>
  <c r="C20" i="17"/>
  <c r="R45" i="31"/>
  <c r="Q45" i="31"/>
  <c r="P45" i="31"/>
  <c r="H45" i="31"/>
  <c r="G45" i="31"/>
  <c r="F45" i="31"/>
  <c r="E45" i="31"/>
  <c r="D45" i="31"/>
  <c r="C45" i="31"/>
  <c r="R44" i="31"/>
  <c r="Q44" i="31"/>
  <c r="P44" i="31"/>
  <c r="H44" i="31"/>
  <c r="G44" i="31"/>
  <c r="F44" i="31"/>
  <c r="E44" i="31"/>
  <c r="D44" i="31"/>
  <c r="C44" i="31"/>
  <c r="R43" i="31"/>
  <c r="Q43" i="31"/>
  <c r="P43" i="31"/>
  <c r="H43" i="31"/>
  <c r="G43" i="31"/>
  <c r="F43" i="31"/>
  <c r="E43" i="31"/>
  <c r="D43" i="31"/>
  <c r="C43" i="31"/>
  <c r="R42" i="31"/>
  <c r="Q42" i="31"/>
  <c r="P42" i="31"/>
  <c r="H42" i="31"/>
  <c r="G42" i="31"/>
  <c r="F42" i="31"/>
  <c r="E42" i="31"/>
  <c r="D42" i="31"/>
  <c r="C42" i="31"/>
  <c r="R41" i="31"/>
  <c r="Q41" i="31"/>
  <c r="P41" i="31"/>
  <c r="H41" i="31"/>
  <c r="G41" i="31"/>
  <c r="F41" i="31"/>
  <c r="E41" i="31"/>
  <c r="D41" i="31"/>
  <c r="C41" i="31"/>
  <c r="R40" i="31"/>
  <c r="Q40" i="31"/>
  <c r="P40" i="31"/>
  <c r="H40" i="31"/>
  <c r="G40" i="31"/>
  <c r="F40" i="31"/>
  <c r="E40" i="31"/>
  <c r="D40" i="31"/>
  <c r="C40" i="31"/>
  <c r="R39" i="31"/>
  <c r="Q39" i="31"/>
  <c r="P39" i="31"/>
  <c r="H39" i="31"/>
  <c r="G39" i="31"/>
  <c r="F39" i="31"/>
  <c r="E39" i="31"/>
  <c r="D39" i="31"/>
  <c r="C39" i="31"/>
  <c r="R38" i="31"/>
  <c r="Q38" i="31"/>
  <c r="P38" i="31"/>
  <c r="H38" i="31"/>
  <c r="G38" i="31"/>
  <c r="F38" i="31"/>
  <c r="E38" i="31"/>
  <c r="D38" i="31"/>
  <c r="C38" i="31"/>
  <c r="R37" i="31"/>
  <c r="Q37" i="31"/>
  <c r="P37" i="31"/>
  <c r="H37" i="31"/>
  <c r="G37" i="31"/>
  <c r="F37" i="31"/>
  <c r="E37" i="31"/>
  <c r="D37" i="31"/>
  <c r="C37" i="31"/>
  <c r="R36" i="31"/>
  <c r="Q36" i="31"/>
  <c r="P36" i="31"/>
  <c r="H36" i="31"/>
  <c r="G36" i="31"/>
  <c r="F36" i="31"/>
  <c r="E36" i="31"/>
  <c r="D36" i="31"/>
  <c r="C36" i="31"/>
  <c r="I37" i="13"/>
  <c r="J37" i="13" s="1"/>
  <c r="J28" i="13"/>
  <c r="D50" i="46" l="1"/>
  <c r="D13" i="9" s="1"/>
  <c r="C23" i="7"/>
  <c r="D72" i="11"/>
  <c r="C30" i="7" s="1"/>
  <c r="D318" i="47"/>
  <c r="D208" i="47"/>
  <c r="M37" i="13"/>
  <c r="L37" i="13"/>
  <c r="C37" i="13"/>
  <c r="M18" i="13"/>
  <c r="L18" i="13"/>
  <c r="I18" i="13"/>
  <c r="J18" i="13" s="1"/>
  <c r="C18" i="13"/>
  <c r="M17" i="13"/>
  <c r="L17" i="13"/>
  <c r="I17" i="13"/>
  <c r="J17" i="13" s="1"/>
  <c r="C17" i="13"/>
  <c r="M16" i="13"/>
  <c r="L16" i="13"/>
  <c r="J16" i="13"/>
  <c r="H20" i="32" l="1"/>
  <c r="G20" i="32"/>
  <c r="F20" i="32"/>
  <c r="E20" i="32"/>
  <c r="D20" i="32"/>
  <c r="C20" i="32"/>
  <c r="H19" i="32"/>
  <c r="G19" i="32"/>
  <c r="F19" i="32"/>
  <c r="E19" i="32"/>
  <c r="D19" i="32"/>
  <c r="C19" i="32"/>
  <c r="H18" i="32"/>
  <c r="G18" i="32"/>
  <c r="F18" i="32"/>
  <c r="E18" i="32"/>
  <c r="D18" i="32"/>
  <c r="C18" i="32"/>
  <c r="H17" i="32"/>
  <c r="G17" i="32"/>
  <c r="F17" i="32"/>
  <c r="E17" i="32"/>
  <c r="D17" i="32"/>
  <c r="C17" i="32"/>
  <c r="H16" i="32"/>
  <c r="G16" i="32"/>
  <c r="F16" i="32"/>
  <c r="E16" i="32"/>
  <c r="D16" i="32"/>
  <c r="C16" i="32"/>
  <c r="H15" i="32"/>
  <c r="G15" i="32"/>
  <c r="F15" i="32"/>
  <c r="E15" i="32"/>
  <c r="D15" i="32"/>
  <c r="C15" i="32"/>
  <c r="H14" i="32"/>
  <c r="G14" i="32"/>
  <c r="F14" i="32"/>
  <c r="E14" i="32"/>
  <c r="D14" i="32"/>
  <c r="C14" i="32"/>
  <c r="H13" i="32"/>
  <c r="G13" i="32"/>
  <c r="F13" i="32"/>
  <c r="E13" i="32"/>
  <c r="D13" i="32"/>
  <c r="C13" i="32"/>
  <c r="H12" i="32"/>
  <c r="G12" i="32"/>
  <c r="F12" i="32"/>
  <c r="E12" i="32"/>
  <c r="D12" i="32"/>
  <c r="C12" i="32"/>
  <c r="H11" i="32"/>
  <c r="G11" i="32"/>
  <c r="F11" i="32"/>
  <c r="E11" i="32"/>
  <c r="D11" i="32"/>
  <c r="C11" i="32"/>
  <c r="H10" i="32"/>
  <c r="G10" i="32"/>
  <c r="F10" i="32"/>
  <c r="E10" i="32"/>
  <c r="D10" i="32"/>
  <c r="C10" i="32"/>
  <c r="H9" i="32"/>
  <c r="G9" i="32"/>
  <c r="F9" i="32"/>
  <c r="E9" i="32"/>
  <c r="D9" i="32"/>
  <c r="C9" i="32"/>
  <c r="H8" i="32"/>
  <c r="G8" i="32"/>
  <c r="F8" i="32"/>
  <c r="E8" i="32"/>
  <c r="D8" i="32"/>
  <c r="C8" i="32"/>
  <c r="H7" i="32"/>
  <c r="G7" i="32"/>
  <c r="F7" i="32"/>
  <c r="E7" i="32"/>
  <c r="D7" i="32"/>
  <c r="C7" i="32"/>
  <c r="H6" i="32"/>
  <c r="G6" i="32"/>
  <c r="F6" i="32"/>
  <c r="E6" i="32"/>
  <c r="D6" i="32"/>
  <c r="C6" i="32"/>
  <c r="H38" i="32"/>
  <c r="G38" i="32"/>
  <c r="F38" i="32"/>
  <c r="E38" i="32"/>
  <c r="D38" i="32"/>
  <c r="C38" i="32"/>
  <c r="H37" i="32"/>
  <c r="G37" i="32"/>
  <c r="F37" i="32"/>
  <c r="E37" i="32"/>
  <c r="D37" i="32"/>
  <c r="C37" i="32"/>
  <c r="H36" i="32"/>
  <c r="G36" i="32"/>
  <c r="F36" i="32"/>
  <c r="E36" i="32"/>
  <c r="D36" i="32"/>
  <c r="C36" i="32"/>
  <c r="H35" i="32"/>
  <c r="G35" i="32"/>
  <c r="F35" i="32"/>
  <c r="E35" i="32"/>
  <c r="D35" i="32"/>
  <c r="C35" i="32"/>
  <c r="H34" i="32"/>
  <c r="G34" i="32"/>
  <c r="F34" i="32"/>
  <c r="E34" i="32"/>
  <c r="D34" i="32"/>
  <c r="C34" i="32"/>
  <c r="H33" i="32"/>
  <c r="G33" i="32"/>
  <c r="F33" i="32"/>
  <c r="E33" i="32"/>
  <c r="D33" i="32"/>
  <c r="C33" i="32"/>
  <c r="H32" i="32"/>
  <c r="G32" i="32"/>
  <c r="F32" i="32"/>
  <c r="E32" i="32"/>
  <c r="D32" i="32"/>
  <c r="C32" i="32"/>
  <c r="H31" i="32"/>
  <c r="G31" i="32"/>
  <c r="F31" i="32"/>
  <c r="E31" i="32"/>
  <c r="D31" i="32"/>
  <c r="C31" i="32"/>
  <c r="H30" i="32"/>
  <c r="G30" i="32"/>
  <c r="F30" i="32"/>
  <c r="E30" i="32"/>
  <c r="D30" i="32"/>
  <c r="C30" i="32"/>
  <c r="H29" i="32"/>
  <c r="G29" i="32"/>
  <c r="F29" i="32"/>
  <c r="E29" i="32"/>
  <c r="D29" i="32"/>
  <c r="C29" i="32"/>
  <c r="H28" i="32"/>
  <c r="G28" i="32"/>
  <c r="F28" i="32"/>
  <c r="E28" i="32"/>
  <c r="D28" i="32"/>
  <c r="C28" i="32"/>
  <c r="H27" i="32"/>
  <c r="G27" i="32"/>
  <c r="F27" i="32"/>
  <c r="E27" i="32"/>
  <c r="D27" i="32"/>
  <c r="C27" i="32"/>
  <c r="H26" i="32"/>
  <c r="G26" i="32"/>
  <c r="F26" i="32"/>
  <c r="E26" i="32"/>
  <c r="D26" i="32"/>
  <c r="C26" i="32"/>
  <c r="H25" i="32"/>
  <c r="G25" i="32"/>
  <c r="F25" i="32"/>
  <c r="E25" i="32"/>
  <c r="D25" i="32"/>
  <c r="C25" i="32"/>
  <c r="H24" i="32"/>
  <c r="G24" i="32"/>
  <c r="F24" i="32"/>
  <c r="E24" i="32"/>
  <c r="D24" i="32"/>
  <c r="C24" i="32"/>
  <c r="J9" i="17" l="1"/>
  <c r="I8" i="17"/>
  <c r="J8" i="17" s="1"/>
  <c r="H38" i="28"/>
  <c r="G38" i="28"/>
  <c r="F38" i="28"/>
  <c r="E38" i="28"/>
  <c r="D38" i="28"/>
  <c r="C38" i="28"/>
  <c r="H37" i="28"/>
  <c r="G37" i="28"/>
  <c r="F37" i="28"/>
  <c r="E37" i="28"/>
  <c r="D37" i="28"/>
  <c r="C37" i="28"/>
  <c r="H36" i="28"/>
  <c r="G36" i="28"/>
  <c r="F36" i="28"/>
  <c r="E36" i="28"/>
  <c r="D36" i="28"/>
  <c r="C36" i="28"/>
  <c r="H35" i="28"/>
  <c r="G35" i="28"/>
  <c r="F35" i="28"/>
  <c r="E35" i="28"/>
  <c r="D35" i="28"/>
  <c r="C35" i="28"/>
  <c r="H34" i="28"/>
  <c r="G34" i="28"/>
  <c r="F34" i="28"/>
  <c r="E34" i="28"/>
  <c r="D34" i="28"/>
  <c r="C34" i="28"/>
  <c r="H33" i="28"/>
  <c r="G33" i="28"/>
  <c r="F33" i="28"/>
  <c r="E33" i="28"/>
  <c r="D33" i="28"/>
  <c r="C33" i="28"/>
  <c r="H32" i="28"/>
  <c r="G32" i="28"/>
  <c r="F32" i="28"/>
  <c r="E32" i="28"/>
  <c r="D32" i="28"/>
  <c r="C32" i="28"/>
  <c r="H31" i="28"/>
  <c r="G31" i="28"/>
  <c r="F31" i="28"/>
  <c r="E31" i="28"/>
  <c r="D31" i="28"/>
  <c r="C31" i="28"/>
  <c r="H30" i="28"/>
  <c r="G30" i="28"/>
  <c r="F30" i="28"/>
  <c r="E30" i="28"/>
  <c r="D30" i="28"/>
  <c r="C30" i="28"/>
  <c r="H29" i="28"/>
  <c r="G29" i="28"/>
  <c r="F29" i="28"/>
  <c r="E29" i="28"/>
  <c r="D29" i="28"/>
  <c r="C29" i="28"/>
  <c r="H28" i="28"/>
  <c r="G28" i="28"/>
  <c r="F28" i="28"/>
  <c r="E28" i="28"/>
  <c r="D28" i="28"/>
  <c r="C28" i="28"/>
  <c r="H27" i="28"/>
  <c r="G27" i="28"/>
  <c r="F27" i="28"/>
  <c r="E27" i="28"/>
  <c r="D27" i="28"/>
  <c r="C27" i="28"/>
  <c r="H26" i="28"/>
  <c r="G26" i="28"/>
  <c r="F26" i="28"/>
  <c r="E26" i="28"/>
  <c r="D26" i="28"/>
  <c r="C26" i="28"/>
  <c r="H25" i="28"/>
  <c r="G25" i="28"/>
  <c r="F25" i="28"/>
  <c r="E25" i="28"/>
  <c r="D25" i="28"/>
  <c r="C25" i="28"/>
  <c r="H24" i="28"/>
  <c r="G24" i="28"/>
  <c r="F24" i="28"/>
  <c r="E24" i="28"/>
  <c r="D24" i="28"/>
  <c r="C24" i="28"/>
  <c r="H20" i="28"/>
  <c r="G20" i="28"/>
  <c r="F20" i="28"/>
  <c r="E20" i="28"/>
  <c r="D20" i="28"/>
  <c r="C20" i="28"/>
  <c r="H19" i="28"/>
  <c r="G19" i="28"/>
  <c r="F19" i="28"/>
  <c r="E19" i="28"/>
  <c r="D19" i="28"/>
  <c r="C19" i="28"/>
  <c r="H18" i="28"/>
  <c r="G18" i="28"/>
  <c r="F18" i="28"/>
  <c r="E18" i="28"/>
  <c r="D18" i="28"/>
  <c r="C18" i="28"/>
  <c r="H17" i="28"/>
  <c r="G17" i="28"/>
  <c r="F17" i="28"/>
  <c r="E17" i="28"/>
  <c r="D17" i="28"/>
  <c r="C17" i="28"/>
  <c r="H16" i="28"/>
  <c r="G16" i="28"/>
  <c r="F16" i="28"/>
  <c r="E16" i="28"/>
  <c r="D16" i="28"/>
  <c r="C16" i="28"/>
  <c r="H15" i="28"/>
  <c r="G15" i="28"/>
  <c r="F15" i="28"/>
  <c r="E15" i="28"/>
  <c r="D15" i="28"/>
  <c r="C15" i="28"/>
  <c r="H14" i="28"/>
  <c r="G14" i="28"/>
  <c r="F14" i="28"/>
  <c r="E14" i="28"/>
  <c r="D14" i="28"/>
  <c r="C14" i="28"/>
  <c r="H13" i="28"/>
  <c r="G13" i="28"/>
  <c r="F13" i="28"/>
  <c r="E13" i="28"/>
  <c r="D13" i="28"/>
  <c r="C13" i="28"/>
  <c r="H12" i="28"/>
  <c r="G12" i="28"/>
  <c r="F12" i="28"/>
  <c r="E12" i="28"/>
  <c r="D12" i="28"/>
  <c r="C12" i="28"/>
  <c r="H11" i="28"/>
  <c r="G11" i="28"/>
  <c r="F11" i="28"/>
  <c r="E11" i="28"/>
  <c r="D11" i="28"/>
  <c r="C11" i="28"/>
  <c r="H10" i="28"/>
  <c r="G10" i="28"/>
  <c r="F10" i="28"/>
  <c r="E10" i="28"/>
  <c r="D10" i="28"/>
  <c r="C10" i="28"/>
  <c r="H9" i="28"/>
  <c r="G9" i="28"/>
  <c r="F9" i="28"/>
  <c r="E9" i="28"/>
  <c r="D9" i="28"/>
  <c r="C9" i="28"/>
  <c r="H8" i="28"/>
  <c r="G8" i="28"/>
  <c r="F8" i="28"/>
  <c r="E8" i="28"/>
  <c r="D8" i="28"/>
  <c r="C8" i="28"/>
  <c r="H7" i="28"/>
  <c r="G7" i="28"/>
  <c r="F7" i="28"/>
  <c r="E7" i="28"/>
  <c r="D7" i="28"/>
  <c r="C7" i="28"/>
  <c r="H6" i="28"/>
  <c r="G6" i="28"/>
  <c r="F6" i="28"/>
  <c r="E6" i="28"/>
  <c r="D6" i="28"/>
  <c r="C6" i="28"/>
  <c r="H48" i="29"/>
  <c r="G48" i="29"/>
  <c r="F48" i="29"/>
  <c r="E48" i="29"/>
  <c r="D48" i="29"/>
  <c r="C48" i="29"/>
  <c r="H47" i="29"/>
  <c r="G47" i="29"/>
  <c r="F47" i="29"/>
  <c r="E47" i="29"/>
  <c r="D47" i="29"/>
  <c r="C47" i="29"/>
  <c r="H46" i="29"/>
  <c r="G46" i="29"/>
  <c r="F46" i="29"/>
  <c r="E46" i="29"/>
  <c r="D46" i="29"/>
  <c r="C46" i="29"/>
  <c r="H45" i="29"/>
  <c r="G45" i="29"/>
  <c r="F45" i="29"/>
  <c r="E45" i="29"/>
  <c r="D45" i="29"/>
  <c r="C45" i="29"/>
  <c r="H44" i="29"/>
  <c r="G44" i="29"/>
  <c r="F44" i="29"/>
  <c r="E44" i="29"/>
  <c r="D44" i="29"/>
  <c r="C44" i="29"/>
  <c r="H42" i="29"/>
  <c r="G42" i="29"/>
  <c r="F42" i="29"/>
  <c r="E42" i="29"/>
  <c r="D42" i="29"/>
  <c r="C42" i="29"/>
  <c r="H41" i="29"/>
  <c r="G41" i="29"/>
  <c r="F41" i="29"/>
  <c r="E41" i="29"/>
  <c r="D41" i="29"/>
  <c r="C41" i="29"/>
  <c r="H40" i="29"/>
  <c r="G40" i="29"/>
  <c r="F40" i="29"/>
  <c r="E40" i="29"/>
  <c r="D40" i="29"/>
  <c r="C40" i="29"/>
  <c r="H38" i="29"/>
  <c r="G38" i="29"/>
  <c r="F38" i="29"/>
  <c r="E38" i="29"/>
  <c r="D38" i="29"/>
  <c r="C38" i="29"/>
  <c r="H37" i="29"/>
  <c r="G37" i="29"/>
  <c r="F37" i="29"/>
  <c r="E37" i="29"/>
  <c r="D37" i="29"/>
  <c r="C37" i="29"/>
  <c r="H36" i="29"/>
  <c r="G36" i="29"/>
  <c r="F36" i="29"/>
  <c r="E36" i="29"/>
  <c r="D36" i="29"/>
  <c r="C36" i="29"/>
  <c r="H35" i="29"/>
  <c r="G35" i="29"/>
  <c r="F35" i="29"/>
  <c r="E35" i="29"/>
  <c r="D35" i="29"/>
  <c r="C35" i="29"/>
  <c r="H34" i="29"/>
  <c r="G34" i="29"/>
  <c r="F34" i="29"/>
  <c r="E34" i="29"/>
  <c r="D34" i="29"/>
  <c r="C34" i="29"/>
  <c r="H32" i="29"/>
  <c r="G32" i="29"/>
  <c r="F32" i="29"/>
  <c r="E32" i="29"/>
  <c r="D32" i="29"/>
  <c r="C32" i="29"/>
  <c r="H31" i="29"/>
  <c r="G31" i="29"/>
  <c r="F31" i="29"/>
  <c r="E31" i="29"/>
  <c r="D31" i="29"/>
  <c r="C31" i="29"/>
  <c r="H30" i="29"/>
  <c r="G30" i="29"/>
  <c r="F30" i="29"/>
  <c r="E30" i="29"/>
  <c r="D30" i="29"/>
  <c r="C30" i="29"/>
  <c r="H25" i="29"/>
  <c r="G25" i="29"/>
  <c r="F25" i="29"/>
  <c r="E25" i="29"/>
  <c r="D25" i="29"/>
  <c r="C25" i="29"/>
  <c r="H24" i="29"/>
  <c r="G24" i="29"/>
  <c r="F24" i="29"/>
  <c r="E24" i="29"/>
  <c r="D24" i="29"/>
  <c r="C24" i="29"/>
  <c r="H23" i="29"/>
  <c r="G23" i="29"/>
  <c r="F23" i="29"/>
  <c r="E23" i="29"/>
  <c r="D23" i="29"/>
  <c r="C23" i="29"/>
  <c r="H22" i="29"/>
  <c r="G22" i="29"/>
  <c r="F22" i="29"/>
  <c r="E22" i="29"/>
  <c r="D22" i="29"/>
  <c r="C22" i="29"/>
  <c r="H21" i="29"/>
  <c r="G21" i="29"/>
  <c r="F21" i="29"/>
  <c r="E21" i="29"/>
  <c r="D21" i="29"/>
  <c r="C21" i="29"/>
  <c r="H19" i="29"/>
  <c r="G19" i="29"/>
  <c r="F19" i="29"/>
  <c r="E19" i="29"/>
  <c r="D19" i="29"/>
  <c r="C19" i="29"/>
  <c r="H18" i="29"/>
  <c r="G18" i="29"/>
  <c r="F18" i="29"/>
  <c r="E18" i="29"/>
  <c r="D18" i="29"/>
  <c r="C18" i="29"/>
  <c r="H17" i="29"/>
  <c r="G17" i="29"/>
  <c r="F17" i="29"/>
  <c r="E17" i="29"/>
  <c r="D17" i="29"/>
  <c r="C17" i="29"/>
  <c r="H15" i="29"/>
  <c r="G15" i="29"/>
  <c r="F15" i="29"/>
  <c r="E15" i="29"/>
  <c r="D15" i="29"/>
  <c r="C15" i="29"/>
  <c r="H14" i="29"/>
  <c r="G14" i="29"/>
  <c r="F14" i="29"/>
  <c r="E14" i="29"/>
  <c r="D14" i="29"/>
  <c r="C14" i="29"/>
  <c r="H13" i="29"/>
  <c r="G13" i="29"/>
  <c r="F13" i="29"/>
  <c r="E13" i="29"/>
  <c r="D13" i="29"/>
  <c r="C13" i="29"/>
  <c r="H12" i="29"/>
  <c r="G12" i="29"/>
  <c r="F12" i="29"/>
  <c r="E12" i="29"/>
  <c r="D12" i="29"/>
  <c r="C12" i="29"/>
  <c r="H11" i="29"/>
  <c r="G11" i="29"/>
  <c r="F11" i="29"/>
  <c r="E11" i="29"/>
  <c r="D11" i="29"/>
  <c r="C11" i="29"/>
  <c r="H9" i="29"/>
  <c r="G9" i="29"/>
  <c r="F9" i="29"/>
  <c r="E9" i="29"/>
  <c r="D9" i="29"/>
  <c r="C9" i="29"/>
  <c r="H8" i="29"/>
  <c r="G8" i="29"/>
  <c r="F8" i="29"/>
  <c r="E8" i="29"/>
  <c r="D8" i="29"/>
  <c r="C8" i="29"/>
  <c r="H7" i="29"/>
  <c r="G7" i="29"/>
  <c r="F7" i="29"/>
  <c r="E7" i="29"/>
  <c r="D7" i="29"/>
  <c r="C7" i="29"/>
  <c r="I10" i="17" l="1"/>
  <c r="J60" i="18"/>
  <c r="J61" i="18"/>
  <c r="J62" i="18"/>
  <c r="J63" i="18"/>
  <c r="J59" i="18"/>
  <c r="M23" i="18" l="1"/>
  <c r="L23" i="18"/>
  <c r="M28" i="18" l="1"/>
  <c r="L28" i="18"/>
  <c r="M29" i="18"/>
  <c r="L29" i="18"/>
  <c r="J50" i="18" l="1"/>
  <c r="R50" i="31" l="1"/>
  <c r="Q50" i="31"/>
  <c r="P50" i="31"/>
  <c r="P51" i="31"/>
  <c r="P49" i="31"/>
  <c r="P32" i="31"/>
  <c r="P31" i="31"/>
  <c r="P30" i="31"/>
  <c r="P29" i="31"/>
  <c r="P28" i="31"/>
  <c r="P27" i="31"/>
  <c r="P26" i="31"/>
  <c r="P25" i="31"/>
  <c r="P24" i="31"/>
  <c r="P20" i="31"/>
  <c r="P19" i="31"/>
  <c r="P18" i="31"/>
  <c r="P17" i="31"/>
  <c r="P16" i="31"/>
  <c r="P15" i="31"/>
  <c r="P14" i="31"/>
  <c r="P13" i="31"/>
  <c r="P12" i="31"/>
  <c r="P11" i="31"/>
  <c r="P10" i="31"/>
  <c r="P9" i="31"/>
  <c r="P8" i="31"/>
  <c r="P7" i="31"/>
  <c r="P6" i="31"/>
  <c r="J28" i="18"/>
  <c r="J38" i="18"/>
  <c r="M33" i="13" l="1"/>
  <c r="L33" i="13"/>
  <c r="I33" i="13"/>
  <c r="J33" i="13" s="1"/>
  <c r="C33" i="13"/>
  <c r="M34" i="13"/>
  <c r="L34" i="13"/>
  <c r="I34" i="13"/>
  <c r="J34" i="13" s="1"/>
  <c r="C34" i="13"/>
  <c r="L22" i="18" l="1"/>
  <c r="M22" i="18"/>
  <c r="R51" i="31" l="1"/>
  <c r="Q51" i="31"/>
  <c r="H50" i="31"/>
  <c r="G50" i="31"/>
  <c r="F50" i="31"/>
  <c r="E50" i="31"/>
  <c r="D50" i="31"/>
  <c r="C50" i="31"/>
  <c r="C49" i="31"/>
  <c r="M48" i="10" l="1"/>
  <c r="L48" i="10"/>
  <c r="M46" i="10"/>
  <c r="L46" i="10"/>
  <c r="M44" i="10"/>
  <c r="L44" i="10"/>
  <c r="I48" i="10"/>
  <c r="J48" i="10" s="1"/>
  <c r="C48" i="10"/>
  <c r="I46" i="10"/>
  <c r="J46" i="10" s="1"/>
  <c r="C46" i="10"/>
  <c r="C44" i="10"/>
  <c r="I44" i="10"/>
  <c r="J44" i="10" s="1"/>
  <c r="I40" i="10" l="1"/>
  <c r="J40" i="10" s="1"/>
  <c r="C30" i="10"/>
  <c r="I30" i="10"/>
  <c r="J30" i="10" s="1"/>
  <c r="J14" i="17"/>
  <c r="J13" i="17"/>
  <c r="C32" i="17"/>
  <c r="J32" i="17"/>
  <c r="J33" i="17"/>
  <c r="J31" i="17"/>
  <c r="J26" i="17"/>
  <c r="J20" i="17"/>
  <c r="L32" i="17"/>
  <c r="M32" i="17"/>
  <c r="L33" i="17"/>
  <c r="M33" i="17"/>
  <c r="L26" i="17"/>
  <c r="M26" i="17"/>
  <c r="J25" i="17"/>
  <c r="C25" i="17"/>
  <c r="J19" i="17"/>
  <c r="M34" i="10" l="1"/>
  <c r="L34" i="10"/>
  <c r="M42" i="10"/>
  <c r="L42" i="10"/>
  <c r="M41" i="10"/>
  <c r="L41" i="10"/>
  <c r="I171" i="47" l="1"/>
  <c r="J171" i="47" s="1"/>
  <c r="I170" i="47"/>
  <c r="J170" i="47" s="1"/>
  <c r="I169" i="47"/>
  <c r="J169" i="47" s="1"/>
  <c r="I168" i="47"/>
  <c r="J168" i="47" s="1"/>
  <c r="I167" i="47"/>
  <c r="J167" i="47" s="1"/>
  <c r="I166" i="47"/>
  <c r="J166" i="47" s="1"/>
  <c r="I165" i="47"/>
  <c r="J165" i="47" s="1"/>
  <c r="I164" i="47"/>
  <c r="J164" i="47" s="1"/>
  <c r="I163" i="47"/>
  <c r="J163" i="47" s="1"/>
  <c r="I162" i="47"/>
  <c r="J162" i="47" s="1"/>
  <c r="I160" i="47"/>
  <c r="J160" i="47" s="1"/>
  <c r="I159" i="47"/>
  <c r="J159" i="47" s="1"/>
  <c r="I158" i="47"/>
  <c r="J158" i="47" s="1"/>
  <c r="I157" i="47"/>
  <c r="J157" i="47" s="1"/>
  <c r="I156" i="47"/>
  <c r="J156" i="47" s="1"/>
  <c r="I155" i="47"/>
  <c r="J155" i="47" s="1"/>
  <c r="I154" i="47"/>
  <c r="J154" i="47" s="1"/>
  <c r="I153" i="47"/>
  <c r="J153" i="47" s="1"/>
  <c r="I152" i="47"/>
  <c r="J152" i="47" s="1"/>
  <c r="I151" i="47"/>
  <c r="J151" i="47" s="1"/>
  <c r="I149" i="47"/>
  <c r="J149" i="47" s="1"/>
  <c r="I148" i="47"/>
  <c r="J148" i="47" s="1"/>
  <c r="I147" i="47"/>
  <c r="J147" i="47" s="1"/>
  <c r="I146" i="47"/>
  <c r="J146" i="47" s="1"/>
  <c r="I145" i="47"/>
  <c r="J145" i="47" s="1"/>
  <c r="I144" i="47"/>
  <c r="J144" i="47" s="1"/>
  <c r="I143" i="47"/>
  <c r="J143" i="47" s="1"/>
  <c r="I142" i="47"/>
  <c r="J142" i="47" s="1"/>
  <c r="I141" i="47"/>
  <c r="J141" i="47" s="1"/>
  <c r="I140" i="47"/>
  <c r="J140" i="47" s="1"/>
  <c r="I138" i="47"/>
  <c r="J138" i="47" s="1"/>
  <c r="I137" i="47"/>
  <c r="J137" i="47" s="1"/>
  <c r="I136" i="47"/>
  <c r="J136" i="47" s="1"/>
  <c r="I135" i="47"/>
  <c r="J135" i="47" s="1"/>
  <c r="I134" i="47"/>
  <c r="J134" i="47" s="1"/>
  <c r="I133" i="47"/>
  <c r="J133" i="47" s="1"/>
  <c r="I132" i="47"/>
  <c r="J132" i="47" s="1"/>
  <c r="I131" i="47"/>
  <c r="J131" i="47" s="1"/>
  <c r="I130" i="47"/>
  <c r="J130" i="47" s="1"/>
  <c r="I129" i="47"/>
  <c r="J129" i="47" s="1"/>
  <c r="I127" i="47"/>
  <c r="J127" i="47" s="1"/>
  <c r="I126" i="47"/>
  <c r="J126" i="47" s="1"/>
  <c r="I125" i="47"/>
  <c r="J125" i="47" s="1"/>
  <c r="I124" i="47"/>
  <c r="J124" i="47" s="1"/>
  <c r="I123" i="47"/>
  <c r="J123" i="47" s="1"/>
  <c r="I122" i="47"/>
  <c r="J122" i="47" s="1"/>
  <c r="I121" i="47"/>
  <c r="J121" i="47" s="1"/>
  <c r="I120" i="47"/>
  <c r="J120" i="47" s="1"/>
  <c r="I119" i="47"/>
  <c r="J119" i="47" s="1"/>
  <c r="I118" i="47"/>
  <c r="J118" i="47" s="1"/>
  <c r="I116" i="47"/>
  <c r="J116" i="47" s="1"/>
  <c r="I115" i="47"/>
  <c r="J115" i="47" s="1"/>
  <c r="I114" i="47"/>
  <c r="J114" i="47" s="1"/>
  <c r="I113" i="47"/>
  <c r="J113" i="47" s="1"/>
  <c r="I112" i="47"/>
  <c r="J112" i="47" s="1"/>
  <c r="I111" i="47"/>
  <c r="J111" i="47" s="1"/>
  <c r="I110" i="47"/>
  <c r="J110" i="47" s="1"/>
  <c r="I109" i="47"/>
  <c r="J109" i="47" s="1"/>
  <c r="I108" i="47"/>
  <c r="J108" i="47" s="1"/>
  <c r="I107" i="47"/>
  <c r="J107" i="47" s="1"/>
  <c r="I105" i="47"/>
  <c r="J105" i="47" s="1"/>
  <c r="I104" i="47"/>
  <c r="J104" i="47" s="1"/>
  <c r="I103" i="47"/>
  <c r="J103" i="47" s="1"/>
  <c r="I102" i="47"/>
  <c r="J102" i="47" s="1"/>
  <c r="I101" i="47"/>
  <c r="J101" i="47" s="1"/>
  <c r="I100" i="47"/>
  <c r="J100" i="47" s="1"/>
  <c r="I99" i="47"/>
  <c r="J99" i="47" s="1"/>
  <c r="I98" i="47"/>
  <c r="J98" i="47" s="1"/>
  <c r="I97" i="47"/>
  <c r="J97" i="47" s="1"/>
  <c r="I96" i="47"/>
  <c r="J96" i="47" s="1"/>
  <c r="I94" i="47"/>
  <c r="J94" i="47" s="1"/>
  <c r="I93" i="47"/>
  <c r="J93" i="47" s="1"/>
  <c r="I92" i="47"/>
  <c r="J92" i="47" s="1"/>
  <c r="I91" i="47"/>
  <c r="J91" i="47" s="1"/>
  <c r="I90" i="47"/>
  <c r="J90" i="47" s="1"/>
  <c r="I89" i="47"/>
  <c r="J89" i="47" s="1"/>
  <c r="I88" i="47"/>
  <c r="J88" i="47" s="1"/>
  <c r="I87" i="47"/>
  <c r="J87" i="47" s="1"/>
  <c r="I86" i="47"/>
  <c r="J86" i="47" s="1"/>
  <c r="I85" i="47"/>
  <c r="J85" i="47" s="1"/>
  <c r="I83" i="47"/>
  <c r="J83" i="47" s="1"/>
  <c r="I82" i="47"/>
  <c r="J82" i="47" s="1"/>
  <c r="I81" i="47"/>
  <c r="J81" i="47" s="1"/>
  <c r="I80" i="47"/>
  <c r="J80" i="47" s="1"/>
  <c r="I79" i="47"/>
  <c r="J79" i="47" s="1"/>
  <c r="I78" i="47"/>
  <c r="J78" i="47" s="1"/>
  <c r="I77" i="47"/>
  <c r="J77" i="47" s="1"/>
  <c r="I76" i="47"/>
  <c r="J76" i="47" s="1"/>
  <c r="I75" i="47"/>
  <c r="J75" i="47" s="1"/>
  <c r="I74" i="47"/>
  <c r="J74" i="47" s="1"/>
  <c r="I72" i="47"/>
  <c r="J72" i="47" s="1"/>
  <c r="I71" i="47"/>
  <c r="J71" i="47" s="1"/>
  <c r="I70" i="47"/>
  <c r="J70" i="47" s="1"/>
  <c r="I69" i="47"/>
  <c r="J69" i="47" s="1"/>
  <c r="I68" i="47"/>
  <c r="J68" i="47" s="1"/>
  <c r="I67" i="47"/>
  <c r="J67" i="47" s="1"/>
  <c r="I66" i="47"/>
  <c r="J66" i="47" s="1"/>
  <c r="I65" i="47"/>
  <c r="J65" i="47" s="1"/>
  <c r="I64" i="47"/>
  <c r="J64" i="47" s="1"/>
  <c r="I63" i="47"/>
  <c r="J63" i="47" s="1"/>
  <c r="J61" i="47"/>
  <c r="J60" i="47"/>
  <c r="J59" i="47"/>
  <c r="J58" i="47"/>
  <c r="J57" i="47"/>
  <c r="J56" i="47"/>
  <c r="J55" i="47"/>
  <c r="J54" i="47"/>
  <c r="I53" i="47"/>
  <c r="J53" i="47" s="1"/>
  <c r="I52" i="47"/>
  <c r="J52" i="47" s="1"/>
  <c r="I50" i="47"/>
  <c r="J50" i="47" s="1"/>
  <c r="I49" i="47"/>
  <c r="J49" i="47" s="1"/>
  <c r="I48" i="47"/>
  <c r="J48" i="47" s="1"/>
  <c r="I47" i="47"/>
  <c r="J47" i="47" s="1"/>
  <c r="I46" i="47"/>
  <c r="J46" i="47" s="1"/>
  <c r="I45" i="47"/>
  <c r="J45" i="47" s="1"/>
  <c r="I44" i="47"/>
  <c r="J44" i="47" s="1"/>
  <c r="I43" i="47"/>
  <c r="J43" i="47" s="1"/>
  <c r="I42" i="47"/>
  <c r="J42" i="47" s="1"/>
  <c r="I41" i="47"/>
  <c r="J41" i="47" s="1"/>
  <c r="I39" i="47"/>
  <c r="J39" i="47" s="1"/>
  <c r="I38" i="47"/>
  <c r="J38" i="47" s="1"/>
  <c r="I37" i="47"/>
  <c r="J37" i="47" s="1"/>
  <c r="I36" i="47"/>
  <c r="J36" i="47" s="1"/>
  <c r="I35" i="47"/>
  <c r="J35" i="47" s="1"/>
  <c r="I34" i="47"/>
  <c r="J34" i="47" s="1"/>
  <c r="I33" i="47"/>
  <c r="J33" i="47" s="1"/>
  <c r="I32" i="47"/>
  <c r="J32" i="47" s="1"/>
  <c r="I31" i="47"/>
  <c r="J31" i="47" s="1"/>
  <c r="I30" i="47"/>
  <c r="J30" i="47" s="1"/>
  <c r="I28" i="47"/>
  <c r="J28" i="47" s="1"/>
  <c r="I27" i="47"/>
  <c r="J27" i="47" s="1"/>
  <c r="I26" i="47"/>
  <c r="J26" i="47" s="1"/>
  <c r="I25" i="47"/>
  <c r="J25" i="47" s="1"/>
  <c r="I24" i="47"/>
  <c r="J24" i="47" s="1"/>
  <c r="I23" i="47"/>
  <c r="J23" i="47" s="1"/>
  <c r="I22" i="47"/>
  <c r="J22" i="47" s="1"/>
  <c r="I21" i="47"/>
  <c r="J21" i="47" s="1"/>
  <c r="I20" i="47"/>
  <c r="J20" i="47" s="1"/>
  <c r="I19" i="47"/>
  <c r="J19" i="47" s="1"/>
  <c r="I17" i="47"/>
  <c r="J17" i="47" s="1"/>
  <c r="I16" i="47"/>
  <c r="J16" i="47" s="1"/>
  <c r="I15" i="47"/>
  <c r="J15" i="47" s="1"/>
  <c r="I14" i="47"/>
  <c r="J14" i="47" s="1"/>
  <c r="I13" i="47"/>
  <c r="J13" i="47" s="1"/>
  <c r="I12" i="47"/>
  <c r="J12" i="47" s="1"/>
  <c r="I11" i="47"/>
  <c r="J11" i="47" s="1"/>
  <c r="I10" i="47"/>
  <c r="J10" i="47" s="1"/>
  <c r="I9" i="47"/>
  <c r="J9" i="47" s="1"/>
  <c r="I8" i="47"/>
  <c r="J8" i="47" s="1"/>
  <c r="J125" i="46"/>
  <c r="J124" i="46"/>
  <c r="J123" i="46"/>
  <c r="J122" i="46"/>
  <c r="J121" i="46"/>
  <c r="J120" i="46"/>
  <c r="J118" i="46"/>
  <c r="J117" i="46"/>
  <c r="J116" i="46"/>
  <c r="J115" i="46"/>
  <c r="J113" i="46"/>
  <c r="J112" i="46"/>
  <c r="J111" i="46"/>
  <c r="J110" i="46"/>
  <c r="J108" i="46"/>
  <c r="J107" i="46"/>
  <c r="J106" i="46"/>
  <c r="J104" i="46"/>
  <c r="J103" i="46"/>
  <c r="J102" i="46"/>
  <c r="J99" i="46"/>
  <c r="J98" i="46"/>
  <c r="J97" i="46"/>
  <c r="J96" i="46"/>
  <c r="J95" i="46"/>
  <c r="J94" i="46"/>
  <c r="J92" i="46"/>
  <c r="J91" i="46"/>
  <c r="J90" i="46"/>
  <c r="J89" i="46"/>
  <c r="J87" i="46"/>
  <c r="J86" i="46"/>
  <c r="J85" i="46"/>
  <c r="J84" i="46"/>
  <c r="J83" i="46"/>
  <c r="J82" i="46"/>
  <c r="J81" i="46"/>
  <c r="J80" i="46"/>
  <c r="J79" i="46"/>
  <c r="J78" i="46"/>
  <c r="J75" i="46"/>
  <c r="J74" i="46"/>
  <c r="J73" i="46"/>
  <c r="J72" i="46"/>
  <c r="J71" i="46"/>
  <c r="J70" i="46"/>
  <c r="J69" i="46"/>
  <c r="J67" i="46"/>
  <c r="J66" i="46"/>
  <c r="J64" i="46"/>
  <c r="J63" i="46"/>
  <c r="J62" i="46"/>
  <c r="J61" i="46"/>
  <c r="J60" i="46"/>
  <c r="J59" i="46"/>
  <c r="J58" i="46"/>
  <c r="J57" i="46"/>
  <c r="J55" i="46"/>
  <c r="J54" i="46"/>
  <c r="J53" i="46"/>
  <c r="J52" i="46"/>
  <c r="J51" i="46"/>
  <c r="J49" i="46"/>
  <c r="J48" i="46"/>
  <c r="J47" i="46"/>
  <c r="J46" i="46"/>
  <c r="J45" i="46"/>
  <c r="J44" i="46"/>
  <c r="J43" i="46"/>
  <c r="J42" i="46"/>
  <c r="J41" i="46"/>
  <c r="J40" i="46"/>
  <c r="J39" i="46"/>
  <c r="J38" i="46"/>
  <c r="J37" i="46"/>
  <c r="J36" i="46"/>
  <c r="J35" i="46"/>
  <c r="J34" i="46"/>
  <c r="J33" i="46"/>
  <c r="J32" i="46"/>
  <c r="J31" i="46"/>
  <c r="J30" i="46"/>
  <c r="J29" i="46"/>
  <c r="J26" i="46"/>
  <c r="J24" i="46"/>
  <c r="J23" i="46"/>
  <c r="J22" i="46"/>
  <c r="J21" i="46"/>
  <c r="J20" i="46"/>
  <c r="J19" i="46"/>
  <c r="J18" i="46"/>
  <c r="J17" i="46"/>
  <c r="J16" i="46"/>
  <c r="J15" i="46"/>
  <c r="J14" i="46"/>
  <c r="J13" i="46"/>
  <c r="J12" i="46"/>
  <c r="J10" i="46"/>
  <c r="J9" i="46"/>
  <c r="I56" i="17"/>
  <c r="J56" i="17" s="1"/>
  <c r="I55" i="17"/>
  <c r="J55" i="17" s="1"/>
  <c r="I54" i="17"/>
  <c r="J54" i="17" s="1"/>
  <c r="I53" i="17"/>
  <c r="J53" i="17" s="1"/>
  <c r="I52" i="17"/>
  <c r="J52" i="17" s="1"/>
  <c r="I51" i="17"/>
  <c r="J51" i="17" s="1"/>
  <c r="I50" i="17"/>
  <c r="J50" i="17" s="1"/>
  <c r="I49" i="17"/>
  <c r="J49" i="17" s="1"/>
  <c r="I48" i="17"/>
  <c r="J48" i="17" s="1"/>
  <c r="I47" i="17"/>
  <c r="J47" i="17" s="1"/>
  <c r="I46" i="17"/>
  <c r="J46" i="17" s="1"/>
  <c r="I45" i="17"/>
  <c r="J45" i="17" s="1"/>
  <c r="I44" i="17"/>
  <c r="J44" i="17" s="1"/>
  <c r="I43" i="17"/>
  <c r="J43" i="17" s="1"/>
  <c r="I42" i="17"/>
  <c r="J42" i="17" s="1"/>
  <c r="I41" i="17"/>
  <c r="J41" i="17" s="1"/>
  <c r="I40" i="17"/>
  <c r="J40" i="17" s="1"/>
  <c r="I39" i="17"/>
  <c r="J39" i="17" s="1"/>
  <c r="I38" i="17"/>
  <c r="J38" i="17" s="1"/>
  <c r="C8" i="17" l="1"/>
  <c r="I42" i="10"/>
  <c r="J42" i="10" s="1"/>
  <c r="I41" i="10"/>
  <c r="J41" i="10" s="1"/>
  <c r="I36" i="10"/>
  <c r="J36" i="10" s="1"/>
  <c r="I34" i="10"/>
  <c r="J34" i="10" s="1"/>
  <c r="I32" i="10"/>
  <c r="J32" i="10" s="1"/>
  <c r="I28" i="10"/>
  <c r="J28" i="10" s="1"/>
  <c r="J27" i="10"/>
  <c r="I22" i="10"/>
  <c r="J22" i="10" s="1"/>
  <c r="J20" i="10"/>
  <c r="J19" i="10"/>
  <c r="J18" i="10"/>
  <c r="J17" i="10"/>
  <c r="J16" i="10"/>
  <c r="J15" i="10"/>
  <c r="J14" i="10"/>
  <c r="J13" i="10"/>
  <c r="I167" i="53"/>
  <c r="J167" i="53" s="1"/>
  <c r="I164" i="53"/>
  <c r="J164" i="53" s="1"/>
  <c r="I161" i="53"/>
  <c r="J161" i="53" s="1"/>
  <c r="I158" i="53"/>
  <c r="J158" i="53" s="1"/>
  <c r="I155" i="53"/>
  <c r="J155" i="53" s="1"/>
  <c r="I152" i="53"/>
  <c r="J152" i="53" s="1"/>
  <c r="I149" i="53"/>
  <c r="J149" i="53" s="1"/>
  <c r="I148" i="53"/>
  <c r="J148" i="53" s="1"/>
  <c r="I147" i="53"/>
  <c r="J147" i="53" s="1"/>
  <c r="I146" i="53"/>
  <c r="J146" i="53" s="1"/>
  <c r="I145" i="53"/>
  <c r="J145" i="53" s="1"/>
  <c r="I144" i="53"/>
  <c r="J144" i="53" s="1"/>
  <c r="I142" i="53"/>
  <c r="J142" i="53" s="1"/>
  <c r="J93" i="15" s="1"/>
  <c r="I139" i="53"/>
  <c r="J139" i="53" s="1"/>
  <c r="I136" i="53"/>
  <c r="J136" i="53" s="1"/>
  <c r="I135" i="53"/>
  <c r="J135" i="53" s="1"/>
  <c r="I134" i="53"/>
  <c r="J134" i="53" s="1"/>
  <c r="I132" i="53"/>
  <c r="J132" i="53" s="1"/>
  <c r="I131" i="53"/>
  <c r="J131" i="53" s="1"/>
  <c r="I130" i="53"/>
  <c r="J130" i="53" s="1"/>
  <c r="I129" i="53"/>
  <c r="J129" i="53" s="1"/>
  <c r="I128" i="53"/>
  <c r="J128" i="53" s="1"/>
  <c r="I127" i="53"/>
  <c r="J127" i="53" s="1"/>
  <c r="I126" i="53"/>
  <c r="J126" i="53" s="1"/>
  <c r="I125" i="53"/>
  <c r="J125" i="53" s="1"/>
  <c r="I124" i="53"/>
  <c r="J124" i="53" s="1"/>
  <c r="I123" i="53"/>
  <c r="J123" i="53" s="1"/>
  <c r="I122" i="53"/>
  <c r="J122" i="53" s="1"/>
  <c r="I118" i="53"/>
  <c r="J118" i="53" s="1"/>
  <c r="I117" i="53"/>
  <c r="J117" i="53" s="1"/>
  <c r="I115" i="53"/>
  <c r="J115" i="53" s="1"/>
  <c r="I114" i="53"/>
  <c r="J114" i="53" s="1"/>
  <c r="I110" i="53"/>
  <c r="J110" i="53" s="1"/>
  <c r="I109" i="53"/>
  <c r="J109" i="53" s="1"/>
  <c r="I108" i="53"/>
  <c r="J108" i="53" s="1"/>
  <c r="I107" i="53"/>
  <c r="J107" i="53" s="1"/>
  <c r="I106" i="53"/>
  <c r="J106" i="53" s="1"/>
  <c r="I103" i="53"/>
  <c r="J103" i="53" s="1"/>
  <c r="I102" i="53"/>
  <c r="J102" i="53" s="1"/>
  <c r="I101" i="53"/>
  <c r="J101" i="53" s="1"/>
  <c r="I99" i="53"/>
  <c r="J99" i="53" s="1"/>
  <c r="I98" i="53"/>
  <c r="J98" i="53" s="1"/>
  <c r="I97" i="53"/>
  <c r="J97" i="53" s="1"/>
  <c r="I96" i="53"/>
  <c r="J96" i="53" s="1"/>
  <c r="I95" i="53"/>
  <c r="J95" i="53" s="1"/>
  <c r="I94" i="53"/>
  <c r="J94" i="53" s="1"/>
  <c r="I93" i="53"/>
  <c r="J93" i="53" s="1"/>
  <c r="I92" i="53"/>
  <c r="J92" i="53" s="1"/>
  <c r="I91" i="53"/>
  <c r="J91" i="53" s="1"/>
  <c r="I90" i="53"/>
  <c r="J90" i="53" s="1"/>
  <c r="I89" i="53"/>
  <c r="J89" i="53" s="1"/>
  <c r="I88" i="53"/>
  <c r="J88" i="53" s="1"/>
  <c r="I87" i="53"/>
  <c r="J87" i="53" s="1"/>
  <c r="I86" i="53"/>
  <c r="J86" i="53" s="1"/>
  <c r="I85" i="53"/>
  <c r="J85" i="53" s="1"/>
  <c r="I84" i="53"/>
  <c r="J84" i="53" s="1"/>
  <c r="I83" i="53"/>
  <c r="J83" i="53" s="1"/>
  <c r="I82" i="53"/>
  <c r="J82" i="53" s="1"/>
  <c r="I81" i="53"/>
  <c r="J81" i="53" s="1"/>
  <c r="I80" i="53"/>
  <c r="J80" i="53" s="1"/>
  <c r="I79" i="53"/>
  <c r="J79" i="53" s="1"/>
  <c r="I78" i="53"/>
  <c r="J78" i="53" s="1"/>
  <c r="I74" i="53"/>
  <c r="J74" i="53" s="1"/>
  <c r="I73" i="53"/>
  <c r="J73" i="53" s="1"/>
  <c r="I72" i="53"/>
  <c r="J72" i="53" s="1"/>
  <c r="I71" i="53"/>
  <c r="J71" i="53" s="1"/>
  <c r="I69" i="53"/>
  <c r="J69" i="53" s="1"/>
  <c r="I68" i="53"/>
  <c r="J68" i="53" s="1"/>
  <c r="I67" i="53"/>
  <c r="J67" i="53" s="1"/>
  <c r="I66" i="53"/>
  <c r="J66" i="53" s="1"/>
  <c r="I65" i="53"/>
  <c r="J65" i="53" s="1"/>
  <c r="I63" i="53"/>
  <c r="J63" i="53" s="1"/>
  <c r="I62" i="53"/>
  <c r="J62" i="53" s="1"/>
  <c r="I61" i="53"/>
  <c r="J61" i="53" s="1"/>
  <c r="I60" i="53"/>
  <c r="J60" i="53" s="1"/>
  <c r="I59" i="53"/>
  <c r="J59" i="53" s="1"/>
  <c r="I58" i="53"/>
  <c r="J58" i="53" s="1"/>
  <c r="I57" i="53"/>
  <c r="J57" i="53" s="1"/>
  <c r="I56" i="53"/>
  <c r="J56" i="53" s="1"/>
  <c r="I55" i="53"/>
  <c r="J55" i="53" s="1"/>
  <c r="I53" i="53"/>
  <c r="J53" i="53" s="1"/>
  <c r="I52" i="53"/>
  <c r="J52" i="53" s="1"/>
  <c r="I51" i="53"/>
  <c r="J51" i="53" s="1"/>
  <c r="I50" i="53"/>
  <c r="J50" i="53" s="1"/>
  <c r="I49" i="53"/>
  <c r="J49" i="53" s="1"/>
  <c r="I48" i="53"/>
  <c r="J48" i="53" s="1"/>
  <c r="I47" i="53"/>
  <c r="J47" i="53" s="1"/>
  <c r="I45" i="53"/>
  <c r="J45" i="53" s="1"/>
  <c r="I44" i="53"/>
  <c r="J44" i="53" s="1"/>
  <c r="I43" i="53"/>
  <c r="J43" i="53" s="1"/>
  <c r="I42" i="53"/>
  <c r="J42" i="53" s="1"/>
  <c r="I41" i="53"/>
  <c r="J41" i="53" s="1"/>
  <c r="I40" i="53"/>
  <c r="J40" i="53" s="1"/>
  <c r="I38" i="53"/>
  <c r="J38" i="53" s="1"/>
  <c r="I37" i="53"/>
  <c r="J37" i="53" s="1"/>
  <c r="I36" i="53"/>
  <c r="J36" i="53" s="1"/>
  <c r="I35" i="53"/>
  <c r="J35" i="53" s="1"/>
  <c r="I34" i="53"/>
  <c r="J34" i="53" s="1"/>
  <c r="I33" i="53"/>
  <c r="J33" i="53" s="1"/>
  <c r="I32" i="53"/>
  <c r="J32" i="53" s="1"/>
  <c r="I31" i="53"/>
  <c r="J31" i="53" s="1"/>
  <c r="I30" i="53"/>
  <c r="J30" i="53" s="1"/>
  <c r="I29" i="53"/>
  <c r="J29" i="53" s="1"/>
  <c r="I27" i="53"/>
  <c r="J27" i="53" s="1"/>
  <c r="I26" i="53"/>
  <c r="J26" i="53" s="1"/>
  <c r="I25" i="53"/>
  <c r="J25" i="53" s="1"/>
  <c r="I24" i="53"/>
  <c r="J24" i="53" s="1"/>
  <c r="I23" i="53"/>
  <c r="J23" i="53" s="1"/>
  <c r="I22" i="53"/>
  <c r="J22" i="53" s="1"/>
  <c r="I21" i="53"/>
  <c r="J21" i="53" s="1"/>
  <c r="I20" i="53"/>
  <c r="J20" i="53" s="1"/>
  <c r="I19" i="53"/>
  <c r="J19" i="53" s="1"/>
  <c r="I17" i="53"/>
  <c r="J17" i="53" s="1"/>
  <c r="I16" i="53"/>
  <c r="J16" i="53" s="1"/>
  <c r="I15" i="53"/>
  <c r="J15" i="53" s="1"/>
  <c r="I13" i="53"/>
  <c r="J13" i="53" s="1"/>
  <c r="I12" i="53"/>
  <c r="J12" i="53" s="1"/>
  <c r="I11" i="53"/>
  <c r="J11" i="53" s="1"/>
  <c r="I10" i="53"/>
  <c r="J10" i="53" s="1"/>
  <c r="I167" i="52"/>
  <c r="J167" i="52" s="1"/>
  <c r="I164" i="52"/>
  <c r="J164" i="52" s="1"/>
  <c r="I161" i="52"/>
  <c r="J161" i="52" s="1"/>
  <c r="I158" i="52"/>
  <c r="J158" i="52" s="1"/>
  <c r="I155" i="52"/>
  <c r="J155" i="52" s="1"/>
  <c r="I152" i="52"/>
  <c r="J152" i="52" s="1"/>
  <c r="I149" i="52"/>
  <c r="J149" i="52" s="1"/>
  <c r="I148" i="52"/>
  <c r="J148" i="52" s="1"/>
  <c r="I147" i="52"/>
  <c r="J147" i="52" s="1"/>
  <c r="I146" i="52"/>
  <c r="J146" i="52" s="1"/>
  <c r="I145" i="52"/>
  <c r="J145" i="52" s="1"/>
  <c r="I144" i="52"/>
  <c r="J144" i="52" s="1"/>
  <c r="I142" i="52"/>
  <c r="J142" i="52" s="1"/>
  <c r="I139" i="52"/>
  <c r="J139" i="52" s="1"/>
  <c r="I136" i="52"/>
  <c r="J136" i="52" s="1"/>
  <c r="I135" i="52"/>
  <c r="J135" i="52" s="1"/>
  <c r="I134" i="52"/>
  <c r="J134" i="52" s="1"/>
  <c r="I132" i="52"/>
  <c r="J132" i="52" s="1"/>
  <c r="I131" i="52"/>
  <c r="J131" i="52" s="1"/>
  <c r="I130" i="52"/>
  <c r="J130" i="52" s="1"/>
  <c r="I129" i="52"/>
  <c r="J129" i="52" s="1"/>
  <c r="I128" i="52"/>
  <c r="J128" i="52" s="1"/>
  <c r="I127" i="52"/>
  <c r="J127" i="52" s="1"/>
  <c r="I126" i="52"/>
  <c r="J126" i="52" s="1"/>
  <c r="I125" i="52"/>
  <c r="J125" i="52" s="1"/>
  <c r="I124" i="52"/>
  <c r="J124" i="52" s="1"/>
  <c r="I123" i="52"/>
  <c r="J123" i="52" s="1"/>
  <c r="I122" i="52"/>
  <c r="J122" i="52" s="1"/>
  <c r="I118" i="52"/>
  <c r="J118" i="52" s="1"/>
  <c r="I117" i="52"/>
  <c r="J117" i="52" s="1"/>
  <c r="I115" i="52"/>
  <c r="J115" i="52" s="1"/>
  <c r="I114" i="52"/>
  <c r="J114" i="52" s="1"/>
  <c r="I110" i="52"/>
  <c r="J110" i="52" s="1"/>
  <c r="I109" i="52"/>
  <c r="J109" i="52" s="1"/>
  <c r="I108" i="52"/>
  <c r="J108" i="52" s="1"/>
  <c r="I107" i="52"/>
  <c r="J107" i="52" s="1"/>
  <c r="I106" i="52"/>
  <c r="J106" i="52" s="1"/>
  <c r="I103" i="52"/>
  <c r="J103" i="52" s="1"/>
  <c r="I102" i="52"/>
  <c r="J102" i="52" s="1"/>
  <c r="I101" i="52"/>
  <c r="J101" i="52" s="1"/>
  <c r="I99" i="52"/>
  <c r="J99" i="52" s="1"/>
  <c r="I98" i="52"/>
  <c r="J98" i="52" s="1"/>
  <c r="I97" i="52"/>
  <c r="J97" i="52" s="1"/>
  <c r="I96" i="52"/>
  <c r="J96" i="52" s="1"/>
  <c r="I95" i="52"/>
  <c r="J95" i="52" s="1"/>
  <c r="I94" i="52"/>
  <c r="J94" i="52" s="1"/>
  <c r="I93" i="52"/>
  <c r="J93" i="52" s="1"/>
  <c r="I92" i="52"/>
  <c r="J92" i="52" s="1"/>
  <c r="I91" i="52"/>
  <c r="J91" i="52" s="1"/>
  <c r="I90" i="52"/>
  <c r="J90" i="52" s="1"/>
  <c r="I89" i="52"/>
  <c r="J89" i="52" s="1"/>
  <c r="I88" i="52"/>
  <c r="J88" i="52" s="1"/>
  <c r="I87" i="52"/>
  <c r="J87" i="52" s="1"/>
  <c r="I86" i="52"/>
  <c r="J86" i="52" s="1"/>
  <c r="I85" i="52"/>
  <c r="J85" i="52" s="1"/>
  <c r="I84" i="52"/>
  <c r="J84" i="52" s="1"/>
  <c r="I83" i="52"/>
  <c r="J83" i="52" s="1"/>
  <c r="I82" i="52"/>
  <c r="J82" i="52" s="1"/>
  <c r="I81" i="52"/>
  <c r="J81" i="52" s="1"/>
  <c r="I80" i="52"/>
  <c r="J80" i="52" s="1"/>
  <c r="I79" i="52"/>
  <c r="J79" i="52" s="1"/>
  <c r="I78" i="52"/>
  <c r="J78" i="52" s="1"/>
  <c r="I74" i="52"/>
  <c r="J74" i="52" s="1"/>
  <c r="I73" i="52"/>
  <c r="J73" i="52" s="1"/>
  <c r="I72" i="52"/>
  <c r="J72" i="52" s="1"/>
  <c r="I71" i="52"/>
  <c r="J71" i="52" s="1"/>
  <c r="I69" i="52"/>
  <c r="J69" i="52" s="1"/>
  <c r="I68" i="52"/>
  <c r="J68" i="52" s="1"/>
  <c r="I67" i="52"/>
  <c r="J67" i="52" s="1"/>
  <c r="I66" i="52"/>
  <c r="J66" i="52" s="1"/>
  <c r="I65" i="52"/>
  <c r="J65" i="52" s="1"/>
  <c r="I63" i="52"/>
  <c r="J63" i="52" s="1"/>
  <c r="I62" i="52"/>
  <c r="J62" i="52" s="1"/>
  <c r="I61" i="52"/>
  <c r="J61" i="52" s="1"/>
  <c r="I60" i="52"/>
  <c r="J60" i="52" s="1"/>
  <c r="I59" i="52"/>
  <c r="J59" i="52" s="1"/>
  <c r="I58" i="52"/>
  <c r="J58" i="52" s="1"/>
  <c r="I57" i="52"/>
  <c r="J57" i="52" s="1"/>
  <c r="I56" i="52"/>
  <c r="J56" i="52" s="1"/>
  <c r="I55" i="52"/>
  <c r="J55" i="52" s="1"/>
  <c r="I53" i="52"/>
  <c r="J53" i="52" s="1"/>
  <c r="I52" i="52"/>
  <c r="J52" i="52" s="1"/>
  <c r="I51" i="52"/>
  <c r="J51" i="52" s="1"/>
  <c r="I50" i="52"/>
  <c r="J50" i="52" s="1"/>
  <c r="I49" i="52"/>
  <c r="J49" i="52" s="1"/>
  <c r="I48" i="52"/>
  <c r="J48" i="52" s="1"/>
  <c r="I47" i="52"/>
  <c r="J47" i="52" s="1"/>
  <c r="I45" i="52"/>
  <c r="J45" i="52" s="1"/>
  <c r="I44" i="52"/>
  <c r="J44" i="52" s="1"/>
  <c r="I43" i="52"/>
  <c r="J43" i="52" s="1"/>
  <c r="I42" i="52"/>
  <c r="J42" i="52" s="1"/>
  <c r="I41" i="52"/>
  <c r="J41" i="52" s="1"/>
  <c r="I40" i="52"/>
  <c r="J40" i="52" s="1"/>
  <c r="I38" i="52"/>
  <c r="J38" i="52" s="1"/>
  <c r="I37" i="52"/>
  <c r="J37" i="52" s="1"/>
  <c r="I36" i="52"/>
  <c r="J36" i="52" s="1"/>
  <c r="I35" i="52"/>
  <c r="J35" i="52" s="1"/>
  <c r="I34" i="52"/>
  <c r="J34" i="52" s="1"/>
  <c r="I33" i="52"/>
  <c r="J33" i="52" s="1"/>
  <c r="I32" i="52"/>
  <c r="J32" i="52" s="1"/>
  <c r="I31" i="52"/>
  <c r="J31" i="52" s="1"/>
  <c r="I30" i="52"/>
  <c r="J30" i="52" s="1"/>
  <c r="I29" i="52"/>
  <c r="J29" i="52" s="1"/>
  <c r="I27" i="52"/>
  <c r="J27" i="52" s="1"/>
  <c r="I26" i="52"/>
  <c r="J26" i="52" s="1"/>
  <c r="I25" i="52"/>
  <c r="J25" i="52" s="1"/>
  <c r="I24" i="52"/>
  <c r="J24" i="52" s="1"/>
  <c r="I23" i="52"/>
  <c r="J23" i="52" s="1"/>
  <c r="I22" i="52"/>
  <c r="J22" i="52" s="1"/>
  <c r="I21" i="52"/>
  <c r="J21" i="52" s="1"/>
  <c r="I20" i="52"/>
  <c r="J20" i="52" s="1"/>
  <c r="I19" i="52"/>
  <c r="J19" i="52" s="1"/>
  <c r="I17" i="52"/>
  <c r="J17" i="52" s="1"/>
  <c r="I16" i="52"/>
  <c r="J16" i="52" s="1"/>
  <c r="I15" i="52"/>
  <c r="J15" i="52" s="1"/>
  <c r="I13" i="52"/>
  <c r="J13" i="52" s="1"/>
  <c r="I12" i="52"/>
  <c r="J12" i="52" s="1"/>
  <c r="I11" i="52"/>
  <c r="J11" i="52" s="1"/>
  <c r="I10" i="52"/>
  <c r="J10" i="52" s="1"/>
  <c r="I167" i="1"/>
  <c r="J167" i="1" s="1"/>
  <c r="I164" i="1"/>
  <c r="J164" i="1" s="1"/>
  <c r="I161" i="1"/>
  <c r="J161" i="1" s="1"/>
  <c r="I158" i="1"/>
  <c r="J158" i="1" s="1"/>
  <c r="I155" i="1"/>
  <c r="J155" i="1" s="1"/>
  <c r="I152" i="1"/>
  <c r="J152" i="1" s="1"/>
  <c r="I149" i="1"/>
  <c r="J149" i="1" s="1"/>
  <c r="I148" i="1"/>
  <c r="J148" i="1" s="1"/>
  <c r="I147" i="1"/>
  <c r="J147" i="1" s="1"/>
  <c r="I146" i="1"/>
  <c r="J146" i="1" s="1"/>
  <c r="I145" i="1"/>
  <c r="J145" i="1" s="1"/>
  <c r="I144" i="1"/>
  <c r="J144" i="1" s="1"/>
  <c r="I142" i="1"/>
  <c r="J142" i="1" s="1"/>
  <c r="I139" i="1"/>
  <c r="J139" i="1" s="1"/>
  <c r="I136" i="1"/>
  <c r="J136" i="1" s="1"/>
  <c r="I135" i="1"/>
  <c r="J135" i="1" s="1"/>
  <c r="I134" i="1"/>
  <c r="J134" i="1" s="1"/>
  <c r="I132" i="1"/>
  <c r="J132" i="1" s="1"/>
  <c r="I131" i="1"/>
  <c r="J131" i="1" s="1"/>
  <c r="I130" i="1"/>
  <c r="J130" i="1" s="1"/>
  <c r="I129" i="1"/>
  <c r="J129" i="1" s="1"/>
  <c r="I128" i="1"/>
  <c r="J128" i="1" s="1"/>
  <c r="I127" i="1"/>
  <c r="J127" i="1" s="1"/>
  <c r="I126" i="1"/>
  <c r="J126" i="1" s="1"/>
  <c r="I125" i="1"/>
  <c r="J125" i="1" s="1"/>
  <c r="I124" i="1"/>
  <c r="J124" i="1" s="1"/>
  <c r="I123" i="1"/>
  <c r="J123" i="1" s="1"/>
  <c r="I122" i="1"/>
  <c r="J122" i="1" s="1"/>
  <c r="I118" i="1"/>
  <c r="J118" i="1" s="1"/>
  <c r="I117" i="1"/>
  <c r="J117" i="1" s="1"/>
  <c r="I115" i="1"/>
  <c r="J115" i="1" s="1"/>
  <c r="I114" i="1"/>
  <c r="J114" i="1" s="1"/>
  <c r="I110" i="1"/>
  <c r="J110" i="1" s="1"/>
  <c r="I109" i="1"/>
  <c r="J109" i="1" s="1"/>
  <c r="I108" i="1"/>
  <c r="J108" i="1" s="1"/>
  <c r="I107" i="1"/>
  <c r="J107" i="1" s="1"/>
  <c r="I106" i="1"/>
  <c r="J106" i="1" s="1"/>
  <c r="I103" i="1"/>
  <c r="J103" i="1" s="1"/>
  <c r="I102" i="1"/>
  <c r="J102" i="1" s="1"/>
  <c r="I101" i="1"/>
  <c r="J101" i="1" s="1"/>
  <c r="I99" i="1"/>
  <c r="J99" i="1" s="1"/>
  <c r="I98" i="1"/>
  <c r="J98" i="1" s="1"/>
  <c r="I97" i="1"/>
  <c r="J97" i="1" s="1"/>
  <c r="I96" i="1"/>
  <c r="J96" i="1" s="1"/>
  <c r="I95" i="1"/>
  <c r="J95" i="1" s="1"/>
  <c r="I94" i="1"/>
  <c r="J94" i="1" s="1"/>
  <c r="I93" i="1"/>
  <c r="J93" i="1" s="1"/>
  <c r="I92" i="1"/>
  <c r="J92" i="1" s="1"/>
  <c r="I91" i="1"/>
  <c r="J91" i="1" s="1"/>
  <c r="I90" i="1"/>
  <c r="J90" i="1" s="1"/>
  <c r="I89" i="1"/>
  <c r="J89" i="1" s="1"/>
  <c r="I88" i="1"/>
  <c r="J88" i="1" s="1"/>
  <c r="I87" i="1"/>
  <c r="J87" i="1" s="1"/>
  <c r="I86" i="1"/>
  <c r="J86" i="1" s="1"/>
  <c r="I85" i="1"/>
  <c r="J85" i="1" s="1"/>
  <c r="I84" i="1"/>
  <c r="J84" i="1" s="1"/>
  <c r="I83" i="1"/>
  <c r="J83" i="1" s="1"/>
  <c r="I82" i="1"/>
  <c r="J82" i="1" s="1"/>
  <c r="I81" i="1"/>
  <c r="J81" i="1" s="1"/>
  <c r="I80" i="1"/>
  <c r="J80" i="1" s="1"/>
  <c r="I79" i="1"/>
  <c r="J79" i="1" s="1"/>
  <c r="I78" i="1"/>
  <c r="J78" i="1" s="1"/>
  <c r="I74" i="1"/>
  <c r="J74" i="1" s="1"/>
  <c r="I73" i="1"/>
  <c r="J73" i="1" s="1"/>
  <c r="I72" i="1"/>
  <c r="J72" i="1" s="1"/>
  <c r="I71" i="1"/>
  <c r="J71" i="1" s="1"/>
  <c r="I69" i="1"/>
  <c r="J69" i="1" s="1"/>
  <c r="I68" i="1"/>
  <c r="J68" i="1" s="1"/>
  <c r="I67" i="1"/>
  <c r="J67" i="1" s="1"/>
  <c r="I66" i="1"/>
  <c r="J66" i="1" s="1"/>
  <c r="I65" i="1"/>
  <c r="J65" i="1" s="1"/>
  <c r="I63" i="1"/>
  <c r="J63" i="1" s="1"/>
  <c r="I62" i="1"/>
  <c r="J62" i="1" s="1"/>
  <c r="I61" i="1"/>
  <c r="J61" i="1" s="1"/>
  <c r="I60" i="1"/>
  <c r="J60" i="1" s="1"/>
  <c r="I59" i="1"/>
  <c r="J59" i="1" s="1"/>
  <c r="I58" i="1"/>
  <c r="J58" i="1" s="1"/>
  <c r="I57" i="1"/>
  <c r="J57" i="1" s="1"/>
  <c r="I56" i="1"/>
  <c r="J56" i="1" s="1"/>
  <c r="I55" i="1"/>
  <c r="J55" i="1" s="1"/>
  <c r="I53" i="1"/>
  <c r="J53" i="1" s="1"/>
  <c r="I52" i="1"/>
  <c r="J52" i="1" s="1"/>
  <c r="I51" i="1"/>
  <c r="J51" i="1" s="1"/>
  <c r="I50" i="1"/>
  <c r="J50" i="1" s="1"/>
  <c r="I49" i="1"/>
  <c r="J49" i="1" s="1"/>
  <c r="I48" i="1"/>
  <c r="J48" i="1" s="1"/>
  <c r="I47" i="1"/>
  <c r="J47" i="1" s="1"/>
  <c r="I45" i="1"/>
  <c r="J45" i="1" s="1"/>
  <c r="I44" i="1"/>
  <c r="J44" i="1" s="1"/>
  <c r="I43" i="1"/>
  <c r="J43" i="1" s="1"/>
  <c r="I42" i="1"/>
  <c r="J42" i="1" s="1"/>
  <c r="I41" i="1"/>
  <c r="J41" i="1" s="1"/>
  <c r="I40" i="1"/>
  <c r="J40" i="1" s="1"/>
  <c r="I38" i="1"/>
  <c r="J38" i="1" s="1"/>
  <c r="I37" i="1"/>
  <c r="J37" i="1" s="1"/>
  <c r="I36" i="1"/>
  <c r="J36" i="1" s="1"/>
  <c r="I35" i="1"/>
  <c r="J35" i="1" s="1"/>
  <c r="I34" i="1"/>
  <c r="J34" i="1" s="1"/>
  <c r="I33" i="1"/>
  <c r="J33" i="1" s="1"/>
  <c r="I32" i="1"/>
  <c r="J32" i="1" s="1"/>
  <c r="I31" i="1"/>
  <c r="J31" i="1" s="1"/>
  <c r="I30" i="1"/>
  <c r="J30" i="1" s="1"/>
  <c r="I29" i="1"/>
  <c r="J29" i="1" s="1"/>
  <c r="I27" i="1"/>
  <c r="J27" i="1" s="1"/>
  <c r="I26" i="1"/>
  <c r="J26" i="1" s="1"/>
  <c r="I25" i="1"/>
  <c r="J25" i="1" s="1"/>
  <c r="I24" i="1"/>
  <c r="J24" i="1" s="1"/>
  <c r="I23" i="1"/>
  <c r="J23" i="1" s="1"/>
  <c r="I22" i="1"/>
  <c r="J22" i="1" s="1"/>
  <c r="I21" i="1"/>
  <c r="J21" i="1" s="1"/>
  <c r="I20" i="1"/>
  <c r="J20" i="1" s="1"/>
  <c r="I19" i="1"/>
  <c r="J19" i="1" s="1"/>
  <c r="I17" i="1"/>
  <c r="J17" i="1" s="1"/>
  <c r="I16" i="1"/>
  <c r="J16" i="1" s="1"/>
  <c r="I15" i="1"/>
  <c r="J15" i="1" s="1"/>
  <c r="I13" i="1"/>
  <c r="J13" i="1" s="1"/>
  <c r="I12" i="1"/>
  <c r="J12" i="1" s="1"/>
  <c r="I11" i="1"/>
  <c r="J11" i="1" s="1"/>
  <c r="I10" i="1"/>
  <c r="J10" i="1" s="1"/>
  <c r="J155" i="37"/>
  <c r="I152" i="37"/>
  <c r="J152" i="37" s="1"/>
  <c r="I149" i="37"/>
  <c r="J149" i="37" s="1"/>
  <c r="I148" i="37"/>
  <c r="J148" i="37" s="1"/>
  <c r="I147" i="37"/>
  <c r="J147" i="37" s="1"/>
  <c r="I146" i="37"/>
  <c r="J146" i="37" s="1"/>
  <c r="I145" i="37"/>
  <c r="J145" i="37" s="1"/>
  <c r="I144" i="37"/>
  <c r="J144" i="37" s="1"/>
  <c r="I142" i="37"/>
  <c r="J142" i="37" s="1"/>
  <c r="I139" i="37"/>
  <c r="J139" i="37" s="1"/>
  <c r="I136" i="37"/>
  <c r="J136" i="37" s="1"/>
  <c r="I135" i="37"/>
  <c r="J135" i="37" s="1"/>
  <c r="I134" i="37"/>
  <c r="J134" i="37" s="1"/>
  <c r="I132" i="37"/>
  <c r="J132" i="37" s="1"/>
  <c r="I131" i="37"/>
  <c r="J131" i="37" s="1"/>
  <c r="I130" i="37"/>
  <c r="J130" i="37" s="1"/>
  <c r="I129" i="37"/>
  <c r="J129" i="37" s="1"/>
  <c r="I128" i="37"/>
  <c r="J128" i="37" s="1"/>
  <c r="I127" i="37"/>
  <c r="J127" i="37" s="1"/>
  <c r="I126" i="37"/>
  <c r="J126" i="37" s="1"/>
  <c r="I125" i="37"/>
  <c r="J125" i="37" s="1"/>
  <c r="I124" i="37"/>
  <c r="J124" i="37" s="1"/>
  <c r="I123" i="37"/>
  <c r="J123" i="37" s="1"/>
  <c r="I122" i="37"/>
  <c r="J122" i="37" s="1"/>
  <c r="I118" i="37"/>
  <c r="J118" i="37" s="1"/>
  <c r="I117" i="37"/>
  <c r="J117" i="37" s="1"/>
  <c r="I115" i="37"/>
  <c r="J115" i="37" s="1"/>
  <c r="I114" i="37"/>
  <c r="J114" i="37" s="1"/>
  <c r="I110" i="37"/>
  <c r="J110" i="37" s="1"/>
  <c r="I109" i="37"/>
  <c r="J109" i="37" s="1"/>
  <c r="I108" i="37"/>
  <c r="J108" i="37" s="1"/>
  <c r="I107" i="37"/>
  <c r="J107" i="37" s="1"/>
  <c r="I106" i="37"/>
  <c r="J106" i="37" s="1"/>
  <c r="I103" i="37"/>
  <c r="J103" i="37" s="1"/>
  <c r="I102" i="37"/>
  <c r="J102" i="37" s="1"/>
  <c r="I101" i="37"/>
  <c r="J101" i="37" s="1"/>
  <c r="I99" i="37"/>
  <c r="J99" i="37" s="1"/>
  <c r="I98" i="37"/>
  <c r="J98" i="37" s="1"/>
  <c r="I97" i="37"/>
  <c r="J97" i="37" s="1"/>
  <c r="I96" i="37"/>
  <c r="J96" i="37" s="1"/>
  <c r="I95" i="37"/>
  <c r="J95" i="37" s="1"/>
  <c r="I94" i="37"/>
  <c r="J94" i="37" s="1"/>
  <c r="I93" i="37"/>
  <c r="J93" i="37" s="1"/>
  <c r="I92" i="37"/>
  <c r="J92" i="37" s="1"/>
  <c r="I91" i="37"/>
  <c r="J91" i="37" s="1"/>
  <c r="I90" i="37"/>
  <c r="J90" i="37" s="1"/>
  <c r="I89" i="37"/>
  <c r="J89" i="37" s="1"/>
  <c r="I88" i="37"/>
  <c r="J88" i="37" s="1"/>
  <c r="I87" i="37"/>
  <c r="J87" i="37" s="1"/>
  <c r="I86" i="37"/>
  <c r="J86" i="37" s="1"/>
  <c r="I85" i="37"/>
  <c r="J85" i="37" s="1"/>
  <c r="I84" i="37"/>
  <c r="J84" i="37" s="1"/>
  <c r="I83" i="37"/>
  <c r="J83" i="37" s="1"/>
  <c r="I82" i="37"/>
  <c r="J82" i="37" s="1"/>
  <c r="I81" i="37"/>
  <c r="J81" i="37" s="1"/>
  <c r="I80" i="37"/>
  <c r="J80" i="37" s="1"/>
  <c r="I79" i="37"/>
  <c r="J79" i="37" s="1"/>
  <c r="I78" i="37"/>
  <c r="J78" i="37" s="1"/>
  <c r="I74" i="37"/>
  <c r="J74" i="37" s="1"/>
  <c r="I73" i="37"/>
  <c r="J73" i="37" s="1"/>
  <c r="I72" i="37"/>
  <c r="J72" i="37" s="1"/>
  <c r="I71" i="37"/>
  <c r="J71" i="37" s="1"/>
  <c r="I69" i="37"/>
  <c r="J69" i="37" s="1"/>
  <c r="I68" i="37"/>
  <c r="J68" i="37" s="1"/>
  <c r="I67" i="37"/>
  <c r="J67" i="37" s="1"/>
  <c r="I66" i="37"/>
  <c r="J66" i="37" s="1"/>
  <c r="I65" i="37"/>
  <c r="J65" i="37" s="1"/>
  <c r="I63" i="37"/>
  <c r="J63" i="37" s="1"/>
  <c r="I62" i="37"/>
  <c r="J62" i="37" s="1"/>
  <c r="I61" i="37"/>
  <c r="J61" i="37" s="1"/>
  <c r="I60" i="37"/>
  <c r="J60" i="37" s="1"/>
  <c r="I59" i="37"/>
  <c r="J59" i="37" s="1"/>
  <c r="I58" i="37"/>
  <c r="J58" i="37" s="1"/>
  <c r="I57" i="37"/>
  <c r="J57" i="37" s="1"/>
  <c r="I56" i="37"/>
  <c r="J56" i="37" s="1"/>
  <c r="I55" i="37"/>
  <c r="J55" i="37" s="1"/>
  <c r="I53" i="37"/>
  <c r="J53" i="37" s="1"/>
  <c r="I52" i="37"/>
  <c r="J52" i="37" s="1"/>
  <c r="I51" i="37"/>
  <c r="J51" i="37" s="1"/>
  <c r="I50" i="37"/>
  <c r="J50" i="37" s="1"/>
  <c r="I49" i="37"/>
  <c r="J49" i="37" s="1"/>
  <c r="I48" i="37"/>
  <c r="J48" i="37" s="1"/>
  <c r="I47" i="37"/>
  <c r="J47" i="37" s="1"/>
  <c r="I45" i="37"/>
  <c r="J45" i="37" s="1"/>
  <c r="I44" i="37"/>
  <c r="J44" i="37" s="1"/>
  <c r="I43" i="37"/>
  <c r="J43" i="37" s="1"/>
  <c r="I42" i="37"/>
  <c r="J42" i="37" s="1"/>
  <c r="I41" i="37"/>
  <c r="J41" i="37" s="1"/>
  <c r="I40" i="37"/>
  <c r="J40" i="37" s="1"/>
  <c r="I38" i="37"/>
  <c r="J38" i="37" s="1"/>
  <c r="I37" i="37"/>
  <c r="J37" i="37" s="1"/>
  <c r="I36" i="37"/>
  <c r="J36" i="37" s="1"/>
  <c r="I35" i="37"/>
  <c r="J35" i="37" s="1"/>
  <c r="I34" i="37"/>
  <c r="J34" i="37" s="1"/>
  <c r="I33" i="37"/>
  <c r="J33" i="37" s="1"/>
  <c r="I32" i="37"/>
  <c r="J32" i="37" s="1"/>
  <c r="I31" i="37"/>
  <c r="J31" i="37" s="1"/>
  <c r="I30" i="37"/>
  <c r="J30" i="37" s="1"/>
  <c r="I29" i="37"/>
  <c r="J29" i="37" s="1"/>
  <c r="I27" i="37"/>
  <c r="J27" i="37" s="1"/>
  <c r="I26" i="37"/>
  <c r="J26" i="37" s="1"/>
  <c r="I25" i="37"/>
  <c r="J25" i="37" s="1"/>
  <c r="I24" i="37"/>
  <c r="J24" i="37" s="1"/>
  <c r="I23" i="37"/>
  <c r="J23" i="37" s="1"/>
  <c r="I22" i="37"/>
  <c r="J22" i="37" s="1"/>
  <c r="I21" i="37"/>
  <c r="J21" i="37" s="1"/>
  <c r="I20" i="37"/>
  <c r="J20" i="37" s="1"/>
  <c r="I19" i="37"/>
  <c r="J19" i="37" s="1"/>
  <c r="I17" i="37"/>
  <c r="J17" i="37" s="1"/>
  <c r="I16" i="37"/>
  <c r="J16" i="37" s="1"/>
  <c r="I15" i="37"/>
  <c r="J15" i="37" s="1"/>
  <c r="I13" i="37"/>
  <c r="J13" i="37" s="1"/>
  <c r="I12" i="37"/>
  <c r="J12" i="37" s="1"/>
  <c r="I11" i="37"/>
  <c r="J11" i="37" s="1"/>
  <c r="I10" i="37"/>
  <c r="J10" i="37" s="1"/>
  <c r="I167" i="34"/>
  <c r="J167" i="34" s="1"/>
  <c r="I164" i="34"/>
  <c r="J164" i="34" s="1"/>
  <c r="I161" i="34"/>
  <c r="J161" i="34" s="1"/>
  <c r="I158" i="34"/>
  <c r="J158" i="34" s="1"/>
  <c r="I155" i="34"/>
  <c r="J155" i="34" s="1"/>
  <c r="I152" i="34"/>
  <c r="J152" i="34" s="1"/>
  <c r="I149" i="34"/>
  <c r="J149" i="34" s="1"/>
  <c r="I148" i="34"/>
  <c r="J148" i="34" s="1"/>
  <c r="I147" i="34"/>
  <c r="J147" i="34" s="1"/>
  <c r="I146" i="34"/>
  <c r="J146" i="34" s="1"/>
  <c r="I145" i="34"/>
  <c r="J145" i="34" s="1"/>
  <c r="I144" i="34"/>
  <c r="J144" i="34" s="1"/>
  <c r="I142" i="34"/>
  <c r="J142" i="34" s="1"/>
  <c r="I139" i="34"/>
  <c r="J139" i="34" s="1"/>
  <c r="I136" i="34"/>
  <c r="J136" i="34" s="1"/>
  <c r="I135" i="34"/>
  <c r="J135" i="34" s="1"/>
  <c r="I134" i="34"/>
  <c r="J134" i="34" s="1"/>
  <c r="I132" i="34"/>
  <c r="J132" i="34" s="1"/>
  <c r="I131" i="34"/>
  <c r="J131" i="34" s="1"/>
  <c r="I130" i="34"/>
  <c r="J130" i="34" s="1"/>
  <c r="I129" i="34"/>
  <c r="J129" i="34" s="1"/>
  <c r="I128" i="34"/>
  <c r="J128" i="34" s="1"/>
  <c r="I127" i="34"/>
  <c r="J127" i="34" s="1"/>
  <c r="I126" i="34"/>
  <c r="J126" i="34" s="1"/>
  <c r="I125" i="34"/>
  <c r="J125" i="34" s="1"/>
  <c r="I124" i="34"/>
  <c r="J124" i="34" s="1"/>
  <c r="I123" i="34"/>
  <c r="J123" i="34" s="1"/>
  <c r="I122" i="34"/>
  <c r="J122" i="34" s="1"/>
  <c r="I118" i="34"/>
  <c r="J118" i="34" s="1"/>
  <c r="I117" i="34"/>
  <c r="J117" i="34" s="1"/>
  <c r="I115" i="34"/>
  <c r="J115" i="34" s="1"/>
  <c r="I114" i="34"/>
  <c r="J114" i="34" s="1"/>
  <c r="I110" i="34"/>
  <c r="J110" i="34" s="1"/>
  <c r="I109" i="34"/>
  <c r="J109" i="34" s="1"/>
  <c r="I108" i="34"/>
  <c r="J108" i="34" s="1"/>
  <c r="I107" i="34"/>
  <c r="J107" i="34" s="1"/>
  <c r="I106" i="34"/>
  <c r="J106" i="34" s="1"/>
  <c r="I103" i="34"/>
  <c r="J103" i="34" s="1"/>
  <c r="I102" i="34"/>
  <c r="J102" i="34" s="1"/>
  <c r="I101" i="34"/>
  <c r="J101" i="34" s="1"/>
  <c r="I99" i="34"/>
  <c r="J99" i="34" s="1"/>
  <c r="I98" i="34"/>
  <c r="J98" i="34" s="1"/>
  <c r="I97" i="34"/>
  <c r="J97" i="34" s="1"/>
  <c r="I96" i="34"/>
  <c r="J96" i="34" s="1"/>
  <c r="I95" i="34"/>
  <c r="J95" i="34" s="1"/>
  <c r="I94" i="34"/>
  <c r="J94" i="34" s="1"/>
  <c r="I93" i="34"/>
  <c r="J93" i="34" s="1"/>
  <c r="I92" i="34"/>
  <c r="J92" i="34" s="1"/>
  <c r="I91" i="34"/>
  <c r="J91" i="34" s="1"/>
  <c r="I90" i="34"/>
  <c r="J90" i="34" s="1"/>
  <c r="I89" i="34"/>
  <c r="J89" i="34" s="1"/>
  <c r="I88" i="34"/>
  <c r="J88" i="34" s="1"/>
  <c r="I87" i="34"/>
  <c r="J87" i="34" s="1"/>
  <c r="I86" i="34"/>
  <c r="J86" i="34" s="1"/>
  <c r="I85" i="34"/>
  <c r="J85" i="34" s="1"/>
  <c r="I84" i="34"/>
  <c r="J84" i="34" s="1"/>
  <c r="I83" i="34"/>
  <c r="J83" i="34" s="1"/>
  <c r="I82" i="34"/>
  <c r="J82" i="34" s="1"/>
  <c r="I81" i="34"/>
  <c r="J81" i="34" s="1"/>
  <c r="I80" i="34"/>
  <c r="J80" i="34" s="1"/>
  <c r="I79" i="34"/>
  <c r="J79" i="34" s="1"/>
  <c r="I78" i="34"/>
  <c r="J78" i="34" s="1"/>
  <c r="I74" i="34"/>
  <c r="J74" i="34" s="1"/>
  <c r="I73" i="34"/>
  <c r="J73" i="34" s="1"/>
  <c r="I72" i="34"/>
  <c r="J72" i="34" s="1"/>
  <c r="I71" i="34"/>
  <c r="J71" i="34" s="1"/>
  <c r="I69" i="34"/>
  <c r="J69" i="34" s="1"/>
  <c r="I68" i="34"/>
  <c r="J68" i="34" s="1"/>
  <c r="I67" i="34"/>
  <c r="J67" i="34" s="1"/>
  <c r="I66" i="34"/>
  <c r="J66" i="34" s="1"/>
  <c r="I65" i="34"/>
  <c r="J65" i="34" s="1"/>
  <c r="I63" i="34"/>
  <c r="J63" i="34" s="1"/>
  <c r="I62" i="34"/>
  <c r="J62" i="34" s="1"/>
  <c r="I61" i="34"/>
  <c r="J61" i="34" s="1"/>
  <c r="I60" i="34"/>
  <c r="J60" i="34" s="1"/>
  <c r="I59" i="34"/>
  <c r="J59" i="34" s="1"/>
  <c r="I58" i="34"/>
  <c r="J58" i="34" s="1"/>
  <c r="I57" i="34"/>
  <c r="J57" i="34" s="1"/>
  <c r="I56" i="34"/>
  <c r="J56" i="34" s="1"/>
  <c r="I55" i="34"/>
  <c r="J55" i="34" s="1"/>
  <c r="I53" i="34"/>
  <c r="J53" i="34" s="1"/>
  <c r="I52" i="34"/>
  <c r="J52" i="34" s="1"/>
  <c r="I51" i="34"/>
  <c r="J51" i="34" s="1"/>
  <c r="I50" i="34"/>
  <c r="J50" i="34" s="1"/>
  <c r="I49" i="34"/>
  <c r="J49" i="34" s="1"/>
  <c r="I48" i="34"/>
  <c r="J48" i="34" s="1"/>
  <c r="I47" i="34"/>
  <c r="J47" i="34" s="1"/>
  <c r="I45" i="34"/>
  <c r="J45" i="34" s="1"/>
  <c r="I44" i="34"/>
  <c r="J44" i="34" s="1"/>
  <c r="I43" i="34"/>
  <c r="J43" i="34" s="1"/>
  <c r="I42" i="34"/>
  <c r="J42" i="34" s="1"/>
  <c r="I41" i="34"/>
  <c r="J41" i="34" s="1"/>
  <c r="I40" i="34"/>
  <c r="J40" i="34" s="1"/>
  <c r="I38" i="34"/>
  <c r="J38" i="34" s="1"/>
  <c r="I37" i="34"/>
  <c r="J37" i="34" s="1"/>
  <c r="I36" i="34"/>
  <c r="J36" i="34" s="1"/>
  <c r="I35" i="34"/>
  <c r="J35" i="34" s="1"/>
  <c r="I34" i="34"/>
  <c r="J34" i="34" s="1"/>
  <c r="I33" i="34"/>
  <c r="J33" i="34" s="1"/>
  <c r="I32" i="34"/>
  <c r="J32" i="34" s="1"/>
  <c r="I31" i="34"/>
  <c r="J31" i="34" s="1"/>
  <c r="I30" i="34"/>
  <c r="J30" i="34" s="1"/>
  <c r="I29" i="34"/>
  <c r="J29" i="34" s="1"/>
  <c r="I27" i="34"/>
  <c r="J27" i="34" s="1"/>
  <c r="I26" i="34"/>
  <c r="J26" i="34" s="1"/>
  <c r="I25" i="34"/>
  <c r="J25" i="34" s="1"/>
  <c r="I24" i="34"/>
  <c r="J24" i="34" s="1"/>
  <c r="I23" i="34"/>
  <c r="J23" i="34" s="1"/>
  <c r="I22" i="34"/>
  <c r="J22" i="34" s="1"/>
  <c r="I21" i="34"/>
  <c r="J21" i="34" s="1"/>
  <c r="I20" i="34"/>
  <c r="J20" i="34" s="1"/>
  <c r="I19" i="34"/>
  <c r="J19" i="34" s="1"/>
  <c r="I17" i="34"/>
  <c r="J17" i="34" s="1"/>
  <c r="I16" i="34"/>
  <c r="J16" i="34" s="1"/>
  <c r="I15" i="34"/>
  <c r="J15" i="34" s="1"/>
  <c r="I13" i="34"/>
  <c r="J13" i="34" s="1"/>
  <c r="I12" i="34"/>
  <c r="J12" i="34" s="1"/>
  <c r="I11" i="34"/>
  <c r="J11" i="34" s="1"/>
  <c r="I10" i="34"/>
  <c r="J10" i="34" s="1"/>
  <c r="J45" i="27"/>
  <c r="J44" i="27"/>
  <c r="I43" i="27"/>
  <c r="J43" i="27" s="1"/>
  <c r="J42" i="27"/>
  <c r="J41" i="27"/>
  <c r="J40" i="27"/>
  <c r="J39" i="27"/>
  <c r="I38" i="27"/>
  <c r="J38" i="27" s="1"/>
  <c r="I37" i="27"/>
  <c r="J37" i="27" s="1"/>
  <c r="I36" i="27"/>
  <c r="J36" i="27" s="1"/>
  <c r="J35" i="27"/>
  <c r="J34" i="27"/>
  <c r="I29" i="27"/>
  <c r="J29" i="27" s="1"/>
  <c r="I28" i="27"/>
  <c r="J28" i="27" s="1"/>
  <c r="I27" i="27"/>
  <c r="J27" i="27" s="1"/>
  <c r="I26" i="27"/>
  <c r="J26" i="27" s="1"/>
  <c r="I25" i="27"/>
  <c r="J25" i="27" s="1"/>
  <c r="I24" i="27"/>
  <c r="J24" i="27" s="1"/>
  <c r="J23" i="27"/>
  <c r="I22" i="27"/>
  <c r="J22" i="27" s="1"/>
  <c r="I21" i="27"/>
  <c r="J21" i="27" s="1"/>
  <c r="J20" i="27"/>
  <c r="J19" i="27"/>
  <c r="J18" i="27"/>
  <c r="I13" i="27"/>
  <c r="J13" i="27" s="1"/>
  <c r="I12" i="27"/>
  <c r="J12" i="27" s="1"/>
  <c r="J11" i="27"/>
  <c r="I10" i="27"/>
  <c r="J10" i="27" s="1"/>
  <c r="I9" i="27"/>
  <c r="J9" i="27" s="1"/>
  <c r="I8" i="27"/>
  <c r="J8" i="27" s="1"/>
  <c r="J7" i="27"/>
  <c r="I53" i="26"/>
  <c r="J53" i="26" s="1"/>
  <c r="I52" i="26"/>
  <c r="J52" i="26" s="1"/>
  <c r="I51" i="26"/>
  <c r="J51" i="26" s="1"/>
  <c r="I47" i="26"/>
  <c r="J47" i="26" s="1"/>
  <c r="I46" i="26"/>
  <c r="J46" i="26" s="1"/>
  <c r="I45" i="26"/>
  <c r="J45" i="26" s="1"/>
  <c r="I41" i="26"/>
  <c r="J41" i="26" s="1"/>
  <c r="I40" i="26"/>
  <c r="J40" i="26" s="1"/>
  <c r="I39" i="26"/>
  <c r="J39" i="26" s="1"/>
  <c r="I35" i="26"/>
  <c r="J35" i="26" s="1"/>
  <c r="I34" i="26"/>
  <c r="J34" i="26" s="1"/>
  <c r="I33" i="26"/>
  <c r="J33" i="26" s="1"/>
  <c r="I27" i="26"/>
  <c r="J27" i="26" s="1"/>
  <c r="I26" i="26"/>
  <c r="J26" i="26" s="1"/>
  <c r="I25" i="26"/>
  <c r="J25" i="26" s="1"/>
  <c r="I21" i="26"/>
  <c r="J21" i="26" s="1"/>
  <c r="I20" i="26"/>
  <c r="J20" i="26" s="1"/>
  <c r="I19" i="26"/>
  <c r="J19" i="26" s="1"/>
  <c r="I15" i="26"/>
  <c r="J15" i="26" s="1"/>
  <c r="I14" i="26"/>
  <c r="J14" i="26" s="1"/>
  <c r="I13" i="26"/>
  <c r="J13" i="26" s="1"/>
  <c r="I9" i="26"/>
  <c r="J9" i="26" s="1"/>
  <c r="I8" i="26"/>
  <c r="J8" i="26" s="1"/>
  <c r="I7" i="26"/>
  <c r="J7" i="26" s="1"/>
  <c r="J56" i="18"/>
  <c r="J55" i="18"/>
  <c r="J54" i="18"/>
  <c r="J51" i="18"/>
  <c r="J45" i="18"/>
  <c r="J44" i="18"/>
  <c r="J42" i="18"/>
  <c r="J39" i="18"/>
  <c r="J35" i="18"/>
  <c r="J34" i="18"/>
  <c r="J33" i="18"/>
  <c r="J32" i="18"/>
  <c r="J29" i="18"/>
  <c r="J23" i="18"/>
  <c r="J22" i="18"/>
  <c r="J21" i="18"/>
  <c r="J18" i="18"/>
  <c r="J17" i="18"/>
  <c r="J16" i="18"/>
  <c r="J12" i="18"/>
  <c r="I9" i="18"/>
  <c r="J9" i="18" s="1"/>
  <c r="I8" i="18"/>
  <c r="J8" i="18" s="1"/>
  <c r="I153" i="17"/>
  <c r="J153" i="17" s="1"/>
  <c r="I152" i="17"/>
  <c r="J152" i="17" s="1"/>
  <c r="I151" i="17"/>
  <c r="J151" i="17" s="1"/>
  <c r="I150" i="17"/>
  <c r="J150" i="17" s="1"/>
  <c r="I149" i="17"/>
  <c r="J149" i="17" s="1"/>
  <c r="I148" i="17"/>
  <c r="J148" i="17" s="1"/>
  <c r="I116" i="17"/>
  <c r="J116" i="17" s="1"/>
  <c r="I115" i="17"/>
  <c r="J115" i="17" s="1"/>
  <c r="I114" i="17"/>
  <c r="J114" i="17" s="1"/>
  <c r="I110" i="17"/>
  <c r="J110" i="17" s="1"/>
  <c r="I109" i="17"/>
  <c r="J109" i="17" s="1"/>
  <c r="I105" i="17"/>
  <c r="J105" i="17" s="1"/>
  <c r="I104" i="17"/>
  <c r="J104" i="17" s="1"/>
  <c r="I99" i="17"/>
  <c r="J99" i="17" s="1"/>
  <c r="I98" i="17"/>
  <c r="J98" i="17" s="1"/>
  <c r="I97" i="17"/>
  <c r="J97" i="17" s="1"/>
  <c r="I84" i="17"/>
  <c r="J84" i="17" s="1"/>
  <c r="J82" i="17"/>
  <c r="J81" i="17"/>
  <c r="J80" i="17"/>
  <c r="J79" i="17"/>
  <c r="J78" i="17"/>
  <c r="J77" i="17"/>
  <c r="J76" i="17"/>
  <c r="I75" i="17"/>
  <c r="J75" i="17" s="1"/>
  <c r="I74" i="17"/>
  <c r="J73" i="17"/>
  <c r="J72" i="17"/>
  <c r="J71" i="17"/>
  <c r="I166" i="15"/>
  <c r="J166" i="15" s="1"/>
  <c r="I165" i="15"/>
  <c r="J165" i="15" s="1"/>
  <c r="I164" i="15"/>
  <c r="J164" i="15" s="1"/>
  <c r="I163" i="15"/>
  <c r="J163" i="15" s="1"/>
  <c r="I162" i="15"/>
  <c r="J162" i="15" s="1"/>
  <c r="I161" i="15"/>
  <c r="J161" i="15" s="1"/>
  <c r="I160" i="15"/>
  <c r="J160" i="15" s="1"/>
  <c r="I159" i="15"/>
  <c r="I158" i="15"/>
  <c r="I157" i="15"/>
  <c r="J157" i="15" s="1"/>
  <c r="I156" i="15"/>
  <c r="J156" i="15" s="1"/>
  <c r="I155" i="15"/>
  <c r="I154" i="15"/>
  <c r="I153" i="15"/>
  <c r="J153" i="15" s="1"/>
  <c r="I152" i="15"/>
  <c r="I151" i="15"/>
  <c r="I150" i="15"/>
  <c r="J150" i="15" s="1"/>
  <c r="I149" i="15"/>
  <c r="J149" i="15" s="1"/>
  <c r="I145" i="15"/>
  <c r="J145" i="15" s="1"/>
  <c r="I144" i="15"/>
  <c r="J144" i="15" s="1"/>
  <c r="I143" i="15"/>
  <c r="J143" i="15" s="1"/>
  <c r="I142" i="15"/>
  <c r="J142" i="15" s="1"/>
  <c r="I141" i="15"/>
  <c r="J141" i="15" s="1"/>
  <c r="I140" i="15"/>
  <c r="J140" i="15" s="1"/>
  <c r="I139" i="15"/>
  <c r="J139" i="15" s="1"/>
  <c r="I138" i="15"/>
  <c r="J138" i="15" s="1"/>
  <c r="I137" i="15"/>
  <c r="J137" i="15" s="1"/>
  <c r="J41" i="13"/>
  <c r="I35" i="13"/>
  <c r="J35" i="13" s="1"/>
  <c r="I26" i="13"/>
  <c r="J26" i="13" s="1"/>
  <c r="I25" i="13"/>
  <c r="J25" i="13" s="1"/>
  <c r="J23" i="13"/>
  <c r="I14" i="13"/>
  <c r="J14" i="13" s="1"/>
  <c r="J13" i="13"/>
  <c r="J12" i="13"/>
  <c r="J11" i="13"/>
  <c r="J10" i="13"/>
  <c r="J9" i="13"/>
  <c r="J8" i="13"/>
  <c r="J35" i="12"/>
  <c r="I33" i="12"/>
  <c r="J33" i="12" s="1"/>
  <c r="I31" i="12"/>
  <c r="J31" i="12" s="1"/>
  <c r="I25" i="12"/>
  <c r="J25" i="12" s="1"/>
  <c r="I24" i="12"/>
  <c r="J24" i="12" s="1"/>
  <c r="I23" i="12"/>
  <c r="J23" i="12" s="1"/>
  <c r="I20" i="12"/>
  <c r="J20" i="12" s="1"/>
  <c r="I19" i="12"/>
  <c r="J19" i="12" s="1"/>
  <c r="I18" i="12"/>
  <c r="J18" i="12" s="1"/>
  <c r="I17" i="12"/>
  <c r="J17" i="12" s="1"/>
  <c r="I13" i="12"/>
  <c r="J13" i="12" s="1"/>
  <c r="I12" i="12"/>
  <c r="J12" i="12" s="1"/>
  <c r="I11" i="12"/>
  <c r="J11" i="12" s="1"/>
  <c r="I8" i="12"/>
  <c r="J8" i="12" s="1"/>
  <c r="I341" i="48"/>
  <c r="J341" i="48" s="1"/>
  <c r="I340" i="48"/>
  <c r="J340" i="48" s="1"/>
  <c r="I339" i="48"/>
  <c r="J339" i="48" s="1"/>
  <c r="I338" i="48"/>
  <c r="J338" i="48" s="1"/>
  <c r="I337" i="48"/>
  <c r="J337" i="48" s="1"/>
  <c r="I336" i="48"/>
  <c r="J336" i="48" s="1"/>
  <c r="I335" i="48"/>
  <c r="J335" i="48" s="1"/>
  <c r="I334" i="48"/>
  <c r="J334" i="48" s="1"/>
  <c r="I333" i="48"/>
  <c r="J333" i="48" s="1"/>
  <c r="I332" i="48"/>
  <c r="J332" i="48" s="1"/>
  <c r="I330" i="48"/>
  <c r="J330" i="48" s="1"/>
  <c r="I329" i="48"/>
  <c r="J329" i="48" s="1"/>
  <c r="I328" i="48"/>
  <c r="J328" i="48" s="1"/>
  <c r="I327" i="48"/>
  <c r="J327" i="48" s="1"/>
  <c r="I326" i="48"/>
  <c r="J326" i="48" s="1"/>
  <c r="I325" i="48"/>
  <c r="J325" i="48" s="1"/>
  <c r="I324" i="48"/>
  <c r="J324" i="48" s="1"/>
  <c r="I323" i="48"/>
  <c r="J323" i="48" s="1"/>
  <c r="I322" i="48"/>
  <c r="J322" i="48" s="1"/>
  <c r="I321" i="48"/>
  <c r="J321" i="48" s="1"/>
  <c r="I319" i="48"/>
  <c r="J319" i="48" s="1"/>
  <c r="I318" i="48"/>
  <c r="J318" i="48" s="1"/>
  <c r="I317" i="48"/>
  <c r="J317" i="48" s="1"/>
  <c r="I316" i="48"/>
  <c r="J316" i="48" s="1"/>
  <c r="I315" i="48"/>
  <c r="J315" i="48" s="1"/>
  <c r="I314" i="48"/>
  <c r="J314" i="48" s="1"/>
  <c r="I313" i="48"/>
  <c r="J313" i="48" s="1"/>
  <c r="I312" i="48"/>
  <c r="J312" i="48" s="1"/>
  <c r="I311" i="48"/>
  <c r="J311" i="48" s="1"/>
  <c r="I310" i="48"/>
  <c r="J310" i="48" s="1"/>
  <c r="I308" i="48"/>
  <c r="J308" i="48" s="1"/>
  <c r="I307" i="48"/>
  <c r="J307" i="48" s="1"/>
  <c r="I306" i="48"/>
  <c r="J306" i="48" s="1"/>
  <c r="I305" i="48"/>
  <c r="J305" i="48" s="1"/>
  <c r="I304" i="48"/>
  <c r="J304" i="48" s="1"/>
  <c r="I303" i="48"/>
  <c r="J303" i="48" s="1"/>
  <c r="I302" i="48"/>
  <c r="J302" i="48" s="1"/>
  <c r="I301" i="48"/>
  <c r="J301" i="48" s="1"/>
  <c r="I300" i="48"/>
  <c r="J300" i="48" s="1"/>
  <c r="I299" i="48"/>
  <c r="J299" i="48" s="1"/>
  <c r="I297" i="48"/>
  <c r="J297" i="48" s="1"/>
  <c r="I296" i="48"/>
  <c r="J296" i="48" s="1"/>
  <c r="I295" i="48"/>
  <c r="J295" i="48" s="1"/>
  <c r="I294" i="48"/>
  <c r="J294" i="48" s="1"/>
  <c r="I293" i="48"/>
  <c r="J293" i="48" s="1"/>
  <c r="I292" i="48"/>
  <c r="J292" i="48" s="1"/>
  <c r="I291" i="48"/>
  <c r="J291" i="48" s="1"/>
  <c r="I290" i="48"/>
  <c r="J290" i="48" s="1"/>
  <c r="I289" i="48"/>
  <c r="J289" i="48" s="1"/>
  <c r="I288" i="48"/>
  <c r="J288" i="48" s="1"/>
  <c r="I286" i="48"/>
  <c r="J286" i="48" s="1"/>
  <c r="I285" i="48"/>
  <c r="J285" i="48" s="1"/>
  <c r="I284" i="48"/>
  <c r="J284" i="48" s="1"/>
  <c r="I283" i="48"/>
  <c r="J283" i="48" s="1"/>
  <c r="I282" i="48"/>
  <c r="J282" i="48" s="1"/>
  <c r="I281" i="48"/>
  <c r="J281" i="48" s="1"/>
  <c r="I280" i="48"/>
  <c r="J280" i="48" s="1"/>
  <c r="I279" i="48"/>
  <c r="J279" i="48" s="1"/>
  <c r="I278" i="48"/>
  <c r="J278" i="48" s="1"/>
  <c r="I277" i="48"/>
  <c r="J277" i="48" s="1"/>
  <c r="I275" i="48"/>
  <c r="J275" i="48" s="1"/>
  <c r="I274" i="48"/>
  <c r="J274" i="48" s="1"/>
  <c r="I273" i="48"/>
  <c r="J273" i="48" s="1"/>
  <c r="I272" i="48"/>
  <c r="J272" i="48" s="1"/>
  <c r="I271" i="48"/>
  <c r="J271" i="48" s="1"/>
  <c r="I270" i="48"/>
  <c r="J270" i="48" s="1"/>
  <c r="I269" i="48"/>
  <c r="J269" i="48" s="1"/>
  <c r="I268" i="48"/>
  <c r="J268" i="48" s="1"/>
  <c r="I267" i="48"/>
  <c r="J267" i="48" s="1"/>
  <c r="I266" i="48"/>
  <c r="J266" i="48" s="1"/>
  <c r="I264" i="48"/>
  <c r="J264" i="48" s="1"/>
  <c r="I263" i="48"/>
  <c r="J263" i="48" s="1"/>
  <c r="I262" i="48"/>
  <c r="J262" i="48" s="1"/>
  <c r="I261" i="48"/>
  <c r="J261" i="48" s="1"/>
  <c r="I260" i="48"/>
  <c r="J260" i="48" s="1"/>
  <c r="I259" i="48"/>
  <c r="J259" i="48" s="1"/>
  <c r="I258" i="48"/>
  <c r="J258" i="48" s="1"/>
  <c r="I257" i="48"/>
  <c r="J257" i="48" s="1"/>
  <c r="I256" i="48"/>
  <c r="J256" i="48" s="1"/>
  <c r="I255" i="48"/>
  <c r="J255" i="48" s="1"/>
  <c r="I253" i="48"/>
  <c r="J253" i="48" s="1"/>
  <c r="I252" i="48"/>
  <c r="J252" i="48" s="1"/>
  <c r="I251" i="48"/>
  <c r="J251" i="48" s="1"/>
  <c r="I250" i="48"/>
  <c r="J250" i="48" s="1"/>
  <c r="I249" i="48"/>
  <c r="J249" i="48" s="1"/>
  <c r="I248" i="48"/>
  <c r="J248" i="48" s="1"/>
  <c r="I247" i="48"/>
  <c r="J247" i="48" s="1"/>
  <c r="I246" i="48"/>
  <c r="J246" i="48" s="1"/>
  <c r="I245" i="48"/>
  <c r="J245" i="48" s="1"/>
  <c r="I244" i="48"/>
  <c r="J244" i="48" s="1"/>
  <c r="I242" i="48"/>
  <c r="J242" i="48" s="1"/>
  <c r="I241" i="48"/>
  <c r="J241" i="48" s="1"/>
  <c r="I240" i="48"/>
  <c r="J240" i="48" s="1"/>
  <c r="I239" i="48"/>
  <c r="J239" i="48" s="1"/>
  <c r="I238" i="48"/>
  <c r="J238" i="48" s="1"/>
  <c r="I237" i="48"/>
  <c r="J237" i="48" s="1"/>
  <c r="I236" i="48"/>
  <c r="J236" i="48" s="1"/>
  <c r="I235" i="48"/>
  <c r="J235" i="48" s="1"/>
  <c r="I234" i="48"/>
  <c r="J234" i="48" s="1"/>
  <c r="I233" i="48"/>
  <c r="J233" i="48" s="1"/>
  <c r="I231" i="48"/>
  <c r="J231" i="48" s="1"/>
  <c r="I230" i="48"/>
  <c r="J230" i="48" s="1"/>
  <c r="I229" i="48"/>
  <c r="J229" i="48" s="1"/>
  <c r="I228" i="48"/>
  <c r="J228" i="48" s="1"/>
  <c r="I227" i="48"/>
  <c r="J227" i="48" s="1"/>
  <c r="I226" i="48"/>
  <c r="J226" i="48" s="1"/>
  <c r="I225" i="48"/>
  <c r="J225" i="48" s="1"/>
  <c r="I224" i="48"/>
  <c r="J224" i="48" s="1"/>
  <c r="I223" i="48"/>
  <c r="J223" i="48" s="1"/>
  <c r="I222" i="48"/>
  <c r="J222" i="48" s="1"/>
  <c r="I220" i="48"/>
  <c r="J220" i="48" s="1"/>
  <c r="I219" i="48"/>
  <c r="J219" i="48" s="1"/>
  <c r="I218" i="48"/>
  <c r="J218" i="48" s="1"/>
  <c r="I217" i="48"/>
  <c r="J217" i="48" s="1"/>
  <c r="I216" i="48"/>
  <c r="J216" i="48" s="1"/>
  <c r="I215" i="48"/>
  <c r="J215" i="48" s="1"/>
  <c r="I214" i="48"/>
  <c r="J214" i="48" s="1"/>
  <c r="I213" i="48"/>
  <c r="J213" i="48" s="1"/>
  <c r="I212" i="48"/>
  <c r="J212" i="48" s="1"/>
  <c r="I211" i="48"/>
  <c r="J211" i="48" s="1"/>
  <c r="I209" i="48"/>
  <c r="J209" i="48" s="1"/>
  <c r="I208" i="48"/>
  <c r="J208" i="48" s="1"/>
  <c r="I207" i="48"/>
  <c r="J207" i="48" s="1"/>
  <c r="I206" i="48"/>
  <c r="J206" i="48" s="1"/>
  <c r="I205" i="48"/>
  <c r="J205" i="48" s="1"/>
  <c r="I204" i="48"/>
  <c r="J204" i="48" s="1"/>
  <c r="I203" i="48"/>
  <c r="J203" i="48" s="1"/>
  <c r="I202" i="48"/>
  <c r="J202" i="48" s="1"/>
  <c r="I201" i="48"/>
  <c r="J201" i="48" s="1"/>
  <c r="I200" i="48"/>
  <c r="J200" i="48" s="1"/>
  <c r="I198" i="48"/>
  <c r="J198" i="48" s="1"/>
  <c r="I197" i="48"/>
  <c r="J197" i="48" s="1"/>
  <c r="I196" i="48"/>
  <c r="J196" i="48" s="1"/>
  <c r="I195" i="48"/>
  <c r="J195" i="48" s="1"/>
  <c r="I194" i="48"/>
  <c r="J194" i="48" s="1"/>
  <c r="I193" i="48"/>
  <c r="J193" i="48" s="1"/>
  <c r="I192" i="48"/>
  <c r="J192" i="48" s="1"/>
  <c r="I191" i="48"/>
  <c r="J191" i="48" s="1"/>
  <c r="I190" i="48"/>
  <c r="J190" i="48" s="1"/>
  <c r="I189" i="48"/>
  <c r="J189" i="48" s="1"/>
  <c r="I187" i="48"/>
  <c r="J187" i="48" s="1"/>
  <c r="I186" i="48"/>
  <c r="J186" i="48" s="1"/>
  <c r="I185" i="48"/>
  <c r="J185" i="48" s="1"/>
  <c r="I184" i="48"/>
  <c r="J184" i="48" s="1"/>
  <c r="I183" i="48"/>
  <c r="J183" i="48" s="1"/>
  <c r="I182" i="48"/>
  <c r="J182" i="48" s="1"/>
  <c r="I181" i="48"/>
  <c r="J181" i="48" s="1"/>
  <c r="I180" i="48"/>
  <c r="J180" i="48" s="1"/>
  <c r="I179" i="48"/>
  <c r="J179" i="48" s="1"/>
  <c r="I178" i="48"/>
  <c r="J178" i="48" s="1"/>
  <c r="I75" i="11"/>
  <c r="J75" i="11" s="1"/>
  <c r="I74" i="11"/>
  <c r="J74" i="11" s="1"/>
  <c r="I71" i="11"/>
  <c r="J71" i="11" s="1"/>
  <c r="I70" i="11"/>
  <c r="J70" i="11" s="1"/>
  <c r="I69" i="11"/>
  <c r="J69" i="11" s="1"/>
  <c r="I68" i="11"/>
  <c r="J68" i="11" s="1"/>
  <c r="I64" i="11"/>
  <c r="J64" i="11" s="1"/>
  <c r="I63" i="11"/>
  <c r="J63" i="11" s="1"/>
  <c r="I62" i="11"/>
  <c r="J62" i="11" s="1"/>
  <c r="I61" i="11"/>
  <c r="J61" i="11" s="1"/>
  <c r="I60" i="11"/>
  <c r="J60" i="11" s="1"/>
  <c r="I58" i="11"/>
  <c r="J58" i="11" s="1"/>
  <c r="I57" i="11"/>
  <c r="J57" i="11" s="1"/>
  <c r="I56" i="11"/>
  <c r="J56" i="11" s="1"/>
  <c r="I54" i="11"/>
  <c r="J54" i="11" s="1"/>
  <c r="I53" i="11"/>
  <c r="J53" i="11" s="1"/>
  <c r="I52" i="11"/>
  <c r="J52" i="11" s="1"/>
  <c r="I51" i="11"/>
  <c r="J51" i="11" s="1"/>
  <c r="I50" i="11"/>
  <c r="J50" i="11" s="1"/>
  <c r="I48" i="11"/>
  <c r="J48" i="11" s="1"/>
  <c r="I47" i="11"/>
  <c r="J47" i="11" s="1"/>
  <c r="I46" i="11"/>
  <c r="J46" i="11" s="1"/>
  <c r="I339" i="47"/>
  <c r="J339" i="47" s="1"/>
  <c r="I338" i="47"/>
  <c r="J338" i="47" s="1"/>
  <c r="I337" i="47"/>
  <c r="J337" i="47" s="1"/>
  <c r="I336" i="47"/>
  <c r="J336" i="47" s="1"/>
  <c r="I335" i="47"/>
  <c r="J335" i="47" s="1"/>
  <c r="I334" i="47"/>
  <c r="J334" i="47" s="1"/>
  <c r="I333" i="47"/>
  <c r="J333" i="47" s="1"/>
  <c r="I332" i="47"/>
  <c r="J332" i="47" s="1"/>
  <c r="I331" i="47"/>
  <c r="J331" i="47" s="1"/>
  <c r="I330" i="47"/>
  <c r="J330" i="47" s="1"/>
  <c r="I328" i="47"/>
  <c r="J328" i="47" s="1"/>
  <c r="I327" i="47"/>
  <c r="J327" i="47" s="1"/>
  <c r="I326" i="47"/>
  <c r="J326" i="47" s="1"/>
  <c r="I325" i="47"/>
  <c r="J325" i="47" s="1"/>
  <c r="I324" i="47"/>
  <c r="J324" i="47" s="1"/>
  <c r="I323" i="47"/>
  <c r="J323" i="47" s="1"/>
  <c r="I322" i="47"/>
  <c r="J322" i="47" s="1"/>
  <c r="I321" i="47"/>
  <c r="J321" i="47" s="1"/>
  <c r="I320" i="47"/>
  <c r="J320" i="47" s="1"/>
  <c r="I319" i="47"/>
  <c r="J319" i="47" s="1"/>
  <c r="I317" i="47"/>
  <c r="J317" i="47" s="1"/>
  <c r="I316" i="47"/>
  <c r="J316" i="47" s="1"/>
  <c r="I315" i="47"/>
  <c r="J315" i="47" s="1"/>
  <c r="I314" i="47"/>
  <c r="J314" i="47" s="1"/>
  <c r="I313" i="47"/>
  <c r="J313" i="47" s="1"/>
  <c r="I312" i="47"/>
  <c r="J312" i="47" s="1"/>
  <c r="I311" i="47"/>
  <c r="J311" i="47" s="1"/>
  <c r="I310" i="47"/>
  <c r="J310" i="47" s="1"/>
  <c r="I309" i="47"/>
  <c r="J309" i="47" s="1"/>
  <c r="I308" i="47"/>
  <c r="J308" i="47" s="1"/>
  <c r="I306" i="47"/>
  <c r="J306" i="47" s="1"/>
  <c r="I305" i="47"/>
  <c r="J305" i="47" s="1"/>
  <c r="I304" i="47"/>
  <c r="J304" i="47" s="1"/>
  <c r="I303" i="47"/>
  <c r="J303" i="47" s="1"/>
  <c r="I302" i="47"/>
  <c r="J302" i="47" s="1"/>
  <c r="I301" i="47"/>
  <c r="J301" i="47" s="1"/>
  <c r="I300" i="47"/>
  <c r="J300" i="47" s="1"/>
  <c r="I299" i="47"/>
  <c r="J299" i="47" s="1"/>
  <c r="I298" i="47"/>
  <c r="J298" i="47" s="1"/>
  <c r="I297" i="47"/>
  <c r="J297" i="47" s="1"/>
  <c r="I295" i="47"/>
  <c r="J295" i="47" s="1"/>
  <c r="I294" i="47"/>
  <c r="J294" i="47" s="1"/>
  <c r="I293" i="47"/>
  <c r="J293" i="47" s="1"/>
  <c r="I292" i="47"/>
  <c r="J292" i="47" s="1"/>
  <c r="I291" i="47"/>
  <c r="J291" i="47" s="1"/>
  <c r="I290" i="47"/>
  <c r="J290" i="47" s="1"/>
  <c r="I289" i="47"/>
  <c r="J289" i="47" s="1"/>
  <c r="I288" i="47"/>
  <c r="J288" i="47" s="1"/>
  <c r="I287" i="47"/>
  <c r="J287" i="47" s="1"/>
  <c r="I286" i="47"/>
  <c r="J286" i="47" s="1"/>
  <c r="I284" i="47"/>
  <c r="J284" i="47" s="1"/>
  <c r="I283" i="47"/>
  <c r="J283" i="47" s="1"/>
  <c r="I282" i="47"/>
  <c r="J282" i="47" s="1"/>
  <c r="I281" i="47"/>
  <c r="J281" i="47" s="1"/>
  <c r="I280" i="47"/>
  <c r="J280" i="47" s="1"/>
  <c r="I279" i="47"/>
  <c r="J279" i="47" s="1"/>
  <c r="I278" i="47"/>
  <c r="J278" i="47" s="1"/>
  <c r="I277" i="47"/>
  <c r="J277" i="47" s="1"/>
  <c r="I276" i="47"/>
  <c r="J276" i="47" s="1"/>
  <c r="I275" i="47"/>
  <c r="J275" i="47" s="1"/>
  <c r="I273" i="47"/>
  <c r="J273" i="47" s="1"/>
  <c r="I272" i="47"/>
  <c r="J272" i="47" s="1"/>
  <c r="I271" i="47"/>
  <c r="J271" i="47" s="1"/>
  <c r="I270" i="47"/>
  <c r="J270" i="47" s="1"/>
  <c r="I269" i="47"/>
  <c r="J269" i="47" s="1"/>
  <c r="I268" i="47"/>
  <c r="J268" i="47" s="1"/>
  <c r="I267" i="47"/>
  <c r="J267" i="47" s="1"/>
  <c r="I266" i="47"/>
  <c r="J266" i="47" s="1"/>
  <c r="I265" i="47"/>
  <c r="J265" i="47" s="1"/>
  <c r="I264" i="47"/>
  <c r="J264" i="47" s="1"/>
  <c r="I262" i="47"/>
  <c r="J262" i="47" s="1"/>
  <c r="I261" i="47"/>
  <c r="J261" i="47" s="1"/>
  <c r="I260" i="47"/>
  <c r="J260" i="47" s="1"/>
  <c r="I259" i="47"/>
  <c r="J259" i="47" s="1"/>
  <c r="I258" i="47"/>
  <c r="J258" i="47" s="1"/>
  <c r="I257" i="47"/>
  <c r="J257" i="47" s="1"/>
  <c r="I256" i="47"/>
  <c r="J256" i="47" s="1"/>
  <c r="I255" i="47"/>
  <c r="J255" i="47" s="1"/>
  <c r="I254" i="47"/>
  <c r="J254" i="47" s="1"/>
  <c r="I253" i="47"/>
  <c r="J253" i="47" s="1"/>
  <c r="I251" i="47"/>
  <c r="J251" i="47" s="1"/>
  <c r="I250" i="47"/>
  <c r="J250" i="47" s="1"/>
  <c r="I249" i="47"/>
  <c r="J249" i="47" s="1"/>
  <c r="I248" i="47"/>
  <c r="J248" i="47" s="1"/>
  <c r="I247" i="47"/>
  <c r="J247" i="47" s="1"/>
  <c r="I246" i="47"/>
  <c r="J246" i="47" s="1"/>
  <c r="I245" i="47"/>
  <c r="J245" i="47" s="1"/>
  <c r="I244" i="47"/>
  <c r="J244" i="47" s="1"/>
  <c r="I243" i="47"/>
  <c r="J243" i="47" s="1"/>
  <c r="I242" i="47"/>
  <c r="J242" i="47" s="1"/>
  <c r="I240" i="47"/>
  <c r="J240" i="47" s="1"/>
  <c r="I239" i="47"/>
  <c r="J239" i="47" s="1"/>
  <c r="I238" i="47"/>
  <c r="J238" i="47" s="1"/>
  <c r="I237" i="47"/>
  <c r="J237" i="47" s="1"/>
  <c r="I236" i="47"/>
  <c r="J236" i="47" s="1"/>
  <c r="I235" i="47"/>
  <c r="J235" i="47" s="1"/>
  <c r="I234" i="47"/>
  <c r="J234" i="47" s="1"/>
  <c r="I233" i="47"/>
  <c r="J233" i="47" s="1"/>
  <c r="I232" i="47"/>
  <c r="J232" i="47" s="1"/>
  <c r="I231" i="47"/>
  <c r="J231" i="47" s="1"/>
  <c r="I229" i="47"/>
  <c r="J229" i="47" s="1"/>
  <c r="I228" i="47"/>
  <c r="J228" i="47" s="1"/>
  <c r="I227" i="47"/>
  <c r="J227" i="47" s="1"/>
  <c r="I226" i="47"/>
  <c r="J226" i="47" s="1"/>
  <c r="I225" i="47"/>
  <c r="J225" i="47" s="1"/>
  <c r="I224" i="47"/>
  <c r="J224" i="47" s="1"/>
  <c r="I223" i="47"/>
  <c r="J223" i="47" s="1"/>
  <c r="I222" i="47"/>
  <c r="J222" i="47" s="1"/>
  <c r="I221" i="47"/>
  <c r="J221" i="47" s="1"/>
  <c r="I220" i="47"/>
  <c r="J220" i="47" s="1"/>
  <c r="I218" i="47"/>
  <c r="J218" i="47" s="1"/>
  <c r="I217" i="47"/>
  <c r="J217" i="47" s="1"/>
  <c r="I216" i="47"/>
  <c r="J216" i="47" s="1"/>
  <c r="I215" i="47"/>
  <c r="J215" i="47" s="1"/>
  <c r="I214" i="47"/>
  <c r="J214" i="47" s="1"/>
  <c r="I213" i="47"/>
  <c r="J213" i="47" s="1"/>
  <c r="I212" i="47"/>
  <c r="J212" i="47" s="1"/>
  <c r="I211" i="47"/>
  <c r="J211" i="47" s="1"/>
  <c r="I210" i="47"/>
  <c r="J210" i="47" s="1"/>
  <c r="I209" i="47"/>
  <c r="J209" i="47" s="1"/>
  <c r="I207" i="47"/>
  <c r="J207" i="47" s="1"/>
  <c r="I206" i="47"/>
  <c r="J206" i="47" s="1"/>
  <c r="I205" i="47"/>
  <c r="J205" i="47" s="1"/>
  <c r="I204" i="47"/>
  <c r="J204" i="47" s="1"/>
  <c r="I203" i="47"/>
  <c r="J203" i="47" s="1"/>
  <c r="I202" i="47"/>
  <c r="J202" i="47" s="1"/>
  <c r="I201" i="47"/>
  <c r="J201" i="47" s="1"/>
  <c r="I200" i="47"/>
  <c r="J200" i="47" s="1"/>
  <c r="I199" i="47"/>
  <c r="J199" i="47" s="1"/>
  <c r="I198" i="47"/>
  <c r="J198" i="47" s="1"/>
  <c r="I196" i="47"/>
  <c r="J196" i="47" s="1"/>
  <c r="I195" i="47"/>
  <c r="J195" i="47" s="1"/>
  <c r="I194" i="47"/>
  <c r="J194" i="47" s="1"/>
  <c r="I193" i="47"/>
  <c r="J193" i="47" s="1"/>
  <c r="I192" i="47"/>
  <c r="J192" i="47" s="1"/>
  <c r="I191" i="47"/>
  <c r="J191" i="47" s="1"/>
  <c r="I190" i="47"/>
  <c r="J190" i="47" s="1"/>
  <c r="I189" i="47"/>
  <c r="J189" i="47" s="1"/>
  <c r="I188" i="47"/>
  <c r="J188" i="47" s="1"/>
  <c r="I187" i="47"/>
  <c r="J187" i="47" s="1"/>
  <c r="I185" i="47"/>
  <c r="J185" i="47" s="1"/>
  <c r="I184" i="47"/>
  <c r="J184" i="47" s="1"/>
  <c r="I183" i="47"/>
  <c r="J183" i="47" s="1"/>
  <c r="I182" i="47"/>
  <c r="J182" i="47" s="1"/>
  <c r="I181" i="47"/>
  <c r="J181" i="47" s="1"/>
  <c r="I180" i="47"/>
  <c r="J180" i="47" s="1"/>
  <c r="I179" i="47"/>
  <c r="J179" i="47" s="1"/>
  <c r="I178" i="47"/>
  <c r="J178" i="47" s="1"/>
  <c r="I177" i="47"/>
  <c r="J177" i="47" s="1"/>
  <c r="I176" i="47"/>
  <c r="J176" i="47" s="1"/>
  <c r="J247" i="46"/>
  <c r="J246" i="46"/>
  <c r="J245" i="46"/>
  <c r="J244" i="46"/>
  <c r="J243" i="46"/>
  <c r="J242" i="46"/>
  <c r="J240" i="46"/>
  <c r="J239" i="46"/>
  <c r="J238" i="46"/>
  <c r="J237" i="46"/>
  <c r="J235" i="46"/>
  <c r="J234" i="46"/>
  <c r="J233" i="46"/>
  <c r="J232" i="46"/>
  <c r="J230" i="46"/>
  <c r="J229" i="46"/>
  <c r="J228" i="46"/>
  <c r="J226" i="46"/>
  <c r="J225" i="46"/>
  <c r="J224" i="46"/>
  <c r="J221" i="46"/>
  <c r="J220" i="46"/>
  <c r="J219" i="46"/>
  <c r="J218" i="46"/>
  <c r="J217" i="46"/>
  <c r="J216" i="46"/>
  <c r="J214" i="46"/>
  <c r="J213" i="46"/>
  <c r="J212" i="46"/>
  <c r="J211" i="46"/>
  <c r="J209" i="46"/>
  <c r="J208" i="46"/>
  <c r="J207" i="46"/>
  <c r="J206" i="46"/>
  <c r="J205" i="46"/>
  <c r="J204" i="46"/>
  <c r="J203" i="46"/>
  <c r="J202" i="46"/>
  <c r="J201" i="46"/>
  <c r="J200" i="46"/>
  <c r="J197" i="46"/>
  <c r="J196" i="46"/>
  <c r="J195" i="46"/>
  <c r="J194" i="46"/>
  <c r="J193" i="46"/>
  <c r="J192" i="46"/>
  <c r="J191" i="46"/>
  <c r="J189" i="46"/>
  <c r="J188" i="46"/>
  <c r="J186" i="46"/>
  <c r="J185" i="46"/>
  <c r="J184" i="46"/>
  <c r="J183" i="46"/>
  <c r="J182" i="46"/>
  <c r="J181" i="46"/>
  <c r="J180" i="46"/>
  <c r="J179" i="46"/>
  <c r="J177" i="46"/>
  <c r="J176" i="46"/>
  <c r="J175" i="46"/>
  <c r="J174" i="46"/>
  <c r="J173" i="46"/>
  <c r="J171" i="46"/>
  <c r="J170" i="46"/>
  <c r="J169" i="46"/>
  <c r="J168" i="46"/>
  <c r="J167" i="46"/>
  <c r="J166" i="46"/>
  <c r="J165" i="46"/>
  <c r="J164" i="46"/>
  <c r="J163" i="46"/>
  <c r="J162" i="46"/>
  <c r="J161" i="46"/>
  <c r="J160" i="46"/>
  <c r="J159" i="46"/>
  <c r="J158" i="46"/>
  <c r="J157" i="46"/>
  <c r="J156" i="46"/>
  <c r="J155" i="46"/>
  <c r="J154" i="46"/>
  <c r="J153" i="46"/>
  <c r="J152" i="46"/>
  <c r="J151" i="46"/>
  <c r="J148" i="46"/>
  <c r="J146" i="46"/>
  <c r="J145" i="46"/>
  <c r="J144" i="46"/>
  <c r="J143" i="46"/>
  <c r="J142" i="46"/>
  <c r="J141" i="46"/>
  <c r="J140" i="46"/>
  <c r="J139" i="46"/>
  <c r="J138" i="46"/>
  <c r="J137" i="46"/>
  <c r="J136" i="46"/>
  <c r="J135" i="46"/>
  <c r="J134" i="46"/>
  <c r="J132" i="46"/>
  <c r="J131" i="46"/>
  <c r="I333" i="10"/>
  <c r="I332" i="10"/>
  <c r="I331" i="10"/>
  <c r="I330" i="10"/>
  <c r="I329" i="10"/>
  <c r="I328" i="10"/>
  <c r="I327" i="10"/>
  <c r="I326" i="10"/>
  <c r="I325" i="10"/>
  <c r="I324" i="10"/>
  <c r="I323" i="10"/>
  <c r="I322" i="10"/>
  <c r="I321" i="10"/>
  <c r="I320" i="10"/>
  <c r="I319" i="10"/>
  <c r="I318" i="10"/>
  <c r="I317" i="10"/>
  <c r="I316" i="10"/>
  <c r="I315" i="10"/>
  <c r="I314" i="10"/>
  <c r="I313" i="10"/>
  <c r="I312" i="10"/>
  <c r="I311" i="10"/>
  <c r="I310" i="10"/>
  <c r="I309" i="10"/>
  <c r="I308" i="10"/>
  <c r="I307" i="10"/>
  <c r="I306" i="10"/>
  <c r="I305" i="10"/>
  <c r="I304" i="10"/>
  <c r="I303" i="10"/>
  <c r="I302" i="10"/>
  <c r="I301" i="10"/>
  <c r="I300" i="10"/>
  <c r="I299" i="10"/>
  <c r="I298" i="10"/>
  <c r="I297" i="10"/>
  <c r="I296" i="10"/>
  <c r="I295" i="10"/>
  <c r="I294" i="10"/>
  <c r="I293" i="10"/>
  <c r="I292" i="10"/>
  <c r="I291" i="10"/>
  <c r="I290" i="10"/>
  <c r="I289" i="10"/>
  <c r="I288" i="10"/>
  <c r="I287" i="10"/>
  <c r="I286" i="10"/>
  <c r="I285" i="10"/>
  <c r="I284" i="10"/>
  <c r="I283" i="10"/>
  <c r="I282" i="10"/>
  <c r="I281" i="10"/>
  <c r="I280" i="10"/>
  <c r="I279" i="10"/>
  <c r="I278" i="10"/>
  <c r="I277" i="10"/>
  <c r="I276" i="10"/>
  <c r="I275" i="10"/>
  <c r="I274" i="10"/>
  <c r="I273" i="10"/>
  <c r="I272" i="10"/>
  <c r="I271" i="10"/>
  <c r="I270" i="10"/>
  <c r="I269" i="10"/>
  <c r="I268" i="10"/>
  <c r="I267" i="10"/>
  <c r="I266" i="10"/>
  <c r="I265" i="10"/>
  <c r="I264" i="10"/>
  <c r="I263" i="10"/>
  <c r="I262" i="10"/>
  <c r="I261" i="10"/>
  <c r="I260" i="10"/>
  <c r="I259" i="10"/>
  <c r="I258" i="10"/>
  <c r="I257" i="10"/>
  <c r="I256" i="10"/>
  <c r="I255" i="10"/>
  <c r="I254" i="10"/>
  <c r="I253" i="10"/>
  <c r="I252" i="10"/>
  <c r="I251" i="10"/>
  <c r="I250" i="10"/>
  <c r="I249" i="10"/>
  <c r="I248" i="10"/>
  <c r="I247" i="10"/>
  <c r="I246" i="10"/>
  <c r="I245" i="10"/>
  <c r="I244" i="10"/>
  <c r="I243" i="10"/>
  <c r="I242" i="10"/>
  <c r="I241" i="10"/>
  <c r="I240" i="10"/>
  <c r="I239" i="10"/>
  <c r="I238" i="10"/>
  <c r="I237" i="10"/>
  <c r="I236" i="10"/>
  <c r="I235" i="10"/>
  <c r="I234" i="10"/>
  <c r="I233" i="10"/>
  <c r="I232" i="10"/>
  <c r="I231" i="10"/>
  <c r="I230" i="10"/>
  <c r="I229" i="10"/>
  <c r="I228" i="10"/>
  <c r="I227" i="10"/>
  <c r="I226" i="10"/>
  <c r="I225" i="10"/>
  <c r="I224" i="10"/>
  <c r="I223" i="10"/>
  <c r="I222" i="10"/>
  <c r="I221" i="10"/>
  <c r="I220" i="10"/>
  <c r="I219" i="10"/>
  <c r="I218" i="10"/>
  <c r="I217" i="10"/>
  <c r="I216" i="10"/>
  <c r="I215" i="10"/>
  <c r="I214" i="10"/>
  <c r="I213" i="10"/>
  <c r="I212" i="10"/>
  <c r="I211" i="10"/>
  <c r="I210" i="10"/>
  <c r="I209" i="10"/>
  <c r="I208" i="10"/>
  <c r="I207" i="10"/>
  <c r="I206" i="10"/>
  <c r="I205" i="10"/>
  <c r="I204" i="10"/>
  <c r="I203" i="10"/>
  <c r="I202" i="10"/>
  <c r="I201" i="10"/>
  <c r="I200" i="10"/>
  <c r="I199" i="10"/>
  <c r="I198" i="10"/>
  <c r="I197" i="10"/>
  <c r="I196" i="10"/>
  <c r="I195" i="10"/>
  <c r="I194" i="10"/>
  <c r="I193" i="10"/>
  <c r="I192" i="10"/>
  <c r="I191" i="10"/>
  <c r="I190" i="10"/>
  <c r="I189" i="10"/>
  <c r="I188" i="10"/>
  <c r="I187" i="10"/>
  <c r="I186" i="10"/>
  <c r="I185" i="10"/>
  <c r="I184" i="10"/>
  <c r="I183" i="10"/>
  <c r="I182" i="10"/>
  <c r="I181" i="10"/>
  <c r="I180" i="10"/>
  <c r="I179" i="10"/>
  <c r="I178" i="10"/>
  <c r="I177" i="10"/>
  <c r="I176" i="10"/>
  <c r="I175" i="10"/>
  <c r="I174" i="10"/>
  <c r="I173" i="10"/>
  <c r="I172" i="10"/>
  <c r="I171" i="10"/>
  <c r="I170" i="10"/>
  <c r="I169" i="10"/>
  <c r="I168" i="10"/>
  <c r="I167" i="10"/>
  <c r="I166" i="10"/>
  <c r="I165" i="10"/>
  <c r="I164" i="10"/>
  <c r="I163" i="10"/>
  <c r="I162" i="10"/>
  <c r="I161" i="10"/>
  <c r="I160" i="10"/>
  <c r="I159" i="10"/>
  <c r="I158" i="10"/>
  <c r="I157" i="10"/>
  <c r="I156" i="10"/>
  <c r="I155" i="10"/>
  <c r="I154" i="10"/>
  <c r="I153" i="10"/>
  <c r="I152" i="10"/>
  <c r="I151" i="10"/>
  <c r="I150" i="10"/>
  <c r="I149" i="10"/>
  <c r="I148" i="10"/>
  <c r="I147" i="10"/>
  <c r="I146" i="10"/>
  <c r="I145" i="10"/>
  <c r="I144" i="10"/>
  <c r="I143" i="10"/>
  <c r="I142" i="10"/>
  <c r="I141" i="10"/>
  <c r="I140" i="10"/>
  <c r="I139" i="10"/>
  <c r="I138" i="10"/>
  <c r="I137" i="10"/>
  <c r="I136" i="10"/>
  <c r="I135" i="10"/>
  <c r="I134" i="10"/>
  <c r="I133" i="10"/>
  <c r="I132" i="10"/>
  <c r="I131" i="10"/>
  <c r="I130" i="10"/>
  <c r="I129" i="10"/>
  <c r="I128" i="10"/>
  <c r="I127" i="10"/>
  <c r="I126" i="10"/>
  <c r="I125" i="10"/>
  <c r="I124" i="10"/>
  <c r="I123" i="10"/>
  <c r="I122" i="10"/>
  <c r="I121" i="10"/>
  <c r="I120" i="10"/>
  <c r="I119" i="10"/>
  <c r="I118" i="10"/>
  <c r="I117" i="10"/>
  <c r="I116" i="10"/>
  <c r="I115" i="10"/>
  <c r="I114" i="10"/>
  <c r="I113" i="10"/>
  <c r="I112" i="10"/>
  <c r="I111" i="10"/>
  <c r="I110" i="10"/>
  <c r="I109" i="10"/>
  <c r="I108" i="10"/>
  <c r="I107" i="10"/>
  <c r="I106" i="10"/>
  <c r="I105" i="10"/>
  <c r="I104" i="10"/>
  <c r="I103" i="10"/>
  <c r="I102" i="10"/>
  <c r="I101" i="10"/>
  <c r="I100" i="10"/>
  <c r="I99" i="10"/>
  <c r="I98" i="10"/>
  <c r="I97" i="10"/>
  <c r="I96" i="10"/>
  <c r="I95" i="10"/>
  <c r="I94" i="10"/>
  <c r="I93" i="10"/>
  <c r="I92" i="10"/>
  <c r="I91" i="10"/>
  <c r="I90" i="10"/>
  <c r="I89" i="10"/>
  <c r="I88" i="10"/>
  <c r="I87" i="10"/>
  <c r="I86" i="10"/>
  <c r="I85" i="10"/>
  <c r="I84" i="10"/>
  <c r="I83" i="10"/>
  <c r="I82" i="10"/>
  <c r="I81" i="10"/>
  <c r="I80" i="10"/>
  <c r="I79" i="10"/>
  <c r="I78" i="10"/>
  <c r="I77" i="10"/>
  <c r="I76" i="10"/>
  <c r="I75" i="10"/>
  <c r="I74" i="10"/>
  <c r="I73" i="10"/>
  <c r="I72" i="10"/>
  <c r="I71" i="10"/>
  <c r="I70" i="10"/>
  <c r="I69" i="10"/>
  <c r="I68" i="10"/>
  <c r="I67" i="10"/>
  <c r="I66" i="10"/>
  <c r="I65" i="10"/>
  <c r="I64" i="10"/>
  <c r="I63" i="10"/>
  <c r="I62" i="10"/>
  <c r="I59" i="10"/>
  <c r="I57" i="10"/>
  <c r="I52" i="10"/>
  <c r="I51" i="10"/>
  <c r="I50" i="10"/>
  <c r="I38" i="10"/>
  <c r="I25" i="10"/>
  <c r="I24" i="10"/>
  <c r="I12" i="10"/>
  <c r="I341" i="10"/>
  <c r="I340" i="10"/>
  <c r="I339" i="10"/>
  <c r="I338" i="10"/>
  <c r="I337" i="10"/>
  <c r="I336" i="10"/>
  <c r="I335" i="10"/>
  <c r="I334" i="10"/>
  <c r="C330" i="47" l="1"/>
  <c r="C2" i="51" l="1"/>
  <c r="C8" i="47" l="1"/>
  <c r="C6" i="31" l="1"/>
  <c r="C7" i="31"/>
  <c r="C6" i="30"/>
  <c r="H25" i="33" l="1"/>
  <c r="G25" i="33"/>
  <c r="F25" i="33"/>
  <c r="E25" i="33"/>
  <c r="D25" i="33"/>
  <c r="C25" i="33"/>
  <c r="H24" i="33"/>
  <c r="G24" i="33"/>
  <c r="F24" i="33"/>
  <c r="E24" i="33"/>
  <c r="D24" i="33"/>
  <c r="C24" i="33"/>
  <c r="H23" i="33"/>
  <c r="G23" i="33"/>
  <c r="F23" i="33"/>
  <c r="E23" i="33"/>
  <c r="D23" i="33"/>
  <c r="C23" i="33"/>
  <c r="H22" i="33"/>
  <c r="G22" i="33"/>
  <c r="F22" i="33"/>
  <c r="E22" i="33"/>
  <c r="D22" i="33"/>
  <c r="C22" i="33"/>
  <c r="H21" i="33"/>
  <c r="G21" i="33"/>
  <c r="F21" i="33"/>
  <c r="E21" i="33"/>
  <c r="D21" i="33"/>
  <c r="C21" i="33"/>
  <c r="H19" i="33"/>
  <c r="G19" i="33"/>
  <c r="F19" i="33"/>
  <c r="E19" i="33"/>
  <c r="D19" i="33"/>
  <c r="C19" i="33"/>
  <c r="H18" i="33"/>
  <c r="G18" i="33"/>
  <c r="F18" i="33"/>
  <c r="E18" i="33"/>
  <c r="D18" i="33"/>
  <c r="C18" i="33"/>
  <c r="H17" i="33"/>
  <c r="G17" i="33"/>
  <c r="F17" i="33"/>
  <c r="E17" i="33"/>
  <c r="D17" i="33"/>
  <c r="C17" i="33"/>
  <c r="H15" i="33"/>
  <c r="G15" i="33"/>
  <c r="F15" i="33"/>
  <c r="E15" i="33"/>
  <c r="D15" i="33"/>
  <c r="C15" i="33"/>
  <c r="H14" i="33"/>
  <c r="G14" i="33"/>
  <c r="F14" i="33"/>
  <c r="E14" i="33"/>
  <c r="D14" i="33"/>
  <c r="C14" i="33"/>
  <c r="H13" i="33"/>
  <c r="G13" i="33"/>
  <c r="F13" i="33"/>
  <c r="E13" i="33"/>
  <c r="D13" i="33"/>
  <c r="C13" i="33"/>
  <c r="H12" i="33"/>
  <c r="G12" i="33"/>
  <c r="F12" i="33"/>
  <c r="E12" i="33"/>
  <c r="D12" i="33"/>
  <c r="C12" i="33"/>
  <c r="H11" i="33"/>
  <c r="G11" i="33"/>
  <c r="F11" i="33"/>
  <c r="E11" i="33"/>
  <c r="D11" i="33"/>
  <c r="C11" i="33"/>
  <c r="H9" i="33"/>
  <c r="G9" i="33"/>
  <c r="F9" i="33"/>
  <c r="E9" i="33"/>
  <c r="D9" i="33"/>
  <c r="C9" i="33"/>
  <c r="H8" i="33"/>
  <c r="G8" i="33"/>
  <c r="F8" i="33"/>
  <c r="E8" i="33"/>
  <c r="D8" i="33"/>
  <c r="C8" i="33"/>
  <c r="H7" i="33"/>
  <c r="G7" i="33"/>
  <c r="F7" i="33"/>
  <c r="E7" i="33"/>
  <c r="D7" i="33"/>
  <c r="C7" i="33"/>
  <c r="H35" i="30"/>
  <c r="G35" i="30"/>
  <c r="F35" i="30"/>
  <c r="E35" i="30"/>
  <c r="D35" i="30"/>
  <c r="C35" i="30"/>
  <c r="H34" i="30"/>
  <c r="G34" i="30"/>
  <c r="F34" i="30"/>
  <c r="E34" i="30"/>
  <c r="D34" i="30"/>
  <c r="C34" i="30"/>
  <c r="H33" i="30"/>
  <c r="G33" i="30"/>
  <c r="F33" i="30"/>
  <c r="E33" i="30"/>
  <c r="D33" i="30"/>
  <c r="C33" i="30"/>
  <c r="H32" i="30"/>
  <c r="G32" i="30"/>
  <c r="F32" i="30"/>
  <c r="E32" i="30"/>
  <c r="D32" i="30"/>
  <c r="C32" i="30"/>
  <c r="H31" i="30"/>
  <c r="G31" i="30"/>
  <c r="F31" i="30"/>
  <c r="E31" i="30"/>
  <c r="D31" i="30"/>
  <c r="C31" i="30"/>
  <c r="H30" i="30"/>
  <c r="G30" i="30"/>
  <c r="F30" i="30"/>
  <c r="E30" i="30"/>
  <c r="D30" i="30"/>
  <c r="C30" i="30"/>
  <c r="H29" i="30"/>
  <c r="G29" i="30"/>
  <c r="F29" i="30"/>
  <c r="E29" i="30"/>
  <c r="D29" i="30"/>
  <c r="C29" i="30"/>
  <c r="H28" i="30"/>
  <c r="G28" i="30"/>
  <c r="F28" i="30"/>
  <c r="E28" i="30"/>
  <c r="D28" i="30"/>
  <c r="C28" i="30"/>
  <c r="H27" i="30"/>
  <c r="G27" i="30"/>
  <c r="F27" i="30"/>
  <c r="E27" i="30"/>
  <c r="D27" i="30"/>
  <c r="C27" i="30"/>
  <c r="H26" i="30"/>
  <c r="G26" i="30"/>
  <c r="F26" i="30"/>
  <c r="E26" i="30"/>
  <c r="D26" i="30"/>
  <c r="C26" i="30"/>
  <c r="H25" i="30"/>
  <c r="G25" i="30"/>
  <c r="F25" i="30"/>
  <c r="E25" i="30"/>
  <c r="D25" i="30"/>
  <c r="C25" i="30"/>
  <c r="H41" i="30"/>
  <c r="G41" i="30"/>
  <c r="F41" i="30"/>
  <c r="E41" i="30"/>
  <c r="D41" i="30"/>
  <c r="C41" i="30"/>
  <c r="H40" i="30"/>
  <c r="G40" i="30"/>
  <c r="F40" i="30"/>
  <c r="E40" i="30"/>
  <c r="D40" i="30"/>
  <c r="C40" i="30"/>
  <c r="H39" i="30"/>
  <c r="G39" i="30"/>
  <c r="F39" i="30"/>
  <c r="E39" i="30"/>
  <c r="D39" i="30"/>
  <c r="C39" i="30"/>
  <c r="H21" i="30"/>
  <c r="G21" i="30"/>
  <c r="F21" i="30"/>
  <c r="E21" i="30"/>
  <c r="D21" i="30"/>
  <c r="C21" i="30"/>
  <c r="H20" i="30"/>
  <c r="G20" i="30"/>
  <c r="F20" i="30"/>
  <c r="E20" i="30"/>
  <c r="D20" i="30"/>
  <c r="C20" i="30"/>
  <c r="H19" i="30"/>
  <c r="G19" i="30"/>
  <c r="F19" i="30"/>
  <c r="E19" i="30"/>
  <c r="D19" i="30"/>
  <c r="C19" i="30"/>
  <c r="H18" i="30"/>
  <c r="G18" i="30"/>
  <c r="F18" i="30"/>
  <c r="E18" i="30"/>
  <c r="D18" i="30"/>
  <c r="C18" i="30"/>
  <c r="H17" i="30"/>
  <c r="G17" i="30"/>
  <c r="F17" i="30"/>
  <c r="E17" i="30"/>
  <c r="D17" i="30"/>
  <c r="C17" i="30"/>
  <c r="H16" i="30"/>
  <c r="G16" i="30"/>
  <c r="F16" i="30"/>
  <c r="E16" i="30"/>
  <c r="D16" i="30"/>
  <c r="C16" i="30"/>
  <c r="H15" i="30"/>
  <c r="G15" i="30"/>
  <c r="F15" i="30"/>
  <c r="E15" i="30"/>
  <c r="D15" i="30"/>
  <c r="C15" i="30"/>
  <c r="H14" i="30"/>
  <c r="G14" i="30"/>
  <c r="F14" i="30"/>
  <c r="E14" i="30"/>
  <c r="D14" i="30"/>
  <c r="C14" i="30"/>
  <c r="H13" i="30"/>
  <c r="G13" i="30"/>
  <c r="F13" i="30"/>
  <c r="E13" i="30"/>
  <c r="D13" i="30"/>
  <c r="C13" i="30"/>
  <c r="H12" i="30"/>
  <c r="G12" i="30"/>
  <c r="F12" i="30"/>
  <c r="E12" i="30"/>
  <c r="D12" i="30"/>
  <c r="C12" i="30"/>
  <c r="H11" i="30"/>
  <c r="G11" i="30"/>
  <c r="F11" i="30"/>
  <c r="E11" i="30"/>
  <c r="D11" i="30"/>
  <c r="C11" i="30"/>
  <c r="H10" i="30"/>
  <c r="G10" i="30"/>
  <c r="F10" i="30"/>
  <c r="E10" i="30"/>
  <c r="D10" i="30"/>
  <c r="C10" i="30"/>
  <c r="H9" i="30"/>
  <c r="G9" i="30"/>
  <c r="F9" i="30"/>
  <c r="E9" i="30"/>
  <c r="D9" i="30"/>
  <c r="C9" i="30"/>
  <c r="H8" i="30"/>
  <c r="G8" i="30"/>
  <c r="F8" i="30"/>
  <c r="E8" i="30"/>
  <c r="D8" i="30"/>
  <c r="C8" i="30"/>
  <c r="H7" i="30"/>
  <c r="G7" i="30"/>
  <c r="F7" i="30"/>
  <c r="E7" i="30"/>
  <c r="D7" i="30"/>
  <c r="C7" i="30"/>
  <c r="H6" i="30"/>
  <c r="G6" i="30"/>
  <c r="F6" i="30"/>
  <c r="E6" i="30"/>
  <c r="D6" i="30"/>
  <c r="C13" i="10"/>
  <c r="M11" i="30" l="1"/>
  <c r="L11" i="30"/>
  <c r="K11" i="30"/>
  <c r="J11" i="30"/>
  <c r="I11" i="30"/>
  <c r="H49" i="31"/>
  <c r="G49" i="31"/>
  <c r="F49" i="31"/>
  <c r="E49" i="31"/>
  <c r="D49" i="31"/>
  <c r="H32" i="31"/>
  <c r="G32" i="31"/>
  <c r="F32" i="31"/>
  <c r="E32" i="31"/>
  <c r="D32" i="31"/>
  <c r="C32" i="31"/>
  <c r="H31" i="31"/>
  <c r="G31" i="31"/>
  <c r="F31" i="31"/>
  <c r="E31" i="31"/>
  <c r="D31" i="31"/>
  <c r="C31" i="31"/>
  <c r="H30" i="31"/>
  <c r="G30" i="31"/>
  <c r="F30" i="31"/>
  <c r="E30" i="31"/>
  <c r="D30" i="31"/>
  <c r="C30" i="31"/>
  <c r="H29" i="31"/>
  <c r="G29" i="31"/>
  <c r="F29" i="31"/>
  <c r="E29" i="31"/>
  <c r="D29" i="31"/>
  <c r="C29" i="31"/>
  <c r="H28" i="31"/>
  <c r="G28" i="31"/>
  <c r="F28" i="31"/>
  <c r="E28" i="31"/>
  <c r="D28" i="31"/>
  <c r="C28" i="31"/>
  <c r="H27" i="31"/>
  <c r="G27" i="31"/>
  <c r="F27" i="31"/>
  <c r="E27" i="31"/>
  <c r="D27" i="31"/>
  <c r="C27" i="31"/>
  <c r="H26" i="31"/>
  <c r="G26" i="31"/>
  <c r="F26" i="31"/>
  <c r="E26" i="31"/>
  <c r="D26" i="31"/>
  <c r="C26" i="31"/>
  <c r="H25" i="31"/>
  <c r="G25" i="31"/>
  <c r="F25" i="31"/>
  <c r="E25" i="31"/>
  <c r="D25" i="31"/>
  <c r="C25" i="31"/>
  <c r="H24" i="31"/>
  <c r="G24" i="31"/>
  <c r="F24" i="31"/>
  <c r="E24" i="31"/>
  <c r="D24" i="31"/>
  <c r="C24" i="31"/>
  <c r="H20" i="31"/>
  <c r="G20" i="31"/>
  <c r="F20" i="31"/>
  <c r="E20" i="31"/>
  <c r="D20" i="31"/>
  <c r="C20" i="31"/>
  <c r="H19" i="31"/>
  <c r="G19" i="31"/>
  <c r="F19" i="31"/>
  <c r="E19" i="31"/>
  <c r="D19" i="31"/>
  <c r="C19" i="31"/>
  <c r="H18" i="31"/>
  <c r="G18" i="31"/>
  <c r="F18" i="31"/>
  <c r="E18" i="31"/>
  <c r="D18" i="31"/>
  <c r="C18" i="31"/>
  <c r="H17" i="31"/>
  <c r="G17" i="31"/>
  <c r="F17" i="31"/>
  <c r="E17" i="31"/>
  <c r="D17" i="31"/>
  <c r="C17" i="31"/>
  <c r="H16" i="31"/>
  <c r="G16" i="31"/>
  <c r="F16" i="31"/>
  <c r="E16" i="31"/>
  <c r="D16" i="31"/>
  <c r="C16" i="31"/>
  <c r="H15" i="31"/>
  <c r="G15" i="31"/>
  <c r="F15" i="31"/>
  <c r="E15" i="31"/>
  <c r="D15" i="31"/>
  <c r="C15" i="31"/>
  <c r="H14" i="31"/>
  <c r="G14" i="31"/>
  <c r="F14" i="31"/>
  <c r="E14" i="31"/>
  <c r="D14" i="31"/>
  <c r="C14" i="31"/>
  <c r="H13" i="31"/>
  <c r="G13" i="31"/>
  <c r="F13" i="31"/>
  <c r="E13" i="31"/>
  <c r="D13" i="31"/>
  <c r="C13" i="31"/>
  <c r="H12" i="31"/>
  <c r="G12" i="31"/>
  <c r="F12" i="31"/>
  <c r="E12" i="31"/>
  <c r="D12" i="31"/>
  <c r="C12" i="31"/>
  <c r="H11" i="31"/>
  <c r="G11" i="31"/>
  <c r="F11" i="31"/>
  <c r="E11" i="31"/>
  <c r="D11" i="31"/>
  <c r="C11" i="31"/>
  <c r="H10" i="31"/>
  <c r="G10" i="31"/>
  <c r="F10" i="31"/>
  <c r="E10" i="31"/>
  <c r="D10" i="31"/>
  <c r="C10" i="31"/>
  <c r="H9" i="31"/>
  <c r="G9" i="31"/>
  <c r="F9" i="31"/>
  <c r="E9" i="31"/>
  <c r="D9" i="31"/>
  <c r="C9" i="31"/>
  <c r="H8" i="31"/>
  <c r="G8" i="31"/>
  <c r="F8" i="31"/>
  <c r="E8" i="31"/>
  <c r="D8" i="31"/>
  <c r="C8" i="31"/>
  <c r="H7" i="31"/>
  <c r="G7" i="31"/>
  <c r="F7" i="31"/>
  <c r="E7" i="31"/>
  <c r="D7" i="31"/>
  <c r="H6" i="31"/>
  <c r="G6" i="31"/>
  <c r="F6" i="31"/>
  <c r="E6" i="31"/>
  <c r="D6" i="31"/>
  <c r="M41" i="31" l="1"/>
  <c r="I41" i="31"/>
  <c r="J41" i="31"/>
  <c r="K41" i="31"/>
  <c r="L41" i="31"/>
  <c r="M27" i="34"/>
  <c r="L27" i="34"/>
  <c r="M26" i="34"/>
  <c r="L26" i="34"/>
  <c r="M25" i="34"/>
  <c r="L25" i="34"/>
  <c r="M24" i="34"/>
  <c r="L24" i="34"/>
  <c r="M23" i="34"/>
  <c r="L23" i="34"/>
  <c r="M22" i="34"/>
  <c r="L22" i="34"/>
  <c r="M21" i="34"/>
  <c r="L21" i="34"/>
  <c r="M20" i="34"/>
  <c r="L20" i="34"/>
  <c r="M19" i="34"/>
  <c r="L19" i="34"/>
  <c r="M17" i="34"/>
  <c r="L17" i="34"/>
  <c r="M16" i="34"/>
  <c r="L16" i="34"/>
  <c r="M15" i="34"/>
  <c r="L15" i="34"/>
  <c r="M13" i="34"/>
  <c r="L13" i="34"/>
  <c r="M12" i="34"/>
  <c r="L12" i="34"/>
  <c r="M11" i="34"/>
  <c r="L11" i="34"/>
  <c r="R49" i="31"/>
  <c r="Q49" i="31"/>
  <c r="N41" i="31" l="1"/>
  <c r="O41" i="31" s="1"/>
  <c r="M39" i="31"/>
  <c r="L39" i="31"/>
  <c r="K39" i="31"/>
  <c r="J39" i="31"/>
  <c r="I39" i="31"/>
  <c r="M42" i="31"/>
  <c r="L42" i="31"/>
  <c r="K42" i="31"/>
  <c r="J42" i="31"/>
  <c r="I42" i="31"/>
  <c r="I43" i="31"/>
  <c r="M43" i="31"/>
  <c r="L43" i="31"/>
  <c r="K43" i="31"/>
  <c r="J43" i="31"/>
  <c r="M44" i="31"/>
  <c r="L44" i="31"/>
  <c r="K44" i="31"/>
  <c r="J44" i="31"/>
  <c r="I44" i="31"/>
  <c r="M40" i="31"/>
  <c r="L40" i="31"/>
  <c r="K40" i="31"/>
  <c r="J40" i="31"/>
  <c r="I40" i="31"/>
  <c r="M45" i="31"/>
  <c r="L45" i="31"/>
  <c r="K45" i="31"/>
  <c r="J45" i="31"/>
  <c r="I45" i="31"/>
  <c r="M49" i="31"/>
  <c r="L49" i="31"/>
  <c r="K49" i="31"/>
  <c r="J49" i="31"/>
  <c r="I49" i="31"/>
  <c r="M50" i="31"/>
  <c r="L50" i="31"/>
  <c r="K50" i="31"/>
  <c r="J50" i="31"/>
  <c r="I50" i="31"/>
  <c r="K36" i="31"/>
  <c r="J36" i="31"/>
  <c r="I36" i="31"/>
  <c r="L36" i="31"/>
  <c r="M36" i="31"/>
  <c r="M37" i="31"/>
  <c r="L37" i="31"/>
  <c r="K37" i="31"/>
  <c r="J37" i="31"/>
  <c r="I37" i="31"/>
  <c r="M51" i="31"/>
  <c r="L51" i="31"/>
  <c r="K51" i="31"/>
  <c r="J51" i="31"/>
  <c r="I51" i="31"/>
  <c r="M38" i="31"/>
  <c r="L38" i="31"/>
  <c r="K38" i="31"/>
  <c r="J38" i="31"/>
  <c r="I38" i="31"/>
  <c r="L14" i="34"/>
  <c r="L18" i="34"/>
  <c r="L11" i="53"/>
  <c r="M63" i="18"/>
  <c r="L63" i="18"/>
  <c r="M62" i="18"/>
  <c r="L62" i="18"/>
  <c r="M61" i="18"/>
  <c r="L61" i="18"/>
  <c r="M60" i="18"/>
  <c r="L60" i="18"/>
  <c r="M59" i="18"/>
  <c r="L59" i="18"/>
  <c r="M56" i="18"/>
  <c r="L56" i="18"/>
  <c r="M55" i="18"/>
  <c r="L55" i="18"/>
  <c r="M54" i="18"/>
  <c r="L54" i="18"/>
  <c r="M51" i="18"/>
  <c r="L51" i="18"/>
  <c r="C63" i="18"/>
  <c r="C62" i="18"/>
  <c r="C61" i="18"/>
  <c r="C60" i="18"/>
  <c r="C59" i="18"/>
  <c r="C56" i="18"/>
  <c r="C55" i="18"/>
  <c r="C54" i="18"/>
  <c r="C51" i="18"/>
  <c r="M45" i="18"/>
  <c r="L45" i="18"/>
  <c r="M44" i="18"/>
  <c r="L44" i="18"/>
  <c r="M43" i="18"/>
  <c r="L43" i="18"/>
  <c r="M42" i="18"/>
  <c r="L42" i="18"/>
  <c r="M39" i="18"/>
  <c r="L39" i="18"/>
  <c r="M38" i="18"/>
  <c r="L38" i="18"/>
  <c r="M35" i="18"/>
  <c r="L35" i="18"/>
  <c r="M34" i="18"/>
  <c r="L34" i="18"/>
  <c r="M33" i="18"/>
  <c r="L33" i="18"/>
  <c r="L32" i="18"/>
  <c r="M32" i="18"/>
  <c r="M21" i="18"/>
  <c r="L21" i="18"/>
  <c r="M18" i="18"/>
  <c r="L18" i="18"/>
  <c r="M17" i="18"/>
  <c r="L17" i="18"/>
  <c r="L8" i="18"/>
  <c r="C52" i="18" l="1"/>
  <c r="C180" i="48"/>
  <c r="M40" i="10"/>
  <c r="L40" i="10"/>
  <c r="M36" i="10"/>
  <c r="L36" i="10"/>
  <c r="M32" i="10"/>
  <c r="L32" i="10"/>
  <c r="M30" i="10"/>
  <c r="L30" i="10"/>
  <c r="M28" i="10"/>
  <c r="L28" i="10"/>
  <c r="M27" i="10"/>
  <c r="L27" i="10"/>
  <c r="C42" i="10"/>
  <c r="C41" i="10"/>
  <c r="C40" i="10"/>
  <c r="C22" i="10"/>
  <c r="M22" i="10"/>
  <c r="L22" i="10"/>
  <c r="C53" i="26" l="1"/>
  <c r="C52" i="26"/>
  <c r="C51" i="26"/>
  <c r="C47" i="26"/>
  <c r="C46" i="26"/>
  <c r="C45" i="26"/>
  <c r="C41" i="26"/>
  <c r="C40" i="26"/>
  <c r="C39" i="26"/>
  <c r="C35" i="26"/>
  <c r="C34" i="26"/>
  <c r="C33" i="26"/>
  <c r="C27" i="26"/>
  <c r="C26" i="26"/>
  <c r="C25" i="26"/>
  <c r="C21" i="26"/>
  <c r="C20" i="26"/>
  <c r="C19" i="26"/>
  <c r="C15" i="26"/>
  <c r="C14" i="26"/>
  <c r="C13" i="26"/>
  <c r="C9" i="26"/>
  <c r="C8" i="26"/>
  <c r="M53" i="26"/>
  <c r="L53" i="26"/>
  <c r="M52" i="26"/>
  <c r="L52" i="26"/>
  <c r="M51" i="26"/>
  <c r="L51" i="26"/>
  <c r="M47" i="26"/>
  <c r="L47" i="26"/>
  <c r="M46" i="26"/>
  <c r="L46" i="26"/>
  <c r="M45" i="26"/>
  <c r="L45" i="26"/>
  <c r="M41" i="26"/>
  <c r="L41" i="26"/>
  <c r="M40" i="26"/>
  <c r="L40" i="26"/>
  <c r="M39" i="26"/>
  <c r="L39" i="26"/>
  <c r="M35" i="26"/>
  <c r="L35" i="26"/>
  <c r="M34" i="26"/>
  <c r="L34" i="26"/>
  <c r="M33" i="26"/>
  <c r="L33" i="26"/>
  <c r="M27" i="26"/>
  <c r="L27" i="26"/>
  <c r="M26" i="26"/>
  <c r="L26" i="26"/>
  <c r="M25" i="26"/>
  <c r="L25" i="26"/>
  <c r="M21" i="26"/>
  <c r="L21" i="26"/>
  <c r="M20" i="26"/>
  <c r="L20" i="26"/>
  <c r="M19" i="26"/>
  <c r="L19" i="26"/>
  <c r="M15" i="26"/>
  <c r="L15" i="26"/>
  <c r="M14" i="26"/>
  <c r="L14" i="26"/>
  <c r="M13" i="26"/>
  <c r="L13" i="26"/>
  <c r="M9" i="26"/>
  <c r="L9" i="26"/>
  <c r="M8" i="26"/>
  <c r="L8" i="26"/>
  <c r="M7" i="26"/>
  <c r="L7" i="26"/>
  <c r="C7" i="26"/>
  <c r="C36" i="26" l="1"/>
  <c r="I36" i="26"/>
  <c r="C16" i="26"/>
  <c r="C42" i="26"/>
  <c r="C22" i="26"/>
  <c r="C28" i="26"/>
  <c r="C48" i="26"/>
  <c r="C54" i="26"/>
  <c r="C10" i="26"/>
  <c r="C151" i="17"/>
  <c r="C148" i="17"/>
  <c r="E174" i="17"/>
  <c r="F174" i="17"/>
  <c r="G174" i="17"/>
  <c r="H174" i="17"/>
  <c r="C56" i="17"/>
  <c r="K56" i="17" s="1"/>
  <c r="C55" i="17"/>
  <c r="K55" i="17" s="1"/>
  <c r="C54" i="17"/>
  <c r="K54" i="17" s="1"/>
  <c r="C53" i="17"/>
  <c r="K53" i="17" s="1"/>
  <c r="C52" i="17"/>
  <c r="K52" i="17" s="1"/>
  <c r="C51" i="17"/>
  <c r="K51" i="17" s="1"/>
  <c r="C50" i="17"/>
  <c r="K50" i="17" s="1"/>
  <c r="C49" i="17"/>
  <c r="K49" i="17" s="1"/>
  <c r="C48" i="17"/>
  <c r="K48" i="17" s="1"/>
  <c r="C47" i="17"/>
  <c r="K47" i="17" s="1"/>
  <c r="C46" i="17"/>
  <c r="K46" i="17" s="1"/>
  <c r="C45" i="17"/>
  <c r="K45" i="17" s="1"/>
  <c r="C44" i="17"/>
  <c r="K44" i="17" s="1"/>
  <c r="C43" i="17"/>
  <c r="K43" i="17" s="1"/>
  <c r="C42" i="17"/>
  <c r="K42" i="17" s="1"/>
  <c r="C41" i="17"/>
  <c r="K41" i="17" s="1"/>
  <c r="C40" i="17"/>
  <c r="K40" i="17" s="1"/>
  <c r="C39" i="17"/>
  <c r="K39" i="17" s="1"/>
  <c r="M56" i="17"/>
  <c r="L56" i="17"/>
  <c r="M55" i="17"/>
  <c r="L55" i="17"/>
  <c r="M54" i="17"/>
  <c r="L54" i="17"/>
  <c r="M53" i="17"/>
  <c r="L53" i="17"/>
  <c r="M52" i="17"/>
  <c r="L52" i="17"/>
  <c r="M51" i="17"/>
  <c r="L51" i="17"/>
  <c r="M50" i="17"/>
  <c r="L50" i="17"/>
  <c r="M49" i="17"/>
  <c r="L49" i="17"/>
  <c r="M48" i="17"/>
  <c r="L48" i="17"/>
  <c r="M47" i="17"/>
  <c r="L47" i="17"/>
  <c r="M46" i="17"/>
  <c r="L46" i="17"/>
  <c r="M45" i="17"/>
  <c r="L45" i="17"/>
  <c r="M44" i="17"/>
  <c r="L44" i="17"/>
  <c r="M43" i="17"/>
  <c r="L43" i="17"/>
  <c r="M42" i="17"/>
  <c r="L42" i="17"/>
  <c r="M41" i="17"/>
  <c r="L41" i="17"/>
  <c r="M40" i="17"/>
  <c r="L40" i="17"/>
  <c r="M39" i="17"/>
  <c r="L39" i="17"/>
  <c r="L38" i="17"/>
  <c r="M38" i="17"/>
  <c r="C38" i="17"/>
  <c r="M31" i="17"/>
  <c r="L31" i="17"/>
  <c r="M25" i="17"/>
  <c r="L25" i="17"/>
  <c r="M19" i="17"/>
  <c r="L19" i="17"/>
  <c r="M14" i="17"/>
  <c r="L14" i="17"/>
  <c r="M13" i="17"/>
  <c r="L13" i="17"/>
  <c r="M153" i="17"/>
  <c r="L153" i="17"/>
  <c r="M152" i="17"/>
  <c r="L152" i="17"/>
  <c r="M151" i="17"/>
  <c r="L151" i="17"/>
  <c r="M150" i="17"/>
  <c r="L150" i="17"/>
  <c r="M149" i="17"/>
  <c r="L149" i="17"/>
  <c r="M148" i="17"/>
  <c r="L148" i="17"/>
  <c r="M116" i="17"/>
  <c r="L116" i="17"/>
  <c r="M115" i="17"/>
  <c r="L115" i="17"/>
  <c r="M114" i="17"/>
  <c r="L114" i="17"/>
  <c r="M110" i="17"/>
  <c r="L110" i="17"/>
  <c r="M109" i="17"/>
  <c r="L109" i="17"/>
  <c r="M105" i="17"/>
  <c r="L105" i="17"/>
  <c r="M104" i="17"/>
  <c r="L104" i="17"/>
  <c r="M99" i="17"/>
  <c r="L99" i="17"/>
  <c r="M98" i="17"/>
  <c r="L98" i="17"/>
  <c r="M97" i="17"/>
  <c r="L97" i="17"/>
  <c r="M84" i="17"/>
  <c r="L84" i="17"/>
  <c r="M82" i="17"/>
  <c r="L82" i="17"/>
  <c r="M81" i="17"/>
  <c r="L81" i="17"/>
  <c r="M80" i="17"/>
  <c r="L80" i="17"/>
  <c r="M79" i="17"/>
  <c r="L79" i="17"/>
  <c r="M78" i="17"/>
  <c r="L78" i="17"/>
  <c r="M77" i="17"/>
  <c r="L77" i="17"/>
  <c r="M76" i="17"/>
  <c r="L76" i="17"/>
  <c r="M75" i="17"/>
  <c r="L75" i="17"/>
  <c r="M74" i="17"/>
  <c r="L74" i="17"/>
  <c r="M73" i="17"/>
  <c r="L73" i="17"/>
  <c r="M72" i="17"/>
  <c r="L72" i="17"/>
  <c r="C153" i="17"/>
  <c r="C152" i="17"/>
  <c r="C150" i="17"/>
  <c r="C149" i="17"/>
  <c r="C116" i="17"/>
  <c r="C115" i="17"/>
  <c r="C114" i="17"/>
  <c r="C110" i="17"/>
  <c r="C109" i="17"/>
  <c r="C105" i="17"/>
  <c r="C104" i="17"/>
  <c r="C99" i="17"/>
  <c r="C98" i="17"/>
  <c r="C97" i="17"/>
  <c r="C84" i="17"/>
  <c r="C82" i="17"/>
  <c r="C81" i="17"/>
  <c r="C80" i="17"/>
  <c r="C79" i="17"/>
  <c r="C78" i="17"/>
  <c r="C77" i="17"/>
  <c r="C76" i="17"/>
  <c r="C75" i="17"/>
  <c r="C74" i="17"/>
  <c r="C73" i="17"/>
  <c r="C72" i="17"/>
  <c r="M71" i="17"/>
  <c r="L71" i="17"/>
  <c r="C71" i="17"/>
  <c r="C31" i="17"/>
  <c r="C19" i="17"/>
  <c r="C13" i="17"/>
  <c r="M9" i="17"/>
  <c r="L9" i="17"/>
  <c r="M8" i="17"/>
  <c r="L8" i="17"/>
  <c r="K8" i="17" l="1"/>
  <c r="C56" i="26"/>
  <c r="C30" i="26"/>
  <c r="M174" i="17"/>
  <c r="L174" i="17"/>
  <c r="D174" i="17"/>
  <c r="I174" i="17"/>
  <c r="I35" i="10" s="1"/>
  <c r="C174" i="17"/>
  <c r="C67" i="17"/>
  <c r="C45" i="27"/>
  <c r="C44" i="27"/>
  <c r="C43" i="27"/>
  <c r="C42" i="27"/>
  <c r="C41" i="27"/>
  <c r="C40" i="27"/>
  <c r="C39" i="27"/>
  <c r="C38" i="27"/>
  <c r="C37" i="27"/>
  <c r="C36" i="27"/>
  <c r="C35" i="27"/>
  <c r="C34" i="27"/>
  <c r="C29" i="27"/>
  <c r="C28" i="27"/>
  <c r="C27" i="27"/>
  <c r="C26" i="27"/>
  <c r="C25" i="27"/>
  <c r="C24" i="27"/>
  <c r="C23" i="27"/>
  <c r="C22" i="27"/>
  <c r="C21" i="27"/>
  <c r="C20" i="27"/>
  <c r="C19" i="27"/>
  <c r="C18" i="27"/>
  <c r="C13" i="27"/>
  <c r="C12" i="27"/>
  <c r="C11" i="27"/>
  <c r="C10" i="27"/>
  <c r="C9" i="27"/>
  <c r="C8" i="27"/>
  <c r="C7" i="27"/>
  <c r="R32" i="31"/>
  <c r="Q32" i="31"/>
  <c r="R31" i="31"/>
  <c r="Q31" i="31"/>
  <c r="R30" i="31"/>
  <c r="Q30" i="31"/>
  <c r="R29" i="31"/>
  <c r="Q29" i="31"/>
  <c r="R28" i="31"/>
  <c r="Q28" i="31"/>
  <c r="R27" i="31"/>
  <c r="Q27" i="31"/>
  <c r="R26" i="31"/>
  <c r="Q26" i="31"/>
  <c r="R25" i="31"/>
  <c r="Q25" i="31"/>
  <c r="R24" i="31"/>
  <c r="Q24" i="31"/>
  <c r="R20" i="31"/>
  <c r="Q20" i="31"/>
  <c r="R19" i="31"/>
  <c r="Q19" i="31"/>
  <c r="R18" i="31"/>
  <c r="Q18" i="31"/>
  <c r="R17" i="31"/>
  <c r="Q17" i="31"/>
  <c r="R16" i="31"/>
  <c r="Q16" i="31"/>
  <c r="R15" i="31"/>
  <c r="Q15" i="31"/>
  <c r="R14" i="31"/>
  <c r="Q14" i="31"/>
  <c r="R13" i="31"/>
  <c r="Q13" i="31"/>
  <c r="R12" i="31"/>
  <c r="Q12" i="31"/>
  <c r="R11" i="31"/>
  <c r="Q11" i="31"/>
  <c r="R10" i="31"/>
  <c r="Q10" i="31"/>
  <c r="R9" i="31"/>
  <c r="Q9" i="31"/>
  <c r="R8" i="31"/>
  <c r="Q8" i="31"/>
  <c r="R7" i="31"/>
  <c r="Q7" i="31"/>
  <c r="R6" i="31"/>
  <c r="Q6" i="31"/>
  <c r="I6" i="31"/>
  <c r="M35" i="13"/>
  <c r="L35" i="13"/>
  <c r="M26" i="13"/>
  <c r="L26" i="13"/>
  <c r="M25" i="13"/>
  <c r="L25" i="13"/>
  <c r="M14" i="13"/>
  <c r="L14" i="13"/>
  <c r="M13" i="13"/>
  <c r="L13" i="13"/>
  <c r="M12" i="13"/>
  <c r="L12" i="13"/>
  <c r="M11" i="13"/>
  <c r="L11" i="13"/>
  <c r="M10" i="13"/>
  <c r="L10" i="13"/>
  <c r="M9" i="13"/>
  <c r="L9" i="13"/>
  <c r="C35" i="13"/>
  <c r="C26" i="13"/>
  <c r="C25" i="13"/>
  <c r="C14" i="13"/>
  <c r="C12" i="13"/>
  <c r="C11" i="13"/>
  <c r="C9" i="13"/>
  <c r="M8" i="13"/>
  <c r="L8" i="13"/>
  <c r="C8" i="13"/>
  <c r="M33" i="12"/>
  <c r="L33" i="12"/>
  <c r="M31" i="12"/>
  <c r="L31" i="12"/>
  <c r="M25" i="12"/>
  <c r="L25" i="12"/>
  <c r="M24" i="12"/>
  <c r="L24" i="12"/>
  <c r="M23" i="12"/>
  <c r="L23" i="12"/>
  <c r="M20" i="12"/>
  <c r="L20" i="12"/>
  <c r="M19" i="12"/>
  <c r="L19" i="12"/>
  <c r="M18" i="12"/>
  <c r="L18" i="12"/>
  <c r="M17" i="12"/>
  <c r="L17" i="12"/>
  <c r="M13" i="12"/>
  <c r="L13" i="12"/>
  <c r="M12" i="12"/>
  <c r="L12" i="12"/>
  <c r="M11" i="12"/>
  <c r="L11" i="12"/>
  <c r="C31" i="12"/>
  <c r="C33" i="12"/>
  <c r="C25" i="12"/>
  <c r="C24" i="12"/>
  <c r="C23" i="12"/>
  <c r="C20" i="12"/>
  <c r="C19" i="12"/>
  <c r="C18" i="12"/>
  <c r="C17" i="12"/>
  <c r="C13" i="12"/>
  <c r="C12" i="12"/>
  <c r="C11" i="12"/>
  <c r="M8" i="12"/>
  <c r="L8" i="12"/>
  <c r="C8" i="12"/>
  <c r="C334" i="48"/>
  <c r="C187" i="48"/>
  <c r="C186" i="48"/>
  <c r="C185" i="48"/>
  <c r="C184" i="48"/>
  <c r="C183" i="48"/>
  <c r="C182" i="48"/>
  <c r="C181" i="48"/>
  <c r="C179" i="48"/>
  <c r="C178" i="48"/>
  <c r="M75" i="11"/>
  <c r="L75" i="11"/>
  <c r="M74" i="11"/>
  <c r="L74" i="11"/>
  <c r="M71" i="11"/>
  <c r="L71" i="11"/>
  <c r="M70" i="11"/>
  <c r="L70" i="11"/>
  <c r="M69" i="11"/>
  <c r="L69" i="11"/>
  <c r="C75" i="11"/>
  <c r="C74" i="11"/>
  <c r="C71" i="11"/>
  <c r="C70" i="11"/>
  <c r="C69" i="11"/>
  <c r="M68" i="11"/>
  <c r="L68" i="11"/>
  <c r="M64" i="11"/>
  <c r="L64" i="11"/>
  <c r="M63" i="11"/>
  <c r="L63" i="11"/>
  <c r="M62" i="11"/>
  <c r="L62" i="11"/>
  <c r="M61" i="11"/>
  <c r="L61" i="11"/>
  <c r="M60" i="11"/>
  <c r="L60" i="11"/>
  <c r="M58" i="11"/>
  <c r="L58" i="11"/>
  <c r="M57" i="11"/>
  <c r="L57" i="11"/>
  <c r="M56" i="11"/>
  <c r="L56" i="11"/>
  <c r="M54" i="11"/>
  <c r="L54" i="11"/>
  <c r="M53" i="11"/>
  <c r="L53" i="11"/>
  <c r="M52" i="11"/>
  <c r="L52" i="11"/>
  <c r="M51" i="11"/>
  <c r="L51" i="11"/>
  <c r="M50" i="11"/>
  <c r="L50" i="11"/>
  <c r="M48" i="11"/>
  <c r="L48" i="11"/>
  <c r="M47" i="11"/>
  <c r="L47" i="11"/>
  <c r="M46" i="11"/>
  <c r="L46" i="11"/>
  <c r="C64" i="11"/>
  <c r="C63" i="11"/>
  <c r="C62" i="11"/>
  <c r="C61" i="11"/>
  <c r="C60" i="11"/>
  <c r="C58" i="11"/>
  <c r="C57" i="11"/>
  <c r="C56" i="11"/>
  <c r="C54" i="11"/>
  <c r="C53" i="11"/>
  <c r="C52" i="11"/>
  <c r="C51" i="11"/>
  <c r="C50" i="11"/>
  <c r="C48" i="11"/>
  <c r="C47" i="11"/>
  <c r="E49" i="11"/>
  <c r="F49" i="11"/>
  <c r="G49" i="11"/>
  <c r="H49" i="11"/>
  <c r="C46" i="11"/>
  <c r="C339" i="47"/>
  <c r="C338" i="47"/>
  <c r="C337" i="47"/>
  <c r="C336" i="47"/>
  <c r="C335" i="47"/>
  <c r="C334" i="47"/>
  <c r="C333" i="47"/>
  <c r="C332" i="47"/>
  <c r="C331" i="47"/>
  <c r="C328" i="47"/>
  <c r="C327" i="47"/>
  <c r="C326" i="47"/>
  <c r="C325" i="47"/>
  <c r="C324" i="47"/>
  <c r="C323" i="47"/>
  <c r="C322" i="47"/>
  <c r="C321" i="47"/>
  <c r="C320" i="47"/>
  <c r="C319" i="47"/>
  <c r="C317" i="47"/>
  <c r="C316" i="47"/>
  <c r="C315" i="47"/>
  <c r="C314" i="47"/>
  <c r="C313" i="47"/>
  <c r="C312" i="47"/>
  <c r="C311" i="47"/>
  <c r="C310" i="47"/>
  <c r="C309" i="47"/>
  <c r="C308" i="47"/>
  <c r="C306" i="47"/>
  <c r="C305" i="47"/>
  <c r="C304" i="47"/>
  <c r="C303" i="47"/>
  <c r="C302" i="47"/>
  <c r="C301" i="47"/>
  <c r="C300" i="47"/>
  <c r="C299" i="47"/>
  <c r="C298" i="47"/>
  <c r="C297" i="47"/>
  <c r="C295" i="47"/>
  <c r="C294" i="47"/>
  <c r="C293" i="47"/>
  <c r="C292" i="47"/>
  <c r="C291" i="47"/>
  <c r="C290" i="47"/>
  <c r="C289" i="47"/>
  <c r="C288" i="47"/>
  <c r="C287" i="47"/>
  <c r="C286" i="47"/>
  <c r="C284" i="47"/>
  <c r="C283" i="47"/>
  <c r="C282" i="47"/>
  <c r="C281" i="47"/>
  <c r="C280" i="47"/>
  <c r="C279" i="47"/>
  <c r="C278" i="47"/>
  <c r="C277" i="47"/>
  <c r="C276" i="47"/>
  <c r="C275" i="47"/>
  <c r="C273" i="47"/>
  <c r="C272" i="47"/>
  <c r="C271" i="47"/>
  <c r="C270" i="47"/>
  <c r="C269" i="47"/>
  <c r="C268" i="47"/>
  <c r="C267" i="47"/>
  <c r="C266" i="47"/>
  <c r="C265" i="47"/>
  <c r="C264" i="47"/>
  <c r="C262" i="47"/>
  <c r="C261" i="47"/>
  <c r="C260" i="47"/>
  <c r="C259" i="47"/>
  <c r="C258" i="47"/>
  <c r="C257" i="47"/>
  <c r="C256" i="47"/>
  <c r="C255" i="47"/>
  <c r="C254" i="47"/>
  <c r="C253" i="47"/>
  <c r="C251" i="47"/>
  <c r="C250" i="47"/>
  <c r="C249" i="47"/>
  <c r="C248" i="47"/>
  <c r="C247" i="47"/>
  <c r="C246" i="47"/>
  <c r="C245" i="47"/>
  <c r="C244" i="47"/>
  <c r="C243" i="47"/>
  <c r="C242" i="47"/>
  <c r="C240" i="47"/>
  <c r="C239" i="47"/>
  <c r="C238" i="47"/>
  <c r="C237" i="47"/>
  <c r="C236" i="47"/>
  <c r="C235" i="47"/>
  <c r="C234" i="47"/>
  <c r="C233" i="47"/>
  <c r="C232" i="47"/>
  <c r="C231" i="47"/>
  <c r="C229" i="47"/>
  <c r="C228" i="47"/>
  <c r="C227" i="47"/>
  <c r="C226" i="47"/>
  <c r="C225" i="47"/>
  <c r="C224" i="47"/>
  <c r="C223" i="47"/>
  <c r="C222" i="47"/>
  <c r="C221" i="47"/>
  <c r="C220" i="47"/>
  <c r="C218" i="47"/>
  <c r="C217" i="47"/>
  <c r="C216" i="47"/>
  <c r="C215" i="47"/>
  <c r="C214" i="47"/>
  <c r="C213" i="47"/>
  <c r="C212" i="47"/>
  <c r="C211" i="47"/>
  <c r="C210" i="47"/>
  <c r="C209" i="47"/>
  <c r="C207" i="47"/>
  <c r="C206" i="47"/>
  <c r="C205" i="47"/>
  <c r="C204" i="47"/>
  <c r="C203" i="47"/>
  <c r="C202" i="47"/>
  <c r="C201" i="47"/>
  <c r="C200" i="47"/>
  <c r="C199" i="47"/>
  <c r="C198" i="47"/>
  <c r="C196" i="47"/>
  <c r="C195" i="47"/>
  <c r="C194" i="47"/>
  <c r="C193" i="47"/>
  <c r="C192" i="47"/>
  <c r="C191" i="47"/>
  <c r="C190" i="47"/>
  <c r="C189" i="47"/>
  <c r="C188" i="47"/>
  <c r="C187" i="47"/>
  <c r="C185" i="47"/>
  <c r="C184" i="47"/>
  <c r="C183" i="47"/>
  <c r="C182" i="47"/>
  <c r="C181" i="47"/>
  <c r="C180" i="47"/>
  <c r="C179" i="47"/>
  <c r="C178" i="47"/>
  <c r="C177" i="47"/>
  <c r="C176" i="47"/>
  <c r="C171" i="47"/>
  <c r="C170" i="47"/>
  <c r="C169" i="47"/>
  <c r="C168" i="47"/>
  <c r="C167" i="47"/>
  <c r="C166" i="47"/>
  <c r="C165" i="47"/>
  <c r="C164" i="47"/>
  <c r="C163" i="47"/>
  <c r="C162" i="47"/>
  <c r="C160" i="47"/>
  <c r="C159" i="47"/>
  <c r="C158" i="47"/>
  <c r="C157" i="47"/>
  <c r="C156" i="47"/>
  <c r="C155" i="47"/>
  <c r="C154" i="47"/>
  <c r="C153" i="47"/>
  <c r="C152" i="47"/>
  <c r="C151" i="47"/>
  <c r="C149" i="47"/>
  <c r="C148" i="47"/>
  <c r="C147" i="47"/>
  <c r="C146" i="47"/>
  <c r="C145" i="47"/>
  <c r="C144" i="47"/>
  <c r="C143" i="47"/>
  <c r="C142" i="47"/>
  <c r="C141" i="47"/>
  <c r="C140" i="47"/>
  <c r="C138" i="47"/>
  <c r="C137" i="47"/>
  <c r="C136" i="47"/>
  <c r="C135" i="47"/>
  <c r="C134" i="47"/>
  <c r="C133" i="47"/>
  <c r="C132" i="47"/>
  <c r="C131" i="47"/>
  <c r="C130" i="47"/>
  <c r="C129" i="47"/>
  <c r="C127" i="47"/>
  <c r="C126" i="47"/>
  <c r="C125" i="47"/>
  <c r="C124" i="47"/>
  <c r="C123" i="47"/>
  <c r="C122" i="47"/>
  <c r="C121" i="47"/>
  <c r="C120" i="47"/>
  <c r="C119" i="47"/>
  <c r="C118" i="47"/>
  <c r="C116" i="47"/>
  <c r="C115" i="47"/>
  <c r="C114" i="47"/>
  <c r="C113" i="47"/>
  <c r="C112" i="47"/>
  <c r="C111" i="47"/>
  <c r="C110" i="47"/>
  <c r="C109" i="47"/>
  <c r="C108" i="47"/>
  <c r="C107" i="47"/>
  <c r="C105" i="47"/>
  <c r="C104" i="47"/>
  <c r="C103" i="47"/>
  <c r="C102" i="47"/>
  <c r="C101" i="47"/>
  <c r="C100" i="47"/>
  <c r="C99" i="47"/>
  <c r="C98" i="47"/>
  <c r="C97" i="47"/>
  <c r="C96" i="47"/>
  <c r="C94" i="47"/>
  <c r="C93" i="47"/>
  <c r="C92" i="47"/>
  <c r="C91" i="47"/>
  <c r="C90" i="47"/>
  <c r="C89" i="47"/>
  <c r="C88" i="47"/>
  <c r="C87" i="47"/>
  <c r="C86" i="47"/>
  <c r="C85" i="47"/>
  <c r="C83" i="47"/>
  <c r="C82" i="47"/>
  <c r="C81" i="47"/>
  <c r="C80" i="47"/>
  <c r="C79" i="47"/>
  <c r="C78" i="47"/>
  <c r="C77" i="47"/>
  <c r="C76" i="47"/>
  <c r="C75" i="47"/>
  <c r="C74" i="47"/>
  <c r="C72" i="47"/>
  <c r="C71" i="47"/>
  <c r="C70" i="47"/>
  <c r="C69" i="47"/>
  <c r="C68" i="47"/>
  <c r="C67" i="47"/>
  <c r="C66" i="47"/>
  <c r="C65" i="47"/>
  <c r="C64" i="47"/>
  <c r="C63" i="47"/>
  <c r="C53" i="47"/>
  <c r="C52" i="47"/>
  <c r="C50" i="47"/>
  <c r="C49" i="47"/>
  <c r="C48" i="47"/>
  <c r="C47" i="47"/>
  <c r="C46" i="47"/>
  <c r="C45" i="47"/>
  <c r="C44" i="47"/>
  <c r="C43" i="47"/>
  <c r="C42" i="47"/>
  <c r="C41" i="47"/>
  <c r="C39" i="47"/>
  <c r="C38" i="47"/>
  <c r="C37" i="47"/>
  <c r="C36" i="47"/>
  <c r="C35" i="47"/>
  <c r="C34" i="47"/>
  <c r="C33" i="47"/>
  <c r="C32" i="47"/>
  <c r="C31" i="47"/>
  <c r="C30" i="47"/>
  <c r="C28" i="47"/>
  <c r="C27" i="47"/>
  <c r="C26" i="47"/>
  <c r="C25" i="47"/>
  <c r="C24" i="47"/>
  <c r="C23" i="47"/>
  <c r="C22" i="47"/>
  <c r="C21" i="47"/>
  <c r="C20" i="47"/>
  <c r="C19" i="47"/>
  <c r="L331" i="47"/>
  <c r="A2" i="51"/>
  <c r="F3" i="51"/>
  <c r="M24" i="31" l="1"/>
  <c r="L24" i="31"/>
  <c r="K24" i="31"/>
  <c r="J24" i="31"/>
  <c r="I24" i="31"/>
  <c r="J11" i="31"/>
  <c r="I11" i="31"/>
  <c r="K11" i="31"/>
  <c r="M11" i="31"/>
  <c r="L11" i="31"/>
  <c r="M25" i="31"/>
  <c r="L25" i="31"/>
  <c r="K25" i="31"/>
  <c r="J25" i="31"/>
  <c r="I25" i="31"/>
  <c r="M12" i="31"/>
  <c r="L12" i="31"/>
  <c r="K12" i="31"/>
  <c r="J12" i="31"/>
  <c r="I12" i="31"/>
  <c r="M26" i="31"/>
  <c r="L26" i="31"/>
  <c r="K26" i="31"/>
  <c r="J26" i="31"/>
  <c r="I26" i="31"/>
  <c r="M13" i="31"/>
  <c r="L13" i="31"/>
  <c r="K13" i="31"/>
  <c r="J13" i="31"/>
  <c r="I13" i="31"/>
  <c r="I27" i="31"/>
  <c r="J27" i="31"/>
  <c r="M27" i="31"/>
  <c r="L27" i="31"/>
  <c r="K27" i="31"/>
  <c r="M14" i="31"/>
  <c r="L14" i="31"/>
  <c r="K14" i="31"/>
  <c r="J14" i="31"/>
  <c r="I14" i="31"/>
  <c r="M28" i="31"/>
  <c r="L28" i="31"/>
  <c r="K28" i="31"/>
  <c r="J28" i="31"/>
  <c r="I28" i="31"/>
  <c r="M15" i="31"/>
  <c r="L15" i="31"/>
  <c r="K15" i="31"/>
  <c r="J15" i="31"/>
  <c r="I15" i="31"/>
  <c r="M29" i="31"/>
  <c r="L29" i="31"/>
  <c r="K29" i="31"/>
  <c r="J29" i="31"/>
  <c r="I29" i="31"/>
  <c r="M16" i="31"/>
  <c r="L16" i="31"/>
  <c r="K16" i="31"/>
  <c r="J16" i="31"/>
  <c r="I16" i="31"/>
  <c r="M30" i="31"/>
  <c r="L30" i="31"/>
  <c r="K30" i="31"/>
  <c r="J30" i="31"/>
  <c r="I30" i="31"/>
  <c r="M6" i="31"/>
  <c r="L6" i="31"/>
  <c r="K6" i="31"/>
  <c r="J6" i="31"/>
  <c r="L17" i="31"/>
  <c r="K17" i="31"/>
  <c r="J17" i="31"/>
  <c r="I17" i="31"/>
  <c r="M17" i="31"/>
  <c r="M31" i="31"/>
  <c r="L31" i="31"/>
  <c r="K31" i="31"/>
  <c r="J31" i="31"/>
  <c r="I31" i="31"/>
  <c r="M7" i="31"/>
  <c r="L7" i="31"/>
  <c r="K7" i="31"/>
  <c r="J7" i="31"/>
  <c r="I7" i="31"/>
  <c r="M18" i="31"/>
  <c r="L18" i="31"/>
  <c r="K18" i="31"/>
  <c r="J18" i="31"/>
  <c r="I18" i="31"/>
  <c r="M32" i="31"/>
  <c r="L32" i="31"/>
  <c r="K32" i="31"/>
  <c r="J32" i="31"/>
  <c r="I32" i="31"/>
  <c r="M8" i="31"/>
  <c r="L8" i="31"/>
  <c r="K8" i="31"/>
  <c r="J8" i="31"/>
  <c r="I8" i="31"/>
  <c r="M19" i="31"/>
  <c r="L19" i="31"/>
  <c r="K19" i="31"/>
  <c r="J19" i="31"/>
  <c r="I19" i="31"/>
  <c r="M9" i="31"/>
  <c r="L9" i="31"/>
  <c r="K9" i="31"/>
  <c r="J9" i="31"/>
  <c r="I9" i="31"/>
  <c r="M20" i="31"/>
  <c r="L20" i="31"/>
  <c r="K20" i="31"/>
  <c r="J20" i="31"/>
  <c r="I20" i="31"/>
  <c r="M10" i="31"/>
  <c r="L10" i="31"/>
  <c r="K10" i="31"/>
  <c r="J10" i="31"/>
  <c r="I10" i="31"/>
  <c r="C57" i="26"/>
  <c r="M59" i="11"/>
  <c r="L59" i="11"/>
  <c r="C49" i="11"/>
  <c r="D49" i="11"/>
  <c r="I49" i="11"/>
  <c r="C9" i="18"/>
  <c r="E10" i="18"/>
  <c r="F10" i="18"/>
  <c r="G10" i="18"/>
  <c r="H10" i="18"/>
  <c r="M9" i="18"/>
  <c r="L9" i="18"/>
  <c r="M8" i="18"/>
  <c r="A7" i="18"/>
  <c r="A10" i="18" s="1"/>
  <c r="A12" i="18"/>
  <c r="M166" i="15"/>
  <c r="L166" i="15"/>
  <c r="M165" i="15"/>
  <c r="L165" i="15"/>
  <c r="M164" i="15"/>
  <c r="L164" i="15"/>
  <c r="M163" i="15"/>
  <c r="L163" i="15"/>
  <c r="M162" i="15"/>
  <c r="L162" i="15"/>
  <c r="M161" i="15"/>
  <c r="L161" i="15"/>
  <c r="M160" i="15"/>
  <c r="L160" i="15"/>
  <c r="M159" i="15"/>
  <c r="L159" i="15"/>
  <c r="M158" i="15"/>
  <c r="L158" i="15"/>
  <c r="M157" i="15"/>
  <c r="L157" i="15"/>
  <c r="M156" i="15"/>
  <c r="L156" i="15"/>
  <c r="M155" i="15"/>
  <c r="L155" i="15"/>
  <c r="M154" i="15"/>
  <c r="L154" i="15"/>
  <c r="M153" i="15"/>
  <c r="L153" i="15"/>
  <c r="M152" i="15"/>
  <c r="L152" i="15"/>
  <c r="M151" i="15"/>
  <c r="L151" i="15"/>
  <c r="M150" i="15"/>
  <c r="L150" i="15"/>
  <c r="M149" i="15"/>
  <c r="L149" i="15"/>
  <c r="M145" i="15"/>
  <c r="L145" i="15"/>
  <c r="M144" i="15"/>
  <c r="L144" i="15"/>
  <c r="M143" i="15"/>
  <c r="L143" i="15"/>
  <c r="M142" i="15"/>
  <c r="L142" i="15"/>
  <c r="M141" i="15"/>
  <c r="L141" i="15"/>
  <c r="M140" i="15"/>
  <c r="L140" i="15"/>
  <c r="M139" i="15"/>
  <c r="L139" i="15"/>
  <c r="M138" i="15"/>
  <c r="L138" i="15"/>
  <c r="C166" i="15"/>
  <c r="C165" i="15"/>
  <c r="C164" i="15"/>
  <c r="C163" i="15"/>
  <c r="C162" i="15"/>
  <c r="C161" i="15"/>
  <c r="C160" i="15"/>
  <c r="C159" i="15"/>
  <c r="C158" i="15"/>
  <c r="C157" i="15"/>
  <c r="C156" i="15"/>
  <c r="C155" i="15"/>
  <c r="C154" i="15"/>
  <c r="C153" i="15"/>
  <c r="C152" i="15"/>
  <c r="C151" i="15"/>
  <c r="C150" i="15"/>
  <c r="C149" i="15"/>
  <c r="C145" i="15"/>
  <c r="C144" i="15"/>
  <c r="C143" i="15"/>
  <c r="C142" i="15"/>
  <c r="C141" i="15"/>
  <c r="C140" i="15"/>
  <c r="C139" i="15"/>
  <c r="C138" i="15"/>
  <c r="M137" i="15"/>
  <c r="L137" i="15"/>
  <c r="C137" i="15"/>
  <c r="M10" i="18" l="1"/>
  <c r="D10" i="18"/>
  <c r="L10" i="18"/>
  <c r="C10" i="18"/>
  <c r="I10" i="18"/>
  <c r="K9" i="18"/>
  <c r="K8" i="18" l="1"/>
  <c r="K10" i="18" s="1"/>
  <c r="J10" i="18"/>
  <c r="C112" i="51" l="1"/>
  <c r="D3" i="51"/>
  <c r="A9" i="48" s="1"/>
  <c r="C156" i="51"/>
  <c r="C145" i="51"/>
  <c r="C134" i="51"/>
  <c r="C123" i="51"/>
  <c r="C101" i="51"/>
  <c r="C79" i="51"/>
  <c r="C90" i="51"/>
  <c r="A10" i="51" s="1"/>
  <c r="C68" i="51"/>
  <c r="C57" i="51"/>
  <c r="C46" i="51"/>
  <c r="C35" i="51"/>
  <c r="C24" i="51"/>
  <c r="F166" i="51"/>
  <c r="F165" i="51"/>
  <c r="F164" i="51"/>
  <c r="F163" i="51"/>
  <c r="F162" i="51"/>
  <c r="F161" i="51"/>
  <c r="F160" i="51"/>
  <c r="F159" i="51"/>
  <c r="F158" i="51"/>
  <c r="F157" i="51"/>
  <c r="F155" i="51"/>
  <c r="F154" i="51"/>
  <c r="F153" i="51"/>
  <c r="F152" i="51"/>
  <c r="F151" i="51"/>
  <c r="F150" i="51"/>
  <c r="F149" i="51"/>
  <c r="F148" i="51"/>
  <c r="F147" i="51"/>
  <c r="F146" i="51"/>
  <c r="F144" i="51"/>
  <c r="F143" i="51"/>
  <c r="F142" i="51"/>
  <c r="F141" i="51"/>
  <c r="F140" i="51"/>
  <c r="F139" i="51"/>
  <c r="F138" i="51"/>
  <c r="F137" i="51"/>
  <c r="F136" i="51"/>
  <c r="F135" i="51"/>
  <c r="F133" i="51"/>
  <c r="F132" i="51"/>
  <c r="F131" i="51"/>
  <c r="F130" i="51"/>
  <c r="F129" i="51"/>
  <c r="F128" i="51"/>
  <c r="F127" i="51"/>
  <c r="F126" i="51"/>
  <c r="F125" i="51"/>
  <c r="F124" i="51"/>
  <c r="F122" i="51"/>
  <c r="F121" i="51"/>
  <c r="F120" i="51"/>
  <c r="F119" i="51"/>
  <c r="F118" i="51"/>
  <c r="F117" i="51"/>
  <c r="F116" i="51"/>
  <c r="F115" i="51"/>
  <c r="F114" i="51"/>
  <c r="F113" i="51"/>
  <c r="F111" i="51"/>
  <c r="F110" i="51"/>
  <c r="F109" i="51"/>
  <c r="F108" i="51"/>
  <c r="F107" i="51"/>
  <c r="F106" i="51"/>
  <c r="F105" i="51"/>
  <c r="F104" i="51"/>
  <c r="F103" i="51"/>
  <c r="F102" i="51"/>
  <c r="F100" i="51"/>
  <c r="F99" i="51"/>
  <c r="F98" i="51"/>
  <c r="F97" i="51"/>
  <c r="F96" i="51"/>
  <c r="F95" i="51"/>
  <c r="F94" i="51"/>
  <c r="F93" i="51"/>
  <c r="F92" i="51"/>
  <c r="F91" i="51"/>
  <c r="F89" i="51"/>
  <c r="F88" i="51"/>
  <c r="F87" i="51"/>
  <c r="F86" i="51"/>
  <c r="F85" i="51"/>
  <c r="F84" i="51"/>
  <c r="F83" i="51"/>
  <c r="F82" i="51"/>
  <c r="F81" i="51"/>
  <c r="F80" i="51"/>
  <c r="F78" i="51"/>
  <c r="F77" i="51"/>
  <c r="F76" i="51"/>
  <c r="F75" i="51"/>
  <c r="F74" i="51"/>
  <c r="F73" i="51"/>
  <c r="F72" i="51"/>
  <c r="F71" i="51"/>
  <c r="F70" i="51"/>
  <c r="F69" i="51"/>
  <c r="F67" i="51"/>
  <c r="F66" i="51"/>
  <c r="F65" i="51"/>
  <c r="F64" i="51"/>
  <c r="F63" i="51"/>
  <c r="F62" i="51"/>
  <c r="F61" i="51"/>
  <c r="F60" i="51"/>
  <c r="F59" i="51"/>
  <c r="F58" i="51"/>
  <c r="F56" i="51"/>
  <c r="F55" i="51"/>
  <c r="F54" i="51"/>
  <c r="F53" i="51"/>
  <c r="F52" i="51"/>
  <c r="F51" i="51"/>
  <c r="F50" i="51"/>
  <c r="F49" i="51"/>
  <c r="F48" i="51"/>
  <c r="F47" i="51"/>
  <c r="F45" i="51"/>
  <c r="F44" i="51"/>
  <c r="F43" i="51"/>
  <c r="F42" i="51"/>
  <c r="F41" i="51"/>
  <c r="F40" i="51"/>
  <c r="F39" i="51"/>
  <c r="F38" i="51"/>
  <c r="F37" i="51"/>
  <c r="F36" i="51"/>
  <c r="F34" i="51"/>
  <c r="F33" i="51"/>
  <c r="F32" i="51"/>
  <c r="F31" i="51"/>
  <c r="F30" i="51"/>
  <c r="F29" i="51"/>
  <c r="F28" i="51"/>
  <c r="F27" i="51"/>
  <c r="F26" i="51"/>
  <c r="F25" i="51"/>
  <c r="F23" i="51"/>
  <c r="F22" i="51"/>
  <c r="F21" i="51"/>
  <c r="F20" i="51"/>
  <c r="F19" i="51"/>
  <c r="F18" i="51"/>
  <c r="F17" i="51"/>
  <c r="F16" i="51"/>
  <c r="F15" i="51"/>
  <c r="F14" i="51"/>
  <c r="F12" i="51"/>
  <c r="F11" i="51"/>
  <c r="F10" i="51"/>
  <c r="F9" i="51"/>
  <c r="F8" i="51"/>
  <c r="F7" i="51"/>
  <c r="F6" i="51"/>
  <c r="F5" i="51"/>
  <c r="F4" i="51"/>
  <c r="C13" i="51"/>
  <c r="A3" i="51" s="1"/>
  <c r="A8" i="47" l="1"/>
  <c r="A176" i="47"/>
  <c r="C27" i="10"/>
  <c r="M341" i="48"/>
  <c r="L341" i="48"/>
  <c r="M340" i="48"/>
  <c r="L340" i="48"/>
  <c r="M339" i="48"/>
  <c r="L339" i="48"/>
  <c r="M338" i="48"/>
  <c r="L338" i="48"/>
  <c r="M337" i="48"/>
  <c r="L337" i="48"/>
  <c r="M336" i="48"/>
  <c r="L336" i="48"/>
  <c r="M335" i="48"/>
  <c r="L335" i="48"/>
  <c r="M334" i="48"/>
  <c r="L334" i="48"/>
  <c r="M333" i="48"/>
  <c r="L333" i="48"/>
  <c r="M332" i="48"/>
  <c r="L332" i="48"/>
  <c r="M330" i="48"/>
  <c r="L330" i="48"/>
  <c r="M329" i="48"/>
  <c r="L329" i="48"/>
  <c r="M328" i="48"/>
  <c r="L328" i="48"/>
  <c r="M327" i="48"/>
  <c r="L327" i="48"/>
  <c r="M326" i="48"/>
  <c r="L326" i="48"/>
  <c r="M325" i="48"/>
  <c r="L325" i="48"/>
  <c r="M324" i="48"/>
  <c r="L324" i="48"/>
  <c r="M323" i="48"/>
  <c r="L323" i="48"/>
  <c r="M322" i="48"/>
  <c r="L322" i="48"/>
  <c r="M321" i="48"/>
  <c r="L321" i="48"/>
  <c r="M319" i="48"/>
  <c r="L319" i="48"/>
  <c r="M318" i="48"/>
  <c r="L318" i="48"/>
  <c r="M317" i="48"/>
  <c r="L317" i="48"/>
  <c r="M316" i="48"/>
  <c r="L316" i="48"/>
  <c r="M315" i="48"/>
  <c r="L315" i="48"/>
  <c r="M314" i="48"/>
  <c r="L314" i="48"/>
  <c r="M313" i="48"/>
  <c r="L313" i="48"/>
  <c r="M312" i="48"/>
  <c r="L312" i="48"/>
  <c r="M311" i="48"/>
  <c r="L311" i="48"/>
  <c r="M310" i="48"/>
  <c r="L310" i="48"/>
  <c r="M308" i="48"/>
  <c r="L308" i="48"/>
  <c r="M307" i="48"/>
  <c r="L307" i="48"/>
  <c r="M306" i="48"/>
  <c r="L306" i="48"/>
  <c r="M305" i="48"/>
  <c r="L305" i="48"/>
  <c r="M304" i="48"/>
  <c r="L304" i="48"/>
  <c r="M303" i="48"/>
  <c r="L303" i="48"/>
  <c r="M302" i="48"/>
  <c r="L302" i="48"/>
  <c r="M301" i="48"/>
  <c r="L301" i="48"/>
  <c r="M300" i="48"/>
  <c r="L300" i="48"/>
  <c r="M299" i="48"/>
  <c r="L299" i="48"/>
  <c r="M297" i="48"/>
  <c r="L297" i="48"/>
  <c r="M296" i="48"/>
  <c r="L296" i="48"/>
  <c r="M295" i="48"/>
  <c r="L295" i="48"/>
  <c r="M294" i="48"/>
  <c r="L294" i="48"/>
  <c r="M293" i="48"/>
  <c r="L293" i="48"/>
  <c r="M292" i="48"/>
  <c r="L292" i="48"/>
  <c r="M291" i="48"/>
  <c r="L291" i="48"/>
  <c r="M290" i="48"/>
  <c r="L290" i="48"/>
  <c r="M289" i="48"/>
  <c r="L289" i="48"/>
  <c r="M288" i="48"/>
  <c r="L288" i="48"/>
  <c r="M286" i="48"/>
  <c r="L286" i="48"/>
  <c r="M285" i="48"/>
  <c r="L285" i="48"/>
  <c r="M284" i="48"/>
  <c r="L284" i="48"/>
  <c r="M283" i="48"/>
  <c r="L283" i="48"/>
  <c r="M282" i="48"/>
  <c r="L282" i="48"/>
  <c r="M281" i="48"/>
  <c r="L281" i="48"/>
  <c r="M280" i="48"/>
  <c r="L280" i="48"/>
  <c r="M279" i="48"/>
  <c r="L279" i="48"/>
  <c r="M278" i="48"/>
  <c r="L278" i="48"/>
  <c r="M277" i="48"/>
  <c r="L277" i="48"/>
  <c r="M275" i="48"/>
  <c r="L275" i="48"/>
  <c r="M274" i="48"/>
  <c r="L274" i="48"/>
  <c r="M273" i="48"/>
  <c r="L273" i="48"/>
  <c r="M272" i="48"/>
  <c r="L272" i="48"/>
  <c r="M271" i="48"/>
  <c r="L271" i="48"/>
  <c r="M270" i="48"/>
  <c r="L270" i="48"/>
  <c r="M269" i="48"/>
  <c r="L269" i="48"/>
  <c r="M268" i="48"/>
  <c r="L268" i="48"/>
  <c r="M267" i="48"/>
  <c r="L267" i="48"/>
  <c r="M266" i="48"/>
  <c r="L266" i="48"/>
  <c r="M264" i="48"/>
  <c r="L264" i="48"/>
  <c r="M263" i="48"/>
  <c r="L263" i="48"/>
  <c r="M262" i="48"/>
  <c r="L262" i="48"/>
  <c r="M261" i="48"/>
  <c r="L261" i="48"/>
  <c r="M260" i="48"/>
  <c r="L260" i="48"/>
  <c r="M259" i="48"/>
  <c r="L259" i="48"/>
  <c r="M258" i="48"/>
  <c r="L258" i="48"/>
  <c r="M257" i="48"/>
  <c r="L257" i="48"/>
  <c r="M256" i="48"/>
  <c r="L256" i="48"/>
  <c r="M255" i="48"/>
  <c r="L255" i="48"/>
  <c r="M253" i="48"/>
  <c r="L253" i="48"/>
  <c r="M252" i="48"/>
  <c r="L252" i="48"/>
  <c r="M251" i="48"/>
  <c r="L251" i="48"/>
  <c r="M250" i="48"/>
  <c r="L250" i="48"/>
  <c r="M249" i="48"/>
  <c r="L249" i="48"/>
  <c r="M248" i="48"/>
  <c r="L248" i="48"/>
  <c r="M247" i="48"/>
  <c r="L247" i="48"/>
  <c r="M246" i="48"/>
  <c r="L246" i="48"/>
  <c r="M245" i="48"/>
  <c r="L245" i="48"/>
  <c r="M244" i="48"/>
  <c r="L244" i="48"/>
  <c r="M242" i="48"/>
  <c r="L242" i="48"/>
  <c r="M241" i="48"/>
  <c r="L241" i="48"/>
  <c r="M240" i="48"/>
  <c r="L240" i="48"/>
  <c r="M239" i="48"/>
  <c r="L239" i="48"/>
  <c r="M238" i="48"/>
  <c r="L238" i="48"/>
  <c r="M237" i="48"/>
  <c r="L237" i="48"/>
  <c r="M236" i="48"/>
  <c r="L236" i="48"/>
  <c r="M235" i="48"/>
  <c r="L235" i="48"/>
  <c r="M234" i="48"/>
  <c r="L234" i="48"/>
  <c r="M233" i="48"/>
  <c r="L233" i="48"/>
  <c r="M231" i="48"/>
  <c r="L231" i="48"/>
  <c r="M230" i="48"/>
  <c r="L230" i="48"/>
  <c r="M229" i="48"/>
  <c r="L229" i="48"/>
  <c r="M228" i="48"/>
  <c r="L228" i="48"/>
  <c r="M227" i="48"/>
  <c r="L227" i="48"/>
  <c r="M226" i="48"/>
  <c r="L226" i="48"/>
  <c r="M225" i="48"/>
  <c r="L225" i="48"/>
  <c r="M224" i="48"/>
  <c r="L224" i="48"/>
  <c r="M223" i="48"/>
  <c r="L223" i="48"/>
  <c r="M222" i="48"/>
  <c r="L222" i="48"/>
  <c r="M220" i="48"/>
  <c r="L220" i="48"/>
  <c r="M219" i="48"/>
  <c r="L219" i="48"/>
  <c r="M218" i="48"/>
  <c r="L218" i="48"/>
  <c r="M217" i="48"/>
  <c r="L217" i="48"/>
  <c r="M216" i="48"/>
  <c r="L216" i="48"/>
  <c r="M215" i="48"/>
  <c r="L215" i="48"/>
  <c r="M214" i="48"/>
  <c r="L214" i="48"/>
  <c r="M213" i="48"/>
  <c r="L213" i="48"/>
  <c r="M212" i="48"/>
  <c r="L212" i="48"/>
  <c r="M211" i="48"/>
  <c r="L211" i="48"/>
  <c r="M209" i="48"/>
  <c r="L209" i="48"/>
  <c r="M208" i="48"/>
  <c r="L208" i="48"/>
  <c r="M207" i="48"/>
  <c r="L207" i="48"/>
  <c r="M206" i="48"/>
  <c r="L206" i="48"/>
  <c r="M205" i="48"/>
  <c r="L205" i="48"/>
  <c r="M204" i="48"/>
  <c r="L204" i="48"/>
  <c r="M203" i="48"/>
  <c r="L203" i="48"/>
  <c r="M202" i="48"/>
  <c r="L202" i="48"/>
  <c r="M201" i="48"/>
  <c r="L201" i="48"/>
  <c r="M200" i="48"/>
  <c r="L200" i="48"/>
  <c r="M198" i="48"/>
  <c r="L198" i="48"/>
  <c r="M197" i="48"/>
  <c r="L197" i="48"/>
  <c r="M196" i="48"/>
  <c r="L196" i="48"/>
  <c r="M195" i="48"/>
  <c r="L195" i="48"/>
  <c r="M194" i="48"/>
  <c r="L194" i="48"/>
  <c r="M193" i="48"/>
  <c r="L193" i="48"/>
  <c r="M192" i="48"/>
  <c r="L192" i="48"/>
  <c r="M191" i="48"/>
  <c r="L191" i="48"/>
  <c r="M190" i="48"/>
  <c r="L190" i="48"/>
  <c r="M189" i="48"/>
  <c r="L189" i="48"/>
  <c r="M187" i="48"/>
  <c r="L187" i="48"/>
  <c r="M186" i="48"/>
  <c r="L186" i="48"/>
  <c r="M185" i="48"/>
  <c r="L185" i="48"/>
  <c r="M184" i="48"/>
  <c r="L184" i="48"/>
  <c r="M183" i="48"/>
  <c r="L183" i="48"/>
  <c r="M182" i="48"/>
  <c r="L182" i="48"/>
  <c r="M181" i="48"/>
  <c r="L181" i="48"/>
  <c r="M180" i="48"/>
  <c r="L180" i="48"/>
  <c r="M179" i="48"/>
  <c r="L179" i="48"/>
  <c r="C341" i="48"/>
  <c r="C340" i="48"/>
  <c r="C339" i="48"/>
  <c r="C338" i="48"/>
  <c r="C337" i="48"/>
  <c r="C336" i="48"/>
  <c r="C335" i="48"/>
  <c r="C333" i="48"/>
  <c r="C332" i="48"/>
  <c r="C330" i="48"/>
  <c r="C329" i="48"/>
  <c r="C328" i="48"/>
  <c r="C327" i="48"/>
  <c r="C326" i="48"/>
  <c r="C325" i="48"/>
  <c r="C324" i="48"/>
  <c r="C323" i="48"/>
  <c r="C322" i="48"/>
  <c r="C321" i="48"/>
  <c r="C319" i="48"/>
  <c r="C318" i="48"/>
  <c r="C317" i="48"/>
  <c r="C316" i="48"/>
  <c r="C315" i="48"/>
  <c r="C314" i="48"/>
  <c r="C313" i="48"/>
  <c r="C312" i="48"/>
  <c r="C311" i="48"/>
  <c r="C310" i="48"/>
  <c r="C308" i="48"/>
  <c r="C307" i="48"/>
  <c r="C306" i="48"/>
  <c r="C305" i="48"/>
  <c r="C304" i="48"/>
  <c r="C303" i="48"/>
  <c r="C302" i="48"/>
  <c r="C301" i="48"/>
  <c r="C300" i="48"/>
  <c r="C299" i="48"/>
  <c r="C297" i="48"/>
  <c r="C296" i="48"/>
  <c r="C295" i="48"/>
  <c r="C294" i="48"/>
  <c r="C293" i="48"/>
  <c r="C292" i="48"/>
  <c r="C291" i="48"/>
  <c r="C290" i="48"/>
  <c r="C289" i="48"/>
  <c r="C288" i="48"/>
  <c r="C286" i="48"/>
  <c r="C285" i="48"/>
  <c r="C284" i="48"/>
  <c r="C283" i="48"/>
  <c r="C282" i="48"/>
  <c r="C281" i="48"/>
  <c r="C280" i="48"/>
  <c r="C279" i="48"/>
  <c r="C278" i="48"/>
  <c r="C277" i="48"/>
  <c r="C275" i="48"/>
  <c r="C274" i="48"/>
  <c r="C273" i="48"/>
  <c r="C272" i="48"/>
  <c r="C271" i="48"/>
  <c r="C270" i="48"/>
  <c r="C269" i="48"/>
  <c r="C268" i="48"/>
  <c r="C267" i="48"/>
  <c r="C266" i="48"/>
  <c r="C264" i="48"/>
  <c r="C263" i="48"/>
  <c r="C262" i="48"/>
  <c r="C261" i="48"/>
  <c r="C260" i="48"/>
  <c r="C259" i="48"/>
  <c r="C258" i="48"/>
  <c r="C257" i="48"/>
  <c r="C256" i="48"/>
  <c r="C255" i="48"/>
  <c r="C253" i="48"/>
  <c r="C252" i="48"/>
  <c r="C251" i="48"/>
  <c r="C250" i="48"/>
  <c r="C249" i="48"/>
  <c r="C248" i="48"/>
  <c r="C247" i="48"/>
  <c r="C246" i="48"/>
  <c r="C245" i="48"/>
  <c r="C244" i="48"/>
  <c r="C242" i="48"/>
  <c r="C241" i="48"/>
  <c r="C240" i="48"/>
  <c r="C239" i="48"/>
  <c r="C238" i="48"/>
  <c r="C237" i="48"/>
  <c r="C236" i="48"/>
  <c r="C235" i="48"/>
  <c r="C234" i="48"/>
  <c r="C233" i="48"/>
  <c r="C231" i="48"/>
  <c r="C230" i="48"/>
  <c r="C229" i="48"/>
  <c r="C228" i="48"/>
  <c r="C227" i="48"/>
  <c r="C226" i="48"/>
  <c r="C225" i="48"/>
  <c r="C224" i="48"/>
  <c r="C223" i="48"/>
  <c r="C222" i="48"/>
  <c r="C220" i="48"/>
  <c r="C219" i="48"/>
  <c r="C218" i="48"/>
  <c r="C217" i="48"/>
  <c r="C216" i="48"/>
  <c r="C215" i="48"/>
  <c r="C214" i="48"/>
  <c r="C213" i="48"/>
  <c r="C212" i="48"/>
  <c r="C211" i="48"/>
  <c r="C209" i="48"/>
  <c r="C208" i="48"/>
  <c r="C207" i="48"/>
  <c r="C206" i="48"/>
  <c r="C205" i="48"/>
  <c r="C204" i="48"/>
  <c r="C203" i="48"/>
  <c r="C202" i="48"/>
  <c r="C201" i="48"/>
  <c r="C200" i="48"/>
  <c r="C198" i="48"/>
  <c r="C197" i="48"/>
  <c r="C196" i="48"/>
  <c r="C195" i="48"/>
  <c r="C194" i="48"/>
  <c r="C193" i="48"/>
  <c r="C192" i="48"/>
  <c r="C191" i="48"/>
  <c r="C190" i="48"/>
  <c r="C189" i="48"/>
  <c r="M178" i="48"/>
  <c r="L178" i="48"/>
  <c r="M171" i="47"/>
  <c r="L171" i="47"/>
  <c r="M170" i="47"/>
  <c r="L170" i="47"/>
  <c r="M169" i="47"/>
  <c r="L169" i="47"/>
  <c r="M168" i="47"/>
  <c r="L168" i="47"/>
  <c r="M167" i="47"/>
  <c r="L167" i="47"/>
  <c r="M166" i="47"/>
  <c r="L166" i="47"/>
  <c r="M165" i="47"/>
  <c r="L165" i="47"/>
  <c r="M164" i="47"/>
  <c r="L164" i="47"/>
  <c r="M163" i="47"/>
  <c r="L163" i="47"/>
  <c r="M162" i="47"/>
  <c r="L162" i="47"/>
  <c r="M160" i="47"/>
  <c r="L160" i="47"/>
  <c r="M159" i="47"/>
  <c r="L159" i="47"/>
  <c r="M158" i="47"/>
  <c r="L158" i="47"/>
  <c r="M157" i="47"/>
  <c r="L157" i="47"/>
  <c r="M156" i="47"/>
  <c r="L156" i="47"/>
  <c r="M155" i="47"/>
  <c r="L155" i="47"/>
  <c r="M154" i="47"/>
  <c r="L154" i="47"/>
  <c r="M153" i="47"/>
  <c r="L153" i="47"/>
  <c r="M152" i="47"/>
  <c r="L152" i="47"/>
  <c r="M151" i="47"/>
  <c r="L151" i="47"/>
  <c r="M149" i="47"/>
  <c r="L149" i="47"/>
  <c r="M148" i="47"/>
  <c r="L148" i="47"/>
  <c r="M147" i="47"/>
  <c r="L147" i="47"/>
  <c r="M146" i="47"/>
  <c r="L146" i="47"/>
  <c r="M145" i="47"/>
  <c r="L145" i="47"/>
  <c r="M144" i="47"/>
  <c r="L144" i="47"/>
  <c r="M143" i="47"/>
  <c r="L143" i="47"/>
  <c r="M142" i="47"/>
  <c r="L142" i="47"/>
  <c r="M141" i="47"/>
  <c r="L141" i="47"/>
  <c r="M140" i="47"/>
  <c r="L140" i="47"/>
  <c r="M138" i="47"/>
  <c r="L138" i="47"/>
  <c r="M137" i="47"/>
  <c r="L137" i="47"/>
  <c r="M136" i="47"/>
  <c r="L136" i="47"/>
  <c r="M135" i="47"/>
  <c r="L135" i="47"/>
  <c r="M134" i="47"/>
  <c r="L134" i="47"/>
  <c r="M133" i="47"/>
  <c r="L133" i="47"/>
  <c r="M132" i="47"/>
  <c r="L132" i="47"/>
  <c r="M131" i="47"/>
  <c r="L131" i="47"/>
  <c r="M130" i="47"/>
  <c r="L130" i="47"/>
  <c r="M129" i="47"/>
  <c r="L129" i="47"/>
  <c r="M127" i="47"/>
  <c r="L127" i="47"/>
  <c r="M126" i="47"/>
  <c r="L126" i="47"/>
  <c r="M125" i="47"/>
  <c r="L125" i="47"/>
  <c r="M124" i="47"/>
  <c r="L124" i="47"/>
  <c r="M123" i="47"/>
  <c r="L123" i="47"/>
  <c r="M122" i="47"/>
  <c r="L122" i="47"/>
  <c r="M121" i="47"/>
  <c r="L121" i="47"/>
  <c r="M120" i="47"/>
  <c r="L120" i="47"/>
  <c r="M119" i="47"/>
  <c r="L119" i="47"/>
  <c r="M118" i="47"/>
  <c r="L118" i="47"/>
  <c r="M116" i="47"/>
  <c r="L116" i="47"/>
  <c r="M115" i="47"/>
  <c r="L115" i="47"/>
  <c r="M114" i="47"/>
  <c r="L114" i="47"/>
  <c r="M113" i="47"/>
  <c r="L113" i="47"/>
  <c r="M112" i="47"/>
  <c r="L112" i="47"/>
  <c r="M111" i="47"/>
  <c r="L111" i="47"/>
  <c r="M110" i="47"/>
  <c r="L110" i="47"/>
  <c r="M109" i="47"/>
  <c r="L109" i="47"/>
  <c r="M108" i="47"/>
  <c r="L108" i="47"/>
  <c r="M107" i="47"/>
  <c r="L107" i="47"/>
  <c r="M105" i="47"/>
  <c r="L105" i="47"/>
  <c r="M104" i="47"/>
  <c r="L104" i="47"/>
  <c r="M103" i="47"/>
  <c r="L103" i="47"/>
  <c r="M102" i="47"/>
  <c r="L102" i="47"/>
  <c r="M101" i="47"/>
  <c r="L101" i="47"/>
  <c r="M100" i="47"/>
  <c r="L100" i="47"/>
  <c r="M99" i="47"/>
  <c r="L99" i="47"/>
  <c r="M98" i="47"/>
  <c r="L98" i="47"/>
  <c r="M97" i="47"/>
  <c r="L97" i="47"/>
  <c r="M96" i="47"/>
  <c r="L96" i="47"/>
  <c r="M94" i="47"/>
  <c r="L94" i="47"/>
  <c r="M93" i="47"/>
  <c r="L93" i="47"/>
  <c r="M92" i="47"/>
  <c r="L92" i="47"/>
  <c r="M91" i="47"/>
  <c r="L91" i="47"/>
  <c r="M90" i="47"/>
  <c r="L90" i="47"/>
  <c r="M89" i="47"/>
  <c r="L89" i="47"/>
  <c r="M88" i="47"/>
  <c r="L88" i="47"/>
  <c r="M87" i="47"/>
  <c r="L87" i="47"/>
  <c r="M86" i="47"/>
  <c r="L86" i="47"/>
  <c r="M85" i="47"/>
  <c r="L85" i="47"/>
  <c r="M83" i="47"/>
  <c r="L83" i="47"/>
  <c r="M82" i="47"/>
  <c r="L82" i="47"/>
  <c r="M81" i="47"/>
  <c r="L81" i="47"/>
  <c r="M80" i="47"/>
  <c r="L80" i="47"/>
  <c r="M79" i="47"/>
  <c r="L79" i="47"/>
  <c r="M78" i="47"/>
  <c r="L78" i="47"/>
  <c r="M77" i="47"/>
  <c r="L77" i="47"/>
  <c r="M76" i="47"/>
  <c r="L76" i="47"/>
  <c r="M75" i="47"/>
  <c r="L75" i="47"/>
  <c r="M74" i="47"/>
  <c r="L74" i="47"/>
  <c r="M72" i="47"/>
  <c r="L72" i="47"/>
  <c r="M71" i="47"/>
  <c r="L71" i="47"/>
  <c r="M70" i="47"/>
  <c r="L70" i="47"/>
  <c r="M69" i="47"/>
  <c r="L69" i="47"/>
  <c r="M68" i="47"/>
  <c r="L68" i="47"/>
  <c r="M67" i="47"/>
  <c r="L67" i="47"/>
  <c r="M66" i="47"/>
  <c r="L66" i="47"/>
  <c r="M65" i="47"/>
  <c r="L65" i="47"/>
  <c r="M64" i="47"/>
  <c r="L64" i="47"/>
  <c r="M63" i="47"/>
  <c r="L63" i="47"/>
  <c r="M61" i="47"/>
  <c r="L61" i="47"/>
  <c r="M60" i="47"/>
  <c r="L60" i="47"/>
  <c r="M59" i="47"/>
  <c r="L59" i="47"/>
  <c r="M58" i="47"/>
  <c r="L58" i="47"/>
  <c r="M57" i="47"/>
  <c r="L57" i="47"/>
  <c r="M56" i="47"/>
  <c r="L56" i="47"/>
  <c r="M55" i="47"/>
  <c r="L55" i="47"/>
  <c r="M54" i="47"/>
  <c r="L54" i="47"/>
  <c r="M53" i="47"/>
  <c r="L53" i="47"/>
  <c r="M52" i="47"/>
  <c r="L52" i="47"/>
  <c r="M50" i="47"/>
  <c r="L50" i="47"/>
  <c r="M49" i="47"/>
  <c r="L49" i="47"/>
  <c r="M48" i="47"/>
  <c r="L48" i="47"/>
  <c r="M47" i="47"/>
  <c r="L47" i="47"/>
  <c r="M46" i="47"/>
  <c r="L46" i="47"/>
  <c r="M45" i="47"/>
  <c r="L45" i="47"/>
  <c r="M44" i="47"/>
  <c r="L44" i="47"/>
  <c r="M43" i="47"/>
  <c r="L43" i="47"/>
  <c r="M42" i="47"/>
  <c r="L42" i="47"/>
  <c r="M41" i="47"/>
  <c r="L41" i="47"/>
  <c r="M39" i="47"/>
  <c r="L39" i="47"/>
  <c r="M38" i="47"/>
  <c r="L38" i="47"/>
  <c r="M37" i="47"/>
  <c r="L37" i="47"/>
  <c r="M36" i="47"/>
  <c r="L36" i="47"/>
  <c r="M35" i="47"/>
  <c r="L35" i="47"/>
  <c r="M34" i="47"/>
  <c r="L34" i="47"/>
  <c r="M33" i="47"/>
  <c r="L33" i="47"/>
  <c r="M32" i="47"/>
  <c r="L32" i="47"/>
  <c r="M31" i="47"/>
  <c r="L31" i="47"/>
  <c r="M30" i="47"/>
  <c r="L30" i="47"/>
  <c r="M28" i="47"/>
  <c r="L28" i="47"/>
  <c r="M27" i="47"/>
  <c r="L27" i="47"/>
  <c r="M26" i="47"/>
  <c r="L26" i="47"/>
  <c r="M25" i="47"/>
  <c r="L25" i="47"/>
  <c r="M24" i="47"/>
  <c r="L24" i="47"/>
  <c r="M23" i="47"/>
  <c r="L23" i="47"/>
  <c r="M22" i="47"/>
  <c r="L22" i="47"/>
  <c r="M21" i="47"/>
  <c r="L21" i="47"/>
  <c r="M20" i="47"/>
  <c r="L20" i="47"/>
  <c r="M19" i="47"/>
  <c r="L19" i="47"/>
  <c r="M17" i="47"/>
  <c r="L17" i="47"/>
  <c r="C17" i="47"/>
  <c r="M16" i="47"/>
  <c r="L16" i="47"/>
  <c r="C16" i="47"/>
  <c r="M15" i="47"/>
  <c r="L15" i="47"/>
  <c r="C15" i="47"/>
  <c r="M14" i="47"/>
  <c r="L14" i="47"/>
  <c r="C14" i="47"/>
  <c r="M13" i="47"/>
  <c r="L13" i="47"/>
  <c r="C13" i="47"/>
  <c r="M12" i="47"/>
  <c r="L12" i="47"/>
  <c r="C12" i="47"/>
  <c r="M11" i="47"/>
  <c r="L11" i="47"/>
  <c r="C11" i="47"/>
  <c r="M10" i="47"/>
  <c r="L10" i="47"/>
  <c r="C10" i="47"/>
  <c r="M9" i="47"/>
  <c r="L9" i="47"/>
  <c r="C9" i="47"/>
  <c r="M8" i="47"/>
  <c r="L8" i="47"/>
  <c r="M339" i="47"/>
  <c r="L339" i="47"/>
  <c r="M338" i="47"/>
  <c r="L338" i="47"/>
  <c r="M337" i="47"/>
  <c r="L337" i="47"/>
  <c r="M336" i="47"/>
  <c r="L336" i="47"/>
  <c r="M335" i="47"/>
  <c r="L335" i="47"/>
  <c r="M334" i="47"/>
  <c r="L334" i="47"/>
  <c r="M333" i="47"/>
  <c r="L333" i="47"/>
  <c r="M332" i="47"/>
  <c r="L332" i="47"/>
  <c r="M331" i="47"/>
  <c r="M330" i="47"/>
  <c r="L330" i="47"/>
  <c r="M328" i="47"/>
  <c r="L328" i="47"/>
  <c r="M327" i="47"/>
  <c r="L327" i="47"/>
  <c r="M326" i="47"/>
  <c r="L326" i="47"/>
  <c r="M325" i="47"/>
  <c r="L325" i="47"/>
  <c r="M324" i="47"/>
  <c r="L324" i="47"/>
  <c r="M323" i="47"/>
  <c r="L323" i="47"/>
  <c r="M322" i="47"/>
  <c r="L322" i="47"/>
  <c r="M321" i="47"/>
  <c r="L321" i="47"/>
  <c r="M320" i="47"/>
  <c r="L320" i="47"/>
  <c r="M319" i="47"/>
  <c r="L319" i="47"/>
  <c r="M317" i="47"/>
  <c r="L317" i="47"/>
  <c r="M316" i="47"/>
  <c r="L316" i="47"/>
  <c r="M315" i="47"/>
  <c r="L315" i="47"/>
  <c r="M314" i="47"/>
  <c r="L314" i="47"/>
  <c r="M313" i="47"/>
  <c r="L313" i="47"/>
  <c r="M312" i="47"/>
  <c r="L312" i="47"/>
  <c r="M311" i="47"/>
  <c r="L311" i="47"/>
  <c r="M310" i="47"/>
  <c r="L310" i="47"/>
  <c r="M309" i="47"/>
  <c r="L309" i="47"/>
  <c r="M308" i="47"/>
  <c r="L308" i="47"/>
  <c r="M306" i="47"/>
  <c r="L306" i="47"/>
  <c r="M305" i="47"/>
  <c r="L305" i="47"/>
  <c r="M304" i="47"/>
  <c r="L304" i="47"/>
  <c r="M303" i="47"/>
  <c r="L303" i="47"/>
  <c r="M302" i="47"/>
  <c r="L302" i="47"/>
  <c r="M301" i="47"/>
  <c r="L301" i="47"/>
  <c r="M300" i="47"/>
  <c r="L300" i="47"/>
  <c r="M299" i="47"/>
  <c r="L299" i="47"/>
  <c r="M298" i="47"/>
  <c r="L298" i="47"/>
  <c r="M297" i="47"/>
  <c r="L297" i="47"/>
  <c r="M295" i="47"/>
  <c r="L295" i="47"/>
  <c r="M294" i="47"/>
  <c r="L294" i="47"/>
  <c r="M293" i="47"/>
  <c r="L293" i="47"/>
  <c r="M292" i="47"/>
  <c r="L292" i="47"/>
  <c r="M291" i="47"/>
  <c r="L291" i="47"/>
  <c r="M290" i="47"/>
  <c r="L290" i="47"/>
  <c r="M289" i="47"/>
  <c r="L289" i="47"/>
  <c r="M288" i="47"/>
  <c r="L288" i="47"/>
  <c r="M287" i="47"/>
  <c r="L287" i="47"/>
  <c r="M286" i="47"/>
  <c r="L286" i="47"/>
  <c r="M284" i="47"/>
  <c r="L284" i="47"/>
  <c r="M283" i="47"/>
  <c r="L283" i="47"/>
  <c r="M282" i="47"/>
  <c r="L282" i="47"/>
  <c r="M281" i="47"/>
  <c r="L281" i="47"/>
  <c r="M280" i="47"/>
  <c r="L280" i="47"/>
  <c r="M279" i="47"/>
  <c r="L279" i="47"/>
  <c r="M278" i="47"/>
  <c r="L278" i="47"/>
  <c r="M277" i="47"/>
  <c r="L277" i="47"/>
  <c r="M276" i="47"/>
  <c r="L276" i="47"/>
  <c r="M275" i="47"/>
  <c r="L275" i="47"/>
  <c r="M273" i="47"/>
  <c r="L273" i="47"/>
  <c r="M272" i="47"/>
  <c r="L272" i="47"/>
  <c r="M271" i="47"/>
  <c r="L271" i="47"/>
  <c r="M270" i="47"/>
  <c r="L270" i="47"/>
  <c r="M269" i="47"/>
  <c r="L269" i="47"/>
  <c r="M268" i="47"/>
  <c r="L268" i="47"/>
  <c r="M267" i="47"/>
  <c r="L267" i="47"/>
  <c r="M266" i="47"/>
  <c r="L266" i="47"/>
  <c r="M265" i="47"/>
  <c r="L265" i="47"/>
  <c r="M264" i="47"/>
  <c r="L264" i="47"/>
  <c r="M262" i="47"/>
  <c r="L262" i="47"/>
  <c r="M261" i="47"/>
  <c r="L261" i="47"/>
  <c r="M260" i="47"/>
  <c r="L260" i="47"/>
  <c r="M259" i="47"/>
  <c r="L259" i="47"/>
  <c r="M258" i="47"/>
  <c r="L258" i="47"/>
  <c r="M257" i="47"/>
  <c r="L257" i="47"/>
  <c r="M256" i="47"/>
  <c r="L256" i="47"/>
  <c r="M255" i="47"/>
  <c r="L255" i="47"/>
  <c r="M254" i="47"/>
  <c r="L254" i="47"/>
  <c r="M253" i="47"/>
  <c r="L253" i="47"/>
  <c r="M251" i="47"/>
  <c r="L251" i="47"/>
  <c r="M250" i="47"/>
  <c r="L250" i="47"/>
  <c r="M249" i="47"/>
  <c r="L249" i="47"/>
  <c r="M248" i="47"/>
  <c r="L248" i="47"/>
  <c r="M247" i="47"/>
  <c r="L247" i="47"/>
  <c r="M246" i="47"/>
  <c r="L246" i="47"/>
  <c r="M245" i="47"/>
  <c r="L245" i="47"/>
  <c r="M244" i="47"/>
  <c r="L244" i="47"/>
  <c r="M243" i="47"/>
  <c r="L243" i="47"/>
  <c r="M242" i="47"/>
  <c r="L242" i="47"/>
  <c r="M240" i="47"/>
  <c r="L240" i="47"/>
  <c r="M239" i="47"/>
  <c r="L239" i="47"/>
  <c r="M238" i="47"/>
  <c r="L238" i="47"/>
  <c r="M237" i="47"/>
  <c r="L237" i="47"/>
  <c r="M236" i="47"/>
  <c r="L236" i="47"/>
  <c r="M235" i="47"/>
  <c r="L235" i="47"/>
  <c r="M234" i="47"/>
  <c r="L234" i="47"/>
  <c r="M233" i="47"/>
  <c r="L233" i="47"/>
  <c r="M232" i="47"/>
  <c r="L232" i="47"/>
  <c r="M231" i="47"/>
  <c r="L231" i="47"/>
  <c r="M229" i="47"/>
  <c r="L229" i="47"/>
  <c r="M228" i="47"/>
  <c r="L228" i="47"/>
  <c r="M227" i="47"/>
  <c r="L227" i="47"/>
  <c r="M226" i="47"/>
  <c r="L226" i="47"/>
  <c r="M225" i="47"/>
  <c r="L225" i="47"/>
  <c r="M224" i="47"/>
  <c r="L224" i="47"/>
  <c r="M223" i="47"/>
  <c r="L223" i="47"/>
  <c r="M222" i="47"/>
  <c r="L222" i="47"/>
  <c r="M221" i="47"/>
  <c r="L221" i="47"/>
  <c r="M220" i="47"/>
  <c r="L220" i="47"/>
  <c r="M218" i="47"/>
  <c r="L218" i="47"/>
  <c r="M217" i="47"/>
  <c r="L217" i="47"/>
  <c r="M216" i="47"/>
  <c r="L216" i="47"/>
  <c r="M215" i="47"/>
  <c r="L215" i="47"/>
  <c r="M214" i="47"/>
  <c r="L214" i="47"/>
  <c r="M213" i="47"/>
  <c r="L213" i="47"/>
  <c r="M212" i="47"/>
  <c r="L212" i="47"/>
  <c r="M211" i="47"/>
  <c r="L211" i="47"/>
  <c r="M210" i="47"/>
  <c r="L210" i="47"/>
  <c r="M209" i="47"/>
  <c r="L209" i="47"/>
  <c r="M207" i="47"/>
  <c r="L207" i="47"/>
  <c r="M206" i="47"/>
  <c r="L206" i="47"/>
  <c r="M205" i="47"/>
  <c r="L205" i="47"/>
  <c r="M204" i="47"/>
  <c r="L204" i="47"/>
  <c r="M203" i="47"/>
  <c r="L203" i="47"/>
  <c r="M202" i="47"/>
  <c r="L202" i="47"/>
  <c r="M201" i="47"/>
  <c r="L201" i="47"/>
  <c r="M200" i="47"/>
  <c r="L200" i="47"/>
  <c r="M199" i="47"/>
  <c r="L199" i="47"/>
  <c r="M198" i="47"/>
  <c r="L198" i="47"/>
  <c r="M196" i="47"/>
  <c r="L196" i="47"/>
  <c r="M195" i="47"/>
  <c r="L195" i="47"/>
  <c r="M194" i="47"/>
  <c r="L194" i="47"/>
  <c r="M193" i="47"/>
  <c r="L193" i="47"/>
  <c r="M192" i="47"/>
  <c r="L192" i="47"/>
  <c r="M191" i="47"/>
  <c r="L191" i="47"/>
  <c r="M190" i="47"/>
  <c r="L190" i="47"/>
  <c r="M189" i="47"/>
  <c r="L189" i="47"/>
  <c r="M188" i="47"/>
  <c r="L188" i="47"/>
  <c r="M187" i="47"/>
  <c r="L187" i="47"/>
  <c r="M185" i="47"/>
  <c r="L185" i="47"/>
  <c r="M184" i="47"/>
  <c r="L184" i="47"/>
  <c r="M183" i="47"/>
  <c r="L183" i="47"/>
  <c r="M182" i="47"/>
  <c r="L182" i="47"/>
  <c r="M181" i="47"/>
  <c r="L181" i="47"/>
  <c r="M180" i="47"/>
  <c r="L180" i="47"/>
  <c r="M179" i="47"/>
  <c r="L179" i="47"/>
  <c r="M178" i="47"/>
  <c r="L178" i="47"/>
  <c r="M177" i="47"/>
  <c r="L177" i="47"/>
  <c r="M176" i="47"/>
  <c r="L176" i="47"/>
  <c r="K12" i="46"/>
  <c r="C167" i="53" l="1"/>
  <c r="C164" i="53"/>
  <c r="C161" i="53"/>
  <c r="C158" i="53"/>
  <c r="C155" i="53"/>
  <c r="C152" i="53"/>
  <c r="C149" i="53"/>
  <c r="C148" i="53"/>
  <c r="C147" i="53"/>
  <c r="C146" i="53"/>
  <c r="C145" i="53"/>
  <c r="C144" i="53"/>
  <c r="C142" i="53"/>
  <c r="C139" i="53"/>
  <c r="C136" i="53"/>
  <c r="C135" i="53"/>
  <c r="C134" i="53"/>
  <c r="C132" i="53"/>
  <c r="C131" i="53"/>
  <c r="C130" i="53"/>
  <c r="C129" i="53"/>
  <c r="C128" i="53"/>
  <c r="C127" i="53"/>
  <c r="C126" i="53"/>
  <c r="C125" i="53"/>
  <c r="C124" i="53"/>
  <c r="C123" i="53"/>
  <c r="C122" i="53"/>
  <c r="C118" i="53"/>
  <c r="C117" i="53"/>
  <c r="C115" i="53"/>
  <c r="C114" i="53"/>
  <c r="C110" i="53"/>
  <c r="C109" i="53"/>
  <c r="C108" i="53"/>
  <c r="C107" i="53"/>
  <c r="C106" i="53"/>
  <c r="C103" i="53"/>
  <c r="C102" i="53"/>
  <c r="C101" i="53"/>
  <c r="C99" i="53"/>
  <c r="C98" i="53"/>
  <c r="C97" i="53"/>
  <c r="C96" i="53"/>
  <c r="C95" i="53"/>
  <c r="C94" i="53"/>
  <c r="C93" i="53"/>
  <c r="C92" i="53"/>
  <c r="C91" i="53"/>
  <c r="C90" i="53"/>
  <c r="C89" i="53"/>
  <c r="C88" i="53"/>
  <c r="C87" i="53"/>
  <c r="C86" i="53"/>
  <c r="C85" i="53"/>
  <c r="C84" i="53"/>
  <c r="C83" i="53"/>
  <c r="C82" i="53"/>
  <c r="C81" i="53"/>
  <c r="C80" i="53"/>
  <c r="C79" i="53"/>
  <c r="C78" i="53"/>
  <c r="C74" i="53"/>
  <c r="C73" i="53"/>
  <c r="C72" i="53"/>
  <c r="C71" i="53"/>
  <c r="C69" i="53"/>
  <c r="C68" i="53"/>
  <c r="C67" i="53"/>
  <c r="C66" i="53"/>
  <c r="C65" i="53"/>
  <c r="C63" i="53"/>
  <c r="C62" i="53"/>
  <c r="C61" i="53"/>
  <c r="C60" i="53"/>
  <c r="C59" i="53"/>
  <c r="C58" i="53"/>
  <c r="C57" i="53"/>
  <c r="C56" i="53"/>
  <c r="C55" i="53"/>
  <c r="C53" i="53"/>
  <c r="C52" i="53"/>
  <c r="C51" i="53"/>
  <c r="C50" i="53"/>
  <c r="C49" i="53"/>
  <c r="C48" i="53"/>
  <c r="C47" i="53"/>
  <c r="C45" i="53"/>
  <c r="C44" i="53"/>
  <c r="C43" i="53"/>
  <c r="C42" i="53"/>
  <c r="C41" i="53"/>
  <c r="C40" i="53"/>
  <c r="C38" i="53"/>
  <c r="C37" i="53"/>
  <c r="C36" i="53"/>
  <c r="C35" i="53"/>
  <c r="C34" i="53"/>
  <c r="C33" i="53"/>
  <c r="C32" i="53"/>
  <c r="C31" i="53"/>
  <c r="C30" i="53"/>
  <c r="C29" i="53"/>
  <c r="C27" i="53"/>
  <c r="C26" i="53"/>
  <c r="C25" i="53"/>
  <c r="C24" i="53"/>
  <c r="C23" i="53"/>
  <c r="C22" i="53"/>
  <c r="C21" i="53"/>
  <c r="C20" i="53"/>
  <c r="C19" i="53"/>
  <c r="C17" i="53"/>
  <c r="C16" i="53"/>
  <c r="C15" i="53"/>
  <c r="C13" i="53"/>
  <c r="C12" i="53"/>
  <c r="C11" i="53"/>
  <c r="M167" i="53"/>
  <c r="L167" i="53"/>
  <c r="M164" i="53"/>
  <c r="L164" i="53"/>
  <c r="M161" i="53"/>
  <c r="L161" i="53"/>
  <c r="M158" i="53"/>
  <c r="L158" i="53"/>
  <c r="M155" i="53"/>
  <c r="L155" i="53"/>
  <c r="M152" i="53"/>
  <c r="L152" i="53"/>
  <c r="M149" i="53"/>
  <c r="L149" i="53"/>
  <c r="M148" i="53"/>
  <c r="L148" i="53"/>
  <c r="M147" i="53"/>
  <c r="L147" i="53"/>
  <c r="M146" i="53"/>
  <c r="L146" i="53"/>
  <c r="M145" i="53"/>
  <c r="L145" i="53"/>
  <c r="M144" i="53"/>
  <c r="L144" i="53"/>
  <c r="M142" i="53"/>
  <c r="L142" i="53"/>
  <c r="M139" i="53"/>
  <c r="L139" i="53"/>
  <c r="M136" i="53"/>
  <c r="L136" i="53"/>
  <c r="M135" i="53"/>
  <c r="L135" i="53"/>
  <c r="M134" i="53"/>
  <c r="L134" i="53"/>
  <c r="M132" i="53"/>
  <c r="L132" i="53"/>
  <c r="M131" i="53"/>
  <c r="L131" i="53"/>
  <c r="M130" i="53"/>
  <c r="L130" i="53"/>
  <c r="M129" i="53"/>
  <c r="L129" i="53"/>
  <c r="M128" i="53"/>
  <c r="L128" i="53"/>
  <c r="M127" i="53"/>
  <c r="L127" i="53"/>
  <c r="M126" i="53"/>
  <c r="L126" i="53"/>
  <c r="M125" i="53"/>
  <c r="L125" i="53"/>
  <c r="M124" i="53"/>
  <c r="L124" i="53"/>
  <c r="M123" i="53"/>
  <c r="L123" i="53"/>
  <c r="M122" i="53"/>
  <c r="L122" i="53"/>
  <c r="M118" i="53"/>
  <c r="L118" i="53"/>
  <c r="M117" i="53"/>
  <c r="L117" i="53"/>
  <c r="M115" i="53"/>
  <c r="L115" i="53"/>
  <c r="M114" i="53"/>
  <c r="L114" i="53"/>
  <c r="M110" i="53"/>
  <c r="L110" i="53"/>
  <c r="M109" i="53"/>
  <c r="L109" i="53"/>
  <c r="M108" i="53"/>
  <c r="L108" i="53"/>
  <c r="M107" i="53"/>
  <c r="L107" i="53"/>
  <c r="M106" i="53"/>
  <c r="L106" i="53"/>
  <c r="M103" i="53"/>
  <c r="L103" i="53"/>
  <c r="M102" i="53"/>
  <c r="L102" i="53"/>
  <c r="M101" i="53"/>
  <c r="L101" i="53"/>
  <c r="M99" i="53"/>
  <c r="L99" i="53"/>
  <c r="M98" i="53"/>
  <c r="L98" i="53"/>
  <c r="M97" i="53"/>
  <c r="L97" i="53"/>
  <c r="M96" i="53"/>
  <c r="L96" i="53"/>
  <c r="M95" i="53"/>
  <c r="L95" i="53"/>
  <c r="M94" i="53"/>
  <c r="L94" i="53"/>
  <c r="M93" i="53"/>
  <c r="L93" i="53"/>
  <c r="M92" i="53"/>
  <c r="L92" i="53"/>
  <c r="M91" i="53"/>
  <c r="L91" i="53"/>
  <c r="M90" i="53"/>
  <c r="L90" i="53"/>
  <c r="M89" i="53"/>
  <c r="L89" i="53"/>
  <c r="M88" i="53"/>
  <c r="L88" i="53"/>
  <c r="M87" i="53"/>
  <c r="L87" i="53"/>
  <c r="M86" i="53"/>
  <c r="L86" i="53"/>
  <c r="M85" i="53"/>
  <c r="L85" i="53"/>
  <c r="M84" i="53"/>
  <c r="L84" i="53"/>
  <c r="M83" i="53"/>
  <c r="L83" i="53"/>
  <c r="M82" i="53"/>
  <c r="L82" i="53"/>
  <c r="M81" i="53"/>
  <c r="L81" i="53"/>
  <c r="M80" i="53"/>
  <c r="L80" i="53"/>
  <c r="M79" i="53"/>
  <c r="L79" i="53"/>
  <c r="M78" i="53"/>
  <c r="L78" i="53"/>
  <c r="M74" i="53"/>
  <c r="L74" i="53"/>
  <c r="M73" i="53"/>
  <c r="L73" i="53"/>
  <c r="M72" i="53"/>
  <c r="L72" i="53"/>
  <c r="M71" i="53"/>
  <c r="L71" i="53"/>
  <c r="M69" i="53"/>
  <c r="L69" i="53"/>
  <c r="M68" i="53"/>
  <c r="L68" i="53"/>
  <c r="M67" i="53"/>
  <c r="L67" i="53"/>
  <c r="M66" i="53"/>
  <c r="L66" i="53"/>
  <c r="M65" i="53"/>
  <c r="L65" i="53"/>
  <c r="M63" i="53"/>
  <c r="L63" i="53"/>
  <c r="M62" i="53"/>
  <c r="L62" i="53"/>
  <c r="M61" i="53"/>
  <c r="L61" i="53"/>
  <c r="M60" i="53"/>
  <c r="L60" i="53"/>
  <c r="M59" i="53"/>
  <c r="L59" i="53"/>
  <c r="M58" i="53"/>
  <c r="L58" i="53"/>
  <c r="M57" i="53"/>
  <c r="L57" i="53"/>
  <c r="M56" i="53"/>
  <c r="L56" i="53"/>
  <c r="M55" i="53"/>
  <c r="L55" i="53"/>
  <c r="M53" i="53"/>
  <c r="L53" i="53"/>
  <c r="M52" i="53"/>
  <c r="L52" i="53"/>
  <c r="M51" i="53"/>
  <c r="L51" i="53"/>
  <c r="M50" i="53"/>
  <c r="L50" i="53"/>
  <c r="M49" i="53"/>
  <c r="L49" i="53"/>
  <c r="M48" i="53"/>
  <c r="L48" i="53"/>
  <c r="M47" i="53"/>
  <c r="L47" i="53"/>
  <c r="M45" i="53"/>
  <c r="L45" i="53"/>
  <c r="M44" i="53"/>
  <c r="L44" i="53"/>
  <c r="M43" i="53"/>
  <c r="L43" i="53"/>
  <c r="M42" i="53"/>
  <c r="L42" i="53"/>
  <c r="M41" i="53"/>
  <c r="L41" i="53"/>
  <c r="M40" i="53"/>
  <c r="L40" i="53"/>
  <c r="M38" i="53"/>
  <c r="L38" i="53"/>
  <c r="M37" i="53"/>
  <c r="L37" i="53"/>
  <c r="M36" i="53"/>
  <c r="L36" i="53"/>
  <c r="M35" i="53"/>
  <c r="L35" i="53"/>
  <c r="M34" i="53"/>
  <c r="L34" i="53"/>
  <c r="M33" i="53"/>
  <c r="L33" i="53"/>
  <c r="M32" i="53"/>
  <c r="L32" i="53"/>
  <c r="M31" i="53"/>
  <c r="L31" i="53"/>
  <c r="M30" i="53"/>
  <c r="L30" i="53"/>
  <c r="M29" i="53"/>
  <c r="L29" i="53"/>
  <c r="M27" i="53"/>
  <c r="L27" i="53"/>
  <c r="M26" i="53"/>
  <c r="L26" i="53"/>
  <c r="M25" i="53"/>
  <c r="L25" i="53"/>
  <c r="M24" i="53"/>
  <c r="L24" i="53"/>
  <c r="M23" i="53"/>
  <c r="L23" i="53"/>
  <c r="M22" i="53"/>
  <c r="L22" i="53"/>
  <c r="M21" i="53"/>
  <c r="L21" i="53"/>
  <c r="M20" i="53"/>
  <c r="L20" i="53"/>
  <c r="M19" i="53"/>
  <c r="L19" i="53"/>
  <c r="M17" i="53"/>
  <c r="L17" i="53"/>
  <c r="M16" i="53"/>
  <c r="L16" i="53"/>
  <c r="M15" i="53"/>
  <c r="L15" i="53"/>
  <c r="M13" i="53"/>
  <c r="L13" i="53"/>
  <c r="M12" i="53"/>
  <c r="L12" i="53"/>
  <c r="M11" i="53"/>
  <c r="M10" i="53"/>
  <c r="L10" i="53"/>
  <c r="C167" i="52"/>
  <c r="C164" i="52"/>
  <c r="C161" i="52"/>
  <c r="C158" i="52"/>
  <c r="C155" i="52"/>
  <c r="C152" i="52"/>
  <c r="C149" i="52"/>
  <c r="C148" i="52"/>
  <c r="C147" i="52"/>
  <c r="C146" i="52"/>
  <c r="C145" i="52"/>
  <c r="C144" i="52"/>
  <c r="C142" i="52"/>
  <c r="C139" i="52"/>
  <c r="C136" i="52"/>
  <c r="C135" i="52"/>
  <c r="C134" i="52"/>
  <c r="C132" i="52"/>
  <c r="C131" i="52"/>
  <c r="C130" i="52"/>
  <c r="C129" i="52"/>
  <c r="C128" i="52"/>
  <c r="C127" i="52"/>
  <c r="C126" i="52"/>
  <c r="C125" i="52"/>
  <c r="C124" i="52"/>
  <c r="C123" i="52"/>
  <c r="C122" i="52"/>
  <c r="C118" i="52"/>
  <c r="C117" i="52"/>
  <c r="C115" i="52"/>
  <c r="C114" i="52"/>
  <c r="C110" i="52"/>
  <c r="C109" i="52"/>
  <c r="C108" i="52"/>
  <c r="C107" i="52"/>
  <c r="C106" i="52"/>
  <c r="C103" i="52"/>
  <c r="C102" i="52"/>
  <c r="C101" i="52"/>
  <c r="C99" i="52"/>
  <c r="C98" i="52"/>
  <c r="C97" i="52"/>
  <c r="C96" i="52"/>
  <c r="C95" i="52"/>
  <c r="C94" i="52"/>
  <c r="C93" i="52"/>
  <c r="C92" i="52"/>
  <c r="C91" i="52"/>
  <c r="C90" i="52"/>
  <c r="C89" i="52"/>
  <c r="C88" i="52"/>
  <c r="C87" i="52"/>
  <c r="C86" i="52"/>
  <c r="C85" i="52"/>
  <c r="C84" i="52"/>
  <c r="C83" i="52"/>
  <c r="C82" i="52"/>
  <c r="C81" i="52"/>
  <c r="C80" i="52"/>
  <c r="C79" i="52"/>
  <c r="C78" i="52"/>
  <c r="C74" i="52"/>
  <c r="C73" i="52"/>
  <c r="C72" i="52"/>
  <c r="C71" i="52"/>
  <c r="C69" i="52"/>
  <c r="C68" i="52"/>
  <c r="C67" i="52"/>
  <c r="C66" i="52"/>
  <c r="C65" i="52"/>
  <c r="C63" i="52"/>
  <c r="C62" i="52"/>
  <c r="C61" i="52"/>
  <c r="C60" i="52"/>
  <c r="C59" i="52"/>
  <c r="C58" i="52"/>
  <c r="C57" i="52"/>
  <c r="C56" i="52"/>
  <c r="C55" i="52"/>
  <c r="C53" i="52"/>
  <c r="C52" i="52"/>
  <c r="C51" i="52"/>
  <c r="C50" i="52"/>
  <c r="C49" i="52"/>
  <c r="C48" i="52"/>
  <c r="C47" i="52"/>
  <c r="C45" i="52"/>
  <c r="C44" i="52"/>
  <c r="C43" i="52"/>
  <c r="C42" i="52"/>
  <c r="C41" i="52"/>
  <c r="C40" i="52"/>
  <c r="C38" i="52"/>
  <c r="C37" i="52"/>
  <c r="C36" i="52"/>
  <c r="C35" i="52"/>
  <c r="C34" i="52"/>
  <c r="C33" i="52"/>
  <c r="C32" i="52"/>
  <c r="C31" i="52"/>
  <c r="C30" i="52"/>
  <c r="C29" i="52"/>
  <c r="C27" i="52"/>
  <c r="C26" i="52"/>
  <c r="C25" i="52"/>
  <c r="C24" i="52"/>
  <c r="C23" i="52"/>
  <c r="C22" i="52"/>
  <c r="C21" i="52"/>
  <c r="C20" i="52"/>
  <c r="C19" i="52"/>
  <c r="C17" i="52"/>
  <c r="C16" i="52"/>
  <c r="C15" i="52"/>
  <c r="C13" i="52"/>
  <c r="C12" i="52"/>
  <c r="C11" i="52"/>
  <c r="M167" i="52"/>
  <c r="L167" i="52"/>
  <c r="M164" i="52"/>
  <c r="L164" i="52"/>
  <c r="M161" i="52"/>
  <c r="L161" i="52"/>
  <c r="M158" i="52"/>
  <c r="L158" i="52"/>
  <c r="M155" i="52"/>
  <c r="L155" i="52"/>
  <c r="M152" i="52"/>
  <c r="L152" i="52"/>
  <c r="M149" i="52"/>
  <c r="L149" i="52"/>
  <c r="M148" i="52"/>
  <c r="L148" i="52"/>
  <c r="M147" i="52"/>
  <c r="L147" i="52"/>
  <c r="M146" i="52"/>
  <c r="L146" i="52"/>
  <c r="M145" i="52"/>
  <c r="L145" i="52"/>
  <c r="M144" i="52"/>
  <c r="L144" i="52"/>
  <c r="M142" i="52"/>
  <c r="L142" i="52"/>
  <c r="M139" i="52"/>
  <c r="L139" i="52"/>
  <c r="M136" i="52"/>
  <c r="L136" i="52"/>
  <c r="M135" i="52"/>
  <c r="L135" i="52"/>
  <c r="M134" i="52"/>
  <c r="L134" i="52"/>
  <c r="M132" i="52"/>
  <c r="L132" i="52"/>
  <c r="M131" i="52"/>
  <c r="L131" i="52"/>
  <c r="M130" i="52"/>
  <c r="L130" i="52"/>
  <c r="M129" i="52"/>
  <c r="L129" i="52"/>
  <c r="M128" i="52"/>
  <c r="L128" i="52"/>
  <c r="M127" i="52"/>
  <c r="L127" i="52"/>
  <c r="M126" i="52"/>
  <c r="L126" i="52"/>
  <c r="M125" i="52"/>
  <c r="L125" i="52"/>
  <c r="M124" i="52"/>
  <c r="L124" i="52"/>
  <c r="M123" i="52"/>
  <c r="L123" i="52"/>
  <c r="M122" i="52"/>
  <c r="L122" i="52"/>
  <c r="M118" i="52"/>
  <c r="L118" i="52"/>
  <c r="M117" i="52"/>
  <c r="L117" i="52"/>
  <c r="M115" i="52"/>
  <c r="L115" i="52"/>
  <c r="M114" i="52"/>
  <c r="L114" i="52"/>
  <c r="M110" i="52"/>
  <c r="L110" i="52"/>
  <c r="M109" i="52"/>
  <c r="L109" i="52"/>
  <c r="M108" i="52"/>
  <c r="L108" i="52"/>
  <c r="M107" i="52"/>
  <c r="L107" i="52"/>
  <c r="M106" i="52"/>
  <c r="L106" i="52"/>
  <c r="M103" i="52"/>
  <c r="L103" i="52"/>
  <c r="M102" i="52"/>
  <c r="L102" i="52"/>
  <c r="M101" i="52"/>
  <c r="L101" i="52"/>
  <c r="M99" i="52"/>
  <c r="L99" i="52"/>
  <c r="M98" i="52"/>
  <c r="L98" i="52"/>
  <c r="M97" i="52"/>
  <c r="L97" i="52"/>
  <c r="M96" i="52"/>
  <c r="L96" i="52"/>
  <c r="M95" i="52"/>
  <c r="L95" i="52"/>
  <c r="M94" i="52"/>
  <c r="L94" i="52"/>
  <c r="M93" i="52"/>
  <c r="L93" i="52"/>
  <c r="M92" i="52"/>
  <c r="L92" i="52"/>
  <c r="M91" i="52"/>
  <c r="L91" i="52"/>
  <c r="M90" i="52"/>
  <c r="L90" i="52"/>
  <c r="M89" i="52"/>
  <c r="L89" i="52"/>
  <c r="M88" i="52"/>
  <c r="L88" i="52"/>
  <c r="M87" i="52"/>
  <c r="L87" i="52"/>
  <c r="M86" i="52"/>
  <c r="L86" i="52"/>
  <c r="M85" i="52"/>
  <c r="L85" i="52"/>
  <c r="M84" i="52"/>
  <c r="L84" i="52"/>
  <c r="M83" i="52"/>
  <c r="L83" i="52"/>
  <c r="M82" i="52"/>
  <c r="L82" i="52"/>
  <c r="M81" i="52"/>
  <c r="L81" i="52"/>
  <c r="M80" i="52"/>
  <c r="L80" i="52"/>
  <c r="M79" i="52"/>
  <c r="L79" i="52"/>
  <c r="M78" i="52"/>
  <c r="L78" i="52"/>
  <c r="M74" i="52"/>
  <c r="L74" i="52"/>
  <c r="M73" i="52"/>
  <c r="L73" i="52"/>
  <c r="M72" i="52"/>
  <c r="L72" i="52"/>
  <c r="M71" i="52"/>
  <c r="L71" i="52"/>
  <c r="M69" i="52"/>
  <c r="L69" i="52"/>
  <c r="M68" i="52"/>
  <c r="L68" i="52"/>
  <c r="M67" i="52"/>
  <c r="L67" i="52"/>
  <c r="M66" i="52"/>
  <c r="L66" i="52"/>
  <c r="M65" i="52"/>
  <c r="L65" i="52"/>
  <c r="M63" i="52"/>
  <c r="L63" i="52"/>
  <c r="M62" i="52"/>
  <c r="L62" i="52"/>
  <c r="M61" i="52"/>
  <c r="L61" i="52"/>
  <c r="M60" i="52"/>
  <c r="L60" i="52"/>
  <c r="M59" i="52"/>
  <c r="L59" i="52"/>
  <c r="M58" i="52"/>
  <c r="L58" i="52"/>
  <c r="M57" i="52"/>
  <c r="L57" i="52"/>
  <c r="M56" i="52"/>
  <c r="L56" i="52"/>
  <c r="M55" i="52"/>
  <c r="L55" i="52"/>
  <c r="M53" i="52"/>
  <c r="L53" i="52"/>
  <c r="M52" i="52"/>
  <c r="L52" i="52"/>
  <c r="M51" i="52"/>
  <c r="L51" i="52"/>
  <c r="M50" i="52"/>
  <c r="L50" i="52"/>
  <c r="M49" i="52"/>
  <c r="L49" i="52"/>
  <c r="M48" i="52"/>
  <c r="L48" i="52"/>
  <c r="M47" i="52"/>
  <c r="L47" i="52"/>
  <c r="M45" i="52"/>
  <c r="L45" i="52"/>
  <c r="M44" i="52"/>
  <c r="L44" i="52"/>
  <c r="M43" i="52"/>
  <c r="L43" i="52"/>
  <c r="M42" i="52"/>
  <c r="L42" i="52"/>
  <c r="M41" i="52"/>
  <c r="L41" i="52"/>
  <c r="M40" i="52"/>
  <c r="L40" i="52"/>
  <c r="M38" i="52"/>
  <c r="L38" i="52"/>
  <c r="M37" i="52"/>
  <c r="L37" i="52"/>
  <c r="M36" i="52"/>
  <c r="L36" i="52"/>
  <c r="M35" i="52"/>
  <c r="L35" i="52"/>
  <c r="M34" i="52"/>
  <c r="L34" i="52"/>
  <c r="M33" i="52"/>
  <c r="L33" i="52"/>
  <c r="M32" i="52"/>
  <c r="L32" i="52"/>
  <c r="M31" i="52"/>
  <c r="L31" i="52"/>
  <c r="M30" i="52"/>
  <c r="L30" i="52"/>
  <c r="M29" i="52"/>
  <c r="L29" i="52"/>
  <c r="M27" i="52"/>
  <c r="L27" i="52"/>
  <c r="M26" i="52"/>
  <c r="L26" i="52"/>
  <c r="M25" i="52"/>
  <c r="L25" i="52"/>
  <c r="M24" i="52"/>
  <c r="L24" i="52"/>
  <c r="M23" i="52"/>
  <c r="L23" i="52"/>
  <c r="M22" i="52"/>
  <c r="L22" i="52"/>
  <c r="M21" i="52"/>
  <c r="L21" i="52"/>
  <c r="M20" i="52"/>
  <c r="L20" i="52"/>
  <c r="M19" i="52"/>
  <c r="L19" i="52"/>
  <c r="M17" i="52"/>
  <c r="L17" i="52"/>
  <c r="M16" i="52"/>
  <c r="L16" i="52"/>
  <c r="M15" i="52"/>
  <c r="L15" i="52"/>
  <c r="M13" i="52"/>
  <c r="L13" i="52"/>
  <c r="M12" i="52"/>
  <c r="L12" i="52"/>
  <c r="M11" i="52"/>
  <c r="L11" i="52"/>
  <c r="L10" i="52"/>
  <c r="M10" i="52"/>
  <c r="C10" i="52"/>
  <c r="M167" i="1"/>
  <c r="L167" i="1"/>
  <c r="M164" i="1"/>
  <c r="L164" i="1"/>
  <c r="M161" i="1"/>
  <c r="L161" i="1"/>
  <c r="M158" i="1"/>
  <c r="L158" i="1"/>
  <c r="M152" i="1"/>
  <c r="L152" i="1"/>
  <c r="M155" i="1"/>
  <c r="L155" i="1"/>
  <c r="M149" i="1"/>
  <c r="L149" i="1"/>
  <c r="M148" i="1"/>
  <c r="L148" i="1"/>
  <c r="M147" i="1"/>
  <c r="L147" i="1"/>
  <c r="M146" i="1"/>
  <c r="L146" i="1"/>
  <c r="M145" i="1"/>
  <c r="L145" i="1"/>
  <c r="M144" i="1"/>
  <c r="L144" i="1"/>
  <c r="M142" i="1"/>
  <c r="L142" i="1"/>
  <c r="M139" i="1"/>
  <c r="L139" i="1"/>
  <c r="M136" i="1"/>
  <c r="L136" i="1"/>
  <c r="M135" i="1"/>
  <c r="L135" i="1"/>
  <c r="M134" i="1"/>
  <c r="L134" i="1"/>
  <c r="M132" i="1"/>
  <c r="L132" i="1"/>
  <c r="M131" i="1"/>
  <c r="L131" i="1"/>
  <c r="M130" i="1"/>
  <c r="L130" i="1"/>
  <c r="M129" i="1"/>
  <c r="L129" i="1"/>
  <c r="M128" i="1"/>
  <c r="L128" i="1"/>
  <c r="M127" i="1"/>
  <c r="L127" i="1"/>
  <c r="M126" i="1"/>
  <c r="L126" i="1"/>
  <c r="M125" i="1"/>
  <c r="L125" i="1"/>
  <c r="M124" i="1"/>
  <c r="L124" i="1"/>
  <c r="M123" i="1"/>
  <c r="L123" i="1"/>
  <c r="M122" i="1"/>
  <c r="L122" i="1"/>
  <c r="M118" i="1"/>
  <c r="L118" i="1"/>
  <c r="M117" i="1"/>
  <c r="L117" i="1"/>
  <c r="M115" i="1"/>
  <c r="L115" i="1"/>
  <c r="M114" i="1"/>
  <c r="L114" i="1"/>
  <c r="M110" i="1"/>
  <c r="L110" i="1"/>
  <c r="M109" i="1"/>
  <c r="L109" i="1"/>
  <c r="M108" i="1"/>
  <c r="L108" i="1"/>
  <c r="M107" i="1"/>
  <c r="L107" i="1"/>
  <c r="M106" i="1"/>
  <c r="L106" i="1"/>
  <c r="M103" i="1"/>
  <c r="L103" i="1"/>
  <c r="M102" i="1"/>
  <c r="L102" i="1"/>
  <c r="M101" i="1"/>
  <c r="L101" i="1"/>
  <c r="M99" i="1"/>
  <c r="L99" i="1"/>
  <c r="M98" i="1"/>
  <c r="L98" i="1"/>
  <c r="M97" i="1"/>
  <c r="L97" i="1"/>
  <c r="M96" i="1"/>
  <c r="L96" i="1"/>
  <c r="M95" i="1"/>
  <c r="L95" i="1"/>
  <c r="M94" i="1"/>
  <c r="L94" i="1"/>
  <c r="M93" i="1"/>
  <c r="L93" i="1"/>
  <c r="M92" i="1"/>
  <c r="L92" i="1"/>
  <c r="M91" i="1"/>
  <c r="L91" i="1"/>
  <c r="M90" i="1"/>
  <c r="L90" i="1"/>
  <c r="M89" i="1"/>
  <c r="L89" i="1"/>
  <c r="M88" i="1"/>
  <c r="L88" i="1"/>
  <c r="M87" i="1"/>
  <c r="L87" i="1"/>
  <c r="M86" i="1"/>
  <c r="L86" i="1"/>
  <c r="M85" i="1"/>
  <c r="L85" i="1"/>
  <c r="M84" i="1"/>
  <c r="L84" i="1"/>
  <c r="M83" i="1"/>
  <c r="L83" i="1"/>
  <c r="M82" i="1"/>
  <c r="L82" i="1"/>
  <c r="M81" i="1"/>
  <c r="L81" i="1"/>
  <c r="M80" i="1"/>
  <c r="L80" i="1"/>
  <c r="M79" i="1"/>
  <c r="L79" i="1"/>
  <c r="M78" i="1"/>
  <c r="L78" i="1"/>
  <c r="M74" i="1"/>
  <c r="L74" i="1"/>
  <c r="M73" i="1"/>
  <c r="L73" i="1"/>
  <c r="M72" i="1"/>
  <c r="L72" i="1"/>
  <c r="M71" i="1"/>
  <c r="L71" i="1"/>
  <c r="M69" i="1"/>
  <c r="L69" i="1"/>
  <c r="M68" i="1"/>
  <c r="L68" i="1"/>
  <c r="M67" i="1"/>
  <c r="L67" i="1"/>
  <c r="M66" i="1"/>
  <c r="L66" i="1"/>
  <c r="M65" i="1"/>
  <c r="L65" i="1"/>
  <c r="M63" i="1"/>
  <c r="L63" i="1"/>
  <c r="M62" i="1"/>
  <c r="L62" i="1"/>
  <c r="M61" i="1"/>
  <c r="L61" i="1"/>
  <c r="M60" i="1"/>
  <c r="L60" i="1"/>
  <c r="M59" i="1"/>
  <c r="L59" i="1"/>
  <c r="M58" i="1"/>
  <c r="L58" i="1"/>
  <c r="M57" i="1"/>
  <c r="L57" i="1"/>
  <c r="M56" i="1"/>
  <c r="L56" i="1"/>
  <c r="M55" i="1"/>
  <c r="L55" i="1"/>
  <c r="M53" i="1"/>
  <c r="L53" i="1"/>
  <c r="M52" i="1"/>
  <c r="L52" i="1"/>
  <c r="M51" i="1"/>
  <c r="L51" i="1"/>
  <c r="M50" i="1"/>
  <c r="L50" i="1"/>
  <c r="M49" i="1"/>
  <c r="L49" i="1"/>
  <c r="M48" i="1"/>
  <c r="L48" i="1"/>
  <c r="M47" i="1"/>
  <c r="L47" i="1"/>
  <c r="M45" i="1"/>
  <c r="L45" i="1"/>
  <c r="M44" i="1"/>
  <c r="L44" i="1"/>
  <c r="M43" i="1"/>
  <c r="L43" i="1"/>
  <c r="M42" i="1"/>
  <c r="L42" i="1"/>
  <c r="M41" i="1"/>
  <c r="L41" i="1"/>
  <c r="M40" i="1"/>
  <c r="L40" i="1"/>
  <c r="M38" i="1"/>
  <c r="L38" i="1"/>
  <c r="M37" i="1"/>
  <c r="L37" i="1"/>
  <c r="M36" i="1"/>
  <c r="L36" i="1"/>
  <c r="M35" i="1"/>
  <c r="L35" i="1"/>
  <c r="M34" i="1"/>
  <c r="L34" i="1"/>
  <c r="M33" i="1"/>
  <c r="L33" i="1"/>
  <c r="M32" i="1"/>
  <c r="L32" i="1"/>
  <c r="M31" i="1"/>
  <c r="L31" i="1"/>
  <c r="M30" i="1"/>
  <c r="L30" i="1"/>
  <c r="M29" i="1"/>
  <c r="L29" i="1"/>
  <c r="M27" i="1"/>
  <c r="L27" i="1"/>
  <c r="M26" i="1"/>
  <c r="L26" i="1"/>
  <c r="M25" i="1"/>
  <c r="L25" i="1"/>
  <c r="M24" i="1"/>
  <c r="L24" i="1"/>
  <c r="M23" i="1"/>
  <c r="L23" i="1"/>
  <c r="M22" i="1"/>
  <c r="L22" i="1"/>
  <c r="M21" i="1"/>
  <c r="L21" i="1"/>
  <c r="M20" i="1"/>
  <c r="L20" i="1"/>
  <c r="M19" i="1"/>
  <c r="L19" i="1"/>
  <c r="M17" i="1"/>
  <c r="L17" i="1"/>
  <c r="M16" i="1"/>
  <c r="L16" i="1"/>
  <c r="M15" i="1"/>
  <c r="L15" i="1"/>
  <c r="M13" i="1"/>
  <c r="L13" i="1"/>
  <c r="M12" i="1"/>
  <c r="L12" i="1"/>
  <c r="M11" i="1"/>
  <c r="L11" i="1"/>
  <c r="C167" i="1"/>
  <c r="K167" i="1" s="1"/>
  <c r="C164" i="1"/>
  <c r="K164" i="1" s="1"/>
  <c r="C161" i="1"/>
  <c r="K161" i="1" s="1"/>
  <c r="C158" i="1"/>
  <c r="K158" i="1" s="1"/>
  <c r="C155" i="1"/>
  <c r="K155" i="1" s="1"/>
  <c r="C152" i="1"/>
  <c r="K152" i="1" s="1"/>
  <c r="C149" i="1"/>
  <c r="K149" i="1" s="1"/>
  <c r="C148" i="1"/>
  <c r="K148" i="1" s="1"/>
  <c r="C147" i="1"/>
  <c r="K147" i="1" s="1"/>
  <c r="C146" i="1"/>
  <c r="K146" i="1" s="1"/>
  <c r="C145" i="1"/>
  <c r="K145" i="1" s="1"/>
  <c r="C144" i="1"/>
  <c r="K144" i="1" s="1"/>
  <c r="C142" i="1"/>
  <c r="K142" i="1" s="1"/>
  <c r="C139" i="1"/>
  <c r="K139" i="1" s="1"/>
  <c r="C136" i="1"/>
  <c r="K136" i="1" s="1"/>
  <c r="C135" i="1"/>
  <c r="K135" i="1" s="1"/>
  <c r="C134" i="1"/>
  <c r="K134" i="1" s="1"/>
  <c r="C132" i="1"/>
  <c r="K132" i="1" s="1"/>
  <c r="C131" i="1"/>
  <c r="K131" i="1" s="1"/>
  <c r="C130" i="1"/>
  <c r="K130" i="1" s="1"/>
  <c r="C129" i="1"/>
  <c r="K129" i="1" s="1"/>
  <c r="C128" i="1"/>
  <c r="K128" i="1" s="1"/>
  <c r="C127" i="1"/>
  <c r="K127" i="1" s="1"/>
  <c r="C126" i="1"/>
  <c r="K126" i="1" s="1"/>
  <c r="C125" i="1"/>
  <c r="K125" i="1" s="1"/>
  <c r="C124" i="1"/>
  <c r="K124" i="1" s="1"/>
  <c r="C123" i="1"/>
  <c r="K123" i="1" s="1"/>
  <c r="C122" i="1"/>
  <c r="K122" i="1" s="1"/>
  <c r="C118" i="1"/>
  <c r="K118" i="1" s="1"/>
  <c r="C117" i="1"/>
  <c r="K117" i="1" s="1"/>
  <c r="C115" i="1"/>
  <c r="K115" i="1" s="1"/>
  <c r="C114" i="1"/>
  <c r="K114" i="1" s="1"/>
  <c r="C110" i="1"/>
  <c r="K110" i="1" s="1"/>
  <c r="C109" i="1"/>
  <c r="K109" i="1" s="1"/>
  <c r="C108" i="1"/>
  <c r="K108" i="1" s="1"/>
  <c r="C107" i="1"/>
  <c r="K107" i="1" s="1"/>
  <c r="C106" i="1"/>
  <c r="K106" i="1" s="1"/>
  <c r="C103" i="1"/>
  <c r="K103" i="1" s="1"/>
  <c r="C102" i="1"/>
  <c r="K102" i="1" s="1"/>
  <c r="C101" i="1"/>
  <c r="K101" i="1" s="1"/>
  <c r="C99" i="1"/>
  <c r="K99" i="1" s="1"/>
  <c r="C98" i="1"/>
  <c r="K98" i="1" s="1"/>
  <c r="C97" i="1"/>
  <c r="K97" i="1" s="1"/>
  <c r="C96" i="1"/>
  <c r="K96" i="1" s="1"/>
  <c r="C95" i="1"/>
  <c r="K95" i="1" s="1"/>
  <c r="C94" i="1"/>
  <c r="K94" i="1" s="1"/>
  <c r="C93" i="1"/>
  <c r="K93" i="1" s="1"/>
  <c r="C92" i="1"/>
  <c r="K92" i="1" s="1"/>
  <c r="C91" i="1"/>
  <c r="K91" i="1" s="1"/>
  <c r="C90" i="1"/>
  <c r="K90" i="1" s="1"/>
  <c r="C89" i="1"/>
  <c r="K89" i="1" s="1"/>
  <c r="C88" i="1"/>
  <c r="K88" i="1" s="1"/>
  <c r="C87" i="1"/>
  <c r="K87" i="1" s="1"/>
  <c r="C86" i="1"/>
  <c r="K86" i="1" s="1"/>
  <c r="C85" i="1"/>
  <c r="K85" i="1" s="1"/>
  <c r="C84" i="1"/>
  <c r="K84" i="1" s="1"/>
  <c r="C83" i="1"/>
  <c r="K83" i="1" s="1"/>
  <c r="C82" i="1"/>
  <c r="K82" i="1" s="1"/>
  <c r="C81" i="1"/>
  <c r="K81" i="1" s="1"/>
  <c r="C80" i="1"/>
  <c r="K80" i="1" s="1"/>
  <c r="C79" i="1"/>
  <c r="K79" i="1" s="1"/>
  <c r="C78" i="1"/>
  <c r="K78" i="1" s="1"/>
  <c r="C74" i="1"/>
  <c r="K74" i="1" s="1"/>
  <c r="C73" i="1"/>
  <c r="K73" i="1" s="1"/>
  <c r="C72" i="1"/>
  <c r="K72" i="1" s="1"/>
  <c r="C71" i="1"/>
  <c r="K71" i="1" s="1"/>
  <c r="C69" i="1"/>
  <c r="K69" i="1" s="1"/>
  <c r="C68" i="1"/>
  <c r="K68" i="1" s="1"/>
  <c r="C67" i="1"/>
  <c r="K67" i="1" s="1"/>
  <c r="C66" i="1"/>
  <c r="K66" i="1" s="1"/>
  <c r="C65" i="1"/>
  <c r="K65" i="1" s="1"/>
  <c r="C63" i="1"/>
  <c r="K63" i="1" s="1"/>
  <c r="C62" i="1"/>
  <c r="K62" i="1" s="1"/>
  <c r="C61" i="1"/>
  <c r="K61" i="1" s="1"/>
  <c r="C60" i="1"/>
  <c r="K60" i="1" s="1"/>
  <c r="C59" i="1"/>
  <c r="K59" i="1" s="1"/>
  <c r="C58" i="1"/>
  <c r="K58" i="1" s="1"/>
  <c r="C57" i="1"/>
  <c r="K57" i="1" s="1"/>
  <c r="C56" i="1"/>
  <c r="K56" i="1" s="1"/>
  <c r="C55" i="1"/>
  <c r="K55" i="1" s="1"/>
  <c r="C53" i="1"/>
  <c r="K53" i="1" s="1"/>
  <c r="C52" i="1"/>
  <c r="K52" i="1" s="1"/>
  <c r="C51" i="1"/>
  <c r="K51" i="1" s="1"/>
  <c r="C50" i="1"/>
  <c r="K50" i="1" s="1"/>
  <c r="C49" i="1"/>
  <c r="K49" i="1" s="1"/>
  <c r="C48" i="1"/>
  <c r="K48" i="1" s="1"/>
  <c r="C47" i="1"/>
  <c r="K47" i="1" s="1"/>
  <c r="C45" i="1"/>
  <c r="K45" i="1" s="1"/>
  <c r="C44" i="1"/>
  <c r="K44" i="1" s="1"/>
  <c r="C43" i="1"/>
  <c r="K43" i="1" s="1"/>
  <c r="C42" i="1"/>
  <c r="K42" i="1" s="1"/>
  <c r="C41" i="1"/>
  <c r="K41" i="1" s="1"/>
  <c r="C40" i="1"/>
  <c r="K40" i="1" s="1"/>
  <c r="C38" i="1"/>
  <c r="K38" i="1" s="1"/>
  <c r="C37" i="1"/>
  <c r="K37" i="1" s="1"/>
  <c r="C36" i="1"/>
  <c r="K36" i="1" s="1"/>
  <c r="C35" i="1"/>
  <c r="K35" i="1" s="1"/>
  <c r="C34" i="1"/>
  <c r="K34" i="1" s="1"/>
  <c r="C33" i="1"/>
  <c r="K33" i="1" s="1"/>
  <c r="C32" i="1"/>
  <c r="K32" i="1" s="1"/>
  <c r="C31" i="1"/>
  <c r="K31" i="1" s="1"/>
  <c r="C30" i="1"/>
  <c r="K30" i="1" s="1"/>
  <c r="C29" i="1"/>
  <c r="K29" i="1" s="1"/>
  <c r="C27" i="1"/>
  <c r="K27" i="1" s="1"/>
  <c r="C26" i="1"/>
  <c r="K26" i="1" s="1"/>
  <c r="C25" i="1"/>
  <c r="K25" i="1" s="1"/>
  <c r="C24" i="1"/>
  <c r="K24" i="1" s="1"/>
  <c r="C23" i="1"/>
  <c r="K23" i="1" s="1"/>
  <c r="C22" i="1"/>
  <c r="K22" i="1" s="1"/>
  <c r="C21" i="1"/>
  <c r="K21" i="1" s="1"/>
  <c r="C20" i="1"/>
  <c r="K20" i="1" s="1"/>
  <c r="C19" i="1"/>
  <c r="K19" i="1" s="1"/>
  <c r="C17" i="1"/>
  <c r="K17" i="1" s="1"/>
  <c r="C16" i="1"/>
  <c r="K16" i="1" s="1"/>
  <c r="C15" i="1"/>
  <c r="K15" i="1" s="1"/>
  <c r="C13" i="1"/>
  <c r="K13" i="1" s="1"/>
  <c r="C12" i="1"/>
  <c r="K12" i="1" s="1"/>
  <c r="C11" i="1"/>
  <c r="K11" i="1" s="1"/>
  <c r="M10" i="1"/>
  <c r="L10" i="1"/>
  <c r="C10" i="1"/>
  <c r="K10" i="1" s="1"/>
  <c r="M167" i="37"/>
  <c r="L167" i="37"/>
  <c r="M164" i="37"/>
  <c r="L164" i="37"/>
  <c r="M161" i="37"/>
  <c r="L161" i="37"/>
  <c r="M158" i="37"/>
  <c r="L158" i="37"/>
  <c r="M155" i="37"/>
  <c r="L155" i="37"/>
  <c r="M152" i="37"/>
  <c r="L152" i="37"/>
  <c r="M149" i="37"/>
  <c r="L149" i="37"/>
  <c r="M148" i="37"/>
  <c r="L148" i="37"/>
  <c r="M147" i="37"/>
  <c r="L147" i="37"/>
  <c r="M146" i="37"/>
  <c r="L146" i="37"/>
  <c r="M145" i="37"/>
  <c r="L145" i="37"/>
  <c r="M144" i="37"/>
  <c r="L144" i="37"/>
  <c r="M142" i="37"/>
  <c r="L142" i="37"/>
  <c r="M139" i="37"/>
  <c r="L139" i="37"/>
  <c r="M136" i="37"/>
  <c r="L136" i="37"/>
  <c r="M135" i="37"/>
  <c r="L135" i="37"/>
  <c r="M134" i="37"/>
  <c r="L134" i="37"/>
  <c r="M132" i="37"/>
  <c r="L132" i="37"/>
  <c r="M131" i="37"/>
  <c r="L131" i="37"/>
  <c r="M130" i="37"/>
  <c r="L130" i="37"/>
  <c r="M129" i="37"/>
  <c r="L129" i="37"/>
  <c r="M128" i="37"/>
  <c r="L128" i="37"/>
  <c r="M127" i="37"/>
  <c r="L127" i="37"/>
  <c r="M126" i="37"/>
  <c r="L126" i="37"/>
  <c r="M125" i="37"/>
  <c r="L125" i="37"/>
  <c r="M124" i="37"/>
  <c r="L124" i="37"/>
  <c r="M123" i="37"/>
  <c r="L123" i="37"/>
  <c r="M122" i="37"/>
  <c r="L122" i="37"/>
  <c r="M118" i="37"/>
  <c r="L118" i="37"/>
  <c r="M117" i="37"/>
  <c r="L117" i="37"/>
  <c r="M110" i="37"/>
  <c r="L110" i="37"/>
  <c r="M109" i="37"/>
  <c r="L109" i="37"/>
  <c r="M108" i="37"/>
  <c r="L108" i="37"/>
  <c r="M107" i="37"/>
  <c r="L107" i="37"/>
  <c r="M106" i="37"/>
  <c r="L106" i="37"/>
  <c r="M115" i="37"/>
  <c r="L115" i="37"/>
  <c r="M114" i="37"/>
  <c r="L114" i="37"/>
  <c r="M103" i="37"/>
  <c r="L103" i="37"/>
  <c r="M102" i="37"/>
  <c r="L102" i="37"/>
  <c r="M101" i="37"/>
  <c r="L101" i="37"/>
  <c r="M99" i="37"/>
  <c r="L99" i="37"/>
  <c r="M98" i="37"/>
  <c r="L98" i="37"/>
  <c r="M97" i="37"/>
  <c r="L97" i="37"/>
  <c r="M96" i="37"/>
  <c r="L96" i="37"/>
  <c r="M95" i="37"/>
  <c r="L95" i="37"/>
  <c r="M94" i="37"/>
  <c r="L94" i="37"/>
  <c r="M93" i="37"/>
  <c r="L93" i="37"/>
  <c r="M92" i="37"/>
  <c r="L92" i="37"/>
  <c r="M91" i="37"/>
  <c r="L91" i="37"/>
  <c r="M90" i="37"/>
  <c r="L90" i="37"/>
  <c r="M89" i="37"/>
  <c r="L89" i="37"/>
  <c r="M88" i="37"/>
  <c r="L88" i="37"/>
  <c r="M87" i="37"/>
  <c r="L87" i="37"/>
  <c r="M86" i="37"/>
  <c r="L86" i="37"/>
  <c r="M85" i="37"/>
  <c r="L85" i="37"/>
  <c r="M84" i="37"/>
  <c r="L84" i="37"/>
  <c r="M83" i="37"/>
  <c r="L83" i="37"/>
  <c r="M82" i="37"/>
  <c r="L82" i="37"/>
  <c r="M81" i="37"/>
  <c r="L81" i="37"/>
  <c r="M80" i="37"/>
  <c r="L80" i="37"/>
  <c r="M79" i="37"/>
  <c r="L79" i="37"/>
  <c r="M78" i="37"/>
  <c r="L78" i="37"/>
  <c r="M74" i="37"/>
  <c r="L74" i="37"/>
  <c r="M73" i="37"/>
  <c r="L73" i="37"/>
  <c r="M72" i="37"/>
  <c r="L72" i="37"/>
  <c r="M71" i="37"/>
  <c r="L71" i="37"/>
  <c r="M69" i="37"/>
  <c r="L69" i="37"/>
  <c r="M68" i="37"/>
  <c r="L68" i="37"/>
  <c r="M67" i="37"/>
  <c r="L67" i="37"/>
  <c r="M66" i="37"/>
  <c r="L66" i="37"/>
  <c r="M65" i="37"/>
  <c r="L65" i="37"/>
  <c r="M63" i="37"/>
  <c r="L63" i="37"/>
  <c r="M62" i="37"/>
  <c r="L62" i="37"/>
  <c r="M61" i="37"/>
  <c r="L61" i="37"/>
  <c r="M60" i="37"/>
  <c r="L60" i="37"/>
  <c r="M59" i="37"/>
  <c r="L59" i="37"/>
  <c r="M58" i="37"/>
  <c r="L58" i="37"/>
  <c r="M57" i="37"/>
  <c r="L57" i="37"/>
  <c r="M56" i="37"/>
  <c r="L56" i="37"/>
  <c r="M55" i="37"/>
  <c r="L55" i="37"/>
  <c r="M53" i="37"/>
  <c r="L53" i="37"/>
  <c r="M52" i="37"/>
  <c r="L52" i="37"/>
  <c r="M51" i="37"/>
  <c r="L51" i="37"/>
  <c r="M50" i="37"/>
  <c r="L50" i="37"/>
  <c r="M49" i="37"/>
  <c r="L49" i="37"/>
  <c r="M48" i="37"/>
  <c r="L48" i="37"/>
  <c r="M47" i="37"/>
  <c r="L47" i="37"/>
  <c r="M45" i="37"/>
  <c r="L45" i="37"/>
  <c r="M44" i="37"/>
  <c r="L44" i="37"/>
  <c r="M43" i="37"/>
  <c r="L43" i="37"/>
  <c r="M42" i="37"/>
  <c r="L42" i="37"/>
  <c r="M41" i="37"/>
  <c r="L41" i="37"/>
  <c r="M40" i="37"/>
  <c r="L40" i="37"/>
  <c r="M38" i="37"/>
  <c r="L38" i="37"/>
  <c r="M37" i="37"/>
  <c r="L37" i="37"/>
  <c r="M36" i="37"/>
  <c r="L36" i="37"/>
  <c r="M35" i="37"/>
  <c r="L35" i="37"/>
  <c r="M34" i="37"/>
  <c r="L34" i="37"/>
  <c r="M33" i="37"/>
  <c r="L33" i="37"/>
  <c r="M32" i="37"/>
  <c r="L32" i="37"/>
  <c r="M31" i="37"/>
  <c r="L31" i="37"/>
  <c r="M30" i="37"/>
  <c r="L30" i="37"/>
  <c r="M29" i="37"/>
  <c r="L29" i="37"/>
  <c r="M27" i="37"/>
  <c r="L27" i="37"/>
  <c r="M26" i="37"/>
  <c r="L26" i="37"/>
  <c r="M25" i="37"/>
  <c r="L25" i="37"/>
  <c r="M24" i="37"/>
  <c r="L24" i="37"/>
  <c r="M23" i="37"/>
  <c r="L23" i="37"/>
  <c r="M22" i="37"/>
  <c r="L22" i="37"/>
  <c r="M21" i="37"/>
  <c r="L21" i="37"/>
  <c r="M20" i="37"/>
  <c r="L20" i="37"/>
  <c r="M19" i="37"/>
  <c r="L19" i="37"/>
  <c r="M17" i="37"/>
  <c r="L17" i="37"/>
  <c r="M16" i="37"/>
  <c r="L16" i="37"/>
  <c r="M15" i="37"/>
  <c r="L15" i="37"/>
  <c r="M13" i="37"/>
  <c r="L13" i="37"/>
  <c r="M12" i="37"/>
  <c r="L12" i="37"/>
  <c r="M11" i="37"/>
  <c r="L11" i="37"/>
  <c r="C152" i="37"/>
  <c r="C149" i="37"/>
  <c r="C148" i="37"/>
  <c r="C147" i="37"/>
  <c r="C146" i="37"/>
  <c r="C145" i="37"/>
  <c r="C144" i="37"/>
  <c r="C142" i="37"/>
  <c r="C139" i="37"/>
  <c r="C136" i="37"/>
  <c r="C135" i="37"/>
  <c r="C134" i="37"/>
  <c r="C132" i="37"/>
  <c r="C131" i="37"/>
  <c r="C130" i="37"/>
  <c r="C129" i="37"/>
  <c r="C128" i="37"/>
  <c r="C127" i="37"/>
  <c r="C126" i="37"/>
  <c r="C125" i="37"/>
  <c r="C124" i="37"/>
  <c r="C123" i="37"/>
  <c r="C122" i="37"/>
  <c r="C118" i="37"/>
  <c r="C117" i="37"/>
  <c r="C115" i="37"/>
  <c r="C114" i="37"/>
  <c r="C110" i="37"/>
  <c r="C109" i="37"/>
  <c r="C108" i="37"/>
  <c r="C107" i="37"/>
  <c r="C106" i="37"/>
  <c r="C103" i="37"/>
  <c r="C102" i="37"/>
  <c r="C101" i="37"/>
  <c r="C99" i="37"/>
  <c r="C98" i="37"/>
  <c r="C97" i="37"/>
  <c r="C96" i="37"/>
  <c r="C95" i="37"/>
  <c r="C94" i="37"/>
  <c r="C93" i="37"/>
  <c r="C92" i="37"/>
  <c r="C91" i="37"/>
  <c r="C90" i="37"/>
  <c r="C89" i="37"/>
  <c r="C88" i="37"/>
  <c r="C87" i="37"/>
  <c r="C86" i="37"/>
  <c r="C85" i="37"/>
  <c r="C84" i="37"/>
  <c r="C83" i="37"/>
  <c r="C82" i="37"/>
  <c r="C81" i="37"/>
  <c r="C80" i="37"/>
  <c r="C79" i="37"/>
  <c r="C78" i="37"/>
  <c r="C74" i="37"/>
  <c r="C73" i="37"/>
  <c r="C72" i="37"/>
  <c r="C71" i="37"/>
  <c r="C69" i="37"/>
  <c r="C68" i="37"/>
  <c r="C67" i="37"/>
  <c r="C66" i="37"/>
  <c r="C65" i="37"/>
  <c r="C63" i="37"/>
  <c r="C62" i="37"/>
  <c r="C61" i="37"/>
  <c r="C60" i="37"/>
  <c r="C59" i="37"/>
  <c r="C58" i="37"/>
  <c r="C57" i="37"/>
  <c r="C56" i="37"/>
  <c r="C55" i="37"/>
  <c r="C53" i="37"/>
  <c r="C52" i="37"/>
  <c r="C51" i="37"/>
  <c r="C50" i="37"/>
  <c r="C49" i="37"/>
  <c r="C48" i="37"/>
  <c r="C47" i="37"/>
  <c r="C45" i="37"/>
  <c r="C44" i="37"/>
  <c r="C43" i="37"/>
  <c r="C42" i="37"/>
  <c r="C41" i="37"/>
  <c r="C40" i="37"/>
  <c r="C38" i="37"/>
  <c r="C37" i="37"/>
  <c r="C36" i="37"/>
  <c r="C35" i="37"/>
  <c r="C34" i="37"/>
  <c r="C33" i="37"/>
  <c r="C32" i="37"/>
  <c r="C31" i="37"/>
  <c r="C30" i="37"/>
  <c r="C29" i="37"/>
  <c r="C27" i="37"/>
  <c r="C26" i="37"/>
  <c r="C25" i="37"/>
  <c r="C24" i="37"/>
  <c r="C23" i="37"/>
  <c r="C22" i="37"/>
  <c r="C21" i="37"/>
  <c r="C20" i="37"/>
  <c r="C19" i="37"/>
  <c r="C17" i="37"/>
  <c r="C16" i="37"/>
  <c r="C15" i="37"/>
  <c r="C13" i="37"/>
  <c r="C12" i="37"/>
  <c r="C11" i="37"/>
  <c r="M10" i="37"/>
  <c r="L10" i="37"/>
  <c r="C10" i="37"/>
  <c r="M167" i="34"/>
  <c r="L167" i="34"/>
  <c r="M164" i="34"/>
  <c r="L164" i="34"/>
  <c r="M161" i="34"/>
  <c r="L161" i="34"/>
  <c r="M158" i="34"/>
  <c r="L158" i="34"/>
  <c r="M155" i="34"/>
  <c r="L155" i="34"/>
  <c r="M152" i="34"/>
  <c r="L152" i="34"/>
  <c r="M149" i="34"/>
  <c r="L149" i="34"/>
  <c r="M148" i="34"/>
  <c r="L148" i="34"/>
  <c r="M147" i="34"/>
  <c r="L147" i="34"/>
  <c r="M146" i="34"/>
  <c r="L146" i="34"/>
  <c r="M145" i="34"/>
  <c r="L145" i="34"/>
  <c r="M144" i="34"/>
  <c r="L144" i="34"/>
  <c r="M142" i="34"/>
  <c r="L142" i="34"/>
  <c r="M139" i="34"/>
  <c r="L139" i="34"/>
  <c r="M136" i="34"/>
  <c r="L136" i="34"/>
  <c r="M135" i="34"/>
  <c r="L135" i="34"/>
  <c r="M134" i="34"/>
  <c r="L134" i="34"/>
  <c r="M132" i="34"/>
  <c r="L132" i="34"/>
  <c r="M131" i="34"/>
  <c r="L131" i="34"/>
  <c r="M130" i="34"/>
  <c r="L130" i="34"/>
  <c r="M129" i="34"/>
  <c r="L129" i="34"/>
  <c r="M128" i="34"/>
  <c r="L128" i="34"/>
  <c r="M127" i="34"/>
  <c r="L127" i="34"/>
  <c r="M126" i="34"/>
  <c r="L126" i="34"/>
  <c r="M125" i="34"/>
  <c r="L125" i="34"/>
  <c r="M124" i="34"/>
  <c r="L124" i="34"/>
  <c r="M123" i="34"/>
  <c r="L123" i="34"/>
  <c r="M122" i="34"/>
  <c r="L122" i="34"/>
  <c r="M118" i="34"/>
  <c r="L118" i="34"/>
  <c r="M117" i="34"/>
  <c r="L117" i="34"/>
  <c r="M115" i="34"/>
  <c r="L115" i="34"/>
  <c r="M114" i="34"/>
  <c r="L114" i="34"/>
  <c r="M110" i="34"/>
  <c r="L110" i="34"/>
  <c r="M109" i="34"/>
  <c r="L109" i="34"/>
  <c r="M108" i="34"/>
  <c r="L108" i="34"/>
  <c r="M107" i="34"/>
  <c r="L107" i="34"/>
  <c r="M106" i="34"/>
  <c r="L106" i="34"/>
  <c r="M103" i="34"/>
  <c r="L103" i="34"/>
  <c r="M102" i="34"/>
  <c r="L102" i="34"/>
  <c r="M101" i="34"/>
  <c r="L101" i="34"/>
  <c r="M99" i="34"/>
  <c r="L99" i="34"/>
  <c r="M98" i="34"/>
  <c r="L98" i="34"/>
  <c r="M97" i="34"/>
  <c r="L97" i="34"/>
  <c r="M96" i="34"/>
  <c r="L96" i="34"/>
  <c r="M95" i="34"/>
  <c r="L95" i="34"/>
  <c r="M94" i="34"/>
  <c r="L94" i="34"/>
  <c r="M93" i="34"/>
  <c r="L93" i="34"/>
  <c r="M92" i="34"/>
  <c r="L92" i="34"/>
  <c r="M91" i="34"/>
  <c r="L91" i="34"/>
  <c r="M90" i="34"/>
  <c r="L90" i="34"/>
  <c r="M89" i="34"/>
  <c r="L89" i="34"/>
  <c r="M88" i="34"/>
  <c r="L88" i="34"/>
  <c r="M87" i="34"/>
  <c r="L87" i="34"/>
  <c r="M86" i="34"/>
  <c r="L86" i="34"/>
  <c r="M85" i="34"/>
  <c r="L85" i="34"/>
  <c r="M84" i="34"/>
  <c r="L84" i="34"/>
  <c r="M83" i="34"/>
  <c r="L83" i="34"/>
  <c r="M82" i="34"/>
  <c r="L82" i="34"/>
  <c r="M81" i="34"/>
  <c r="L81" i="34"/>
  <c r="M80" i="34"/>
  <c r="L80" i="34"/>
  <c r="M79" i="34"/>
  <c r="L79" i="34"/>
  <c r="M78" i="34"/>
  <c r="L78" i="34"/>
  <c r="M74" i="34"/>
  <c r="L74" i="34"/>
  <c r="M73" i="34"/>
  <c r="L73" i="34"/>
  <c r="M72" i="34"/>
  <c r="L72" i="34"/>
  <c r="M71" i="34"/>
  <c r="L71" i="34"/>
  <c r="M69" i="34"/>
  <c r="L69" i="34"/>
  <c r="M68" i="34"/>
  <c r="L68" i="34"/>
  <c r="M67" i="34"/>
  <c r="L67" i="34"/>
  <c r="M66" i="34"/>
  <c r="L66" i="34"/>
  <c r="M65" i="34"/>
  <c r="L65" i="34"/>
  <c r="M63" i="34"/>
  <c r="L63" i="34"/>
  <c r="M62" i="34"/>
  <c r="L62" i="34"/>
  <c r="M61" i="34"/>
  <c r="L61" i="34"/>
  <c r="M60" i="34"/>
  <c r="L60" i="34"/>
  <c r="M59" i="34"/>
  <c r="L59" i="34"/>
  <c r="M58" i="34"/>
  <c r="L58" i="34"/>
  <c r="M57" i="34"/>
  <c r="L57" i="34"/>
  <c r="M56" i="34"/>
  <c r="L56" i="34"/>
  <c r="M55" i="34"/>
  <c r="L55" i="34"/>
  <c r="M53" i="34"/>
  <c r="L53" i="34"/>
  <c r="M52" i="34"/>
  <c r="L52" i="34"/>
  <c r="M51" i="34"/>
  <c r="L51" i="34"/>
  <c r="M50" i="34"/>
  <c r="L50" i="34"/>
  <c r="M49" i="34"/>
  <c r="L49" i="34"/>
  <c r="M48" i="34"/>
  <c r="L48" i="34"/>
  <c r="M47" i="34"/>
  <c r="L47" i="34"/>
  <c r="M45" i="34"/>
  <c r="L45" i="34"/>
  <c r="M44" i="34"/>
  <c r="L44" i="34"/>
  <c r="M43" i="34"/>
  <c r="L43" i="34"/>
  <c r="M42" i="34"/>
  <c r="L42" i="34"/>
  <c r="M41" i="34"/>
  <c r="L41" i="34"/>
  <c r="M40" i="34"/>
  <c r="L40" i="34"/>
  <c r="M38" i="34"/>
  <c r="L38" i="34"/>
  <c r="M37" i="34"/>
  <c r="L37" i="34"/>
  <c r="M36" i="34"/>
  <c r="L36" i="34"/>
  <c r="M35" i="34"/>
  <c r="L35" i="34"/>
  <c r="M34" i="34"/>
  <c r="L34" i="34"/>
  <c r="M33" i="34"/>
  <c r="L33" i="34"/>
  <c r="M32" i="34"/>
  <c r="L32" i="34"/>
  <c r="M31" i="34"/>
  <c r="L31" i="34"/>
  <c r="M30" i="34"/>
  <c r="L30" i="34"/>
  <c r="M29" i="34"/>
  <c r="L29" i="34"/>
  <c r="C167" i="34"/>
  <c r="C164" i="34"/>
  <c r="C161" i="34"/>
  <c r="C158" i="34"/>
  <c r="C155" i="34"/>
  <c r="C152" i="34"/>
  <c r="C149" i="34"/>
  <c r="C148" i="34"/>
  <c r="C147" i="34"/>
  <c r="C146" i="34"/>
  <c r="C145" i="34"/>
  <c r="C144" i="34"/>
  <c r="C142" i="34"/>
  <c r="C139" i="34"/>
  <c r="C136" i="34"/>
  <c r="C135" i="34"/>
  <c r="C134" i="34"/>
  <c r="C132" i="34"/>
  <c r="C131" i="34"/>
  <c r="C130" i="34"/>
  <c r="C129" i="34"/>
  <c r="C128" i="34"/>
  <c r="C127" i="34"/>
  <c r="C126" i="34"/>
  <c r="C125" i="34"/>
  <c r="C124" i="34"/>
  <c r="C123" i="34"/>
  <c r="C122" i="34"/>
  <c r="C118" i="34"/>
  <c r="C117" i="34"/>
  <c r="C115" i="34"/>
  <c r="C114" i="34"/>
  <c r="C110" i="34"/>
  <c r="C109" i="34"/>
  <c r="C108" i="34"/>
  <c r="C107" i="34"/>
  <c r="C106" i="34"/>
  <c r="C103" i="34"/>
  <c r="C102" i="34"/>
  <c r="C101" i="34"/>
  <c r="C99" i="34"/>
  <c r="C98" i="34"/>
  <c r="C97" i="34"/>
  <c r="C96" i="34"/>
  <c r="C95" i="34"/>
  <c r="C94" i="34"/>
  <c r="C93" i="34"/>
  <c r="C92" i="34"/>
  <c r="C91" i="34"/>
  <c r="C90" i="34"/>
  <c r="C89" i="34"/>
  <c r="C88" i="34"/>
  <c r="C87" i="34"/>
  <c r="C86" i="34"/>
  <c r="C85" i="34"/>
  <c r="C84" i="34"/>
  <c r="C83" i="34"/>
  <c r="C82" i="34"/>
  <c r="C81" i="34"/>
  <c r="C80" i="34"/>
  <c r="C79" i="34"/>
  <c r="C78" i="34"/>
  <c r="C74" i="34"/>
  <c r="C73" i="34"/>
  <c r="C72" i="34"/>
  <c r="C71" i="34"/>
  <c r="C69" i="34"/>
  <c r="C68" i="34"/>
  <c r="C67" i="34"/>
  <c r="C66" i="34"/>
  <c r="C65" i="34"/>
  <c r="C63" i="34"/>
  <c r="C62" i="34"/>
  <c r="C61" i="34"/>
  <c r="C60" i="34"/>
  <c r="C59" i="34"/>
  <c r="C58" i="34"/>
  <c r="C57" i="34"/>
  <c r="C56" i="34"/>
  <c r="C55" i="34"/>
  <c r="C53" i="34"/>
  <c r="C52" i="34"/>
  <c r="C51" i="34"/>
  <c r="C50" i="34"/>
  <c r="C49" i="34"/>
  <c r="C48" i="34"/>
  <c r="C47" i="34"/>
  <c r="C45" i="34"/>
  <c r="C44" i="34"/>
  <c r="C43" i="34"/>
  <c r="C42" i="34"/>
  <c r="C41" i="34"/>
  <c r="C40" i="34"/>
  <c r="C38" i="34"/>
  <c r="C37" i="34"/>
  <c r="C36" i="34"/>
  <c r="C35" i="34"/>
  <c r="C34" i="34"/>
  <c r="C33" i="34"/>
  <c r="C32" i="34"/>
  <c r="C31" i="34"/>
  <c r="C30" i="34"/>
  <c r="C29" i="34"/>
  <c r="C27" i="34"/>
  <c r="C26" i="34"/>
  <c r="C25" i="34"/>
  <c r="C24" i="34"/>
  <c r="C23" i="34"/>
  <c r="C22" i="34"/>
  <c r="C21" i="34"/>
  <c r="C20" i="34"/>
  <c r="C19" i="34"/>
  <c r="C17" i="34"/>
  <c r="C16" i="34"/>
  <c r="C15" i="34"/>
  <c r="C11" i="34"/>
  <c r="C12" i="34"/>
  <c r="C13" i="34"/>
  <c r="M10" i="34"/>
  <c r="L10" i="34"/>
  <c r="L9" i="34" s="1"/>
  <c r="C10" i="34"/>
  <c r="L28" i="34" l="1"/>
  <c r="K10" i="52"/>
  <c r="E161" i="47"/>
  <c r="F161" i="47"/>
  <c r="G161" i="47"/>
  <c r="H161" i="47"/>
  <c r="C161" i="47" l="1"/>
  <c r="D161" i="47"/>
  <c r="I161" i="47"/>
  <c r="J161" i="47" s="1"/>
  <c r="K154" i="17"/>
  <c r="K155" i="17"/>
  <c r="K156" i="17"/>
  <c r="K157" i="17"/>
  <c r="K159" i="17"/>
  <c r="K160" i="17"/>
  <c r="K150" i="17"/>
  <c r="K151" i="17"/>
  <c r="K153" i="17"/>
  <c r="K158" i="17" l="1"/>
  <c r="K152" i="17"/>
  <c r="L14" i="10"/>
  <c r="M14" i="10"/>
  <c r="L15" i="10"/>
  <c r="M15" i="10"/>
  <c r="L16" i="10"/>
  <c r="M16" i="10"/>
  <c r="L17" i="10"/>
  <c r="M17" i="10"/>
  <c r="L18" i="10"/>
  <c r="M18" i="10"/>
  <c r="L19" i="10"/>
  <c r="M19" i="10"/>
  <c r="L20" i="10"/>
  <c r="M20" i="10"/>
  <c r="C36" i="10"/>
  <c r="C34" i="10"/>
  <c r="C32" i="10"/>
  <c r="C28" i="10"/>
  <c r="C14" i="10"/>
  <c r="C15" i="10"/>
  <c r="C16" i="10"/>
  <c r="C17" i="10"/>
  <c r="C18" i="10"/>
  <c r="C19" i="10"/>
  <c r="C20" i="10"/>
  <c r="M13" i="10"/>
  <c r="L13" i="10"/>
  <c r="A24" i="31" l="1"/>
  <c r="A25" i="31"/>
  <c r="A41" i="30"/>
  <c r="A40" i="30"/>
  <c r="A39" i="30"/>
  <c r="A35" i="30"/>
  <c r="A34" i="30"/>
  <c r="A33" i="30"/>
  <c r="A32" i="30"/>
  <c r="A31" i="30"/>
  <c r="A30" i="30"/>
  <c r="A29" i="30"/>
  <c r="A28" i="30"/>
  <c r="A27" i="30"/>
  <c r="A26" i="30"/>
  <c r="A25" i="30"/>
  <c r="A21" i="30"/>
  <c r="A20" i="30"/>
  <c r="A19" i="30"/>
  <c r="A18" i="30"/>
  <c r="A17" i="30"/>
  <c r="A16" i="30"/>
  <c r="A15" i="30"/>
  <c r="A14" i="30"/>
  <c r="A13" i="30"/>
  <c r="A12" i="30"/>
  <c r="A11" i="30"/>
  <c r="A10" i="30"/>
  <c r="A9" i="30"/>
  <c r="A8" i="30"/>
  <c r="A7" i="30"/>
  <c r="A6" i="30"/>
  <c r="K55" i="18"/>
  <c r="M52" i="18"/>
  <c r="L52" i="18"/>
  <c r="I52" i="18"/>
  <c r="H52" i="18"/>
  <c r="G52" i="18"/>
  <c r="F52" i="18"/>
  <c r="E52" i="18"/>
  <c r="D52" i="18"/>
  <c r="A50" i="18"/>
  <c r="K51" i="18"/>
  <c r="M46" i="18"/>
  <c r="M40" i="12" s="1"/>
  <c r="L46" i="18"/>
  <c r="L40" i="12" s="1"/>
  <c r="I46" i="18"/>
  <c r="I40" i="12" s="1"/>
  <c r="H46" i="18"/>
  <c r="G46" i="18"/>
  <c r="F46" i="18"/>
  <c r="E46" i="18"/>
  <c r="E40" i="12" s="1"/>
  <c r="D46" i="18"/>
  <c r="D40" i="12" s="1"/>
  <c r="C46" i="18"/>
  <c r="C40" i="12" s="1"/>
  <c r="K33" i="18"/>
  <c r="M35" i="10"/>
  <c r="R34" i="30" s="1"/>
  <c r="L35" i="10"/>
  <c r="Q34" i="30" s="1"/>
  <c r="H35" i="10"/>
  <c r="G35" i="10"/>
  <c r="F35" i="10"/>
  <c r="E35" i="10"/>
  <c r="D35" i="10"/>
  <c r="C35" i="10"/>
  <c r="M145" i="17"/>
  <c r="M33" i="10" s="1"/>
  <c r="R32" i="30" s="1"/>
  <c r="L145" i="17"/>
  <c r="L33" i="10" s="1"/>
  <c r="Q32" i="30" s="1"/>
  <c r="I145" i="17"/>
  <c r="I33" i="10" s="1"/>
  <c r="H145" i="17"/>
  <c r="G145" i="17"/>
  <c r="G33" i="10" s="1"/>
  <c r="F145" i="17"/>
  <c r="E145" i="17"/>
  <c r="D145" i="17"/>
  <c r="D33" i="10" s="1"/>
  <c r="C145" i="17"/>
  <c r="C33" i="10" s="1"/>
  <c r="M101" i="17"/>
  <c r="M29" i="10" s="1"/>
  <c r="R28" i="30" s="1"/>
  <c r="L101" i="17"/>
  <c r="L29" i="10" s="1"/>
  <c r="I101" i="17"/>
  <c r="H101" i="17"/>
  <c r="H29" i="10" s="1"/>
  <c r="G15" i="7" s="1"/>
  <c r="G101" i="17"/>
  <c r="G29" i="10" s="1"/>
  <c r="F15" i="7" s="1"/>
  <c r="F101" i="17"/>
  <c r="E101" i="17"/>
  <c r="D101" i="17"/>
  <c r="D29" i="10" s="1"/>
  <c r="C15" i="7" s="1"/>
  <c r="C101" i="17"/>
  <c r="C29" i="10" s="1"/>
  <c r="B15" i="7" s="1"/>
  <c r="M67" i="17"/>
  <c r="M21" i="10" s="1"/>
  <c r="L67" i="17"/>
  <c r="L21" i="10" s="1"/>
  <c r="Q20" i="30" s="1"/>
  <c r="I67" i="17"/>
  <c r="H67" i="17"/>
  <c r="H21" i="10" s="1"/>
  <c r="G67" i="17"/>
  <c r="G21" i="10" s="1"/>
  <c r="F11" i="7" s="1"/>
  <c r="F67" i="17"/>
  <c r="F21" i="10" s="1"/>
  <c r="E11" i="7" s="1"/>
  <c r="E67" i="17"/>
  <c r="E21" i="10" s="1"/>
  <c r="D11" i="7" s="1"/>
  <c r="D67" i="17"/>
  <c r="D21" i="10" s="1"/>
  <c r="C11" i="7" s="1"/>
  <c r="C21" i="10"/>
  <c r="B11" i="7" s="1"/>
  <c r="M29" i="13"/>
  <c r="L45" i="7" s="1"/>
  <c r="L29" i="13"/>
  <c r="K45" i="7" s="1"/>
  <c r="I29" i="13"/>
  <c r="H45" i="7" s="1"/>
  <c r="H29" i="13"/>
  <c r="G45" i="7" s="1"/>
  <c r="G29" i="13"/>
  <c r="F45" i="7" s="1"/>
  <c r="F29" i="13"/>
  <c r="E45" i="7" s="1"/>
  <c r="E29" i="13"/>
  <c r="D29" i="13"/>
  <c r="C45" i="7" s="1"/>
  <c r="C29" i="13"/>
  <c r="B45" i="7" s="1"/>
  <c r="A71" i="11"/>
  <c r="A22" i="7"/>
  <c r="A23" i="7"/>
  <c r="R21" i="31"/>
  <c r="R33" i="31" s="1"/>
  <c r="Q21" i="31"/>
  <c r="Q33" i="31" s="1"/>
  <c r="P21" i="31"/>
  <c r="P33" i="31" s="1"/>
  <c r="M21" i="31"/>
  <c r="M33" i="31" s="1"/>
  <c r="L21" i="31"/>
  <c r="L33" i="31" s="1"/>
  <c r="K21" i="31"/>
  <c r="K33" i="31" s="1"/>
  <c r="J21" i="31"/>
  <c r="J33" i="31" s="1"/>
  <c r="I21" i="31"/>
  <c r="I33" i="31" s="1"/>
  <c r="H21" i="31"/>
  <c r="H33" i="31" s="1"/>
  <c r="G21" i="31"/>
  <c r="G33" i="31" s="1"/>
  <c r="F21" i="31"/>
  <c r="F33" i="31" s="1"/>
  <c r="E21" i="31"/>
  <c r="E33" i="31" s="1"/>
  <c r="D21" i="31"/>
  <c r="D33" i="31" s="1"/>
  <c r="C21" i="31"/>
  <c r="C33" i="31" s="1"/>
  <c r="H22" i="30"/>
  <c r="G22" i="30"/>
  <c r="F22" i="30"/>
  <c r="E22" i="30"/>
  <c r="D22" i="30"/>
  <c r="C22" i="30"/>
  <c r="K160" i="15"/>
  <c r="K156" i="15"/>
  <c r="K153" i="15"/>
  <c r="K149" i="15"/>
  <c r="K185" i="46"/>
  <c r="A185" i="46"/>
  <c r="K184" i="46"/>
  <c r="A184" i="46"/>
  <c r="K62" i="46"/>
  <c r="K63" i="46"/>
  <c r="C9" i="53"/>
  <c r="C72" i="15" s="1"/>
  <c r="D9" i="53"/>
  <c r="F9" i="53"/>
  <c r="G9" i="53"/>
  <c r="H9" i="53"/>
  <c r="I9" i="53"/>
  <c r="L9" i="53"/>
  <c r="L72" i="15" s="1"/>
  <c r="M9" i="53"/>
  <c r="M72" i="15" s="1"/>
  <c r="K10" i="53"/>
  <c r="K11" i="53"/>
  <c r="K12" i="53"/>
  <c r="K13" i="53"/>
  <c r="C14" i="53"/>
  <c r="C73" i="15" s="1"/>
  <c r="D14" i="53"/>
  <c r="E14" i="53"/>
  <c r="E73" i="15" s="1"/>
  <c r="F14" i="53"/>
  <c r="F73" i="15" s="1"/>
  <c r="G14" i="53"/>
  <c r="G73" i="15" s="1"/>
  <c r="H14" i="53"/>
  <c r="H73" i="15" s="1"/>
  <c r="I14" i="53"/>
  <c r="L14" i="53"/>
  <c r="L73" i="15" s="1"/>
  <c r="M14" i="53"/>
  <c r="M73" i="15" s="1"/>
  <c r="K15" i="53"/>
  <c r="K16" i="53"/>
  <c r="K17" i="53"/>
  <c r="C18" i="53"/>
  <c r="C74" i="15" s="1"/>
  <c r="D18" i="53"/>
  <c r="E18" i="53"/>
  <c r="E74" i="15" s="1"/>
  <c r="F18" i="53"/>
  <c r="F74" i="15" s="1"/>
  <c r="G18" i="53"/>
  <c r="G74" i="15" s="1"/>
  <c r="H18" i="53"/>
  <c r="I18" i="53"/>
  <c r="L18" i="53"/>
  <c r="L74" i="15" s="1"/>
  <c r="M18" i="53"/>
  <c r="M74" i="15" s="1"/>
  <c r="K19" i="53"/>
  <c r="K20" i="53"/>
  <c r="K21" i="53"/>
  <c r="K22" i="53"/>
  <c r="K23" i="53"/>
  <c r="K24" i="53"/>
  <c r="K25" i="53"/>
  <c r="K26" i="53"/>
  <c r="K27" i="53"/>
  <c r="C28" i="53"/>
  <c r="D28" i="53"/>
  <c r="E28" i="53"/>
  <c r="F28" i="53"/>
  <c r="F75" i="15" s="1"/>
  <c r="G28" i="53"/>
  <c r="G75" i="15" s="1"/>
  <c r="H28" i="53"/>
  <c r="H75" i="15" s="1"/>
  <c r="I28" i="53"/>
  <c r="L28" i="53"/>
  <c r="L75" i="15" s="1"/>
  <c r="M28" i="53"/>
  <c r="M75" i="15" s="1"/>
  <c r="K29" i="53"/>
  <c r="K30" i="53"/>
  <c r="K31" i="53"/>
  <c r="K32" i="53"/>
  <c r="K33" i="53"/>
  <c r="K34" i="53"/>
  <c r="K35" i="53"/>
  <c r="K36" i="53"/>
  <c r="K37" i="53"/>
  <c r="K38" i="53"/>
  <c r="C39" i="53"/>
  <c r="C76" i="15" s="1"/>
  <c r="D39" i="53"/>
  <c r="E39" i="53"/>
  <c r="E76" i="15" s="1"/>
  <c r="F39" i="53"/>
  <c r="F76" i="15" s="1"/>
  <c r="G39" i="53"/>
  <c r="G76" i="15" s="1"/>
  <c r="H39" i="53"/>
  <c r="H76" i="15" s="1"/>
  <c r="I39" i="53"/>
  <c r="L39" i="53"/>
  <c r="L76" i="15" s="1"/>
  <c r="M39" i="53"/>
  <c r="M76" i="15" s="1"/>
  <c r="K40" i="53"/>
  <c r="K41" i="53"/>
  <c r="K42" i="53"/>
  <c r="K43" i="53"/>
  <c r="K44" i="53"/>
  <c r="K45" i="53"/>
  <c r="C46" i="53"/>
  <c r="C77" i="15" s="1"/>
  <c r="D46" i="53"/>
  <c r="E46" i="53"/>
  <c r="F46" i="53"/>
  <c r="F77" i="15" s="1"/>
  <c r="G46" i="53"/>
  <c r="G77" i="15" s="1"/>
  <c r="H46" i="53"/>
  <c r="H77" i="15" s="1"/>
  <c r="I46" i="53"/>
  <c r="L46" i="53"/>
  <c r="L77" i="15" s="1"/>
  <c r="M46" i="53"/>
  <c r="M77" i="15" s="1"/>
  <c r="K47" i="53"/>
  <c r="K48" i="53"/>
  <c r="K49" i="53"/>
  <c r="K50" i="53"/>
  <c r="K51" i="53"/>
  <c r="K52" i="53"/>
  <c r="K53" i="53"/>
  <c r="C54" i="53"/>
  <c r="C78" i="15" s="1"/>
  <c r="D54" i="53"/>
  <c r="E54" i="53"/>
  <c r="F54" i="53"/>
  <c r="F78" i="15" s="1"/>
  <c r="G54" i="53"/>
  <c r="G78" i="15" s="1"/>
  <c r="H54" i="53"/>
  <c r="H78" i="15" s="1"/>
  <c r="I54" i="53"/>
  <c r="L54" i="53"/>
  <c r="L78" i="15" s="1"/>
  <c r="M54" i="53"/>
  <c r="M78" i="15" s="1"/>
  <c r="K55" i="53"/>
  <c r="K56" i="53"/>
  <c r="K57" i="53"/>
  <c r="K58" i="53"/>
  <c r="K59" i="53"/>
  <c r="K60" i="53"/>
  <c r="K61" i="53"/>
  <c r="K62" i="53"/>
  <c r="K63" i="53"/>
  <c r="C64" i="53"/>
  <c r="C79" i="15" s="1"/>
  <c r="D64" i="53"/>
  <c r="E64" i="53"/>
  <c r="E79" i="15" s="1"/>
  <c r="F64" i="53"/>
  <c r="G64" i="53"/>
  <c r="G79" i="15" s="1"/>
  <c r="H64" i="53"/>
  <c r="H79" i="15" s="1"/>
  <c r="I64" i="53"/>
  <c r="L64" i="53"/>
  <c r="L79" i="15" s="1"/>
  <c r="M64" i="53"/>
  <c r="M79" i="15" s="1"/>
  <c r="K65" i="53"/>
  <c r="K66" i="53"/>
  <c r="K67" i="53"/>
  <c r="K68" i="53"/>
  <c r="K69" i="53"/>
  <c r="C70" i="53"/>
  <c r="C80" i="15" s="1"/>
  <c r="D70" i="53"/>
  <c r="E70" i="53"/>
  <c r="F70" i="53"/>
  <c r="F80" i="15" s="1"/>
  <c r="G70" i="53"/>
  <c r="G80" i="15" s="1"/>
  <c r="H70" i="53"/>
  <c r="H80" i="15" s="1"/>
  <c r="I70" i="53"/>
  <c r="L70" i="53"/>
  <c r="L80" i="15" s="1"/>
  <c r="M70" i="53"/>
  <c r="M80" i="15" s="1"/>
  <c r="K71" i="53"/>
  <c r="K72" i="53"/>
  <c r="K73" i="53"/>
  <c r="K74" i="53"/>
  <c r="C77" i="53"/>
  <c r="C82" i="15" s="1"/>
  <c r="D77" i="53"/>
  <c r="E77" i="53"/>
  <c r="F77" i="53"/>
  <c r="G77" i="53"/>
  <c r="H77" i="53"/>
  <c r="H82" i="15" s="1"/>
  <c r="I77" i="53"/>
  <c r="L77" i="53"/>
  <c r="L82" i="15" s="1"/>
  <c r="M77" i="53"/>
  <c r="M82" i="15" s="1"/>
  <c r="K78" i="53"/>
  <c r="K79" i="53"/>
  <c r="K80" i="53"/>
  <c r="K81" i="53"/>
  <c r="K82" i="53"/>
  <c r="K83" i="53"/>
  <c r="K84" i="53"/>
  <c r="K85" i="53"/>
  <c r="K86" i="53"/>
  <c r="K87" i="53"/>
  <c r="K88" i="53"/>
  <c r="K89" i="53"/>
  <c r="K90" i="53"/>
  <c r="K91" i="53"/>
  <c r="K92" i="53"/>
  <c r="K93" i="53"/>
  <c r="K94" i="53"/>
  <c r="K95" i="53"/>
  <c r="K96" i="53"/>
  <c r="K97" i="53"/>
  <c r="K98" i="53"/>
  <c r="K99" i="53"/>
  <c r="C100" i="53"/>
  <c r="C83" i="15" s="1"/>
  <c r="D100" i="53"/>
  <c r="E100" i="53"/>
  <c r="E83" i="15" s="1"/>
  <c r="F100" i="53"/>
  <c r="G100" i="53"/>
  <c r="G83" i="15" s="1"/>
  <c r="H100" i="53"/>
  <c r="I100" i="53"/>
  <c r="L100" i="53"/>
  <c r="M100" i="53"/>
  <c r="M83" i="15" s="1"/>
  <c r="K101" i="53"/>
  <c r="K102" i="53"/>
  <c r="K103" i="53"/>
  <c r="C105" i="53"/>
  <c r="C85" i="15" s="1"/>
  <c r="D105" i="53"/>
  <c r="E105" i="53"/>
  <c r="E85" i="15" s="1"/>
  <c r="F105" i="53"/>
  <c r="G105" i="53"/>
  <c r="G85" i="15" s="1"/>
  <c r="H105" i="53"/>
  <c r="H85" i="15" s="1"/>
  <c r="I105" i="53"/>
  <c r="L105" i="53"/>
  <c r="L85" i="15" s="1"/>
  <c r="M105" i="53"/>
  <c r="M85" i="15" s="1"/>
  <c r="K106" i="53"/>
  <c r="K107" i="53"/>
  <c r="K108" i="53"/>
  <c r="K109" i="53"/>
  <c r="K110" i="53"/>
  <c r="C113" i="53"/>
  <c r="C86" i="15" s="1"/>
  <c r="D113" i="53"/>
  <c r="E113" i="53"/>
  <c r="F113" i="53"/>
  <c r="G113" i="53"/>
  <c r="H113" i="53"/>
  <c r="H86" i="15" s="1"/>
  <c r="I113" i="53"/>
  <c r="L113" i="53"/>
  <c r="L86" i="15" s="1"/>
  <c r="M113" i="53"/>
  <c r="K114" i="53"/>
  <c r="K115" i="53"/>
  <c r="C116" i="53"/>
  <c r="D116" i="53"/>
  <c r="E116" i="53"/>
  <c r="E87" i="15" s="1"/>
  <c r="F116" i="53"/>
  <c r="F87" i="15" s="1"/>
  <c r="G116" i="53"/>
  <c r="G87" i="15" s="1"/>
  <c r="H116" i="53"/>
  <c r="I116" i="53"/>
  <c r="L116" i="53"/>
  <c r="L87" i="15" s="1"/>
  <c r="M116" i="53"/>
  <c r="M87" i="15" s="1"/>
  <c r="K117" i="53"/>
  <c r="K118" i="53"/>
  <c r="C121" i="53"/>
  <c r="C89" i="15" s="1"/>
  <c r="D121" i="53"/>
  <c r="E121" i="53"/>
  <c r="E89" i="15" s="1"/>
  <c r="F121" i="53"/>
  <c r="G121" i="53"/>
  <c r="H121" i="53"/>
  <c r="I121" i="53"/>
  <c r="L121" i="53"/>
  <c r="L89" i="15" s="1"/>
  <c r="M121" i="53"/>
  <c r="M89" i="15" s="1"/>
  <c r="K122" i="53"/>
  <c r="K123" i="53"/>
  <c r="K124" i="53"/>
  <c r="K125" i="53"/>
  <c r="K126" i="53"/>
  <c r="K127" i="53"/>
  <c r="K128" i="53"/>
  <c r="K129" i="53"/>
  <c r="K130" i="53"/>
  <c r="K131" i="53"/>
  <c r="K132" i="53"/>
  <c r="C133" i="53"/>
  <c r="C90" i="15" s="1"/>
  <c r="D133" i="53"/>
  <c r="E133" i="53"/>
  <c r="F133" i="53"/>
  <c r="F90" i="15" s="1"/>
  <c r="G133" i="53"/>
  <c r="G90" i="15" s="1"/>
  <c r="H133" i="53"/>
  <c r="H90" i="15" s="1"/>
  <c r="I133" i="53"/>
  <c r="L133" i="53"/>
  <c r="L90" i="15" s="1"/>
  <c r="M133" i="53"/>
  <c r="M90" i="15" s="1"/>
  <c r="K134" i="53"/>
  <c r="K135" i="53"/>
  <c r="K136" i="53"/>
  <c r="C138" i="53"/>
  <c r="C92" i="15" s="1"/>
  <c r="D138" i="53"/>
  <c r="E138" i="53"/>
  <c r="E92" i="15" s="1"/>
  <c r="F138" i="53"/>
  <c r="G138" i="53"/>
  <c r="G92" i="15" s="1"/>
  <c r="H138" i="53"/>
  <c r="H92" i="15" s="1"/>
  <c r="I138" i="53"/>
  <c r="L138" i="53"/>
  <c r="L92" i="15" s="1"/>
  <c r="M138" i="53"/>
  <c r="M92" i="15" s="1"/>
  <c r="K139" i="53"/>
  <c r="K142" i="53"/>
  <c r="K93" i="15" s="1"/>
  <c r="C143" i="53"/>
  <c r="D143" i="53"/>
  <c r="E143" i="53"/>
  <c r="E141" i="53" s="1"/>
  <c r="F143" i="53"/>
  <c r="F94" i="15" s="1"/>
  <c r="G143" i="53"/>
  <c r="G141" i="53" s="1"/>
  <c r="H143" i="53"/>
  <c r="H94" i="15" s="1"/>
  <c r="I143" i="53"/>
  <c r="L143" i="53"/>
  <c r="M143" i="53"/>
  <c r="M141" i="53" s="1"/>
  <c r="K144" i="53"/>
  <c r="K145" i="53"/>
  <c r="K146" i="53"/>
  <c r="K147" i="53"/>
  <c r="K148" i="53"/>
  <c r="K149" i="53"/>
  <c r="C151" i="53"/>
  <c r="C96" i="15" s="1"/>
  <c r="D151" i="53"/>
  <c r="E151" i="53"/>
  <c r="E96" i="15" s="1"/>
  <c r="F151" i="53"/>
  <c r="G151" i="53"/>
  <c r="G96" i="15" s="1"/>
  <c r="H151" i="53"/>
  <c r="H96" i="15" s="1"/>
  <c r="I151" i="53"/>
  <c r="L151" i="53"/>
  <c r="L96" i="15" s="1"/>
  <c r="M151" i="53"/>
  <c r="M96" i="15" s="1"/>
  <c r="K152" i="53"/>
  <c r="C154" i="53"/>
  <c r="C97" i="15" s="1"/>
  <c r="D154" i="53"/>
  <c r="E154" i="53"/>
  <c r="E97" i="15" s="1"/>
  <c r="F154" i="53"/>
  <c r="F97" i="15" s="1"/>
  <c r="G154" i="53"/>
  <c r="G97" i="15" s="1"/>
  <c r="H154" i="53"/>
  <c r="H97" i="15" s="1"/>
  <c r="I154" i="53"/>
  <c r="L154" i="53"/>
  <c r="L97" i="15" s="1"/>
  <c r="M154" i="53"/>
  <c r="M97" i="15" s="1"/>
  <c r="K155" i="53"/>
  <c r="C157" i="53"/>
  <c r="C98" i="15" s="1"/>
  <c r="D157" i="53"/>
  <c r="E157" i="53"/>
  <c r="F157" i="53"/>
  <c r="F98" i="15" s="1"/>
  <c r="G157" i="53"/>
  <c r="G98" i="15" s="1"/>
  <c r="H157" i="53"/>
  <c r="H98" i="15" s="1"/>
  <c r="I157" i="53"/>
  <c r="L157" i="53"/>
  <c r="L98" i="15" s="1"/>
  <c r="M157" i="53"/>
  <c r="M98" i="15" s="1"/>
  <c r="K158" i="53"/>
  <c r="C160" i="53"/>
  <c r="C99" i="15" s="1"/>
  <c r="D160" i="53"/>
  <c r="E160" i="53"/>
  <c r="F160" i="53"/>
  <c r="G160" i="53"/>
  <c r="G99" i="15" s="1"/>
  <c r="H160" i="53"/>
  <c r="H99" i="15" s="1"/>
  <c r="I160" i="53"/>
  <c r="L160" i="53"/>
  <c r="L99" i="15" s="1"/>
  <c r="M160" i="53"/>
  <c r="M99" i="15" s="1"/>
  <c r="K161" i="53"/>
  <c r="C163" i="53"/>
  <c r="C100" i="15" s="1"/>
  <c r="D163" i="53"/>
  <c r="E163" i="53"/>
  <c r="E100" i="15" s="1"/>
  <c r="F163" i="53"/>
  <c r="F100" i="15" s="1"/>
  <c r="G163" i="53"/>
  <c r="G100" i="15" s="1"/>
  <c r="H163" i="53"/>
  <c r="H100" i="15" s="1"/>
  <c r="I163" i="53"/>
  <c r="L163" i="53"/>
  <c r="L100" i="15" s="1"/>
  <c r="M163" i="53"/>
  <c r="M100" i="15" s="1"/>
  <c r="K164" i="53"/>
  <c r="C166" i="53"/>
  <c r="C101" i="15" s="1"/>
  <c r="D166" i="53"/>
  <c r="E166" i="53"/>
  <c r="F166" i="53"/>
  <c r="F101" i="15" s="1"/>
  <c r="G166" i="53"/>
  <c r="H166" i="53"/>
  <c r="I166" i="53"/>
  <c r="L166" i="53"/>
  <c r="L101" i="15" s="1"/>
  <c r="M166" i="53"/>
  <c r="M101" i="15" s="1"/>
  <c r="K167" i="53"/>
  <c r="C9" i="37"/>
  <c r="C40" i="15" s="1"/>
  <c r="D9" i="37"/>
  <c r="E9" i="37"/>
  <c r="F9" i="37"/>
  <c r="G9" i="37"/>
  <c r="H9" i="37"/>
  <c r="I9" i="37"/>
  <c r="L9" i="37"/>
  <c r="L40" i="15" s="1"/>
  <c r="M9" i="37"/>
  <c r="M40" i="15" s="1"/>
  <c r="K10" i="37"/>
  <c r="K11" i="37"/>
  <c r="K12" i="37"/>
  <c r="K13" i="37"/>
  <c r="C14" i="37"/>
  <c r="C41" i="15" s="1"/>
  <c r="D14" i="37"/>
  <c r="E14" i="37"/>
  <c r="E41" i="15" s="1"/>
  <c r="F14" i="37"/>
  <c r="F41" i="15" s="1"/>
  <c r="G14" i="37"/>
  <c r="G41" i="15" s="1"/>
  <c r="H14" i="37"/>
  <c r="H41" i="15" s="1"/>
  <c r="I14" i="37"/>
  <c r="J14" i="37" s="1"/>
  <c r="L14" i="37"/>
  <c r="L41" i="15" s="1"/>
  <c r="M14" i="37"/>
  <c r="M41" i="15" s="1"/>
  <c r="K15" i="37"/>
  <c r="K16" i="37"/>
  <c r="K17" i="37"/>
  <c r="C18" i="37"/>
  <c r="C42" i="15" s="1"/>
  <c r="D18" i="37"/>
  <c r="E18" i="37"/>
  <c r="F18" i="37"/>
  <c r="G18" i="37"/>
  <c r="G42" i="15" s="1"/>
  <c r="H18" i="37"/>
  <c r="I18" i="37"/>
  <c r="L18" i="37"/>
  <c r="L42" i="15" s="1"/>
  <c r="M18" i="37"/>
  <c r="M42" i="15" s="1"/>
  <c r="K19" i="37"/>
  <c r="K20" i="37"/>
  <c r="K21" i="37"/>
  <c r="K22" i="37"/>
  <c r="K23" i="37"/>
  <c r="K24" i="37"/>
  <c r="K25" i="37"/>
  <c r="K26" i="37"/>
  <c r="K27" i="37"/>
  <c r="C28" i="37"/>
  <c r="C43" i="15" s="1"/>
  <c r="D28" i="37"/>
  <c r="E28" i="37"/>
  <c r="F28" i="37"/>
  <c r="F43" i="15" s="1"/>
  <c r="G28" i="37"/>
  <c r="G43" i="15" s="1"/>
  <c r="H28" i="37"/>
  <c r="H43" i="15" s="1"/>
  <c r="I28" i="37"/>
  <c r="L28" i="37"/>
  <c r="L43" i="15" s="1"/>
  <c r="M28" i="37"/>
  <c r="M43" i="15" s="1"/>
  <c r="K29" i="37"/>
  <c r="K30" i="37"/>
  <c r="K31" i="37"/>
  <c r="K32" i="37"/>
  <c r="K33" i="37"/>
  <c r="K34" i="37"/>
  <c r="K35" i="37"/>
  <c r="K36" i="37"/>
  <c r="K37" i="37"/>
  <c r="K38" i="37"/>
  <c r="C39" i="37"/>
  <c r="C44" i="15" s="1"/>
  <c r="D39" i="37"/>
  <c r="E39" i="37"/>
  <c r="E44" i="15" s="1"/>
  <c r="F39" i="37"/>
  <c r="G39" i="37"/>
  <c r="H39" i="37"/>
  <c r="H44" i="15" s="1"/>
  <c r="I39" i="37"/>
  <c r="L39" i="37"/>
  <c r="L44" i="15" s="1"/>
  <c r="M39" i="37"/>
  <c r="M44" i="15" s="1"/>
  <c r="K40" i="37"/>
  <c r="K41" i="37"/>
  <c r="K42" i="37"/>
  <c r="K43" i="37"/>
  <c r="K44" i="37"/>
  <c r="K45" i="37"/>
  <c r="C46" i="37"/>
  <c r="D46" i="37"/>
  <c r="E46" i="37"/>
  <c r="E45" i="15" s="1"/>
  <c r="F46" i="37"/>
  <c r="F45" i="15" s="1"/>
  <c r="G46" i="37"/>
  <c r="H46" i="37"/>
  <c r="I46" i="37"/>
  <c r="L46" i="37"/>
  <c r="L45" i="15" s="1"/>
  <c r="M46" i="37"/>
  <c r="M45" i="15" s="1"/>
  <c r="K47" i="37"/>
  <c r="K48" i="37"/>
  <c r="K49" i="37"/>
  <c r="K50" i="37"/>
  <c r="K51" i="37"/>
  <c r="K52" i="37"/>
  <c r="K53" i="37"/>
  <c r="C54" i="37"/>
  <c r="C46" i="15" s="1"/>
  <c r="D54" i="37"/>
  <c r="E54" i="37"/>
  <c r="F54" i="37"/>
  <c r="F46" i="15" s="1"/>
  <c r="G54" i="37"/>
  <c r="G46" i="15" s="1"/>
  <c r="H54" i="37"/>
  <c r="H46" i="15" s="1"/>
  <c r="I54" i="37"/>
  <c r="L54" i="37"/>
  <c r="L46" i="15" s="1"/>
  <c r="M54" i="37"/>
  <c r="M46" i="15" s="1"/>
  <c r="K55" i="37"/>
  <c r="K56" i="37"/>
  <c r="K57" i="37"/>
  <c r="K58" i="37"/>
  <c r="K59" i="37"/>
  <c r="K60" i="37"/>
  <c r="K61" i="37"/>
  <c r="K62" i="37"/>
  <c r="K63" i="37"/>
  <c r="C64" i="37"/>
  <c r="C47" i="15" s="1"/>
  <c r="D64" i="37"/>
  <c r="E64" i="37"/>
  <c r="E47" i="15" s="1"/>
  <c r="F64" i="37"/>
  <c r="F47" i="15" s="1"/>
  <c r="G64" i="37"/>
  <c r="G47" i="15" s="1"/>
  <c r="H64" i="37"/>
  <c r="I64" i="37"/>
  <c r="L64" i="37"/>
  <c r="L47" i="15" s="1"/>
  <c r="M64" i="37"/>
  <c r="M47" i="15" s="1"/>
  <c r="K65" i="37"/>
  <c r="K66" i="37"/>
  <c r="K67" i="37"/>
  <c r="K68" i="37"/>
  <c r="K69" i="37"/>
  <c r="C70" i="37"/>
  <c r="C48" i="15" s="1"/>
  <c r="D70" i="37"/>
  <c r="E70" i="37"/>
  <c r="F70" i="37"/>
  <c r="F48" i="15" s="1"/>
  <c r="G70" i="37"/>
  <c r="G48" i="15" s="1"/>
  <c r="H70" i="37"/>
  <c r="H48" i="15" s="1"/>
  <c r="I70" i="37"/>
  <c r="L70" i="37"/>
  <c r="L48" i="15" s="1"/>
  <c r="M70" i="37"/>
  <c r="M48" i="15" s="1"/>
  <c r="K71" i="37"/>
  <c r="K72" i="37"/>
  <c r="K73" i="37"/>
  <c r="K74" i="37"/>
  <c r="C77" i="37"/>
  <c r="C50" i="15" s="1"/>
  <c r="D77" i="37"/>
  <c r="E77" i="37"/>
  <c r="F77" i="37"/>
  <c r="F50" i="15" s="1"/>
  <c r="G77" i="37"/>
  <c r="H77" i="37"/>
  <c r="I77" i="37"/>
  <c r="L77" i="37"/>
  <c r="L50" i="15" s="1"/>
  <c r="M77" i="37"/>
  <c r="M50" i="15" s="1"/>
  <c r="K78" i="37"/>
  <c r="K79" i="37"/>
  <c r="K80" i="37"/>
  <c r="K81" i="37"/>
  <c r="K82" i="37"/>
  <c r="K83" i="37"/>
  <c r="K84" i="37"/>
  <c r="K85" i="37"/>
  <c r="K86" i="37"/>
  <c r="K87" i="37"/>
  <c r="K88" i="37"/>
  <c r="K89" i="37"/>
  <c r="K90" i="37"/>
  <c r="K91" i="37"/>
  <c r="K92" i="37"/>
  <c r="K93" i="37"/>
  <c r="K94" i="37"/>
  <c r="K95" i="37"/>
  <c r="K96" i="37"/>
  <c r="K97" i="37"/>
  <c r="K98" i="37"/>
  <c r="K99" i="37"/>
  <c r="C100" i="37"/>
  <c r="C51" i="15" s="1"/>
  <c r="D100" i="37"/>
  <c r="E100" i="37"/>
  <c r="E51" i="15" s="1"/>
  <c r="F100" i="37"/>
  <c r="F51" i="15" s="1"/>
  <c r="G100" i="37"/>
  <c r="H100" i="37"/>
  <c r="H51" i="15" s="1"/>
  <c r="I100" i="37"/>
  <c r="J100" i="37" s="1"/>
  <c r="L100" i="37"/>
  <c r="L51" i="15" s="1"/>
  <c r="M100" i="37"/>
  <c r="M51" i="15" s="1"/>
  <c r="K101" i="37"/>
  <c r="K102" i="37"/>
  <c r="K103" i="37"/>
  <c r="C105" i="37"/>
  <c r="C53" i="15" s="1"/>
  <c r="D105" i="37"/>
  <c r="E105" i="37"/>
  <c r="F105" i="37"/>
  <c r="F53" i="15" s="1"/>
  <c r="G105" i="37"/>
  <c r="G53" i="15" s="1"/>
  <c r="H105" i="37"/>
  <c r="I105" i="37"/>
  <c r="L105" i="37"/>
  <c r="L53" i="15" s="1"/>
  <c r="M105" i="37"/>
  <c r="M53" i="15" s="1"/>
  <c r="K106" i="37"/>
  <c r="K107" i="37"/>
  <c r="K108" i="37"/>
  <c r="K109" i="37"/>
  <c r="K110" i="37"/>
  <c r="C113" i="37"/>
  <c r="C54" i="15" s="1"/>
  <c r="D113" i="37"/>
  <c r="E113" i="37"/>
  <c r="F113" i="37"/>
  <c r="G113" i="37"/>
  <c r="G54" i="15" s="1"/>
  <c r="H113" i="37"/>
  <c r="H54" i="15" s="1"/>
  <c r="I113" i="37"/>
  <c r="L113" i="37"/>
  <c r="L54" i="15" s="1"/>
  <c r="M113" i="37"/>
  <c r="M54" i="15" s="1"/>
  <c r="K114" i="37"/>
  <c r="K115" i="37"/>
  <c r="C116" i="37"/>
  <c r="D116" i="37"/>
  <c r="E116" i="37"/>
  <c r="F116" i="37"/>
  <c r="F55" i="15" s="1"/>
  <c r="G116" i="37"/>
  <c r="G55" i="15" s="1"/>
  <c r="H116" i="37"/>
  <c r="H55" i="15" s="1"/>
  <c r="I116" i="37"/>
  <c r="J116" i="37" s="1"/>
  <c r="L116" i="37"/>
  <c r="L55" i="15" s="1"/>
  <c r="M116" i="37"/>
  <c r="K117" i="37"/>
  <c r="K118" i="37"/>
  <c r="C121" i="37"/>
  <c r="C57" i="15" s="1"/>
  <c r="D121" i="37"/>
  <c r="E121" i="37"/>
  <c r="F121" i="37"/>
  <c r="G121" i="37"/>
  <c r="H121" i="37"/>
  <c r="I121" i="37"/>
  <c r="L121" i="37"/>
  <c r="L57" i="15" s="1"/>
  <c r="M121" i="37"/>
  <c r="M57" i="15" s="1"/>
  <c r="K122" i="37"/>
  <c r="K123" i="37"/>
  <c r="K124" i="37"/>
  <c r="K125" i="37"/>
  <c r="K126" i="37"/>
  <c r="K127" i="37"/>
  <c r="K128" i="37"/>
  <c r="K129" i="37"/>
  <c r="K130" i="37"/>
  <c r="K131" i="37"/>
  <c r="K132" i="37"/>
  <c r="C133" i="37"/>
  <c r="C58" i="15" s="1"/>
  <c r="D133" i="37"/>
  <c r="E133" i="37"/>
  <c r="F133" i="37"/>
  <c r="F58" i="15" s="1"/>
  <c r="G133" i="37"/>
  <c r="G58" i="15" s="1"/>
  <c r="H133" i="37"/>
  <c r="I133" i="37"/>
  <c r="J133" i="37" s="1"/>
  <c r="L133" i="37"/>
  <c r="L58" i="15" s="1"/>
  <c r="M133" i="37"/>
  <c r="M58" i="15" s="1"/>
  <c r="K134" i="37"/>
  <c r="K135" i="37"/>
  <c r="K136" i="37"/>
  <c r="C138" i="37"/>
  <c r="C60" i="15" s="1"/>
  <c r="D138" i="37"/>
  <c r="E138" i="37"/>
  <c r="E60" i="15" s="1"/>
  <c r="F138" i="37"/>
  <c r="F60" i="15" s="1"/>
  <c r="G138" i="37"/>
  <c r="G60" i="15" s="1"/>
  <c r="H138" i="37"/>
  <c r="H60" i="15" s="1"/>
  <c r="I138" i="37"/>
  <c r="L138" i="37"/>
  <c r="L60" i="15" s="1"/>
  <c r="M138" i="37"/>
  <c r="M60" i="15" s="1"/>
  <c r="K139" i="37"/>
  <c r="K142" i="37"/>
  <c r="K61" i="15" s="1"/>
  <c r="C143" i="37"/>
  <c r="C141" i="37" s="1"/>
  <c r="D143" i="37"/>
  <c r="E143" i="37"/>
  <c r="E62" i="15" s="1"/>
  <c r="E141" i="37"/>
  <c r="F143" i="37"/>
  <c r="F62" i="15" s="1"/>
  <c r="G143" i="37"/>
  <c r="G141" i="37" s="1"/>
  <c r="H143" i="37"/>
  <c r="H141" i="37" s="1"/>
  <c r="I143" i="37"/>
  <c r="L143" i="37"/>
  <c r="M143" i="37"/>
  <c r="M62" i="15" s="1"/>
  <c r="K144" i="37"/>
  <c r="K145" i="37"/>
  <c r="K146" i="37"/>
  <c r="K147" i="37"/>
  <c r="K148" i="37"/>
  <c r="K149" i="37"/>
  <c r="C151" i="37"/>
  <c r="C64" i="15" s="1"/>
  <c r="D151" i="37"/>
  <c r="D64" i="15" s="1"/>
  <c r="E151" i="37"/>
  <c r="F151" i="37"/>
  <c r="G151" i="37"/>
  <c r="G64" i="15" s="1"/>
  <c r="H151" i="37"/>
  <c r="H64" i="15" s="1"/>
  <c r="I151" i="37"/>
  <c r="I64" i="15" s="1"/>
  <c r="L151" i="37"/>
  <c r="L64" i="15" s="1"/>
  <c r="M151" i="37"/>
  <c r="M64" i="15" s="1"/>
  <c r="J151" i="37"/>
  <c r="J64" i="15" s="1"/>
  <c r="C154" i="37"/>
  <c r="C65" i="15" s="1"/>
  <c r="D154" i="37"/>
  <c r="E154" i="37"/>
  <c r="E65" i="15" s="1"/>
  <c r="F154" i="37"/>
  <c r="F65" i="15" s="1"/>
  <c r="G154" i="37"/>
  <c r="G65" i="15" s="1"/>
  <c r="H154" i="37"/>
  <c r="H65" i="15" s="1"/>
  <c r="I154" i="37"/>
  <c r="L154" i="37"/>
  <c r="L65" i="15" s="1"/>
  <c r="M154" i="37"/>
  <c r="M65" i="15" s="1"/>
  <c r="K155" i="37"/>
  <c r="C157" i="37"/>
  <c r="C66" i="15" s="1"/>
  <c r="D157" i="37"/>
  <c r="D66" i="15" s="1"/>
  <c r="E157" i="37"/>
  <c r="F157" i="37"/>
  <c r="F66" i="15" s="1"/>
  <c r="G157" i="37"/>
  <c r="G66" i="15" s="1"/>
  <c r="H157" i="37"/>
  <c r="H66" i="15" s="1"/>
  <c r="I157" i="37"/>
  <c r="I66" i="15" s="1"/>
  <c r="L157" i="37"/>
  <c r="L66" i="15" s="1"/>
  <c r="M157" i="37"/>
  <c r="M66" i="15" s="1"/>
  <c r="K158" i="37"/>
  <c r="C160" i="37"/>
  <c r="D160" i="37"/>
  <c r="D67" i="15" s="1"/>
  <c r="E160" i="37"/>
  <c r="F160" i="37"/>
  <c r="F67" i="15" s="1"/>
  <c r="G160" i="37"/>
  <c r="G67" i="15" s="1"/>
  <c r="H160" i="37"/>
  <c r="H67" i="15" s="1"/>
  <c r="I160" i="37"/>
  <c r="I67" i="15" s="1"/>
  <c r="L160" i="37"/>
  <c r="L67" i="15" s="1"/>
  <c r="M160" i="37"/>
  <c r="M67" i="15" s="1"/>
  <c r="K161" i="37"/>
  <c r="C163" i="37"/>
  <c r="C68" i="15" s="1"/>
  <c r="D163" i="37"/>
  <c r="D68" i="15" s="1"/>
  <c r="E163" i="37"/>
  <c r="F163" i="37"/>
  <c r="G163" i="37"/>
  <c r="G68" i="15" s="1"/>
  <c r="H163" i="37"/>
  <c r="H68" i="15" s="1"/>
  <c r="I163" i="37"/>
  <c r="I68" i="15" s="1"/>
  <c r="L163" i="37"/>
  <c r="L68" i="15" s="1"/>
  <c r="M163" i="37"/>
  <c r="M68" i="15" s="1"/>
  <c r="K164" i="37"/>
  <c r="C166" i="37"/>
  <c r="C69" i="15" s="1"/>
  <c r="D166" i="37"/>
  <c r="D69" i="15" s="1"/>
  <c r="E166" i="37"/>
  <c r="F166" i="37"/>
  <c r="G166" i="37"/>
  <c r="G69" i="15" s="1"/>
  <c r="H166" i="37"/>
  <c r="H69" i="15" s="1"/>
  <c r="I166" i="37"/>
  <c r="I69" i="15" s="1"/>
  <c r="L166" i="37"/>
  <c r="L69" i="15" s="1"/>
  <c r="M166" i="37"/>
  <c r="M69" i="15" s="1"/>
  <c r="K167" i="37"/>
  <c r="L266" i="21"/>
  <c r="M266" i="21"/>
  <c r="E260" i="21"/>
  <c r="L250" i="21"/>
  <c r="M250" i="21" s="1"/>
  <c r="M77" i="16"/>
  <c r="L77" i="16"/>
  <c r="I77" i="16"/>
  <c r="H77" i="16"/>
  <c r="G77" i="16"/>
  <c r="F77" i="16"/>
  <c r="E77" i="16"/>
  <c r="D77" i="16"/>
  <c r="C77" i="16"/>
  <c r="M76" i="16"/>
  <c r="L76" i="16"/>
  <c r="I76" i="16"/>
  <c r="H76" i="16"/>
  <c r="G76" i="16"/>
  <c r="F76" i="16"/>
  <c r="E76" i="16"/>
  <c r="D76" i="16"/>
  <c r="C76" i="16"/>
  <c r="M75" i="16"/>
  <c r="L75" i="16"/>
  <c r="I75" i="16"/>
  <c r="H75" i="16"/>
  <c r="G75" i="16"/>
  <c r="F75" i="16"/>
  <c r="E75" i="16"/>
  <c r="D75" i="16"/>
  <c r="C75" i="16"/>
  <c r="M74" i="16"/>
  <c r="L74" i="16"/>
  <c r="I74" i="16"/>
  <c r="H74" i="16"/>
  <c r="G74" i="16"/>
  <c r="F74" i="16"/>
  <c r="E74" i="16"/>
  <c r="D74" i="16"/>
  <c r="C74" i="16"/>
  <c r="M73" i="16"/>
  <c r="L73" i="16"/>
  <c r="I73" i="16"/>
  <c r="H73" i="16"/>
  <c r="G73" i="16"/>
  <c r="F73" i="16"/>
  <c r="E73" i="16"/>
  <c r="D73" i="16"/>
  <c r="C73" i="16"/>
  <c r="M54" i="16"/>
  <c r="L54" i="16"/>
  <c r="I54" i="16"/>
  <c r="H54" i="16"/>
  <c r="G54" i="16"/>
  <c r="F54" i="16"/>
  <c r="E54" i="16"/>
  <c r="D54" i="16"/>
  <c r="C54" i="16"/>
  <c r="M53" i="16"/>
  <c r="L53" i="16"/>
  <c r="I53" i="16"/>
  <c r="H53" i="16"/>
  <c r="G53" i="16"/>
  <c r="F53" i="16"/>
  <c r="E53" i="16"/>
  <c r="D53" i="16"/>
  <c r="C53" i="16"/>
  <c r="M52" i="16"/>
  <c r="L52" i="16"/>
  <c r="I52" i="16"/>
  <c r="H52" i="16"/>
  <c r="G52" i="16"/>
  <c r="F52" i="16"/>
  <c r="E52" i="16"/>
  <c r="D52" i="16"/>
  <c r="C52" i="16"/>
  <c r="M51" i="16"/>
  <c r="L51" i="16"/>
  <c r="I51" i="16"/>
  <c r="H51" i="16"/>
  <c r="G51" i="16"/>
  <c r="F51" i="16"/>
  <c r="E51" i="16"/>
  <c r="D51" i="16"/>
  <c r="C51" i="16"/>
  <c r="K33" i="17"/>
  <c r="K32" i="17"/>
  <c r="K26" i="17"/>
  <c r="K20" i="17"/>
  <c r="M34" i="17"/>
  <c r="M35" i="17" s="1"/>
  <c r="M11" i="10" s="1"/>
  <c r="R10" i="30" s="1"/>
  <c r="L34" i="17"/>
  <c r="I34" i="17"/>
  <c r="I60" i="16" s="1"/>
  <c r="H34" i="17"/>
  <c r="H60" i="16" s="1"/>
  <c r="G34" i="17"/>
  <c r="G35" i="17" s="1"/>
  <c r="G11" i="10" s="1"/>
  <c r="F34" i="17"/>
  <c r="F60" i="16" s="1"/>
  <c r="E34" i="17"/>
  <c r="D34" i="17"/>
  <c r="C34" i="17"/>
  <c r="C35" i="17" s="1"/>
  <c r="C11" i="10" s="1"/>
  <c r="M27" i="17"/>
  <c r="M28" i="17" s="1"/>
  <c r="M10" i="10" s="1"/>
  <c r="R9" i="30" s="1"/>
  <c r="L27" i="17"/>
  <c r="L28" i="17" s="1"/>
  <c r="L10" i="10" s="1"/>
  <c r="Q9" i="30" s="1"/>
  <c r="I27" i="17"/>
  <c r="I58" i="16" s="1"/>
  <c r="H27" i="17"/>
  <c r="H28" i="17" s="1"/>
  <c r="H10" i="10" s="1"/>
  <c r="G27" i="17"/>
  <c r="G28" i="17" s="1"/>
  <c r="G10" i="10" s="1"/>
  <c r="F27" i="17"/>
  <c r="E27" i="17"/>
  <c r="D27" i="17"/>
  <c r="C27" i="17"/>
  <c r="C28" i="17" s="1"/>
  <c r="C10" i="10" s="1"/>
  <c r="M21" i="17"/>
  <c r="M57" i="16" s="1"/>
  <c r="L21" i="17"/>
  <c r="I21" i="17"/>
  <c r="I57" i="16" s="1"/>
  <c r="H21" i="17"/>
  <c r="H22" i="17" s="1"/>
  <c r="H9" i="10" s="1"/>
  <c r="G21" i="17"/>
  <c r="G22" i="17" s="1"/>
  <c r="G9" i="10" s="1"/>
  <c r="F21" i="17"/>
  <c r="E21" i="17"/>
  <c r="D21" i="17"/>
  <c r="C21" i="17"/>
  <c r="C57" i="16" s="1"/>
  <c r="O296" i="21"/>
  <c r="N296" i="21"/>
  <c r="K296" i="21"/>
  <c r="J296" i="21"/>
  <c r="I296" i="21"/>
  <c r="H296" i="21"/>
  <c r="G296" i="21"/>
  <c r="F296" i="21"/>
  <c r="E296" i="21"/>
  <c r="L295" i="21"/>
  <c r="M295" i="21" s="1"/>
  <c r="L294" i="21"/>
  <c r="M294" i="21" s="1"/>
  <c r="L293" i="21"/>
  <c r="M293" i="21" s="1"/>
  <c r="L292" i="21"/>
  <c r="M292" i="21" s="1"/>
  <c r="L291" i="21"/>
  <c r="M291" i="21" s="1"/>
  <c r="L290" i="21"/>
  <c r="M290" i="21" s="1"/>
  <c r="L289" i="21"/>
  <c r="M289" i="21" s="1"/>
  <c r="L288" i="21"/>
  <c r="M288" i="21" s="1"/>
  <c r="L287" i="21"/>
  <c r="M287" i="21" s="1"/>
  <c r="L286" i="21"/>
  <c r="M286" i="21" s="1"/>
  <c r="O284" i="21"/>
  <c r="N284" i="21"/>
  <c r="K284" i="21"/>
  <c r="J284" i="21"/>
  <c r="I284" i="21"/>
  <c r="H284" i="21"/>
  <c r="G284" i="21"/>
  <c r="F284" i="21"/>
  <c r="E284" i="21"/>
  <c r="L283" i="21"/>
  <c r="M283" i="21" s="1"/>
  <c r="L282" i="21"/>
  <c r="M282" i="21" s="1"/>
  <c r="L281" i="21"/>
  <c r="M281" i="21"/>
  <c r="L280" i="21"/>
  <c r="M280" i="21" s="1"/>
  <c r="L279" i="21"/>
  <c r="M279" i="21" s="1"/>
  <c r="L278" i="21"/>
  <c r="M278" i="21" s="1"/>
  <c r="L277" i="21"/>
  <c r="M277" i="21" s="1"/>
  <c r="L276" i="21"/>
  <c r="L275" i="21"/>
  <c r="M275" i="21" s="1"/>
  <c r="L274" i="21"/>
  <c r="M274" i="21"/>
  <c r="O272" i="21"/>
  <c r="N272" i="21"/>
  <c r="K272" i="21"/>
  <c r="J272" i="21"/>
  <c r="I272" i="21"/>
  <c r="H272" i="21"/>
  <c r="G272" i="21"/>
  <c r="F272" i="21"/>
  <c r="E272" i="21"/>
  <c r="L271" i="21"/>
  <c r="M271" i="21" s="1"/>
  <c r="L270" i="21"/>
  <c r="M270" i="21" s="1"/>
  <c r="L269" i="21"/>
  <c r="M269" i="21" s="1"/>
  <c r="L268" i="21"/>
  <c r="M268" i="21"/>
  <c r="L267" i="21"/>
  <c r="M267" i="21" s="1"/>
  <c r="L265" i="21"/>
  <c r="M265" i="21" s="1"/>
  <c r="L264" i="21"/>
  <c r="M264" i="21" s="1"/>
  <c r="L263" i="21"/>
  <c r="M263" i="21" s="1"/>
  <c r="L262" i="21"/>
  <c r="M262" i="21" s="1"/>
  <c r="L259" i="21"/>
  <c r="M259" i="21" s="1"/>
  <c r="L258" i="21"/>
  <c r="M258" i="21" s="1"/>
  <c r="L257" i="21"/>
  <c r="M257" i="21" s="1"/>
  <c r="L256" i="21"/>
  <c r="M256" i="21" s="1"/>
  <c r="L255" i="21"/>
  <c r="M255" i="21" s="1"/>
  <c r="L254" i="21"/>
  <c r="M254" i="21" s="1"/>
  <c r="L253" i="21"/>
  <c r="M253" i="21" s="1"/>
  <c r="L252" i="21"/>
  <c r="L251" i="21"/>
  <c r="M251" i="21" s="1"/>
  <c r="N260" i="21"/>
  <c r="O260" i="21"/>
  <c r="M61" i="16" s="1"/>
  <c r="O248" i="21"/>
  <c r="N248" i="21"/>
  <c r="M248" i="21"/>
  <c r="L248" i="21"/>
  <c r="K248" i="21"/>
  <c r="J248" i="21"/>
  <c r="I248" i="21"/>
  <c r="H248" i="21"/>
  <c r="G248" i="21"/>
  <c r="F248" i="21"/>
  <c r="E248" i="21"/>
  <c r="M15" i="17"/>
  <c r="M59" i="16" s="1"/>
  <c r="L15" i="17"/>
  <c r="L59" i="16" s="1"/>
  <c r="I15" i="17"/>
  <c r="I16" i="17" s="1"/>
  <c r="I8" i="10" s="1"/>
  <c r="H15" i="17"/>
  <c r="H59" i="16" s="1"/>
  <c r="G15" i="17"/>
  <c r="G16" i="17" s="1"/>
  <c r="G8" i="10" s="1"/>
  <c r="F15" i="17"/>
  <c r="E15" i="17"/>
  <c r="D15" i="17"/>
  <c r="C15" i="17"/>
  <c r="C59" i="16" s="1"/>
  <c r="K260" i="21"/>
  <c r="J260" i="21"/>
  <c r="I260" i="21"/>
  <c r="H260" i="21"/>
  <c r="G260" i="21"/>
  <c r="F260" i="21"/>
  <c r="K247" i="46"/>
  <c r="K246" i="46"/>
  <c r="K245" i="46"/>
  <c r="K244" i="46"/>
  <c r="K243" i="46"/>
  <c r="K242" i="46"/>
  <c r="K240" i="46"/>
  <c r="K239" i="46"/>
  <c r="K238" i="46"/>
  <c r="K237" i="46"/>
  <c r="K235" i="46"/>
  <c r="K234" i="46"/>
  <c r="K233" i="46"/>
  <c r="K232" i="46"/>
  <c r="K230" i="46"/>
  <c r="K229" i="46"/>
  <c r="K228" i="46"/>
  <c r="K226" i="46"/>
  <c r="K225" i="46"/>
  <c r="K224" i="46"/>
  <c r="K221" i="46"/>
  <c r="K220" i="46"/>
  <c r="K219" i="46"/>
  <c r="K218" i="46"/>
  <c r="K217" i="46"/>
  <c r="K216" i="46"/>
  <c r="K214" i="46"/>
  <c r="K213" i="46"/>
  <c r="K212" i="46"/>
  <c r="K211" i="46"/>
  <c r="K209" i="46"/>
  <c r="K208" i="46"/>
  <c r="K207" i="46"/>
  <c r="K206" i="46"/>
  <c r="K205" i="46"/>
  <c r="K204" i="46"/>
  <c r="K203" i="46"/>
  <c r="K202" i="46"/>
  <c r="K201" i="46"/>
  <c r="K200" i="46"/>
  <c r="K197" i="46"/>
  <c r="K196" i="46"/>
  <c r="K195" i="46"/>
  <c r="K194" i="46"/>
  <c r="K193" i="46"/>
  <c r="K192" i="46"/>
  <c r="K191" i="46"/>
  <c r="K189" i="46"/>
  <c r="K188" i="46"/>
  <c r="K186" i="46"/>
  <c r="K183" i="46"/>
  <c r="K182" i="46"/>
  <c r="K181" i="46"/>
  <c r="K180" i="46"/>
  <c r="K179" i="46"/>
  <c r="K177" i="46"/>
  <c r="K176" i="46"/>
  <c r="K175" i="46"/>
  <c r="K174" i="46"/>
  <c r="K173" i="46"/>
  <c r="K171" i="46"/>
  <c r="K170" i="46"/>
  <c r="K169" i="46"/>
  <c r="K168" i="46"/>
  <c r="K167" i="46"/>
  <c r="K166" i="46"/>
  <c r="K165" i="46"/>
  <c r="K164" i="46"/>
  <c r="K163" i="46"/>
  <c r="K162" i="46"/>
  <c r="K161" i="46"/>
  <c r="K160" i="46"/>
  <c r="K159" i="46"/>
  <c r="K158" i="46"/>
  <c r="K157" i="46"/>
  <c r="K156" i="46"/>
  <c r="K155" i="46"/>
  <c r="K154" i="46"/>
  <c r="K153" i="46"/>
  <c r="K152" i="46"/>
  <c r="K151" i="46"/>
  <c r="K148" i="46"/>
  <c r="K146" i="46"/>
  <c r="K145" i="46"/>
  <c r="K144" i="46"/>
  <c r="K143" i="46"/>
  <c r="K142" i="46"/>
  <c r="K141" i="46"/>
  <c r="K140" i="46"/>
  <c r="K139" i="46"/>
  <c r="K138" i="46"/>
  <c r="K137" i="46"/>
  <c r="K136" i="46"/>
  <c r="K135" i="46"/>
  <c r="K134" i="46"/>
  <c r="K132" i="46"/>
  <c r="K131" i="46"/>
  <c r="K128" i="46"/>
  <c r="K127" i="46"/>
  <c r="K125" i="46"/>
  <c r="K124" i="46"/>
  <c r="K123" i="46"/>
  <c r="K122" i="46"/>
  <c r="K121" i="46"/>
  <c r="K120" i="46"/>
  <c r="K118" i="46"/>
  <c r="K117" i="46"/>
  <c r="K116" i="46"/>
  <c r="K115" i="46"/>
  <c r="K113" i="46"/>
  <c r="K112" i="46"/>
  <c r="K111" i="46"/>
  <c r="K110" i="46"/>
  <c r="K108" i="46"/>
  <c r="K107" i="46"/>
  <c r="K106" i="46"/>
  <c r="K104" i="46"/>
  <c r="K103" i="46"/>
  <c r="K102" i="46"/>
  <c r="K99" i="46"/>
  <c r="K98" i="46"/>
  <c r="K97" i="46"/>
  <c r="K96" i="46"/>
  <c r="K95" i="46"/>
  <c r="K94" i="46"/>
  <c r="K92" i="46"/>
  <c r="K91" i="46"/>
  <c r="K90" i="46"/>
  <c r="K89" i="46"/>
  <c r="K87" i="46"/>
  <c r="K86" i="46"/>
  <c r="K85" i="46"/>
  <c r="K84" i="46"/>
  <c r="K83" i="46"/>
  <c r="K82" i="46"/>
  <c r="K81" i="46"/>
  <c r="K80" i="46"/>
  <c r="K79" i="46"/>
  <c r="K78" i="46"/>
  <c r="K75" i="46"/>
  <c r="K74" i="46"/>
  <c r="K73" i="46"/>
  <c r="K72" i="46"/>
  <c r="K71" i="46"/>
  <c r="K70" i="46"/>
  <c r="K69" i="46"/>
  <c r="K67" i="46"/>
  <c r="K66" i="46"/>
  <c r="K64" i="46"/>
  <c r="K61" i="46"/>
  <c r="K60" i="46"/>
  <c r="K59" i="46"/>
  <c r="K58" i="46"/>
  <c r="K57" i="46"/>
  <c r="K55" i="46"/>
  <c r="K54" i="46"/>
  <c r="K53" i="46"/>
  <c r="K52" i="46"/>
  <c r="K51" i="46"/>
  <c r="K49" i="46"/>
  <c r="K48" i="46"/>
  <c r="K47" i="46"/>
  <c r="K46" i="46"/>
  <c r="K45" i="46"/>
  <c r="K44" i="46"/>
  <c r="K43" i="46"/>
  <c r="K42" i="46"/>
  <c r="K41" i="46"/>
  <c r="K40" i="46"/>
  <c r="K39" i="46"/>
  <c r="K38" i="46"/>
  <c r="K37" i="46"/>
  <c r="K36" i="46"/>
  <c r="K35" i="46"/>
  <c r="K34" i="46"/>
  <c r="K33" i="46"/>
  <c r="K32" i="46"/>
  <c r="K31" i="46"/>
  <c r="K30" i="46"/>
  <c r="K29" i="46"/>
  <c r="K26" i="46"/>
  <c r="K24" i="46"/>
  <c r="K23" i="46"/>
  <c r="K22" i="46"/>
  <c r="K21" i="46"/>
  <c r="K20" i="46"/>
  <c r="K19" i="46"/>
  <c r="K18" i="46"/>
  <c r="K17" i="46"/>
  <c r="K16" i="46"/>
  <c r="K15" i="46"/>
  <c r="K14" i="46"/>
  <c r="K13" i="46"/>
  <c r="K10" i="46"/>
  <c r="K167" i="34"/>
  <c r="K164" i="34"/>
  <c r="K161" i="34"/>
  <c r="K158" i="34"/>
  <c r="K155" i="34"/>
  <c r="K152" i="34"/>
  <c r="K149" i="34"/>
  <c r="K148" i="34"/>
  <c r="K147" i="34"/>
  <c r="K146" i="34"/>
  <c r="K145" i="34"/>
  <c r="K144" i="34"/>
  <c r="K142" i="34"/>
  <c r="K29" i="15" s="1"/>
  <c r="K139" i="34"/>
  <c r="K136" i="34"/>
  <c r="K135" i="34"/>
  <c r="K134" i="34"/>
  <c r="K132" i="34"/>
  <c r="K131" i="34"/>
  <c r="K130" i="34"/>
  <c r="K129" i="34"/>
  <c r="K128" i="34"/>
  <c r="K127" i="34"/>
  <c r="K126" i="34"/>
  <c r="K125" i="34"/>
  <c r="K124" i="34"/>
  <c r="K123" i="34"/>
  <c r="K122" i="34"/>
  <c r="K118" i="34"/>
  <c r="K117" i="34"/>
  <c r="K115" i="34"/>
  <c r="K114" i="34"/>
  <c r="K110" i="34"/>
  <c r="K109" i="34"/>
  <c r="K108" i="34"/>
  <c r="K107" i="34"/>
  <c r="K106" i="34"/>
  <c r="K103" i="34"/>
  <c r="K102" i="34"/>
  <c r="K101" i="34"/>
  <c r="K99" i="34"/>
  <c r="K98" i="34"/>
  <c r="K97" i="34"/>
  <c r="K96" i="34"/>
  <c r="K95" i="34"/>
  <c r="K94" i="34"/>
  <c r="K93" i="34"/>
  <c r="K92" i="34"/>
  <c r="K91" i="34"/>
  <c r="K90" i="34"/>
  <c r="K89" i="34"/>
  <c r="K88" i="34"/>
  <c r="K87" i="34"/>
  <c r="K86" i="34"/>
  <c r="K85" i="34"/>
  <c r="K84" i="34"/>
  <c r="K83" i="34"/>
  <c r="K82" i="34"/>
  <c r="K81" i="34"/>
  <c r="K80" i="34"/>
  <c r="K79" i="34"/>
  <c r="K78" i="34"/>
  <c r="K74" i="34"/>
  <c r="K73" i="34"/>
  <c r="K72" i="34"/>
  <c r="K71" i="34"/>
  <c r="K69" i="34"/>
  <c r="K68" i="34"/>
  <c r="K67" i="34"/>
  <c r="K66" i="34"/>
  <c r="K65" i="34"/>
  <c r="K63" i="34"/>
  <c r="K62" i="34"/>
  <c r="K61" i="34"/>
  <c r="K60" i="34"/>
  <c r="K59" i="34"/>
  <c r="K58" i="34"/>
  <c r="K57" i="34"/>
  <c r="K56" i="34"/>
  <c r="K55" i="34"/>
  <c r="K53" i="34"/>
  <c r="K52" i="34"/>
  <c r="K51" i="34"/>
  <c r="K50" i="34"/>
  <c r="K49" i="34"/>
  <c r="K48" i="34"/>
  <c r="K47" i="34"/>
  <c r="K45" i="34"/>
  <c r="K44" i="34"/>
  <c r="K43" i="34"/>
  <c r="K42" i="34"/>
  <c r="K41" i="34"/>
  <c r="K40" i="34"/>
  <c r="K38" i="34"/>
  <c r="K37" i="34"/>
  <c r="K36" i="34"/>
  <c r="K35" i="34"/>
  <c r="K34" i="34"/>
  <c r="K33" i="34"/>
  <c r="K32" i="34"/>
  <c r="K31" i="34"/>
  <c r="K30" i="34"/>
  <c r="K29" i="34"/>
  <c r="K27" i="34"/>
  <c r="K26" i="34"/>
  <c r="K25" i="34"/>
  <c r="K24" i="34"/>
  <c r="K23" i="34"/>
  <c r="K22" i="34"/>
  <c r="K21" i="34"/>
  <c r="K20" i="34"/>
  <c r="K19" i="34"/>
  <c r="K17" i="34"/>
  <c r="K16" i="34"/>
  <c r="K15" i="34"/>
  <c r="K13" i="34"/>
  <c r="K12" i="34"/>
  <c r="K11" i="34"/>
  <c r="K10" i="34"/>
  <c r="C143" i="52"/>
  <c r="C141" i="52" s="1"/>
  <c r="C121" i="52"/>
  <c r="M113" i="52"/>
  <c r="L113" i="52"/>
  <c r="I113" i="52"/>
  <c r="J113" i="52" s="1"/>
  <c r="H113" i="52"/>
  <c r="G113" i="52"/>
  <c r="F113" i="52"/>
  <c r="E113" i="52"/>
  <c r="D113" i="52"/>
  <c r="C116" i="52"/>
  <c r="C113" i="52"/>
  <c r="K167" i="52"/>
  <c r="K164" i="52"/>
  <c r="K161" i="52"/>
  <c r="K158" i="52"/>
  <c r="K155" i="52"/>
  <c r="K152" i="52"/>
  <c r="K149" i="52"/>
  <c r="K148" i="52"/>
  <c r="K147" i="52"/>
  <c r="K146" i="52"/>
  <c r="K145" i="52"/>
  <c r="K144" i="52"/>
  <c r="K142" i="52"/>
  <c r="K139" i="52"/>
  <c r="K136" i="52"/>
  <c r="K135" i="52"/>
  <c r="K134" i="52"/>
  <c r="K132" i="52"/>
  <c r="K131" i="52"/>
  <c r="K130" i="52"/>
  <c r="K129" i="52"/>
  <c r="K128" i="52"/>
  <c r="K127" i="52"/>
  <c r="K126" i="52"/>
  <c r="K125" i="52"/>
  <c r="K124" i="52"/>
  <c r="K123" i="52"/>
  <c r="K122" i="52"/>
  <c r="K118" i="52"/>
  <c r="K117" i="52"/>
  <c r="K115" i="52"/>
  <c r="K114" i="52"/>
  <c r="K110" i="52"/>
  <c r="K109" i="52"/>
  <c r="K108" i="52"/>
  <c r="K107" i="52"/>
  <c r="K106" i="52"/>
  <c r="K103" i="52"/>
  <c r="K102" i="52"/>
  <c r="K101" i="52"/>
  <c r="K99" i="52"/>
  <c r="K98" i="52"/>
  <c r="K97" i="52"/>
  <c r="K96" i="52"/>
  <c r="K95" i="52"/>
  <c r="K94" i="52"/>
  <c r="K93" i="52"/>
  <c r="K92" i="52"/>
  <c r="K91" i="52"/>
  <c r="K90" i="52"/>
  <c r="K89" i="52"/>
  <c r="K88" i="52"/>
  <c r="K87" i="52"/>
  <c r="K86" i="52"/>
  <c r="K85" i="52"/>
  <c r="K84" i="52"/>
  <c r="K83" i="52"/>
  <c r="K82" i="52"/>
  <c r="K81" i="52"/>
  <c r="K80" i="52"/>
  <c r="K79" i="52"/>
  <c r="K78" i="52"/>
  <c r="K74" i="52"/>
  <c r="K73" i="52"/>
  <c r="K72" i="52"/>
  <c r="K71" i="52"/>
  <c r="K69" i="52"/>
  <c r="K68" i="52"/>
  <c r="K67" i="52"/>
  <c r="K66" i="52"/>
  <c r="K65" i="52"/>
  <c r="K63" i="52"/>
  <c r="K62" i="52"/>
  <c r="K61" i="52"/>
  <c r="K60" i="52"/>
  <c r="K59" i="52"/>
  <c r="K58" i="52"/>
  <c r="K57" i="52"/>
  <c r="K56" i="52"/>
  <c r="K55" i="52"/>
  <c r="K53" i="52"/>
  <c r="K52" i="52"/>
  <c r="K51" i="52"/>
  <c r="K50" i="52"/>
  <c r="K49" i="52"/>
  <c r="K48" i="52"/>
  <c r="K47" i="52"/>
  <c r="K45" i="52"/>
  <c r="K44" i="52"/>
  <c r="K43" i="52"/>
  <c r="K42" i="52"/>
  <c r="K41" i="52"/>
  <c r="K40" i="52"/>
  <c r="K38" i="52"/>
  <c r="K37" i="52"/>
  <c r="K36" i="52"/>
  <c r="K35" i="52"/>
  <c r="K34" i="52"/>
  <c r="K33" i="52"/>
  <c r="K32" i="52"/>
  <c r="K31" i="52"/>
  <c r="K30" i="52"/>
  <c r="K29" i="52"/>
  <c r="K27" i="52"/>
  <c r="K26" i="52"/>
  <c r="K25" i="52"/>
  <c r="K24" i="52"/>
  <c r="K23" i="52"/>
  <c r="K22" i="52"/>
  <c r="K21" i="52"/>
  <c r="K20" i="52"/>
  <c r="K19" i="52"/>
  <c r="K17" i="52"/>
  <c r="K16" i="52"/>
  <c r="K15" i="52"/>
  <c r="K13" i="52"/>
  <c r="K12" i="52"/>
  <c r="K11" i="52"/>
  <c r="E100" i="1"/>
  <c r="E183" i="15" s="1"/>
  <c r="C116" i="1"/>
  <c r="C187" i="15" s="1"/>
  <c r="C113" i="1"/>
  <c r="C143" i="1"/>
  <c r="C141" i="1" s="1"/>
  <c r="M121" i="1"/>
  <c r="M189" i="15" s="1"/>
  <c r="L121" i="1"/>
  <c r="L189" i="15" s="1"/>
  <c r="I121" i="1"/>
  <c r="H121" i="1"/>
  <c r="H189" i="15" s="1"/>
  <c r="G121" i="1"/>
  <c r="F121" i="1"/>
  <c r="F189" i="15" s="1"/>
  <c r="E121" i="1"/>
  <c r="E189" i="15" s="1"/>
  <c r="D121" i="1"/>
  <c r="C121" i="1"/>
  <c r="C189" i="15" s="1"/>
  <c r="J193" i="15"/>
  <c r="D18" i="34"/>
  <c r="M143" i="34"/>
  <c r="L143" i="34"/>
  <c r="L141" i="34" s="1"/>
  <c r="I143" i="34"/>
  <c r="H143" i="34"/>
  <c r="G143" i="34"/>
  <c r="F143" i="34"/>
  <c r="F141" i="34" s="1"/>
  <c r="E143" i="34"/>
  <c r="D143" i="34"/>
  <c r="C143" i="34"/>
  <c r="C30" i="15" s="1"/>
  <c r="M121" i="34"/>
  <c r="M25" i="15" s="1"/>
  <c r="L121" i="34"/>
  <c r="L25" i="15" s="1"/>
  <c r="I121" i="34"/>
  <c r="H121" i="34"/>
  <c r="H25" i="15" s="1"/>
  <c r="G121" i="34"/>
  <c r="G25" i="15" s="1"/>
  <c r="F121" i="34"/>
  <c r="F25" i="15" s="1"/>
  <c r="E121" i="34"/>
  <c r="E25" i="15" s="1"/>
  <c r="D121" i="34"/>
  <c r="C121" i="34"/>
  <c r="C25" i="15" s="1"/>
  <c r="C116" i="34"/>
  <c r="C23" i="15" s="1"/>
  <c r="C113" i="34"/>
  <c r="C22" i="15" s="1"/>
  <c r="F93" i="39"/>
  <c r="E93" i="39" s="1"/>
  <c r="F89" i="39"/>
  <c r="F69" i="39"/>
  <c r="M193" i="15"/>
  <c r="L193" i="15"/>
  <c r="I193" i="15"/>
  <c r="H193" i="15"/>
  <c r="G193" i="15"/>
  <c r="F193" i="15"/>
  <c r="E193" i="15"/>
  <c r="D193"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37" i="15"/>
  <c r="K137" i="15"/>
  <c r="A166" i="15"/>
  <c r="A165" i="15"/>
  <c r="A164" i="15"/>
  <c r="A163" i="15"/>
  <c r="A162" i="15"/>
  <c r="A161" i="15"/>
  <c r="A160" i="15"/>
  <c r="A157" i="15"/>
  <c r="A156" i="15"/>
  <c r="A153" i="15"/>
  <c r="A150" i="15"/>
  <c r="A149" i="15"/>
  <c r="A146" i="15"/>
  <c r="A145" i="15"/>
  <c r="A144" i="15"/>
  <c r="A143" i="15"/>
  <c r="A142" i="15"/>
  <c r="A141" i="15"/>
  <c r="A140" i="15"/>
  <c r="A139" i="15"/>
  <c r="A138" i="15"/>
  <c r="K164" i="15"/>
  <c r="K163" i="15"/>
  <c r="K166" i="15"/>
  <c r="K165" i="15"/>
  <c r="K162" i="15"/>
  <c r="K161" i="15"/>
  <c r="K157" i="15"/>
  <c r="K141" i="15"/>
  <c r="K140" i="15"/>
  <c r="K139" i="15"/>
  <c r="K138" i="15"/>
  <c r="E101" i="15"/>
  <c r="F99" i="15"/>
  <c r="M93" i="15"/>
  <c r="L93" i="15"/>
  <c r="I93" i="15"/>
  <c r="H93" i="15"/>
  <c r="G93" i="15"/>
  <c r="F93" i="15"/>
  <c r="E93" i="15"/>
  <c r="D93" i="15"/>
  <c r="C93" i="15"/>
  <c r="M61" i="15"/>
  <c r="L61" i="15"/>
  <c r="I61" i="15"/>
  <c r="H61" i="15"/>
  <c r="G61" i="15"/>
  <c r="F61" i="15"/>
  <c r="E61" i="15"/>
  <c r="D61" i="15"/>
  <c r="H50" i="15"/>
  <c r="C61" i="15"/>
  <c r="M29" i="15"/>
  <c r="L29" i="15"/>
  <c r="I29" i="15"/>
  <c r="H29" i="15"/>
  <c r="G29" i="15"/>
  <c r="F29" i="15"/>
  <c r="E29" i="15"/>
  <c r="D29" i="15"/>
  <c r="C29" i="15"/>
  <c r="D98" i="39"/>
  <c r="F98" i="39"/>
  <c r="E98" i="39" s="1"/>
  <c r="A171" i="53"/>
  <c r="F85" i="15"/>
  <c r="F83" i="15"/>
  <c r="G82" i="15"/>
  <c r="F79" i="15"/>
  <c r="H74" i="15"/>
  <c r="M166" i="52"/>
  <c r="L166" i="52"/>
  <c r="I166" i="52"/>
  <c r="J166" i="52" s="1"/>
  <c r="H166" i="52"/>
  <c r="G166" i="52"/>
  <c r="F166" i="52"/>
  <c r="E166" i="52"/>
  <c r="D166" i="52"/>
  <c r="C166" i="52"/>
  <c r="M163" i="52"/>
  <c r="L163" i="52"/>
  <c r="I163" i="52"/>
  <c r="J163" i="52" s="1"/>
  <c r="H163" i="52"/>
  <c r="G163" i="52"/>
  <c r="F163" i="52"/>
  <c r="E163" i="52"/>
  <c r="D163" i="52"/>
  <c r="C163" i="52"/>
  <c r="M160" i="52"/>
  <c r="L160" i="52"/>
  <c r="I160" i="52"/>
  <c r="J160" i="52" s="1"/>
  <c r="H160" i="52"/>
  <c r="G160" i="52"/>
  <c r="F160" i="52"/>
  <c r="E160" i="52"/>
  <c r="D160" i="52"/>
  <c r="C160" i="52"/>
  <c r="M157" i="52"/>
  <c r="L157" i="52"/>
  <c r="I157" i="52"/>
  <c r="J157" i="52" s="1"/>
  <c r="H157" i="52"/>
  <c r="G157" i="52"/>
  <c r="F157" i="52"/>
  <c r="E157" i="52"/>
  <c r="D157" i="52"/>
  <c r="C157" i="52"/>
  <c r="M154" i="52"/>
  <c r="L154" i="52"/>
  <c r="I154" i="52"/>
  <c r="J154" i="52" s="1"/>
  <c r="H154" i="52"/>
  <c r="G154" i="52"/>
  <c r="F154" i="52"/>
  <c r="E154" i="52"/>
  <c r="D154" i="52"/>
  <c r="C154" i="52"/>
  <c r="M151" i="52"/>
  <c r="L151" i="52"/>
  <c r="I151" i="52"/>
  <c r="J151" i="52" s="1"/>
  <c r="H151" i="52"/>
  <c r="G151" i="52"/>
  <c r="F151" i="52"/>
  <c r="E151" i="52"/>
  <c r="D151" i="52"/>
  <c r="C151" i="52"/>
  <c r="M143" i="52"/>
  <c r="M141" i="52" s="1"/>
  <c r="L143" i="52"/>
  <c r="L141" i="52" s="1"/>
  <c r="I143" i="52"/>
  <c r="H143" i="52"/>
  <c r="H141" i="52" s="1"/>
  <c r="G143" i="52"/>
  <c r="G141" i="52" s="1"/>
  <c r="F143" i="52"/>
  <c r="F141" i="52" s="1"/>
  <c r="E143" i="52"/>
  <c r="D143" i="52"/>
  <c r="M138" i="52"/>
  <c r="L138" i="52"/>
  <c r="I138" i="52"/>
  <c r="J138" i="52" s="1"/>
  <c r="H138" i="52"/>
  <c r="G138" i="52"/>
  <c r="F138" i="52"/>
  <c r="E138" i="52"/>
  <c r="D138" i="52"/>
  <c r="C138" i="52"/>
  <c r="M133" i="52"/>
  <c r="L133" i="52"/>
  <c r="I133" i="52"/>
  <c r="J133" i="52" s="1"/>
  <c r="H133" i="52"/>
  <c r="G133" i="52"/>
  <c r="F133" i="52"/>
  <c r="E133" i="52"/>
  <c r="D133" i="52"/>
  <c r="C133" i="52"/>
  <c r="M121" i="52"/>
  <c r="L121" i="52"/>
  <c r="I121" i="52"/>
  <c r="J121" i="52" s="1"/>
  <c r="H121" i="52"/>
  <c r="G121" i="52"/>
  <c r="F121" i="52"/>
  <c r="E121" i="52"/>
  <c r="D121" i="52"/>
  <c r="M116" i="52"/>
  <c r="L116" i="52"/>
  <c r="I116" i="52"/>
  <c r="J116" i="52" s="1"/>
  <c r="H116" i="52"/>
  <c r="G116" i="52"/>
  <c r="F116" i="52"/>
  <c r="E116" i="52"/>
  <c r="D116" i="52"/>
  <c r="M105" i="52"/>
  <c r="L105" i="52"/>
  <c r="I105" i="52"/>
  <c r="J105" i="52" s="1"/>
  <c r="H105" i="52"/>
  <c r="G105" i="52"/>
  <c r="F105" i="52"/>
  <c r="E105" i="52"/>
  <c r="D105" i="52"/>
  <c r="C105" i="52"/>
  <c r="M100" i="52"/>
  <c r="L100" i="52"/>
  <c r="I100" i="52"/>
  <c r="J100" i="52" s="1"/>
  <c r="H100" i="52"/>
  <c r="G100" i="52"/>
  <c r="F100" i="52"/>
  <c r="E100" i="52"/>
  <c r="D100" i="52"/>
  <c r="C100" i="52"/>
  <c r="M77" i="52"/>
  <c r="L77" i="52"/>
  <c r="I77" i="52"/>
  <c r="J77" i="52" s="1"/>
  <c r="H77" i="52"/>
  <c r="G77" i="52"/>
  <c r="F77" i="52"/>
  <c r="E77" i="52"/>
  <c r="D77" i="52"/>
  <c r="C77" i="52"/>
  <c r="M70" i="52"/>
  <c r="L70" i="52"/>
  <c r="I70" i="52"/>
  <c r="J70" i="52" s="1"/>
  <c r="H70" i="52"/>
  <c r="G70" i="52"/>
  <c r="F70" i="52"/>
  <c r="E70" i="52"/>
  <c r="D70" i="52"/>
  <c r="C70" i="52"/>
  <c r="M64" i="52"/>
  <c r="L64" i="52"/>
  <c r="I64" i="52"/>
  <c r="J64" i="52" s="1"/>
  <c r="H64" i="52"/>
  <c r="G64" i="52"/>
  <c r="F64" i="52"/>
  <c r="E64" i="52"/>
  <c r="D64" i="52"/>
  <c r="C64" i="52"/>
  <c r="M54" i="52"/>
  <c r="L54" i="52"/>
  <c r="I54" i="52"/>
  <c r="J54" i="52" s="1"/>
  <c r="H54" i="52"/>
  <c r="G54" i="52"/>
  <c r="F54" i="52"/>
  <c r="E54" i="52"/>
  <c r="D54" i="52"/>
  <c r="C54" i="52"/>
  <c r="M46" i="52"/>
  <c r="L46" i="52"/>
  <c r="I46" i="52"/>
  <c r="J46" i="52" s="1"/>
  <c r="H46" i="52"/>
  <c r="G46" i="52"/>
  <c r="F46" i="52"/>
  <c r="E46" i="52"/>
  <c r="D46" i="52"/>
  <c r="C46" i="52"/>
  <c r="M39" i="52"/>
  <c r="L39" i="52"/>
  <c r="I39" i="52"/>
  <c r="J39" i="52" s="1"/>
  <c r="H39" i="52"/>
  <c r="G39" i="52"/>
  <c r="F39" i="52"/>
  <c r="E39" i="52"/>
  <c r="D39" i="52"/>
  <c r="C39" i="52"/>
  <c r="M28" i="52"/>
  <c r="L28" i="52"/>
  <c r="I28" i="52"/>
  <c r="J28" i="52" s="1"/>
  <c r="H28" i="52"/>
  <c r="G28" i="52"/>
  <c r="F28" i="52"/>
  <c r="E28" i="52"/>
  <c r="D28" i="52"/>
  <c r="C28" i="52"/>
  <c r="M18" i="52"/>
  <c r="L18" i="52"/>
  <c r="I18" i="52"/>
  <c r="J18" i="52" s="1"/>
  <c r="H18" i="52"/>
  <c r="G18" i="52"/>
  <c r="F18" i="52"/>
  <c r="E18" i="52"/>
  <c r="D18" i="52"/>
  <c r="C18" i="52"/>
  <c r="M14" i="52"/>
  <c r="L14" i="52"/>
  <c r="I14" i="52"/>
  <c r="J14" i="52" s="1"/>
  <c r="H14" i="52"/>
  <c r="G14" i="52"/>
  <c r="F14" i="52"/>
  <c r="E14" i="52"/>
  <c r="D14" i="52"/>
  <c r="C14" i="52"/>
  <c r="M9" i="52"/>
  <c r="L9" i="52"/>
  <c r="I9" i="52"/>
  <c r="J9" i="52" s="1"/>
  <c r="H9" i="52"/>
  <c r="G9" i="52"/>
  <c r="F9" i="52"/>
  <c r="E9" i="52"/>
  <c r="D9" i="52"/>
  <c r="C9" i="52"/>
  <c r="M166" i="1"/>
  <c r="M201" i="15" s="1"/>
  <c r="L166" i="1"/>
  <c r="L201" i="15" s="1"/>
  <c r="I166" i="1"/>
  <c r="H166" i="1"/>
  <c r="H201" i="15" s="1"/>
  <c r="G166" i="1"/>
  <c r="G201" i="15" s="1"/>
  <c r="F166" i="1"/>
  <c r="F201" i="15" s="1"/>
  <c r="E166" i="1"/>
  <c r="E201" i="15" s="1"/>
  <c r="D166" i="1"/>
  <c r="C166" i="1"/>
  <c r="C201" i="15" s="1"/>
  <c r="M163" i="1"/>
  <c r="M200" i="15" s="1"/>
  <c r="L163" i="1"/>
  <c r="L200" i="15" s="1"/>
  <c r="I163" i="1"/>
  <c r="H163" i="1"/>
  <c r="H200" i="15" s="1"/>
  <c r="G163" i="1"/>
  <c r="G200" i="15" s="1"/>
  <c r="F163" i="1"/>
  <c r="F200" i="15" s="1"/>
  <c r="E163" i="1"/>
  <c r="E200" i="15" s="1"/>
  <c r="D163" i="1"/>
  <c r="C163" i="1"/>
  <c r="C200" i="15" s="1"/>
  <c r="M160" i="1"/>
  <c r="M199" i="15" s="1"/>
  <c r="L160" i="1"/>
  <c r="L199" i="15" s="1"/>
  <c r="I160" i="1"/>
  <c r="H160" i="1"/>
  <c r="H199" i="15" s="1"/>
  <c r="G160" i="1"/>
  <c r="G199" i="15" s="1"/>
  <c r="F160" i="1"/>
  <c r="F199" i="15" s="1"/>
  <c r="E160" i="1"/>
  <c r="D160" i="1"/>
  <c r="C160" i="1"/>
  <c r="C199" i="15" s="1"/>
  <c r="M157" i="1"/>
  <c r="M198" i="15" s="1"/>
  <c r="L157" i="1"/>
  <c r="L198" i="15" s="1"/>
  <c r="I157" i="1"/>
  <c r="H157" i="1"/>
  <c r="H198" i="15" s="1"/>
  <c r="G157" i="1"/>
  <c r="G198" i="15" s="1"/>
  <c r="F157" i="1"/>
  <c r="F198" i="15" s="1"/>
  <c r="E157" i="1"/>
  <c r="E198" i="15" s="1"/>
  <c r="D157" i="1"/>
  <c r="C157" i="1"/>
  <c r="C198" i="15" s="1"/>
  <c r="M154" i="1"/>
  <c r="M197" i="15" s="1"/>
  <c r="L154" i="1"/>
  <c r="L197" i="15" s="1"/>
  <c r="I154" i="1"/>
  <c r="H154" i="1"/>
  <c r="H197" i="15" s="1"/>
  <c r="G154" i="1"/>
  <c r="G197" i="15" s="1"/>
  <c r="F154" i="1"/>
  <c r="F197" i="15" s="1"/>
  <c r="E154" i="1"/>
  <c r="D154" i="1"/>
  <c r="C154" i="1"/>
  <c r="C197" i="15" s="1"/>
  <c r="M151" i="1"/>
  <c r="M196" i="15" s="1"/>
  <c r="L151" i="1"/>
  <c r="L196" i="15" s="1"/>
  <c r="I151" i="1"/>
  <c r="H151" i="1"/>
  <c r="H196" i="15" s="1"/>
  <c r="G151" i="1"/>
  <c r="G196" i="15" s="1"/>
  <c r="F151" i="1"/>
  <c r="F196" i="15" s="1"/>
  <c r="E151" i="1"/>
  <c r="D151" i="1"/>
  <c r="C151" i="1"/>
  <c r="C196" i="15" s="1"/>
  <c r="M143" i="1"/>
  <c r="M141" i="1" s="1"/>
  <c r="L143" i="1"/>
  <c r="L194" i="15" s="1"/>
  <c r="I143" i="1"/>
  <c r="J143" i="1" s="1"/>
  <c r="H143" i="1"/>
  <c r="H194" i="15" s="1"/>
  <c r="G143" i="1"/>
  <c r="G194" i="15" s="1"/>
  <c r="F143" i="1"/>
  <c r="F194" i="15" s="1"/>
  <c r="E143" i="1"/>
  <c r="E141" i="1" s="1"/>
  <c r="D143" i="1"/>
  <c r="M138" i="1"/>
  <c r="M192" i="15" s="1"/>
  <c r="L138" i="1"/>
  <c r="L192" i="15" s="1"/>
  <c r="I138" i="1"/>
  <c r="H138" i="1"/>
  <c r="H192" i="15" s="1"/>
  <c r="G138" i="1"/>
  <c r="G192" i="15" s="1"/>
  <c r="F138" i="1"/>
  <c r="F192" i="15" s="1"/>
  <c r="E138" i="1"/>
  <c r="E192" i="15" s="1"/>
  <c r="D138" i="1"/>
  <c r="C138" i="1"/>
  <c r="C192" i="15" s="1"/>
  <c r="M133" i="1"/>
  <c r="L133" i="1"/>
  <c r="I133" i="1"/>
  <c r="H133" i="1"/>
  <c r="H190" i="15" s="1"/>
  <c r="G133" i="1"/>
  <c r="F133" i="1"/>
  <c r="F190" i="15" s="1"/>
  <c r="E133" i="1"/>
  <c r="D133" i="1"/>
  <c r="C133" i="1"/>
  <c r="C190" i="15" s="1"/>
  <c r="M116" i="1"/>
  <c r="M187" i="15" s="1"/>
  <c r="L116" i="1"/>
  <c r="L187" i="15" s="1"/>
  <c r="I116" i="1"/>
  <c r="H116" i="1"/>
  <c r="H187" i="15" s="1"/>
  <c r="G116" i="1"/>
  <c r="G187" i="15" s="1"/>
  <c r="F116" i="1"/>
  <c r="F187" i="15" s="1"/>
  <c r="E116" i="1"/>
  <c r="D116" i="1"/>
  <c r="M113" i="1"/>
  <c r="L113" i="1"/>
  <c r="L186" i="15" s="1"/>
  <c r="I113" i="1"/>
  <c r="H113" i="1"/>
  <c r="G113" i="1"/>
  <c r="G186" i="15" s="1"/>
  <c r="F113" i="1"/>
  <c r="F186" i="15" s="1"/>
  <c r="E113" i="1"/>
  <c r="D113" i="1"/>
  <c r="M105" i="1"/>
  <c r="M185" i="15" s="1"/>
  <c r="L105" i="1"/>
  <c r="L185" i="15" s="1"/>
  <c r="I105" i="1"/>
  <c r="H105" i="1"/>
  <c r="H185" i="15" s="1"/>
  <c r="G105" i="1"/>
  <c r="G185" i="15" s="1"/>
  <c r="F105" i="1"/>
  <c r="F185" i="15" s="1"/>
  <c r="E105" i="1"/>
  <c r="D105" i="1"/>
  <c r="C105" i="1"/>
  <c r="C185" i="15" s="1"/>
  <c r="M100" i="1"/>
  <c r="M183" i="15" s="1"/>
  <c r="L100" i="1"/>
  <c r="L183" i="15" s="1"/>
  <c r="I100" i="1"/>
  <c r="H100" i="1"/>
  <c r="H183" i="15" s="1"/>
  <c r="G100" i="1"/>
  <c r="G183" i="15" s="1"/>
  <c r="F100" i="1"/>
  <c r="F183" i="15" s="1"/>
  <c r="D100" i="1"/>
  <c r="C100" i="1"/>
  <c r="C183" i="15" s="1"/>
  <c r="M77" i="1"/>
  <c r="M182" i="15" s="1"/>
  <c r="L77" i="1"/>
  <c r="L182" i="15" s="1"/>
  <c r="I77" i="1"/>
  <c r="H77" i="1"/>
  <c r="H182" i="15" s="1"/>
  <c r="G77" i="1"/>
  <c r="G182" i="15" s="1"/>
  <c r="F77" i="1"/>
  <c r="F182" i="15" s="1"/>
  <c r="E77" i="1"/>
  <c r="D77" i="1"/>
  <c r="C77" i="1"/>
  <c r="M70" i="1"/>
  <c r="M180" i="15" s="1"/>
  <c r="L70" i="1"/>
  <c r="L180" i="15" s="1"/>
  <c r="I70" i="1"/>
  <c r="H70" i="1"/>
  <c r="H180" i="15" s="1"/>
  <c r="G70" i="1"/>
  <c r="G180" i="15" s="1"/>
  <c r="F70" i="1"/>
  <c r="F180" i="15" s="1"/>
  <c r="E70" i="1"/>
  <c r="E180" i="15" s="1"/>
  <c r="D70" i="1"/>
  <c r="C70" i="1"/>
  <c r="C180" i="15" s="1"/>
  <c r="M64" i="1"/>
  <c r="M179" i="15" s="1"/>
  <c r="L64" i="1"/>
  <c r="L179" i="15" s="1"/>
  <c r="I64" i="1"/>
  <c r="H64" i="1"/>
  <c r="H179" i="15" s="1"/>
  <c r="G64" i="1"/>
  <c r="G179" i="15" s="1"/>
  <c r="F64" i="1"/>
  <c r="F179" i="15" s="1"/>
  <c r="E64" i="1"/>
  <c r="E179" i="15" s="1"/>
  <c r="D64" i="1"/>
  <c r="C64" i="1"/>
  <c r="C179" i="15" s="1"/>
  <c r="M54" i="1"/>
  <c r="M178" i="15" s="1"/>
  <c r="L54" i="1"/>
  <c r="L178" i="15" s="1"/>
  <c r="I54" i="1"/>
  <c r="H54" i="1"/>
  <c r="H178" i="15" s="1"/>
  <c r="G54" i="1"/>
  <c r="G178" i="15" s="1"/>
  <c r="F54" i="1"/>
  <c r="F178" i="15" s="1"/>
  <c r="E54" i="1"/>
  <c r="D54" i="1"/>
  <c r="C54" i="1"/>
  <c r="C178" i="15" s="1"/>
  <c r="M46" i="1"/>
  <c r="M177" i="15" s="1"/>
  <c r="L46" i="1"/>
  <c r="L177" i="15" s="1"/>
  <c r="I46" i="1"/>
  <c r="H46" i="1"/>
  <c r="H177" i="15" s="1"/>
  <c r="G46" i="1"/>
  <c r="G177" i="15" s="1"/>
  <c r="F46" i="1"/>
  <c r="F177" i="15" s="1"/>
  <c r="E46" i="1"/>
  <c r="E177" i="15" s="1"/>
  <c r="D46" i="1"/>
  <c r="C46" i="1"/>
  <c r="C177" i="15" s="1"/>
  <c r="M39" i="1"/>
  <c r="M176" i="15" s="1"/>
  <c r="L39" i="1"/>
  <c r="L176" i="15" s="1"/>
  <c r="I39" i="1"/>
  <c r="H39" i="1"/>
  <c r="H176" i="15" s="1"/>
  <c r="G39" i="1"/>
  <c r="G176" i="15" s="1"/>
  <c r="F39" i="1"/>
  <c r="F176" i="15" s="1"/>
  <c r="E39" i="1"/>
  <c r="D39" i="1"/>
  <c r="C39" i="1"/>
  <c r="C176" i="15" s="1"/>
  <c r="M28" i="1"/>
  <c r="M175" i="15" s="1"/>
  <c r="L28" i="1"/>
  <c r="L175" i="15" s="1"/>
  <c r="I28" i="1"/>
  <c r="H28" i="1"/>
  <c r="H175" i="15" s="1"/>
  <c r="G28" i="1"/>
  <c r="G175" i="15" s="1"/>
  <c r="F28" i="1"/>
  <c r="F175" i="15" s="1"/>
  <c r="E28" i="1"/>
  <c r="E175" i="15" s="1"/>
  <c r="D28" i="1"/>
  <c r="C28" i="1"/>
  <c r="C175" i="15" s="1"/>
  <c r="M18" i="1"/>
  <c r="M174" i="15" s="1"/>
  <c r="L18" i="1"/>
  <c r="L174" i="15" s="1"/>
  <c r="I18" i="1"/>
  <c r="H18" i="1"/>
  <c r="H174" i="15" s="1"/>
  <c r="G18" i="1"/>
  <c r="G174" i="15" s="1"/>
  <c r="F18" i="1"/>
  <c r="F174" i="15" s="1"/>
  <c r="E18" i="1"/>
  <c r="D18" i="1"/>
  <c r="C18" i="1"/>
  <c r="C174" i="15" s="1"/>
  <c r="M14" i="1"/>
  <c r="M173" i="15" s="1"/>
  <c r="L14" i="1"/>
  <c r="L173" i="15" s="1"/>
  <c r="I14" i="1"/>
  <c r="H14" i="1"/>
  <c r="H173" i="15" s="1"/>
  <c r="G14" i="1"/>
  <c r="G173" i="15" s="1"/>
  <c r="F14" i="1"/>
  <c r="F173" i="15"/>
  <c r="E14" i="1"/>
  <c r="E173" i="15" s="1"/>
  <c r="D14" i="1"/>
  <c r="C14" i="1"/>
  <c r="C173" i="15" s="1"/>
  <c r="M9" i="1"/>
  <c r="M172" i="15" s="1"/>
  <c r="L9" i="1"/>
  <c r="L172" i="15" s="1"/>
  <c r="I9" i="1"/>
  <c r="H9" i="1"/>
  <c r="G9" i="1"/>
  <c r="G172" i="15" s="1"/>
  <c r="F9" i="1"/>
  <c r="E9" i="1"/>
  <c r="E172" i="15" s="1"/>
  <c r="D9" i="1"/>
  <c r="C9" i="1"/>
  <c r="C172" i="15" s="1"/>
  <c r="F68" i="15"/>
  <c r="C67" i="15"/>
  <c r="F64" i="15"/>
  <c r="E64" i="15"/>
  <c r="H47" i="15"/>
  <c r="H45" i="15"/>
  <c r="G45" i="15"/>
  <c r="G44" i="15"/>
  <c r="H42" i="15"/>
  <c r="F42" i="15"/>
  <c r="M77" i="34"/>
  <c r="M18" i="15" s="1"/>
  <c r="L77" i="34"/>
  <c r="I77" i="34"/>
  <c r="H77" i="34"/>
  <c r="H18" i="15" s="1"/>
  <c r="G77" i="34"/>
  <c r="G18" i="15" s="1"/>
  <c r="F77" i="34"/>
  <c r="F18" i="15" s="1"/>
  <c r="E77" i="34"/>
  <c r="D77" i="34"/>
  <c r="M166" i="34"/>
  <c r="M37" i="15" s="1"/>
  <c r="L166" i="34"/>
  <c r="L37" i="15" s="1"/>
  <c r="I166" i="34"/>
  <c r="H166" i="34"/>
  <c r="H37" i="15" s="1"/>
  <c r="G166" i="34"/>
  <c r="G37" i="15" s="1"/>
  <c r="F166" i="34"/>
  <c r="F37" i="15" s="1"/>
  <c r="E166" i="34"/>
  <c r="D166" i="34"/>
  <c r="C166" i="34"/>
  <c r="C37" i="15" s="1"/>
  <c r="M163" i="34"/>
  <c r="M36" i="15" s="1"/>
  <c r="L163" i="34"/>
  <c r="L36" i="15" s="1"/>
  <c r="I163" i="34"/>
  <c r="H163" i="34"/>
  <c r="H36" i="15" s="1"/>
  <c r="G163" i="34"/>
  <c r="G36" i="15" s="1"/>
  <c r="F163" i="34"/>
  <c r="F36" i="15" s="1"/>
  <c r="E163" i="34"/>
  <c r="D163" i="34"/>
  <c r="C163" i="34"/>
  <c r="C36" i="15" s="1"/>
  <c r="M160" i="34"/>
  <c r="M35" i="15" s="1"/>
  <c r="L160" i="34"/>
  <c r="L35" i="15" s="1"/>
  <c r="I160" i="34"/>
  <c r="H160" i="34"/>
  <c r="H35" i="15" s="1"/>
  <c r="G160" i="34"/>
  <c r="G35" i="15" s="1"/>
  <c r="F160" i="34"/>
  <c r="F35" i="15" s="1"/>
  <c r="E160" i="34"/>
  <c r="E35" i="15" s="1"/>
  <c r="D160" i="34"/>
  <c r="C160" i="34"/>
  <c r="C35" i="15" s="1"/>
  <c r="M157" i="34"/>
  <c r="M34" i="15" s="1"/>
  <c r="L157" i="34"/>
  <c r="L34" i="15" s="1"/>
  <c r="I157" i="34"/>
  <c r="H157" i="34"/>
  <c r="H34" i="15" s="1"/>
  <c r="G157" i="34"/>
  <c r="G34" i="15" s="1"/>
  <c r="F157" i="34"/>
  <c r="F34" i="15" s="1"/>
  <c r="E157" i="34"/>
  <c r="E34" i="15" s="1"/>
  <c r="D157" i="34"/>
  <c r="C157" i="34"/>
  <c r="C34" i="15" s="1"/>
  <c r="M154" i="34"/>
  <c r="M33" i="15" s="1"/>
  <c r="L154" i="34"/>
  <c r="L33" i="15" s="1"/>
  <c r="I154" i="34"/>
  <c r="H154" i="34"/>
  <c r="H33" i="15" s="1"/>
  <c r="G154" i="34"/>
  <c r="G33" i="15" s="1"/>
  <c r="F154" i="34"/>
  <c r="F33" i="15" s="1"/>
  <c r="E154" i="34"/>
  <c r="E33" i="15" s="1"/>
  <c r="D154" i="34"/>
  <c r="C154" i="34"/>
  <c r="C33" i="15" s="1"/>
  <c r="M133" i="34"/>
  <c r="M26" i="15" s="1"/>
  <c r="L133" i="34"/>
  <c r="L26" i="15" s="1"/>
  <c r="I133" i="34"/>
  <c r="J133" i="34" s="1"/>
  <c r="H133" i="34"/>
  <c r="H26" i="15" s="1"/>
  <c r="G133" i="34"/>
  <c r="G26" i="15" s="1"/>
  <c r="F133" i="34"/>
  <c r="F26" i="15" s="1"/>
  <c r="E133" i="34"/>
  <c r="D133" i="34"/>
  <c r="C133" i="34"/>
  <c r="C26" i="15" s="1"/>
  <c r="M116" i="34"/>
  <c r="M23" i="15" s="1"/>
  <c r="L116" i="34"/>
  <c r="L23" i="15" s="1"/>
  <c r="I116" i="34"/>
  <c r="H116" i="34"/>
  <c r="H23" i="15" s="1"/>
  <c r="G116" i="34"/>
  <c r="G23" i="15" s="1"/>
  <c r="F116" i="34"/>
  <c r="F23" i="15" s="1"/>
  <c r="E116" i="34"/>
  <c r="M113" i="34"/>
  <c r="M22" i="15" s="1"/>
  <c r="L113" i="34"/>
  <c r="I113" i="34"/>
  <c r="H113" i="34"/>
  <c r="H22" i="15" s="1"/>
  <c r="G113" i="34"/>
  <c r="F113" i="34"/>
  <c r="E113" i="34"/>
  <c r="D116" i="34"/>
  <c r="D113" i="34"/>
  <c r="M105" i="34"/>
  <c r="M21" i="15" s="1"/>
  <c r="L105" i="34"/>
  <c r="L21" i="15" s="1"/>
  <c r="I105" i="34"/>
  <c r="H105" i="34"/>
  <c r="H21" i="15" s="1"/>
  <c r="G105" i="34"/>
  <c r="G21" i="15" s="1"/>
  <c r="F105" i="34"/>
  <c r="F21" i="15" s="1"/>
  <c r="E105" i="34"/>
  <c r="D105" i="34"/>
  <c r="C105" i="34"/>
  <c r="C21" i="15" s="1"/>
  <c r="M100" i="34"/>
  <c r="M19" i="15" s="1"/>
  <c r="L100" i="34"/>
  <c r="L19" i="15" s="1"/>
  <c r="I100" i="34"/>
  <c r="H100" i="34"/>
  <c r="G100" i="34"/>
  <c r="F100" i="34"/>
  <c r="F19" i="15" s="1"/>
  <c r="E100" i="34"/>
  <c r="D100" i="34"/>
  <c r="C100" i="34"/>
  <c r="C19" i="15" s="1"/>
  <c r="C77" i="34"/>
  <c r="C18" i="15" s="1"/>
  <c r="M64" i="34"/>
  <c r="M15" i="15" s="1"/>
  <c r="L64" i="34"/>
  <c r="L15" i="15" s="1"/>
  <c r="I64" i="34"/>
  <c r="H64" i="34"/>
  <c r="H15" i="15" s="1"/>
  <c r="G64" i="34"/>
  <c r="G15" i="15" s="1"/>
  <c r="F64" i="34"/>
  <c r="F15" i="15" s="1"/>
  <c r="E64" i="34"/>
  <c r="D64" i="34"/>
  <c r="C64" i="34"/>
  <c r="C15" i="15" s="1"/>
  <c r="M54" i="34"/>
  <c r="M14" i="15" s="1"/>
  <c r="L54" i="34"/>
  <c r="L14" i="15" s="1"/>
  <c r="I54" i="34"/>
  <c r="H54" i="34"/>
  <c r="H14" i="15" s="1"/>
  <c r="G54" i="34"/>
  <c r="G14" i="15" s="1"/>
  <c r="F54" i="34"/>
  <c r="F14" i="15" s="1"/>
  <c r="E54" i="34"/>
  <c r="D54" i="34"/>
  <c r="C54" i="34"/>
  <c r="C14" i="15" s="1"/>
  <c r="M46" i="34"/>
  <c r="M13" i="15" s="1"/>
  <c r="L46" i="34"/>
  <c r="L13" i="15" s="1"/>
  <c r="I46" i="34"/>
  <c r="H46" i="34"/>
  <c r="H13" i="15" s="1"/>
  <c r="G46" i="34"/>
  <c r="G13" i="15" s="1"/>
  <c r="F46" i="34"/>
  <c r="F13" i="15" s="1"/>
  <c r="E46" i="34"/>
  <c r="E13" i="15" s="1"/>
  <c r="D46" i="34"/>
  <c r="C46" i="34"/>
  <c r="C13" i="15" s="1"/>
  <c r="M39" i="34"/>
  <c r="M12" i="15" s="1"/>
  <c r="L39" i="34"/>
  <c r="L12" i="15" s="1"/>
  <c r="I39" i="34"/>
  <c r="H39" i="34"/>
  <c r="H12" i="15" s="1"/>
  <c r="G39" i="34"/>
  <c r="G12" i="15" s="1"/>
  <c r="F39" i="34"/>
  <c r="F12" i="15" s="1"/>
  <c r="E39" i="34"/>
  <c r="E12" i="15" s="1"/>
  <c r="D39" i="34"/>
  <c r="C39" i="34"/>
  <c r="C12" i="15" s="1"/>
  <c r="M9" i="34"/>
  <c r="M8" i="15" s="1"/>
  <c r="L8" i="15"/>
  <c r="I9" i="34"/>
  <c r="H9" i="34"/>
  <c r="H8" i="15" s="1"/>
  <c r="G9" i="34"/>
  <c r="G8" i="15" s="1"/>
  <c r="F9" i="34"/>
  <c r="E9" i="34"/>
  <c r="D9" i="34"/>
  <c r="C9" i="34"/>
  <c r="A50" i="9"/>
  <c r="A27" i="9"/>
  <c r="A247" i="46"/>
  <c r="A246" i="46"/>
  <c r="A245" i="46"/>
  <c r="A244" i="46"/>
  <c r="A243" i="46"/>
  <c r="A242" i="46"/>
  <c r="A241" i="46"/>
  <c r="M236" i="46"/>
  <c r="M48" i="9" s="1"/>
  <c r="R47" i="29" s="1"/>
  <c r="L236" i="46"/>
  <c r="L48" i="9" s="1"/>
  <c r="Q47" i="29" s="1"/>
  <c r="I236" i="46"/>
  <c r="H236" i="46"/>
  <c r="H48" i="9" s="1"/>
  <c r="G236" i="46"/>
  <c r="G48" i="9" s="1"/>
  <c r="F236" i="46"/>
  <c r="F48" i="9" s="1"/>
  <c r="D236" i="46"/>
  <c r="D48" i="9" s="1"/>
  <c r="C236" i="46"/>
  <c r="C48" i="9" s="1"/>
  <c r="E236" i="46"/>
  <c r="E48" i="9" s="1"/>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s="1"/>
  <c r="R37" i="29" s="1"/>
  <c r="L187" i="46"/>
  <c r="L38" i="9" s="1"/>
  <c r="Q37" i="29" s="1"/>
  <c r="I187" i="46"/>
  <c r="H187" i="46"/>
  <c r="H38" i="9" s="1"/>
  <c r="G187" i="46"/>
  <c r="G38" i="9" s="1"/>
  <c r="F187" i="46"/>
  <c r="F38" i="9" s="1"/>
  <c r="E187" i="46"/>
  <c r="D187" i="46"/>
  <c r="D38" i="9" s="1"/>
  <c r="C187" i="46"/>
  <c r="C38" i="9" s="1"/>
  <c r="A188" i="46"/>
  <c r="A186" i="46"/>
  <c r="A183" i="46"/>
  <c r="A182" i="46"/>
  <c r="A181" i="46"/>
  <c r="A180" i="46"/>
  <c r="A179" i="46"/>
  <c r="A178" i="46"/>
  <c r="A177" i="46"/>
  <c r="A176" i="46"/>
  <c r="A175" i="46"/>
  <c r="A174" i="46"/>
  <c r="A173" i="46"/>
  <c r="A172" i="46"/>
  <c r="M172" i="46"/>
  <c r="M36" i="9" s="1"/>
  <c r="R35" i="29" s="1"/>
  <c r="L172" i="46"/>
  <c r="L36" i="9" s="1"/>
  <c r="Q35" i="29" s="1"/>
  <c r="I172" i="46"/>
  <c r="H172" i="46"/>
  <c r="H36" i="9" s="1"/>
  <c r="G172" i="46"/>
  <c r="G36" i="9" s="1"/>
  <c r="F172" i="46"/>
  <c r="F36" i="9" s="1"/>
  <c r="E172" i="46"/>
  <c r="E36" i="9" s="1"/>
  <c r="D172" i="46"/>
  <c r="D36" i="9" s="1"/>
  <c r="C172" i="46"/>
  <c r="C36" i="9" s="1"/>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M32" i="9" s="1"/>
  <c r="L133" i="46"/>
  <c r="L32" i="9" s="1"/>
  <c r="Q31" i="29" s="1"/>
  <c r="I133" i="46"/>
  <c r="H133" i="46"/>
  <c r="H32" i="9" s="1"/>
  <c r="G133" i="46"/>
  <c r="F133" i="46"/>
  <c r="F32" i="9" s="1"/>
  <c r="E133" i="46"/>
  <c r="E32" i="9" s="1"/>
  <c r="D133" i="46"/>
  <c r="D32" i="9" s="1"/>
  <c r="C133" i="46"/>
  <c r="C32" i="9" s="1"/>
  <c r="M114" i="46"/>
  <c r="M25" i="9" s="1"/>
  <c r="R24" i="29" s="1"/>
  <c r="L114" i="46"/>
  <c r="L25" i="9" s="1"/>
  <c r="Q24" i="29" s="1"/>
  <c r="I114" i="46"/>
  <c r="H114" i="46"/>
  <c r="H25" i="9" s="1"/>
  <c r="G114" i="46"/>
  <c r="F114" i="46"/>
  <c r="F25" i="9" s="1"/>
  <c r="E114" i="46"/>
  <c r="D114" i="46"/>
  <c r="D25" i="9" s="1"/>
  <c r="C114" i="46"/>
  <c r="C25" i="9" s="1"/>
  <c r="M65" i="46"/>
  <c r="M15" i="9" s="1"/>
  <c r="R14" i="29" s="1"/>
  <c r="L65" i="46"/>
  <c r="L15" i="9" s="1"/>
  <c r="Q14" i="29" s="1"/>
  <c r="I65" i="46"/>
  <c r="H65" i="46"/>
  <c r="H15" i="9" s="1"/>
  <c r="G65" i="46"/>
  <c r="G15" i="9" s="1"/>
  <c r="F65" i="46"/>
  <c r="E65" i="46"/>
  <c r="E15" i="9" s="1"/>
  <c r="D65" i="46"/>
  <c r="D15" i="9" s="1"/>
  <c r="C65" i="46"/>
  <c r="C15" i="9" s="1"/>
  <c r="M50" i="46"/>
  <c r="M13" i="9" s="1"/>
  <c r="L50" i="46"/>
  <c r="I50" i="46"/>
  <c r="J50" i="46" s="1"/>
  <c r="H50" i="46"/>
  <c r="H13" i="9" s="1"/>
  <c r="G50" i="46"/>
  <c r="G13" i="9" s="1"/>
  <c r="F50" i="46"/>
  <c r="E50" i="46"/>
  <c r="E13" i="9" s="1"/>
  <c r="C50" i="46"/>
  <c r="C13" i="9" s="1"/>
  <c r="M11" i="46"/>
  <c r="M9" i="9" s="1"/>
  <c r="R8" i="29" s="1"/>
  <c r="L11" i="46"/>
  <c r="I11" i="46"/>
  <c r="H11" i="46"/>
  <c r="H9" i="9" s="1"/>
  <c r="G11" i="46"/>
  <c r="G9" i="9" s="1"/>
  <c r="F11" i="46"/>
  <c r="F9" i="9" s="1"/>
  <c r="E11" i="46"/>
  <c r="E9" i="9" s="1"/>
  <c r="D11" i="46"/>
  <c r="D9" i="9" s="1"/>
  <c r="C11" i="46"/>
  <c r="C9" i="9" s="1"/>
  <c r="K75" i="11"/>
  <c r="K74" i="11"/>
  <c r="K71" i="11"/>
  <c r="K70" i="11"/>
  <c r="K69" i="11"/>
  <c r="K68" i="11"/>
  <c r="K64" i="11"/>
  <c r="O25" i="33" s="1"/>
  <c r="K63" i="11"/>
  <c r="O24" i="33" s="1"/>
  <c r="K62" i="11"/>
  <c r="O23" i="33" s="1"/>
  <c r="K61" i="11"/>
  <c r="O22" i="33" s="1"/>
  <c r="K60" i="11"/>
  <c r="O21" i="33" s="1"/>
  <c r="K57" i="11"/>
  <c r="O18" i="33" s="1"/>
  <c r="K56" i="11"/>
  <c r="K54" i="11"/>
  <c r="O15" i="33" s="1"/>
  <c r="K53" i="11"/>
  <c r="K52" i="11"/>
  <c r="O13" i="33" s="1"/>
  <c r="K51" i="11"/>
  <c r="O12" i="33" s="1"/>
  <c r="K50" i="11"/>
  <c r="O11" i="33" s="1"/>
  <c r="K48" i="11"/>
  <c r="O9" i="33" s="1"/>
  <c r="K47" i="11"/>
  <c r="O8" i="33" s="1"/>
  <c r="K46" i="11"/>
  <c r="O7" i="33" s="1"/>
  <c r="K40" i="22"/>
  <c r="J40" i="22"/>
  <c r="H40" i="22"/>
  <c r="G40" i="22"/>
  <c r="K26" i="24"/>
  <c r="J26" i="24"/>
  <c r="K26" i="23"/>
  <c r="J26" i="23"/>
  <c r="H181" i="17"/>
  <c r="G181" i="17"/>
  <c r="F181" i="17"/>
  <c r="E181" i="17"/>
  <c r="F2" i="21"/>
  <c r="D2" i="21"/>
  <c r="M3" i="21"/>
  <c r="L3" i="21"/>
  <c r="K3" i="21"/>
  <c r="J3" i="21"/>
  <c r="I3" i="21"/>
  <c r="H3" i="21"/>
  <c r="G3" i="21"/>
  <c r="M244" i="21"/>
  <c r="L244" i="21"/>
  <c r="K244" i="21"/>
  <c r="J244" i="21"/>
  <c r="I244" i="21"/>
  <c r="H244" i="21"/>
  <c r="G244" i="21"/>
  <c r="F244" i="21"/>
  <c r="E244" i="21"/>
  <c r="M238" i="21"/>
  <c r="L238" i="21"/>
  <c r="K238" i="21"/>
  <c r="J238" i="21"/>
  <c r="J245" i="21" s="1"/>
  <c r="I238" i="21"/>
  <c r="H238" i="21"/>
  <c r="G238" i="21"/>
  <c r="F238" i="21"/>
  <c r="F245" i="21" s="1"/>
  <c r="E238" i="21"/>
  <c r="M234" i="21"/>
  <c r="L234" i="21"/>
  <c r="K234" i="21"/>
  <c r="J234" i="21"/>
  <c r="I234" i="21"/>
  <c r="H234" i="21"/>
  <c r="G234" i="21"/>
  <c r="F234" i="21"/>
  <c r="E234" i="21"/>
  <c r="M230" i="21"/>
  <c r="L230" i="21"/>
  <c r="K230" i="21"/>
  <c r="K235" i="21" s="1"/>
  <c r="J230" i="21"/>
  <c r="I230" i="21"/>
  <c r="H230" i="21"/>
  <c r="G230" i="21"/>
  <c r="F230" i="21"/>
  <c r="E230" i="21"/>
  <c r="M225" i="21"/>
  <c r="L225" i="21"/>
  <c r="K225" i="21"/>
  <c r="J225" i="21"/>
  <c r="I225" i="21"/>
  <c r="H225" i="21"/>
  <c r="G225" i="21"/>
  <c r="F225" i="21"/>
  <c r="E225" i="21"/>
  <c r="M221" i="21"/>
  <c r="L221" i="21"/>
  <c r="K221" i="21"/>
  <c r="J221" i="21"/>
  <c r="J226" i="21" s="1"/>
  <c r="I221" i="21"/>
  <c r="H221" i="21"/>
  <c r="G221" i="21"/>
  <c r="G226" i="21" s="1"/>
  <c r="F221" i="21"/>
  <c r="E221" i="21"/>
  <c r="M213" i="21"/>
  <c r="L213" i="21"/>
  <c r="K213" i="21"/>
  <c r="J213" i="21"/>
  <c r="I213" i="21"/>
  <c r="H213" i="21"/>
  <c r="G213" i="21"/>
  <c r="F213" i="21"/>
  <c r="E213" i="21"/>
  <c r="M209" i="21"/>
  <c r="L209" i="21"/>
  <c r="K209" i="21"/>
  <c r="J209" i="21"/>
  <c r="I209" i="21"/>
  <c r="H209" i="21"/>
  <c r="H214" i="21" s="1"/>
  <c r="G209" i="21"/>
  <c r="F209" i="21"/>
  <c r="E209" i="21"/>
  <c r="E214" i="21" s="1"/>
  <c r="J202" i="21"/>
  <c r="I202" i="21"/>
  <c r="H202" i="21"/>
  <c r="G202" i="21"/>
  <c r="F202" i="21"/>
  <c r="E202" i="21"/>
  <c r="M198" i="21"/>
  <c r="L198" i="21"/>
  <c r="K198" i="21"/>
  <c r="J198" i="21"/>
  <c r="I198" i="21"/>
  <c r="H198" i="21"/>
  <c r="G198" i="21"/>
  <c r="F198" i="21"/>
  <c r="E198" i="21"/>
  <c r="M192" i="21"/>
  <c r="L192" i="21"/>
  <c r="K192" i="21"/>
  <c r="J192" i="21"/>
  <c r="I192" i="21"/>
  <c r="H192" i="21"/>
  <c r="G192" i="21"/>
  <c r="G199" i="21" s="1"/>
  <c r="F192" i="21"/>
  <c r="E192" i="21"/>
  <c r="M188" i="21"/>
  <c r="L188" i="21"/>
  <c r="K188" i="21"/>
  <c r="J188" i="21"/>
  <c r="I188" i="21"/>
  <c r="H188" i="21"/>
  <c r="G188" i="21"/>
  <c r="F188" i="21"/>
  <c r="E188" i="21"/>
  <c r="M184" i="21"/>
  <c r="M189" i="21" s="1"/>
  <c r="L184" i="21"/>
  <c r="K184" i="21"/>
  <c r="K189" i="21" s="1"/>
  <c r="J184" i="21"/>
  <c r="I184" i="21"/>
  <c r="H184" i="21"/>
  <c r="G184" i="21"/>
  <c r="F184" i="21"/>
  <c r="E184" i="21"/>
  <c r="M179" i="21"/>
  <c r="L179" i="21"/>
  <c r="K179" i="21"/>
  <c r="J179" i="21"/>
  <c r="I179" i="21"/>
  <c r="H179" i="21"/>
  <c r="G179" i="21"/>
  <c r="F179" i="21"/>
  <c r="E179" i="21"/>
  <c r="M175" i="21"/>
  <c r="M180" i="21" s="1"/>
  <c r="L175" i="21"/>
  <c r="K175" i="21"/>
  <c r="K180" i="21" s="1"/>
  <c r="J175" i="21"/>
  <c r="I175" i="21"/>
  <c r="H175" i="21"/>
  <c r="G175" i="21"/>
  <c r="G180" i="21" s="1"/>
  <c r="F175" i="21"/>
  <c r="E175" i="21"/>
  <c r="E180" i="21" s="1"/>
  <c r="M167" i="21"/>
  <c r="L167" i="21"/>
  <c r="K167" i="21"/>
  <c r="J167" i="21"/>
  <c r="I167" i="21"/>
  <c r="H167" i="21"/>
  <c r="G167" i="21"/>
  <c r="F167" i="21"/>
  <c r="E167" i="21"/>
  <c r="M163" i="21"/>
  <c r="L163" i="21"/>
  <c r="K163" i="21"/>
  <c r="J163" i="21"/>
  <c r="I163" i="21"/>
  <c r="H163" i="21"/>
  <c r="G163" i="21"/>
  <c r="F163" i="21"/>
  <c r="E163" i="21"/>
  <c r="E168" i="21" s="1"/>
  <c r="J156" i="21"/>
  <c r="I156" i="21"/>
  <c r="H156" i="21"/>
  <c r="G156" i="21"/>
  <c r="F156" i="21"/>
  <c r="E156" i="21"/>
  <c r="M152" i="21"/>
  <c r="L152" i="21"/>
  <c r="K152" i="21"/>
  <c r="J152" i="21"/>
  <c r="I152" i="21"/>
  <c r="H152" i="21"/>
  <c r="G152" i="21"/>
  <c r="F152" i="21"/>
  <c r="E152" i="21"/>
  <c r="M146" i="21"/>
  <c r="M153" i="21" s="1"/>
  <c r="L146" i="21"/>
  <c r="K146" i="21"/>
  <c r="K153" i="21" s="1"/>
  <c r="J146" i="21"/>
  <c r="I146" i="21"/>
  <c r="I153" i="21" s="1"/>
  <c r="H146" i="21"/>
  <c r="G146" i="21"/>
  <c r="F146" i="21"/>
  <c r="E146" i="21"/>
  <c r="M142" i="21"/>
  <c r="L142" i="21"/>
  <c r="K142" i="21"/>
  <c r="J142" i="21"/>
  <c r="I142" i="21"/>
  <c r="H142" i="21"/>
  <c r="G142" i="21"/>
  <c r="F142" i="21"/>
  <c r="E142" i="21"/>
  <c r="M138" i="21"/>
  <c r="L138" i="21"/>
  <c r="K138" i="21"/>
  <c r="K143" i="21" s="1"/>
  <c r="J138" i="21"/>
  <c r="I138" i="21"/>
  <c r="I143" i="21" s="1"/>
  <c r="H138" i="21"/>
  <c r="G138" i="21"/>
  <c r="F138" i="21"/>
  <c r="E138" i="21"/>
  <c r="M133" i="21"/>
  <c r="L133" i="21"/>
  <c r="K133" i="21"/>
  <c r="J133" i="21"/>
  <c r="I133" i="21"/>
  <c r="H133" i="21"/>
  <c r="G133" i="21"/>
  <c r="F133" i="21"/>
  <c r="E133" i="21"/>
  <c r="M129" i="21"/>
  <c r="M134" i="21" s="1"/>
  <c r="L129" i="21"/>
  <c r="K129" i="21"/>
  <c r="J129" i="21"/>
  <c r="I129" i="21"/>
  <c r="H129" i="21"/>
  <c r="G129" i="21"/>
  <c r="F129" i="21"/>
  <c r="E129" i="21"/>
  <c r="E134" i="21" s="1"/>
  <c r="M121" i="21"/>
  <c r="L121" i="21"/>
  <c r="K121" i="21"/>
  <c r="J121" i="21"/>
  <c r="I121" i="21"/>
  <c r="H121" i="21"/>
  <c r="G121" i="21"/>
  <c r="F121" i="21"/>
  <c r="E121" i="21"/>
  <c r="M117" i="21"/>
  <c r="M122" i="21" s="1"/>
  <c r="L117" i="21"/>
  <c r="K117" i="21"/>
  <c r="J117" i="21"/>
  <c r="I117" i="21"/>
  <c r="H117" i="21"/>
  <c r="G117" i="21"/>
  <c r="F117" i="21"/>
  <c r="E117" i="21"/>
  <c r="J110" i="21"/>
  <c r="I110" i="21"/>
  <c r="H110" i="21"/>
  <c r="G110" i="21"/>
  <c r="F110" i="21"/>
  <c r="E110" i="21"/>
  <c r="M106" i="21"/>
  <c r="L106" i="21"/>
  <c r="K106" i="21"/>
  <c r="J106" i="21"/>
  <c r="I106" i="21"/>
  <c r="H106" i="21"/>
  <c r="G106" i="21"/>
  <c r="F106" i="21"/>
  <c r="E106" i="21"/>
  <c r="M100" i="21"/>
  <c r="L100" i="21"/>
  <c r="K100" i="21"/>
  <c r="J100" i="21"/>
  <c r="I100" i="21"/>
  <c r="I107" i="21" s="1"/>
  <c r="H100" i="21"/>
  <c r="G100" i="21"/>
  <c r="G107" i="21" s="1"/>
  <c r="F100" i="21"/>
  <c r="E100" i="21"/>
  <c r="M96" i="21"/>
  <c r="L96" i="21"/>
  <c r="K96" i="21"/>
  <c r="J96" i="21"/>
  <c r="I96" i="21"/>
  <c r="H96" i="21"/>
  <c r="G96" i="21"/>
  <c r="F96" i="21"/>
  <c r="E96" i="21"/>
  <c r="M92" i="21"/>
  <c r="L92" i="21"/>
  <c r="K92" i="21"/>
  <c r="K97" i="21" s="1"/>
  <c r="J92" i="21"/>
  <c r="I92" i="21"/>
  <c r="I97" i="21" s="1"/>
  <c r="H92" i="21"/>
  <c r="G92" i="21"/>
  <c r="F92" i="21"/>
  <c r="E92" i="21"/>
  <c r="M87" i="21"/>
  <c r="L87" i="21"/>
  <c r="K87" i="21"/>
  <c r="J87" i="21"/>
  <c r="I87" i="21"/>
  <c r="H87" i="21"/>
  <c r="G87" i="21"/>
  <c r="F87" i="21"/>
  <c r="E87" i="21"/>
  <c r="M83" i="21"/>
  <c r="M88" i="21" s="1"/>
  <c r="L83" i="21"/>
  <c r="K83" i="21"/>
  <c r="J83" i="21"/>
  <c r="I83" i="21"/>
  <c r="H83" i="21"/>
  <c r="G83" i="21"/>
  <c r="F83" i="21"/>
  <c r="E83" i="21"/>
  <c r="E88" i="21" s="1"/>
  <c r="M75" i="21"/>
  <c r="L75" i="21"/>
  <c r="K75" i="21"/>
  <c r="J75" i="21"/>
  <c r="I75" i="21"/>
  <c r="H75" i="21"/>
  <c r="G75" i="21"/>
  <c r="F75" i="21"/>
  <c r="E75" i="21"/>
  <c r="M71" i="21"/>
  <c r="L71" i="21"/>
  <c r="K71" i="21"/>
  <c r="J71" i="21"/>
  <c r="I71" i="21"/>
  <c r="H71" i="21"/>
  <c r="G71" i="21"/>
  <c r="F71" i="21"/>
  <c r="E71" i="21"/>
  <c r="J64" i="21"/>
  <c r="I64" i="21"/>
  <c r="H64" i="21"/>
  <c r="G64" i="21"/>
  <c r="F64" i="21"/>
  <c r="E64" i="21"/>
  <c r="K9" i="13"/>
  <c r="K10" i="13"/>
  <c r="K11" i="13"/>
  <c r="K12" i="13"/>
  <c r="K13" i="13"/>
  <c r="K14" i="13"/>
  <c r="C111" i="17"/>
  <c r="D111" i="17"/>
  <c r="E111" i="17"/>
  <c r="K180" i="17"/>
  <c r="K178" i="17"/>
  <c r="H33" i="10"/>
  <c r="F33" i="10"/>
  <c r="E33" i="10"/>
  <c r="K116" i="17"/>
  <c r="K115" i="17"/>
  <c r="K114" i="17"/>
  <c r="M111" i="17"/>
  <c r="L111" i="17"/>
  <c r="I111" i="17"/>
  <c r="H111" i="17"/>
  <c r="G111" i="17"/>
  <c r="F111" i="17"/>
  <c r="K110" i="17"/>
  <c r="K109" i="17"/>
  <c r="K38" i="17"/>
  <c r="E10" i="22"/>
  <c r="F10" i="22"/>
  <c r="D10" i="22"/>
  <c r="A2" i="36"/>
  <c r="B2" i="36"/>
  <c r="C3" i="36"/>
  <c r="D3" i="36"/>
  <c r="E3" i="36"/>
  <c r="F3" i="36"/>
  <c r="G3" i="36"/>
  <c r="H3" i="36"/>
  <c r="I3" i="36"/>
  <c r="J3" i="36"/>
  <c r="K3" i="36"/>
  <c r="L3" i="36"/>
  <c r="M3" i="36"/>
  <c r="J7" i="36"/>
  <c r="K7" i="36" s="1"/>
  <c r="J8" i="36"/>
  <c r="J9" i="36"/>
  <c r="K9" i="36"/>
  <c r="J10" i="36"/>
  <c r="K10" i="36" s="1"/>
  <c r="J11" i="36"/>
  <c r="K11" i="36" s="1"/>
  <c r="J12" i="36"/>
  <c r="K12" i="36" s="1"/>
  <c r="J13" i="36"/>
  <c r="K13" i="36" s="1"/>
  <c r="J14" i="36"/>
  <c r="K14" i="36" s="1"/>
  <c r="J15" i="36"/>
  <c r="K15" i="36" s="1"/>
  <c r="J16" i="36"/>
  <c r="K16" i="36" s="1"/>
  <c r="C17" i="36"/>
  <c r="D17" i="36"/>
  <c r="E17" i="36"/>
  <c r="F17" i="36"/>
  <c r="G17" i="36"/>
  <c r="H17" i="36"/>
  <c r="I17" i="36"/>
  <c r="L17" i="36"/>
  <c r="M17" i="36"/>
  <c r="J20" i="36"/>
  <c r="K20" i="36" s="1"/>
  <c r="J21" i="36"/>
  <c r="J22" i="36"/>
  <c r="K22" i="36" s="1"/>
  <c r="J23" i="36"/>
  <c r="K23" i="36" s="1"/>
  <c r="J24" i="36"/>
  <c r="K24" i="36" s="1"/>
  <c r="J25" i="36"/>
  <c r="K25" i="36" s="1"/>
  <c r="J26" i="36"/>
  <c r="K26" i="36"/>
  <c r="J27" i="36"/>
  <c r="J28" i="36"/>
  <c r="K28" i="36" s="1"/>
  <c r="J29" i="36"/>
  <c r="K29" i="36" s="1"/>
  <c r="C30" i="36"/>
  <c r="D30" i="36"/>
  <c r="E30" i="36"/>
  <c r="F30" i="36"/>
  <c r="G30" i="36"/>
  <c r="H30" i="36"/>
  <c r="I30" i="36"/>
  <c r="L30" i="36"/>
  <c r="M30" i="36"/>
  <c r="J33" i="36"/>
  <c r="K33" i="36" s="1"/>
  <c r="J34" i="36"/>
  <c r="K34" i="36" s="1"/>
  <c r="J35" i="36"/>
  <c r="K35" i="36" s="1"/>
  <c r="J36" i="36"/>
  <c r="K36" i="36" s="1"/>
  <c r="J37" i="36"/>
  <c r="K37" i="36" s="1"/>
  <c r="J38" i="36"/>
  <c r="K38" i="36" s="1"/>
  <c r="J39" i="36"/>
  <c r="K39" i="36" s="1"/>
  <c r="J40" i="36"/>
  <c r="K40" i="36" s="1"/>
  <c r="J41" i="36"/>
  <c r="K41" i="36" s="1"/>
  <c r="J42" i="36"/>
  <c r="K42" i="36" s="1"/>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s="1"/>
  <c r="D14" i="34"/>
  <c r="E14" i="34"/>
  <c r="F14" i="34"/>
  <c r="F9" i="15" s="1"/>
  <c r="G14" i="34"/>
  <c r="G9" i="15" s="1"/>
  <c r="H14" i="34"/>
  <c r="H9" i="15" s="1"/>
  <c r="I14" i="34"/>
  <c r="L9" i="15"/>
  <c r="M14" i="34"/>
  <c r="M9" i="15" s="1"/>
  <c r="C18" i="34"/>
  <c r="C10" i="15" s="1"/>
  <c r="E18" i="34"/>
  <c r="E10" i="15" s="1"/>
  <c r="F18" i="34"/>
  <c r="F10" i="15" s="1"/>
  <c r="G18" i="34"/>
  <c r="G10" i="15" s="1"/>
  <c r="H18" i="34"/>
  <c r="H10" i="15" s="1"/>
  <c r="I18" i="34"/>
  <c r="L10" i="15"/>
  <c r="M18" i="34"/>
  <c r="M10" i="15" s="1"/>
  <c r="C28" i="34"/>
  <c r="C11" i="15" s="1"/>
  <c r="D28" i="34"/>
  <c r="E28" i="34"/>
  <c r="F28" i="34"/>
  <c r="F11" i="15" s="1"/>
  <c r="G28" i="34"/>
  <c r="G11" i="15" s="1"/>
  <c r="H28" i="34"/>
  <c r="H11" i="15" s="1"/>
  <c r="I28" i="34"/>
  <c r="L11" i="15"/>
  <c r="M28" i="34"/>
  <c r="M11" i="15" s="1"/>
  <c r="C70" i="34"/>
  <c r="C16" i="15" s="1"/>
  <c r="D70" i="34"/>
  <c r="E70" i="34"/>
  <c r="F70" i="34"/>
  <c r="F16" i="15" s="1"/>
  <c r="G70" i="34"/>
  <c r="G16" i="15" s="1"/>
  <c r="H70" i="34"/>
  <c r="H16" i="15" s="1"/>
  <c r="I70" i="34"/>
  <c r="L70" i="34"/>
  <c r="L16" i="15" s="1"/>
  <c r="M70" i="34"/>
  <c r="M16" i="15" s="1"/>
  <c r="C138" i="34"/>
  <c r="C28" i="15" s="1"/>
  <c r="D138" i="34"/>
  <c r="E138" i="34"/>
  <c r="F138" i="34"/>
  <c r="F28" i="15" s="1"/>
  <c r="G138" i="34"/>
  <c r="G28" i="15" s="1"/>
  <c r="H138" i="34"/>
  <c r="H28" i="15" s="1"/>
  <c r="I138" i="34"/>
  <c r="L138" i="34"/>
  <c r="L28" i="15" s="1"/>
  <c r="M138" i="34"/>
  <c r="M28" i="15" s="1"/>
  <c r="C151" i="34"/>
  <c r="C32" i="15" s="1"/>
  <c r="D151" i="34"/>
  <c r="E151" i="34"/>
  <c r="E32" i="15" s="1"/>
  <c r="F151" i="34"/>
  <c r="F32" i="15" s="1"/>
  <c r="G151" i="34"/>
  <c r="G32" i="15" s="1"/>
  <c r="H151" i="34"/>
  <c r="H32" i="15" s="1"/>
  <c r="I151" i="34"/>
  <c r="L151" i="34"/>
  <c r="L32" i="15" s="1"/>
  <c r="M151" i="34"/>
  <c r="M32" i="15" s="1"/>
  <c r="A171" i="34"/>
  <c r="A2" i="33"/>
  <c r="B2" i="33"/>
  <c r="O2" i="33"/>
  <c r="C4" i="33"/>
  <c r="D4" i="33"/>
  <c r="E4" i="33"/>
  <c r="F4" i="33"/>
  <c r="G4" i="33"/>
  <c r="H4" i="33"/>
  <c r="I4" i="33"/>
  <c r="J4" i="33"/>
  <c r="K4" i="33"/>
  <c r="L4" i="33"/>
  <c r="M4" i="33"/>
  <c r="N4" i="33"/>
  <c r="O4" i="33"/>
  <c r="P4" i="33"/>
  <c r="Q4" i="33"/>
  <c r="A6" i="33"/>
  <c r="C6" i="33"/>
  <c r="D6" i="33"/>
  <c r="E6" i="33"/>
  <c r="F6" i="33"/>
  <c r="G6" i="33"/>
  <c r="H6" i="33"/>
  <c r="A7" i="33"/>
  <c r="P7" i="33"/>
  <c r="Q7" i="33"/>
  <c r="A8" i="33"/>
  <c r="P8" i="33"/>
  <c r="Q8" i="33"/>
  <c r="A9" i="33"/>
  <c r="P9" i="33"/>
  <c r="Q9" i="33"/>
  <c r="A10" i="33"/>
  <c r="C10" i="33"/>
  <c r="D10" i="33"/>
  <c r="E10" i="33"/>
  <c r="F10" i="33"/>
  <c r="G10" i="33"/>
  <c r="H10" i="33"/>
  <c r="A11" i="33"/>
  <c r="P11" i="33"/>
  <c r="Q11" i="33"/>
  <c r="A12" i="33"/>
  <c r="P12" i="33"/>
  <c r="Q12" i="33"/>
  <c r="A13" i="33"/>
  <c r="P13" i="33"/>
  <c r="Q13" i="33"/>
  <c r="A14" i="33"/>
  <c r="P14" i="33"/>
  <c r="Q14" i="33"/>
  <c r="A15" i="33"/>
  <c r="P15" i="33"/>
  <c r="Q15" i="33"/>
  <c r="A16" i="33"/>
  <c r="C16" i="33"/>
  <c r="D16" i="33"/>
  <c r="E16" i="33"/>
  <c r="F16" i="33"/>
  <c r="G16" i="33"/>
  <c r="H16" i="33"/>
  <c r="A17" i="33"/>
  <c r="P17" i="33"/>
  <c r="Q17" i="33"/>
  <c r="A18" i="33"/>
  <c r="P18" i="33"/>
  <c r="Q18" i="33"/>
  <c r="A19" i="33"/>
  <c r="P19" i="33"/>
  <c r="Q19" i="33"/>
  <c r="A20" i="33"/>
  <c r="C20" i="33"/>
  <c r="D20" i="33"/>
  <c r="E20" i="33"/>
  <c r="F20" i="33"/>
  <c r="G20" i="33"/>
  <c r="H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G21" i="32"/>
  <c r="H21" i="32"/>
  <c r="O21" i="32"/>
  <c r="O22" i="32" s="1"/>
  <c r="C39" i="32"/>
  <c r="D39" i="32"/>
  <c r="E39" i="32"/>
  <c r="F39" i="32"/>
  <c r="G39" i="32"/>
  <c r="H39" i="32"/>
  <c r="O39" i="32"/>
  <c r="A41" i="32"/>
  <c r="B2" i="31"/>
  <c r="P2" i="31"/>
  <c r="C4" i="31"/>
  <c r="D4" i="31"/>
  <c r="E4" i="31"/>
  <c r="F4" i="31"/>
  <c r="G4" i="31"/>
  <c r="H4" i="31"/>
  <c r="I4" i="31"/>
  <c r="J4" i="31"/>
  <c r="K4" i="31"/>
  <c r="L4" i="31"/>
  <c r="M4" i="31"/>
  <c r="N4" i="31"/>
  <c r="P4" i="31"/>
  <c r="Q4" i="31"/>
  <c r="R4" i="31"/>
  <c r="N6" i="31"/>
  <c r="O6" i="31" s="1"/>
  <c r="N7" i="31"/>
  <c r="O7" i="31" s="1"/>
  <c r="N8" i="31"/>
  <c r="O8" i="31" s="1"/>
  <c r="N9" i="31"/>
  <c r="O9" i="31" s="1"/>
  <c r="N10" i="31"/>
  <c r="O10" i="31" s="1"/>
  <c r="N12" i="31"/>
  <c r="O12" i="31" s="1"/>
  <c r="N13" i="31"/>
  <c r="O13" i="31" s="1"/>
  <c r="N14" i="31"/>
  <c r="O14" i="31" s="1"/>
  <c r="N15" i="31"/>
  <c r="O15" i="31" s="1"/>
  <c r="N16" i="31"/>
  <c r="O16" i="31" s="1"/>
  <c r="N17" i="31"/>
  <c r="O17" i="31" s="1"/>
  <c r="N18" i="31"/>
  <c r="O18" i="31" s="1"/>
  <c r="N19" i="31"/>
  <c r="O19" i="31" s="1"/>
  <c r="N20" i="31"/>
  <c r="O20" i="31" s="1"/>
  <c r="N24" i="31"/>
  <c r="O24" i="31" s="1"/>
  <c r="N25" i="31"/>
  <c r="O25" i="31" s="1"/>
  <c r="N26" i="31"/>
  <c r="O26" i="31" s="1"/>
  <c r="N27" i="31"/>
  <c r="O27" i="31" s="1"/>
  <c r="N28" i="31"/>
  <c r="N29" i="31"/>
  <c r="N31" i="31"/>
  <c r="N32" i="31"/>
  <c r="N36" i="31"/>
  <c r="N37" i="31"/>
  <c r="O37" i="31" s="1"/>
  <c r="N38" i="31"/>
  <c r="O38" i="31" s="1"/>
  <c r="N39" i="31"/>
  <c r="O39" i="31" s="1"/>
  <c r="N40" i="31"/>
  <c r="O40" i="31" s="1"/>
  <c r="N42" i="31"/>
  <c r="N43" i="31"/>
  <c r="O43" i="31" s="1"/>
  <c r="N44" i="31"/>
  <c r="N45" i="31"/>
  <c r="O45" i="31" s="1"/>
  <c r="C46" i="31"/>
  <c r="C52" i="31" s="1"/>
  <c r="D46" i="31"/>
  <c r="D52" i="31" s="1"/>
  <c r="E46" i="31"/>
  <c r="E52" i="31" s="1"/>
  <c r="F46" i="31"/>
  <c r="F63" i="31" s="1"/>
  <c r="G46" i="31"/>
  <c r="G63" i="31" s="1"/>
  <c r="H46" i="31"/>
  <c r="H52" i="31" s="1"/>
  <c r="I46" i="31"/>
  <c r="I63" i="31" s="1"/>
  <c r="J46" i="31"/>
  <c r="J52" i="31" s="1"/>
  <c r="K46" i="31"/>
  <c r="K52" i="31" s="1"/>
  <c r="L46" i="31"/>
  <c r="M46" i="31"/>
  <c r="M63" i="31" s="1"/>
  <c r="P46" i="31"/>
  <c r="P63" i="31" s="1"/>
  <c r="Q46" i="31"/>
  <c r="R46" i="31"/>
  <c r="R63" i="31" s="1"/>
  <c r="N49" i="31"/>
  <c r="O49" i="31" s="1"/>
  <c r="N50" i="31"/>
  <c r="O50" i="31" s="1"/>
  <c r="N51" i="31"/>
  <c r="O51" i="31" s="1"/>
  <c r="P55"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C36" i="30"/>
  <c r="D36" i="30"/>
  <c r="E36" i="30"/>
  <c r="F36" i="30"/>
  <c r="G36" i="30"/>
  <c r="H36" i="30"/>
  <c r="Q39" i="30"/>
  <c r="R39" i="30"/>
  <c r="Q40" i="30"/>
  <c r="R40" i="30"/>
  <c r="Q41" i="30"/>
  <c r="R41" i="30"/>
  <c r="A43" i="30"/>
  <c r="A2" i="29"/>
  <c r="B2" i="29"/>
  <c r="C4" i="29"/>
  <c r="D4" i="29"/>
  <c r="E4" i="29"/>
  <c r="F4" i="29"/>
  <c r="G4" i="29"/>
  <c r="H4" i="29"/>
  <c r="I4" i="29"/>
  <c r="J4" i="29"/>
  <c r="K4" i="29"/>
  <c r="L4" i="29"/>
  <c r="M4" i="29"/>
  <c r="N4" i="29"/>
  <c r="P4" i="29"/>
  <c r="Q4" i="29"/>
  <c r="R4" i="29"/>
  <c r="A6" i="29"/>
  <c r="A29" i="29" s="1"/>
  <c r="C6" i="29"/>
  <c r="D6" i="29"/>
  <c r="E6" i="29"/>
  <c r="F6" i="29"/>
  <c r="G6" i="29"/>
  <c r="H6" i="29"/>
  <c r="A7" i="29"/>
  <c r="A30" i="29" s="1"/>
  <c r="A8" i="29"/>
  <c r="A31" i="29" s="1"/>
  <c r="A9" i="29"/>
  <c r="A32" i="29" s="1"/>
  <c r="A10" i="29"/>
  <c r="A33" i="29" s="1"/>
  <c r="C10" i="29"/>
  <c r="D10" i="29"/>
  <c r="E10" i="29"/>
  <c r="F10" i="29"/>
  <c r="G10" i="29"/>
  <c r="H10" i="29"/>
  <c r="A11" i="29"/>
  <c r="A34" i="29" s="1"/>
  <c r="A12" i="29"/>
  <c r="A35" i="29" s="1"/>
  <c r="A13" i="29"/>
  <c r="A36" i="29" s="1"/>
  <c r="A14" i="29"/>
  <c r="A37" i="29" s="1"/>
  <c r="A15" i="29"/>
  <c r="A38" i="29" s="1"/>
  <c r="A16" i="29"/>
  <c r="A39" i="29" s="1"/>
  <c r="C16" i="29"/>
  <c r="D16" i="29"/>
  <c r="E16" i="29"/>
  <c r="F16" i="29"/>
  <c r="G16" i="29"/>
  <c r="H16" i="29"/>
  <c r="A17" i="29"/>
  <c r="A40" i="29" s="1"/>
  <c r="A18" i="29"/>
  <c r="A41" i="29" s="1"/>
  <c r="A19" i="29"/>
  <c r="A42" i="29" s="1"/>
  <c r="A20" i="29"/>
  <c r="A43" i="29" s="1"/>
  <c r="C20" i="29"/>
  <c r="D20" i="29"/>
  <c r="E20" i="29"/>
  <c r="F20" i="29"/>
  <c r="G20" i="29"/>
  <c r="H20" i="29"/>
  <c r="A21" i="29"/>
  <c r="A44" i="29" s="1"/>
  <c r="A22" i="29"/>
  <c r="A45" i="29" s="1"/>
  <c r="A23" i="29"/>
  <c r="A46" i="29" s="1"/>
  <c r="A24" i="29"/>
  <c r="A47" i="29" s="1"/>
  <c r="A25" i="29"/>
  <c r="A48" i="29" s="1"/>
  <c r="C29" i="29"/>
  <c r="D29" i="29"/>
  <c r="E29" i="29"/>
  <c r="F29" i="29"/>
  <c r="G29" i="29"/>
  <c r="H29" i="29"/>
  <c r="C33" i="29"/>
  <c r="D33" i="29"/>
  <c r="E33" i="29"/>
  <c r="F33" i="29"/>
  <c r="G33" i="29"/>
  <c r="H33" i="29"/>
  <c r="C39" i="29"/>
  <c r="D39" i="29"/>
  <c r="E39" i="29"/>
  <c r="F39" i="29"/>
  <c r="G39" i="29"/>
  <c r="H39" i="29"/>
  <c r="C43" i="29"/>
  <c r="D43" i="29"/>
  <c r="E43" i="29"/>
  <c r="F43" i="29"/>
  <c r="G43" i="29"/>
  <c r="H43" i="29"/>
  <c r="A52" i="29"/>
  <c r="A2" i="28"/>
  <c r="B2" i="28"/>
  <c r="C4" i="28"/>
  <c r="D4" i="28"/>
  <c r="E4" i="28"/>
  <c r="F4" i="28"/>
  <c r="G4" i="28"/>
  <c r="H4" i="28"/>
  <c r="I4" i="28"/>
  <c r="J4" i="28"/>
  <c r="K4" i="28"/>
  <c r="L4" i="28"/>
  <c r="M4" i="28"/>
  <c r="N4" i="28"/>
  <c r="P4" i="28"/>
  <c r="A5" i="28"/>
  <c r="A21" i="28"/>
  <c r="C21" i="28"/>
  <c r="D21" i="28"/>
  <c r="E21" i="28"/>
  <c r="F21" i="28"/>
  <c r="G21" i="28"/>
  <c r="H21" i="28"/>
  <c r="A23" i="28"/>
  <c r="C39" i="28"/>
  <c r="D39" i="28"/>
  <c r="E39" i="28"/>
  <c r="F39" i="28"/>
  <c r="G39" i="28"/>
  <c r="H39" i="28"/>
  <c r="A42" i="28"/>
  <c r="B2" i="27"/>
  <c r="C3" i="27"/>
  <c r="D3" i="27"/>
  <c r="E3" i="27"/>
  <c r="F3" i="27"/>
  <c r="G3" i="27"/>
  <c r="H3" i="27"/>
  <c r="I3" i="27"/>
  <c r="J3" i="27"/>
  <c r="K3" i="27"/>
  <c r="K7" i="27"/>
  <c r="L7" i="27" s="1"/>
  <c r="K8" i="27"/>
  <c r="L8" i="27" s="1"/>
  <c r="K9" i="27"/>
  <c r="L9" i="27" s="1"/>
  <c r="K10" i="27"/>
  <c r="L10" i="27" s="1"/>
  <c r="K11" i="27"/>
  <c r="L11" i="27" s="1"/>
  <c r="K12" i="27"/>
  <c r="L12" i="27" s="1"/>
  <c r="K13" i="27"/>
  <c r="L13" i="27" s="1"/>
  <c r="C14" i="27"/>
  <c r="D14" i="27"/>
  <c r="G14" i="27"/>
  <c r="I14" i="27"/>
  <c r="K18" i="27"/>
  <c r="L18" i="27" s="1"/>
  <c r="K19" i="27"/>
  <c r="L19" i="27" s="1"/>
  <c r="K20" i="27"/>
  <c r="L20" i="27" s="1"/>
  <c r="K21" i="27"/>
  <c r="L21" i="27" s="1"/>
  <c r="K22" i="27"/>
  <c r="L22" i="27" s="1"/>
  <c r="K23" i="27"/>
  <c r="L23" i="27" s="1"/>
  <c r="K24" i="27"/>
  <c r="L24" i="27" s="1"/>
  <c r="K25" i="27"/>
  <c r="L25" i="27" s="1"/>
  <c r="K26" i="27"/>
  <c r="L26" i="27" s="1"/>
  <c r="K27" i="27"/>
  <c r="L27" i="27" s="1"/>
  <c r="K28" i="27"/>
  <c r="L28" i="27" s="1"/>
  <c r="K29" i="27"/>
  <c r="L29" i="27" s="1"/>
  <c r="C30" i="27"/>
  <c r="D30" i="27"/>
  <c r="E30" i="27"/>
  <c r="G30" i="27"/>
  <c r="I30" i="27"/>
  <c r="A31" i="27"/>
  <c r="K34" i="27"/>
  <c r="L34" i="27" s="1"/>
  <c r="K35" i="27"/>
  <c r="L35" i="27" s="1"/>
  <c r="K36" i="27"/>
  <c r="L36" i="27" s="1"/>
  <c r="K37" i="27"/>
  <c r="L37" i="27" s="1"/>
  <c r="K39" i="27"/>
  <c r="L39" i="27" s="1"/>
  <c r="K40" i="27"/>
  <c r="L40" i="27" s="1"/>
  <c r="K41" i="27"/>
  <c r="L41" i="27" s="1"/>
  <c r="K42" i="27"/>
  <c r="L42" i="27" s="1"/>
  <c r="K43" i="27"/>
  <c r="L43" i="27" s="1"/>
  <c r="K44" i="27"/>
  <c r="L44" i="27" s="1"/>
  <c r="K45" i="27"/>
  <c r="L45" i="27" s="1"/>
  <c r="C46" i="27"/>
  <c r="D46" i="27"/>
  <c r="E46" i="27"/>
  <c r="F46" i="27"/>
  <c r="G46" i="27"/>
  <c r="H46" i="27"/>
  <c r="H48" i="27" s="1"/>
  <c r="I46" i="27"/>
  <c r="A47" i="27"/>
  <c r="K52" i="27"/>
  <c r="L52" i="27" s="1"/>
  <c r="K53" i="27"/>
  <c r="L53" i="27" s="1"/>
  <c r="K54" i="27"/>
  <c r="K55" i="27"/>
  <c r="K56" i="27"/>
  <c r="K57" i="27"/>
  <c r="K58" i="27"/>
  <c r="J59" i="27"/>
  <c r="K59" i="27" s="1"/>
  <c r="L59" i="27" s="1"/>
  <c r="J60" i="27"/>
  <c r="K60" i="27" s="1"/>
  <c r="K61" i="27"/>
  <c r="L61" i="27" s="1"/>
  <c r="K62" i="27"/>
  <c r="L62" i="27" s="1"/>
  <c r="K63" i="27"/>
  <c r="K64" i="27"/>
  <c r="L64" i="27" s="1"/>
  <c r="C65" i="27"/>
  <c r="D65" i="27"/>
  <c r="E65" i="27"/>
  <c r="F65" i="27"/>
  <c r="G65" i="27"/>
  <c r="H65" i="27"/>
  <c r="I65" i="27"/>
  <c r="A66" i="27"/>
  <c r="K69" i="27"/>
  <c r="L69" i="27" s="1"/>
  <c r="K70" i="27"/>
  <c r="L70" i="27" s="1"/>
  <c r="K71" i="27"/>
  <c r="L71" i="27" s="1"/>
  <c r="K72" i="27"/>
  <c r="K73" i="27"/>
  <c r="K74" i="27"/>
  <c r="K75" i="27"/>
  <c r="K76" i="27"/>
  <c r="L76" i="27" s="1"/>
  <c r="K77" i="27"/>
  <c r="K78" i="27"/>
  <c r="K79" i="27"/>
  <c r="L79" i="27" s="1"/>
  <c r="K80" i="27"/>
  <c r="L80" i="27" s="1"/>
  <c r="C81" i="27"/>
  <c r="D81" i="27"/>
  <c r="E81" i="27"/>
  <c r="F81" i="27"/>
  <c r="G81" i="27"/>
  <c r="H81" i="27"/>
  <c r="I81" i="27"/>
  <c r="A82" i="27"/>
  <c r="K85" i="27"/>
  <c r="L85" i="27" s="1"/>
  <c r="K86" i="27"/>
  <c r="L86" i="27" s="1"/>
  <c r="K87" i="27"/>
  <c r="K88" i="27"/>
  <c r="L88" i="27" s="1"/>
  <c r="K89" i="27"/>
  <c r="K90" i="27"/>
  <c r="L90" i="27" s="1"/>
  <c r="K91" i="27"/>
  <c r="L91" i="27" s="1"/>
  <c r="K92" i="27"/>
  <c r="K93" i="27"/>
  <c r="K94" i="27"/>
  <c r="L94" i="27" s="1"/>
  <c r="K95" i="27"/>
  <c r="L95" i="27" s="1"/>
  <c r="K96" i="27"/>
  <c r="L96" i="27" s="1"/>
  <c r="C97" i="27"/>
  <c r="D97" i="27"/>
  <c r="E97" i="27"/>
  <c r="F97" i="27"/>
  <c r="G97" i="27"/>
  <c r="H97" i="27"/>
  <c r="I97" i="27"/>
  <c r="A98" i="27"/>
  <c r="A102" i="27"/>
  <c r="A104" i="27"/>
  <c r="A2" i="26"/>
  <c r="B2" i="26"/>
  <c r="C3" i="26"/>
  <c r="D3" i="26"/>
  <c r="E3" i="26"/>
  <c r="F3" i="26"/>
  <c r="G3" i="26"/>
  <c r="H3" i="26"/>
  <c r="I3" i="26"/>
  <c r="J3" i="26"/>
  <c r="K3" i="26"/>
  <c r="L3" i="26"/>
  <c r="M3" i="26"/>
  <c r="K7" i="26"/>
  <c r="K8" i="26"/>
  <c r="K9" i="26"/>
  <c r="D10" i="26"/>
  <c r="E10" i="26"/>
  <c r="F10" i="26"/>
  <c r="G10" i="26"/>
  <c r="H10" i="26"/>
  <c r="I10" i="26"/>
  <c r="L10" i="26"/>
  <c r="M10" i="26"/>
  <c r="K13" i="26"/>
  <c r="K14" i="26"/>
  <c r="K15" i="26"/>
  <c r="D16" i="26"/>
  <c r="E16" i="26"/>
  <c r="F16" i="26"/>
  <c r="G16" i="26"/>
  <c r="H16" i="26"/>
  <c r="I16" i="26"/>
  <c r="L16" i="26"/>
  <c r="M16" i="26"/>
  <c r="K19" i="26"/>
  <c r="K20" i="26"/>
  <c r="K21" i="26"/>
  <c r="D22" i="26"/>
  <c r="E22" i="26"/>
  <c r="F22" i="26"/>
  <c r="G22" i="26"/>
  <c r="H22" i="26"/>
  <c r="I22" i="26"/>
  <c r="L22" i="26"/>
  <c r="M22" i="26"/>
  <c r="K26" i="26"/>
  <c r="K27" i="26"/>
  <c r="D28" i="26"/>
  <c r="E28" i="26"/>
  <c r="F28" i="26"/>
  <c r="G28" i="26"/>
  <c r="H28" i="26"/>
  <c r="I28" i="26"/>
  <c r="L28" i="26"/>
  <c r="M28" i="26"/>
  <c r="K33" i="26"/>
  <c r="K34" i="26"/>
  <c r="K35" i="26"/>
  <c r="D36" i="26"/>
  <c r="E36" i="26"/>
  <c r="F36" i="26"/>
  <c r="G36" i="26"/>
  <c r="H36" i="26"/>
  <c r="L36" i="26"/>
  <c r="M36" i="26"/>
  <c r="K39" i="26"/>
  <c r="K40" i="26"/>
  <c r="K41" i="26"/>
  <c r="D42" i="26"/>
  <c r="E42" i="26"/>
  <c r="F42" i="26"/>
  <c r="G42" i="26"/>
  <c r="H42" i="26"/>
  <c r="I42" i="26"/>
  <c r="L42" i="26"/>
  <c r="M42" i="26"/>
  <c r="K45" i="26"/>
  <c r="K46" i="26"/>
  <c r="K47" i="26"/>
  <c r="D48" i="26"/>
  <c r="E48" i="26"/>
  <c r="F48" i="26"/>
  <c r="G48" i="26"/>
  <c r="H48" i="26"/>
  <c r="I48" i="26"/>
  <c r="L48" i="26"/>
  <c r="M48" i="26"/>
  <c r="K51" i="26"/>
  <c r="K52" i="26"/>
  <c r="K53" i="26"/>
  <c r="D54" i="26"/>
  <c r="E54" i="26"/>
  <c r="F54" i="26"/>
  <c r="G54" i="26"/>
  <c r="H54" i="26"/>
  <c r="I54" i="26"/>
  <c r="L54" i="26"/>
  <c r="M54" i="26"/>
  <c r="A58" i="26"/>
  <c r="A2" i="25"/>
  <c r="B2" i="25"/>
  <c r="C3" i="25"/>
  <c r="D3" i="25"/>
  <c r="E3" i="25"/>
  <c r="F3" i="25"/>
  <c r="G3" i="25"/>
  <c r="H3" i="25"/>
  <c r="I3" i="25"/>
  <c r="J3" i="25"/>
  <c r="K3" i="25"/>
  <c r="I8" i="25"/>
  <c r="C10" i="25"/>
  <c r="D10" i="25"/>
  <c r="E10" i="25"/>
  <c r="F10" i="25"/>
  <c r="G10" i="25"/>
  <c r="J10" i="25"/>
  <c r="K10" i="25"/>
  <c r="I11" i="25"/>
  <c r="A14" i="25"/>
  <c r="I14" i="25"/>
  <c r="A15" i="25"/>
  <c r="A20" i="25" s="1"/>
  <c r="C15" i="25"/>
  <c r="D15" i="25"/>
  <c r="E15" i="25"/>
  <c r="F15" i="25"/>
  <c r="G15" i="25"/>
  <c r="J15" i="25"/>
  <c r="K15" i="25"/>
  <c r="A16" i="25"/>
  <c r="A26" i="25" s="1"/>
  <c r="I16" i="25"/>
  <c r="A18" i="25"/>
  <c r="I18" i="25"/>
  <c r="I19" i="25"/>
  <c r="C20" i="25"/>
  <c r="D20" i="25"/>
  <c r="E20" i="25"/>
  <c r="F20" i="25"/>
  <c r="G20" i="25"/>
  <c r="J20" i="25"/>
  <c r="K20" i="25"/>
  <c r="A23" i="25"/>
  <c r="I23" i="25"/>
  <c r="I24" i="25"/>
  <c r="C25" i="25"/>
  <c r="D25" i="25"/>
  <c r="E25" i="25"/>
  <c r="F25" i="25"/>
  <c r="G25" i="25"/>
  <c r="J25" i="25"/>
  <c r="K25" i="25"/>
  <c r="I26" i="25"/>
  <c r="C28" i="25"/>
  <c r="D28" i="25"/>
  <c r="E28" i="25"/>
  <c r="F28" i="25"/>
  <c r="G28" i="25"/>
  <c r="J28" i="25"/>
  <c r="K28" i="25"/>
  <c r="A31" i="25"/>
  <c r="I33" i="25"/>
  <c r="C34" i="25"/>
  <c r="D34" i="25"/>
  <c r="E34" i="25"/>
  <c r="F34" i="25"/>
  <c r="G34" i="25"/>
  <c r="J34" i="25"/>
  <c r="K34" i="25"/>
  <c r="I37" i="25"/>
  <c r="A38" i="25"/>
  <c r="A43" i="25" s="1"/>
  <c r="A39" i="25"/>
  <c r="A44" i="25" s="1"/>
  <c r="C39" i="25"/>
  <c r="D39" i="25"/>
  <c r="E39" i="25"/>
  <c r="F39" i="25"/>
  <c r="G39" i="25"/>
  <c r="J39" i="25"/>
  <c r="K39" i="25"/>
  <c r="A40" i="25"/>
  <c r="A45" i="25" s="1"/>
  <c r="H39" i="25"/>
  <c r="I40" i="25"/>
  <c r="A42" i="25"/>
  <c r="I43" i="25"/>
  <c r="C44" i="25"/>
  <c r="D44" i="25"/>
  <c r="E44" i="25"/>
  <c r="F44" i="25"/>
  <c r="G44" i="25"/>
  <c r="J44" i="25"/>
  <c r="K44" i="25"/>
  <c r="I45" i="25"/>
  <c r="A47" i="25"/>
  <c r="I48" i="25"/>
  <c r="C49" i="25"/>
  <c r="D49" i="25"/>
  <c r="E49" i="25"/>
  <c r="F49" i="25"/>
  <c r="G49" i="25"/>
  <c r="J49" i="25"/>
  <c r="K49" i="25"/>
  <c r="I50" i="25"/>
  <c r="C52" i="25"/>
  <c r="D52" i="25"/>
  <c r="E52" i="25"/>
  <c r="F52" i="25"/>
  <c r="G52" i="25"/>
  <c r="G55" i="25" s="1"/>
  <c r="J52" i="25"/>
  <c r="K52" i="25"/>
  <c r="A57" i="25"/>
  <c r="A2" i="24"/>
  <c r="B2" i="24"/>
  <c r="C3" i="24"/>
  <c r="D3" i="24"/>
  <c r="E3" i="24"/>
  <c r="F3" i="24"/>
  <c r="G3" i="24"/>
  <c r="H3" i="24"/>
  <c r="I3" i="24"/>
  <c r="J3" i="24"/>
  <c r="K3" i="24"/>
  <c r="C9" i="24"/>
  <c r="D9" i="24"/>
  <c r="E9" i="24"/>
  <c r="F9" i="24"/>
  <c r="G9" i="24"/>
  <c r="J9" i="24"/>
  <c r="K9" i="24"/>
  <c r="A10" i="24"/>
  <c r="I10" i="24"/>
  <c r="A11" i="24"/>
  <c r="A12" i="24"/>
  <c r="I12" i="24"/>
  <c r="A13" i="24"/>
  <c r="I13" i="24"/>
  <c r="A14" i="24"/>
  <c r="I14" i="24"/>
  <c r="A15" i="24"/>
  <c r="I15" i="24"/>
  <c r="A16" i="24"/>
  <c r="I16" i="24"/>
  <c r="C17" i="24"/>
  <c r="D17" i="24"/>
  <c r="E17" i="24"/>
  <c r="F17" i="24"/>
  <c r="G17" i="24"/>
  <c r="J17" i="24"/>
  <c r="K17" i="24"/>
  <c r="A18" i="24"/>
  <c r="A19" i="24"/>
  <c r="I19" i="24"/>
  <c r="A20" i="24"/>
  <c r="I20" i="24"/>
  <c r="A21" i="24"/>
  <c r="I21" i="24"/>
  <c r="A22" i="24"/>
  <c r="I22" i="24"/>
  <c r="C23" i="24"/>
  <c r="D23" i="24"/>
  <c r="E23" i="24"/>
  <c r="F23" i="24"/>
  <c r="G23" i="24"/>
  <c r="J23" i="24"/>
  <c r="K23" i="24"/>
  <c r="A24" i="24"/>
  <c r="A25" i="24"/>
  <c r="I25" i="24"/>
  <c r="C26" i="24"/>
  <c r="D26" i="24"/>
  <c r="E26" i="24"/>
  <c r="F26" i="24"/>
  <c r="G26" i="24"/>
  <c r="A27" i="24"/>
  <c r="A28" i="24"/>
  <c r="C32" i="24"/>
  <c r="D32" i="24"/>
  <c r="E32" i="24"/>
  <c r="F32" i="24"/>
  <c r="G32" i="24"/>
  <c r="J32" i="24"/>
  <c r="K32" i="24"/>
  <c r="A33" i="24"/>
  <c r="A34" i="24"/>
  <c r="I34" i="24"/>
  <c r="A35" i="24"/>
  <c r="I35" i="24"/>
  <c r="A36" i="24"/>
  <c r="I36" i="24"/>
  <c r="A37" i="24"/>
  <c r="I37" i="24"/>
  <c r="A38" i="24"/>
  <c r="I38" i="24"/>
  <c r="C39" i="24"/>
  <c r="D39" i="24"/>
  <c r="E39" i="24"/>
  <c r="F39" i="24"/>
  <c r="G39" i="24"/>
  <c r="J39" i="24"/>
  <c r="K39" i="24"/>
  <c r="A40" i="24"/>
  <c r="I40" i="24"/>
  <c r="A41" i="24"/>
  <c r="C42" i="24"/>
  <c r="D42" i="24"/>
  <c r="E42" i="24"/>
  <c r="F42" i="24"/>
  <c r="G42" i="24"/>
  <c r="J42" i="24"/>
  <c r="K42" i="24"/>
  <c r="A43" i="24"/>
  <c r="A44" i="24"/>
  <c r="I44" i="24"/>
  <c r="C45" i="24"/>
  <c r="D45" i="24"/>
  <c r="E45" i="24"/>
  <c r="F45" i="24"/>
  <c r="G45" i="24"/>
  <c r="J45" i="24"/>
  <c r="K45" i="24"/>
  <c r="A46" i="24"/>
  <c r="I46" i="24"/>
  <c r="A47" i="24"/>
  <c r="I47" i="24"/>
  <c r="A51" i="24"/>
  <c r="A2" i="23"/>
  <c r="B2" i="23"/>
  <c r="C3" i="23"/>
  <c r="D3" i="23"/>
  <c r="E3" i="23"/>
  <c r="F3" i="23"/>
  <c r="G3" i="23"/>
  <c r="H3" i="23"/>
  <c r="I3" i="23"/>
  <c r="J3" i="23"/>
  <c r="K3" i="23"/>
  <c r="C9" i="23"/>
  <c r="D9" i="23"/>
  <c r="E9" i="23"/>
  <c r="F9" i="23"/>
  <c r="G9" i="23"/>
  <c r="J9" i="23"/>
  <c r="K9" i="23"/>
  <c r="I10" i="23"/>
  <c r="I12" i="23"/>
  <c r="I13" i="23"/>
  <c r="I14" i="23"/>
  <c r="I15" i="23"/>
  <c r="I16" i="23"/>
  <c r="C17" i="23"/>
  <c r="D17" i="23"/>
  <c r="E17" i="23"/>
  <c r="F17" i="23"/>
  <c r="G17" i="23"/>
  <c r="J17" i="23"/>
  <c r="K17" i="23"/>
  <c r="I18" i="23"/>
  <c r="I19" i="23"/>
  <c r="I21" i="23"/>
  <c r="I22" i="23"/>
  <c r="C23" i="23"/>
  <c r="D23" i="23"/>
  <c r="E23" i="23"/>
  <c r="F23" i="23"/>
  <c r="G23" i="23"/>
  <c r="J23" i="23"/>
  <c r="K23" i="23"/>
  <c r="I24" i="23"/>
  <c r="I25" i="23"/>
  <c r="C26" i="23"/>
  <c r="D26" i="23"/>
  <c r="E26" i="23"/>
  <c r="F26" i="23"/>
  <c r="G26" i="23"/>
  <c r="I27" i="23"/>
  <c r="I28" i="23"/>
  <c r="A32" i="23"/>
  <c r="C32" i="23"/>
  <c r="D32" i="23"/>
  <c r="E32" i="23"/>
  <c r="F32" i="23"/>
  <c r="G32" i="23"/>
  <c r="J32" i="23"/>
  <c r="K32" i="23"/>
  <c r="I33" i="23"/>
  <c r="I34" i="23"/>
  <c r="I35" i="23"/>
  <c r="I36" i="23"/>
  <c r="I37" i="23"/>
  <c r="I38" i="23"/>
  <c r="A39" i="23"/>
  <c r="C39" i="23"/>
  <c r="D39" i="23"/>
  <c r="E39" i="23"/>
  <c r="F39" i="23"/>
  <c r="G39" i="23"/>
  <c r="J39" i="23"/>
  <c r="K39" i="23"/>
  <c r="I40" i="23"/>
  <c r="A42" i="23"/>
  <c r="C42" i="23"/>
  <c r="D42" i="23"/>
  <c r="E42" i="23"/>
  <c r="F42" i="23"/>
  <c r="G42" i="23"/>
  <c r="J42" i="23"/>
  <c r="K42" i="23"/>
  <c r="I43" i="23"/>
  <c r="I44" i="23"/>
  <c r="A45" i="23"/>
  <c r="C45" i="23"/>
  <c r="D45" i="23"/>
  <c r="E45" i="23"/>
  <c r="F45" i="23"/>
  <c r="G45" i="23"/>
  <c r="J45" i="23"/>
  <c r="K45" i="23"/>
  <c r="K48" i="23" s="1"/>
  <c r="I47" i="23"/>
  <c r="A50"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K8" i="19"/>
  <c r="L8" i="19" s="1"/>
  <c r="M8" i="19" s="1"/>
  <c r="K11" i="19"/>
  <c r="L11" i="19" s="1"/>
  <c r="M11" i="19" s="1"/>
  <c r="K15" i="19"/>
  <c r="L15" i="19" s="1"/>
  <c r="M15" i="19" s="1"/>
  <c r="K19" i="19"/>
  <c r="L19" i="19" s="1"/>
  <c r="M19" i="19" s="1"/>
  <c r="K21" i="19"/>
  <c r="L21" i="19" s="1"/>
  <c r="M21" i="19" s="1"/>
  <c r="K23" i="19"/>
  <c r="L23" i="19" s="1"/>
  <c r="M23" i="19" s="1"/>
  <c r="K25" i="19"/>
  <c r="L25" i="19" s="1"/>
  <c r="M25" i="19" s="1"/>
  <c r="K29" i="19"/>
  <c r="L29" i="19" s="1"/>
  <c r="M29" i="19" s="1"/>
  <c r="K31" i="19"/>
  <c r="L31" i="19" s="1"/>
  <c r="M31" i="19" s="1"/>
  <c r="K33" i="19"/>
  <c r="L33" i="19" s="1"/>
  <c r="M33" i="19" s="1"/>
  <c r="K35" i="19"/>
  <c r="L35" i="19" s="1"/>
  <c r="M35" i="19" s="1"/>
  <c r="K38" i="19"/>
  <c r="L38" i="19" s="1"/>
  <c r="M38" i="19" s="1"/>
  <c r="K40" i="19"/>
  <c r="L40" i="19" s="1"/>
  <c r="M40" i="19" s="1"/>
  <c r="K42" i="19"/>
  <c r="L42" i="19" s="1"/>
  <c r="M42" i="19" s="1"/>
  <c r="K46" i="19"/>
  <c r="L46" i="19" s="1"/>
  <c r="M46" i="19" s="1"/>
  <c r="K48" i="19"/>
  <c r="L48" i="19" s="1"/>
  <c r="M48" i="19" s="1"/>
  <c r="K51" i="19"/>
  <c r="L51" i="19" s="1"/>
  <c r="M51" i="19" s="1"/>
  <c r="K53" i="19"/>
  <c r="L53" i="19" s="1"/>
  <c r="M53" i="19" s="1"/>
  <c r="K55" i="19"/>
  <c r="L55" i="19" s="1"/>
  <c r="M55" i="19" s="1"/>
  <c r="K58" i="19"/>
  <c r="L58" i="19" s="1"/>
  <c r="M58" i="19" s="1"/>
  <c r="K60" i="19"/>
  <c r="L60" i="19" s="1"/>
  <c r="M60" i="19" s="1"/>
  <c r="K62" i="19"/>
  <c r="L62" i="19" s="1"/>
  <c r="M62" i="19" s="1"/>
  <c r="K64" i="19"/>
  <c r="L64" i="19" s="1"/>
  <c r="M64" i="19" s="1"/>
  <c r="K66" i="19"/>
  <c r="L66" i="19" s="1"/>
  <c r="M66" i="19" s="1"/>
  <c r="K68" i="19"/>
  <c r="L68" i="19" s="1"/>
  <c r="M68" i="19" s="1"/>
  <c r="A69" i="19"/>
  <c r="H9" i="12"/>
  <c r="L9" i="12"/>
  <c r="K12" i="18"/>
  <c r="A14" i="18"/>
  <c r="K16" i="18"/>
  <c r="K17" i="18"/>
  <c r="K18" i="18"/>
  <c r="C19" i="18"/>
  <c r="C13" i="18" s="1"/>
  <c r="C14" i="18" s="1"/>
  <c r="C10" i="12" s="1"/>
  <c r="C43" i="14" s="1"/>
  <c r="D19" i="18"/>
  <c r="D13" i="18" s="1"/>
  <c r="E19" i="18"/>
  <c r="E13" i="18" s="1"/>
  <c r="E14" i="18" s="1"/>
  <c r="E10" i="12" s="1"/>
  <c r="F19" i="18"/>
  <c r="F13" i="18" s="1"/>
  <c r="F14" i="18" s="1"/>
  <c r="F10" i="12" s="1"/>
  <c r="G19" i="18"/>
  <c r="G13" i="18" s="1"/>
  <c r="G14" i="18" s="1"/>
  <c r="G10" i="12" s="1"/>
  <c r="H19" i="18"/>
  <c r="H13" i="18" s="1"/>
  <c r="H14" i="18" s="1"/>
  <c r="H10" i="12" s="1"/>
  <c r="I19" i="18"/>
  <c r="I13" i="18" s="1"/>
  <c r="K21" i="18"/>
  <c r="K22" i="18"/>
  <c r="K23" i="18"/>
  <c r="A24" i="18"/>
  <c r="C24" i="18"/>
  <c r="C21" i="12" s="1"/>
  <c r="C26" i="12" s="1"/>
  <c r="B38" i="7" s="1"/>
  <c r="D24" i="18"/>
  <c r="D21" i="12" s="1"/>
  <c r="E24" i="18"/>
  <c r="E21" i="12" s="1"/>
  <c r="E26" i="12" s="1"/>
  <c r="D38" i="7" s="1"/>
  <c r="F24" i="18"/>
  <c r="F21" i="12" s="1"/>
  <c r="F26" i="12" s="1"/>
  <c r="E38" i="7" s="1"/>
  <c r="G24" i="18"/>
  <c r="G21" i="12" s="1"/>
  <c r="G26" i="12" s="1"/>
  <c r="F38" i="7" s="1"/>
  <c r="H24" i="18"/>
  <c r="H21" i="12" s="1"/>
  <c r="H26" i="12" s="1"/>
  <c r="G38" i="7" s="1"/>
  <c r="I24" i="18"/>
  <c r="I21" i="12" s="1"/>
  <c r="L24" i="18"/>
  <c r="L21" i="12" s="1"/>
  <c r="L26" i="12" s="1"/>
  <c r="K38" i="7" s="1"/>
  <c r="M24" i="18"/>
  <c r="M21" i="12" s="1"/>
  <c r="M26" i="12" s="1"/>
  <c r="L38" i="7" s="1"/>
  <c r="K28" i="18"/>
  <c r="K29" i="18"/>
  <c r="A30" i="18"/>
  <c r="C30" i="18"/>
  <c r="C32" i="12" s="1"/>
  <c r="D30" i="18"/>
  <c r="D32" i="12" s="1"/>
  <c r="E30" i="18"/>
  <c r="E32" i="12" s="1"/>
  <c r="F30" i="18"/>
  <c r="F32" i="12" s="1"/>
  <c r="G30" i="18"/>
  <c r="G32" i="12" s="1"/>
  <c r="H30" i="18"/>
  <c r="H32" i="12" s="1"/>
  <c r="I30" i="18"/>
  <c r="I32" i="12" s="1"/>
  <c r="L30" i="18"/>
  <c r="L32" i="12" s="1"/>
  <c r="M30" i="18"/>
  <c r="M32" i="12" s="1"/>
  <c r="K32" i="18"/>
  <c r="K39" i="14" s="1"/>
  <c r="K34" i="18"/>
  <c r="K35" i="18"/>
  <c r="A36" i="18"/>
  <c r="C36" i="18"/>
  <c r="C34" i="12" s="1"/>
  <c r="D36" i="18"/>
  <c r="D34" i="12" s="1"/>
  <c r="E36" i="18"/>
  <c r="E34" i="12" s="1"/>
  <c r="F36" i="18"/>
  <c r="G36" i="18"/>
  <c r="G34" i="12" s="1"/>
  <c r="H36" i="18"/>
  <c r="H34" i="12" s="1"/>
  <c r="I36" i="18"/>
  <c r="I34" i="12" s="1"/>
  <c r="L36" i="18"/>
  <c r="L34" i="12" s="1"/>
  <c r="M36" i="18"/>
  <c r="M34" i="12" s="1"/>
  <c r="K38" i="18"/>
  <c r="A40" i="18"/>
  <c r="C40" i="18"/>
  <c r="C39" i="12" s="1"/>
  <c r="D40" i="18"/>
  <c r="D39" i="12" s="1"/>
  <c r="E40" i="18"/>
  <c r="E39" i="12" s="1"/>
  <c r="F40" i="18"/>
  <c r="F39" i="12" s="1"/>
  <c r="G40" i="18"/>
  <c r="G39" i="12" s="1"/>
  <c r="H40" i="18"/>
  <c r="H39" i="12" s="1"/>
  <c r="I40" i="18"/>
  <c r="I39" i="12" s="1"/>
  <c r="L40" i="18"/>
  <c r="L39" i="12" s="1"/>
  <c r="M40" i="18"/>
  <c r="M39" i="12" s="1"/>
  <c r="K42" i="18"/>
  <c r="K44" i="18"/>
  <c r="K45" i="18"/>
  <c r="A46" i="18"/>
  <c r="F40" i="12"/>
  <c r="K54" i="18"/>
  <c r="K56" i="18"/>
  <c r="K59" i="18"/>
  <c r="K60" i="18"/>
  <c r="K54" i="14" s="1"/>
  <c r="K61" i="18"/>
  <c r="K55" i="14" s="1"/>
  <c r="K62" i="18"/>
  <c r="K56" i="14" s="1"/>
  <c r="K63" i="18"/>
  <c r="C64" i="18"/>
  <c r="C48" i="12" s="1"/>
  <c r="D64" i="18"/>
  <c r="D48" i="12" s="1"/>
  <c r="E64" i="18"/>
  <c r="E48" i="12" s="1"/>
  <c r="F64" i="18"/>
  <c r="F48" i="12" s="1"/>
  <c r="G64" i="18"/>
  <c r="G48" i="12" s="1"/>
  <c r="H64" i="18"/>
  <c r="H48" i="12" s="1"/>
  <c r="I64" i="18"/>
  <c r="I48" i="12" s="1"/>
  <c r="L64" i="18"/>
  <c r="L48" i="12" s="1"/>
  <c r="M64" i="18"/>
  <c r="M48" i="12" s="1"/>
  <c r="A71" i="18"/>
  <c r="A2" i="17"/>
  <c r="B2" i="17"/>
  <c r="C3" i="17"/>
  <c r="D3" i="17"/>
  <c r="E3" i="17"/>
  <c r="F3" i="17"/>
  <c r="G3" i="17"/>
  <c r="H3" i="17"/>
  <c r="I3" i="17"/>
  <c r="J3" i="17"/>
  <c r="K3" i="17"/>
  <c r="L3" i="17"/>
  <c r="M3" i="17"/>
  <c r="C10" i="17"/>
  <c r="C7" i="10" s="1"/>
  <c r="B7" i="7" s="1"/>
  <c r="D10" i="17"/>
  <c r="D7" i="10" s="1"/>
  <c r="C7" i="7" s="1"/>
  <c r="E10" i="17"/>
  <c r="E7" i="10" s="1"/>
  <c r="F10" i="17"/>
  <c r="F7" i="10" s="1"/>
  <c r="E7" i="7" s="1"/>
  <c r="G10" i="17"/>
  <c r="G7" i="10" s="1"/>
  <c r="F7" i="7" s="1"/>
  <c r="H10" i="17"/>
  <c r="H7" i="10" s="1"/>
  <c r="G7" i="7" s="1"/>
  <c r="I7" i="10"/>
  <c r="L10" i="17"/>
  <c r="L7" i="10" s="1"/>
  <c r="K7" i="7" s="1"/>
  <c r="M10" i="17"/>
  <c r="M7" i="10" s="1"/>
  <c r="L7" i="7" s="1"/>
  <c r="K13" i="17"/>
  <c r="K14" i="17"/>
  <c r="K19" i="17"/>
  <c r="K25" i="17"/>
  <c r="K31" i="17"/>
  <c r="K71" i="17"/>
  <c r="K72" i="17"/>
  <c r="K73" i="17"/>
  <c r="K74" i="17"/>
  <c r="K75" i="17"/>
  <c r="K76" i="17"/>
  <c r="K77" i="17"/>
  <c r="K78" i="17"/>
  <c r="K79" i="17"/>
  <c r="K80" i="17"/>
  <c r="K81" i="17"/>
  <c r="K82" i="17"/>
  <c r="C83" i="17"/>
  <c r="C85" i="17" s="1"/>
  <c r="C26" i="10" s="1"/>
  <c r="B13" i="7" s="1"/>
  <c r="D83" i="17"/>
  <c r="D85" i="17" s="1"/>
  <c r="D26" i="10" s="1"/>
  <c r="C13" i="7" s="1"/>
  <c r="E83" i="17"/>
  <c r="E85" i="17" s="1"/>
  <c r="E26" i="10" s="1"/>
  <c r="D13" i="7" s="1"/>
  <c r="F83" i="17"/>
  <c r="F85" i="17" s="1"/>
  <c r="F26" i="10" s="1"/>
  <c r="G83" i="17"/>
  <c r="G85" i="17" s="1"/>
  <c r="G26" i="10" s="1"/>
  <c r="F13" i="7" s="1"/>
  <c r="H83" i="17"/>
  <c r="H85" i="17" s="1"/>
  <c r="H26" i="10" s="1"/>
  <c r="G13" i="7" s="1"/>
  <c r="I83" i="17"/>
  <c r="I85" i="17" s="1"/>
  <c r="L83" i="17"/>
  <c r="L85" i="17" s="1"/>
  <c r="L26" i="10" s="1"/>
  <c r="Q25" i="30" s="1"/>
  <c r="M83" i="17"/>
  <c r="M85" i="17" s="1"/>
  <c r="M26" i="10" s="1"/>
  <c r="R25" i="30" s="1"/>
  <c r="K84" i="17"/>
  <c r="A85" i="17"/>
  <c r="K98" i="17"/>
  <c r="K99" i="17"/>
  <c r="A101" i="17"/>
  <c r="E29" i="10"/>
  <c r="D15" i="7" s="1"/>
  <c r="F29" i="10"/>
  <c r="E15" i="7" s="1"/>
  <c r="K105" i="17"/>
  <c r="C106" i="17"/>
  <c r="C31" i="10" s="1"/>
  <c r="B17" i="7" s="1"/>
  <c r="D106" i="17"/>
  <c r="D31" i="10" s="1"/>
  <c r="C17" i="7" s="1"/>
  <c r="E106" i="17"/>
  <c r="E31" i="10" s="1"/>
  <c r="D17" i="7" s="1"/>
  <c r="F106" i="17"/>
  <c r="F31" i="10" s="1"/>
  <c r="E17" i="7" s="1"/>
  <c r="G106" i="17"/>
  <c r="G31" i="10" s="1"/>
  <c r="H106" i="17"/>
  <c r="H31" i="10" s="1"/>
  <c r="G17" i="7" s="1"/>
  <c r="I106" i="17"/>
  <c r="L106" i="17"/>
  <c r="L31" i="10" s="1"/>
  <c r="Q30" i="30" s="1"/>
  <c r="M106" i="17"/>
  <c r="M31" i="10" s="1"/>
  <c r="L17" i="7" s="1"/>
  <c r="K148" i="17"/>
  <c r="K149" i="17"/>
  <c r="A182" i="17"/>
  <c r="A2" i="16"/>
  <c r="B2" i="16"/>
  <c r="C3" i="16"/>
  <c r="D3" i="16"/>
  <c r="E3" i="16"/>
  <c r="F3" i="16"/>
  <c r="G3" i="16"/>
  <c r="H3" i="16"/>
  <c r="I3" i="16"/>
  <c r="J3" i="16"/>
  <c r="K3" i="16"/>
  <c r="L3" i="16"/>
  <c r="M3" i="16"/>
  <c r="J8" i="16"/>
  <c r="K8" i="16" s="1"/>
  <c r="J9" i="16"/>
  <c r="K9" i="16" s="1"/>
  <c r="J10" i="16"/>
  <c r="K10" i="16" s="1"/>
  <c r="J11" i="16"/>
  <c r="K11" i="16" s="1"/>
  <c r="C12" i="16"/>
  <c r="D12" i="16"/>
  <c r="E12" i="16"/>
  <c r="F12" i="16"/>
  <c r="G12" i="16"/>
  <c r="H12" i="16"/>
  <c r="I12" i="16"/>
  <c r="L12" i="16"/>
  <c r="M12" i="16"/>
  <c r="J13" i="16"/>
  <c r="K13" i="16" s="1"/>
  <c r="J14" i="16"/>
  <c r="K14" i="16" s="1"/>
  <c r="J15" i="16"/>
  <c r="K15" i="16" s="1"/>
  <c r="C16" i="16"/>
  <c r="D16" i="16"/>
  <c r="C64" i="7" s="1"/>
  <c r="E16" i="16"/>
  <c r="D64" i="7" s="1"/>
  <c r="F16" i="16"/>
  <c r="G16" i="16"/>
  <c r="F64" i="7" s="1"/>
  <c r="H16" i="16"/>
  <c r="H17" i="16" s="1"/>
  <c r="I16" i="16"/>
  <c r="H64" i="7" s="1"/>
  <c r="L16" i="16"/>
  <c r="M16" i="16"/>
  <c r="M17" i="16" s="1"/>
  <c r="J19" i="16"/>
  <c r="K19" i="16"/>
  <c r="J20" i="16"/>
  <c r="K20" i="16" s="1"/>
  <c r="J21" i="16"/>
  <c r="K21" i="16" s="1"/>
  <c r="J22" i="16"/>
  <c r="K22" i="16" s="1"/>
  <c r="J23" i="16"/>
  <c r="K23" i="16" s="1"/>
  <c r="A24" i="16"/>
  <c r="C24" i="16"/>
  <c r="D24" i="16"/>
  <c r="E24" i="16"/>
  <c r="F24" i="16"/>
  <c r="G24" i="16"/>
  <c r="H24" i="16"/>
  <c r="I24" i="16"/>
  <c r="L24" i="16"/>
  <c r="M24" i="16"/>
  <c r="J25" i="16"/>
  <c r="J26" i="16"/>
  <c r="K26" i="16" s="1"/>
  <c r="J27" i="16"/>
  <c r="K27" i="16" s="1"/>
  <c r="A28" i="16"/>
  <c r="C28" i="16"/>
  <c r="B65" i="7" s="1"/>
  <c r="D28" i="16"/>
  <c r="E28" i="16"/>
  <c r="F28" i="16"/>
  <c r="E65" i="7" s="1"/>
  <c r="G28" i="16"/>
  <c r="F65" i="7" s="1"/>
  <c r="H28" i="16"/>
  <c r="I28" i="16"/>
  <c r="L28" i="16"/>
  <c r="L29" i="16" s="1"/>
  <c r="M28" i="16"/>
  <c r="A29" i="16"/>
  <c r="B29" i="16"/>
  <c r="J31" i="16"/>
  <c r="K31" i="16" s="1"/>
  <c r="J32" i="16"/>
  <c r="K32" i="16" s="1"/>
  <c r="A33" i="16"/>
  <c r="C33" i="16"/>
  <c r="D33" i="16"/>
  <c r="E33" i="16"/>
  <c r="F33" i="16"/>
  <c r="F38" i="16" s="1"/>
  <c r="G33" i="16"/>
  <c r="H33" i="16"/>
  <c r="I33" i="16"/>
  <c r="L33" i="16"/>
  <c r="M33" i="16"/>
  <c r="J34" i="16"/>
  <c r="J35" i="16"/>
  <c r="K35" i="16" s="1"/>
  <c r="J36" i="16"/>
  <c r="K36" i="16" s="1"/>
  <c r="A37" i="16"/>
  <c r="C37" i="16"/>
  <c r="D37" i="16"/>
  <c r="C66" i="7" s="1"/>
  <c r="E37" i="16"/>
  <c r="D66" i="7" s="1"/>
  <c r="F37" i="16"/>
  <c r="G37" i="16"/>
  <c r="H37" i="16"/>
  <c r="G66" i="7" s="1"/>
  <c r="I37" i="16"/>
  <c r="L37" i="16"/>
  <c r="K66" i="7" s="1"/>
  <c r="M37" i="16"/>
  <c r="L66" i="7" s="1"/>
  <c r="A38" i="16"/>
  <c r="B38" i="16"/>
  <c r="J40" i="16"/>
  <c r="A41" i="16"/>
  <c r="C41" i="16"/>
  <c r="D41" i="16"/>
  <c r="E41" i="16"/>
  <c r="F41" i="16"/>
  <c r="G41" i="16"/>
  <c r="H41" i="16"/>
  <c r="I41" i="16"/>
  <c r="L41" i="16"/>
  <c r="M41" i="16"/>
  <c r="J42" i="16"/>
  <c r="J43" i="16"/>
  <c r="K43" i="16" s="1"/>
  <c r="J44" i="16"/>
  <c r="K44" i="16" s="1"/>
  <c r="J45" i="16"/>
  <c r="K45" i="16" s="1"/>
  <c r="J46" i="16"/>
  <c r="K46" i="16" s="1"/>
  <c r="A47" i="16"/>
  <c r="C47" i="16"/>
  <c r="B67" i="7" s="1"/>
  <c r="D47" i="16"/>
  <c r="C67" i="7" s="1"/>
  <c r="E47" i="16"/>
  <c r="D67" i="7" s="1"/>
  <c r="F47" i="16"/>
  <c r="G47" i="16"/>
  <c r="H47" i="16"/>
  <c r="I47" i="16"/>
  <c r="L47" i="16"/>
  <c r="M47" i="16"/>
  <c r="A48" i="16"/>
  <c r="B48" i="16"/>
  <c r="J65" i="16"/>
  <c r="K65" i="16" s="1"/>
  <c r="J66" i="16"/>
  <c r="K66" i="16" s="1"/>
  <c r="J67" i="16"/>
  <c r="K67" i="16" s="1"/>
  <c r="J68" i="16"/>
  <c r="K68" i="16" s="1"/>
  <c r="J69" i="16"/>
  <c r="K69" i="16" s="1"/>
  <c r="J70" i="16"/>
  <c r="K70" i="16" s="1"/>
  <c r="J72" i="16"/>
  <c r="K72" i="16" s="1"/>
  <c r="J78" i="16"/>
  <c r="K78" i="16" s="1"/>
  <c r="J79" i="16"/>
  <c r="K79" i="16" s="1"/>
  <c r="J80" i="16"/>
  <c r="K80" i="16" s="1"/>
  <c r="A82" i="16"/>
  <c r="A2" i="15"/>
  <c r="B2" i="15"/>
  <c r="C3" i="15"/>
  <c r="D3" i="15"/>
  <c r="E3" i="15"/>
  <c r="F3" i="15"/>
  <c r="G3" i="15"/>
  <c r="H3" i="15"/>
  <c r="I3" i="15"/>
  <c r="J3" i="15"/>
  <c r="K3" i="15"/>
  <c r="L3" i="15"/>
  <c r="M3" i="15"/>
  <c r="K142" i="15"/>
  <c r="K143" i="15"/>
  <c r="K144" i="15"/>
  <c r="K145" i="15"/>
  <c r="C146" i="15"/>
  <c r="D146" i="15"/>
  <c r="D136" i="15" s="1"/>
  <c r="E146" i="15"/>
  <c r="E136" i="15" s="1"/>
  <c r="F146" i="15"/>
  <c r="F136" i="15" s="1"/>
  <c r="G146" i="15"/>
  <c r="H146" i="15"/>
  <c r="I146" i="15"/>
  <c r="I136" i="15" s="1"/>
  <c r="L146" i="15"/>
  <c r="L136" i="15" s="1"/>
  <c r="M146" i="15"/>
  <c r="M167" i="15" s="1"/>
  <c r="L55" i="7" s="1"/>
  <c r="K150" i="15"/>
  <c r="A209" i="15"/>
  <c r="A2" i="14"/>
  <c r="B2" i="14"/>
  <c r="C3" i="14"/>
  <c r="D3" i="14"/>
  <c r="E3" i="14"/>
  <c r="F3" i="14"/>
  <c r="G3" i="14"/>
  <c r="H3" i="14"/>
  <c r="I3" i="14"/>
  <c r="J3" i="14"/>
  <c r="K3" i="14"/>
  <c r="L3" i="14"/>
  <c r="M3" i="14"/>
  <c r="C9" i="14"/>
  <c r="D9" i="14"/>
  <c r="E9" i="14"/>
  <c r="F9" i="14"/>
  <c r="G9" i="14"/>
  <c r="H9" i="14"/>
  <c r="I9" i="14"/>
  <c r="L9" i="14"/>
  <c r="M9" i="14"/>
  <c r="C13" i="14"/>
  <c r="D13" i="14"/>
  <c r="E13" i="14"/>
  <c r="E20" i="14" s="1"/>
  <c r="D51" i="7" s="1"/>
  <c r="F13" i="14"/>
  <c r="F20" i="14" s="1"/>
  <c r="E51" i="7" s="1"/>
  <c r="G13" i="14"/>
  <c r="G20" i="14" s="1"/>
  <c r="F51" i="7" s="1"/>
  <c r="H13" i="14"/>
  <c r="H20" i="14" s="1"/>
  <c r="G51" i="7" s="1"/>
  <c r="I13" i="14"/>
  <c r="L13" i="14"/>
  <c r="M13" i="14"/>
  <c r="K14" i="14"/>
  <c r="K15" i="14"/>
  <c r="K17" i="14"/>
  <c r="A22" i="14"/>
  <c r="A37" i="14"/>
  <c r="C39" i="14"/>
  <c r="D39" i="14"/>
  <c r="L39" i="14"/>
  <c r="M39" i="14"/>
  <c r="A46" i="14"/>
  <c r="C50" i="14"/>
  <c r="C18" i="14" s="1"/>
  <c r="D50" i="14"/>
  <c r="D18" i="14" s="1"/>
  <c r="K50" i="14"/>
  <c r="K18" i="14" s="1"/>
  <c r="L50" i="14"/>
  <c r="L18" i="14" s="1"/>
  <c r="M50" i="14"/>
  <c r="M18" i="14" s="1"/>
  <c r="A52" i="14"/>
  <c r="A53" i="14"/>
  <c r="C53" i="14"/>
  <c r="D53" i="14"/>
  <c r="L53" i="14"/>
  <c r="M53" i="14"/>
  <c r="A54" i="14"/>
  <c r="C54" i="14"/>
  <c r="D54" i="14"/>
  <c r="L54" i="14"/>
  <c r="M54" i="14"/>
  <c r="A55" i="14"/>
  <c r="C55" i="14"/>
  <c r="D55" i="14"/>
  <c r="L55" i="14"/>
  <c r="M55" i="14"/>
  <c r="A56" i="14"/>
  <c r="C56" i="14"/>
  <c r="D56" i="14"/>
  <c r="L56" i="14"/>
  <c r="M56" i="14"/>
  <c r="A2" i="13"/>
  <c r="B2" i="13"/>
  <c r="C3" i="13"/>
  <c r="D3" i="13"/>
  <c r="E3" i="13"/>
  <c r="F3" i="13"/>
  <c r="G3" i="13"/>
  <c r="H3" i="13"/>
  <c r="I3" i="13"/>
  <c r="J3" i="13"/>
  <c r="K3" i="13"/>
  <c r="L3" i="13"/>
  <c r="M3" i="13"/>
  <c r="K8" i="13"/>
  <c r="K16" i="13"/>
  <c r="K17" i="13"/>
  <c r="K18" i="13"/>
  <c r="C19" i="13"/>
  <c r="D19" i="13"/>
  <c r="C44" i="7" s="1"/>
  <c r="E19" i="13"/>
  <c r="F19" i="13"/>
  <c r="G19" i="13"/>
  <c r="H19" i="13"/>
  <c r="I19" i="13"/>
  <c r="L19" i="13"/>
  <c r="K44" i="7" s="1"/>
  <c r="M19" i="13"/>
  <c r="L44" i="7" s="1"/>
  <c r="K23" i="13"/>
  <c r="K25" i="13"/>
  <c r="K26" i="13"/>
  <c r="K28" i="13"/>
  <c r="K33" i="13"/>
  <c r="K34" i="13"/>
  <c r="K35" i="13"/>
  <c r="K37" i="13"/>
  <c r="C38" i="13"/>
  <c r="B46" i="7" s="1"/>
  <c r="D38" i="13"/>
  <c r="C46" i="7" s="1"/>
  <c r="E38" i="13"/>
  <c r="F38" i="13"/>
  <c r="G38" i="13"/>
  <c r="F46" i="7" s="1"/>
  <c r="H38" i="13"/>
  <c r="G46" i="7" s="1"/>
  <c r="I38" i="13"/>
  <c r="H46" i="7" s="1"/>
  <c r="L38" i="13"/>
  <c r="K46" i="7" s="1"/>
  <c r="M38" i="13"/>
  <c r="K41" i="13"/>
  <c r="A43" i="13"/>
  <c r="A2" i="12"/>
  <c r="B2" i="12"/>
  <c r="C3" i="12"/>
  <c r="D3" i="12"/>
  <c r="E3" i="12"/>
  <c r="F3" i="12"/>
  <c r="G3" i="12"/>
  <c r="H3" i="12"/>
  <c r="I3" i="12"/>
  <c r="J3" i="12"/>
  <c r="K3" i="12"/>
  <c r="L3" i="12"/>
  <c r="M3" i="12"/>
  <c r="C9" i="12"/>
  <c r="D9" i="12"/>
  <c r="E9" i="12"/>
  <c r="F9" i="12"/>
  <c r="G9" i="12"/>
  <c r="I9" i="12"/>
  <c r="M9" i="12"/>
  <c r="K11" i="12"/>
  <c r="K12" i="12"/>
  <c r="K13" i="12"/>
  <c r="K17" i="12"/>
  <c r="K18" i="12"/>
  <c r="K19" i="12"/>
  <c r="K20" i="12"/>
  <c r="K23" i="12"/>
  <c r="K24" i="12"/>
  <c r="K25" i="12"/>
  <c r="K31" i="12"/>
  <c r="K33" i="12"/>
  <c r="F34" i="12"/>
  <c r="K35" i="12"/>
  <c r="G40" i="12"/>
  <c r="H40" i="12"/>
  <c r="A51" i="12"/>
  <c r="A2" i="48"/>
  <c r="B2" i="48"/>
  <c r="C3" i="48"/>
  <c r="D3" i="48"/>
  <c r="E3" i="48"/>
  <c r="F3" i="48"/>
  <c r="G3" i="48"/>
  <c r="H3" i="48"/>
  <c r="I3" i="48"/>
  <c r="J3" i="48"/>
  <c r="K3" i="48"/>
  <c r="L3" i="48"/>
  <c r="M3" i="48"/>
  <c r="C8" i="48"/>
  <c r="C8" i="11" s="1"/>
  <c r="D8" i="48"/>
  <c r="D8" i="11" s="1"/>
  <c r="E8" i="48"/>
  <c r="F8" i="48"/>
  <c r="F8" i="11" s="1"/>
  <c r="G8" i="48"/>
  <c r="G8" i="11" s="1"/>
  <c r="H8" i="48"/>
  <c r="H8" i="11" s="1"/>
  <c r="I8" i="48"/>
  <c r="L8" i="48"/>
  <c r="L8" i="11" s="1"/>
  <c r="Q6" i="32" s="1"/>
  <c r="M8" i="48"/>
  <c r="M8" i="11" s="1"/>
  <c r="R6" i="32" s="1"/>
  <c r="A178" i="48"/>
  <c r="K9" i="48"/>
  <c r="K10" i="48"/>
  <c r="K11" i="48"/>
  <c r="K12" i="48"/>
  <c r="K13" i="48"/>
  <c r="K14" i="48"/>
  <c r="K15" i="48"/>
  <c r="K16" i="48"/>
  <c r="K17" i="48"/>
  <c r="K18" i="48"/>
  <c r="C19" i="48"/>
  <c r="C9" i="11" s="1"/>
  <c r="D19" i="48"/>
  <c r="D9" i="11" s="1"/>
  <c r="E19" i="48"/>
  <c r="F19" i="48"/>
  <c r="F9" i="11" s="1"/>
  <c r="G19" i="48"/>
  <c r="G9" i="11" s="1"/>
  <c r="H19" i="48"/>
  <c r="H9" i="11" s="1"/>
  <c r="I19" i="48"/>
  <c r="I9" i="11" s="1"/>
  <c r="L19" i="48"/>
  <c r="L9" i="11" s="1"/>
  <c r="Q7" i="32" s="1"/>
  <c r="M19" i="48"/>
  <c r="M9" i="11" s="1"/>
  <c r="R7" i="32" s="1"/>
  <c r="K20" i="48"/>
  <c r="K21" i="48"/>
  <c r="K22" i="48"/>
  <c r="K23" i="48"/>
  <c r="K24" i="48"/>
  <c r="K25" i="48"/>
  <c r="K26" i="48"/>
  <c r="K27" i="48"/>
  <c r="K28" i="48"/>
  <c r="K29" i="48"/>
  <c r="C30" i="48"/>
  <c r="C10" i="11" s="1"/>
  <c r="D30" i="48"/>
  <c r="D10" i="11" s="1"/>
  <c r="E30" i="48"/>
  <c r="F30" i="48"/>
  <c r="F10" i="11" s="1"/>
  <c r="G30" i="48"/>
  <c r="G10" i="11" s="1"/>
  <c r="H30" i="48"/>
  <c r="H10" i="11" s="1"/>
  <c r="I30" i="48"/>
  <c r="I10" i="11" s="1"/>
  <c r="L30" i="48"/>
  <c r="L10" i="11" s="1"/>
  <c r="Q8" i="32" s="1"/>
  <c r="M30" i="48"/>
  <c r="M10" i="11" s="1"/>
  <c r="R8" i="32" s="1"/>
  <c r="K31" i="48"/>
  <c r="K32" i="48"/>
  <c r="K33" i="48"/>
  <c r="K34" i="48"/>
  <c r="K35" i="48"/>
  <c r="K36" i="48"/>
  <c r="K37" i="48"/>
  <c r="K38" i="48"/>
  <c r="K39" i="48"/>
  <c r="K40" i="48"/>
  <c r="C41" i="48"/>
  <c r="C11" i="11" s="1"/>
  <c r="D41" i="48"/>
  <c r="D11" i="11" s="1"/>
  <c r="E41" i="48"/>
  <c r="F41" i="48"/>
  <c r="F11" i="11" s="1"/>
  <c r="G41" i="48"/>
  <c r="G11" i="11" s="1"/>
  <c r="H41" i="48"/>
  <c r="H11" i="11" s="1"/>
  <c r="I41" i="48"/>
  <c r="I11" i="11" s="1"/>
  <c r="L41" i="48"/>
  <c r="L11" i="11" s="1"/>
  <c r="Q9" i="32" s="1"/>
  <c r="M41" i="48"/>
  <c r="M11" i="11" s="1"/>
  <c r="R9" i="32" s="1"/>
  <c r="K42" i="48"/>
  <c r="K43" i="48"/>
  <c r="K44" i="48"/>
  <c r="K45" i="48"/>
  <c r="K46" i="48"/>
  <c r="K47" i="48"/>
  <c r="K48" i="48"/>
  <c r="K49" i="48"/>
  <c r="K50" i="48"/>
  <c r="K51" i="48"/>
  <c r="C52" i="48"/>
  <c r="C12" i="11" s="1"/>
  <c r="D52" i="48"/>
  <c r="D12" i="11" s="1"/>
  <c r="E52" i="48"/>
  <c r="F52" i="48"/>
  <c r="F12" i="11" s="1"/>
  <c r="G52" i="48"/>
  <c r="G12" i="11" s="1"/>
  <c r="H52" i="48"/>
  <c r="H12" i="11" s="1"/>
  <c r="I52" i="48"/>
  <c r="I12" i="11" s="1"/>
  <c r="L52" i="48"/>
  <c r="L12" i="11" s="1"/>
  <c r="Q10" i="32" s="1"/>
  <c r="M52" i="48"/>
  <c r="M12" i="11" s="1"/>
  <c r="R10" i="32" s="1"/>
  <c r="K53" i="48"/>
  <c r="K54" i="48"/>
  <c r="K55" i="48"/>
  <c r="K56" i="48"/>
  <c r="K57" i="48"/>
  <c r="K58" i="48"/>
  <c r="K59" i="48"/>
  <c r="K60" i="48"/>
  <c r="K61" i="48"/>
  <c r="K62" i="48"/>
  <c r="C63" i="48"/>
  <c r="C13" i="11" s="1"/>
  <c r="D63" i="48"/>
  <c r="D13" i="11" s="1"/>
  <c r="E63" i="48"/>
  <c r="F63" i="48"/>
  <c r="G63" i="48"/>
  <c r="G13" i="11" s="1"/>
  <c r="H63" i="48"/>
  <c r="H13" i="11" s="1"/>
  <c r="I63" i="48"/>
  <c r="I13" i="11" s="1"/>
  <c r="L63" i="48"/>
  <c r="L13" i="11" s="1"/>
  <c r="Q11" i="32" s="1"/>
  <c r="M63" i="48"/>
  <c r="K64" i="48"/>
  <c r="K65" i="48"/>
  <c r="K66" i="48"/>
  <c r="K67" i="48"/>
  <c r="K68" i="48"/>
  <c r="K69" i="48"/>
  <c r="K70" i="48"/>
  <c r="K71" i="48"/>
  <c r="K72" i="48"/>
  <c r="K73" i="48"/>
  <c r="C74" i="48"/>
  <c r="C14" i="11" s="1"/>
  <c r="D74" i="48"/>
  <c r="E74" i="48"/>
  <c r="F74" i="48"/>
  <c r="F14" i="11" s="1"/>
  <c r="G74" i="48"/>
  <c r="G14" i="11" s="1"/>
  <c r="H74" i="48"/>
  <c r="I74" i="48"/>
  <c r="I14" i="11" s="1"/>
  <c r="L74" i="48"/>
  <c r="L14" i="11" s="1"/>
  <c r="Q12" i="32" s="1"/>
  <c r="M74" i="48"/>
  <c r="M14" i="11" s="1"/>
  <c r="R12" i="32" s="1"/>
  <c r="K75" i="48"/>
  <c r="K76" i="48"/>
  <c r="K77" i="48"/>
  <c r="K78" i="48"/>
  <c r="K79" i="48"/>
  <c r="K80" i="48"/>
  <c r="K81" i="48"/>
  <c r="K82" i="48"/>
  <c r="K83" i="48"/>
  <c r="K84" i="48"/>
  <c r="C85" i="48"/>
  <c r="C15" i="11" s="1"/>
  <c r="D85" i="48"/>
  <c r="D15" i="11" s="1"/>
  <c r="E85" i="48"/>
  <c r="F85" i="48"/>
  <c r="G85" i="48"/>
  <c r="G15" i="11" s="1"/>
  <c r="H85" i="48"/>
  <c r="H15" i="11" s="1"/>
  <c r="I85" i="48"/>
  <c r="I15" i="11" s="1"/>
  <c r="L85" i="48"/>
  <c r="L15" i="11" s="1"/>
  <c r="Q13" i="32" s="1"/>
  <c r="M85" i="48"/>
  <c r="M15" i="11" s="1"/>
  <c r="R13" i="32" s="1"/>
  <c r="K86" i="48"/>
  <c r="K87" i="48"/>
  <c r="K88" i="48"/>
  <c r="K89" i="48"/>
  <c r="K90" i="48"/>
  <c r="K91" i="48"/>
  <c r="K92" i="48"/>
  <c r="K93" i="48"/>
  <c r="K94" i="48"/>
  <c r="K95" i="48"/>
  <c r="C96" i="48"/>
  <c r="C16" i="11" s="1"/>
  <c r="D96" i="48"/>
  <c r="D16" i="11" s="1"/>
  <c r="E96" i="48"/>
  <c r="F96" i="48"/>
  <c r="F16" i="11" s="1"/>
  <c r="G96" i="48"/>
  <c r="G16" i="11" s="1"/>
  <c r="H96" i="48"/>
  <c r="H16" i="11" s="1"/>
  <c r="I96" i="48"/>
  <c r="I16" i="11" s="1"/>
  <c r="L96" i="48"/>
  <c r="L16" i="11" s="1"/>
  <c r="Q14" i="32" s="1"/>
  <c r="M96" i="48"/>
  <c r="M16" i="11" s="1"/>
  <c r="R14" i="32" s="1"/>
  <c r="K97" i="48"/>
  <c r="K98" i="48"/>
  <c r="K99" i="48"/>
  <c r="K100" i="48"/>
  <c r="K101" i="48"/>
  <c r="K102" i="48"/>
  <c r="K103" i="48"/>
  <c r="K104" i="48"/>
  <c r="K105" i="48"/>
  <c r="K106" i="48"/>
  <c r="C107" i="48"/>
  <c r="C17" i="11" s="1"/>
  <c r="D107" i="48"/>
  <c r="D17" i="11" s="1"/>
  <c r="E107" i="48"/>
  <c r="F107" i="48"/>
  <c r="F17" i="11" s="1"/>
  <c r="G107" i="48"/>
  <c r="G17" i="11" s="1"/>
  <c r="H107" i="48"/>
  <c r="H17" i="11" s="1"/>
  <c r="I107" i="48"/>
  <c r="I17" i="11" s="1"/>
  <c r="L107" i="48"/>
  <c r="L17" i="11" s="1"/>
  <c r="Q15" i="32" s="1"/>
  <c r="M107" i="48"/>
  <c r="M17" i="11" s="1"/>
  <c r="R15" i="32" s="1"/>
  <c r="K108" i="48"/>
  <c r="K109" i="48"/>
  <c r="K110" i="48"/>
  <c r="K111" i="48"/>
  <c r="K112" i="48"/>
  <c r="K113" i="48"/>
  <c r="K114" i="48"/>
  <c r="K115" i="48"/>
  <c r="K116" i="48"/>
  <c r="K117" i="48"/>
  <c r="C118" i="48"/>
  <c r="C18" i="11" s="1"/>
  <c r="D118" i="48"/>
  <c r="D18" i="11" s="1"/>
  <c r="E118" i="48"/>
  <c r="F118" i="48"/>
  <c r="F18" i="11" s="1"/>
  <c r="G118" i="48"/>
  <c r="G18" i="11" s="1"/>
  <c r="H118" i="48"/>
  <c r="H18" i="11" s="1"/>
  <c r="I118" i="48"/>
  <c r="I18" i="11" s="1"/>
  <c r="L118" i="48"/>
  <c r="L18" i="11" s="1"/>
  <c r="Q16" i="32" s="1"/>
  <c r="M118" i="48"/>
  <c r="M18" i="11" s="1"/>
  <c r="R16" i="32" s="1"/>
  <c r="K119" i="48"/>
  <c r="K120" i="48"/>
  <c r="K121" i="48"/>
  <c r="K122" i="48"/>
  <c r="K123" i="48"/>
  <c r="K124" i="48"/>
  <c r="K125" i="48"/>
  <c r="K126" i="48"/>
  <c r="K127" i="48"/>
  <c r="K128" i="48"/>
  <c r="C129" i="48"/>
  <c r="C19" i="11" s="1"/>
  <c r="D129" i="48"/>
  <c r="D19" i="11" s="1"/>
  <c r="E129" i="48"/>
  <c r="F129" i="48"/>
  <c r="F19" i="11" s="1"/>
  <c r="G129" i="48"/>
  <c r="G19" i="11" s="1"/>
  <c r="H129" i="48"/>
  <c r="H19" i="11" s="1"/>
  <c r="I129" i="48"/>
  <c r="I19" i="11" s="1"/>
  <c r="L129" i="48"/>
  <c r="L19" i="11" s="1"/>
  <c r="Q17" i="32" s="1"/>
  <c r="M129" i="48"/>
  <c r="M19" i="11" s="1"/>
  <c r="R17" i="32" s="1"/>
  <c r="K130" i="48"/>
  <c r="K131" i="48"/>
  <c r="K132" i="48"/>
  <c r="K133" i="48"/>
  <c r="K134" i="48"/>
  <c r="K135" i="48"/>
  <c r="K136" i="48"/>
  <c r="K137" i="48"/>
  <c r="K138" i="48"/>
  <c r="K139" i="48"/>
  <c r="C140" i="48"/>
  <c r="C20" i="11" s="1"/>
  <c r="D140" i="48"/>
  <c r="D20" i="11" s="1"/>
  <c r="E140" i="48"/>
  <c r="F140" i="48"/>
  <c r="F20" i="11" s="1"/>
  <c r="G140" i="48"/>
  <c r="G20" i="11" s="1"/>
  <c r="H140" i="48"/>
  <c r="H20" i="11" s="1"/>
  <c r="I140" i="48"/>
  <c r="I20" i="11" s="1"/>
  <c r="L140" i="48"/>
  <c r="L20" i="11" s="1"/>
  <c r="Q18" i="32" s="1"/>
  <c r="M140" i="48"/>
  <c r="M20" i="11" s="1"/>
  <c r="R18" i="32" s="1"/>
  <c r="K141" i="48"/>
  <c r="K142" i="48"/>
  <c r="K143" i="48"/>
  <c r="K144" i="48"/>
  <c r="K145" i="48"/>
  <c r="K146" i="48"/>
  <c r="K147" i="48"/>
  <c r="K148" i="48"/>
  <c r="K149" i="48"/>
  <c r="K150" i="48"/>
  <c r="C151" i="48"/>
  <c r="C21" i="11" s="1"/>
  <c r="D151" i="48"/>
  <c r="D21" i="11" s="1"/>
  <c r="E151" i="48"/>
  <c r="F151" i="48"/>
  <c r="F21" i="11" s="1"/>
  <c r="G151" i="48"/>
  <c r="G21" i="11" s="1"/>
  <c r="H151" i="48"/>
  <c r="H21" i="11" s="1"/>
  <c r="I151" i="48"/>
  <c r="I21" i="11" s="1"/>
  <c r="L151" i="48"/>
  <c r="L21" i="11" s="1"/>
  <c r="Q19" i="32" s="1"/>
  <c r="M151" i="48"/>
  <c r="M21" i="11" s="1"/>
  <c r="R19" i="32" s="1"/>
  <c r="K152" i="48"/>
  <c r="K153" i="48"/>
  <c r="K154" i="48"/>
  <c r="K155" i="48"/>
  <c r="K156" i="48"/>
  <c r="K157" i="48"/>
  <c r="K158" i="48"/>
  <c r="K159" i="48"/>
  <c r="K160" i="48"/>
  <c r="K161" i="48"/>
  <c r="C162" i="48"/>
  <c r="C22" i="11" s="1"/>
  <c r="D162" i="48"/>
  <c r="D22" i="11" s="1"/>
  <c r="E162" i="48"/>
  <c r="F162" i="48"/>
  <c r="F22" i="11" s="1"/>
  <c r="G162" i="48"/>
  <c r="G22" i="11" s="1"/>
  <c r="H162" i="48"/>
  <c r="H22" i="11" s="1"/>
  <c r="I162" i="48"/>
  <c r="I22" i="11" s="1"/>
  <c r="L162" i="48"/>
  <c r="L22" i="11" s="1"/>
  <c r="Q20" i="32" s="1"/>
  <c r="M162" i="48"/>
  <c r="M22" i="11" s="1"/>
  <c r="R20" i="32" s="1"/>
  <c r="K163" i="48"/>
  <c r="K164" i="48"/>
  <c r="K165" i="48"/>
  <c r="K166" i="48"/>
  <c r="K167" i="48"/>
  <c r="K168" i="48"/>
  <c r="K169" i="48"/>
  <c r="K170" i="48"/>
  <c r="K171" i="48"/>
  <c r="K172" i="48"/>
  <c r="C177" i="48"/>
  <c r="C26" i="11" s="1"/>
  <c r="D177" i="48"/>
  <c r="E177" i="48"/>
  <c r="E26" i="11" s="1"/>
  <c r="F177" i="48"/>
  <c r="F26" i="11" s="1"/>
  <c r="G177" i="48"/>
  <c r="G26" i="11" s="1"/>
  <c r="H177" i="48"/>
  <c r="H26" i="11" s="1"/>
  <c r="I177" i="48"/>
  <c r="J177" i="48" s="1"/>
  <c r="L177" i="48"/>
  <c r="L26" i="11" s="1"/>
  <c r="Q24" i="32" s="1"/>
  <c r="M177" i="48"/>
  <c r="M26" i="11" s="1"/>
  <c r="R24" i="32" s="1"/>
  <c r="K178" i="48"/>
  <c r="K179" i="48"/>
  <c r="K180" i="48"/>
  <c r="K181" i="48"/>
  <c r="K182" i="48"/>
  <c r="K183" i="48"/>
  <c r="K184" i="48"/>
  <c r="K185" i="48"/>
  <c r="K186" i="48"/>
  <c r="K187" i="48"/>
  <c r="C188" i="48"/>
  <c r="C27" i="11" s="1"/>
  <c r="D188" i="48"/>
  <c r="E188" i="48"/>
  <c r="E27" i="11" s="1"/>
  <c r="F188" i="48"/>
  <c r="G188" i="48"/>
  <c r="G27" i="11" s="1"/>
  <c r="H188" i="48"/>
  <c r="H27" i="11" s="1"/>
  <c r="I188" i="48"/>
  <c r="L188" i="48"/>
  <c r="L27" i="11" s="1"/>
  <c r="Q25" i="32" s="1"/>
  <c r="M188" i="48"/>
  <c r="M27" i="11" s="1"/>
  <c r="R25" i="32" s="1"/>
  <c r="K189" i="48"/>
  <c r="K190" i="48"/>
  <c r="K191" i="48"/>
  <c r="K192" i="48"/>
  <c r="K193" i="48"/>
  <c r="K194" i="48"/>
  <c r="K195" i="48"/>
  <c r="K196" i="48"/>
  <c r="K197" i="48"/>
  <c r="K198" i="48"/>
  <c r="C199" i="48"/>
  <c r="C28" i="11" s="1"/>
  <c r="D199" i="48"/>
  <c r="E199" i="48"/>
  <c r="E28" i="11" s="1"/>
  <c r="F199" i="48"/>
  <c r="F28" i="11" s="1"/>
  <c r="G199" i="48"/>
  <c r="G28" i="11" s="1"/>
  <c r="H199" i="48"/>
  <c r="H28" i="11" s="1"/>
  <c r="I199" i="48"/>
  <c r="L199" i="48"/>
  <c r="L28" i="11" s="1"/>
  <c r="Q26" i="32" s="1"/>
  <c r="M199" i="48"/>
  <c r="M28" i="11" s="1"/>
  <c r="R26" i="32" s="1"/>
  <c r="K200" i="48"/>
  <c r="K201" i="48"/>
  <c r="K202" i="48"/>
  <c r="K203" i="48"/>
  <c r="K204" i="48"/>
  <c r="K205" i="48"/>
  <c r="K206" i="48"/>
  <c r="K207" i="48"/>
  <c r="K208" i="48"/>
  <c r="K209" i="48"/>
  <c r="C210" i="48"/>
  <c r="C29" i="11" s="1"/>
  <c r="D210" i="48"/>
  <c r="E210" i="48"/>
  <c r="F210" i="48"/>
  <c r="G210" i="48"/>
  <c r="G29" i="11" s="1"/>
  <c r="H210" i="48"/>
  <c r="H29" i="11" s="1"/>
  <c r="I210" i="48"/>
  <c r="L210" i="48"/>
  <c r="L29" i="11" s="1"/>
  <c r="Q27" i="32" s="1"/>
  <c r="M210" i="48"/>
  <c r="M29" i="11" s="1"/>
  <c r="R27" i="32" s="1"/>
  <c r="K211" i="48"/>
  <c r="K212" i="48"/>
  <c r="K213" i="48"/>
  <c r="K214" i="48"/>
  <c r="K215" i="48"/>
  <c r="K216" i="48"/>
  <c r="K217" i="48"/>
  <c r="K218" i="48"/>
  <c r="K219" i="48"/>
  <c r="K220" i="48"/>
  <c r="C221" i="48"/>
  <c r="C30" i="11" s="1"/>
  <c r="D221" i="48"/>
  <c r="E221" i="48"/>
  <c r="E30" i="11" s="1"/>
  <c r="F221" i="48"/>
  <c r="F30" i="11" s="1"/>
  <c r="G221" i="48"/>
  <c r="G30" i="11" s="1"/>
  <c r="H221" i="48"/>
  <c r="H30" i="11" s="1"/>
  <c r="I221" i="48"/>
  <c r="L221" i="48"/>
  <c r="L30" i="11" s="1"/>
  <c r="Q28" i="32" s="1"/>
  <c r="M221" i="48"/>
  <c r="M30" i="11" s="1"/>
  <c r="R28" i="32" s="1"/>
  <c r="K222" i="48"/>
  <c r="K223" i="48"/>
  <c r="K224" i="48"/>
  <c r="K225" i="48"/>
  <c r="K226" i="48"/>
  <c r="K227" i="48"/>
  <c r="K228" i="48"/>
  <c r="K229" i="48"/>
  <c r="K230" i="48"/>
  <c r="K231" i="48"/>
  <c r="C232" i="48"/>
  <c r="C31" i="11" s="1"/>
  <c r="D232" i="48"/>
  <c r="E232" i="48"/>
  <c r="E31" i="11" s="1"/>
  <c r="F232" i="48"/>
  <c r="F31" i="11" s="1"/>
  <c r="G232" i="48"/>
  <c r="G31" i="11" s="1"/>
  <c r="H232" i="48"/>
  <c r="H31" i="11" s="1"/>
  <c r="I232" i="48"/>
  <c r="L232" i="48"/>
  <c r="L31" i="11" s="1"/>
  <c r="Q29" i="32" s="1"/>
  <c r="M232" i="48"/>
  <c r="M31" i="11" s="1"/>
  <c r="R29" i="32" s="1"/>
  <c r="K233" i="48"/>
  <c r="K234" i="48"/>
  <c r="K235" i="48"/>
  <c r="K236" i="48"/>
  <c r="K237" i="48"/>
  <c r="K238" i="48"/>
  <c r="K239" i="48"/>
  <c r="K240" i="48"/>
  <c r="K241" i="48"/>
  <c r="K242" i="48"/>
  <c r="C243" i="48"/>
  <c r="C32" i="11" s="1"/>
  <c r="D243" i="48"/>
  <c r="E243" i="48"/>
  <c r="E32" i="11" s="1"/>
  <c r="F243" i="48"/>
  <c r="F32" i="11" s="1"/>
  <c r="G243" i="48"/>
  <c r="H243" i="48"/>
  <c r="H32" i="11" s="1"/>
  <c r="I243" i="48"/>
  <c r="L243" i="48"/>
  <c r="L32" i="11" s="1"/>
  <c r="Q30" i="32" s="1"/>
  <c r="M243" i="48"/>
  <c r="M32" i="11" s="1"/>
  <c r="R30" i="32" s="1"/>
  <c r="K244" i="48"/>
  <c r="K245" i="48"/>
  <c r="K246" i="48"/>
  <c r="K247" i="48"/>
  <c r="K248" i="48"/>
  <c r="K249" i="48"/>
  <c r="K250" i="48"/>
  <c r="K251" i="48"/>
  <c r="K252" i="48"/>
  <c r="K253" i="48"/>
  <c r="C254" i="48"/>
  <c r="C33" i="11" s="1"/>
  <c r="D254" i="48"/>
  <c r="E254" i="48"/>
  <c r="E33" i="11" s="1"/>
  <c r="F254" i="48"/>
  <c r="F33" i="11" s="1"/>
  <c r="G254" i="48"/>
  <c r="G33" i="11" s="1"/>
  <c r="H254" i="48"/>
  <c r="H33" i="11" s="1"/>
  <c r="I254" i="48"/>
  <c r="L254" i="48"/>
  <c r="L33" i="11" s="1"/>
  <c r="Q31" i="32" s="1"/>
  <c r="M254" i="48"/>
  <c r="M33" i="11" s="1"/>
  <c r="R31" i="32" s="1"/>
  <c r="K255" i="48"/>
  <c r="K256" i="48"/>
  <c r="K257" i="48"/>
  <c r="K258" i="48"/>
  <c r="K259" i="48"/>
  <c r="K260" i="48"/>
  <c r="K261" i="48"/>
  <c r="K262" i="48"/>
  <c r="K263" i="48"/>
  <c r="K264" i="48"/>
  <c r="C265" i="48"/>
  <c r="C34" i="11" s="1"/>
  <c r="D265" i="48"/>
  <c r="E265" i="48"/>
  <c r="F265" i="48"/>
  <c r="F34" i="11" s="1"/>
  <c r="G265" i="48"/>
  <c r="G34" i="11" s="1"/>
  <c r="H265" i="48"/>
  <c r="H34" i="11" s="1"/>
  <c r="I265" i="48"/>
  <c r="L265" i="48"/>
  <c r="L34" i="11" s="1"/>
  <c r="Q32" i="32" s="1"/>
  <c r="M265" i="48"/>
  <c r="M34" i="11" s="1"/>
  <c r="R32" i="32" s="1"/>
  <c r="K266" i="48"/>
  <c r="K267" i="48"/>
  <c r="K268" i="48"/>
  <c r="K269" i="48"/>
  <c r="K270" i="48"/>
  <c r="K271" i="48"/>
  <c r="K272" i="48"/>
  <c r="K273" i="48"/>
  <c r="K274" i="48"/>
  <c r="K275" i="48"/>
  <c r="C276" i="48"/>
  <c r="C35" i="11" s="1"/>
  <c r="D276" i="48"/>
  <c r="E276" i="48"/>
  <c r="E35" i="11" s="1"/>
  <c r="F276" i="48"/>
  <c r="F35" i="11" s="1"/>
  <c r="G276" i="48"/>
  <c r="G35" i="11" s="1"/>
  <c r="H276" i="48"/>
  <c r="H35" i="11" s="1"/>
  <c r="I276" i="48"/>
  <c r="L276" i="48"/>
  <c r="L35" i="11" s="1"/>
  <c r="Q33" i="32" s="1"/>
  <c r="M276" i="48"/>
  <c r="M35" i="11" s="1"/>
  <c r="R33" i="32" s="1"/>
  <c r="K277" i="48"/>
  <c r="K278" i="48"/>
  <c r="K279" i="48"/>
  <c r="K280" i="48"/>
  <c r="K281" i="48"/>
  <c r="K282" i="48"/>
  <c r="K283" i="48"/>
  <c r="K284" i="48"/>
  <c r="K285" i="48"/>
  <c r="K286" i="48"/>
  <c r="C287" i="48"/>
  <c r="C36" i="11" s="1"/>
  <c r="D287" i="48"/>
  <c r="E287" i="48"/>
  <c r="E36" i="11" s="1"/>
  <c r="F287" i="48"/>
  <c r="F36" i="11" s="1"/>
  <c r="G287" i="48"/>
  <c r="G36" i="11" s="1"/>
  <c r="H287" i="48"/>
  <c r="H36" i="11" s="1"/>
  <c r="I287" i="48"/>
  <c r="L287" i="48"/>
  <c r="L36" i="11" s="1"/>
  <c r="Q34" i="32" s="1"/>
  <c r="M287" i="48"/>
  <c r="M36" i="11" s="1"/>
  <c r="R34" i="32" s="1"/>
  <c r="K288" i="48"/>
  <c r="K289" i="48"/>
  <c r="K290" i="48"/>
  <c r="K291" i="48"/>
  <c r="K292" i="48"/>
  <c r="K293" i="48"/>
  <c r="K294" i="48"/>
  <c r="K295" i="48"/>
  <c r="K296" i="48"/>
  <c r="K297" i="48"/>
  <c r="C298" i="48"/>
  <c r="C37" i="11" s="1"/>
  <c r="D298" i="48"/>
  <c r="E298" i="48"/>
  <c r="E37" i="11" s="1"/>
  <c r="F298" i="48"/>
  <c r="G298" i="48"/>
  <c r="G37" i="11" s="1"/>
  <c r="H298" i="48"/>
  <c r="H37" i="11" s="1"/>
  <c r="I298" i="48"/>
  <c r="L298" i="48"/>
  <c r="L37" i="11" s="1"/>
  <c r="Q35" i="32" s="1"/>
  <c r="M298" i="48"/>
  <c r="M37" i="11" s="1"/>
  <c r="R35" i="32" s="1"/>
  <c r="K299" i="48"/>
  <c r="K300" i="48"/>
  <c r="K301" i="48"/>
  <c r="K302" i="48"/>
  <c r="K303" i="48"/>
  <c r="K304" i="48"/>
  <c r="K305" i="48"/>
  <c r="K306" i="48"/>
  <c r="K307" i="48"/>
  <c r="K308" i="48"/>
  <c r="C309" i="48"/>
  <c r="C38" i="11" s="1"/>
  <c r="D309" i="48"/>
  <c r="E309" i="48"/>
  <c r="E38" i="11" s="1"/>
  <c r="F309" i="48"/>
  <c r="F38" i="11" s="1"/>
  <c r="G309" i="48"/>
  <c r="G38" i="11" s="1"/>
  <c r="H309" i="48"/>
  <c r="H38" i="11" s="1"/>
  <c r="I309" i="48"/>
  <c r="L309" i="48"/>
  <c r="L38" i="11" s="1"/>
  <c r="Q36" i="32" s="1"/>
  <c r="M309" i="48"/>
  <c r="M38" i="11" s="1"/>
  <c r="R36" i="32" s="1"/>
  <c r="K310" i="48"/>
  <c r="K311" i="48"/>
  <c r="K312" i="48"/>
  <c r="K313" i="48"/>
  <c r="K314" i="48"/>
  <c r="K315" i="48"/>
  <c r="K316" i="48"/>
  <c r="K317" i="48"/>
  <c r="K318" i="48"/>
  <c r="K319" i="48"/>
  <c r="C320" i="48"/>
  <c r="C39" i="11" s="1"/>
  <c r="D320" i="48"/>
  <c r="E320" i="48"/>
  <c r="E39" i="11" s="1"/>
  <c r="F320" i="48"/>
  <c r="F39" i="11" s="1"/>
  <c r="G320" i="48"/>
  <c r="G39" i="11" s="1"/>
  <c r="H320" i="48"/>
  <c r="H39" i="11" s="1"/>
  <c r="I320" i="48"/>
  <c r="L320" i="48"/>
  <c r="L39" i="11" s="1"/>
  <c r="Q37" i="32" s="1"/>
  <c r="M320" i="48"/>
  <c r="M39" i="11" s="1"/>
  <c r="R37" i="32" s="1"/>
  <c r="K321" i="48"/>
  <c r="K322" i="48"/>
  <c r="K323" i="48"/>
  <c r="K324" i="48"/>
  <c r="K325" i="48"/>
  <c r="K326" i="48"/>
  <c r="K327" i="48"/>
  <c r="K328" i="48"/>
  <c r="K329" i="48"/>
  <c r="K330" i="48"/>
  <c r="C331" i="48"/>
  <c r="C40" i="11" s="1"/>
  <c r="D331" i="48"/>
  <c r="E331" i="48"/>
  <c r="E40" i="11" s="1"/>
  <c r="F331" i="48"/>
  <c r="F40" i="11" s="1"/>
  <c r="G331" i="48"/>
  <c r="G40" i="11" s="1"/>
  <c r="H331" i="48"/>
  <c r="H40" i="11" s="1"/>
  <c r="I331" i="48"/>
  <c r="L331" i="48"/>
  <c r="L40" i="11" s="1"/>
  <c r="Q38" i="32" s="1"/>
  <c r="M331" i="48"/>
  <c r="M40" i="11" s="1"/>
  <c r="R38" i="32" s="1"/>
  <c r="K332" i="48"/>
  <c r="K333" i="48"/>
  <c r="K334" i="48"/>
  <c r="K335" i="48"/>
  <c r="K336" i="48"/>
  <c r="K337" i="48"/>
  <c r="K338" i="48"/>
  <c r="K339" i="48"/>
  <c r="K340" i="48"/>
  <c r="K341" i="48"/>
  <c r="A346" i="48"/>
  <c r="A2" i="11"/>
  <c r="B2" i="11"/>
  <c r="C3" i="11"/>
  <c r="D3" i="11"/>
  <c r="E3" i="11"/>
  <c r="F3" i="11"/>
  <c r="G3" i="11"/>
  <c r="H3" i="11"/>
  <c r="I3" i="11"/>
  <c r="J3" i="11"/>
  <c r="K3" i="11"/>
  <c r="L3" i="11"/>
  <c r="M3" i="11"/>
  <c r="F13" i="11"/>
  <c r="C45" i="11"/>
  <c r="D45" i="11"/>
  <c r="E45" i="11"/>
  <c r="F45" i="11"/>
  <c r="G45" i="11"/>
  <c r="H45" i="11"/>
  <c r="I45" i="11"/>
  <c r="L45" i="11"/>
  <c r="P6" i="33" s="1"/>
  <c r="M45" i="11"/>
  <c r="L49" i="11"/>
  <c r="P10" i="33" s="1"/>
  <c r="M49" i="11"/>
  <c r="Q10" i="33" s="1"/>
  <c r="C55" i="11"/>
  <c r="D55" i="11"/>
  <c r="E55" i="11"/>
  <c r="F55" i="11"/>
  <c r="G55" i="11"/>
  <c r="H55" i="11"/>
  <c r="I55" i="11"/>
  <c r="L55" i="11"/>
  <c r="P16" i="33" s="1"/>
  <c r="M55" i="11"/>
  <c r="Q16" i="33" s="1"/>
  <c r="C59" i="11"/>
  <c r="D59" i="11"/>
  <c r="E59" i="11"/>
  <c r="F59" i="11"/>
  <c r="G59" i="11"/>
  <c r="H59" i="11"/>
  <c r="H65" i="11" s="1"/>
  <c r="I59" i="11"/>
  <c r="P20" i="33"/>
  <c r="Q20" i="33"/>
  <c r="C72" i="11"/>
  <c r="B30" i="7" s="1"/>
  <c r="D76" i="11"/>
  <c r="E72" i="11"/>
  <c r="E76" i="11" s="1"/>
  <c r="F72" i="11"/>
  <c r="E30" i="7" s="1"/>
  <c r="G72" i="11"/>
  <c r="H72" i="11"/>
  <c r="H76" i="11" s="1"/>
  <c r="I72" i="11"/>
  <c r="I76" i="11" s="1"/>
  <c r="L72" i="11"/>
  <c r="L76" i="11" s="1"/>
  <c r="M72" i="11"/>
  <c r="M76" i="11" s="1"/>
  <c r="A77" i="11"/>
  <c r="A2" i="10"/>
  <c r="B2" i="10"/>
  <c r="C3" i="10"/>
  <c r="D3" i="10"/>
  <c r="E3" i="10"/>
  <c r="F3" i="10"/>
  <c r="G3" i="10"/>
  <c r="H3" i="10"/>
  <c r="I3" i="10"/>
  <c r="J3" i="10"/>
  <c r="K3" i="10"/>
  <c r="L3" i="10"/>
  <c r="M3" i="10"/>
  <c r="K14" i="10"/>
  <c r="P13" i="30" s="1"/>
  <c r="K15" i="10"/>
  <c r="P14" i="30" s="1"/>
  <c r="K16" i="10"/>
  <c r="P15" i="30" s="1"/>
  <c r="K17" i="10"/>
  <c r="P16" i="30" s="1"/>
  <c r="K18" i="10"/>
  <c r="P17" i="30" s="1"/>
  <c r="K19" i="10"/>
  <c r="P18" i="30" s="1"/>
  <c r="K20" i="10"/>
  <c r="P19" i="30" s="1"/>
  <c r="K22" i="10"/>
  <c r="P21" i="30" s="1"/>
  <c r="K27" i="10"/>
  <c r="P26" i="30" s="1"/>
  <c r="K28" i="10"/>
  <c r="P27" i="30" s="1"/>
  <c r="K30" i="10"/>
  <c r="P29" i="30" s="1"/>
  <c r="K32" i="10"/>
  <c r="P31" i="30" s="1"/>
  <c r="K34" i="10"/>
  <c r="P33" i="30" s="1"/>
  <c r="K36" i="10"/>
  <c r="P35" i="30" s="1"/>
  <c r="K40" i="10"/>
  <c r="P39" i="30" s="1"/>
  <c r="K41" i="10"/>
  <c r="P40" i="30" s="1"/>
  <c r="K42" i="10"/>
  <c r="P41" i="30" s="1"/>
  <c r="K44" i="10"/>
  <c r="K46" i="10"/>
  <c r="K48" i="10"/>
  <c r="A50" i="10"/>
  <c r="A2" i="47"/>
  <c r="B2" i="47"/>
  <c r="C3" i="47"/>
  <c r="D3" i="47"/>
  <c r="E3" i="47"/>
  <c r="F3" i="47"/>
  <c r="G3" i="47"/>
  <c r="H3" i="47"/>
  <c r="I3" i="47"/>
  <c r="K3" i="47"/>
  <c r="L3" i="47"/>
  <c r="M3" i="47"/>
  <c r="C7" i="47"/>
  <c r="C7" i="8" s="1"/>
  <c r="D7" i="47"/>
  <c r="E7" i="47"/>
  <c r="F7" i="47"/>
  <c r="G7" i="47"/>
  <c r="H7" i="47"/>
  <c r="H7" i="8" s="1"/>
  <c r="I7" i="47"/>
  <c r="J7" i="47" s="1"/>
  <c r="L7" i="47"/>
  <c r="L7" i="8" s="1"/>
  <c r="Q6" i="28" s="1"/>
  <c r="M7" i="47"/>
  <c r="M7" i="8" s="1"/>
  <c r="R6" i="28" s="1"/>
  <c r="K8" i="47"/>
  <c r="K9" i="47"/>
  <c r="K10" i="47"/>
  <c r="K11" i="47"/>
  <c r="K12" i="47"/>
  <c r="K13" i="47"/>
  <c r="K14" i="47"/>
  <c r="K15" i="47"/>
  <c r="K16" i="47"/>
  <c r="K17" i="47"/>
  <c r="C18" i="47"/>
  <c r="C8" i="8" s="1"/>
  <c r="D18" i="47"/>
  <c r="E18" i="47"/>
  <c r="E8" i="8" s="1"/>
  <c r="F18" i="47"/>
  <c r="F8" i="8" s="1"/>
  <c r="G18" i="47"/>
  <c r="H18" i="47"/>
  <c r="H8" i="8" s="1"/>
  <c r="I18" i="47"/>
  <c r="L18" i="47"/>
  <c r="L8" i="8" s="1"/>
  <c r="Q7" i="28" s="1"/>
  <c r="M18" i="47"/>
  <c r="M8" i="8" s="1"/>
  <c r="R7" i="28" s="1"/>
  <c r="K19" i="47"/>
  <c r="K20" i="47"/>
  <c r="K21" i="47"/>
  <c r="K22" i="47"/>
  <c r="K23" i="47"/>
  <c r="K24" i="47"/>
  <c r="K25" i="47"/>
  <c r="K26" i="47"/>
  <c r="K27" i="47"/>
  <c r="K28" i="47"/>
  <c r="C29" i="47"/>
  <c r="C9" i="8" s="1"/>
  <c r="D29" i="47"/>
  <c r="E29" i="47"/>
  <c r="E9" i="8" s="1"/>
  <c r="F29" i="47"/>
  <c r="G29" i="47"/>
  <c r="G9" i="8" s="1"/>
  <c r="H29" i="47"/>
  <c r="H9" i="8" s="1"/>
  <c r="I29" i="47"/>
  <c r="L29" i="47"/>
  <c r="L9" i="8" s="1"/>
  <c r="Q8" i="28" s="1"/>
  <c r="M29" i="47"/>
  <c r="M9" i="8" s="1"/>
  <c r="R8" i="28" s="1"/>
  <c r="K30" i="47"/>
  <c r="K31" i="47"/>
  <c r="K32" i="47"/>
  <c r="K33" i="47"/>
  <c r="K34" i="47"/>
  <c r="K35" i="47"/>
  <c r="K36" i="47"/>
  <c r="K37" i="47"/>
  <c r="K38" i="47"/>
  <c r="K39" i="47"/>
  <c r="C40" i="47"/>
  <c r="C10" i="8" s="1"/>
  <c r="D40" i="47"/>
  <c r="E40" i="47"/>
  <c r="E10" i="8" s="1"/>
  <c r="F40" i="47"/>
  <c r="F10" i="8" s="1"/>
  <c r="G40" i="47"/>
  <c r="G10" i="8" s="1"/>
  <c r="H40" i="47"/>
  <c r="H10" i="8" s="1"/>
  <c r="I40" i="47"/>
  <c r="L40" i="47"/>
  <c r="M40" i="47"/>
  <c r="M10" i="8" s="1"/>
  <c r="R9" i="28" s="1"/>
  <c r="K41" i="47"/>
  <c r="K42" i="47"/>
  <c r="K43" i="47"/>
  <c r="K44" i="47"/>
  <c r="K45" i="47"/>
  <c r="K46" i="47"/>
  <c r="K47" i="47"/>
  <c r="K48" i="47"/>
  <c r="K49" i="47"/>
  <c r="K50" i="47"/>
  <c r="C51" i="47"/>
  <c r="C11" i="8" s="1"/>
  <c r="D51" i="47"/>
  <c r="E51" i="47"/>
  <c r="E11" i="8" s="1"/>
  <c r="F51" i="47"/>
  <c r="F11" i="8" s="1"/>
  <c r="G51" i="47"/>
  <c r="H51" i="47"/>
  <c r="H11" i="8" s="1"/>
  <c r="I51" i="47"/>
  <c r="L51" i="47"/>
  <c r="L11" i="8" s="1"/>
  <c r="Q10" i="28" s="1"/>
  <c r="M51" i="47"/>
  <c r="M11" i="8" s="1"/>
  <c r="R10" i="28" s="1"/>
  <c r="K52" i="47"/>
  <c r="K53" i="47"/>
  <c r="K54" i="47"/>
  <c r="K55" i="47"/>
  <c r="K56" i="47"/>
  <c r="K57" i="47"/>
  <c r="K58" i="47"/>
  <c r="K59" i="47"/>
  <c r="K60" i="47"/>
  <c r="K61" i="47"/>
  <c r="C62" i="47"/>
  <c r="C12" i="8" s="1"/>
  <c r="D62" i="47"/>
  <c r="E62" i="47"/>
  <c r="E12" i="8" s="1"/>
  <c r="F62" i="47"/>
  <c r="F12" i="8" s="1"/>
  <c r="G62" i="47"/>
  <c r="G12" i="8" s="1"/>
  <c r="H62" i="47"/>
  <c r="H12" i="8" s="1"/>
  <c r="I62" i="47"/>
  <c r="L62" i="47"/>
  <c r="L12" i="8" s="1"/>
  <c r="Q11" i="28" s="1"/>
  <c r="M62" i="47"/>
  <c r="M12" i="8" s="1"/>
  <c r="K63" i="47"/>
  <c r="K64" i="47"/>
  <c r="K65" i="47"/>
  <c r="K66" i="47"/>
  <c r="K67" i="47"/>
  <c r="K68" i="47"/>
  <c r="K69" i="47"/>
  <c r="K70" i="47"/>
  <c r="K71" i="47"/>
  <c r="K72" i="47"/>
  <c r="C73" i="47"/>
  <c r="C13" i="8" s="1"/>
  <c r="D73" i="47"/>
  <c r="E73" i="47"/>
  <c r="E13" i="8" s="1"/>
  <c r="F73" i="47"/>
  <c r="F13" i="8" s="1"/>
  <c r="G73" i="47"/>
  <c r="G13" i="8" s="1"/>
  <c r="H73" i="47"/>
  <c r="H13" i="8" s="1"/>
  <c r="I73" i="47"/>
  <c r="L73" i="47"/>
  <c r="L13" i="8" s="1"/>
  <c r="Q12" i="28" s="1"/>
  <c r="M73" i="47"/>
  <c r="M13" i="8" s="1"/>
  <c r="R12" i="28" s="1"/>
  <c r="K74" i="47"/>
  <c r="K75" i="47"/>
  <c r="K76" i="47"/>
  <c r="K77" i="47"/>
  <c r="K78" i="47"/>
  <c r="K79" i="47"/>
  <c r="K80" i="47"/>
  <c r="K81" i="47"/>
  <c r="K82" i="47"/>
  <c r="K83" i="47"/>
  <c r="C84" i="47"/>
  <c r="C14" i="8" s="1"/>
  <c r="D84" i="47"/>
  <c r="E84" i="47"/>
  <c r="E14" i="8" s="1"/>
  <c r="F84" i="47"/>
  <c r="F14" i="8" s="1"/>
  <c r="G84" i="47"/>
  <c r="G14" i="8" s="1"/>
  <c r="H84" i="47"/>
  <c r="I84" i="47"/>
  <c r="J84" i="47" s="1"/>
  <c r="L84" i="47"/>
  <c r="L14" i="8" s="1"/>
  <c r="Q13" i="28" s="1"/>
  <c r="M84" i="47"/>
  <c r="M14" i="8" s="1"/>
  <c r="R13" i="28" s="1"/>
  <c r="K85" i="47"/>
  <c r="K86" i="47"/>
  <c r="K87" i="47"/>
  <c r="K88" i="47"/>
  <c r="K89" i="47"/>
  <c r="K90" i="47"/>
  <c r="K91" i="47"/>
  <c r="K92" i="47"/>
  <c r="K93" i="47"/>
  <c r="K94" i="47"/>
  <c r="C95" i="47"/>
  <c r="C15" i="8" s="1"/>
  <c r="D95" i="47"/>
  <c r="E95" i="47"/>
  <c r="E15" i="8" s="1"/>
  <c r="F95" i="47"/>
  <c r="G95" i="47"/>
  <c r="G15" i="8" s="1"/>
  <c r="H95" i="47"/>
  <c r="H15" i="8" s="1"/>
  <c r="I95" i="47"/>
  <c r="L95" i="47"/>
  <c r="L15" i="8" s="1"/>
  <c r="Q14" i="28" s="1"/>
  <c r="M95" i="47"/>
  <c r="M15" i="8" s="1"/>
  <c r="R14" i="28" s="1"/>
  <c r="K96" i="47"/>
  <c r="K97" i="47"/>
  <c r="K98" i="47"/>
  <c r="K99" i="47"/>
  <c r="K100" i="47"/>
  <c r="K101" i="47"/>
  <c r="K102" i="47"/>
  <c r="K103" i="47"/>
  <c r="K104" i="47"/>
  <c r="K105" i="47"/>
  <c r="C106" i="47"/>
  <c r="C16" i="8" s="1"/>
  <c r="D106" i="47"/>
  <c r="E106" i="47"/>
  <c r="E16" i="8" s="1"/>
  <c r="F106" i="47"/>
  <c r="F16" i="8" s="1"/>
  <c r="G106" i="47"/>
  <c r="G16" i="8" s="1"/>
  <c r="H106" i="47"/>
  <c r="H16" i="8" s="1"/>
  <c r="I106" i="47"/>
  <c r="L106" i="47"/>
  <c r="L16" i="8" s="1"/>
  <c r="Q15" i="28" s="1"/>
  <c r="M106" i="47"/>
  <c r="M16" i="8" s="1"/>
  <c r="R15" i="28" s="1"/>
  <c r="K107" i="47"/>
  <c r="K108" i="47"/>
  <c r="K109" i="47"/>
  <c r="K110" i="47"/>
  <c r="K111" i="47"/>
  <c r="K112" i="47"/>
  <c r="K113" i="47"/>
  <c r="K114" i="47"/>
  <c r="K115" i="47"/>
  <c r="K116" i="47"/>
  <c r="C117" i="47"/>
  <c r="C17" i="8" s="1"/>
  <c r="D117" i="47"/>
  <c r="E117" i="47"/>
  <c r="F117" i="47"/>
  <c r="F17" i="8" s="1"/>
  <c r="G117" i="47"/>
  <c r="G17" i="8" s="1"/>
  <c r="H117" i="47"/>
  <c r="H17" i="8" s="1"/>
  <c r="I117" i="47"/>
  <c r="L117" i="47"/>
  <c r="L17" i="8" s="1"/>
  <c r="Q16" i="28" s="1"/>
  <c r="M117" i="47"/>
  <c r="M17" i="8" s="1"/>
  <c r="R16" i="28" s="1"/>
  <c r="K118" i="47"/>
  <c r="K119" i="47"/>
  <c r="K120" i="47"/>
  <c r="K121" i="47"/>
  <c r="K122" i="47"/>
  <c r="K123" i="47"/>
  <c r="K124" i="47"/>
  <c r="K125" i="47"/>
  <c r="K126" i="47"/>
  <c r="K127" i="47"/>
  <c r="C128" i="47"/>
  <c r="C18" i="8" s="1"/>
  <c r="D128" i="47"/>
  <c r="E128" i="47"/>
  <c r="E18" i="8" s="1"/>
  <c r="F128" i="47"/>
  <c r="F18" i="8" s="1"/>
  <c r="G128" i="47"/>
  <c r="G18" i="8" s="1"/>
  <c r="H128" i="47"/>
  <c r="I128" i="47"/>
  <c r="L128" i="47"/>
  <c r="L18" i="8" s="1"/>
  <c r="Q17" i="28" s="1"/>
  <c r="M128" i="47"/>
  <c r="M18" i="8" s="1"/>
  <c r="R17" i="28" s="1"/>
  <c r="K129" i="47"/>
  <c r="K130" i="47"/>
  <c r="K131" i="47"/>
  <c r="K132" i="47"/>
  <c r="K133" i="47"/>
  <c r="K134" i="47"/>
  <c r="K135" i="47"/>
  <c r="K136" i="47"/>
  <c r="K137" i="47"/>
  <c r="K138" i="47"/>
  <c r="C139" i="47"/>
  <c r="C19" i="8" s="1"/>
  <c r="D139" i="47"/>
  <c r="E139" i="47"/>
  <c r="E19" i="8" s="1"/>
  <c r="F139" i="47"/>
  <c r="F19" i="8" s="1"/>
  <c r="G139" i="47"/>
  <c r="H139" i="47"/>
  <c r="H19" i="8" s="1"/>
  <c r="I139" i="47"/>
  <c r="L139" i="47"/>
  <c r="L19" i="8" s="1"/>
  <c r="Q18" i="28" s="1"/>
  <c r="M139" i="47"/>
  <c r="M19" i="8" s="1"/>
  <c r="R18" i="28" s="1"/>
  <c r="K140" i="47"/>
  <c r="K141" i="47"/>
  <c r="K142" i="47"/>
  <c r="K143" i="47"/>
  <c r="K144" i="47"/>
  <c r="K145" i="47"/>
  <c r="K146" i="47"/>
  <c r="K147" i="47"/>
  <c r="K148" i="47"/>
  <c r="K149" i="47"/>
  <c r="C150" i="47"/>
  <c r="C20" i="8" s="1"/>
  <c r="D150" i="47"/>
  <c r="E150" i="47"/>
  <c r="E20" i="8" s="1"/>
  <c r="F150" i="47"/>
  <c r="F20" i="8" s="1"/>
  <c r="G150" i="47"/>
  <c r="H150" i="47"/>
  <c r="H20" i="8" s="1"/>
  <c r="I150" i="47"/>
  <c r="L150" i="47"/>
  <c r="L20" i="8" s="1"/>
  <c r="Q19" i="28" s="1"/>
  <c r="M150" i="47"/>
  <c r="M20" i="8" s="1"/>
  <c r="R19" i="28" s="1"/>
  <c r="K151" i="47"/>
  <c r="K152" i="47"/>
  <c r="K153" i="47"/>
  <c r="K154" i="47"/>
  <c r="K155" i="47"/>
  <c r="K156" i="47"/>
  <c r="K157" i="47"/>
  <c r="K158" i="47"/>
  <c r="K159" i="47"/>
  <c r="K160" i="47"/>
  <c r="C21" i="8"/>
  <c r="H21" i="8"/>
  <c r="L161" i="47"/>
  <c r="L21" i="8" s="1"/>
  <c r="Q20" i="28" s="1"/>
  <c r="M161" i="47"/>
  <c r="M21" i="8" s="1"/>
  <c r="R20" i="28" s="1"/>
  <c r="K162" i="47"/>
  <c r="K163" i="47"/>
  <c r="K164" i="47"/>
  <c r="K165" i="47"/>
  <c r="K166" i="47"/>
  <c r="K167" i="47"/>
  <c r="K168" i="47"/>
  <c r="K169" i="47"/>
  <c r="K170" i="47"/>
  <c r="K171" i="47"/>
  <c r="C175" i="47"/>
  <c r="C25" i="8" s="1"/>
  <c r="D175" i="47"/>
  <c r="E175" i="47"/>
  <c r="E25" i="8" s="1"/>
  <c r="F175" i="47"/>
  <c r="F25" i="8" s="1"/>
  <c r="G175" i="47"/>
  <c r="G25" i="8" s="1"/>
  <c r="H175" i="47"/>
  <c r="I175" i="47"/>
  <c r="L175" i="47"/>
  <c r="M175" i="47"/>
  <c r="K176" i="47"/>
  <c r="K177" i="47"/>
  <c r="K178" i="47"/>
  <c r="K179" i="47"/>
  <c r="K180" i="47"/>
  <c r="K181" i="47"/>
  <c r="K182" i="47"/>
  <c r="K183" i="47"/>
  <c r="K184" i="47"/>
  <c r="K185" i="47"/>
  <c r="C186" i="47"/>
  <c r="C26" i="8" s="1"/>
  <c r="D186" i="47"/>
  <c r="E186" i="47"/>
  <c r="F186" i="47"/>
  <c r="F26" i="8" s="1"/>
  <c r="G186" i="47"/>
  <c r="G26" i="8" s="1"/>
  <c r="H186" i="47"/>
  <c r="H26" i="8" s="1"/>
  <c r="I186" i="47"/>
  <c r="L186" i="47"/>
  <c r="L26" i="8" s="1"/>
  <c r="Q25" i="28" s="1"/>
  <c r="M186" i="47"/>
  <c r="M26" i="8" s="1"/>
  <c r="R25" i="28" s="1"/>
  <c r="K187" i="47"/>
  <c r="K188" i="47"/>
  <c r="K189" i="47"/>
  <c r="K190" i="47"/>
  <c r="K191" i="47"/>
  <c r="K192" i="47"/>
  <c r="K193" i="47"/>
  <c r="K194" i="47"/>
  <c r="K195" i="47"/>
  <c r="K196" i="47"/>
  <c r="C197" i="47"/>
  <c r="C27" i="8" s="1"/>
  <c r="D197" i="47"/>
  <c r="E197" i="47"/>
  <c r="E27" i="8" s="1"/>
  <c r="F197" i="47"/>
  <c r="F27" i="8" s="1"/>
  <c r="G197" i="47"/>
  <c r="H197" i="47"/>
  <c r="H27" i="8" s="1"/>
  <c r="I197" i="47"/>
  <c r="L197" i="47"/>
  <c r="L27" i="8" s="1"/>
  <c r="Q26" i="28" s="1"/>
  <c r="M197" i="47"/>
  <c r="M27" i="8" s="1"/>
  <c r="R26" i="28" s="1"/>
  <c r="K198" i="47"/>
  <c r="K199" i="47"/>
  <c r="K200" i="47"/>
  <c r="K201" i="47"/>
  <c r="K202" i="47"/>
  <c r="K203" i="47"/>
  <c r="K204" i="47"/>
  <c r="K205" i="47"/>
  <c r="K206" i="47"/>
  <c r="K207" i="47"/>
  <c r="C208" i="47"/>
  <c r="C28" i="8" s="1"/>
  <c r="D28" i="8"/>
  <c r="E208" i="47"/>
  <c r="F208" i="47"/>
  <c r="F28" i="8" s="1"/>
  <c r="G208" i="47"/>
  <c r="H208" i="47"/>
  <c r="I208" i="47"/>
  <c r="J208" i="47" s="1"/>
  <c r="L208" i="47"/>
  <c r="L28" i="8" s="1"/>
  <c r="Q27" i="28" s="1"/>
  <c r="M208" i="47"/>
  <c r="M28" i="8" s="1"/>
  <c r="R27" i="28" s="1"/>
  <c r="K209" i="47"/>
  <c r="K210" i="47"/>
  <c r="K211" i="47"/>
  <c r="K212" i="47"/>
  <c r="K213" i="47"/>
  <c r="K214" i="47"/>
  <c r="K215" i="47"/>
  <c r="K216" i="47"/>
  <c r="K217" i="47"/>
  <c r="K218" i="47"/>
  <c r="C219" i="47"/>
  <c r="C29" i="8" s="1"/>
  <c r="D219" i="47"/>
  <c r="E219" i="47"/>
  <c r="E29" i="8" s="1"/>
  <c r="F219" i="47"/>
  <c r="F29" i="8" s="1"/>
  <c r="G219" i="47"/>
  <c r="G29" i="8" s="1"/>
  <c r="H219" i="47"/>
  <c r="H29" i="8" s="1"/>
  <c r="I219" i="47"/>
  <c r="L219" i="47"/>
  <c r="L29" i="8" s="1"/>
  <c r="Q28" i="28" s="1"/>
  <c r="M219" i="47"/>
  <c r="M29" i="8" s="1"/>
  <c r="R28" i="28" s="1"/>
  <c r="K220" i="47"/>
  <c r="K221" i="47"/>
  <c r="K222" i="47"/>
  <c r="K223" i="47"/>
  <c r="K224" i="47"/>
  <c r="K225" i="47"/>
  <c r="K226" i="47"/>
  <c r="K227" i="47"/>
  <c r="K228" i="47"/>
  <c r="K229" i="47"/>
  <c r="C230" i="47"/>
  <c r="C30" i="8" s="1"/>
  <c r="D230" i="47"/>
  <c r="E230" i="47"/>
  <c r="E30" i="8" s="1"/>
  <c r="F230" i="47"/>
  <c r="F30" i="8" s="1"/>
  <c r="G230" i="47"/>
  <c r="G30" i="8" s="1"/>
  <c r="H230" i="47"/>
  <c r="H30" i="8" s="1"/>
  <c r="I230" i="47"/>
  <c r="L230" i="47"/>
  <c r="L30" i="8" s="1"/>
  <c r="Q29" i="28" s="1"/>
  <c r="M230" i="47"/>
  <c r="M30" i="8" s="1"/>
  <c r="R29" i="28" s="1"/>
  <c r="K231" i="47"/>
  <c r="K232" i="47"/>
  <c r="K233" i="47"/>
  <c r="K234" i="47"/>
  <c r="K235" i="47"/>
  <c r="K236" i="47"/>
  <c r="K237" i="47"/>
  <c r="K238" i="47"/>
  <c r="K239" i="47"/>
  <c r="K240" i="47"/>
  <c r="C241" i="47"/>
  <c r="C31" i="8" s="1"/>
  <c r="D241" i="47"/>
  <c r="E241" i="47"/>
  <c r="E31" i="8" s="1"/>
  <c r="F241" i="47"/>
  <c r="G241" i="47"/>
  <c r="G31" i="8" s="1"/>
  <c r="H241" i="47"/>
  <c r="H31" i="8" s="1"/>
  <c r="I241" i="47"/>
  <c r="L241" i="47"/>
  <c r="L31" i="8" s="1"/>
  <c r="Q30" i="28" s="1"/>
  <c r="M241" i="47"/>
  <c r="M31" i="8" s="1"/>
  <c r="R30" i="28" s="1"/>
  <c r="K242" i="47"/>
  <c r="K243" i="47"/>
  <c r="K244" i="47"/>
  <c r="K245" i="47"/>
  <c r="K246" i="47"/>
  <c r="K247" i="47"/>
  <c r="K248" i="47"/>
  <c r="K249" i="47"/>
  <c r="K250" i="47"/>
  <c r="K251" i="47"/>
  <c r="C252" i="47"/>
  <c r="C32" i="8" s="1"/>
  <c r="D252" i="47"/>
  <c r="E252" i="47"/>
  <c r="E32" i="8" s="1"/>
  <c r="F252" i="47"/>
  <c r="F32" i="8" s="1"/>
  <c r="G252" i="47"/>
  <c r="G32" i="8" s="1"/>
  <c r="H252" i="47"/>
  <c r="H32" i="8" s="1"/>
  <c r="I252" i="47"/>
  <c r="L252" i="47"/>
  <c r="L32" i="8" s="1"/>
  <c r="Q31" i="28" s="1"/>
  <c r="M252" i="47"/>
  <c r="M32" i="8" s="1"/>
  <c r="R31" i="28" s="1"/>
  <c r="K253" i="47"/>
  <c r="K254" i="47"/>
  <c r="K255" i="47"/>
  <c r="K256" i="47"/>
  <c r="K257" i="47"/>
  <c r="K258" i="47"/>
  <c r="K259" i="47"/>
  <c r="K260" i="47"/>
  <c r="K261" i="47"/>
  <c r="K262" i="47"/>
  <c r="C263" i="47"/>
  <c r="C33" i="8" s="1"/>
  <c r="D263" i="47"/>
  <c r="E263" i="47"/>
  <c r="E33" i="8" s="1"/>
  <c r="F263" i="47"/>
  <c r="F33" i="8" s="1"/>
  <c r="G263" i="47"/>
  <c r="G33" i="8" s="1"/>
  <c r="H263" i="47"/>
  <c r="H33" i="8" s="1"/>
  <c r="I263" i="47"/>
  <c r="L263" i="47"/>
  <c r="L33" i="8" s="1"/>
  <c r="Q32" i="28" s="1"/>
  <c r="M263" i="47"/>
  <c r="M33" i="8" s="1"/>
  <c r="R32" i="28" s="1"/>
  <c r="K264" i="47"/>
  <c r="K265" i="47"/>
  <c r="K266" i="47"/>
  <c r="K267" i="47"/>
  <c r="K268" i="47"/>
  <c r="K269" i="47"/>
  <c r="K270" i="47"/>
  <c r="K271" i="47"/>
  <c r="K272" i="47"/>
  <c r="K273" i="47"/>
  <c r="C274" i="47"/>
  <c r="C34" i="8" s="1"/>
  <c r="D274" i="47"/>
  <c r="E274" i="47"/>
  <c r="E34" i="8" s="1"/>
  <c r="F274" i="47"/>
  <c r="F34" i="8" s="1"/>
  <c r="G274" i="47"/>
  <c r="G34" i="8" s="1"/>
  <c r="H274" i="47"/>
  <c r="H34" i="8" s="1"/>
  <c r="I274" i="47"/>
  <c r="L274" i="47"/>
  <c r="L34" i="8" s="1"/>
  <c r="Q33" i="28" s="1"/>
  <c r="M274" i="47"/>
  <c r="M34" i="8" s="1"/>
  <c r="R33" i="28" s="1"/>
  <c r="K275" i="47"/>
  <c r="K276" i="47"/>
  <c r="K277" i="47"/>
  <c r="K278" i="47"/>
  <c r="K279" i="47"/>
  <c r="K280" i="47"/>
  <c r="K281" i="47"/>
  <c r="K282" i="47"/>
  <c r="K283" i="47"/>
  <c r="K284" i="47"/>
  <c r="C285" i="47"/>
  <c r="C35" i="8" s="1"/>
  <c r="D285" i="47"/>
  <c r="E285" i="47"/>
  <c r="E35" i="8" s="1"/>
  <c r="F285" i="47"/>
  <c r="F35" i="8" s="1"/>
  <c r="G285" i="47"/>
  <c r="G35" i="8" s="1"/>
  <c r="H285" i="47"/>
  <c r="H35" i="8" s="1"/>
  <c r="I285" i="47"/>
  <c r="L285" i="47"/>
  <c r="L35" i="8" s="1"/>
  <c r="Q34" i="28" s="1"/>
  <c r="M285" i="47"/>
  <c r="M35" i="8" s="1"/>
  <c r="R34" i="28" s="1"/>
  <c r="K286" i="47"/>
  <c r="K287" i="47"/>
  <c r="K288" i="47"/>
  <c r="K289" i="47"/>
  <c r="K290" i="47"/>
  <c r="K291" i="47"/>
  <c r="K292" i="47"/>
  <c r="K293" i="47"/>
  <c r="K294" i="47"/>
  <c r="K295" i="47"/>
  <c r="C296" i="47"/>
  <c r="C36" i="8" s="1"/>
  <c r="D296" i="47"/>
  <c r="E296" i="47"/>
  <c r="E36" i="8" s="1"/>
  <c r="F296" i="47"/>
  <c r="F36" i="8" s="1"/>
  <c r="G296" i="47"/>
  <c r="G36" i="8" s="1"/>
  <c r="H296" i="47"/>
  <c r="H36" i="8" s="1"/>
  <c r="I296" i="47"/>
  <c r="L296" i="47"/>
  <c r="L36" i="8" s="1"/>
  <c r="Q35" i="28" s="1"/>
  <c r="M296" i="47"/>
  <c r="M36" i="8" s="1"/>
  <c r="R35" i="28" s="1"/>
  <c r="K297" i="47"/>
  <c r="K298" i="47"/>
  <c r="K299" i="47"/>
  <c r="K300" i="47"/>
  <c r="K301" i="47"/>
  <c r="K302" i="47"/>
  <c r="K303" i="47"/>
  <c r="K304" i="47"/>
  <c r="K305" i="47"/>
  <c r="K306" i="47"/>
  <c r="C307" i="47"/>
  <c r="C37" i="8" s="1"/>
  <c r="D307" i="47"/>
  <c r="E307" i="47"/>
  <c r="E37" i="8" s="1"/>
  <c r="F307" i="47"/>
  <c r="F37" i="8" s="1"/>
  <c r="G307" i="47"/>
  <c r="G37" i="8" s="1"/>
  <c r="H307" i="47"/>
  <c r="H37" i="8" s="1"/>
  <c r="I307" i="47"/>
  <c r="L307" i="47"/>
  <c r="L37" i="8" s="1"/>
  <c r="Q36" i="28" s="1"/>
  <c r="M307" i="47"/>
  <c r="M37" i="8" s="1"/>
  <c r="R36" i="28" s="1"/>
  <c r="K308" i="47"/>
  <c r="K309" i="47"/>
  <c r="K310" i="47"/>
  <c r="K311" i="47"/>
  <c r="K312" i="47"/>
  <c r="K313" i="47"/>
  <c r="K314" i="47"/>
  <c r="K315" i="47"/>
  <c r="K316" i="47"/>
  <c r="K317" i="47"/>
  <c r="C318" i="47"/>
  <c r="C38" i="8" s="1"/>
  <c r="D38" i="8"/>
  <c r="E318" i="47"/>
  <c r="E38" i="8" s="1"/>
  <c r="F318" i="47"/>
  <c r="F38" i="8" s="1"/>
  <c r="G318" i="47"/>
  <c r="G38" i="8" s="1"/>
  <c r="H318" i="47"/>
  <c r="H38" i="8" s="1"/>
  <c r="I318" i="47"/>
  <c r="J318" i="47" s="1"/>
  <c r="L318" i="47"/>
  <c r="L38" i="8" s="1"/>
  <c r="Q37" i="28" s="1"/>
  <c r="M318" i="47"/>
  <c r="M38" i="8" s="1"/>
  <c r="R37" i="28" s="1"/>
  <c r="K319" i="47"/>
  <c r="K320" i="47"/>
  <c r="K321" i="47"/>
  <c r="K322" i="47"/>
  <c r="K323" i="47"/>
  <c r="K324" i="47"/>
  <c r="K325" i="47"/>
  <c r="K326" i="47"/>
  <c r="K327" i="47"/>
  <c r="K328" i="47"/>
  <c r="C329" i="47"/>
  <c r="C39" i="8" s="1"/>
  <c r="D329" i="47"/>
  <c r="E329" i="47"/>
  <c r="F329" i="47"/>
  <c r="F39" i="8" s="1"/>
  <c r="G329" i="47"/>
  <c r="G39" i="8" s="1"/>
  <c r="H329" i="47"/>
  <c r="H39" i="8" s="1"/>
  <c r="I329" i="47"/>
  <c r="L329" i="47"/>
  <c r="L39" i="8" s="1"/>
  <c r="Q38" i="28" s="1"/>
  <c r="M329" i="47"/>
  <c r="M39" i="8" s="1"/>
  <c r="R38" i="28" s="1"/>
  <c r="K330" i="47"/>
  <c r="K331" i="47"/>
  <c r="K332" i="47"/>
  <c r="K333" i="47"/>
  <c r="K334" i="47"/>
  <c r="K335" i="47"/>
  <c r="K336" i="47"/>
  <c r="K337" i="47"/>
  <c r="K338" i="47"/>
  <c r="K339" i="47"/>
  <c r="A342" i="47"/>
  <c r="A343" i="47"/>
  <c r="A2" i="8"/>
  <c r="B2" i="8"/>
  <c r="C3" i="8"/>
  <c r="D3" i="8"/>
  <c r="E3" i="8"/>
  <c r="F3" i="8"/>
  <c r="G3" i="8"/>
  <c r="H3" i="8"/>
  <c r="I3" i="8"/>
  <c r="J3" i="8"/>
  <c r="K3" i="8"/>
  <c r="L3" i="8"/>
  <c r="M3" i="8"/>
  <c r="G7" i="8"/>
  <c r="H18" i="8"/>
  <c r="G21" i="8"/>
  <c r="I21" i="8"/>
  <c r="H28" i="8"/>
  <c r="E39" i="8"/>
  <c r="A41" i="8"/>
  <c r="A42" i="8"/>
  <c r="A2" i="46"/>
  <c r="B2" i="46"/>
  <c r="C3" i="46"/>
  <c r="D3" i="46"/>
  <c r="E3" i="46"/>
  <c r="F3" i="46"/>
  <c r="G3" i="46"/>
  <c r="H3" i="46"/>
  <c r="I3" i="46"/>
  <c r="K3" i="46"/>
  <c r="L3" i="46"/>
  <c r="M3" i="46"/>
  <c r="E4" i="46"/>
  <c r="F4" i="46" s="1"/>
  <c r="G4" i="46" s="1"/>
  <c r="H4" i="46" s="1"/>
  <c r="I4" i="46" s="1"/>
  <c r="J4" i="46" s="1"/>
  <c r="K4" i="46" s="1"/>
  <c r="C8" i="46"/>
  <c r="C8" i="9" s="1"/>
  <c r="D8" i="46"/>
  <c r="D8" i="9" s="1"/>
  <c r="E8" i="9"/>
  <c r="F8" i="46"/>
  <c r="F8" i="9" s="1"/>
  <c r="G8" i="46"/>
  <c r="G8" i="9" s="1"/>
  <c r="H8" i="46"/>
  <c r="H8" i="9" s="1"/>
  <c r="I8" i="46"/>
  <c r="L8" i="46"/>
  <c r="L8" i="9" s="1"/>
  <c r="Q7" i="29" s="1"/>
  <c r="M8" i="46"/>
  <c r="M8" i="9" s="1"/>
  <c r="R7" i="29" s="1"/>
  <c r="K9" i="46"/>
  <c r="C25" i="46"/>
  <c r="C10" i="9" s="1"/>
  <c r="D25" i="46"/>
  <c r="D10" i="9" s="1"/>
  <c r="E25" i="46"/>
  <c r="E10" i="9" s="1"/>
  <c r="F25" i="46"/>
  <c r="F10" i="9" s="1"/>
  <c r="G25" i="46"/>
  <c r="G10" i="9" s="1"/>
  <c r="H25" i="46"/>
  <c r="H10" i="9" s="1"/>
  <c r="I25" i="46"/>
  <c r="L25" i="46"/>
  <c r="L10" i="9" s="1"/>
  <c r="Q9" i="29" s="1"/>
  <c r="M25" i="46"/>
  <c r="M10" i="9" s="1"/>
  <c r="C28" i="46"/>
  <c r="D28" i="46"/>
  <c r="D12" i="9" s="1"/>
  <c r="E28" i="46"/>
  <c r="E12" i="9" s="1"/>
  <c r="F28" i="46"/>
  <c r="G28" i="46"/>
  <c r="H28" i="46"/>
  <c r="H12" i="9" s="1"/>
  <c r="I28" i="46"/>
  <c r="L28" i="46"/>
  <c r="L12" i="9" s="1"/>
  <c r="Q11" i="29" s="1"/>
  <c r="M28" i="46"/>
  <c r="M12" i="9" s="1"/>
  <c r="R11" i="29" s="1"/>
  <c r="C56" i="46"/>
  <c r="C14" i="9" s="1"/>
  <c r="D56" i="46"/>
  <c r="D14" i="9" s="1"/>
  <c r="E56" i="46"/>
  <c r="E14" i="9" s="1"/>
  <c r="F56" i="46"/>
  <c r="F14" i="9" s="1"/>
  <c r="G56" i="46"/>
  <c r="G14" i="9" s="1"/>
  <c r="H56" i="46"/>
  <c r="H14" i="9" s="1"/>
  <c r="I56" i="46"/>
  <c r="L56" i="46"/>
  <c r="L14" i="9" s="1"/>
  <c r="Q13" i="29" s="1"/>
  <c r="M56" i="46"/>
  <c r="M14" i="9" s="1"/>
  <c r="R13" i="29" s="1"/>
  <c r="C68" i="46"/>
  <c r="C16" i="9" s="1"/>
  <c r="D68" i="46"/>
  <c r="D16" i="9" s="1"/>
  <c r="E68" i="46"/>
  <c r="E16" i="9" s="1"/>
  <c r="F68" i="46"/>
  <c r="F16" i="9" s="1"/>
  <c r="G68" i="46"/>
  <c r="G16" i="9" s="1"/>
  <c r="H68" i="46"/>
  <c r="H16" i="9" s="1"/>
  <c r="I68" i="46"/>
  <c r="L68" i="46"/>
  <c r="L16" i="9" s="1"/>
  <c r="M68" i="46"/>
  <c r="M16" i="9" s="1"/>
  <c r="R15" i="29" s="1"/>
  <c r="C77" i="46"/>
  <c r="C18" i="9" s="1"/>
  <c r="D77" i="46"/>
  <c r="D18" i="9" s="1"/>
  <c r="E77" i="46"/>
  <c r="E18" i="9" s="1"/>
  <c r="F77" i="46"/>
  <c r="F18" i="9" s="1"/>
  <c r="G77" i="46"/>
  <c r="G18" i="9" s="1"/>
  <c r="H77" i="46"/>
  <c r="H18" i="9" s="1"/>
  <c r="I77" i="46"/>
  <c r="L77" i="46"/>
  <c r="L18" i="9" s="1"/>
  <c r="Q17" i="29" s="1"/>
  <c r="M77" i="46"/>
  <c r="M18" i="9" s="1"/>
  <c r="R17" i="29" s="1"/>
  <c r="C93" i="46"/>
  <c r="C20" i="9" s="1"/>
  <c r="D93" i="46"/>
  <c r="D20" i="9" s="1"/>
  <c r="E20" i="9"/>
  <c r="F93" i="46"/>
  <c r="F20" i="9" s="1"/>
  <c r="G93" i="46"/>
  <c r="G20" i="9" s="1"/>
  <c r="H93" i="46"/>
  <c r="H20" i="9" s="1"/>
  <c r="I93" i="46"/>
  <c r="L93" i="46"/>
  <c r="L20" i="9" s="1"/>
  <c r="Q19" i="29" s="1"/>
  <c r="M93" i="46"/>
  <c r="M20" i="9" s="1"/>
  <c r="R19" i="29" s="1"/>
  <c r="C101" i="46"/>
  <c r="C22" i="9" s="1"/>
  <c r="D101" i="46"/>
  <c r="D22" i="9" s="1"/>
  <c r="E101" i="46"/>
  <c r="E22" i="9" s="1"/>
  <c r="F101" i="46"/>
  <c r="G101" i="46"/>
  <c r="G22" i="9" s="1"/>
  <c r="H101" i="46"/>
  <c r="H22" i="9" s="1"/>
  <c r="I101" i="46"/>
  <c r="L101" i="46"/>
  <c r="L22" i="9" s="1"/>
  <c r="Q21" i="29" s="1"/>
  <c r="M101" i="46"/>
  <c r="M22" i="9" s="1"/>
  <c r="R21" i="29" s="1"/>
  <c r="C105" i="46"/>
  <c r="C23" i="9" s="1"/>
  <c r="D105" i="46"/>
  <c r="D23" i="9" s="1"/>
  <c r="E105" i="46"/>
  <c r="E23" i="9" s="1"/>
  <c r="F105" i="46"/>
  <c r="G105" i="46"/>
  <c r="G23" i="9" s="1"/>
  <c r="H105" i="46"/>
  <c r="H23" i="9" s="1"/>
  <c r="I105" i="46"/>
  <c r="L105" i="46"/>
  <c r="L23" i="9" s="1"/>
  <c r="Q22" i="29" s="1"/>
  <c r="M105" i="46"/>
  <c r="M23" i="9" s="1"/>
  <c r="R22" i="29" s="1"/>
  <c r="C109" i="46"/>
  <c r="C24" i="9" s="1"/>
  <c r="D109" i="46"/>
  <c r="D24" i="9" s="1"/>
  <c r="E109" i="46"/>
  <c r="E24" i="9" s="1"/>
  <c r="F109" i="46"/>
  <c r="F24" i="9" s="1"/>
  <c r="G109" i="46"/>
  <c r="G24" i="9" s="1"/>
  <c r="H109" i="46"/>
  <c r="I109" i="46"/>
  <c r="L109" i="46"/>
  <c r="L24" i="9" s="1"/>
  <c r="M109" i="46"/>
  <c r="M24" i="9" s="1"/>
  <c r="R23" i="29" s="1"/>
  <c r="C119" i="46"/>
  <c r="C26" i="9" s="1"/>
  <c r="D119" i="46"/>
  <c r="D26" i="9" s="1"/>
  <c r="E119" i="46"/>
  <c r="E26" i="9" s="1"/>
  <c r="F119" i="46"/>
  <c r="F26" i="9" s="1"/>
  <c r="G119" i="46"/>
  <c r="G26" i="9" s="1"/>
  <c r="H119" i="46"/>
  <c r="H26" i="9" s="1"/>
  <c r="I119" i="46"/>
  <c r="L119" i="46"/>
  <c r="L26" i="9" s="1"/>
  <c r="Q25" i="29" s="1"/>
  <c r="M119" i="46"/>
  <c r="M26" i="9" s="1"/>
  <c r="R25" i="29" s="1"/>
  <c r="A126" i="46"/>
  <c r="A129" i="46"/>
  <c r="A130" i="46"/>
  <c r="C130" i="46"/>
  <c r="C31" i="9" s="1"/>
  <c r="D130" i="46"/>
  <c r="D31" i="9" s="1"/>
  <c r="E130" i="46"/>
  <c r="E31" i="9" s="1"/>
  <c r="F130" i="46"/>
  <c r="F31" i="9" s="1"/>
  <c r="G130" i="46"/>
  <c r="G31" i="9" s="1"/>
  <c r="H130" i="46"/>
  <c r="H31" i="9" s="1"/>
  <c r="I130" i="46"/>
  <c r="L130" i="46"/>
  <c r="L31" i="9" s="1"/>
  <c r="Q30" i="29" s="1"/>
  <c r="M130" i="46"/>
  <c r="M31" i="9" s="1"/>
  <c r="R30" i="29" s="1"/>
  <c r="A131" i="46"/>
  <c r="A132" i="46"/>
  <c r="A147" i="46"/>
  <c r="C147" i="46"/>
  <c r="C33" i="9" s="1"/>
  <c r="D147" i="46"/>
  <c r="D33" i="9" s="1"/>
  <c r="E147" i="46"/>
  <c r="E33" i="9" s="1"/>
  <c r="F147" i="46"/>
  <c r="F33" i="9" s="1"/>
  <c r="G147" i="46"/>
  <c r="G33" i="9" s="1"/>
  <c r="H147" i="46"/>
  <c r="H33" i="9" s="1"/>
  <c r="I147" i="46"/>
  <c r="L147" i="46"/>
  <c r="L33" i="9" s="1"/>
  <c r="M147" i="46"/>
  <c r="M33" i="9" s="1"/>
  <c r="R32" i="29" s="1"/>
  <c r="A148" i="46"/>
  <c r="A149" i="46"/>
  <c r="A150" i="46"/>
  <c r="C150" i="46"/>
  <c r="C35" i="9" s="1"/>
  <c r="D150" i="46"/>
  <c r="D35" i="9" s="1"/>
  <c r="E150" i="46"/>
  <c r="F150" i="46"/>
  <c r="F35" i="9" s="1"/>
  <c r="G150" i="46"/>
  <c r="G35" i="9" s="1"/>
  <c r="H150" i="46"/>
  <c r="H35" i="9" s="1"/>
  <c r="I150" i="46"/>
  <c r="L150" i="46"/>
  <c r="L35" i="9" s="1"/>
  <c r="Q34" i="29" s="1"/>
  <c r="M150" i="46"/>
  <c r="M35" i="9" s="1"/>
  <c r="R34" i="29" s="1"/>
  <c r="A151" i="46"/>
  <c r="C178" i="46"/>
  <c r="C37" i="9" s="1"/>
  <c r="D178" i="46"/>
  <c r="D37" i="9" s="1"/>
  <c r="E178" i="46"/>
  <c r="E37" i="9" s="1"/>
  <c r="F178" i="46"/>
  <c r="F37" i="9" s="1"/>
  <c r="G178" i="46"/>
  <c r="G37" i="9" s="1"/>
  <c r="H178" i="46"/>
  <c r="H37" i="9" s="1"/>
  <c r="I178" i="46"/>
  <c r="J178" i="46" s="1"/>
  <c r="L178" i="46"/>
  <c r="L37" i="9" s="1"/>
  <c r="Q36" i="29" s="1"/>
  <c r="M178" i="46"/>
  <c r="M37" i="9" s="1"/>
  <c r="R36" i="29" s="1"/>
  <c r="A187" i="46"/>
  <c r="C190" i="46"/>
  <c r="C39" i="9" s="1"/>
  <c r="D190" i="46"/>
  <c r="D39" i="9" s="1"/>
  <c r="E190" i="46"/>
  <c r="E39" i="9" s="1"/>
  <c r="F190" i="46"/>
  <c r="F39" i="9" s="1"/>
  <c r="G190" i="46"/>
  <c r="G39" i="9" s="1"/>
  <c r="H190" i="46"/>
  <c r="H39" i="9" s="1"/>
  <c r="I190" i="46"/>
  <c r="L190" i="46"/>
  <c r="L39" i="9" s="1"/>
  <c r="Q38" i="29" s="1"/>
  <c r="M190" i="46"/>
  <c r="M39" i="9" s="1"/>
  <c r="R38" i="29" s="1"/>
  <c r="A198" i="46"/>
  <c r="A199" i="46"/>
  <c r="C199" i="46"/>
  <c r="C41" i="9" s="1"/>
  <c r="D199" i="46"/>
  <c r="D41" i="9" s="1"/>
  <c r="E199" i="46"/>
  <c r="F199" i="46"/>
  <c r="G199" i="46"/>
  <c r="G41" i="9" s="1"/>
  <c r="H199" i="46"/>
  <c r="I199" i="46"/>
  <c r="J199" i="46" s="1"/>
  <c r="L199" i="46"/>
  <c r="L41" i="9" s="1"/>
  <c r="Q40" i="29" s="1"/>
  <c r="M199" i="46"/>
  <c r="M41" i="9" s="1"/>
  <c r="A210" i="46"/>
  <c r="C210" i="46"/>
  <c r="D210" i="46"/>
  <c r="D42" i="9" s="1"/>
  <c r="E210" i="46"/>
  <c r="E42" i="9" s="1"/>
  <c r="F210" i="46"/>
  <c r="F42" i="9" s="1"/>
  <c r="G210" i="46"/>
  <c r="G42" i="9" s="1"/>
  <c r="H210" i="46"/>
  <c r="H42" i="9" s="1"/>
  <c r="I210" i="46"/>
  <c r="L210" i="46"/>
  <c r="L42" i="9" s="1"/>
  <c r="Q41" i="29" s="1"/>
  <c r="M210" i="46"/>
  <c r="M42" i="9" s="1"/>
  <c r="R41" i="29" s="1"/>
  <c r="A211" i="46"/>
  <c r="A213" i="46"/>
  <c r="A214" i="46"/>
  <c r="A215" i="46"/>
  <c r="C215" i="46"/>
  <c r="C43" i="9" s="1"/>
  <c r="D215" i="46"/>
  <c r="D43" i="9" s="1"/>
  <c r="E215" i="46"/>
  <c r="F215" i="46"/>
  <c r="F43" i="9" s="1"/>
  <c r="G215" i="46"/>
  <c r="H215" i="46"/>
  <c r="H43" i="9" s="1"/>
  <c r="I215" i="46"/>
  <c r="L215" i="46"/>
  <c r="L43" i="9" s="1"/>
  <c r="Q42" i="29" s="1"/>
  <c r="M215" i="46"/>
  <c r="M43" i="9" s="1"/>
  <c r="R42" i="29" s="1"/>
  <c r="A216" i="46"/>
  <c r="A217" i="46"/>
  <c r="A221" i="46"/>
  <c r="A222" i="46"/>
  <c r="A223" i="46"/>
  <c r="C223" i="46"/>
  <c r="C45" i="9" s="1"/>
  <c r="D223" i="46"/>
  <c r="D45" i="9" s="1"/>
  <c r="E223" i="46"/>
  <c r="E45" i="9" s="1"/>
  <c r="F223" i="46"/>
  <c r="G223" i="46"/>
  <c r="G45" i="9" s="1"/>
  <c r="H223" i="46"/>
  <c r="H45" i="9" s="1"/>
  <c r="I223" i="46"/>
  <c r="L223" i="46"/>
  <c r="L45" i="9" s="1"/>
  <c r="Q44" i="29" s="1"/>
  <c r="M223" i="46"/>
  <c r="A224" i="46"/>
  <c r="A226" i="46"/>
  <c r="A227" i="46"/>
  <c r="C227" i="46"/>
  <c r="C46" i="9" s="1"/>
  <c r="D227" i="46"/>
  <c r="D46" i="9" s="1"/>
  <c r="E227" i="46"/>
  <c r="F227" i="46"/>
  <c r="F46" i="9" s="1"/>
  <c r="G227" i="46"/>
  <c r="G46" i="9" s="1"/>
  <c r="H227" i="46"/>
  <c r="H46" i="9" s="1"/>
  <c r="I227" i="46"/>
  <c r="L227" i="46"/>
  <c r="L46" i="9" s="1"/>
  <c r="Q45" i="29" s="1"/>
  <c r="M227" i="46"/>
  <c r="M46" i="9" s="1"/>
  <c r="R45" i="29" s="1"/>
  <c r="A228" i="46"/>
  <c r="A230" i="46"/>
  <c r="A231" i="46"/>
  <c r="C231" i="46"/>
  <c r="C47" i="9" s="1"/>
  <c r="D231" i="46"/>
  <c r="D47" i="9" s="1"/>
  <c r="E231" i="46"/>
  <c r="E47" i="9" s="1"/>
  <c r="F231" i="46"/>
  <c r="F47" i="9" s="1"/>
  <c r="G231" i="46"/>
  <c r="G47" i="9" s="1"/>
  <c r="H231" i="46"/>
  <c r="I231" i="46"/>
  <c r="L231" i="46"/>
  <c r="L47" i="9" s="1"/>
  <c r="Q46" i="29" s="1"/>
  <c r="M231" i="46"/>
  <c r="M47" i="9" s="1"/>
  <c r="R46" i="29" s="1"/>
  <c r="A232" i="46"/>
  <c r="A233" i="46"/>
  <c r="A235" i="46"/>
  <c r="A236" i="46"/>
  <c r="A237" i="46"/>
  <c r="C241" i="46"/>
  <c r="C49" i="9" s="1"/>
  <c r="D241" i="46"/>
  <c r="D49" i="9" s="1"/>
  <c r="E241" i="46"/>
  <c r="E49" i="9" s="1"/>
  <c r="F241" i="46"/>
  <c r="F49" i="9" s="1"/>
  <c r="G241" i="46"/>
  <c r="G49" i="9" s="1"/>
  <c r="H241" i="46"/>
  <c r="H49" i="9" s="1"/>
  <c r="I241" i="46"/>
  <c r="L241" i="46"/>
  <c r="L49" i="9" s="1"/>
  <c r="Q48" i="29" s="1"/>
  <c r="M241" i="46"/>
  <c r="M49" i="9" s="1"/>
  <c r="R48" i="29" s="1"/>
  <c r="A248" i="46"/>
  <c r="A249" i="46"/>
  <c r="A250" i="46"/>
  <c r="G32" i="9"/>
  <c r="E38" i="9"/>
  <c r="B9" i="7"/>
  <c r="D9" i="7"/>
  <c r="E9" i="7"/>
  <c r="F9" i="7"/>
  <c r="G9" i="7"/>
  <c r="H9" i="7"/>
  <c r="K9" i="7"/>
  <c r="L9" i="7"/>
  <c r="B10" i="7"/>
  <c r="D10" i="7"/>
  <c r="E10" i="7"/>
  <c r="F10" i="7"/>
  <c r="G10" i="7"/>
  <c r="H10" i="7"/>
  <c r="K10" i="7"/>
  <c r="L10" i="7"/>
  <c r="B14" i="7"/>
  <c r="D14" i="7"/>
  <c r="E14" i="7"/>
  <c r="F14" i="7"/>
  <c r="G14" i="7"/>
  <c r="H14" i="7"/>
  <c r="K14" i="7"/>
  <c r="L14" i="7"/>
  <c r="B16" i="7"/>
  <c r="D16" i="7"/>
  <c r="E16" i="7"/>
  <c r="F16" i="7"/>
  <c r="G16" i="7"/>
  <c r="H16" i="7"/>
  <c r="K16" i="7"/>
  <c r="L16" i="7"/>
  <c r="B18" i="7"/>
  <c r="D18" i="7"/>
  <c r="E18" i="7"/>
  <c r="F18" i="7"/>
  <c r="G18" i="7"/>
  <c r="H18" i="7"/>
  <c r="K18" i="7"/>
  <c r="L18" i="7"/>
  <c r="B22" i="7"/>
  <c r="D22" i="7"/>
  <c r="E22" i="7"/>
  <c r="F22" i="7"/>
  <c r="G22" i="7"/>
  <c r="H22" i="7"/>
  <c r="K22" i="7"/>
  <c r="L22" i="7"/>
  <c r="B23" i="7"/>
  <c r="D23" i="7"/>
  <c r="E23" i="7"/>
  <c r="F23" i="7"/>
  <c r="G23" i="7"/>
  <c r="H23" i="7"/>
  <c r="K23" i="7"/>
  <c r="L23" i="7"/>
  <c r="B25" i="7"/>
  <c r="D25" i="7"/>
  <c r="E25" i="7"/>
  <c r="F25" i="7"/>
  <c r="G25" i="7"/>
  <c r="H25" i="7"/>
  <c r="K25" i="7"/>
  <c r="L25" i="7"/>
  <c r="B32" i="7"/>
  <c r="D32" i="7"/>
  <c r="E32" i="7"/>
  <c r="F32" i="7"/>
  <c r="G32" i="7"/>
  <c r="H32" i="7"/>
  <c r="K32" i="7"/>
  <c r="L32" i="7"/>
  <c r="B33" i="7"/>
  <c r="D33" i="7"/>
  <c r="E33" i="7"/>
  <c r="F33" i="7"/>
  <c r="G33" i="7"/>
  <c r="H33" i="7"/>
  <c r="K33" i="7"/>
  <c r="L33" i="7"/>
  <c r="D44" i="7"/>
  <c r="D46" i="7"/>
  <c r="E46" i="7"/>
  <c r="B64" i="7"/>
  <c r="E64" i="7"/>
  <c r="G64" i="7"/>
  <c r="K64" i="7"/>
  <c r="L64" i="7"/>
  <c r="C65" i="7"/>
  <c r="G65" i="7"/>
  <c r="K65" i="7"/>
  <c r="E66" i="7"/>
  <c r="F66" i="7"/>
  <c r="E67" i="7"/>
  <c r="F67" i="7"/>
  <c r="G67" i="7"/>
  <c r="H67" i="7"/>
  <c r="K67" i="7"/>
  <c r="L67" i="7"/>
  <c r="A7" i="47"/>
  <c r="A175" i="47" s="1"/>
  <c r="A25" i="8" s="1"/>
  <c r="A24" i="28" s="1"/>
  <c r="A19" i="48"/>
  <c r="A9" i="11" s="1"/>
  <c r="A7" i="32" s="1"/>
  <c r="A25" i="32" s="1"/>
  <c r="A4" i="51"/>
  <c r="A30" i="48" s="1"/>
  <c r="A10" i="11" s="1"/>
  <c r="A8" i="32" s="1"/>
  <c r="A26" i="32" s="1"/>
  <c r="D4" i="51"/>
  <c r="A10" i="48" s="1"/>
  <c r="A179" i="48" s="1"/>
  <c r="A5" i="51"/>
  <c r="A40" i="47" s="1"/>
  <c r="D5" i="51"/>
  <c r="A11" i="48" s="1"/>
  <c r="A180" i="48" s="1"/>
  <c r="A6" i="51"/>
  <c r="A51" i="47" s="1"/>
  <c r="A11" i="8" s="1"/>
  <c r="A10" i="28" s="1"/>
  <c r="D6" i="51"/>
  <c r="A12" i="48" s="1"/>
  <c r="A181" i="48" s="1"/>
  <c r="A7" i="51"/>
  <c r="A63" i="48" s="1"/>
  <c r="A13" i="11" s="1"/>
  <c r="A11" i="32" s="1"/>
  <c r="A29" i="32" s="1"/>
  <c r="D7" i="51"/>
  <c r="A13" i="48" s="1"/>
  <c r="A182" i="48" s="1"/>
  <c r="A8" i="51"/>
  <c r="A74" i="48" s="1"/>
  <c r="A14" i="11" s="1"/>
  <c r="A12" i="32" s="1"/>
  <c r="A30" i="32" s="1"/>
  <c r="D8" i="51"/>
  <c r="A14" i="48" s="1"/>
  <c r="A183" i="48" s="1"/>
  <c r="A9" i="51"/>
  <c r="D9" i="51"/>
  <c r="A15" i="48" s="1"/>
  <c r="A184" i="48" s="1"/>
  <c r="A96" i="48"/>
  <c r="A265" i="48" s="1"/>
  <c r="A34" i="11" s="1"/>
  <c r="D10" i="51"/>
  <c r="A16" i="48" s="1"/>
  <c r="A185" i="48" s="1"/>
  <c r="A11" i="51"/>
  <c r="A107" i="48" s="1"/>
  <c r="A276" i="48" s="1"/>
  <c r="A35" i="11" s="1"/>
  <c r="D11" i="51"/>
  <c r="A17" i="48" s="1"/>
  <c r="A186" i="48" s="1"/>
  <c r="A12" i="51"/>
  <c r="A118" i="48" s="1"/>
  <c r="D12" i="51"/>
  <c r="A18" i="48" s="1"/>
  <c r="A187" i="48" s="1"/>
  <c r="A13" i="51"/>
  <c r="A128" i="47" s="1"/>
  <c r="A296" i="47" s="1"/>
  <c r="A36" i="8" s="1"/>
  <c r="A35" i="28" s="1"/>
  <c r="A14" i="51"/>
  <c r="A139" i="47" s="1"/>
  <c r="D14" i="51"/>
  <c r="A20" i="48" s="1"/>
  <c r="A189" i="48" s="1"/>
  <c r="A15" i="51"/>
  <c r="A150" i="47" s="1"/>
  <c r="D15" i="51"/>
  <c r="A21" i="48" s="1"/>
  <c r="A190" i="48" s="1"/>
  <c r="A16" i="51"/>
  <c r="A162" i="48" s="1"/>
  <c r="A331" i="48" s="1"/>
  <c r="A40" i="11" s="1"/>
  <c r="D16" i="51"/>
  <c r="A22" i="48" s="1"/>
  <c r="A191" i="48" s="1"/>
  <c r="D17" i="51"/>
  <c r="A23" i="48" s="1"/>
  <c r="A192" i="48" s="1"/>
  <c r="D18" i="51"/>
  <c r="A24" i="48" s="1"/>
  <c r="A193" i="48" s="1"/>
  <c r="D19" i="51"/>
  <c r="A25" i="48" s="1"/>
  <c r="A194" i="48" s="1"/>
  <c r="D20" i="51"/>
  <c r="A26" i="48" s="1"/>
  <c r="A195" i="48" s="1"/>
  <c r="D21" i="51"/>
  <c r="A27" i="48" s="1"/>
  <c r="A196" i="48" s="1"/>
  <c r="D22" i="51"/>
  <c r="A28" i="48" s="1"/>
  <c r="A197" i="48" s="1"/>
  <c r="D23" i="51"/>
  <c r="A29" i="48" s="1"/>
  <c r="A198" i="48" s="1"/>
  <c r="D25" i="51"/>
  <c r="A31" i="48" s="1"/>
  <c r="A200" i="48" s="1"/>
  <c r="D26" i="51"/>
  <c r="A32" i="48" s="1"/>
  <c r="A201" i="48" s="1"/>
  <c r="D27" i="51"/>
  <c r="A33" i="48" s="1"/>
  <c r="A202" i="48" s="1"/>
  <c r="D28" i="51"/>
  <c r="A34" i="48" s="1"/>
  <c r="A203" i="48" s="1"/>
  <c r="D29" i="51"/>
  <c r="A35" i="48" s="1"/>
  <c r="A204" i="48" s="1"/>
  <c r="D30" i="51"/>
  <c r="A36" i="48" s="1"/>
  <c r="A205" i="48" s="1"/>
  <c r="D31" i="51"/>
  <c r="A37" i="48" s="1"/>
  <c r="A206" i="48" s="1"/>
  <c r="D32" i="51"/>
  <c r="A38" i="48" s="1"/>
  <c r="A207" i="48" s="1"/>
  <c r="D33" i="51"/>
  <c r="A39" i="48" s="1"/>
  <c r="A208" i="48" s="1"/>
  <c r="D34" i="51"/>
  <c r="A40" i="48" s="1"/>
  <c r="A209" i="48" s="1"/>
  <c r="D36" i="51"/>
  <c r="A42" i="48" s="1"/>
  <c r="A211" i="48" s="1"/>
  <c r="D37" i="51"/>
  <c r="A43" i="48" s="1"/>
  <c r="A212" i="48" s="1"/>
  <c r="D38" i="51"/>
  <c r="A44" i="48" s="1"/>
  <c r="A213" i="48" s="1"/>
  <c r="D39" i="51"/>
  <c r="A45" i="48" s="1"/>
  <c r="A214" i="48" s="1"/>
  <c r="D40" i="51"/>
  <c r="A46" i="48" s="1"/>
  <c r="A215" i="48" s="1"/>
  <c r="D41" i="51"/>
  <c r="A47" i="48" s="1"/>
  <c r="A216" i="48" s="1"/>
  <c r="D42" i="51"/>
  <c r="A48" i="48" s="1"/>
  <c r="A217" i="48" s="1"/>
  <c r="D43" i="51"/>
  <c r="A49" i="48" s="1"/>
  <c r="A218" i="48" s="1"/>
  <c r="D44" i="51"/>
  <c r="A50" i="48" s="1"/>
  <c r="A219" i="48" s="1"/>
  <c r="D45" i="51"/>
  <c r="A51" i="48" s="1"/>
  <c r="A220" i="48" s="1"/>
  <c r="D47" i="51"/>
  <c r="A53" i="48" s="1"/>
  <c r="A222" i="48" s="1"/>
  <c r="D48" i="51"/>
  <c r="A54" i="48" s="1"/>
  <c r="A223" i="48" s="1"/>
  <c r="D49" i="51"/>
  <c r="A55" i="48" s="1"/>
  <c r="A224" i="48" s="1"/>
  <c r="D50" i="51"/>
  <c r="A56" i="48" s="1"/>
  <c r="A225" i="48" s="1"/>
  <c r="D51" i="51"/>
  <c r="A57" i="48" s="1"/>
  <c r="A226" i="48" s="1"/>
  <c r="D52" i="51"/>
  <c r="A58" i="48" s="1"/>
  <c r="A227" i="48" s="1"/>
  <c r="D53" i="51"/>
  <c r="A59" i="48" s="1"/>
  <c r="A228" i="48" s="1"/>
  <c r="D54" i="51"/>
  <c r="A60" i="48" s="1"/>
  <c r="A229" i="48" s="1"/>
  <c r="D55" i="51"/>
  <c r="A61" i="48" s="1"/>
  <c r="A230" i="48" s="1"/>
  <c r="D56" i="51"/>
  <c r="A62" i="48" s="1"/>
  <c r="A231" i="48" s="1"/>
  <c r="D58" i="51"/>
  <c r="A64" i="48" s="1"/>
  <c r="A233" i="48" s="1"/>
  <c r="D59" i="51"/>
  <c r="A65" i="48" s="1"/>
  <c r="A234" i="48" s="1"/>
  <c r="D60" i="51"/>
  <c r="A66" i="48" s="1"/>
  <c r="A235" i="48" s="1"/>
  <c r="D61" i="51"/>
  <c r="A67" i="48" s="1"/>
  <c r="A236" i="48" s="1"/>
  <c r="D62" i="51"/>
  <c r="A68" i="48" s="1"/>
  <c r="A237" i="48" s="1"/>
  <c r="D63" i="51"/>
  <c r="A69" i="48" s="1"/>
  <c r="A238" i="48" s="1"/>
  <c r="D64" i="51"/>
  <c r="A70" i="48" s="1"/>
  <c r="A239" i="48" s="1"/>
  <c r="D65" i="51"/>
  <c r="A71" i="48" s="1"/>
  <c r="A240" i="48" s="1"/>
  <c r="D66" i="51"/>
  <c r="A72" i="48" s="1"/>
  <c r="A241" i="48" s="1"/>
  <c r="D67" i="51"/>
  <c r="A73" i="48" s="1"/>
  <c r="A242" i="48" s="1"/>
  <c r="D69" i="51"/>
  <c r="A75" i="48" s="1"/>
  <c r="A244" i="48" s="1"/>
  <c r="D70" i="51"/>
  <c r="A76" i="48" s="1"/>
  <c r="A245" i="48" s="1"/>
  <c r="D71" i="51"/>
  <c r="A77" i="48" s="1"/>
  <c r="A246" i="48" s="1"/>
  <c r="D72" i="51"/>
  <c r="A78" i="48" s="1"/>
  <c r="A247" i="48" s="1"/>
  <c r="D73" i="51"/>
  <c r="A79" i="48" s="1"/>
  <c r="A248" i="48" s="1"/>
  <c r="D74" i="51"/>
  <c r="A80" i="48" s="1"/>
  <c r="A249" i="48" s="1"/>
  <c r="D75" i="51"/>
  <c r="A81" i="48" s="1"/>
  <c r="A250" i="48" s="1"/>
  <c r="D76" i="51"/>
  <c r="A82" i="48" s="1"/>
  <c r="A251" i="48" s="1"/>
  <c r="D77" i="51"/>
  <c r="A83" i="48" s="1"/>
  <c r="A252" i="48" s="1"/>
  <c r="D78" i="51"/>
  <c r="A84" i="48" s="1"/>
  <c r="A253" i="48" s="1"/>
  <c r="D80" i="51"/>
  <c r="A86" i="48" s="1"/>
  <c r="A255" i="48" s="1"/>
  <c r="D81" i="51"/>
  <c r="A87" i="48" s="1"/>
  <c r="A256" i="48" s="1"/>
  <c r="D82" i="51"/>
  <c r="A88" i="48" s="1"/>
  <c r="A257" i="48" s="1"/>
  <c r="D83" i="51"/>
  <c r="A89" i="48" s="1"/>
  <c r="A258" i="48" s="1"/>
  <c r="D84" i="51"/>
  <c r="A90" i="48" s="1"/>
  <c r="A259" i="48" s="1"/>
  <c r="D85" i="51"/>
  <c r="A91" i="48" s="1"/>
  <c r="A260" i="48" s="1"/>
  <c r="D86" i="51"/>
  <c r="A92" i="48" s="1"/>
  <c r="A261" i="48" s="1"/>
  <c r="D87" i="51"/>
  <c r="A93" i="48" s="1"/>
  <c r="A262" i="48" s="1"/>
  <c r="D88" i="51"/>
  <c r="A94" i="48" s="1"/>
  <c r="A263" i="48" s="1"/>
  <c r="D89" i="51"/>
  <c r="A95" i="48" s="1"/>
  <c r="A264" i="48" s="1"/>
  <c r="D91" i="51"/>
  <c r="A97" i="48" s="1"/>
  <c r="A266" i="48" s="1"/>
  <c r="D92" i="51"/>
  <c r="A98" i="48" s="1"/>
  <c r="A267" i="48" s="1"/>
  <c r="D93" i="51"/>
  <c r="A99" i="48" s="1"/>
  <c r="A268" i="48" s="1"/>
  <c r="D94" i="51"/>
  <c r="A100" i="48" s="1"/>
  <c r="A269" i="48" s="1"/>
  <c r="D95" i="51"/>
  <c r="A101" i="48" s="1"/>
  <c r="A270" i="48" s="1"/>
  <c r="D96" i="51"/>
  <c r="A102" i="48" s="1"/>
  <c r="A271" i="48" s="1"/>
  <c r="D97" i="51"/>
  <c r="A103" i="48" s="1"/>
  <c r="A272" i="48" s="1"/>
  <c r="D98" i="51"/>
  <c r="A104" i="48" s="1"/>
  <c r="A273" i="48" s="1"/>
  <c r="D99" i="51"/>
  <c r="A105" i="48" s="1"/>
  <c r="A274" i="48" s="1"/>
  <c r="D100" i="51"/>
  <c r="A106" i="48" s="1"/>
  <c r="A275" i="48" s="1"/>
  <c r="D102" i="51"/>
  <c r="A108" i="48" s="1"/>
  <c r="A277" i="48" s="1"/>
  <c r="D103" i="51"/>
  <c r="A109" i="48" s="1"/>
  <c r="A278" i="48" s="1"/>
  <c r="D104" i="51"/>
  <c r="A110" i="48" s="1"/>
  <c r="A279" i="48" s="1"/>
  <c r="D105" i="51"/>
  <c r="A111" i="48" s="1"/>
  <c r="A280" i="48" s="1"/>
  <c r="D106" i="51"/>
  <c r="A112" i="48" s="1"/>
  <c r="A281" i="48" s="1"/>
  <c r="D107" i="51"/>
  <c r="A113" i="48" s="1"/>
  <c r="A282" i="48" s="1"/>
  <c r="D108" i="51"/>
  <c r="A114" i="48" s="1"/>
  <c r="A283" i="48" s="1"/>
  <c r="D109" i="51"/>
  <c r="A115" i="48" s="1"/>
  <c r="A284" i="48" s="1"/>
  <c r="D110" i="51"/>
  <c r="A116" i="48" s="1"/>
  <c r="A285" i="48" s="1"/>
  <c r="D111" i="51"/>
  <c r="A117" i="48" s="1"/>
  <c r="A286" i="48" s="1"/>
  <c r="D113" i="51"/>
  <c r="A119" i="48" s="1"/>
  <c r="A288" i="48" s="1"/>
  <c r="D114" i="51"/>
  <c r="A120" i="48" s="1"/>
  <c r="A289" i="48" s="1"/>
  <c r="D115" i="51"/>
  <c r="A121" i="48" s="1"/>
  <c r="A290" i="48" s="1"/>
  <c r="D116" i="51"/>
  <c r="A122" i="48" s="1"/>
  <c r="A291" i="48" s="1"/>
  <c r="D117" i="51"/>
  <c r="A123" i="48" s="1"/>
  <c r="A292" i="48" s="1"/>
  <c r="D118" i="51"/>
  <c r="A124" i="48" s="1"/>
  <c r="A293" i="48" s="1"/>
  <c r="D119" i="51"/>
  <c r="A125" i="48" s="1"/>
  <c r="A294" i="48" s="1"/>
  <c r="D120" i="51"/>
  <c r="A126" i="48" s="1"/>
  <c r="A295" i="48" s="1"/>
  <c r="D121" i="51"/>
  <c r="A127" i="48" s="1"/>
  <c r="A296" i="48" s="1"/>
  <c r="D122" i="51"/>
  <c r="A128" i="48" s="1"/>
  <c r="A297" i="48" s="1"/>
  <c r="D124" i="51"/>
  <c r="A130" i="48" s="1"/>
  <c r="A299" i="48" s="1"/>
  <c r="D125" i="51"/>
  <c r="A131" i="48" s="1"/>
  <c r="A300" i="48" s="1"/>
  <c r="D126" i="51"/>
  <c r="A132" i="48" s="1"/>
  <c r="A301" i="48" s="1"/>
  <c r="D127" i="51"/>
  <c r="A133" i="48" s="1"/>
  <c r="A302" i="48" s="1"/>
  <c r="D128" i="51"/>
  <c r="A134" i="48" s="1"/>
  <c r="A303" i="48" s="1"/>
  <c r="D129" i="51"/>
  <c r="A135" i="48" s="1"/>
  <c r="A304" i="48" s="1"/>
  <c r="D130" i="51"/>
  <c r="A136" i="48" s="1"/>
  <c r="A305" i="48" s="1"/>
  <c r="D131" i="51"/>
  <c r="A137" i="48" s="1"/>
  <c r="A306" i="48" s="1"/>
  <c r="D132" i="51"/>
  <c r="A138" i="48" s="1"/>
  <c r="A307" i="48" s="1"/>
  <c r="D133" i="51"/>
  <c r="A139" i="48" s="1"/>
  <c r="A308" i="48" s="1"/>
  <c r="D135" i="51"/>
  <c r="A141" i="48" s="1"/>
  <c r="A310" i="48" s="1"/>
  <c r="D136" i="51"/>
  <c r="A142" i="48" s="1"/>
  <c r="A311" i="48" s="1"/>
  <c r="D137" i="51"/>
  <c r="A143" i="48" s="1"/>
  <c r="A312" i="48" s="1"/>
  <c r="D138" i="51"/>
  <c r="A144" i="48" s="1"/>
  <c r="A313" i="48" s="1"/>
  <c r="D139" i="51"/>
  <c r="A145" i="48" s="1"/>
  <c r="A314" i="48" s="1"/>
  <c r="D140" i="51"/>
  <c r="A146" i="48" s="1"/>
  <c r="A315" i="48" s="1"/>
  <c r="D141" i="51"/>
  <c r="A147" i="48" s="1"/>
  <c r="A316" i="48" s="1"/>
  <c r="D142" i="51"/>
  <c r="A148" i="48" s="1"/>
  <c r="A317" i="48" s="1"/>
  <c r="D143" i="51"/>
  <c r="A149" i="48" s="1"/>
  <c r="A318" i="48" s="1"/>
  <c r="D144" i="51"/>
  <c r="A150" i="48" s="1"/>
  <c r="A319" i="48" s="1"/>
  <c r="D146" i="51"/>
  <c r="A152" i="48" s="1"/>
  <c r="A321" i="48" s="1"/>
  <c r="D147" i="51"/>
  <c r="A153" i="48" s="1"/>
  <c r="A322" i="48" s="1"/>
  <c r="D148" i="51"/>
  <c r="A154" i="48" s="1"/>
  <c r="A323" i="48" s="1"/>
  <c r="D149" i="51"/>
  <c r="A155" i="48" s="1"/>
  <c r="A324" i="48" s="1"/>
  <c r="D150" i="51"/>
  <c r="A156" i="48" s="1"/>
  <c r="A325" i="48" s="1"/>
  <c r="D151" i="51"/>
  <c r="A157" i="48" s="1"/>
  <c r="A326" i="48" s="1"/>
  <c r="D152" i="51"/>
  <c r="A158" i="48" s="1"/>
  <c r="A327" i="48" s="1"/>
  <c r="D153" i="51"/>
  <c r="A159" i="48" s="1"/>
  <c r="A328" i="48" s="1"/>
  <c r="D154" i="51"/>
  <c r="A160" i="48" s="1"/>
  <c r="A329" i="48" s="1"/>
  <c r="D155" i="51"/>
  <c r="A161" i="48" s="1"/>
  <c r="A330" i="48" s="1"/>
  <c r="D157" i="51"/>
  <c r="A163" i="48" s="1"/>
  <c r="A332" i="48" s="1"/>
  <c r="D158" i="51"/>
  <c r="A164" i="48" s="1"/>
  <c r="A333" i="48" s="1"/>
  <c r="D159" i="51"/>
  <c r="A165" i="48" s="1"/>
  <c r="A334" i="48" s="1"/>
  <c r="D160" i="51"/>
  <c r="A166" i="48" s="1"/>
  <c r="A335" i="48" s="1"/>
  <c r="D161" i="51"/>
  <c r="A167" i="48" s="1"/>
  <c r="A336" i="48" s="1"/>
  <c r="D162" i="51"/>
  <c r="A168" i="48" s="1"/>
  <c r="A337" i="48" s="1"/>
  <c r="D163" i="51"/>
  <c r="A169" i="48" s="1"/>
  <c r="A338" i="48" s="1"/>
  <c r="D164" i="51"/>
  <c r="A170" i="48" s="1"/>
  <c r="A339" i="48" s="1"/>
  <c r="D165" i="51"/>
  <c r="A171" i="48" s="1"/>
  <c r="A340" i="48" s="1"/>
  <c r="D166" i="51"/>
  <c r="A172" i="48" s="1"/>
  <c r="A341" i="48" s="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F67" i="39"/>
  <c r="F68" i="39"/>
  <c r="E69" i="39"/>
  <c r="F70" i="39"/>
  <c r="E70" i="39" s="1"/>
  <c r="F71" i="39"/>
  <c r="E71" i="39" s="1"/>
  <c r="F72" i="39"/>
  <c r="E72" i="39" s="1"/>
  <c r="F73" i="39"/>
  <c r="E73" i="39" s="1"/>
  <c r="F74" i="39"/>
  <c r="E74" i="39" s="1"/>
  <c r="F75" i="39"/>
  <c r="E75" i="39" s="1"/>
  <c r="F76" i="39"/>
  <c r="E76" i="39" s="1"/>
  <c r="D77" i="39"/>
  <c r="F77" i="39"/>
  <c r="E77" i="39" s="1"/>
  <c r="D78" i="39"/>
  <c r="F78" i="39"/>
  <c r="E78" i="39" s="1"/>
  <c r="D79" i="39"/>
  <c r="F79" i="39"/>
  <c r="E79" i="39" s="1"/>
  <c r="D80" i="39"/>
  <c r="F80" i="39"/>
  <c r="E80" i="39" s="1"/>
  <c r="D81" i="39"/>
  <c r="F81" i="39"/>
  <c r="E81" i="39" s="1"/>
  <c r="D82" i="39"/>
  <c r="F82" i="39"/>
  <c r="E82" i="39" s="1"/>
  <c r="D83" i="39"/>
  <c r="F83" i="39"/>
  <c r="E83" i="39" s="1"/>
  <c r="D84" i="39"/>
  <c r="F84" i="39"/>
  <c r="E84" i="39" s="1"/>
  <c r="D85" i="39"/>
  <c r="F85" i="39"/>
  <c r="E85" i="39" s="1"/>
  <c r="D86" i="39"/>
  <c r="F86" i="39"/>
  <c r="E86" i="39" s="1"/>
  <c r="D87" i="39"/>
  <c r="F87" i="39"/>
  <c r="E87" i="39" s="1"/>
  <c r="D88" i="39"/>
  <c r="F88" i="39"/>
  <c r="E88" i="39" s="1"/>
  <c r="D89" i="39"/>
  <c r="E89" i="39"/>
  <c r="D90" i="39"/>
  <c r="F90" i="39"/>
  <c r="E90" i="39" s="1"/>
  <c r="D91" i="39"/>
  <c r="F91" i="39"/>
  <c r="E91" i="39" s="1"/>
  <c r="D92" i="39"/>
  <c r="F92" i="39"/>
  <c r="E92" i="39" s="1"/>
  <c r="D93" i="39"/>
  <c r="D94" i="39"/>
  <c r="F94" i="39"/>
  <c r="E94" i="39" s="1"/>
  <c r="D95" i="39"/>
  <c r="F95" i="39"/>
  <c r="D96" i="39"/>
  <c r="F96" i="39"/>
  <c r="E96" i="39" s="1"/>
  <c r="D97" i="39"/>
  <c r="F97" i="39"/>
  <c r="E97" i="39" s="1"/>
  <c r="D99" i="39"/>
  <c r="F99" i="39"/>
  <c r="E99" i="39" s="1"/>
  <c r="D100" i="39"/>
  <c r="E100" i="39"/>
  <c r="X36" i="45"/>
  <c r="B6" i="39" s="1"/>
  <c r="L54" i="27"/>
  <c r="A49" i="25"/>
  <c r="A95" i="47"/>
  <c r="A15" i="8" s="1"/>
  <c r="A14" i="28" s="1"/>
  <c r="G32" i="11"/>
  <c r="G8" i="8"/>
  <c r="K34" i="16"/>
  <c r="E28" i="8"/>
  <c r="F27" i="11"/>
  <c r="I38" i="25"/>
  <c r="K40" i="16"/>
  <c r="I32" i="25"/>
  <c r="H34" i="25"/>
  <c r="F29" i="16"/>
  <c r="H26" i="23"/>
  <c r="C48" i="16"/>
  <c r="I23" i="23"/>
  <c r="I47" i="25"/>
  <c r="H49" i="25"/>
  <c r="I9" i="25"/>
  <c r="I43" i="24"/>
  <c r="I42" i="24" s="1"/>
  <c r="A50" i="25"/>
  <c r="J55" i="25"/>
  <c r="L199" i="21"/>
  <c r="G235" i="21"/>
  <c r="J76" i="21"/>
  <c r="F134" i="21"/>
  <c r="J143" i="21"/>
  <c r="L153" i="21"/>
  <c r="F226" i="21"/>
  <c r="H180" i="21"/>
  <c r="H88" i="21"/>
  <c r="M143" i="21"/>
  <c r="K199" i="21"/>
  <c r="L235" i="21"/>
  <c r="L87" i="27"/>
  <c r="G28" i="8"/>
  <c r="H39" i="23"/>
  <c r="I41" i="23"/>
  <c r="I39" i="23" s="1"/>
  <c r="D21" i="8"/>
  <c r="M29" i="16"/>
  <c r="L65" i="7"/>
  <c r="I48" i="16"/>
  <c r="A21" i="25"/>
  <c r="I24" i="24"/>
  <c r="G143" i="21"/>
  <c r="I11" i="24"/>
  <c r="H23" i="23"/>
  <c r="H235" i="21"/>
  <c r="J88" i="21"/>
  <c r="E199" i="21"/>
  <c r="I180" i="21"/>
  <c r="K214" i="21"/>
  <c r="E76" i="52"/>
  <c r="H76" i="52"/>
  <c r="F76" i="52"/>
  <c r="E190" i="15"/>
  <c r="E199" i="15"/>
  <c r="E197" i="15"/>
  <c r="E196" i="15"/>
  <c r="E186" i="15"/>
  <c r="E178" i="15"/>
  <c r="E176" i="15"/>
  <c r="H57" i="15"/>
  <c r="G57" i="15"/>
  <c r="F120" i="34"/>
  <c r="D48" i="16"/>
  <c r="E58" i="15"/>
  <c r="F82" i="15"/>
  <c r="D45" i="7"/>
  <c r="E43" i="15"/>
  <c r="E174" i="15"/>
  <c r="D65" i="7"/>
  <c r="C48" i="24"/>
  <c r="E9" i="15"/>
  <c r="I46" i="23"/>
  <c r="G40" i="15"/>
  <c r="E185" i="15"/>
  <c r="E99" i="15"/>
  <c r="E67" i="15"/>
  <c r="E143" i="21"/>
  <c r="F180" i="21"/>
  <c r="F235" i="21"/>
  <c r="G19" i="15"/>
  <c r="E187" i="15"/>
  <c r="G190" i="15"/>
  <c r="E8" i="15"/>
  <c r="E14" i="15"/>
  <c r="E53" i="15"/>
  <c r="E68" i="15"/>
  <c r="G72" i="15"/>
  <c r="E25" i="9"/>
  <c r="F8" i="15"/>
  <c r="E15" i="15"/>
  <c r="E19" i="15"/>
  <c r="E42" i="15"/>
  <c r="F54" i="15"/>
  <c r="H112" i="1"/>
  <c r="H186" i="15"/>
  <c r="H141" i="1"/>
  <c r="E40" i="15"/>
  <c r="H72" i="15"/>
  <c r="E26" i="15"/>
  <c r="F40" i="15"/>
  <c r="E46" i="15"/>
  <c r="E48" i="15"/>
  <c r="H58" i="15"/>
  <c r="F86" i="15"/>
  <c r="E11" i="15"/>
  <c r="E36" i="15"/>
  <c r="E37" i="15"/>
  <c r="H40" i="15"/>
  <c r="E54" i="15"/>
  <c r="E82" i="15"/>
  <c r="E90" i="15"/>
  <c r="G86" i="15"/>
  <c r="E120" i="34"/>
  <c r="E72" i="15"/>
  <c r="E80" i="15"/>
  <c r="F72" i="15"/>
  <c r="E78" i="15"/>
  <c r="E112" i="52"/>
  <c r="L272" i="21"/>
  <c r="L296" i="21"/>
  <c r="F61" i="16"/>
  <c r="M276" i="21"/>
  <c r="E120" i="37"/>
  <c r="F12" i="9"/>
  <c r="E41" i="9"/>
  <c r="F15" i="9"/>
  <c r="I88" i="46"/>
  <c r="J88" i="46" s="1"/>
  <c r="H88" i="46"/>
  <c r="C88" i="46"/>
  <c r="C19" i="9" s="1"/>
  <c r="G88" i="46"/>
  <c r="G19" i="9" s="1"/>
  <c r="M88" i="46"/>
  <c r="E19" i="9"/>
  <c r="L88" i="46"/>
  <c r="F88" i="46"/>
  <c r="F19" i="9" s="1"/>
  <c r="D88" i="46"/>
  <c r="D19" i="9" s="1"/>
  <c r="F29" i="11"/>
  <c r="K27" i="36"/>
  <c r="G20" i="8"/>
  <c r="F21" i="8"/>
  <c r="F89" i="15"/>
  <c r="F120" i="53"/>
  <c r="I27" i="24"/>
  <c r="D51" i="25"/>
  <c r="E167" i="15"/>
  <c r="D55" i="7" s="1"/>
  <c r="A48" i="25"/>
  <c r="F17" i="16"/>
  <c r="D48" i="24"/>
  <c r="M235" i="21"/>
  <c r="H101" i="15"/>
  <c r="H136" i="15"/>
  <c r="H167" i="15"/>
  <c r="G55" i="7" s="1"/>
  <c r="E57" i="15"/>
  <c r="G76" i="53"/>
  <c r="E22" i="11" l="1"/>
  <c r="J162" i="48"/>
  <c r="E21" i="11"/>
  <c r="J151" i="48"/>
  <c r="E20" i="11"/>
  <c r="J140" i="48"/>
  <c r="E19" i="11"/>
  <c r="J19" i="11" s="1"/>
  <c r="K19" i="11" s="1"/>
  <c r="P17" i="32" s="1"/>
  <c r="J129" i="48"/>
  <c r="E18" i="11"/>
  <c r="J18" i="11" s="1"/>
  <c r="K18" i="11" s="1"/>
  <c r="P16" i="32" s="1"/>
  <c r="J118" i="48"/>
  <c r="E17" i="11"/>
  <c r="J107" i="48"/>
  <c r="E16" i="11"/>
  <c r="J16" i="11" s="1"/>
  <c r="K16" i="11" s="1"/>
  <c r="P14" i="32" s="1"/>
  <c r="J96" i="48"/>
  <c r="E15" i="11"/>
  <c r="J85" i="48"/>
  <c r="E14" i="11"/>
  <c r="J74" i="48"/>
  <c r="E13" i="11"/>
  <c r="J13" i="11" s="1"/>
  <c r="K13" i="11" s="1"/>
  <c r="P11" i="32" s="1"/>
  <c r="J63" i="48"/>
  <c r="E12" i="11"/>
  <c r="J12" i="11" s="1"/>
  <c r="J52" i="48"/>
  <c r="K52" i="48" s="1"/>
  <c r="E11" i="11"/>
  <c r="J11" i="11" s="1"/>
  <c r="K11" i="11" s="1"/>
  <c r="P9" i="32" s="1"/>
  <c r="J41" i="48"/>
  <c r="K41" i="48" s="1"/>
  <c r="J30" i="48"/>
  <c r="K30" i="48" s="1"/>
  <c r="E9" i="11"/>
  <c r="J9" i="11" s="1"/>
  <c r="K9" i="11" s="1"/>
  <c r="P7" i="32" s="1"/>
  <c r="J19" i="48"/>
  <c r="E8" i="11"/>
  <c r="J8" i="48"/>
  <c r="E69" i="15"/>
  <c r="E133" i="15" s="1"/>
  <c r="J166" i="37"/>
  <c r="K166" i="37" s="1"/>
  <c r="K69" i="15" s="1"/>
  <c r="J163" i="37"/>
  <c r="J160" i="37"/>
  <c r="J67" i="15" s="1"/>
  <c r="E66" i="15"/>
  <c r="J157" i="37"/>
  <c r="J66" i="15" s="1"/>
  <c r="I33" i="7"/>
  <c r="J33" i="7" s="1"/>
  <c r="I32" i="7"/>
  <c r="J32" i="7" s="1"/>
  <c r="I25" i="7"/>
  <c r="J25" i="7" s="1"/>
  <c r="I23" i="7"/>
  <c r="J23" i="7" s="1"/>
  <c r="I22" i="7"/>
  <c r="J22" i="7" s="1"/>
  <c r="I18" i="7"/>
  <c r="J18" i="7" s="1"/>
  <c r="I16" i="7"/>
  <c r="J16" i="7" s="1"/>
  <c r="I14" i="7"/>
  <c r="J14" i="7" s="1"/>
  <c r="I10" i="7"/>
  <c r="J10" i="7" s="1"/>
  <c r="I9" i="7"/>
  <c r="J9" i="7" s="1"/>
  <c r="I67" i="7"/>
  <c r="I45" i="7"/>
  <c r="J45" i="7" s="1"/>
  <c r="D7" i="9"/>
  <c r="D44" i="9"/>
  <c r="D34" i="9"/>
  <c r="D30" i="9"/>
  <c r="D11" i="9"/>
  <c r="D40" i="9"/>
  <c r="D17" i="9"/>
  <c r="D21" i="9"/>
  <c r="J9" i="14"/>
  <c r="K9" i="14" s="1"/>
  <c r="J35" i="10"/>
  <c r="K35" i="10" s="1"/>
  <c r="P34" i="30" s="1"/>
  <c r="J20" i="11"/>
  <c r="K20" i="11" s="1"/>
  <c r="P18" i="32" s="1"/>
  <c r="J13" i="14"/>
  <c r="K13" i="14" s="1"/>
  <c r="J7" i="10"/>
  <c r="K7" i="10" s="1"/>
  <c r="J39" i="12"/>
  <c r="K39" i="12" s="1"/>
  <c r="J32" i="12"/>
  <c r="K32" i="12" s="1"/>
  <c r="E16" i="17"/>
  <c r="E8" i="10" s="1"/>
  <c r="J15" i="17"/>
  <c r="J16" i="17" s="1"/>
  <c r="E60" i="16"/>
  <c r="J34" i="17"/>
  <c r="J33" i="10"/>
  <c r="K33" i="10" s="1"/>
  <c r="P32" i="30" s="1"/>
  <c r="I46" i="7"/>
  <c r="J46" i="7" s="1"/>
  <c r="I64" i="7"/>
  <c r="J64" i="7" s="1"/>
  <c r="J22" i="11"/>
  <c r="K22" i="11" s="1"/>
  <c r="P20" i="32" s="1"/>
  <c r="J9" i="12"/>
  <c r="K9" i="12" s="1"/>
  <c r="E22" i="17"/>
  <c r="E9" i="10" s="1"/>
  <c r="J21" i="17"/>
  <c r="J40" i="12"/>
  <c r="K40" i="12" s="1"/>
  <c r="J21" i="11"/>
  <c r="K21" i="11" s="1"/>
  <c r="P19" i="32" s="1"/>
  <c r="J17" i="11"/>
  <c r="K17" i="11" s="1"/>
  <c r="P15" i="32" s="1"/>
  <c r="J48" i="12"/>
  <c r="K48" i="12" s="1"/>
  <c r="J34" i="12"/>
  <c r="K34" i="12" s="1"/>
  <c r="E58" i="16"/>
  <c r="J27" i="17"/>
  <c r="I24" i="9"/>
  <c r="J109" i="46"/>
  <c r="K109" i="46" s="1"/>
  <c r="I18" i="9"/>
  <c r="J18" i="9" s="1"/>
  <c r="K18" i="9" s="1"/>
  <c r="P17" i="29" s="1"/>
  <c r="J77" i="46"/>
  <c r="K77" i="46" s="1"/>
  <c r="I10" i="9"/>
  <c r="J25" i="46"/>
  <c r="K25" i="46" s="1"/>
  <c r="I34" i="8"/>
  <c r="J34" i="8" s="1"/>
  <c r="J274" i="47"/>
  <c r="K274" i="47" s="1"/>
  <c r="I30" i="8"/>
  <c r="J30" i="8" s="1"/>
  <c r="J230" i="47"/>
  <c r="K230" i="47" s="1"/>
  <c r="I26" i="8"/>
  <c r="J186" i="47"/>
  <c r="K186" i="47" s="1"/>
  <c r="I20" i="8"/>
  <c r="J20" i="8" s="1"/>
  <c r="J150" i="47"/>
  <c r="K150" i="47" s="1"/>
  <c r="I16" i="8"/>
  <c r="J16" i="8" s="1"/>
  <c r="J106" i="47"/>
  <c r="K106" i="47" s="1"/>
  <c r="I12" i="8"/>
  <c r="J12" i="8" s="1"/>
  <c r="J62" i="47"/>
  <c r="K62" i="47" s="1"/>
  <c r="I8" i="8"/>
  <c r="J8" i="8" s="1"/>
  <c r="J18" i="47"/>
  <c r="K18" i="47" s="1"/>
  <c r="I37" i="11"/>
  <c r="J298" i="48"/>
  <c r="K298" i="48" s="1"/>
  <c r="I33" i="11"/>
  <c r="J33" i="11" s="1"/>
  <c r="J254" i="48"/>
  <c r="K254" i="48" s="1"/>
  <c r="I29" i="11"/>
  <c r="J210" i="48"/>
  <c r="K210" i="48" s="1"/>
  <c r="I26" i="12"/>
  <c r="H38" i="7" s="1"/>
  <c r="I38" i="7" s="1"/>
  <c r="J21" i="12"/>
  <c r="J26" i="12" s="1"/>
  <c r="I11" i="15"/>
  <c r="J28" i="34"/>
  <c r="J11" i="15" s="1"/>
  <c r="I14" i="15"/>
  <c r="J54" i="34"/>
  <c r="I21" i="15"/>
  <c r="J105" i="34"/>
  <c r="J21" i="15" s="1"/>
  <c r="I23" i="15"/>
  <c r="J116" i="34"/>
  <c r="J23" i="15" s="1"/>
  <c r="I35" i="15"/>
  <c r="J160" i="34"/>
  <c r="I174" i="15"/>
  <c r="J18" i="1"/>
  <c r="K18" i="1" s="1"/>
  <c r="I178" i="15"/>
  <c r="J54" i="1"/>
  <c r="K54" i="1" s="1"/>
  <c r="I185" i="15"/>
  <c r="J105" i="1"/>
  <c r="K105" i="1" s="1"/>
  <c r="I186" i="15"/>
  <c r="J113" i="1"/>
  <c r="K113" i="1" s="1"/>
  <c r="I187" i="15"/>
  <c r="J116" i="1"/>
  <c r="K116" i="1" s="1"/>
  <c r="I197" i="15"/>
  <c r="J154" i="1"/>
  <c r="K154" i="1" s="1"/>
  <c r="I201" i="15"/>
  <c r="J166" i="1"/>
  <c r="K166" i="1" s="1"/>
  <c r="I62" i="15"/>
  <c r="I63" i="15" s="1"/>
  <c r="J143" i="37"/>
  <c r="K143" i="37" s="1"/>
  <c r="K62" i="15" s="1"/>
  <c r="K63" i="15" s="1"/>
  <c r="I60" i="15"/>
  <c r="J138" i="37"/>
  <c r="I57" i="15"/>
  <c r="J121" i="37"/>
  <c r="J57" i="15" s="1"/>
  <c r="I53" i="15"/>
  <c r="J105" i="37"/>
  <c r="I48" i="15"/>
  <c r="J70" i="37"/>
  <c r="I46" i="15"/>
  <c r="J54" i="37"/>
  <c r="I45" i="15"/>
  <c r="J46" i="37"/>
  <c r="I42" i="15"/>
  <c r="J18" i="37"/>
  <c r="I141" i="53"/>
  <c r="J141" i="53" s="1"/>
  <c r="J143" i="53"/>
  <c r="J94" i="15" s="1"/>
  <c r="I72" i="15"/>
  <c r="J9" i="53"/>
  <c r="J72" i="15" s="1"/>
  <c r="I49" i="9"/>
  <c r="J49" i="9" s="1"/>
  <c r="K49" i="9" s="1"/>
  <c r="J241" i="46"/>
  <c r="K241" i="46" s="1"/>
  <c r="I43" i="9"/>
  <c r="J215" i="46"/>
  <c r="K215" i="46" s="1"/>
  <c r="I23" i="9"/>
  <c r="J105" i="46"/>
  <c r="K105" i="46" s="1"/>
  <c r="I16" i="9"/>
  <c r="J16" i="9" s="1"/>
  <c r="K16" i="9" s="1"/>
  <c r="J68" i="46"/>
  <c r="K68" i="46" s="1"/>
  <c r="I39" i="8"/>
  <c r="J39" i="8" s="1"/>
  <c r="J329" i="47"/>
  <c r="K329" i="47" s="1"/>
  <c r="I35" i="8"/>
  <c r="J35" i="8" s="1"/>
  <c r="J285" i="47"/>
  <c r="K285" i="47" s="1"/>
  <c r="I31" i="8"/>
  <c r="J241" i="47"/>
  <c r="K241" i="47" s="1"/>
  <c r="I27" i="8"/>
  <c r="J197" i="47"/>
  <c r="K197" i="47" s="1"/>
  <c r="I17" i="8"/>
  <c r="J117" i="47"/>
  <c r="K117" i="47" s="1"/>
  <c r="I13" i="8"/>
  <c r="J13" i="8" s="1"/>
  <c r="J73" i="47"/>
  <c r="K73" i="47" s="1"/>
  <c r="I9" i="8"/>
  <c r="J29" i="47"/>
  <c r="K29" i="47" s="1"/>
  <c r="I38" i="11"/>
  <c r="J38" i="11" s="1"/>
  <c r="J309" i="48"/>
  <c r="K309" i="48" s="1"/>
  <c r="I34" i="11"/>
  <c r="J265" i="48"/>
  <c r="K265" i="48" s="1"/>
  <c r="I30" i="11"/>
  <c r="J30" i="11" s="1"/>
  <c r="J221" i="48"/>
  <c r="K221" i="48" s="1"/>
  <c r="I32" i="15"/>
  <c r="J151" i="34"/>
  <c r="J32" i="15" s="1"/>
  <c r="I10" i="15"/>
  <c r="J18" i="34"/>
  <c r="K18" i="34" s="1"/>
  <c r="K10" i="15" s="1"/>
  <c r="I9" i="15"/>
  <c r="J14" i="34"/>
  <c r="J9" i="15" s="1"/>
  <c r="I15" i="9"/>
  <c r="J15" i="9" s="1"/>
  <c r="K15" i="9" s="1"/>
  <c r="J65" i="46"/>
  <c r="K65" i="46" s="1"/>
  <c r="I38" i="9"/>
  <c r="J38" i="9" s="1"/>
  <c r="K38" i="9" s="1"/>
  <c r="J187" i="46"/>
  <c r="K187" i="46" s="1"/>
  <c r="I8" i="15"/>
  <c r="J9" i="34"/>
  <c r="K9" i="34" s="1"/>
  <c r="K8" i="15" s="1"/>
  <c r="I15" i="15"/>
  <c r="J64" i="34"/>
  <c r="K64" i="34" s="1"/>
  <c r="K15" i="15" s="1"/>
  <c r="I22" i="15"/>
  <c r="J113" i="34"/>
  <c r="J22" i="15" s="1"/>
  <c r="I36" i="15"/>
  <c r="J163" i="34"/>
  <c r="K163" i="34" s="1"/>
  <c r="K36" i="15" s="1"/>
  <c r="I172" i="15"/>
  <c r="J9" i="1"/>
  <c r="K9" i="1" s="1"/>
  <c r="I175" i="15"/>
  <c r="J28" i="1"/>
  <c r="K28" i="1" s="1"/>
  <c r="I179" i="15"/>
  <c r="J64" i="1"/>
  <c r="K64" i="1" s="1"/>
  <c r="I190" i="15"/>
  <c r="J133" i="1"/>
  <c r="K133" i="1" s="1"/>
  <c r="K190" i="15" s="1"/>
  <c r="K143" i="1"/>
  <c r="I198" i="15"/>
  <c r="J157" i="1"/>
  <c r="K157" i="1" s="1"/>
  <c r="I40" i="15"/>
  <c r="J9" i="37"/>
  <c r="J40" i="15" s="1"/>
  <c r="I100" i="15"/>
  <c r="J163" i="53"/>
  <c r="J100" i="15" s="1"/>
  <c r="I98" i="15"/>
  <c r="J157" i="53"/>
  <c r="J98" i="15" s="1"/>
  <c r="I96" i="15"/>
  <c r="J151" i="53"/>
  <c r="J96" i="15" s="1"/>
  <c r="I86" i="15"/>
  <c r="J113" i="53"/>
  <c r="J86" i="15" s="1"/>
  <c r="I79" i="15"/>
  <c r="J64" i="53"/>
  <c r="J79" i="15" s="1"/>
  <c r="I75" i="15"/>
  <c r="J28" i="53"/>
  <c r="J75" i="15" s="1"/>
  <c r="I42" i="9"/>
  <c r="J42" i="9" s="1"/>
  <c r="J210" i="46"/>
  <c r="K210" i="46" s="1"/>
  <c r="I22" i="9"/>
  <c r="J101" i="46"/>
  <c r="K101" i="46" s="1"/>
  <c r="I14" i="9"/>
  <c r="J14" i="9" s="1"/>
  <c r="K14" i="9" s="1"/>
  <c r="J56" i="46"/>
  <c r="K56" i="46" s="1"/>
  <c r="I8" i="9"/>
  <c r="J8" i="9" s="1"/>
  <c r="K8" i="9" s="1"/>
  <c r="J8" i="46"/>
  <c r="K8" i="46" s="1"/>
  <c r="I36" i="8"/>
  <c r="J36" i="8" s="1"/>
  <c r="J296" i="47"/>
  <c r="K296" i="47" s="1"/>
  <c r="I32" i="8"/>
  <c r="J32" i="8" s="1"/>
  <c r="J252" i="47"/>
  <c r="K252" i="47" s="1"/>
  <c r="I18" i="8"/>
  <c r="J18" i="8" s="1"/>
  <c r="J128" i="47"/>
  <c r="K128" i="47" s="1"/>
  <c r="I10" i="8"/>
  <c r="J10" i="8" s="1"/>
  <c r="J40" i="47"/>
  <c r="K40" i="47" s="1"/>
  <c r="I39" i="11"/>
  <c r="J39" i="11" s="1"/>
  <c r="J320" i="48"/>
  <c r="K320" i="48" s="1"/>
  <c r="I35" i="11"/>
  <c r="J35" i="11" s="1"/>
  <c r="J276" i="48"/>
  <c r="K276" i="48" s="1"/>
  <c r="I31" i="11"/>
  <c r="J31" i="11" s="1"/>
  <c r="J232" i="48"/>
  <c r="K232" i="48" s="1"/>
  <c r="I27" i="11"/>
  <c r="J27" i="11" s="1"/>
  <c r="J188" i="48"/>
  <c r="K188" i="48" s="1"/>
  <c r="I28" i="15"/>
  <c r="J138" i="34"/>
  <c r="J28" i="15" s="1"/>
  <c r="I25" i="9"/>
  <c r="J114" i="46"/>
  <c r="K114" i="46" s="1"/>
  <c r="I36" i="9"/>
  <c r="J36" i="9" s="1"/>
  <c r="K36" i="9" s="1"/>
  <c r="P35" i="29" s="1"/>
  <c r="J172" i="46"/>
  <c r="K172" i="46" s="1"/>
  <c r="I12" i="15"/>
  <c r="J39" i="34"/>
  <c r="J12" i="15" s="1"/>
  <c r="I33" i="15"/>
  <c r="J154" i="34"/>
  <c r="J33" i="15" s="1"/>
  <c r="I37" i="15"/>
  <c r="J166" i="34"/>
  <c r="I18" i="15"/>
  <c r="J77" i="34"/>
  <c r="I176" i="15"/>
  <c r="J39" i="1"/>
  <c r="K39" i="1" s="1"/>
  <c r="I180" i="15"/>
  <c r="J70" i="1"/>
  <c r="K70" i="1" s="1"/>
  <c r="I192" i="15"/>
  <c r="J138" i="1"/>
  <c r="K138" i="1" s="1"/>
  <c r="I199" i="15"/>
  <c r="J160" i="1"/>
  <c r="K160" i="1" s="1"/>
  <c r="K199" i="15" s="1"/>
  <c r="I141" i="52"/>
  <c r="J141" i="52" s="1"/>
  <c r="J143" i="52"/>
  <c r="I25" i="15"/>
  <c r="J121" i="34"/>
  <c r="J25" i="15" s="1"/>
  <c r="I189" i="15"/>
  <c r="J121" i="1"/>
  <c r="K121" i="1" s="1"/>
  <c r="I54" i="15"/>
  <c r="J113" i="37"/>
  <c r="J54" i="15" s="1"/>
  <c r="I47" i="15"/>
  <c r="J64" i="37"/>
  <c r="K64" i="37" s="1"/>
  <c r="K47" i="15" s="1"/>
  <c r="I43" i="15"/>
  <c r="J28" i="37"/>
  <c r="K28" i="37" s="1"/>
  <c r="K43" i="15" s="1"/>
  <c r="I87" i="15"/>
  <c r="J116" i="53"/>
  <c r="J87" i="15" s="1"/>
  <c r="I82" i="15"/>
  <c r="J77" i="53"/>
  <c r="J82" i="15" s="1"/>
  <c r="I76" i="15"/>
  <c r="J39" i="53"/>
  <c r="J76" i="15" s="1"/>
  <c r="I47" i="9"/>
  <c r="J231" i="46"/>
  <c r="K231" i="46" s="1"/>
  <c r="I46" i="9"/>
  <c r="J227" i="46"/>
  <c r="K227" i="46" s="1"/>
  <c r="I45" i="9"/>
  <c r="J223" i="46"/>
  <c r="K223" i="46" s="1"/>
  <c r="I39" i="9"/>
  <c r="J39" i="9" s="1"/>
  <c r="K39" i="9" s="1"/>
  <c r="J190" i="46"/>
  <c r="K190" i="46" s="1"/>
  <c r="I35" i="9"/>
  <c r="J150" i="46"/>
  <c r="K150" i="46" s="1"/>
  <c r="I33" i="9"/>
  <c r="J33" i="9" s="1"/>
  <c r="K33" i="9" s="1"/>
  <c r="P32" i="29" s="1"/>
  <c r="J147" i="46"/>
  <c r="K147" i="46" s="1"/>
  <c r="I31" i="9"/>
  <c r="J31" i="9" s="1"/>
  <c r="K31" i="9" s="1"/>
  <c r="J130" i="46"/>
  <c r="K130" i="46" s="1"/>
  <c r="I26" i="9"/>
  <c r="J26" i="9" s="1"/>
  <c r="K26" i="9" s="1"/>
  <c r="J119" i="46"/>
  <c r="K119" i="46" s="1"/>
  <c r="I20" i="9"/>
  <c r="J20" i="9" s="1"/>
  <c r="K20" i="9" s="1"/>
  <c r="J93" i="46"/>
  <c r="K93" i="46" s="1"/>
  <c r="I12" i="9"/>
  <c r="J28" i="46"/>
  <c r="K28" i="46" s="1"/>
  <c r="I37" i="8"/>
  <c r="J37" i="8" s="1"/>
  <c r="J307" i="47"/>
  <c r="K307" i="47" s="1"/>
  <c r="I33" i="8"/>
  <c r="J33" i="8" s="1"/>
  <c r="J263" i="47"/>
  <c r="K263" i="47" s="1"/>
  <c r="I29" i="8"/>
  <c r="J29" i="8" s="1"/>
  <c r="J219" i="47"/>
  <c r="K219" i="47" s="1"/>
  <c r="I25" i="8"/>
  <c r="J175" i="47"/>
  <c r="K175" i="47" s="1"/>
  <c r="I19" i="8"/>
  <c r="J139" i="47"/>
  <c r="K139" i="47" s="1"/>
  <c r="I15" i="8"/>
  <c r="J95" i="47"/>
  <c r="K95" i="47" s="1"/>
  <c r="I11" i="8"/>
  <c r="J51" i="47"/>
  <c r="K51" i="47" s="1"/>
  <c r="I40" i="11"/>
  <c r="J40" i="11" s="1"/>
  <c r="J331" i="48"/>
  <c r="K331" i="48" s="1"/>
  <c r="I36" i="11"/>
  <c r="J36" i="11" s="1"/>
  <c r="J287" i="48"/>
  <c r="K287" i="48" s="1"/>
  <c r="I32" i="11"/>
  <c r="J32" i="11" s="1"/>
  <c r="J243" i="48"/>
  <c r="K243" i="48" s="1"/>
  <c r="I28" i="11"/>
  <c r="J28" i="11" s="1"/>
  <c r="J199" i="48"/>
  <c r="K199" i="48" s="1"/>
  <c r="I14" i="18"/>
  <c r="I10" i="12" s="1"/>
  <c r="J10" i="12" s="1"/>
  <c r="J13" i="18"/>
  <c r="J19" i="18" s="1"/>
  <c r="I16" i="15"/>
  <c r="J70" i="34"/>
  <c r="J16" i="15" s="1"/>
  <c r="I9" i="9"/>
  <c r="J9" i="9" s="1"/>
  <c r="K9" i="9" s="1"/>
  <c r="J11" i="46"/>
  <c r="K11" i="46" s="1"/>
  <c r="I32" i="9"/>
  <c r="J32" i="9" s="1"/>
  <c r="K32" i="9" s="1"/>
  <c r="J133" i="46"/>
  <c r="K133" i="46" s="1"/>
  <c r="I48" i="9"/>
  <c r="J48" i="9" s="1"/>
  <c r="K48" i="9" s="1"/>
  <c r="P47" i="29" s="1"/>
  <c r="J236" i="46"/>
  <c r="K236" i="46" s="1"/>
  <c r="I13" i="15"/>
  <c r="J46" i="34"/>
  <c r="J13" i="15" s="1"/>
  <c r="I19" i="15"/>
  <c r="J100" i="34"/>
  <c r="K100" i="34" s="1"/>
  <c r="K19" i="15" s="1"/>
  <c r="I34" i="15"/>
  <c r="J157" i="34"/>
  <c r="K157" i="34" s="1"/>
  <c r="K34" i="15" s="1"/>
  <c r="I173" i="15"/>
  <c r="J14" i="1"/>
  <c r="K14" i="1" s="1"/>
  <c r="I177" i="15"/>
  <c r="J46" i="1"/>
  <c r="K46" i="1" s="1"/>
  <c r="K177" i="15" s="1"/>
  <c r="I182" i="15"/>
  <c r="J77" i="1"/>
  <c r="K77" i="1" s="1"/>
  <c r="K182" i="15" s="1"/>
  <c r="I183" i="15"/>
  <c r="J100" i="1"/>
  <c r="K100" i="1" s="1"/>
  <c r="K183" i="15" s="1"/>
  <c r="I196" i="15"/>
  <c r="J151" i="1"/>
  <c r="K151" i="1" s="1"/>
  <c r="I200" i="15"/>
  <c r="J163" i="1"/>
  <c r="K163" i="1" s="1"/>
  <c r="K200" i="15" s="1"/>
  <c r="I141" i="34"/>
  <c r="J141" i="34" s="1"/>
  <c r="J143" i="34"/>
  <c r="K143" i="34" s="1"/>
  <c r="K30" i="15" s="1"/>
  <c r="K31" i="15" s="1"/>
  <c r="I65" i="15"/>
  <c r="J154" i="37"/>
  <c r="J65" i="15" s="1"/>
  <c r="I50" i="15"/>
  <c r="J77" i="37"/>
  <c r="J50" i="15" s="1"/>
  <c r="I44" i="15"/>
  <c r="J39" i="37"/>
  <c r="I101" i="15"/>
  <c r="J166" i="53"/>
  <c r="J101" i="15" s="1"/>
  <c r="I99" i="15"/>
  <c r="J160" i="53"/>
  <c r="J99" i="15" s="1"/>
  <c r="I97" i="15"/>
  <c r="J154" i="53"/>
  <c r="J97" i="15" s="1"/>
  <c r="I92" i="15"/>
  <c r="J138" i="53"/>
  <c r="J92" i="15" s="1"/>
  <c r="I90" i="15"/>
  <c r="J133" i="53"/>
  <c r="J90" i="15" s="1"/>
  <c r="I89" i="15"/>
  <c r="J121" i="53"/>
  <c r="J89" i="15" s="1"/>
  <c r="I85" i="15"/>
  <c r="J105" i="53"/>
  <c r="J85" i="15" s="1"/>
  <c r="I83" i="15"/>
  <c r="J100" i="53"/>
  <c r="J83" i="15" s="1"/>
  <c r="I80" i="15"/>
  <c r="J70" i="53"/>
  <c r="J80" i="15" s="1"/>
  <c r="I78" i="15"/>
  <c r="J54" i="53"/>
  <c r="J78" i="15" s="1"/>
  <c r="I77" i="15"/>
  <c r="J46" i="53"/>
  <c r="J77" i="15" s="1"/>
  <c r="I74" i="15"/>
  <c r="J18" i="53"/>
  <c r="J74" i="15" s="1"/>
  <c r="I73" i="15"/>
  <c r="J14" i="53"/>
  <c r="J73" i="15" s="1"/>
  <c r="A1" i="53"/>
  <c r="D57" i="16"/>
  <c r="D58" i="16"/>
  <c r="D16" i="17"/>
  <c r="D8" i="10" s="1"/>
  <c r="D35" i="17"/>
  <c r="D11" i="10" s="1"/>
  <c r="D39" i="8"/>
  <c r="D35" i="8"/>
  <c r="D31" i="8"/>
  <c r="I28" i="8"/>
  <c r="J28" i="8" s="1"/>
  <c r="K28" i="8" s="1"/>
  <c r="P27" i="28" s="1"/>
  <c r="D27" i="8"/>
  <c r="D17" i="8"/>
  <c r="D13" i="8"/>
  <c r="D9" i="8"/>
  <c r="D38" i="11"/>
  <c r="D34" i="11"/>
  <c r="D30" i="11"/>
  <c r="D26" i="11"/>
  <c r="D32" i="15"/>
  <c r="D13" i="15"/>
  <c r="D19" i="15"/>
  <c r="D34" i="15"/>
  <c r="D177" i="15"/>
  <c r="D182" i="15"/>
  <c r="D196" i="15"/>
  <c r="D200" i="15"/>
  <c r="D30" i="15"/>
  <c r="D31" i="15" s="1"/>
  <c r="D10" i="15"/>
  <c r="D65" i="15"/>
  <c r="D55" i="15"/>
  <c r="D50" i="15"/>
  <c r="D44" i="15"/>
  <c r="D101" i="15"/>
  <c r="D99" i="15"/>
  <c r="D97" i="15"/>
  <c r="D92" i="15"/>
  <c r="D90" i="15"/>
  <c r="D89" i="15"/>
  <c r="D85" i="15"/>
  <c r="D83" i="15"/>
  <c r="D80" i="15"/>
  <c r="D78" i="15"/>
  <c r="D77" i="15"/>
  <c r="D74" i="15"/>
  <c r="D73" i="15"/>
  <c r="D72" i="15"/>
  <c r="D36" i="8"/>
  <c r="D32" i="8"/>
  <c r="D18" i="8"/>
  <c r="D14" i="8"/>
  <c r="K84" i="47"/>
  <c r="D10" i="8"/>
  <c r="D39" i="11"/>
  <c r="D35" i="11"/>
  <c r="D31" i="11"/>
  <c r="D27" i="11"/>
  <c r="D28" i="15"/>
  <c r="C8" i="15"/>
  <c r="C17" i="15" s="1"/>
  <c r="C8" i="34"/>
  <c r="D14" i="15"/>
  <c r="D21" i="15"/>
  <c r="D22" i="15"/>
  <c r="D35" i="15"/>
  <c r="D174" i="15"/>
  <c r="D178" i="15"/>
  <c r="D183" i="15"/>
  <c r="D185" i="15"/>
  <c r="D187" i="15"/>
  <c r="D197" i="15"/>
  <c r="D201" i="15"/>
  <c r="D189" i="15"/>
  <c r="D60" i="15"/>
  <c r="D58" i="15"/>
  <c r="D53" i="15"/>
  <c r="D51" i="15"/>
  <c r="K100" i="37"/>
  <c r="K51" i="15" s="1"/>
  <c r="D48" i="15"/>
  <c r="D46" i="15"/>
  <c r="D45" i="15"/>
  <c r="D42" i="15"/>
  <c r="D41" i="15"/>
  <c r="D141" i="53"/>
  <c r="I38" i="8"/>
  <c r="D37" i="8"/>
  <c r="D33" i="8"/>
  <c r="D29" i="8"/>
  <c r="D25" i="8"/>
  <c r="D19" i="8"/>
  <c r="D15" i="8"/>
  <c r="D7" i="8"/>
  <c r="D40" i="11"/>
  <c r="D36" i="11"/>
  <c r="D32" i="11"/>
  <c r="D28" i="11"/>
  <c r="D14" i="18"/>
  <c r="D10" i="12" s="1"/>
  <c r="D14" i="12" s="1"/>
  <c r="C37" i="7" s="1"/>
  <c r="D16" i="15"/>
  <c r="I13" i="9"/>
  <c r="K50" i="46"/>
  <c r="D8" i="15"/>
  <c r="D8" i="34"/>
  <c r="D15" i="15"/>
  <c r="D26" i="15"/>
  <c r="D36" i="15"/>
  <c r="D175" i="15"/>
  <c r="D179" i="15"/>
  <c r="D190" i="15"/>
  <c r="D198" i="15"/>
  <c r="D62" i="15"/>
  <c r="D63" i="15" s="1"/>
  <c r="D40" i="15"/>
  <c r="D100" i="15"/>
  <c r="D98" i="15"/>
  <c r="D86" i="15"/>
  <c r="D79" i="15"/>
  <c r="D75" i="15"/>
  <c r="D34" i="8"/>
  <c r="D30" i="8"/>
  <c r="D20" i="8"/>
  <c r="D16" i="8"/>
  <c r="D12" i="8"/>
  <c r="D8" i="8"/>
  <c r="D37" i="11"/>
  <c r="D33" i="11"/>
  <c r="D29" i="11"/>
  <c r="D26" i="12"/>
  <c r="C38" i="7" s="1"/>
  <c r="D11" i="15"/>
  <c r="D12" i="15"/>
  <c r="D33" i="15"/>
  <c r="D37" i="15"/>
  <c r="D173" i="15"/>
  <c r="D176" i="15"/>
  <c r="D180" i="15"/>
  <c r="D192" i="15"/>
  <c r="D194" i="15"/>
  <c r="D195" i="15" s="1"/>
  <c r="J194" i="15"/>
  <c r="J195" i="15" s="1"/>
  <c r="D199" i="15"/>
  <c r="D141" i="52"/>
  <c r="D25" i="15"/>
  <c r="D54" i="15"/>
  <c r="D47" i="15"/>
  <c r="D43" i="15"/>
  <c r="D87" i="15"/>
  <c r="D82" i="15"/>
  <c r="D76" i="15"/>
  <c r="G76" i="52"/>
  <c r="K29" i="23"/>
  <c r="K49" i="23" s="1"/>
  <c r="H76" i="21"/>
  <c r="L76" i="21"/>
  <c r="F88" i="21"/>
  <c r="L134" i="21"/>
  <c r="J199" i="21"/>
  <c r="J214" i="21"/>
  <c r="L61" i="16"/>
  <c r="L88" i="21"/>
  <c r="H107" i="21"/>
  <c r="I226" i="21"/>
  <c r="F51" i="25"/>
  <c r="M284" i="21"/>
  <c r="I61" i="16"/>
  <c r="E51" i="25"/>
  <c r="H134" i="21"/>
  <c r="L168" i="21"/>
  <c r="G120" i="52"/>
  <c r="I134" i="21"/>
  <c r="C61" i="16"/>
  <c r="I26" i="23"/>
  <c r="F97" i="21"/>
  <c r="F48" i="16"/>
  <c r="C29" i="16"/>
  <c r="J48" i="24"/>
  <c r="E76" i="34"/>
  <c r="C29" i="23"/>
  <c r="J47" i="16"/>
  <c r="J48" i="16" s="1"/>
  <c r="F48" i="24"/>
  <c r="J51" i="25"/>
  <c r="I168" i="21"/>
  <c r="E189" i="21"/>
  <c r="E245" i="21"/>
  <c r="E38" i="16"/>
  <c r="E48" i="24"/>
  <c r="F189" i="21"/>
  <c r="E120" i="52"/>
  <c r="H36" i="12"/>
  <c r="K42" i="16"/>
  <c r="K47" i="16" s="1"/>
  <c r="K48" i="16" s="1"/>
  <c r="G14" i="12"/>
  <c r="G27" i="12" s="1"/>
  <c r="F141" i="1"/>
  <c r="F120" i="1"/>
  <c r="B16" i="39"/>
  <c r="P3" i="32" s="1"/>
  <c r="J48" i="23"/>
  <c r="J41" i="16"/>
  <c r="K41" i="16" s="1"/>
  <c r="E61" i="16"/>
  <c r="M76" i="21"/>
  <c r="H61" i="16"/>
  <c r="G48" i="24"/>
  <c r="H10" i="25"/>
  <c r="B18" i="39"/>
  <c r="Q3" i="33" s="1"/>
  <c r="E18" i="15"/>
  <c r="E20" i="15" s="1"/>
  <c r="F29" i="24"/>
  <c r="C27" i="25"/>
  <c r="F112" i="52"/>
  <c r="G112" i="1"/>
  <c r="K29" i="24"/>
  <c r="F122" i="21"/>
  <c r="G112" i="52"/>
  <c r="J29" i="24"/>
  <c r="K51" i="25"/>
  <c r="E120" i="1"/>
  <c r="M48" i="16"/>
  <c r="G29" i="24"/>
  <c r="K16" i="16"/>
  <c r="H42" i="24"/>
  <c r="B3" i="39"/>
  <c r="F155" i="21" s="1"/>
  <c r="K43" i="36"/>
  <c r="G30" i="7"/>
  <c r="G34" i="7" s="1"/>
  <c r="G88" i="21"/>
  <c r="F199" i="21"/>
  <c r="E226" i="21"/>
  <c r="D30" i="7"/>
  <c r="D34" i="7" s="1"/>
  <c r="E29" i="23"/>
  <c r="M107" i="21"/>
  <c r="G76" i="34"/>
  <c r="L284" i="21"/>
  <c r="D29" i="23"/>
  <c r="H143" i="21"/>
  <c r="G168" i="21"/>
  <c r="I10" i="25"/>
  <c r="K37" i="16"/>
  <c r="G48" i="23"/>
  <c r="F29" i="23"/>
  <c r="G51" i="25"/>
  <c r="G76" i="21"/>
  <c r="K88" i="21"/>
  <c r="K18" i="52"/>
  <c r="H120" i="52"/>
  <c r="D61" i="16"/>
  <c r="G141" i="1"/>
  <c r="G99" i="27"/>
  <c r="I23" i="24"/>
  <c r="K55" i="25"/>
  <c r="E99" i="27"/>
  <c r="E97" i="21"/>
  <c r="C17" i="16"/>
  <c r="G27" i="25"/>
  <c r="E153" i="21"/>
  <c r="M168" i="21"/>
  <c r="I189" i="21"/>
  <c r="L226" i="21"/>
  <c r="H245" i="21"/>
  <c r="F112" i="34"/>
  <c r="E120" i="53"/>
  <c r="J24" i="16"/>
  <c r="G97" i="21"/>
  <c r="L107" i="21"/>
  <c r="J134" i="21"/>
  <c r="M226" i="21"/>
  <c r="I245" i="21"/>
  <c r="I41" i="12"/>
  <c r="H40" i="7" s="1"/>
  <c r="I28" i="24"/>
  <c r="H26" i="24"/>
  <c r="A19" i="25"/>
  <c r="A24" i="25"/>
  <c r="K25" i="16"/>
  <c r="J28" i="16"/>
  <c r="K24" i="16"/>
  <c r="C29" i="24"/>
  <c r="C50" i="24" s="1"/>
  <c r="I21" i="25"/>
  <c r="I20" i="25" s="1"/>
  <c r="H28" i="25"/>
  <c r="H15" i="25"/>
  <c r="I13" i="25"/>
  <c r="I15" i="25" s="1"/>
  <c r="H19" i="15"/>
  <c r="H20" i="15" s="1"/>
  <c r="H76" i="34"/>
  <c r="E29" i="16"/>
  <c r="G76" i="11"/>
  <c r="F30" i="7"/>
  <c r="F34" i="7" s="1"/>
  <c r="H9" i="23"/>
  <c r="I11" i="23"/>
  <c r="I9" i="23" s="1"/>
  <c r="I38" i="16"/>
  <c r="H66" i="7"/>
  <c r="I66" i="7" s="1"/>
  <c r="H44" i="25"/>
  <c r="I42" i="25"/>
  <c r="I44" i="25" s="1"/>
  <c r="I35" i="25"/>
  <c r="I34" i="25" s="1"/>
  <c r="H52" i="25"/>
  <c r="E48" i="23"/>
  <c r="I18" i="24"/>
  <c r="I17" i="24" s="1"/>
  <c r="H17" i="24"/>
  <c r="J43" i="36"/>
  <c r="I18" i="14"/>
  <c r="J12" i="16"/>
  <c r="K12" i="16" s="1"/>
  <c r="K8" i="36"/>
  <c r="K17" i="36" s="1"/>
  <c r="J17" i="36"/>
  <c r="H20" i="25"/>
  <c r="D17" i="16"/>
  <c r="I42" i="23"/>
  <c r="F27" i="25"/>
  <c r="F54" i="25" s="1"/>
  <c r="H141" i="34"/>
  <c r="H30" i="15"/>
  <c r="H31" i="15" s="1"/>
  <c r="G120" i="1"/>
  <c r="G189" i="15"/>
  <c r="G191" i="15" s="1"/>
  <c r="K28" i="16"/>
  <c r="I41" i="24"/>
  <c r="I39" i="24" s="1"/>
  <c r="H39" i="24"/>
  <c r="I33" i="24"/>
  <c r="I32" i="24" s="1"/>
  <c r="H32" i="24"/>
  <c r="K21" i="36"/>
  <c r="K30" i="36" s="1"/>
  <c r="J30" i="36"/>
  <c r="H25" i="25"/>
  <c r="H27" i="25" s="1"/>
  <c r="I45" i="23"/>
  <c r="F167" i="15"/>
  <c r="E55" i="7" s="1"/>
  <c r="J37" i="16"/>
  <c r="F36" i="12"/>
  <c r="E39" i="7" s="1"/>
  <c r="D27" i="25"/>
  <c r="D54" i="25" s="1"/>
  <c r="J27" i="25"/>
  <c r="M97" i="21"/>
  <c r="K107" i="21"/>
  <c r="K122" i="21"/>
  <c r="F143" i="21"/>
  <c r="G189" i="21"/>
  <c r="L214" i="21"/>
  <c r="H226" i="21"/>
  <c r="L245" i="21"/>
  <c r="G120" i="53"/>
  <c r="G112" i="34"/>
  <c r="H45" i="23"/>
  <c r="E17" i="16"/>
  <c r="G17" i="16"/>
  <c r="E36" i="12"/>
  <c r="D39" i="7" s="1"/>
  <c r="L122" i="21"/>
  <c r="J180" i="21"/>
  <c r="M214" i="21"/>
  <c r="M245" i="21"/>
  <c r="K151" i="52"/>
  <c r="K116" i="37"/>
  <c r="K55" i="15" s="1"/>
  <c r="I9" i="24"/>
  <c r="G48" i="16"/>
  <c r="I99" i="27"/>
  <c r="E76" i="1"/>
  <c r="G120" i="34"/>
  <c r="G22" i="15"/>
  <c r="G24" i="15" s="1"/>
  <c r="H120" i="1"/>
  <c r="H9" i="24"/>
  <c r="I49" i="25"/>
  <c r="D38" i="16"/>
  <c r="J33" i="16"/>
  <c r="K33" i="16" s="1"/>
  <c r="C38" i="16"/>
  <c r="H29" i="16"/>
  <c r="H14" i="12"/>
  <c r="H99" i="27"/>
  <c r="H97" i="21"/>
  <c r="F107" i="21"/>
  <c r="K134" i="21"/>
  <c r="F168" i="21"/>
  <c r="L180" i="21"/>
  <c r="J189" i="21"/>
  <c r="K226" i="21"/>
  <c r="I235" i="21"/>
  <c r="H8" i="1"/>
  <c r="H141" i="53"/>
  <c r="G61" i="16"/>
  <c r="B5" i="39"/>
  <c r="C2" i="46" s="1"/>
  <c r="H38" i="16"/>
  <c r="H112" i="34"/>
  <c r="I26" i="24"/>
  <c r="X38" i="45"/>
  <c r="G8" i="34"/>
  <c r="E194" i="15"/>
  <c r="E195" i="15" s="1"/>
  <c r="F76" i="34"/>
  <c r="H23" i="24"/>
  <c r="A25" i="25"/>
  <c r="B78" i="39"/>
  <c r="A1" i="18" s="1"/>
  <c r="E40" i="13"/>
  <c r="E42" i="13" s="1"/>
  <c r="E7" i="14" s="1"/>
  <c r="E8" i="14" s="1"/>
  <c r="E10" i="14" s="1"/>
  <c r="D29" i="16"/>
  <c r="G36" i="12"/>
  <c r="F39" i="7" s="1"/>
  <c r="C55" i="25"/>
  <c r="I76" i="21"/>
  <c r="L97" i="21"/>
  <c r="G134" i="21"/>
  <c r="L143" i="21"/>
  <c r="J153" i="21"/>
  <c r="E235" i="21"/>
  <c r="K245" i="21"/>
  <c r="K138" i="52"/>
  <c r="G62" i="15"/>
  <c r="G63" i="15" s="1"/>
  <c r="H120" i="53"/>
  <c r="I36" i="12"/>
  <c r="D36" i="12"/>
  <c r="C39" i="7" s="1"/>
  <c r="F14" i="12"/>
  <c r="F27" i="12" s="1"/>
  <c r="E14" i="12"/>
  <c r="E27" i="12" s="1"/>
  <c r="K8" i="12"/>
  <c r="C36" i="12"/>
  <c r="F15" i="20" s="1"/>
  <c r="C14" i="12"/>
  <c r="H35" i="17"/>
  <c r="H11" i="10" s="1"/>
  <c r="E26" i="29"/>
  <c r="C26" i="29"/>
  <c r="D26" i="29"/>
  <c r="I35" i="17"/>
  <c r="I11" i="10" s="1"/>
  <c r="I26" i="10"/>
  <c r="J26" i="10" s="1"/>
  <c r="I31" i="10"/>
  <c r="I21" i="10"/>
  <c r="I29" i="10"/>
  <c r="K13" i="10"/>
  <c r="P12" i="30" s="1"/>
  <c r="D60" i="16"/>
  <c r="C60" i="16"/>
  <c r="H7" i="7"/>
  <c r="I7" i="7" s="1"/>
  <c r="I7" i="8"/>
  <c r="I172" i="47"/>
  <c r="H41" i="28"/>
  <c r="E54" i="31"/>
  <c r="J52" i="18"/>
  <c r="A117" i="47"/>
  <c r="A17" i="8" s="1"/>
  <c r="A16" i="28" s="1"/>
  <c r="C141" i="34"/>
  <c r="K54" i="31"/>
  <c r="K64" i="31" s="1"/>
  <c r="A161" i="47"/>
  <c r="A21" i="8" s="1"/>
  <c r="A20" i="28" s="1"/>
  <c r="F56" i="15"/>
  <c r="D40" i="32"/>
  <c r="A146" i="47"/>
  <c r="A314" i="47"/>
  <c r="A111" i="47"/>
  <c r="A279" i="47"/>
  <c r="A244" i="47"/>
  <c r="A76" i="47"/>
  <c r="A209" i="47"/>
  <c r="A41" i="47"/>
  <c r="A33" i="47"/>
  <c r="A201" i="47"/>
  <c r="A145" i="47"/>
  <c r="A313" i="47"/>
  <c r="A110" i="47"/>
  <c r="A278" i="47"/>
  <c r="A243" i="47"/>
  <c r="A75" i="47"/>
  <c r="A207" i="47"/>
  <c r="A39" i="47"/>
  <c r="A13" i="47"/>
  <c r="A181" i="47"/>
  <c r="A144" i="47"/>
  <c r="A312" i="47"/>
  <c r="A277" i="47"/>
  <c r="A109" i="47"/>
  <c r="A74" i="47"/>
  <c r="A242" i="47"/>
  <c r="A38" i="47"/>
  <c r="A206" i="47"/>
  <c r="A143" i="47"/>
  <c r="A311" i="47"/>
  <c r="A37" i="47"/>
  <c r="A205" i="47"/>
  <c r="A142" i="47"/>
  <c r="A310" i="47"/>
  <c r="A275" i="47"/>
  <c r="A107" i="47"/>
  <c r="A239" i="47"/>
  <c r="A71" i="47"/>
  <c r="A36" i="47"/>
  <c r="A204" i="47"/>
  <c r="A276" i="47"/>
  <c r="A108" i="47"/>
  <c r="A12" i="47"/>
  <c r="A180" i="47"/>
  <c r="A141" i="47"/>
  <c r="A309" i="47"/>
  <c r="A203" i="47"/>
  <c r="A35" i="47"/>
  <c r="A138" i="47"/>
  <c r="A306" i="47"/>
  <c r="A240" i="47"/>
  <c r="A72" i="47"/>
  <c r="A105" i="47"/>
  <c r="A273" i="47"/>
  <c r="A238" i="47"/>
  <c r="A70" i="47"/>
  <c r="A11" i="47"/>
  <c r="A179" i="47"/>
  <c r="A140" i="47"/>
  <c r="A308" i="47"/>
  <c r="A104" i="47"/>
  <c r="A272" i="47"/>
  <c r="A69" i="47"/>
  <c r="A237" i="47"/>
  <c r="A34" i="47"/>
  <c r="A202" i="47"/>
  <c r="A171" i="47"/>
  <c r="A339" i="47"/>
  <c r="A136" i="47"/>
  <c r="A304" i="47"/>
  <c r="A101" i="47"/>
  <c r="A269" i="47"/>
  <c r="A66" i="47"/>
  <c r="A234" i="47"/>
  <c r="A31" i="47"/>
  <c r="A199" i="47"/>
  <c r="A177" i="47"/>
  <c r="A9" i="47"/>
  <c r="A169" i="47"/>
  <c r="A337" i="47"/>
  <c r="A134" i="47"/>
  <c r="A302" i="47"/>
  <c r="A99" i="47"/>
  <c r="A267" i="47"/>
  <c r="A64" i="47"/>
  <c r="A232" i="47"/>
  <c r="A28" i="47"/>
  <c r="A196" i="47"/>
  <c r="A168" i="47"/>
  <c r="A336" i="47"/>
  <c r="A133" i="47"/>
  <c r="A301" i="47"/>
  <c r="A98" i="47"/>
  <c r="A266" i="47"/>
  <c r="A63" i="47"/>
  <c r="A231" i="47"/>
  <c r="A27" i="47"/>
  <c r="A195" i="47"/>
  <c r="A167" i="47"/>
  <c r="A335" i="47"/>
  <c r="A132" i="47"/>
  <c r="A300" i="47"/>
  <c r="A97" i="47"/>
  <c r="A265" i="47"/>
  <c r="A61" i="47"/>
  <c r="A229" i="47"/>
  <c r="A26" i="47"/>
  <c r="A194" i="47"/>
  <c r="A96" i="47"/>
  <c r="A264" i="47"/>
  <c r="A25" i="47"/>
  <c r="A193" i="47"/>
  <c r="A102" i="47"/>
  <c r="A270" i="47"/>
  <c r="A135" i="47"/>
  <c r="A303" i="47"/>
  <c r="A166" i="47"/>
  <c r="A334" i="47"/>
  <c r="A299" i="47"/>
  <c r="A131" i="47"/>
  <c r="A60" i="47"/>
  <c r="A228" i="47"/>
  <c r="A165" i="47"/>
  <c r="A333" i="47"/>
  <c r="A130" i="47"/>
  <c r="A298" i="47"/>
  <c r="A94" i="47"/>
  <c r="A262" i="47"/>
  <c r="A59" i="47"/>
  <c r="A227" i="47"/>
  <c r="A24" i="47"/>
  <c r="A192" i="47"/>
  <c r="A332" i="47"/>
  <c r="A164" i="47"/>
  <c r="A129" i="47"/>
  <c r="A297" i="47"/>
  <c r="A93" i="47"/>
  <c r="A261" i="47"/>
  <c r="A58" i="47"/>
  <c r="A226" i="47"/>
  <c r="A23" i="47"/>
  <c r="A191" i="47"/>
  <c r="A163" i="47"/>
  <c r="A331" i="47"/>
  <c r="A127" i="47"/>
  <c r="A295" i="47"/>
  <c r="A92" i="47"/>
  <c r="A260" i="47"/>
  <c r="A57" i="47"/>
  <c r="A225" i="47"/>
  <c r="A22" i="47"/>
  <c r="A190" i="47"/>
  <c r="A103" i="47"/>
  <c r="A271" i="47"/>
  <c r="A330" i="47"/>
  <c r="A162" i="47"/>
  <c r="A294" i="47"/>
  <c r="A126" i="47"/>
  <c r="A259" i="47"/>
  <c r="A91" i="47"/>
  <c r="A224" i="47"/>
  <c r="A56" i="47"/>
  <c r="A189" i="47"/>
  <c r="A21" i="47"/>
  <c r="A338" i="47"/>
  <c r="A170" i="47"/>
  <c r="A328" i="47"/>
  <c r="A160" i="47"/>
  <c r="A258" i="47"/>
  <c r="A90" i="47"/>
  <c r="A223" i="47"/>
  <c r="A55" i="47"/>
  <c r="A68" i="47"/>
  <c r="A236" i="47"/>
  <c r="A327" i="47"/>
  <c r="A159" i="47"/>
  <c r="A188" i="47"/>
  <c r="A20" i="47"/>
  <c r="A30" i="47"/>
  <c r="A198" i="47"/>
  <c r="A293" i="47"/>
  <c r="A125" i="47"/>
  <c r="A292" i="47"/>
  <c r="A124" i="47"/>
  <c r="A257" i="47"/>
  <c r="A89" i="47"/>
  <c r="A222" i="47"/>
  <c r="A54" i="47"/>
  <c r="A326" i="47"/>
  <c r="A158" i="47"/>
  <c r="A291" i="47"/>
  <c r="A123" i="47"/>
  <c r="A256" i="47"/>
  <c r="A88" i="47"/>
  <c r="A221" i="47"/>
  <c r="A53" i="47"/>
  <c r="A67" i="47"/>
  <c r="A235" i="47"/>
  <c r="A324" i="47"/>
  <c r="A156" i="47"/>
  <c r="A289" i="47"/>
  <c r="A121" i="47"/>
  <c r="A254" i="47"/>
  <c r="A86" i="47"/>
  <c r="A218" i="47"/>
  <c r="A50" i="47"/>
  <c r="A268" i="47"/>
  <c r="A100" i="47"/>
  <c r="A323" i="47"/>
  <c r="A155" i="47"/>
  <c r="A288" i="47"/>
  <c r="A120" i="47"/>
  <c r="A253" i="47"/>
  <c r="A85" i="47"/>
  <c r="A49" i="47"/>
  <c r="A217" i="47"/>
  <c r="A187" i="47"/>
  <c r="A19" i="47"/>
  <c r="A322" i="47"/>
  <c r="A154" i="47"/>
  <c r="A287" i="47"/>
  <c r="A119" i="47"/>
  <c r="A83" i="47"/>
  <c r="A251" i="47"/>
  <c r="A216" i="47"/>
  <c r="A48" i="47"/>
  <c r="A185" i="47"/>
  <c r="A17" i="47"/>
  <c r="A321" i="47"/>
  <c r="A153" i="47"/>
  <c r="A286" i="47"/>
  <c r="A118" i="47"/>
  <c r="A82" i="47"/>
  <c r="A250" i="47"/>
  <c r="A47" i="47"/>
  <c r="A215" i="47"/>
  <c r="A290" i="47"/>
  <c r="A122" i="47"/>
  <c r="A320" i="47"/>
  <c r="A152" i="47"/>
  <c r="A284" i="47"/>
  <c r="A116" i="47"/>
  <c r="A249" i="47"/>
  <c r="A81" i="47"/>
  <c r="A46" i="47"/>
  <c r="A214" i="47"/>
  <c r="A16" i="47"/>
  <c r="A184" i="47"/>
  <c r="A178" i="47"/>
  <c r="A10" i="47"/>
  <c r="A137" i="47"/>
  <c r="A305" i="47"/>
  <c r="A65" i="47"/>
  <c r="A233" i="47"/>
  <c r="A325" i="47"/>
  <c r="A157" i="47"/>
  <c r="A151" i="47"/>
  <c r="A319" i="47"/>
  <c r="A115" i="47"/>
  <c r="A283" i="47"/>
  <c r="A80" i="47"/>
  <c r="A248" i="47"/>
  <c r="A45" i="47"/>
  <c r="A213" i="47"/>
  <c r="A200" i="47"/>
  <c r="A32" i="47"/>
  <c r="A220" i="47"/>
  <c r="A52" i="47"/>
  <c r="A149" i="47"/>
  <c r="A317" i="47"/>
  <c r="A114" i="47"/>
  <c r="A282" i="47"/>
  <c r="A79" i="47"/>
  <c r="A247" i="47"/>
  <c r="A44" i="47"/>
  <c r="A212" i="47"/>
  <c r="A15" i="47"/>
  <c r="A183" i="47"/>
  <c r="A255" i="47"/>
  <c r="A87" i="47"/>
  <c r="A148" i="47"/>
  <c r="A316" i="47"/>
  <c r="A113" i="47"/>
  <c r="A281" i="47"/>
  <c r="A246" i="47"/>
  <c r="A78" i="47"/>
  <c r="A43" i="47"/>
  <c r="A211" i="47"/>
  <c r="A147" i="47"/>
  <c r="A315" i="47"/>
  <c r="A112" i="47"/>
  <c r="A280" i="47"/>
  <c r="A245" i="47"/>
  <c r="A77" i="47"/>
  <c r="A42" i="47"/>
  <c r="A210" i="47"/>
  <c r="A14" i="47"/>
  <c r="A182" i="47"/>
  <c r="A62" i="47"/>
  <c r="A230" i="47" s="1"/>
  <c r="A30" i="8" s="1"/>
  <c r="A29" i="28" s="1"/>
  <c r="F40" i="32"/>
  <c r="J54" i="31"/>
  <c r="J64" i="31" s="1"/>
  <c r="H54" i="31"/>
  <c r="H64" i="31" s="1"/>
  <c r="C26" i="33"/>
  <c r="G40" i="32"/>
  <c r="H49" i="29"/>
  <c r="D38" i="30"/>
  <c r="D42" i="30" s="1"/>
  <c r="G41" i="28"/>
  <c r="F41" i="28"/>
  <c r="E41" i="28"/>
  <c r="C49" i="29"/>
  <c r="D49" i="29"/>
  <c r="F49" i="29"/>
  <c r="F26" i="29"/>
  <c r="H40" i="32"/>
  <c r="E26" i="33"/>
  <c r="H38" i="30"/>
  <c r="H42" i="30" s="1"/>
  <c r="E38" i="30"/>
  <c r="E42" i="30" s="1"/>
  <c r="C54" i="31"/>
  <c r="C56" i="31" s="1"/>
  <c r="D55" i="31" s="1"/>
  <c r="L7" i="33"/>
  <c r="K7" i="33"/>
  <c r="J7" i="33"/>
  <c r="I7" i="33"/>
  <c r="M7" i="33"/>
  <c r="L8" i="33"/>
  <c r="M8" i="33"/>
  <c r="K8" i="33"/>
  <c r="I8" i="33"/>
  <c r="J8" i="33"/>
  <c r="L9" i="33"/>
  <c r="M9" i="33"/>
  <c r="K9" i="33"/>
  <c r="J9" i="33"/>
  <c r="I9" i="33"/>
  <c r="M11" i="33"/>
  <c r="L11" i="33"/>
  <c r="K11" i="33"/>
  <c r="J11" i="33"/>
  <c r="I11" i="33"/>
  <c r="M12" i="33"/>
  <c r="L12" i="33"/>
  <c r="K12" i="33"/>
  <c r="J12" i="33"/>
  <c r="I12" i="33"/>
  <c r="M13" i="33"/>
  <c r="L13" i="33"/>
  <c r="K13" i="33"/>
  <c r="J13" i="33"/>
  <c r="I13" i="33"/>
  <c r="I15" i="33"/>
  <c r="M15" i="33"/>
  <c r="K15" i="33"/>
  <c r="L15" i="33"/>
  <c r="J15" i="33"/>
  <c r="I18" i="33"/>
  <c r="J18" i="33"/>
  <c r="M18" i="33"/>
  <c r="L18" i="33"/>
  <c r="K18" i="33"/>
  <c r="M21" i="33"/>
  <c r="L21" i="33"/>
  <c r="K21" i="33"/>
  <c r="J21" i="33"/>
  <c r="I21" i="33"/>
  <c r="M22" i="33"/>
  <c r="L22" i="33"/>
  <c r="K22" i="33"/>
  <c r="J22" i="33"/>
  <c r="I22" i="33"/>
  <c r="K23" i="33"/>
  <c r="J23" i="33"/>
  <c r="I23" i="33"/>
  <c r="M23" i="33"/>
  <c r="L23" i="33"/>
  <c r="K24" i="33"/>
  <c r="M24" i="33"/>
  <c r="L24" i="33"/>
  <c r="J24" i="33"/>
  <c r="I24" i="33"/>
  <c r="K25" i="33"/>
  <c r="M25" i="33"/>
  <c r="L25" i="33"/>
  <c r="J25" i="33"/>
  <c r="I25" i="33"/>
  <c r="H26" i="33"/>
  <c r="G26" i="33"/>
  <c r="F26" i="33"/>
  <c r="G38" i="30"/>
  <c r="G42" i="30" s="1"/>
  <c r="F38" i="30"/>
  <c r="F42" i="30" s="1"/>
  <c r="C38" i="30"/>
  <c r="C42" i="30" s="1"/>
  <c r="C52" i="15"/>
  <c r="J36" i="26"/>
  <c r="M136" i="15"/>
  <c r="J16" i="26"/>
  <c r="I76" i="52"/>
  <c r="J76" i="52" s="1"/>
  <c r="F195" i="15"/>
  <c r="K85" i="48"/>
  <c r="J28" i="26"/>
  <c r="M39" i="30"/>
  <c r="L39" i="30"/>
  <c r="K39" i="30"/>
  <c r="J39" i="30"/>
  <c r="I39" i="30"/>
  <c r="M35" i="30"/>
  <c r="L35" i="30"/>
  <c r="K35" i="30"/>
  <c r="J35" i="30"/>
  <c r="I35" i="30"/>
  <c r="L33" i="30"/>
  <c r="K33" i="30"/>
  <c r="J33" i="30"/>
  <c r="I33" i="30"/>
  <c r="M33" i="30"/>
  <c r="M31" i="30"/>
  <c r="L31" i="30"/>
  <c r="K31" i="30"/>
  <c r="J31" i="30"/>
  <c r="I31" i="30"/>
  <c r="M29" i="30"/>
  <c r="L29" i="30"/>
  <c r="K29" i="30"/>
  <c r="J29" i="30"/>
  <c r="I29" i="30"/>
  <c r="J27" i="30"/>
  <c r="I27" i="30"/>
  <c r="K27" i="30"/>
  <c r="M27" i="30"/>
  <c r="L27" i="30"/>
  <c r="M26" i="30"/>
  <c r="L26" i="30"/>
  <c r="K26" i="30"/>
  <c r="J26" i="30"/>
  <c r="I26" i="30"/>
  <c r="M21" i="30"/>
  <c r="L21" i="30"/>
  <c r="K21" i="30"/>
  <c r="J21" i="30"/>
  <c r="I21" i="30"/>
  <c r="M19" i="30"/>
  <c r="L19" i="30"/>
  <c r="K19" i="30"/>
  <c r="J19" i="30"/>
  <c r="I19" i="30"/>
  <c r="R52" i="31"/>
  <c r="R54" i="31" s="1"/>
  <c r="I18" i="30"/>
  <c r="M18" i="30"/>
  <c r="L18" i="30"/>
  <c r="K18" i="30"/>
  <c r="J18" i="30"/>
  <c r="M17" i="30"/>
  <c r="L17" i="30"/>
  <c r="K17" i="30"/>
  <c r="J17" i="30"/>
  <c r="I17" i="30"/>
  <c r="M15" i="30"/>
  <c r="L15" i="30"/>
  <c r="K15" i="30"/>
  <c r="J15" i="30"/>
  <c r="I15" i="30"/>
  <c r="M14" i="30"/>
  <c r="L14" i="30"/>
  <c r="K14" i="30"/>
  <c r="J14" i="30"/>
  <c r="I14" i="30"/>
  <c r="M13" i="30"/>
  <c r="L13" i="30"/>
  <c r="K13" i="30"/>
  <c r="J13" i="30"/>
  <c r="I13" i="30"/>
  <c r="M16" i="30"/>
  <c r="L16" i="30"/>
  <c r="K16" i="30"/>
  <c r="J16" i="30"/>
  <c r="I16" i="30"/>
  <c r="M40" i="30"/>
  <c r="L40" i="30"/>
  <c r="K40" i="30"/>
  <c r="J40" i="30"/>
  <c r="I40" i="30"/>
  <c r="M41" i="30"/>
  <c r="L41" i="30"/>
  <c r="K41" i="30"/>
  <c r="J41" i="30"/>
  <c r="I41" i="30"/>
  <c r="K25" i="26"/>
  <c r="K28" i="26" s="1"/>
  <c r="L18" i="15"/>
  <c r="L114" i="15" s="1"/>
  <c r="L76" i="34"/>
  <c r="K174" i="17"/>
  <c r="I52" i="31"/>
  <c r="I54" i="31" s="1"/>
  <c r="I64" i="31" s="1"/>
  <c r="H56" i="26"/>
  <c r="G56" i="26"/>
  <c r="F56" i="26"/>
  <c r="E56" i="26"/>
  <c r="H30" i="26"/>
  <c r="G30" i="26"/>
  <c r="F30" i="26"/>
  <c r="E30" i="26"/>
  <c r="M52" i="31"/>
  <c r="M54" i="31" s="1"/>
  <c r="M64" i="31" s="1"/>
  <c r="J63" i="31"/>
  <c r="H63" i="31"/>
  <c r="J10" i="26"/>
  <c r="P52" i="31"/>
  <c r="P54" i="31" s="1"/>
  <c r="P64" i="31" s="1"/>
  <c r="I56" i="26"/>
  <c r="G124" i="15"/>
  <c r="G84" i="15"/>
  <c r="L56" i="26"/>
  <c r="J48" i="26"/>
  <c r="K63" i="31"/>
  <c r="M56" i="26"/>
  <c r="D56" i="26"/>
  <c r="K36" i="26"/>
  <c r="K16" i="26"/>
  <c r="M30" i="26"/>
  <c r="L30" i="26"/>
  <c r="I30" i="26"/>
  <c r="D30" i="26"/>
  <c r="J42" i="26"/>
  <c r="K42" i="26"/>
  <c r="K54" i="26"/>
  <c r="K48" i="26"/>
  <c r="K10" i="26"/>
  <c r="K22" i="26"/>
  <c r="J22" i="26"/>
  <c r="J54" i="26"/>
  <c r="L167" i="15"/>
  <c r="K55" i="7" s="1"/>
  <c r="L112" i="52"/>
  <c r="C120" i="1"/>
  <c r="G52" i="31"/>
  <c r="G54" i="31" s="1"/>
  <c r="G64" i="31" s="1"/>
  <c r="F52" i="31"/>
  <c r="F54" i="31" s="1"/>
  <c r="F64" i="31" s="1"/>
  <c r="L30" i="7"/>
  <c r="L34" i="7" s="1"/>
  <c r="J106" i="17"/>
  <c r="J174" i="17"/>
  <c r="J67" i="17"/>
  <c r="K177" i="17"/>
  <c r="D28" i="17"/>
  <c r="D10" i="10" s="1"/>
  <c r="K104" i="17"/>
  <c r="K106" i="17" s="1"/>
  <c r="J83" i="17"/>
  <c r="J85" i="17" s="1"/>
  <c r="L11" i="7"/>
  <c r="R20" i="30"/>
  <c r="K13" i="7"/>
  <c r="G103" i="27"/>
  <c r="J55" i="11"/>
  <c r="C65" i="11"/>
  <c r="F9" i="20" s="1"/>
  <c r="G13" i="22" s="1"/>
  <c r="H30" i="7"/>
  <c r="J49" i="11"/>
  <c r="K162" i="48"/>
  <c r="N21" i="31"/>
  <c r="N33" i="31" s="1"/>
  <c r="C76" i="11"/>
  <c r="C34" i="7"/>
  <c r="J38" i="13"/>
  <c r="H106" i="15"/>
  <c r="E103" i="27"/>
  <c r="F20" i="15"/>
  <c r="L13" i="7"/>
  <c r="D15" i="27"/>
  <c r="J30" i="27"/>
  <c r="M120" i="1"/>
  <c r="C40" i="13"/>
  <c r="C42" i="13" s="1"/>
  <c r="G5" i="22" s="1"/>
  <c r="J14" i="27"/>
  <c r="D99" i="27"/>
  <c r="C103" i="27"/>
  <c r="D31" i="27"/>
  <c r="K14" i="27"/>
  <c r="L14" i="27" s="1"/>
  <c r="K30" i="27"/>
  <c r="F99" i="27"/>
  <c r="H103" i="27"/>
  <c r="E48" i="27"/>
  <c r="E101" i="27" s="1"/>
  <c r="D103" i="27"/>
  <c r="J65" i="27"/>
  <c r="J97" i="27"/>
  <c r="D48" i="27"/>
  <c r="G48" i="27"/>
  <c r="G101" i="27" s="1"/>
  <c r="J81" i="27"/>
  <c r="O21" i="31"/>
  <c r="O33" i="31" s="1"/>
  <c r="K38" i="13"/>
  <c r="H40" i="13"/>
  <c r="H42" i="13" s="1"/>
  <c r="H7" i="14" s="1"/>
  <c r="H8" i="14" s="1"/>
  <c r="H10" i="14" s="1"/>
  <c r="D40" i="13"/>
  <c r="D42" i="13" s="1"/>
  <c r="C47" i="7" s="1"/>
  <c r="F40" i="13"/>
  <c r="F42" i="13" s="1"/>
  <c r="F7" i="14" s="1"/>
  <c r="F8" i="14" s="1"/>
  <c r="F10" i="14" s="1"/>
  <c r="I40" i="13"/>
  <c r="I42" i="13" s="1"/>
  <c r="I7" i="14" s="1"/>
  <c r="G40" i="13"/>
  <c r="G42" i="13" s="1"/>
  <c r="G7" i="14" s="1"/>
  <c r="K29" i="13"/>
  <c r="H44" i="7"/>
  <c r="F44" i="7"/>
  <c r="G44" i="7"/>
  <c r="I40" i="22"/>
  <c r="J19" i="13"/>
  <c r="E44" i="7"/>
  <c r="D47" i="7"/>
  <c r="B44" i="7"/>
  <c r="K140" i="48"/>
  <c r="K129" i="48"/>
  <c r="K118" i="48"/>
  <c r="K19" i="48"/>
  <c r="K8" i="48"/>
  <c r="I8" i="11"/>
  <c r="J8" i="11" s="1"/>
  <c r="L65" i="11"/>
  <c r="I9" i="20" s="1"/>
  <c r="J13" i="22" s="1"/>
  <c r="K72" i="11"/>
  <c r="K76" i="11" s="1"/>
  <c r="J72" i="11"/>
  <c r="J76" i="11" s="1"/>
  <c r="J59" i="11"/>
  <c r="F65" i="11"/>
  <c r="J12" i="22" s="1"/>
  <c r="K59" i="11"/>
  <c r="O20" i="33" s="1"/>
  <c r="K58" i="11"/>
  <c r="O19" i="33" s="1"/>
  <c r="I65" i="11"/>
  <c r="I91" i="11" s="1"/>
  <c r="G65" i="11"/>
  <c r="K12" i="22" s="1"/>
  <c r="O14" i="33"/>
  <c r="K49" i="11"/>
  <c r="O10" i="33" s="1"/>
  <c r="J45" i="11"/>
  <c r="K45" i="11"/>
  <c r="O6" i="33" s="1"/>
  <c r="C112" i="52"/>
  <c r="I112" i="34"/>
  <c r="J112" i="34" s="1"/>
  <c r="K30" i="18"/>
  <c r="J64" i="18"/>
  <c r="J24" i="18"/>
  <c r="M125" i="15"/>
  <c r="L120" i="1"/>
  <c r="M22" i="17"/>
  <c r="M9" i="10" s="1"/>
  <c r="R8" i="30" s="1"/>
  <c r="D167" i="15"/>
  <c r="C55" i="7" s="1"/>
  <c r="H188" i="15"/>
  <c r="E35" i="17"/>
  <c r="E11" i="10" s="1"/>
  <c r="C120" i="34"/>
  <c r="D120" i="37"/>
  <c r="L120" i="34"/>
  <c r="C194" i="15"/>
  <c r="C195" i="15" s="1"/>
  <c r="D112" i="1"/>
  <c r="J30" i="18"/>
  <c r="G59" i="16"/>
  <c r="K9" i="52"/>
  <c r="E57" i="16"/>
  <c r="I167" i="15"/>
  <c r="H55" i="7" s="1"/>
  <c r="K121" i="52"/>
  <c r="J146" i="15"/>
  <c r="K146" i="15" s="1"/>
  <c r="K167" i="15" s="1"/>
  <c r="L141" i="1"/>
  <c r="L112" i="34"/>
  <c r="M194" i="15"/>
  <c r="M195" i="15" s="1"/>
  <c r="K46" i="18"/>
  <c r="K24" i="18"/>
  <c r="K64" i="18"/>
  <c r="K53" i="14"/>
  <c r="K57" i="14" s="1"/>
  <c r="K19" i="14" s="1"/>
  <c r="J46" i="18"/>
  <c r="J36" i="18"/>
  <c r="K36" i="18"/>
  <c r="A151" i="48"/>
  <c r="A21" i="11" s="1"/>
  <c r="A19" i="32" s="1"/>
  <c r="A37" i="32" s="1"/>
  <c r="A140" i="48"/>
  <c r="A20" i="11" s="1"/>
  <c r="A18" i="32" s="1"/>
  <c r="A36" i="32" s="1"/>
  <c r="A129" i="48"/>
  <c r="A298" i="48" s="1"/>
  <c r="A37" i="11" s="1"/>
  <c r="A106" i="47"/>
  <c r="A274" i="47" s="1"/>
  <c r="A34" i="8" s="1"/>
  <c r="A33" i="28" s="1"/>
  <c r="A41" i="48"/>
  <c r="A11" i="11" s="1"/>
  <c r="A9" i="32" s="1"/>
  <c r="A27" i="32" s="1"/>
  <c r="A29" i="47"/>
  <c r="A197" i="47" s="1"/>
  <c r="A27" i="8" s="1"/>
  <c r="A26" i="28" s="1"/>
  <c r="A18" i="47"/>
  <c r="A8" i="8" s="1"/>
  <c r="A7" i="28" s="1"/>
  <c r="A8" i="48"/>
  <c r="A177" i="48" s="1"/>
  <c r="A26" i="11" s="1"/>
  <c r="C62" i="15"/>
  <c r="C63" i="15" s="1"/>
  <c r="D76" i="34"/>
  <c r="M112" i="1"/>
  <c r="C112" i="34"/>
  <c r="I76" i="53"/>
  <c r="J76" i="53" s="1"/>
  <c r="L190" i="15"/>
  <c r="L191" i="15" s="1"/>
  <c r="M120" i="52"/>
  <c r="J61" i="15"/>
  <c r="L76" i="53"/>
  <c r="M131" i="15"/>
  <c r="M112" i="34"/>
  <c r="L22" i="15"/>
  <c r="L24" i="15" s="1"/>
  <c r="M76" i="34"/>
  <c r="D18" i="15"/>
  <c r="M190" i="15"/>
  <c r="M191" i="15" s="1"/>
  <c r="I112" i="52"/>
  <c r="J112" i="52" s="1"/>
  <c r="K77" i="52"/>
  <c r="K193" i="15"/>
  <c r="C76" i="34"/>
  <c r="D120" i="34"/>
  <c r="M186" i="15"/>
  <c r="M188" i="15" s="1"/>
  <c r="I112" i="1"/>
  <c r="J112" i="1" s="1"/>
  <c r="K157" i="52"/>
  <c r="E191" i="15"/>
  <c r="G58" i="16"/>
  <c r="D57" i="15"/>
  <c r="C120" i="52"/>
  <c r="M63" i="15"/>
  <c r="D120" i="1"/>
  <c r="D120" i="52"/>
  <c r="K163" i="52"/>
  <c r="M76" i="1"/>
  <c r="M107" i="15"/>
  <c r="K28" i="52"/>
  <c r="I30" i="15"/>
  <c r="I31" i="15" s="1"/>
  <c r="M76" i="52"/>
  <c r="L120" i="37"/>
  <c r="M57" i="14"/>
  <c r="M19" i="14" s="1"/>
  <c r="D141" i="1"/>
  <c r="C8" i="52"/>
  <c r="L8" i="34"/>
  <c r="C117" i="15"/>
  <c r="M112" i="52"/>
  <c r="I120" i="34"/>
  <c r="J120" i="34" s="1"/>
  <c r="D125" i="15"/>
  <c r="G101" i="15"/>
  <c r="G133" i="15" s="1"/>
  <c r="E98" i="15"/>
  <c r="E86" i="15"/>
  <c r="E88" i="15" s="1"/>
  <c r="F76" i="53"/>
  <c r="C8" i="53"/>
  <c r="E77" i="15"/>
  <c r="E109" i="15" s="1"/>
  <c r="H89" i="15"/>
  <c r="H91" i="15" s="1"/>
  <c r="L91" i="15"/>
  <c r="M112" i="53"/>
  <c r="L112" i="53"/>
  <c r="G89" i="15"/>
  <c r="G91" i="15" s="1"/>
  <c r="E91" i="15"/>
  <c r="M121" i="15"/>
  <c r="F8" i="53"/>
  <c r="D120" i="53"/>
  <c r="H76" i="53"/>
  <c r="F141" i="53"/>
  <c r="H83" i="15"/>
  <c r="H84" i="15" s="1"/>
  <c r="H8" i="53"/>
  <c r="H129" i="15"/>
  <c r="E94" i="15"/>
  <c r="E95" i="15" s="1"/>
  <c r="I112" i="53"/>
  <c r="J112" i="53" s="1"/>
  <c r="G132" i="15"/>
  <c r="G110" i="15"/>
  <c r="C75" i="15"/>
  <c r="C107" i="15" s="1"/>
  <c r="F112" i="53"/>
  <c r="D8" i="53"/>
  <c r="D94" i="15"/>
  <c r="D95" i="15" s="1"/>
  <c r="C131" i="15"/>
  <c r="E75" i="15"/>
  <c r="E107" i="15" s="1"/>
  <c r="E76" i="53"/>
  <c r="L83" i="15"/>
  <c r="L84" i="15" s="1"/>
  <c r="C76" i="53"/>
  <c r="M86" i="15"/>
  <c r="M88" i="15" s="1"/>
  <c r="G94" i="15"/>
  <c r="G95" i="15" s="1"/>
  <c r="I94" i="15"/>
  <c r="M94" i="15"/>
  <c r="M95" i="15" s="1"/>
  <c r="I120" i="53"/>
  <c r="J120" i="53" s="1"/>
  <c r="F131" i="15"/>
  <c r="K160" i="52"/>
  <c r="C76" i="52"/>
  <c r="K70" i="52"/>
  <c r="H8" i="52"/>
  <c r="F8" i="52"/>
  <c r="G8" i="52"/>
  <c r="G169" i="52" s="1"/>
  <c r="G170" i="15" s="1"/>
  <c r="F56" i="7" s="1"/>
  <c r="E8" i="52"/>
  <c r="I8" i="52"/>
  <c r="J8" i="52" s="1"/>
  <c r="L120" i="52"/>
  <c r="L76" i="52"/>
  <c r="L8" i="52"/>
  <c r="D76" i="52"/>
  <c r="K14" i="52"/>
  <c r="E141" i="52"/>
  <c r="F120" i="52"/>
  <c r="F169" i="52" s="1"/>
  <c r="F170" i="15" s="1"/>
  <c r="E56" i="7" s="1"/>
  <c r="D8" i="52"/>
  <c r="K116" i="52"/>
  <c r="M8" i="1"/>
  <c r="I120" i="1"/>
  <c r="J120" i="1" s="1"/>
  <c r="E112" i="1"/>
  <c r="D186" i="15"/>
  <c r="F112" i="1"/>
  <c r="C76" i="1"/>
  <c r="E182" i="15"/>
  <c r="E184" i="15" s="1"/>
  <c r="H76" i="1"/>
  <c r="G76" i="1"/>
  <c r="F76" i="1"/>
  <c r="I76" i="1"/>
  <c r="J76" i="1" s="1"/>
  <c r="D76" i="1"/>
  <c r="C182" i="15"/>
  <c r="C184" i="15" s="1"/>
  <c r="F8" i="1"/>
  <c r="G8" i="1"/>
  <c r="G169" i="1" s="1"/>
  <c r="D8" i="1"/>
  <c r="C8" i="1"/>
  <c r="F172" i="15"/>
  <c r="F181" i="15" s="1"/>
  <c r="H172" i="15"/>
  <c r="H181" i="15" s="1"/>
  <c r="D172" i="15"/>
  <c r="E8" i="1"/>
  <c r="L188" i="15"/>
  <c r="L8" i="1"/>
  <c r="L76" i="1"/>
  <c r="L112" i="1"/>
  <c r="I8" i="1"/>
  <c r="M120" i="37"/>
  <c r="L59" i="15"/>
  <c r="M76" i="37"/>
  <c r="M105" i="15"/>
  <c r="C129" i="15"/>
  <c r="H62" i="15"/>
  <c r="H63" i="15" s="1"/>
  <c r="I141" i="37"/>
  <c r="J141" i="37" s="1"/>
  <c r="C120" i="37"/>
  <c r="I120" i="37"/>
  <c r="J120" i="37" s="1"/>
  <c r="H112" i="37"/>
  <c r="G51" i="15"/>
  <c r="G115" i="15" s="1"/>
  <c r="F52" i="15"/>
  <c r="D76" i="37"/>
  <c r="H76" i="37"/>
  <c r="C8" i="37"/>
  <c r="I8" i="37"/>
  <c r="F106" i="15"/>
  <c r="C106" i="15"/>
  <c r="L8" i="37"/>
  <c r="I58" i="15"/>
  <c r="M112" i="37"/>
  <c r="I55" i="15"/>
  <c r="F69" i="15"/>
  <c r="F133" i="15" s="1"/>
  <c r="C45" i="15"/>
  <c r="C109" i="15" s="1"/>
  <c r="D8" i="37"/>
  <c r="H130" i="15"/>
  <c r="I112" i="37"/>
  <c r="J112" i="37" s="1"/>
  <c r="L76" i="37"/>
  <c r="K152" i="37"/>
  <c r="K151" i="37" s="1"/>
  <c r="K64" i="15" s="1"/>
  <c r="F112" i="37"/>
  <c r="G131" i="15"/>
  <c r="I41" i="15"/>
  <c r="E8" i="37"/>
  <c r="L122" i="15"/>
  <c r="L30" i="15"/>
  <c r="L31" i="15" s="1"/>
  <c r="L27" i="15"/>
  <c r="M120" i="34"/>
  <c r="M27" i="15"/>
  <c r="M8" i="34"/>
  <c r="F30" i="15"/>
  <c r="F31" i="15" s="1"/>
  <c r="D141" i="34"/>
  <c r="C31" i="15"/>
  <c r="E28" i="15"/>
  <c r="E124" i="15" s="1"/>
  <c r="E112" i="34"/>
  <c r="E23" i="15"/>
  <c r="D23" i="15"/>
  <c r="F22" i="15"/>
  <c r="F24" i="15" s="1"/>
  <c r="D112" i="34"/>
  <c r="E22" i="15"/>
  <c r="I8" i="34"/>
  <c r="E8" i="34"/>
  <c r="H8" i="34"/>
  <c r="H120" i="34"/>
  <c r="I26" i="15"/>
  <c r="F8" i="34"/>
  <c r="F169" i="34" s="1"/>
  <c r="C24" i="15"/>
  <c r="I76" i="34"/>
  <c r="J76" i="34" s="1"/>
  <c r="E16" i="15"/>
  <c r="E112" i="15" s="1"/>
  <c r="E21" i="15"/>
  <c r="E117" i="15" s="1"/>
  <c r="D9" i="15"/>
  <c r="J29" i="15"/>
  <c r="M20" i="15"/>
  <c r="D198" i="46"/>
  <c r="C191" i="15"/>
  <c r="F105" i="15"/>
  <c r="H108" i="15"/>
  <c r="C133" i="15"/>
  <c r="M52" i="15"/>
  <c r="C27" i="15"/>
  <c r="M60" i="16"/>
  <c r="L130" i="15"/>
  <c r="E59" i="15"/>
  <c r="H195" i="15"/>
  <c r="G27" i="15"/>
  <c r="A188" i="48"/>
  <c r="A27" i="11" s="1"/>
  <c r="F117" i="15"/>
  <c r="L131" i="15"/>
  <c r="M110" i="15"/>
  <c r="L41" i="12"/>
  <c r="K40" i="7" s="1"/>
  <c r="L107" i="15"/>
  <c r="I222" i="46"/>
  <c r="J222" i="46" s="1"/>
  <c r="E340" i="47"/>
  <c r="L27" i="46"/>
  <c r="M7" i="46"/>
  <c r="I149" i="46"/>
  <c r="J149" i="46" s="1"/>
  <c r="H149" i="46"/>
  <c r="G76" i="46"/>
  <c r="F27" i="46"/>
  <c r="E27" i="46"/>
  <c r="D27" i="46"/>
  <c r="C130" i="15"/>
  <c r="L133" i="15"/>
  <c r="J54" i="16"/>
  <c r="K54" i="16" s="1"/>
  <c r="C105" i="15"/>
  <c r="E110" i="15"/>
  <c r="F107" i="15"/>
  <c r="H56" i="15"/>
  <c r="F95" i="15"/>
  <c r="F130" i="15"/>
  <c r="G125" i="15"/>
  <c r="F129" i="15"/>
  <c r="F110" i="15"/>
  <c r="L111" i="15"/>
  <c r="E125" i="15"/>
  <c r="A199" i="48"/>
  <c r="A28" i="11" s="1"/>
  <c r="C132" i="15"/>
  <c r="C81" i="16"/>
  <c r="B62" i="7" s="1"/>
  <c r="K67" i="17"/>
  <c r="K111" i="17"/>
  <c r="J111" i="17"/>
  <c r="F35" i="17"/>
  <c r="F11" i="10" s="1"/>
  <c r="K83" i="17"/>
  <c r="K85" i="17" s="1"/>
  <c r="J75" i="16"/>
  <c r="K75" i="16" s="1"/>
  <c r="E34" i="7"/>
  <c r="G130" i="15"/>
  <c r="L117" i="15"/>
  <c r="K21" i="17"/>
  <c r="K22" i="17" s="1"/>
  <c r="M129" i="15"/>
  <c r="G20" i="15"/>
  <c r="L110" i="15"/>
  <c r="L56" i="15"/>
  <c r="M41" i="12"/>
  <c r="L40" i="7" s="1"/>
  <c r="F122" i="15"/>
  <c r="M122" i="15"/>
  <c r="C115" i="15"/>
  <c r="C118" i="15"/>
  <c r="A18" i="8"/>
  <c r="A17" i="28" s="1"/>
  <c r="H58" i="16"/>
  <c r="F119" i="15"/>
  <c r="M108" i="15"/>
  <c r="E81" i="16"/>
  <c r="D62" i="7" s="1"/>
  <c r="L108" i="15"/>
  <c r="M124" i="15"/>
  <c r="F112" i="15"/>
  <c r="Q28" i="30"/>
  <c r="Q36" i="30" s="1"/>
  <c r="G112" i="15"/>
  <c r="F115" i="15"/>
  <c r="D22" i="17"/>
  <c r="D9" i="10" s="1"/>
  <c r="H41" i="12"/>
  <c r="G40" i="7" s="1"/>
  <c r="I125" i="15"/>
  <c r="H133" i="15"/>
  <c r="H27" i="15"/>
  <c r="H109" i="15"/>
  <c r="G109" i="15"/>
  <c r="H105" i="15"/>
  <c r="M59" i="15"/>
  <c r="F109" i="15"/>
  <c r="L57" i="14"/>
  <c r="L19" i="14" s="1"/>
  <c r="F91" i="15"/>
  <c r="H107" i="15"/>
  <c r="M130" i="15"/>
  <c r="L109" i="15"/>
  <c r="E131" i="15"/>
  <c r="G128" i="15"/>
  <c r="H132" i="15"/>
  <c r="G108" i="15"/>
  <c r="C111" i="15"/>
  <c r="F114" i="15"/>
  <c r="J76" i="16"/>
  <c r="K76" i="16" s="1"/>
  <c r="H57" i="16"/>
  <c r="L129" i="15"/>
  <c r="H110" i="15"/>
  <c r="G181" i="15"/>
  <c r="E128" i="15"/>
  <c r="J73" i="16"/>
  <c r="K73" i="16" s="1"/>
  <c r="H16" i="17"/>
  <c r="H8" i="10" s="1"/>
  <c r="B68" i="39"/>
  <c r="A1" i="8" s="1"/>
  <c r="I11" i="20"/>
  <c r="F17" i="15"/>
  <c r="F132" i="15"/>
  <c r="L112" i="15"/>
  <c r="H114" i="15"/>
  <c r="F27" i="15"/>
  <c r="F191" i="15"/>
  <c r="M128" i="15"/>
  <c r="D41" i="12"/>
  <c r="C40" i="7" s="1"/>
  <c r="L195" i="15"/>
  <c r="F125" i="15"/>
  <c r="M16" i="17"/>
  <c r="M8" i="10" s="1"/>
  <c r="H111" i="15"/>
  <c r="M181" i="15"/>
  <c r="J77" i="16"/>
  <c r="K77" i="16" s="1"/>
  <c r="M112" i="15"/>
  <c r="L105" i="15"/>
  <c r="L184" i="15"/>
  <c r="L16" i="17"/>
  <c r="L8" i="10" s="1"/>
  <c r="Q7" i="30" s="1"/>
  <c r="I22" i="17"/>
  <c r="I9" i="10" s="1"/>
  <c r="H49" i="15"/>
  <c r="D57" i="14"/>
  <c r="D19" i="14" s="1"/>
  <c r="M36" i="12"/>
  <c r="H112" i="15"/>
  <c r="G105" i="15"/>
  <c r="F63" i="15"/>
  <c r="L81" i="16"/>
  <c r="K62" i="7" s="1"/>
  <c r="L124" i="15"/>
  <c r="M132" i="15"/>
  <c r="M111" i="15"/>
  <c r="G107" i="15"/>
  <c r="H131" i="15"/>
  <c r="M81" i="15"/>
  <c r="H122" i="15"/>
  <c r="G57" i="16"/>
  <c r="B98" i="39"/>
  <c r="E28" i="17"/>
  <c r="E10" i="10" s="1"/>
  <c r="G188" i="15"/>
  <c r="L132" i="15"/>
  <c r="H81" i="15"/>
  <c r="G81" i="16"/>
  <c r="F62" i="7" s="1"/>
  <c r="G88" i="15"/>
  <c r="B77" i="39"/>
  <c r="A1" i="17" s="1"/>
  <c r="B81" i="39"/>
  <c r="A1" i="21" s="1"/>
  <c r="G119" i="15"/>
  <c r="M104" i="15"/>
  <c r="C59" i="15"/>
  <c r="G60" i="16"/>
  <c r="L49" i="15"/>
  <c r="F188" i="15"/>
  <c r="C57" i="14"/>
  <c r="C19" i="14" s="1"/>
  <c r="C112" i="15"/>
  <c r="G122" i="15"/>
  <c r="L88" i="15"/>
  <c r="L128" i="15"/>
  <c r="L119" i="15"/>
  <c r="H17" i="15"/>
  <c r="B34" i="7"/>
  <c r="L58" i="16"/>
  <c r="L121" i="15"/>
  <c r="E115" i="15"/>
  <c r="E111" i="15"/>
  <c r="M109" i="15"/>
  <c r="M133" i="15"/>
  <c r="G129" i="15"/>
  <c r="M117" i="15"/>
  <c r="I59" i="16"/>
  <c r="P26" i="33"/>
  <c r="M114" i="15"/>
  <c r="L15" i="7"/>
  <c r="H128" i="15"/>
  <c r="C110" i="15"/>
  <c r="L125" i="15"/>
  <c r="J11" i="20"/>
  <c r="B73" i="39"/>
  <c r="A1" i="13" s="1"/>
  <c r="L52" i="15"/>
  <c r="B99" i="39"/>
  <c r="A1" i="35" s="1"/>
  <c r="M91" i="15"/>
  <c r="R6" i="30"/>
  <c r="F41" i="12"/>
  <c r="E40" i="7" s="1"/>
  <c r="G106" i="15"/>
  <c r="H52" i="15"/>
  <c r="G56" i="15"/>
  <c r="M49" i="15"/>
  <c r="C128" i="15"/>
  <c r="B69" i="39"/>
  <c r="A1" i="9" s="1"/>
  <c r="G195" i="15"/>
  <c r="B74" i="39"/>
  <c r="A1" i="14" s="1"/>
  <c r="B75" i="39"/>
  <c r="A1" i="15" s="1"/>
  <c r="G81" i="15"/>
  <c r="G104" i="15"/>
  <c r="B86" i="39"/>
  <c r="A1" i="26" s="1"/>
  <c r="B89" i="39"/>
  <c r="A1" i="29" s="1"/>
  <c r="M115" i="15"/>
  <c r="B87" i="39"/>
  <c r="A1" i="27" s="1"/>
  <c r="B71" i="39"/>
  <c r="A1" i="11" s="1"/>
  <c r="C114" i="15"/>
  <c r="B76" i="39"/>
  <c r="A1" i="16" s="1"/>
  <c r="F11" i="20"/>
  <c r="B84" i="39"/>
  <c r="A1" i="24" s="1"/>
  <c r="M17" i="15"/>
  <c r="J51" i="16"/>
  <c r="K51" i="16" s="1"/>
  <c r="M58" i="16"/>
  <c r="H95" i="15"/>
  <c r="B88" i="39"/>
  <c r="A1" i="28" s="1"/>
  <c r="F88" i="15"/>
  <c r="B97" i="39"/>
  <c r="A1" i="52" s="1"/>
  <c r="B92" i="39"/>
  <c r="A1" i="32" s="1"/>
  <c r="L37" i="10"/>
  <c r="I7" i="20" s="1"/>
  <c r="K125" i="15"/>
  <c r="B85" i="39"/>
  <c r="A1" i="25" s="1"/>
  <c r="I28" i="17"/>
  <c r="I10" i="10" s="1"/>
  <c r="L17" i="15"/>
  <c r="B100" i="39"/>
  <c r="A1" i="36" s="1"/>
  <c r="C58" i="16"/>
  <c r="E84" i="15"/>
  <c r="C84" i="15"/>
  <c r="F111" i="15"/>
  <c r="H81" i="16"/>
  <c r="G62" i="7" s="1"/>
  <c r="C125" i="15"/>
  <c r="A219" i="47"/>
  <c r="A29" i="8" s="1"/>
  <c r="A28" i="28" s="1"/>
  <c r="A17" i="11"/>
  <c r="A15" i="32" s="1"/>
  <c r="A33" i="32" s="1"/>
  <c r="D59" i="16"/>
  <c r="C34" i="9"/>
  <c r="L81" i="15"/>
  <c r="C124" i="15"/>
  <c r="B80" i="39"/>
  <c r="A1" i="20" s="1"/>
  <c r="B79" i="39"/>
  <c r="A1" i="19" s="1"/>
  <c r="J35" i="17"/>
  <c r="F81" i="15"/>
  <c r="E63" i="15"/>
  <c r="E129" i="15"/>
  <c r="B93" i="39"/>
  <c r="A1" i="33" s="1"/>
  <c r="H125" i="15"/>
  <c r="E121" i="15"/>
  <c r="B72" i="39"/>
  <c r="A1" i="12" s="1"/>
  <c r="C108" i="15"/>
  <c r="E188" i="15"/>
  <c r="M106" i="15"/>
  <c r="B90" i="39"/>
  <c r="A1" i="30" s="1"/>
  <c r="H104" i="15"/>
  <c r="C181" i="15"/>
  <c r="L106" i="15"/>
  <c r="I14" i="22"/>
  <c r="G41" i="12"/>
  <c r="F40" i="7" s="1"/>
  <c r="C41" i="12"/>
  <c r="B40" i="7" s="1"/>
  <c r="L36" i="12"/>
  <c r="F227" i="15"/>
  <c r="H227" i="15"/>
  <c r="Q39" i="32"/>
  <c r="M342" i="48"/>
  <c r="A22" i="11"/>
  <c r="A20" i="32" s="1"/>
  <c r="A38" i="32" s="1"/>
  <c r="I342" i="48"/>
  <c r="J342" i="48" s="1"/>
  <c r="A232" i="48"/>
  <c r="A31" i="11" s="1"/>
  <c r="E10" i="11"/>
  <c r="J10" i="11" s="1"/>
  <c r="F173" i="48"/>
  <c r="I173" i="48"/>
  <c r="K151" i="48"/>
  <c r="C173" i="48"/>
  <c r="G41" i="11"/>
  <c r="D342" i="48"/>
  <c r="F37" i="11"/>
  <c r="E173" i="48"/>
  <c r="E342" i="48"/>
  <c r="K96" i="48"/>
  <c r="E29" i="11"/>
  <c r="L342" i="48"/>
  <c r="L41" i="11"/>
  <c r="G342" i="48"/>
  <c r="K63" i="48"/>
  <c r="L23" i="11"/>
  <c r="F15" i="11"/>
  <c r="J15" i="11" s="1"/>
  <c r="C342" i="48"/>
  <c r="K107" i="48"/>
  <c r="I26" i="11"/>
  <c r="L173" i="48"/>
  <c r="F342" i="48"/>
  <c r="A16" i="11"/>
  <c r="A14" i="32" s="1"/>
  <c r="A32" i="32" s="1"/>
  <c r="M41" i="11"/>
  <c r="M37" i="10"/>
  <c r="J7" i="20" s="1"/>
  <c r="R30" i="30"/>
  <c r="R36" i="30" s="1"/>
  <c r="F8" i="7"/>
  <c r="F12" i="7" s="1"/>
  <c r="H37" i="10"/>
  <c r="G19" i="7" s="1"/>
  <c r="G20" i="7" s="1"/>
  <c r="G8" i="20"/>
  <c r="I8" i="20"/>
  <c r="K17" i="7"/>
  <c r="K15" i="7"/>
  <c r="Q6" i="30"/>
  <c r="C37" i="10"/>
  <c r="F7" i="20" s="1"/>
  <c r="K11" i="7"/>
  <c r="E37" i="10"/>
  <c r="D19" i="7" s="1"/>
  <c r="D20" i="7" s="1"/>
  <c r="G23" i="10"/>
  <c r="G62" i="10" s="1"/>
  <c r="D7" i="7"/>
  <c r="F8" i="20"/>
  <c r="F9" i="8"/>
  <c r="D340" i="47"/>
  <c r="K208" i="47"/>
  <c r="M22" i="8"/>
  <c r="R11" i="28"/>
  <c r="R21" i="28" s="1"/>
  <c r="A263" i="47"/>
  <c r="A33" i="8" s="1"/>
  <c r="A32" i="28" s="1"/>
  <c r="D26" i="8"/>
  <c r="E26" i="8"/>
  <c r="E40" i="8" s="1"/>
  <c r="H340" i="47"/>
  <c r="F15" i="8"/>
  <c r="A7" i="8"/>
  <c r="A6" i="28" s="1"/>
  <c r="I340" i="47"/>
  <c r="J340" i="47" s="1"/>
  <c r="D172" i="47"/>
  <c r="C172" i="47"/>
  <c r="F340" i="47"/>
  <c r="M172" i="47"/>
  <c r="E17" i="8"/>
  <c r="C340" i="47"/>
  <c r="K318" i="47"/>
  <c r="C40" i="8"/>
  <c r="K161" i="47"/>
  <c r="E46" i="9"/>
  <c r="E44" i="9" s="1"/>
  <c r="E222" i="46"/>
  <c r="G25" i="9"/>
  <c r="G21" i="9" s="1"/>
  <c r="E7" i="46"/>
  <c r="D149" i="46"/>
  <c r="E7" i="9"/>
  <c r="L7" i="46"/>
  <c r="M222" i="46"/>
  <c r="M198" i="46"/>
  <c r="I27" i="46"/>
  <c r="J27" i="46" s="1"/>
  <c r="L222" i="46"/>
  <c r="I37" i="9"/>
  <c r="D129" i="46"/>
  <c r="G129" i="46"/>
  <c r="H222" i="46"/>
  <c r="H34" i="9"/>
  <c r="H11" i="9"/>
  <c r="I129" i="46"/>
  <c r="J129" i="46" s="1"/>
  <c r="D222" i="46"/>
  <c r="G17" i="9"/>
  <c r="C27" i="46"/>
  <c r="L13" i="9"/>
  <c r="Q12" i="29" s="1"/>
  <c r="F76" i="46"/>
  <c r="F7" i="9"/>
  <c r="L100" i="46"/>
  <c r="M76" i="46"/>
  <c r="E149" i="46"/>
  <c r="C129" i="46"/>
  <c r="L129" i="46"/>
  <c r="I100" i="46"/>
  <c r="J100" i="46" s="1"/>
  <c r="F100" i="46"/>
  <c r="R9" i="29"/>
  <c r="M7" i="9"/>
  <c r="R6" i="29" s="1"/>
  <c r="R31" i="29"/>
  <c r="M30" i="9"/>
  <c r="R29" i="29" s="1"/>
  <c r="Q23" i="29"/>
  <c r="L21" i="9"/>
  <c r="Q20" i="29" s="1"/>
  <c r="M149" i="46"/>
  <c r="H47" i="9"/>
  <c r="L9" i="9"/>
  <c r="L7" i="9" s="1"/>
  <c r="L198" i="46"/>
  <c r="G7" i="46"/>
  <c r="F13" i="9"/>
  <c r="M129" i="46"/>
  <c r="I7" i="46"/>
  <c r="J7" i="46" s="1"/>
  <c r="G149" i="46"/>
  <c r="D100" i="46"/>
  <c r="G222" i="46"/>
  <c r="C7" i="46"/>
  <c r="D7" i="46"/>
  <c r="M100" i="46"/>
  <c r="C12" i="9"/>
  <c r="C11" i="9" s="1"/>
  <c r="E129" i="46"/>
  <c r="F7" i="46"/>
  <c r="F22" i="9"/>
  <c r="M27" i="46"/>
  <c r="M45" i="9"/>
  <c r="M44" i="9" s="1"/>
  <c r="R43" i="29" s="1"/>
  <c r="C17" i="9"/>
  <c r="L149" i="46"/>
  <c r="L44" i="9"/>
  <c r="Q43" i="29" s="1"/>
  <c r="F45" i="9"/>
  <c r="F44" i="9" s="1"/>
  <c r="H27" i="46"/>
  <c r="C76" i="46"/>
  <c r="F222" i="46"/>
  <c r="F149" i="46"/>
  <c r="G100" i="46"/>
  <c r="K178" i="46"/>
  <c r="F129" i="46"/>
  <c r="F30" i="9"/>
  <c r="E30" i="9"/>
  <c r="F17" i="9"/>
  <c r="H129" i="46"/>
  <c r="H7" i="46"/>
  <c r="C100" i="46"/>
  <c r="C222" i="46"/>
  <c r="C121" i="15"/>
  <c r="C91" i="15"/>
  <c r="H30" i="9"/>
  <c r="E17" i="9"/>
  <c r="I76" i="46"/>
  <c r="J76" i="46" s="1"/>
  <c r="I19" i="9"/>
  <c r="K110" i="21"/>
  <c r="E104" i="15"/>
  <c r="B95" i="39"/>
  <c r="A1" i="37" s="1"/>
  <c r="E95" i="39"/>
  <c r="Q21" i="32"/>
  <c r="C41" i="11"/>
  <c r="M84" i="15"/>
  <c r="C122" i="15"/>
  <c r="G49" i="15"/>
  <c r="E132" i="15"/>
  <c r="F104" i="15"/>
  <c r="C20" i="15"/>
  <c r="J38" i="16"/>
  <c r="P3" i="28"/>
  <c r="K202" i="21"/>
  <c r="P3" i="31"/>
  <c r="O3" i="33"/>
  <c r="K156" i="21"/>
  <c r="K38" i="16"/>
  <c r="M227" i="15"/>
  <c r="L76" i="46"/>
  <c r="L19" i="9"/>
  <c r="Q18" i="29" s="1"/>
  <c r="E27" i="15"/>
  <c r="E122" i="15"/>
  <c r="H19" i="9"/>
  <c r="H17" i="9" s="1"/>
  <c r="H76" i="46"/>
  <c r="E49" i="15"/>
  <c r="H29" i="24"/>
  <c r="K97" i="27"/>
  <c r="L97" i="27" s="1"/>
  <c r="F50" i="24"/>
  <c r="E106" i="15"/>
  <c r="H59" i="15"/>
  <c r="C7" i="9"/>
  <c r="I29" i="24"/>
  <c r="B91" i="39"/>
  <c r="A1" i="31" s="1"/>
  <c r="E68" i="39"/>
  <c r="C30" i="9"/>
  <c r="E100" i="46"/>
  <c r="C21" i="9"/>
  <c r="B7" i="39"/>
  <c r="K201" i="21" s="1"/>
  <c r="G136" i="15"/>
  <c r="G167" i="15"/>
  <c r="J29" i="16"/>
  <c r="H41" i="11"/>
  <c r="K29" i="16"/>
  <c r="B83" i="39"/>
  <c r="A1" i="23" s="1"/>
  <c r="K177" i="48"/>
  <c r="J10" i="17"/>
  <c r="K9" i="17"/>
  <c r="K10" i="17" s="1"/>
  <c r="J54" i="25"/>
  <c r="B17" i="39"/>
  <c r="B4" i="39"/>
  <c r="E109" i="21" s="1"/>
  <c r="B2" i="39"/>
  <c r="E2" i="20" s="1"/>
  <c r="J67" i="7"/>
  <c r="G44" i="9"/>
  <c r="E108" i="15"/>
  <c r="E49" i="23"/>
  <c r="H51" i="25"/>
  <c r="B82" i="39"/>
  <c r="A1" i="22" s="1"/>
  <c r="B70" i="39"/>
  <c r="A1" i="10" s="1"/>
  <c r="H7" i="9"/>
  <c r="B66" i="7"/>
  <c r="C22" i="8"/>
  <c r="M38" i="16"/>
  <c r="D37" i="10"/>
  <c r="G7" i="20" s="1"/>
  <c r="J16" i="16"/>
  <c r="J17" i="16" s="1"/>
  <c r="E65" i="11"/>
  <c r="D65" i="11"/>
  <c r="C136" i="15"/>
  <c r="C167" i="15"/>
  <c r="D29" i="24"/>
  <c r="D50" i="24" s="1"/>
  <c r="C51" i="25"/>
  <c r="C54" i="25" s="1"/>
  <c r="E27" i="25"/>
  <c r="E54" i="25" s="1"/>
  <c r="I48" i="27"/>
  <c r="G49" i="29"/>
  <c r="E41" i="12"/>
  <c r="J29" i="13"/>
  <c r="F55" i="25"/>
  <c r="G184" i="15"/>
  <c r="C141" i="53"/>
  <c r="C94" i="15"/>
  <c r="F92" i="15"/>
  <c r="F124" i="15" s="1"/>
  <c r="H48" i="16"/>
  <c r="K50" i="18"/>
  <c r="K52" i="18" s="1"/>
  <c r="D48" i="23"/>
  <c r="D49" i="23" s="1"/>
  <c r="E55" i="25"/>
  <c r="K27" i="25"/>
  <c r="K54" i="25" s="1"/>
  <c r="C40" i="32"/>
  <c r="D26" i="33"/>
  <c r="H122" i="21"/>
  <c r="L22" i="17"/>
  <c r="L9" i="10" s="1"/>
  <c r="Q8" i="30" s="1"/>
  <c r="L57" i="16"/>
  <c r="F120" i="37"/>
  <c r="F57" i="15"/>
  <c r="F121" i="15" s="1"/>
  <c r="F96" i="15"/>
  <c r="F128" i="15" s="1"/>
  <c r="E48" i="16"/>
  <c r="G38" i="16"/>
  <c r="K48" i="24"/>
  <c r="K50" i="24" s="1"/>
  <c r="D55" i="25"/>
  <c r="E76" i="21"/>
  <c r="J107" i="21"/>
  <c r="I214" i="21"/>
  <c r="J235" i="21"/>
  <c r="G245" i="21"/>
  <c r="F76" i="21"/>
  <c r="J122" i="21"/>
  <c r="G153" i="21"/>
  <c r="H189" i="21"/>
  <c r="C99" i="27"/>
  <c r="E107" i="21"/>
  <c r="H153" i="21"/>
  <c r="M199" i="21"/>
  <c r="E76" i="37"/>
  <c r="E50" i="15"/>
  <c r="E52" i="15" s="1"/>
  <c r="F48" i="23"/>
  <c r="F49" i="23" s="1"/>
  <c r="J29" i="23"/>
  <c r="J49" i="23" s="1"/>
  <c r="I39" i="25"/>
  <c r="I25" i="25"/>
  <c r="C48" i="27"/>
  <c r="D41" i="28"/>
  <c r="E49" i="29"/>
  <c r="K145" i="17"/>
  <c r="J97" i="21"/>
  <c r="E122" i="21"/>
  <c r="M184" i="15"/>
  <c r="M296" i="21"/>
  <c r="L48" i="16"/>
  <c r="L38" i="16"/>
  <c r="L17" i="16"/>
  <c r="C41" i="28"/>
  <c r="E40" i="32"/>
  <c r="K76" i="21"/>
  <c r="G122" i="21"/>
  <c r="K168" i="21"/>
  <c r="L189" i="21"/>
  <c r="H199" i="21"/>
  <c r="G214" i="21"/>
  <c r="F214" i="21"/>
  <c r="M55" i="15"/>
  <c r="M119" i="15" s="1"/>
  <c r="F184" i="15"/>
  <c r="C186" i="15"/>
  <c r="C188" i="15" s="1"/>
  <c r="C112" i="1"/>
  <c r="H112" i="53"/>
  <c r="H169" i="53" s="1"/>
  <c r="H87" i="15"/>
  <c r="K105" i="52"/>
  <c r="D112" i="52"/>
  <c r="D81" i="16"/>
  <c r="C62" i="7" s="1"/>
  <c r="M120" i="53"/>
  <c r="K46" i="52"/>
  <c r="C22" i="17"/>
  <c r="C9" i="10" s="1"/>
  <c r="H124" i="15"/>
  <c r="F8" i="37"/>
  <c r="L120" i="53"/>
  <c r="D112" i="37"/>
  <c r="M272" i="21"/>
  <c r="F81" i="16"/>
  <c r="E62" i="7" s="1"/>
  <c r="H120" i="37"/>
  <c r="L112" i="37"/>
  <c r="C120" i="53"/>
  <c r="C16" i="17"/>
  <c r="C8" i="10" s="1"/>
  <c r="E59" i="16"/>
  <c r="D112" i="53"/>
  <c r="M8" i="52"/>
  <c r="I81" i="16"/>
  <c r="H62" i="7" s="1"/>
  <c r="J74" i="16"/>
  <c r="K74" i="16" s="1"/>
  <c r="F76" i="37"/>
  <c r="C76" i="37"/>
  <c r="E21" i="9"/>
  <c r="K199" i="46"/>
  <c r="F198" i="46"/>
  <c r="F41" i="9"/>
  <c r="G11" i="7"/>
  <c r="L63" i="31"/>
  <c r="L52" i="31"/>
  <c r="L54" i="31" s="1"/>
  <c r="A307" i="47"/>
  <c r="A37" i="8" s="1"/>
  <c r="A36" i="28" s="1"/>
  <c r="A19" i="8"/>
  <c r="A18" i="28" s="1"/>
  <c r="G198" i="46"/>
  <c r="G43" i="9"/>
  <c r="G40" i="9" s="1"/>
  <c r="D76" i="46"/>
  <c r="H173" i="48"/>
  <c r="H14" i="11"/>
  <c r="H23" i="11" s="1"/>
  <c r="K74" i="48"/>
  <c r="A1" i="40"/>
  <c r="B4" i="50"/>
  <c r="B8" i="50" s="1"/>
  <c r="A1" i="50"/>
  <c r="A287" i="48"/>
  <c r="A36" i="11" s="1"/>
  <c r="A18" i="11"/>
  <c r="A16" i="32" s="1"/>
  <c r="A34" i="32" s="1"/>
  <c r="H14" i="8"/>
  <c r="H22" i="8" s="1"/>
  <c r="H172" i="47"/>
  <c r="D11" i="8"/>
  <c r="J16" i="22"/>
  <c r="H20" i="20"/>
  <c r="M40" i="13"/>
  <c r="M42" i="13" s="1"/>
  <c r="L46" i="7"/>
  <c r="J8" i="20"/>
  <c r="B94" i="39"/>
  <c r="A1" i="34" s="1"/>
  <c r="L10" i="8"/>
  <c r="L172" i="47"/>
  <c r="H118" i="15"/>
  <c r="H24" i="15"/>
  <c r="F7" i="8"/>
  <c r="F172" i="47"/>
  <c r="G27" i="8"/>
  <c r="G340" i="47"/>
  <c r="H91" i="11"/>
  <c r="A10" i="8"/>
  <c r="A9" i="28" s="1"/>
  <c r="A208" i="47"/>
  <c r="A28" i="8" s="1"/>
  <c r="A27" i="28" s="1"/>
  <c r="H169" i="1"/>
  <c r="E67" i="39"/>
  <c r="B67" i="39"/>
  <c r="A1" i="7" s="1"/>
  <c r="C44" i="9"/>
  <c r="D14" i="11"/>
  <c r="D173" i="48"/>
  <c r="K38" i="27"/>
  <c r="J46" i="27"/>
  <c r="C23" i="11"/>
  <c r="F17" i="7"/>
  <c r="L78" i="27"/>
  <c r="K81" i="27"/>
  <c r="L81" i="27" s="1"/>
  <c r="G172" i="47"/>
  <c r="G11" i="8"/>
  <c r="I29" i="16"/>
  <c r="H65" i="7"/>
  <c r="E13" i="7"/>
  <c r="F37" i="10"/>
  <c r="I20" i="23"/>
  <c r="I17" i="23" s="1"/>
  <c r="H17" i="23"/>
  <c r="H29" i="23" s="1"/>
  <c r="G17" i="15"/>
  <c r="G111" i="15"/>
  <c r="G37" i="10"/>
  <c r="K88" i="46"/>
  <c r="I14" i="8"/>
  <c r="E105" i="15"/>
  <c r="G34" i="9"/>
  <c r="E227" i="15"/>
  <c r="R40" i="29"/>
  <c r="M40" i="9"/>
  <c r="R39" i="29" s="1"/>
  <c r="Q32" i="29"/>
  <c r="L30" i="9"/>
  <c r="F23" i="9"/>
  <c r="K30" i="7"/>
  <c r="K34" i="7" s="1"/>
  <c r="L181" i="15"/>
  <c r="M11" i="9"/>
  <c r="R12" i="29"/>
  <c r="I198" i="46"/>
  <c r="J198" i="46" s="1"/>
  <c r="I41" i="9"/>
  <c r="E11" i="9"/>
  <c r="H41" i="9"/>
  <c r="H40" i="9" s="1"/>
  <c r="H198" i="46"/>
  <c r="B96" i="39"/>
  <c r="A1" i="1" s="1"/>
  <c r="A318" i="47"/>
  <c r="A38" i="8" s="1"/>
  <c r="A37" i="28" s="1"/>
  <c r="A20" i="8"/>
  <c r="A19" i="28" s="1"/>
  <c r="G59" i="15"/>
  <c r="E43" i="9"/>
  <c r="E40" i="9" s="1"/>
  <c r="E198" i="46"/>
  <c r="G7" i="9"/>
  <c r="A85" i="48"/>
  <c r="A84" i="47"/>
  <c r="M24" i="15"/>
  <c r="G23" i="11"/>
  <c r="G12" i="9"/>
  <c r="G11" i="9" s="1"/>
  <c r="G27" i="46"/>
  <c r="H342" i="48"/>
  <c r="H24" i="9"/>
  <c r="H100" i="46"/>
  <c r="Q15" i="29"/>
  <c r="H101" i="27"/>
  <c r="A243" i="48"/>
  <c r="A32" i="11" s="1"/>
  <c r="Q6" i="33"/>
  <c r="Q26" i="33" s="1"/>
  <c r="M65" i="11"/>
  <c r="J9" i="20" s="1"/>
  <c r="K13" i="22" s="1"/>
  <c r="E34" i="11"/>
  <c r="E169" i="52"/>
  <c r="F84" i="15"/>
  <c r="L34" i="9"/>
  <c r="Q33" i="29" s="1"/>
  <c r="G30" i="9"/>
  <c r="G19" i="8"/>
  <c r="J50" i="24"/>
  <c r="A73" i="47"/>
  <c r="R39" i="32"/>
  <c r="M25" i="8"/>
  <c r="M340" i="47"/>
  <c r="F34" i="9"/>
  <c r="L25" i="8"/>
  <c r="L340" i="47"/>
  <c r="L104" i="15"/>
  <c r="E35" i="9"/>
  <c r="H25" i="8"/>
  <c r="H40" i="8" s="1"/>
  <c r="O17" i="33"/>
  <c r="C149" i="46"/>
  <c r="M19" i="9"/>
  <c r="M34" i="9"/>
  <c r="C42" i="9"/>
  <c r="C40" i="9" s="1"/>
  <c r="C198" i="46"/>
  <c r="M13" i="11"/>
  <c r="M173" i="48"/>
  <c r="I32" i="23"/>
  <c r="E181" i="15"/>
  <c r="K65" i="27"/>
  <c r="K7" i="47"/>
  <c r="L40" i="9"/>
  <c r="Q39" i="29" s="1"/>
  <c r="H32" i="23"/>
  <c r="A52" i="48"/>
  <c r="F76" i="11"/>
  <c r="E172" i="47"/>
  <c r="G29" i="16"/>
  <c r="G173" i="48"/>
  <c r="F31" i="8"/>
  <c r="E21" i="8"/>
  <c r="J21" i="8" s="1"/>
  <c r="M21" i="9"/>
  <c r="R20" i="29" s="1"/>
  <c r="E7" i="8"/>
  <c r="O36" i="31"/>
  <c r="O46" i="31" s="1"/>
  <c r="N46" i="31"/>
  <c r="Q52" i="31"/>
  <c r="Q54" i="31" s="1"/>
  <c r="Q63" i="31"/>
  <c r="K19" i="13"/>
  <c r="I141" i="1"/>
  <c r="J141" i="1" s="1"/>
  <c r="I194" i="15"/>
  <c r="I195" i="15" s="1"/>
  <c r="H42" i="23"/>
  <c r="E29" i="24"/>
  <c r="E50" i="24" s="1"/>
  <c r="C87" i="15"/>
  <c r="C88" i="15" s="1"/>
  <c r="C112" i="53"/>
  <c r="I8" i="53"/>
  <c r="J8" i="53" s="1"/>
  <c r="E141" i="34"/>
  <c r="E30" i="15"/>
  <c r="G141" i="34"/>
  <c r="G30" i="15"/>
  <c r="J52" i="16"/>
  <c r="K52" i="16" s="1"/>
  <c r="D96" i="15"/>
  <c r="G117" i="15"/>
  <c r="F57" i="16"/>
  <c r="F22" i="17"/>
  <c r="F9" i="10" s="1"/>
  <c r="H8" i="37"/>
  <c r="M141" i="34"/>
  <c r="M30" i="15"/>
  <c r="G50" i="15"/>
  <c r="G76" i="37"/>
  <c r="I17" i="16"/>
  <c r="L35" i="17"/>
  <c r="L11" i="10" s="1"/>
  <c r="L60" i="16"/>
  <c r="G29" i="23"/>
  <c r="G49" i="23" s="1"/>
  <c r="H191" i="15"/>
  <c r="G8" i="53"/>
  <c r="L40" i="13"/>
  <c r="L42" i="13" s="1"/>
  <c r="H53" i="15"/>
  <c r="J101" i="17"/>
  <c r="K97" i="17"/>
  <c r="K101" i="17" s="1"/>
  <c r="G11" i="20"/>
  <c r="F59" i="16"/>
  <c r="F16" i="17"/>
  <c r="F8" i="10" s="1"/>
  <c r="O40" i="32"/>
  <c r="E112" i="37"/>
  <c r="E55" i="15"/>
  <c r="E56" i="15" s="1"/>
  <c r="J40" i="18"/>
  <c r="K39" i="18"/>
  <c r="K40" i="18" s="1"/>
  <c r="K154" i="52"/>
  <c r="C55" i="15"/>
  <c r="C56" i="15" s="1"/>
  <c r="C112" i="37"/>
  <c r="H184" i="15"/>
  <c r="D76" i="53"/>
  <c r="F44" i="15"/>
  <c r="J53" i="16"/>
  <c r="K53" i="16" s="1"/>
  <c r="J145" i="17"/>
  <c r="I103" i="27"/>
  <c r="F28" i="17"/>
  <c r="F10" i="10" s="1"/>
  <c r="F58" i="16"/>
  <c r="G112" i="53"/>
  <c r="L62" i="15"/>
  <c r="L141" i="37"/>
  <c r="I76" i="37"/>
  <c r="J76" i="37" s="1"/>
  <c r="I51" i="15"/>
  <c r="F103" i="27"/>
  <c r="F48" i="27"/>
  <c r="F101" i="27" s="1"/>
  <c r="L141" i="53"/>
  <c r="L94" i="15"/>
  <c r="L95" i="15" s="1"/>
  <c r="E112" i="53"/>
  <c r="C48" i="23"/>
  <c r="H26" i="29"/>
  <c r="G120" i="37"/>
  <c r="G26" i="29"/>
  <c r="H112" i="52"/>
  <c r="M81" i="16"/>
  <c r="L62" i="7" s="1"/>
  <c r="M8" i="53"/>
  <c r="I199" i="21"/>
  <c r="L8" i="53"/>
  <c r="H168" i="21"/>
  <c r="F141" i="37"/>
  <c r="I88" i="21"/>
  <c r="J168" i="21"/>
  <c r="M76" i="53"/>
  <c r="F153" i="21"/>
  <c r="I120" i="52"/>
  <c r="J120" i="52" s="1"/>
  <c r="M8" i="37"/>
  <c r="D141" i="37"/>
  <c r="D54" i="31"/>
  <c r="I45" i="24"/>
  <c r="H45" i="24"/>
  <c r="G8" i="37"/>
  <c r="I122" i="21"/>
  <c r="L260" i="21"/>
  <c r="M252" i="21"/>
  <c r="M260" i="21" s="1"/>
  <c r="G112" i="37"/>
  <c r="M141" i="37"/>
  <c r="C49" i="23" l="1"/>
  <c r="J173" i="48"/>
  <c r="J60" i="16"/>
  <c r="J69" i="15"/>
  <c r="F2" i="20"/>
  <c r="E130" i="15"/>
  <c r="J8" i="10"/>
  <c r="P3" i="29"/>
  <c r="P3" i="30"/>
  <c r="K64" i="21"/>
  <c r="C2" i="27"/>
  <c r="I24" i="15"/>
  <c r="J172" i="47"/>
  <c r="K172" i="47" s="1"/>
  <c r="I108" i="15"/>
  <c r="I88" i="15"/>
  <c r="I14" i="12"/>
  <c r="H37" i="7" s="1"/>
  <c r="K40" i="11"/>
  <c r="P38" i="32" s="1"/>
  <c r="M38" i="32" s="1"/>
  <c r="I133" i="15"/>
  <c r="K32" i="8"/>
  <c r="P31" i="28" s="1"/>
  <c r="M31" i="28" s="1"/>
  <c r="J178" i="15"/>
  <c r="J198" i="15"/>
  <c r="I62" i="16"/>
  <c r="H61" i="7" s="1"/>
  <c r="I30" i="7"/>
  <c r="J30" i="7" s="1"/>
  <c r="I191" i="15"/>
  <c r="I21" i="9"/>
  <c r="I188" i="15"/>
  <c r="I131" i="15"/>
  <c r="K20" i="8"/>
  <c r="P19" i="28" s="1"/>
  <c r="L19" i="28" s="1"/>
  <c r="D115" i="15"/>
  <c r="K39" i="8"/>
  <c r="P38" i="28" s="1"/>
  <c r="L38" i="28" s="1"/>
  <c r="D105" i="15"/>
  <c r="I59" i="15"/>
  <c r="K12" i="8"/>
  <c r="P11" i="28" s="1"/>
  <c r="M11" i="28" s="1"/>
  <c r="D84" i="15"/>
  <c r="K37" i="8"/>
  <c r="P36" i="28" s="1"/>
  <c r="M36" i="28" s="1"/>
  <c r="D191" i="15"/>
  <c r="C2" i="1"/>
  <c r="H155" i="21"/>
  <c r="C2" i="24"/>
  <c r="J189" i="15"/>
  <c r="C2" i="26"/>
  <c r="J2" i="21"/>
  <c r="C2" i="17"/>
  <c r="I104" i="15"/>
  <c r="K100" i="53"/>
  <c r="K83" i="15" s="1"/>
  <c r="K115" i="15" s="1"/>
  <c r="K34" i="8"/>
  <c r="P33" i="28" s="1"/>
  <c r="K33" i="28" s="1"/>
  <c r="D106" i="15"/>
  <c r="I130" i="15"/>
  <c r="K28" i="53"/>
  <c r="K75" i="15" s="1"/>
  <c r="I7" i="9"/>
  <c r="J186" i="15"/>
  <c r="K33" i="11"/>
  <c r="P31" i="32" s="1"/>
  <c r="M31" i="32" s="1"/>
  <c r="I109" i="15"/>
  <c r="K39" i="11"/>
  <c r="P37" i="32" s="1"/>
  <c r="M37" i="32" s="1"/>
  <c r="K31" i="11"/>
  <c r="P29" i="32" s="1"/>
  <c r="M29" i="32" s="1"/>
  <c r="D117" i="15"/>
  <c r="K38" i="11"/>
  <c r="P36" i="32" s="1"/>
  <c r="J36" i="32" s="1"/>
  <c r="I117" i="15"/>
  <c r="I128" i="15"/>
  <c r="I184" i="15"/>
  <c r="D24" i="15"/>
  <c r="I132" i="15"/>
  <c r="D27" i="15"/>
  <c r="K36" i="11"/>
  <c r="P34" i="32" s="1"/>
  <c r="L34" i="32" s="1"/>
  <c r="K35" i="8"/>
  <c r="P34" i="28" s="1"/>
  <c r="K34" i="28" s="1"/>
  <c r="I44" i="9"/>
  <c r="I124" i="15"/>
  <c r="J192" i="15"/>
  <c r="I110" i="15"/>
  <c r="D130" i="15"/>
  <c r="D121" i="15"/>
  <c r="I91" i="15"/>
  <c r="K9" i="53"/>
  <c r="K72" i="15" s="1"/>
  <c r="J10" i="9"/>
  <c r="K10" i="9" s="1"/>
  <c r="I181" i="15"/>
  <c r="I17" i="15"/>
  <c r="I107" i="15"/>
  <c r="I118" i="15"/>
  <c r="I81" i="15"/>
  <c r="I112" i="15"/>
  <c r="K28" i="11"/>
  <c r="P26" i="32" s="1"/>
  <c r="K26" i="32" s="1"/>
  <c r="I84" i="15"/>
  <c r="I121" i="15"/>
  <c r="I20" i="15"/>
  <c r="I111" i="15"/>
  <c r="J35" i="9"/>
  <c r="K35" i="9" s="1"/>
  <c r="J45" i="9"/>
  <c r="K45" i="9" s="1"/>
  <c r="P44" i="29" s="1"/>
  <c r="J47" i="9"/>
  <c r="K47" i="9" s="1"/>
  <c r="P46" i="29" s="1"/>
  <c r="I129" i="15"/>
  <c r="J43" i="9"/>
  <c r="K43" i="9" s="1"/>
  <c r="P42" i="29" s="1"/>
  <c r="K2" i="7"/>
  <c r="L2" i="9"/>
  <c r="L2" i="7"/>
  <c r="M2" i="9"/>
  <c r="D88" i="15"/>
  <c r="D111" i="15"/>
  <c r="J12" i="9"/>
  <c r="K12" i="9" s="1"/>
  <c r="J46" i="9"/>
  <c r="K46" i="9" s="1"/>
  <c r="P45" i="29" s="1"/>
  <c r="J25" i="9"/>
  <c r="K25" i="9" s="1"/>
  <c r="P24" i="29" s="1"/>
  <c r="J22" i="9"/>
  <c r="K22" i="9" s="1"/>
  <c r="P21" i="29" s="1"/>
  <c r="B2" i="7"/>
  <c r="C2" i="9"/>
  <c r="J13" i="9"/>
  <c r="K13" i="9" s="1"/>
  <c r="P12" i="29" s="1"/>
  <c r="K29" i="8"/>
  <c r="P28" i="28" s="1"/>
  <c r="L28" i="28" s="1"/>
  <c r="D52" i="15"/>
  <c r="D110" i="15"/>
  <c r="D129" i="15"/>
  <c r="J23" i="9"/>
  <c r="K23" i="9" s="1"/>
  <c r="J24" i="9"/>
  <c r="K24" i="9" s="1"/>
  <c r="P23" i="29" s="1"/>
  <c r="I40" i="9"/>
  <c r="J41" i="9"/>
  <c r="K41" i="9" s="1"/>
  <c r="I106" i="15"/>
  <c r="I17" i="9"/>
  <c r="J19" i="9"/>
  <c r="K19" i="9" s="1"/>
  <c r="I114" i="15"/>
  <c r="I56" i="15"/>
  <c r="D188" i="15"/>
  <c r="J201" i="15"/>
  <c r="J174" i="15"/>
  <c r="D27" i="9"/>
  <c r="D50" i="9"/>
  <c r="I30" i="9"/>
  <c r="I27" i="15"/>
  <c r="J179" i="15"/>
  <c r="K141" i="52"/>
  <c r="I34" i="9"/>
  <c r="J37" i="9"/>
  <c r="K37" i="9" s="1"/>
  <c r="P36" i="29" s="1"/>
  <c r="I49" i="15"/>
  <c r="J172" i="15"/>
  <c r="K42" i="9"/>
  <c r="P41" i="29" s="1"/>
  <c r="P8" i="29"/>
  <c r="L8" i="29" s="1"/>
  <c r="D131" i="15"/>
  <c r="K46" i="53"/>
  <c r="K77" i="15" s="1"/>
  <c r="P48" i="29"/>
  <c r="K48" i="29" s="1"/>
  <c r="P31" i="29"/>
  <c r="L31" i="29" s="1"/>
  <c r="D104" i="15"/>
  <c r="P14" i="29"/>
  <c r="K14" i="29" s="1"/>
  <c r="P15" i="29"/>
  <c r="L15" i="29" s="1"/>
  <c r="D118" i="15"/>
  <c r="D107" i="15"/>
  <c r="K76" i="1"/>
  <c r="I44" i="7"/>
  <c r="J44" i="7" s="1"/>
  <c r="J15" i="8"/>
  <c r="K15" i="8" s="1"/>
  <c r="P14" i="28" s="1"/>
  <c r="J25" i="8"/>
  <c r="J34" i="11"/>
  <c r="K34" i="11" s="1"/>
  <c r="P32" i="32" s="1"/>
  <c r="J9" i="8"/>
  <c r="K9" i="8" s="1"/>
  <c r="P8" i="28" s="1"/>
  <c r="J17" i="8"/>
  <c r="K17" i="8" s="1"/>
  <c r="P16" i="28" s="1"/>
  <c r="J31" i="8"/>
  <c r="K31" i="8" s="1"/>
  <c r="P30" i="28" s="1"/>
  <c r="J14" i="11"/>
  <c r="K14" i="11" s="1"/>
  <c r="P12" i="32" s="1"/>
  <c r="J14" i="8"/>
  <c r="K14" i="8" s="1"/>
  <c r="P13" i="28" s="1"/>
  <c r="J11" i="10"/>
  <c r="K11" i="10" s="1"/>
  <c r="P10" i="30" s="1"/>
  <c r="J29" i="11"/>
  <c r="K29" i="11" s="1"/>
  <c r="P27" i="32" s="1"/>
  <c r="J37" i="11"/>
  <c r="K37" i="11" s="1"/>
  <c r="P35" i="32" s="1"/>
  <c r="J9" i="10"/>
  <c r="K9" i="10" s="1"/>
  <c r="P8" i="30" s="1"/>
  <c r="I40" i="7"/>
  <c r="J11" i="8"/>
  <c r="K11" i="8" s="1"/>
  <c r="P10" i="28" s="1"/>
  <c r="J19" i="8"/>
  <c r="K19" i="8" s="1"/>
  <c r="P18" i="28" s="1"/>
  <c r="J27" i="8"/>
  <c r="K27" i="8" s="1"/>
  <c r="P26" i="28" s="1"/>
  <c r="I65" i="7"/>
  <c r="J65" i="7" s="1"/>
  <c r="J10" i="10"/>
  <c r="K10" i="10" s="1"/>
  <c r="P9" i="30" s="1"/>
  <c r="J7" i="8"/>
  <c r="J26" i="8"/>
  <c r="K26" i="8" s="1"/>
  <c r="P25" i="28" s="1"/>
  <c r="H15" i="7"/>
  <c r="I15" i="7" s="1"/>
  <c r="J15" i="7" s="1"/>
  <c r="J29" i="10"/>
  <c r="K29" i="10" s="1"/>
  <c r="P28" i="30" s="1"/>
  <c r="I28" i="30" s="1"/>
  <c r="D108" i="15"/>
  <c r="I11" i="9"/>
  <c r="P30" i="29"/>
  <c r="M30" i="29" s="1"/>
  <c r="P38" i="29"/>
  <c r="L38" i="29" s="1"/>
  <c r="K112" i="1"/>
  <c r="H11" i="7"/>
  <c r="I11" i="7" s="1"/>
  <c r="J11" i="7" s="1"/>
  <c r="J21" i="10"/>
  <c r="K21" i="10" s="1"/>
  <c r="P20" i="30" s="1"/>
  <c r="K141" i="1"/>
  <c r="K120" i="1"/>
  <c r="I8" i="14"/>
  <c r="J7" i="14"/>
  <c r="H17" i="7"/>
  <c r="I17" i="7" s="1"/>
  <c r="J17" i="7" s="1"/>
  <c r="J31" i="10"/>
  <c r="K31" i="10" s="1"/>
  <c r="H8" i="20" s="1"/>
  <c r="D132" i="15"/>
  <c r="P25" i="29"/>
  <c r="J25" i="29" s="1"/>
  <c r="D91" i="15"/>
  <c r="I41" i="11"/>
  <c r="J26" i="11"/>
  <c r="K26" i="11" s="1"/>
  <c r="J38" i="8"/>
  <c r="K38" i="8" s="1"/>
  <c r="P37" i="28" s="1"/>
  <c r="C8" i="7"/>
  <c r="C12" i="7" s="1"/>
  <c r="C19" i="7"/>
  <c r="C20" i="7" s="1"/>
  <c r="I40" i="8"/>
  <c r="P37" i="29"/>
  <c r="L37" i="29" s="1"/>
  <c r="D181" i="15"/>
  <c r="K39" i="52"/>
  <c r="D133" i="15"/>
  <c r="D81" i="15"/>
  <c r="D112" i="15"/>
  <c r="D124" i="15"/>
  <c r="K13" i="8"/>
  <c r="P12" i="28" s="1"/>
  <c r="K12" i="28" s="1"/>
  <c r="K32" i="11"/>
  <c r="P30" i="32" s="1"/>
  <c r="L30" i="32" s="1"/>
  <c r="C104" i="15"/>
  <c r="P19" i="29"/>
  <c r="J19" i="29" s="1"/>
  <c r="K33" i="8"/>
  <c r="P32" i="28" s="1"/>
  <c r="J32" i="28" s="1"/>
  <c r="P13" i="29"/>
  <c r="M13" i="29" s="1"/>
  <c r="K36" i="8"/>
  <c r="P35" i="28" s="1"/>
  <c r="I35" i="28" s="1"/>
  <c r="K30" i="11"/>
  <c r="P28" i="32" s="1"/>
  <c r="L28" i="32" s="1"/>
  <c r="D122" i="15"/>
  <c r="D114" i="15"/>
  <c r="K166" i="52"/>
  <c r="K54" i="52"/>
  <c r="D184" i="15"/>
  <c r="D109" i="15"/>
  <c r="D49" i="15"/>
  <c r="K35" i="11"/>
  <c r="P33" i="32" s="1"/>
  <c r="L33" i="32" s="1"/>
  <c r="K16" i="8"/>
  <c r="P15" i="28" s="1"/>
  <c r="K15" i="28" s="1"/>
  <c r="J38" i="7"/>
  <c r="K27" i="11"/>
  <c r="P25" i="32" s="1"/>
  <c r="L25" i="32" s="1"/>
  <c r="K100" i="52"/>
  <c r="K133" i="52"/>
  <c r="K113" i="52"/>
  <c r="D56" i="15"/>
  <c r="K8" i="8"/>
  <c r="P7" i="28" s="1"/>
  <c r="M7" i="28" s="1"/>
  <c r="K18" i="8"/>
  <c r="P17" i="28" s="1"/>
  <c r="L17" i="28" s="1"/>
  <c r="K10" i="8"/>
  <c r="P9" i="28" s="1"/>
  <c r="M9" i="28" s="1"/>
  <c r="K143" i="52"/>
  <c r="D41" i="11"/>
  <c r="K30" i="8"/>
  <c r="P29" i="28" s="1"/>
  <c r="M29" i="28" s="1"/>
  <c r="K64" i="52"/>
  <c r="J8" i="1"/>
  <c r="K8" i="1" s="1"/>
  <c r="M2" i="12"/>
  <c r="M2" i="18"/>
  <c r="M2" i="53"/>
  <c r="K21" i="8"/>
  <c r="P20" i="28" s="1"/>
  <c r="L20" i="28" s="1"/>
  <c r="Q3" i="28"/>
  <c r="L2" i="18"/>
  <c r="L2" i="53"/>
  <c r="K15" i="11"/>
  <c r="P13" i="32" s="1"/>
  <c r="J13" i="32" s="1"/>
  <c r="K8" i="11"/>
  <c r="P6" i="32" s="1"/>
  <c r="I6" i="32" s="1"/>
  <c r="C2" i="33"/>
  <c r="C2" i="18"/>
  <c r="C2" i="53"/>
  <c r="K10" i="11"/>
  <c r="P8" i="32" s="1"/>
  <c r="J8" i="37"/>
  <c r="K8" i="37" s="1"/>
  <c r="D40" i="8"/>
  <c r="D55" i="8" s="1"/>
  <c r="K120" i="52"/>
  <c r="D43" i="14"/>
  <c r="J8" i="34"/>
  <c r="K8" i="34" s="1"/>
  <c r="I48" i="23"/>
  <c r="F169" i="1"/>
  <c r="H54" i="25"/>
  <c r="G50" i="24"/>
  <c r="E57" i="26"/>
  <c r="G54" i="25"/>
  <c r="R3" i="29"/>
  <c r="M3" i="35"/>
  <c r="M2" i="13"/>
  <c r="R3" i="30"/>
  <c r="H63" i="21"/>
  <c r="O247" i="21"/>
  <c r="M64" i="21"/>
  <c r="M2" i="19"/>
  <c r="F63" i="21"/>
  <c r="M2" i="52"/>
  <c r="H2" i="21"/>
  <c r="K2" i="25"/>
  <c r="E2" i="22"/>
  <c r="J61" i="16"/>
  <c r="K61" i="16" s="1"/>
  <c r="M2" i="47"/>
  <c r="R3" i="28"/>
  <c r="M2" i="1"/>
  <c r="M2" i="11"/>
  <c r="M2" i="48"/>
  <c r="J2" i="20"/>
  <c r="R3" i="32"/>
  <c r="M2" i="10"/>
  <c r="M2" i="8"/>
  <c r="M202" i="21"/>
  <c r="M110" i="21"/>
  <c r="F201" i="21"/>
  <c r="M2" i="34"/>
  <c r="M2" i="26"/>
  <c r="F109" i="21"/>
  <c r="Q3" i="35"/>
  <c r="M2" i="46"/>
  <c r="G8" i="7"/>
  <c r="G12" i="7" s="1"/>
  <c r="G21" i="7" s="1"/>
  <c r="G24" i="7" s="1"/>
  <c r="G26" i="7" s="1"/>
  <c r="M2" i="16"/>
  <c r="M2" i="37"/>
  <c r="M2" i="15"/>
  <c r="M2" i="36"/>
  <c r="R3" i="31"/>
  <c r="M156" i="21"/>
  <c r="K2" i="24"/>
  <c r="M2" i="14"/>
  <c r="K2" i="23"/>
  <c r="K3" i="22"/>
  <c r="D2" i="20"/>
  <c r="G118" i="15"/>
  <c r="M2" i="17"/>
  <c r="I101" i="27"/>
  <c r="K17" i="16"/>
  <c r="E169" i="1"/>
  <c r="K160" i="37"/>
  <c r="K67" i="15" s="1"/>
  <c r="H55" i="25"/>
  <c r="K194" i="15"/>
  <c r="K195" i="15" s="1"/>
  <c r="C2" i="30"/>
  <c r="H169" i="52"/>
  <c r="H170" i="15" s="1"/>
  <c r="G56" i="7" s="1"/>
  <c r="H109" i="21"/>
  <c r="C2" i="15"/>
  <c r="C2" i="13"/>
  <c r="C2" i="37"/>
  <c r="J55" i="15"/>
  <c r="J119" i="15" s="1"/>
  <c r="C2" i="8"/>
  <c r="C2" i="52"/>
  <c r="C2" i="25"/>
  <c r="C2" i="19"/>
  <c r="K8" i="52"/>
  <c r="D101" i="27"/>
  <c r="F57" i="26"/>
  <c r="I52" i="25"/>
  <c r="I28" i="25"/>
  <c r="C2" i="31"/>
  <c r="H48" i="24"/>
  <c r="H50" i="24" s="1"/>
  <c r="G169" i="34"/>
  <c r="C2" i="28"/>
  <c r="C2" i="47"/>
  <c r="I27" i="25"/>
  <c r="C2" i="36"/>
  <c r="H201" i="21"/>
  <c r="J99" i="27"/>
  <c r="G57" i="26"/>
  <c r="H57" i="26"/>
  <c r="I29" i="23"/>
  <c r="C2" i="48"/>
  <c r="C2" i="10"/>
  <c r="I48" i="24"/>
  <c r="I50" i="24" s="1"/>
  <c r="C2" i="14"/>
  <c r="C2" i="16"/>
  <c r="I51" i="25"/>
  <c r="C2" i="11"/>
  <c r="C2" i="34"/>
  <c r="H48" i="23"/>
  <c r="H49" i="23" s="1"/>
  <c r="C2" i="12"/>
  <c r="C2" i="29"/>
  <c r="E247" i="21"/>
  <c r="E47" i="7"/>
  <c r="C2" i="32"/>
  <c r="C2" i="23"/>
  <c r="K112" i="34"/>
  <c r="I37" i="10"/>
  <c r="J14" i="12"/>
  <c r="J27" i="12" s="1"/>
  <c r="B37" i="7"/>
  <c r="C27" i="12"/>
  <c r="G47" i="7"/>
  <c r="I23" i="10"/>
  <c r="H13" i="7"/>
  <c r="I13" i="7" s="1"/>
  <c r="D62" i="16"/>
  <c r="C61" i="7" s="1"/>
  <c r="C62" i="16"/>
  <c r="B61" i="7" s="1"/>
  <c r="K60" i="16"/>
  <c r="I12" i="30"/>
  <c r="K12" i="30"/>
  <c r="M12" i="30"/>
  <c r="L12" i="30"/>
  <c r="J12" i="30"/>
  <c r="F118" i="15"/>
  <c r="I22" i="8"/>
  <c r="J7" i="7"/>
  <c r="P6" i="30"/>
  <c r="A285" i="47"/>
  <c r="A35" i="8" s="1"/>
  <c r="A34" i="28" s="1"/>
  <c r="A329" i="47"/>
  <c r="A39" i="8" s="1"/>
  <c r="A38" i="28" s="1"/>
  <c r="H51" i="29"/>
  <c r="E51" i="29"/>
  <c r="A320" i="48"/>
  <c r="A39" i="11" s="1"/>
  <c r="E24" i="15"/>
  <c r="E120" i="15" s="1"/>
  <c r="A12" i="8"/>
  <c r="A11" i="28" s="1"/>
  <c r="A309" i="48"/>
  <c r="A38" i="11" s="1"/>
  <c r="A210" i="48"/>
  <c r="A29" i="11" s="1"/>
  <c r="I57" i="26"/>
  <c r="D56" i="31"/>
  <c r="E55" i="31" s="1"/>
  <c r="E56" i="31" s="1"/>
  <c r="F55" i="31" s="1"/>
  <c r="F56" i="31" s="1"/>
  <c r="G55" i="31" s="1"/>
  <c r="G56" i="31" s="1"/>
  <c r="H55" i="31" s="1"/>
  <c r="H56" i="31" s="1"/>
  <c r="I55" i="31" s="1"/>
  <c r="I56" i="31" s="1"/>
  <c r="J55" i="31" s="1"/>
  <c r="J56" i="31" s="1"/>
  <c r="K55" i="31" s="1"/>
  <c r="K56" i="31" s="1"/>
  <c r="L55" i="31" s="1"/>
  <c r="L56" i="31" s="1"/>
  <c r="M55" i="31" s="1"/>
  <c r="M56" i="31" s="1"/>
  <c r="N55" i="31" s="1"/>
  <c r="K198" i="15"/>
  <c r="N8" i="33"/>
  <c r="F120" i="15"/>
  <c r="A186" i="47"/>
  <c r="A26" i="8" s="1"/>
  <c r="A25" i="28" s="1"/>
  <c r="F51" i="29"/>
  <c r="D51" i="29"/>
  <c r="C51" i="29"/>
  <c r="J183" i="15"/>
  <c r="N11" i="33"/>
  <c r="G51" i="29"/>
  <c r="N26" i="30"/>
  <c r="O26" i="30" s="1"/>
  <c r="N9" i="33"/>
  <c r="K113" i="37"/>
  <c r="K54" i="15" s="1"/>
  <c r="K56" i="15" s="1"/>
  <c r="M14" i="33"/>
  <c r="M10" i="33" s="1"/>
  <c r="L14" i="33"/>
  <c r="L10" i="33" s="1"/>
  <c r="K14" i="33"/>
  <c r="K10" i="33" s="1"/>
  <c r="J14" i="33"/>
  <c r="J10" i="33" s="1"/>
  <c r="I14" i="33"/>
  <c r="I10" i="33" s="1"/>
  <c r="M19" i="33"/>
  <c r="L19" i="33"/>
  <c r="K19" i="33"/>
  <c r="J19" i="33"/>
  <c r="I19" i="33"/>
  <c r="M47" i="29"/>
  <c r="L47" i="29"/>
  <c r="K47" i="29"/>
  <c r="J47" i="29"/>
  <c r="I47" i="29"/>
  <c r="I35" i="29"/>
  <c r="M35" i="29"/>
  <c r="L35" i="29"/>
  <c r="K35" i="29"/>
  <c r="J35" i="29"/>
  <c r="I17" i="33"/>
  <c r="M17" i="33"/>
  <c r="L17" i="33"/>
  <c r="K17" i="33"/>
  <c r="J17" i="33"/>
  <c r="M32" i="29"/>
  <c r="L32" i="29"/>
  <c r="K32" i="29"/>
  <c r="J32" i="29"/>
  <c r="I32" i="29"/>
  <c r="N12" i="33"/>
  <c r="N13" i="33"/>
  <c r="N39" i="30"/>
  <c r="N13" i="30"/>
  <c r="O13" i="30" s="1"/>
  <c r="N24" i="33"/>
  <c r="N18" i="33"/>
  <c r="N23" i="33"/>
  <c r="N40" i="30"/>
  <c r="N25" i="33"/>
  <c r="N33" i="30"/>
  <c r="O33" i="30" s="1"/>
  <c r="N18" i="30"/>
  <c r="O18" i="30" s="1"/>
  <c r="N15" i="33"/>
  <c r="N14" i="30"/>
  <c r="O14" i="30" s="1"/>
  <c r="N19" i="30"/>
  <c r="O19" i="30" s="1"/>
  <c r="N41" i="30"/>
  <c r="N35" i="30"/>
  <c r="O35" i="30" s="1"/>
  <c r="N16" i="30"/>
  <c r="O16" i="30" s="1"/>
  <c r="N29" i="30"/>
  <c r="O29" i="30" s="1"/>
  <c r="N15" i="30"/>
  <c r="O15" i="30" s="1"/>
  <c r="N21" i="30"/>
  <c r="O21" i="30" s="1"/>
  <c r="N27" i="30"/>
  <c r="O27" i="30" s="1"/>
  <c r="N31" i="30"/>
  <c r="O31" i="30" s="1"/>
  <c r="M20" i="33"/>
  <c r="N7" i="33"/>
  <c r="E62" i="16"/>
  <c r="D61" i="7" s="1"/>
  <c r="J6" i="33"/>
  <c r="K6" i="33"/>
  <c r="N17" i="30"/>
  <c r="O17" i="30" s="1"/>
  <c r="L20" i="15"/>
  <c r="L116" i="15" s="1"/>
  <c r="L6" i="33"/>
  <c r="M6" i="33"/>
  <c r="N22" i="33"/>
  <c r="I20" i="32"/>
  <c r="M20" i="32"/>
  <c r="L20" i="32"/>
  <c r="K20" i="32"/>
  <c r="J20" i="32"/>
  <c r="N21" i="33"/>
  <c r="M17" i="32"/>
  <c r="L17" i="32"/>
  <c r="K17" i="32"/>
  <c r="J17" i="32"/>
  <c r="I17" i="32"/>
  <c r="M16" i="32"/>
  <c r="L16" i="32"/>
  <c r="K16" i="32"/>
  <c r="J16" i="32"/>
  <c r="I16" i="32"/>
  <c r="M34" i="30"/>
  <c r="L34" i="30"/>
  <c r="K34" i="30"/>
  <c r="J34" i="30"/>
  <c r="I34" i="30"/>
  <c r="M9" i="32"/>
  <c r="L9" i="32"/>
  <c r="K9" i="32"/>
  <c r="J9" i="32"/>
  <c r="I9" i="32"/>
  <c r="M13" i="32"/>
  <c r="M32" i="30"/>
  <c r="L32" i="30"/>
  <c r="K32" i="30"/>
  <c r="J32" i="30"/>
  <c r="I32" i="30"/>
  <c r="M18" i="32"/>
  <c r="L18" i="32"/>
  <c r="K18" i="32"/>
  <c r="J18" i="32"/>
  <c r="I18" i="32"/>
  <c r="M11" i="32"/>
  <c r="L11" i="32"/>
  <c r="K11" i="32"/>
  <c r="J11" i="32"/>
  <c r="I11" i="32"/>
  <c r="L17" i="29"/>
  <c r="K17" i="29"/>
  <c r="J17" i="29"/>
  <c r="I17" i="29"/>
  <c r="M17" i="29"/>
  <c r="M27" i="28"/>
  <c r="L27" i="28"/>
  <c r="K27" i="28"/>
  <c r="J27" i="28"/>
  <c r="I27" i="28"/>
  <c r="M14" i="32"/>
  <c r="L14" i="32"/>
  <c r="K14" i="32"/>
  <c r="J14" i="32"/>
  <c r="I14" i="32"/>
  <c r="I20" i="33"/>
  <c r="M15" i="32"/>
  <c r="L15" i="32"/>
  <c r="K15" i="32"/>
  <c r="J15" i="32"/>
  <c r="I15" i="32"/>
  <c r="J20" i="33"/>
  <c r="M19" i="32"/>
  <c r="L19" i="32"/>
  <c r="K19" i="32"/>
  <c r="J19" i="32"/>
  <c r="I19" i="32"/>
  <c r="I7" i="32"/>
  <c r="J7" i="32"/>
  <c r="M7" i="32"/>
  <c r="L7" i="32"/>
  <c r="K7" i="32"/>
  <c r="K20" i="33"/>
  <c r="I6" i="33"/>
  <c r="L20" i="33"/>
  <c r="D23" i="10"/>
  <c r="G19" i="20" s="1"/>
  <c r="P56" i="31"/>
  <c r="Q55" i="31" s="1"/>
  <c r="Q56" i="31" s="1"/>
  <c r="R55" i="31" s="1"/>
  <c r="R56" i="31" s="1"/>
  <c r="D57" i="26"/>
  <c r="M169" i="34"/>
  <c r="H34" i="7"/>
  <c r="L169" i="34"/>
  <c r="G12" i="22"/>
  <c r="C91" i="11"/>
  <c r="L57" i="26"/>
  <c r="J30" i="26"/>
  <c r="L227" i="15"/>
  <c r="J56" i="26"/>
  <c r="F116" i="15"/>
  <c r="E81" i="15"/>
  <c r="E71" i="15" s="1"/>
  <c r="C7" i="14"/>
  <c r="C8" i="14" s="1"/>
  <c r="C10" i="14" s="1"/>
  <c r="J34" i="15"/>
  <c r="J130" i="15" s="1"/>
  <c r="K46" i="27"/>
  <c r="L46" i="27" s="1"/>
  <c r="L38" i="27"/>
  <c r="K30" i="26"/>
  <c r="K56" i="26"/>
  <c r="K13" i="18"/>
  <c r="K19" i="18" s="1"/>
  <c r="L16" i="18" s="1"/>
  <c r="L19" i="18" s="1"/>
  <c r="J51" i="15"/>
  <c r="J52" i="15" s="1"/>
  <c r="M57" i="26"/>
  <c r="D59" i="15"/>
  <c r="K40" i="13"/>
  <c r="K42" i="13" s="1"/>
  <c r="H23" i="20" s="1"/>
  <c r="F7" i="15"/>
  <c r="J40" i="13"/>
  <c r="J42" i="13" s="1"/>
  <c r="F39" i="20"/>
  <c r="G7" i="22" s="1"/>
  <c r="B47" i="7"/>
  <c r="F23" i="20"/>
  <c r="J48" i="27"/>
  <c r="K166" i="53"/>
  <c r="K101" i="15" s="1"/>
  <c r="K121" i="34"/>
  <c r="K25" i="15" s="1"/>
  <c r="H11" i="22"/>
  <c r="M23" i="10"/>
  <c r="D8" i="7"/>
  <c r="D12" i="7" s="1"/>
  <c r="D21" i="7" s="1"/>
  <c r="D24" i="7" s="1"/>
  <c r="D26" i="7" s="1"/>
  <c r="D227" i="15"/>
  <c r="J8" i="15"/>
  <c r="J14" i="18"/>
  <c r="P31" i="33"/>
  <c r="J10" i="15"/>
  <c r="I23" i="11"/>
  <c r="K77" i="53"/>
  <c r="K82" i="15" s="1"/>
  <c r="J84" i="15"/>
  <c r="L91" i="11"/>
  <c r="L118" i="15"/>
  <c r="J65" i="11"/>
  <c r="J91" i="11" s="1"/>
  <c r="H36" i="22"/>
  <c r="H9" i="22" s="1"/>
  <c r="A19" i="11"/>
  <c r="A17" i="32" s="1"/>
  <c r="A35" i="32" s="1"/>
  <c r="H121" i="15"/>
  <c r="H41" i="22"/>
  <c r="H10" i="22" s="1"/>
  <c r="D44" i="14" s="1"/>
  <c r="H5" i="22"/>
  <c r="G23" i="20"/>
  <c r="H47" i="7"/>
  <c r="D7" i="14"/>
  <c r="G39" i="20"/>
  <c r="H7" i="22" s="1"/>
  <c r="K9" i="37"/>
  <c r="K40" i="15" s="1"/>
  <c r="K55" i="11"/>
  <c r="O16" i="33" s="1"/>
  <c r="K154" i="34"/>
  <c r="K33" i="15" s="1"/>
  <c r="K15" i="27"/>
  <c r="C101" i="27"/>
  <c r="L30" i="27"/>
  <c r="K31" i="27"/>
  <c r="G8" i="14"/>
  <c r="G10" i="14" s="1"/>
  <c r="F47" i="7"/>
  <c r="E343" i="48"/>
  <c r="F343" i="48"/>
  <c r="C343" i="48"/>
  <c r="J36" i="12"/>
  <c r="M169" i="1"/>
  <c r="M179" i="17" s="1"/>
  <c r="M181" i="17" s="1"/>
  <c r="K14" i="34"/>
  <c r="K9" i="15" s="1"/>
  <c r="K133" i="53"/>
  <c r="K90" i="15" s="1"/>
  <c r="M343" i="48"/>
  <c r="J182" i="15"/>
  <c r="I227" i="15"/>
  <c r="J24" i="15"/>
  <c r="G62" i="16"/>
  <c r="F61" i="7" s="1"/>
  <c r="F126" i="15"/>
  <c r="J19" i="15"/>
  <c r="K77" i="37"/>
  <c r="K50" i="15" s="1"/>
  <c r="K52" i="15" s="1"/>
  <c r="K154" i="37"/>
  <c r="K65" i="15" s="1"/>
  <c r="K189" i="15"/>
  <c r="K191" i="15" s="1"/>
  <c r="J167" i="15"/>
  <c r="J227" i="15" s="1"/>
  <c r="L42" i="12"/>
  <c r="K116" i="53"/>
  <c r="K87" i="15" s="1"/>
  <c r="K184" i="15"/>
  <c r="A16" i="8"/>
  <c r="A15" i="28" s="1"/>
  <c r="I343" i="48"/>
  <c r="J136" i="15"/>
  <c r="A9" i="8"/>
  <c r="A8" i="28" s="1"/>
  <c r="K36" i="22"/>
  <c r="E118" i="15"/>
  <c r="L123" i="15"/>
  <c r="K178" i="15"/>
  <c r="I169" i="53"/>
  <c r="J169" i="53" s="1"/>
  <c r="J170" i="15" s="1"/>
  <c r="A8" i="11"/>
  <c r="A6" i="32" s="1"/>
  <c r="A24" i="32" s="1"/>
  <c r="H55" i="8"/>
  <c r="J30" i="15"/>
  <c r="J31" i="15" s="1"/>
  <c r="R7" i="30"/>
  <c r="R22" i="30" s="1"/>
  <c r="R38" i="30" s="1"/>
  <c r="R42" i="30" s="1"/>
  <c r="J88" i="15"/>
  <c r="J118" i="15"/>
  <c r="K113" i="53"/>
  <c r="K86" i="15" s="1"/>
  <c r="J190" i="15"/>
  <c r="C126" i="15"/>
  <c r="K28" i="34"/>
  <c r="K11" i="15" s="1"/>
  <c r="I42" i="12"/>
  <c r="F14" i="20"/>
  <c r="K136" i="15"/>
  <c r="K151" i="34"/>
  <c r="K32" i="15" s="1"/>
  <c r="C169" i="34"/>
  <c r="M169" i="52"/>
  <c r="M182" i="52" s="1"/>
  <c r="J36" i="15"/>
  <c r="K172" i="15"/>
  <c r="J128" i="15"/>
  <c r="D20" i="15"/>
  <c r="J125" i="15"/>
  <c r="K201" i="15"/>
  <c r="K76" i="34"/>
  <c r="K138" i="34"/>
  <c r="K28" i="15" s="1"/>
  <c r="K39" i="34"/>
  <c r="K12" i="15" s="1"/>
  <c r="C169" i="52"/>
  <c r="C182" i="52" s="1"/>
  <c r="J200" i="15"/>
  <c r="K46" i="34"/>
  <c r="K13" i="15" s="1"/>
  <c r="I122" i="15"/>
  <c r="D119" i="15"/>
  <c r="I119" i="15"/>
  <c r="K157" i="53"/>
  <c r="K98" i="15" s="1"/>
  <c r="D169" i="1"/>
  <c r="D179" i="17" s="1"/>
  <c r="J91" i="15"/>
  <c r="D169" i="34"/>
  <c r="K76" i="52"/>
  <c r="J199" i="15"/>
  <c r="J47" i="15"/>
  <c r="K192" i="15"/>
  <c r="K105" i="34"/>
  <c r="K21" i="15" s="1"/>
  <c r="G121" i="15"/>
  <c r="J187" i="15"/>
  <c r="K187" i="15"/>
  <c r="J43" i="15"/>
  <c r="H126" i="15"/>
  <c r="L169" i="1"/>
  <c r="L179" i="17" s="1"/>
  <c r="L181" i="17" s="1"/>
  <c r="K2" i="21"/>
  <c r="G120" i="15"/>
  <c r="K174" i="15"/>
  <c r="C49" i="15"/>
  <c r="C39" i="15" s="1"/>
  <c r="M62" i="16"/>
  <c r="L61" i="7" s="1"/>
  <c r="K116" i="34"/>
  <c r="K23" i="15" s="1"/>
  <c r="K15" i="17"/>
  <c r="K16" i="17" s="1"/>
  <c r="I126" i="15"/>
  <c r="K121" i="37"/>
  <c r="K57" i="15" s="1"/>
  <c r="D169" i="52"/>
  <c r="K180" i="15"/>
  <c r="J180" i="15"/>
  <c r="J177" i="15"/>
  <c r="K120" i="34"/>
  <c r="I105" i="15"/>
  <c r="K121" i="53"/>
  <c r="K89" i="15" s="1"/>
  <c r="I169" i="37"/>
  <c r="K70" i="34"/>
  <c r="K16" i="15" s="1"/>
  <c r="J15" i="15"/>
  <c r="J62" i="15"/>
  <c r="J63" i="15" s="1"/>
  <c r="F169" i="53"/>
  <c r="H115" i="15"/>
  <c r="K76" i="53"/>
  <c r="C81" i="15"/>
  <c r="K151" i="53"/>
  <c r="K96" i="15" s="1"/>
  <c r="K160" i="53"/>
  <c r="K99" i="15" s="1"/>
  <c r="K143" i="53"/>
  <c r="K94" i="15" s="1"/>
  <c r="J95" i="15"/>
  <c r="M118" i="15"/>
  <c r="K141" i="53"/>
  <c r="K120" i="53"/>
  <c r="K18" i="53"/>
  <c r="K74" i="15" s="1"/>
  <c r="D126" i="15"/>
  <c r="I95" i="15"/>
  <c r="I127" i="15" s="1"/>
  <c r="L115" i="15"/>
  <c r="L169" i="52"/>
  <c r="K186" i="15"/>
  <c r="K185" i="15"/>
  <c r="J185" i="15"/>
  <c r="K179" i="15"/>
  <c r="K175" i="15"/>
  <c r="J175" i="15"/>
  <c r="K173" i="15"/>
  <c r="J173" i="15"/>
  <c r="C169" i="1"/>
  <c r="C179" i="17" s="1"/>
  <c r="C181" i="17" s="1"/>
  <c r="L169" i="37"/>
  <c r="H169" i="37"/>
  <c r="E123" i="15"/>
  <c r="J41" i="15"/>
  <c r="J105" i="15" s="1"/>
  <c r="K14" i="37"/>
  <c r="K41" i="15" s="1"/>
  <c r="J37" i="15"/>
  <c r="J133" i="15" s="1"/>
  <c r="K166" i="34"/>
  <c r="K37" i="15" s="1"/>
  <c r="D127" i="15"/>
  <c r="H169" i="34"/>
  <c r="G123" i="15"/>
  <c r="K113" i="34"/>
  <c r="K22" i="15" s="1"/>
  <c r="I169" i="34"/>
  <c r="E17" i="15"/>
  <c r="D17" i="15"/>
  <c r="K54" i="34"/>
  <c r="K14" i="15" s="1"/>
  <c r="J14" i="15"/>
  <c r="K141" i="34"/>
  <c r="H123" i="15"/>
  <c r="K133" i="34"/>
  <c r="K26" i="15" s="1"/>
  <c r="J26" i="15"/>
  <c r="J27" i="15" s="1"/>
  <c r="K77" i="34"/>
  <c r="K18" i="15" s="1"/>
  <c r="K20" i="15" s="1"/>
  <c r="J18" i="15"/>
  <c r="K160" i="34"/>
  <c r="K35" i="15" s="1"/>
  <c r="J35" i="15"/>
  <c r="C7" i="15"/>
  <c r="K11" i="22"/>
  <c r="D42" i="12"/>
  <c r="E116" i="15"/>
  <c r="K39" i="7"/>
  <c r="M126" i="46"/>
  <c r="I15" i="20"/>
  <c r="A1" i="48"/>
  <c r="C123" i="15"/>
  <c r="F127" i="15"/>
  <c r="M42" i="12"/>
  <c r="I19" i="14"/>
  <c r="J19" i="14" s="1"/>
  <c r="G15" i="20"/>
  <c r="E114" i="15"/>
  <c r="L120" i="15"/>
  <c r="C42" i="12"/>
  <c r="M171" i="15"/>
  <c r="M206" i="15" s="1"/>
  <c r="D248" i="46"/>
  <c r="M342" i="47"/>
  <c r="L248" i="46"/>
  <c r="L126" i="46"/>
  <c r="F126" i="46"/>
  <c r="H127" i="15"/>
  <c r="F37" i="7"/>
  <c r="L171" i="15"/>
  <c r="J14" i="20"/>
  <c r="L11" i="9"/>
  <c r="Q10" i="29" s="1"/>
  <c r="F11" i="9"/>
  <c r="F171" i="15"/>
  <c r="E58" i="7" s="1"/>
  <c r="L113" i="15"/>
  <c r="J66" i="7"/>
  <c r="K81" i="16"/>
  <c r="J62" i="7" s="1"/>
  <c r="J58" i="16"/>
  <c r="K58" i="16" s="1"/>
  <c r="K19" i="7"/>
  <c r="K20" i="7" s="1"/>
  <c r="L62" i="16"/>
  <c r="K61" i="7" s="1"/>
  <c r="L8" i="7"/>
  <c r="L12" i="7" s="1"/>
  <c r="K41" i="22"/>
  <c r="K10" i="22" s="1"/>
  <c r="M44" i="14" s="1"/>
  <c r="H116" i="15"/>
  <c r="H113" i="15"/>
  <c r="J81" i="16"/>
  <c r="I62" i="7" s="1"/>
  <c r="B39" i="7"/>
  <c r="K155" i="21"/>
  <c r="E23" i="10"/>
  <c r="E39" i="10" s="1"/>
  <c r="E43" i="10" s="1"/>
  <c r="E45" i="10" s="1"/>
  <c r="E47" i="10" s="1"/>
  <c r="E53" i="18" s="1"/>
  <c r="E57" i="18" s="1"/>
  <c r="H62" i="16"/>
  <c r="G61" i="7" s="1"/>
  <c r="B38" i="39"/>
  <c r="K109" i="21"/>
  <c r="J121" i="15"/>
  <c r="Q8" i="29"/>
  <c r="M71" i="15"/>
  <c r="E171" i="15"/>
  <c r="D58" i="7" s="1"/>
  <c r="F13" i="20"/>
  <c r="K63" i="21"/>
  <c r="A1" i="47"/>
  <c r="M123" i="15"/>
  <c r="J22" i="17"/>
  <c r="H14" i="20"/>
  <c r="A1" i="46"/>
  <c r="C42" i="11"/>
  <c r="B29" i="7" s="1"/>
  <c r="H23" i="10"/>
  <c r="H39" i="10" s="1"/>
  <c r="H43" i="10" s="1"/>
  <c r="H45" i="10" s="1"/>
  <c r="H47" i="10" s="1"/>
  <c r="H53" i="18" s="1"/>
  <c r="H57" i="18" s="1"/>
  <c r="L2" i="12"/>
  <c r="E23" i="11"/>
  <c r="L2" i="34"/>
  <c r="L2" i="36"/>
  <c r="E37" i="7"/>
  <c r="E119" i="15"/>
  <c r="L39" i="7"/>
  <c r="J15" i="20"/>
  <c r="G63" i="21"/>
  <c r="G155" i="21"/>
  <c r="G201" i="21"/>
  <c r="I2" i="21"/>
  <c r="F2" i="22"/>
  <c r="G71" i="15"/>
  <c r="G109" i="21"/>
  <c r="D37" i="7"/>
  <c r="H8" i="7"/>
  <c r="G42" i="12"/>
  <c r="G44" i="12" s="1"/>
  <c r="L19" i="7"/>
  <c r="L20" i="7" s="1"/>
  <c r="L2" i="46"/>
  <c r="C2" i="20"/>
  <c r="J3" i="22"/>
  <c r="L2" i="14"/>
  <c r="Q40" i="32"/>
  <c r="J41" i="12"/>
  <c r="C171" i="15"/>
  <c r="C206" i="15" s="1"/>
  <c r="L2" i="26"/>
  <c r="K27" i="17"/>
  <c r="K28" i="17" s="1"/>
  <c r="J28" i="17"/>
  <c r="H171" i="15"/>
  <c r="G58" i="7" s="1"/>
  <c r="L156" i="21"/>
  <c r="L2" i="19"/>
  <c r="G2" i="21"/>
  <c r="O3" i="35"/>
  <c r="R44" i="29"/>
  <c r="L2" i="47"/>
  <c r="J2" i="25"/>
  <c r="P3" i="33"/>
  <c r="C41" i="8"/>
  <c r="H39" i="7"/>
  <c r="N247" i="21"/>
  <c r="C116" i="15"/>
  <c r="F42" i="12"/>
  <c r="F44" i="12" s="1"/>
  <c r="L110" i="21"/>
  <c r="B8" i="7"/>
  <c r="B12" i="7" s="1"/>
  <c r="J2" i="23"/>
  <c r="I14" i="20"/>
  <c r="J59" i="16"/>
  <c r="K59" i="16" s="1"/>
  <c r="Q3" i="29"/>
  <c r="G171" i="15"/>
  <c r="F58" i="7" s="1"/>
  <c r="L17" i="9"/>
  <c r="Q16" i="29" s="1"/>
  <c r="K34" i="17"/>
  <c r="K35" i="17" s="1"/>
  <c r="L2" i="37"/>
  <c r="D2" i="22"/>
  <c r="M113" i="15"/>
  <c r="F71" i="15"/>
  <c r="L2" i="17"/>
  <c r="L2" i="10"/>
  <c r="L2" i="48"/>
  <c r="I2" i="20"/>
  <c r="L71" i="15"/>
  <c r="L2" i="8"/>
  <c r="J2" i="24"/>
  <c r="Q3" i="32"/>
  <c r="L2" i="13"/>
  <c r="K21" i="12"/>
  <c r="K26" i="12" s="1"/>
  <c r="K10" i="12"/>
  <c r="G39" i="7"/>
  <c r="H42" i="12"/>
  <c r="H343" i="48"/>
  <c r="F41" i="11"/>
  <c r="G42" i="11"/>
  <c r="F29" i="7" s="1"/>
  <c r="Q22" i="32"/>
  <c r="L42" i="11"/>
  <c r="K29" i="7" s="1"/>
  <c r="L343" i="48"/>
  <c r="F23" i="11"/>
  <c r="H42" i="11"/>
  <c r="G29" i="7" s="1"/>
  <c r="B19" i="7"/>
  <c r="B20" i="7" s="1"/>
  <c r="C23" i="10"/>
  <c r="G41" i="22"/>
  <c r="G10" i="22" s="1"/>
  <c r="C44" i="14" s="1"/>
  <c r="C38" i="14" s="1"/>
  <c r="C40" i="14" s="1"/>
  <c r="C16" i="14" s="1"/>
  <c r="C20" i="14" s="1"/>
  <c r="B51" i="7" s="1"/>
  <c r="C55" i="8"/>
  <c r="L23" i="10"/>
  <c r="I32" i="20" s="1"/>
  <c r="E55" i="8"/>
  <c r="C342" i="47"/>
  <c r="D342" i="47"/>
  <c r="F342" i="47"/>
  <c r="F22" i="8"/>
  <c r="K340" i="47"/>
  <c r="I342" i="47"/>
  <c r="H342" i="47"/>
  <c r="I248" i="46"/>
  <c r="J248" i="46" s="1"/>
  <c r="C126" i="46"/>
  <c r="K129" i="46"/>
  <c r="H248" i="46"/>
  <c r="K7" i="46"/>
  <c r="E248" i="46"/>
  <c r="H126" i="46"/>
  <c r="K222" i="46"/>
  <c r="E126" i="46"/>
  <c r="C27" i="9"/>
  <c r="K149" i="46"/>
  <c r="H44" i="9"/>
  <c r="H50" i="9" s="1"/>
  <c r="M248" i="46"/>
  <c r="F248" i="46"/>
  <c r="I126" i="46"/>
  <c r="J126" i="46" s="1"/>
  <c r="J30" i="9"/>
  <c r="G248" i="46"/>
  <c r="M169" i="53"/>
  <c r="K196" i="15"/>
  <c r="J196" i="15"/>
  <c r="J103" i="27"/>
  <c r="C119" i="15"/>
  <c r="G22" i="8"/>
  <c r="G54" i="8" s="1"/>
  <c r="G40" i="8"/>
  <c r="G55" i="8" s="1"/>
  <c r="M116" i="15"/>
  <c r="D50" i="7"/>
  <c r="D52" i="7" s="1"/>
  <c r="E21" i="14"/>
  <c r="K76" i="37"/>
  <c r="D40" i="7"/>
  <c r="E42" i="12"/>
  <c r="E44" i="12" s="1"/>
  <c r="F55" i="7"/>
  <c r="I55" i="7" s="1"/>
  <c r="G227" i="15"/>
  <c r="H21" i="9"/>
  <c r="H27" i="9" s="1"/>
  <c r="E27" i="9"/>
  <c r="K342" i="48"/>
  <c r="C95" i="15"/>
  <c r="C127" i="15" s="1"/>
  <c r="B55" i="7"/>
  <c r="C227" i="15"/>
  <c r="K41" i="12"/>
  <c r="H11" i="20"/>
  <c r="E39" i="15"/>
  <c r="K157" i="37"/>
  <c r="K66" i="15" s="1"/>
  <c r="K100" i="46"/>
  <c r="K76" i="46"/>
  <c r="I49" i="23"/>
  <c r="H119" i="15"/>
  <c r="H88" i="15"/>
  <c r="H71" i="15" s="1"/>
  <c r="H27" i="12"/>
  <c r="G37" i="7"/>
  <c r="K176" i="15"/>
  <c r="J176" i="15"/>
  <c r="K18" i="37"/>
  <c r="K42" i="15" s="1"/>
  <c r="J42" i="15"/>
  <c r="I12" i="22"/>
  <c r="E91" i="11"/>
  <c r="H12" i="22"/>
  <c r="G9" i="20"/>
  <c r="H13" i="22" s="1"/>
  <c r="D91" i="11"/>
  <c r="E155" i="21"/>
  <c r="E63" i="21"/>
  <c r="E201" i="21"/>
  <c r="M56" i="15"/>
  <c r="M39" i="15" s="1"/>
  <c r="F40" i="8"/>
  <c r="F55" i="8" s="1"/>
  <c r="E169" i="37"/>
  <c r="K120" i="37"/>
  <c r="J129" i="15"/>
  <c r="K154" i="53"/>
  <c r="K97" i="15" s="1"/>
  <c r="F59" i="15"/>
  <c r="F123" i="15" s="1"/>
  <c r="K70" i="37"/>
  <c r="K48" i="15" s="1"/>
  <c r="J48" i="15"/>
  <c r="L2" i="16"/>
  <c r="L2" i="11"/>
  <c r="L2" i="15"/>
  <c r="L2" i="52"/>
  <c r="L2" i="1"/>
  <c r="Q3" i="31"/>
  <c r="Q3" i="30"/>
  <c r="L202" i="21"/>
  <c r="L64" i="21"/>
  <c r="C50" i="9"/>
  <c r="G11" i="22"/>
  <c r="G36" i="22"/>
  <c r="G9" i="22" s="1"/>
  <c r="K138" i="53"/>
  <c r="K92" i="15" s="1"/>
  <c r="L64" i="31"/>
  <c r="D169" i="53"/>
  <c r="Q9" i="28"/>
  <c r="Q21" i="28" s="1"/>
  <c r="L22" i="8"/>
  <c r="G14" i="20"/>
  <c r="D27" i="12"/>
  <c r="G13" i="20"/>
  <c r="R64" i="31"/>
  <c r="G169" i="37"/>
  <c r="H21" i="14"/>
  <c r="G50" i="7"/>
  <c r="G52" i="7" s="1"/>
  <c r="K138" i="37"/>
  <c r="K60" i="15" s="1"/>
  <c r="J60" i="15"/>
  <c r="K105" i="53"/>
  <c r="K85" i="15" s="1"/>
  <c r="K64" i="53"/>
  <c r="K79" i="15" s="1"/>
  <c r="K111" i="15" s="1"/>
  <c r="G114" i="15"/>
  <c r="G52" i="15"/>
  <c r="C169" i="37"/>
  <c r="O63" i="31"/>
  <c r="O52" i="31"/>
  <c r="O54" i="31" s="1"/>
  <c r="O64" i="31" s="1"/>
  <c r="F19" i="7"/>
  <c r="F20" i="7" s="1"/>
  <c r="F21" i="7" s="1"/>
  <c r="F24" i="7" s="1"/>
  <c r="F26" i="7" s="1"/>
  <c r="G39" i="10"/>
  <c r="G43" i="10" s="1"/>
  <c r="G45" i="10" s="1"/>
  <c r="G47" i="10" s="1"/>
  <c r="G53" i="18" s="1"/>
  <c r="G57" i="18" s="1"/>
  <c r="D343" i="48"/>
  <c r="N63" i="31"/>
  <c r="N52" i="31"/>
  <c r="N54" i="31" s="1"/>
  <c r="K112" i="53"/>
  <c r="E169" i="53"/>
  <c r="R24" i="28"/>
  <c r="R39" i="28" s="1"/>
  <c r="R41" i="28" s="1"/>
  <c r="M40" i="8"/>
  <c r="D23" i="11"/>
  <c r="Q31" i="33"/>
  <c r="K70" i="53"/>
  <c r="K80" i="15" s="1"/>
  <c r="M126" i="15"/>
  <c r="M31" i="15"/>
  <c r="M127" i="15" s="1"/>
  <c r="C120" i="15"/>
  <c r="G113" i="15"/>
  <c r="Q6" i="29"/>
  <c r="K163" i="53"/>
  <c r="K100" i="15" s="1"/>
  <c r="J46" i="15"/>
  <c r="K54" i="37"/>
  <c r="K46" i="15" s="1"/>
  <c r="D128" i="15"/>
  <c r="E22" i="8"/>
  <c r="K54" i="53"/>
  <c r="K78" i="15" s="1"/>
  <c r="L65" i="27"/>
  <c r="K99" i="27"/>
  <c r="L99" i="27" s="1"/>
  <c r="A12" i="11"/>
  <c r="A10" i="32" s="1"/>
  <c r="A28" i="32" s="1"/>
  <c r="A221" i="48"/>
  <c r="A30" i="11" s="1"/>
  <c r="A241" i="47"/>
  <c r="A31" i="8" s="1"/>
  <c r="A30" i="28" s="1"/>
  <c r="A13" i="8"/>
  <c r="A12" i="28" s="1"/>
  <c r="R33" i="29"/>
  <c r="R49" i="29" s="1"/>
  <c r="M50" i="9"/>
  <c r="E19" i="7"/>
  <c r="J39" i="20"/>
  <c r="K7" i="22" s="1"/>
  <c r="J23" i="20"/>
  <c r="L47" i="7"/>
  <c r="K5" i="22"/>
  <c r="M7" i="14"/>
  <c r="J45" i="15"/>
  <c r="K46" i="37"/>
  <c r="K45" i="15" s="1"/>
  <c r="K12" i="11"/>
  <c r="A15" i="11"/>
  <c r="A13" i="32" s="1"/>
  <c r="A31" i="32" s="1"/>
  <c r="A254" i="48"/>
  <c r="A33" i="11" s="1"/>
  <c r="R10" i="29"/>
  <c r="K133" i="37"/>
  <c r="K58" i="15" s="1"/>
  <c r="J58" i="15"/>
  <c r="Q29" i="29"/>
  <c r="Q49" i="29" s="1"/>
  <c r="L50" i="9"/>
  <c r="D126" i="46"/>
  <c r="E41" i="11"/>
  <c r="D22" i="8"/>
  <c r="M17" i="9"/>
  <c r="R16" i="29" s="1"/>
  <c r="R18" i="29"/>
  <c r="F21" i="9"/>
  <c r="K163" i="37"/>
  <c r="K68" i="15" s="1"/>
  <c r="J68" i="15"/>
  <c r="C248" i="46"/>
  <c r="F21" i="14"/>
  <c r="E50" i="7"/>
  <c r="F40" i="9"/>
  <c r="F50" i="9" s="1"/>
  <c r="D169" i="37"/>
  <c r="K112" i="37"/>
  <c r="G126" i="15"/>
  <c r="G31" i="15"/>
  <c r="G127" i="15" s="1"/>
  <c r="G50" i="9"/>
  <c r="G342" i="47"/>
  <c r="H41" i="8"/>
  <c r="I52" i="15"/>
  <c r="I115" i="15"/>
  <c r="M169" i="37"/>
  <c r="A252" i="47"/>
  <c r="A32" i="8" s="1"/>
  <c r="A31" i="28" s="1"/>
  <c r="A14" i="8"/>
  <c r="A13" i="28" s="1"/>
  <c r="I169" i="52"/>
  <c r="G27" i="9"/>
  <c r="E169" i="34"/>
  <c r="K26" i="10"/>
  <c r="L40" i="8"/>
  <c r="L55" i="8" s="1"/>
  <c r="Q24" i="28"/>
  <c r="Q39" i="28" s="1"/>
  <c r="H7" i="15"/>
  <c r="Q64" i="31"/>
  <c r="G343" i="48"/>
  <c r="K173" i="48"/>
  <c r="E31" i="15"/>
  <c r="E127" i="15" s="1"/>
  <c r="E126" i="15"/>
  <c r="K39" i="53"/>
  <c r="K76" i="15" s="1"/>
  <c r="Q10" i="30"/>
  <c r="Q22" i="30" s="1"/>
  <c r="Q38" i="30" s="1"/>
  <c r="Q42" i="30" s="1"/>
  <c r="K8" i="7"/>
  <c r="K12" i="7" s="1"/>
  <c r="J41" i="22"/>
  <c r="J10" i="22" s="1"/>
  <c r="L44" i="14" s="1"/>
  <c r="J11" i="22"/>
  <c r="J36" i="22"/>
  <c r="L63" i="15"/>
  <c r="L126" i="15"/>
  <c r="L169" i="53"/>
  <c r="G126" i="46"/>
  <c r="K27" i="46"/>
  <c r="K198" i="46"/>
  <c r="I169" i="1"/>
  <c r="R11" i="32"/>
  <c r="M23" i="11"/>
  <c r="M42" i="11" s="1"/>
  <c r="L29" i="7" s="1"/>
  <c r="K141" i="37"/>
  <c r="F169" i="37"/>
  <c r="L7" i="14"/>
  <c r="J5" i="22"/>
  <c r="I39" i="20"/>
  <c r="J7" i="22" s="1"/>
  <c r="K47" i="7"/>
  <c r="I23" i="20"/>
  <c r="C169" i="53"/>
  <c r="K14" i="53"/>
  <c r="K73" i="15" s="1"/>
  <c r="G169" i="53"/>
  <c r="K8" i="53"/>
  <c r="P7" i="29"/>
  <c r="F23" i="10"/>
  <c r="E8" i="7"/>
  <c r="E12" i="7" s="1"/>
  <c r="H117" i="15"/>
  <c r="H39" i="15"/>
  <c r="F108" i="15"/>
  <c r="F49" i="15"/>
  <c r="E342" i="47"/>
  <c r="E170" i="15"/>
  <c r="J57" i="16"/>
  <c r="F62" i="16"/>
  <c r="E61" i="7" s="1"/>
  <c r="E34" i="9"/>
  <c r="E50" i="9" s="1"/>
  <c r="J53" i="15"/>
  <c r="K105" i="37"/>
  <c r="K53" i="15" s="1"/>
  <c r="K197" i="15"/>
  <c r="J197" i="15"/>
  <c r="J44" i="15"/>
  <c r="K39" i="37"/>
  <c r="K44" i="15" s="1"/>
  <c r="K112" i="52"/>
  <c r="K30" i="9"/>
  <c r="L342" i="47"/>
  <c r="J343" i="48" l="1"/>
  <c r="I27" i="12"/>
  <c r="I120" i="15"/>
  <c r="D181" i="17"/>
  <c r="J169" i="1"/>
  <c r="K169" i="1" s="1"/>
  <c r="I179" i="17"/>
  <c r="L34" i="28"/>
  <c r="I19" i="28"/>
  <c r="K13" i="32"/>
  <c r="I31" i="29"/>
  <c r="K38" i="32"/>
  <c r="M38" i="28"/>
  <c r="K6" i="32"/>
  <c r="L6" i="32"/>
  <c r="J169" i="37"/>
  <c r="J31" i="28"/>
  <c r="J342" i="47"/>
  <c r="K342" i="47" s="1"/>
  <c r="M33" i="32"/>
  <c r="L31" i="28"/>
  <c r="K29" i="32"/>
  <c r="I26" i="32"/>
  <c r="J28" i="32"/>
  <c r="K7" i="28"/>
  <c r="I31" i="28"/>
  <c r="K31" i="28"/>
  <c r="I38" i="28"/>
  <c r="J38" i="28"/>
  <c r="K38" i="28"/>
  <c r="I11" i="28"/>
  <c r="K36" i="32"/>
  <c r="L26" i="32"/>
  <c r="M28" i="32"/>
  <c r="L36" i="32"/>
  <c r="I36" i="32"/>
  <c r="K28" i="32"/>
  <c r="M26" i="32"/>
  <c r="K11" i="28"/>
  <c r="M36" i="32"/>
  <c r="J33" i="32"/>
  <c r="I34" i="28"/>
  <c r="L38" i="32"/>
  <c r="J26" i="32"/>
  <c r="M34" i="28"/>
  <c r="J11" i="28"/>
  <c r="I33" i="32"/>
  <c r="L11" i="28"/>
  <c r="I38" i="32"/>
  <c r="K33" i="32"/>
  <c r="I7" i="28"/>
  <c r="J34" i="28"/>
  <c r="L7" i="28"/>
  <c r="J38" i="32"/>
  <c r="J7" i="28"/>
  <c r="I28" i="32"/>
  <c r="K107" i="15"/>
  <c r="K104" i="15"/>
  <c r="M20" i="28"/>
  <c r="I31" i="32"/>
  <c r="M6" i="32"/>
  <c r="K84" i="15"/>
  <c r="K116" i="15" s="1"/>
  <c r="I42" i="11"/>
  <c r="H29" i="7" s="1"/>
  <c r="M19" i="28"/>
  <c r="J6" i="32"/>
  <c r="J19" i="28"/>
  <c r="H12" i="7"/>
  <c r="I12" i="7" s="1"/>
  <c r="J12" i="7" s="1"/>
  <c r="L15" i="28"/>
  <c r="D116" i="15"/>
  <c r="D38" i="14"/>
  <c r="D40" i="14" s="1"/>
  <c r="D16" i="14" s="1"/>
  <c r="D20" i="14" s="1"/>
  <c r="C51" i="7" s="1"/>
  <c r="I36" i="28"/>
  <c r="J36" i="28"/>
  <c r="K19" i="28"/>
  <c r="K36" i="28"/>
  <c r="K19" i="29"/>
  <c r="L36" i="28"/>
  <c r="J31" i="32"/>
  <c r="I29" i="32"/>
  <c r="K31" i="32"/>
  <c r="J29" i="32"/>
  <c r="L31" i="32"/>
  <c r="D120" i="15"/>
  <c r="L29" i="32"/>
  <c r="I27" i="9"/>
  <c r="I32" i="28"/>
  <c r="L37" i="32"/>
  <c r="J33" i="28"/>
  <c r="I20" i="28"/>
  <c r="K32" i="28"/>
  <c r="L33" i="28"/>
  <c r="J20" i="28"/>
  <c r="L32" i="28"/>
  <c r="K35" i="28"/>
  <c r="M33" i="28"/>
  <c r="I37" i="32"/>
  <c r="K20" i="28"/>
  <c r="M32" i="28"/>
  <c r="J37" i="32"/>
  <c r="I50" i="9"/>
  <c r="M34" i="32"/>
  <c r="K37" i="32"/>
  <c r="J191" i="15"/>
  <c r="I33" i="28"/>
  <c r="L48" i="29"/>
  <c r="L12" i="28"/>
  <c r="M17" i="28"/>
  <c r="J188" i="15"/>
  <c r="I8" i="29"/>
  <c r="M30" i="32"/>
  <c r="I30" i="32"/>
  <c r="M12" i="28"/>
  <c r="J9" i="28"/>
  <c r="I12" i="28"/>
  <c r="K9" i="28"/>
  <c r="J12" i="28"/>
  <c r="I15" i="29"/>
  <c r="I7" i="15"/>
  <c r="I171" i="15"/>
  <c r="H58" i="7" s="1"/>
  <c r="I58" i="7" s="1"/>
  <c r="D39" i="15"/>
  <c r="I25" i="32"/>
  <c r="M25" i="32"/>
  <c r="I34" i="32"/>
  <c r="I28" i="28"/>
  <c r="J34" i="32"/>
  <c r="J28" i="28"/>
  <c r="I123" i="15"/>
  <c r="M12" i="29"/>
  <c r="K12" i="29"/>
  <c r="L35" i="28"/>
  <c r="K38" i="29"/>
  <c r="D71" i="15"/>
  <c r="J25" i="32"/>
  <c r="L9" i="28"/>
  <c r="M35" i="28"/>
  <c r="K25" i="32"/>
  <c r="K8" i="29"/>
  <c r="L25" i="29"/>
  <c r="K34" i="32"/>
  <c r="M28" i="28"/>
  <c r="K28" i="28"/>
  <c r="I9" i="28"/>
  <c r="J35" i="28"/>
  <c r="M8" i="29"/>
  <c r="I25" i="29"/>
  <c r="J13" i="29"/>
  <c r="J29" i="28"/>
  <c r="I41" i="8"/>
  <c r="I113" i="15"/>
  <c r="J169" i="34"/>
  <c r="K169" i="34" s="1"/>
  <c r="D171" i="15"/>
  <c r="C58" i="7" s="1"/>
  <c r="K7" i="9"/>
  <c r="P6" i="29" s="1"/>
  <c r="P9" i="29"/>
  <c r="I9" i="29" s="1"/>
  <c r="J11" i="9"/>
  <c r="K31" i="29"/>
  <c r="L30" i="29"/>
  <c r="L29" i="29" s="1"/>
  <c r="K37" i="29"/>
  <c r="M31" i="29"/>
  <c r="J37" i="28"/>
  <c r="M37" i="28"/>
  <c r="I37" i="28"/>
  <c r="K37" i="28"/>
  <c r="L37" i="28"/>
  <c r="L12" i="29"/>
  <c r="I15" i="28"/>
  <c r="M15" i="28"/>
  <c r="J30" i="32"/>
  <c r="K29" i="28"/>
  <c r="M38" i="29"/>
  <c r="M37" i="29"/>
  <c r="D51" i="9"/>
  <c r="J15" i="28"/>
  <c r="K30" i="32"/>
  <c r="L29" i="28"/>
  <c r="I38" i="29"/>
  <c r="J12" i="29"/>
  <c r="I17" i="28"/>
  <c r="I29" i="28"/>
  <c r="J30" i="29"/>
  <c r="J38" i="29"/>
  <c r="I37" i="29"/>
  <c r="M15" i="29"/>
  <c r="J14" i="29"/>
  <c r="L14" i="29"/>
  <c r="J8" i="29"/>
  <c r="I14" i="29"/>
  <c r="M14" i="29"/>
  <c r="K25" i="29"/>
  <c r="J31" i="29"/>
  <c r="K30" i="29"/>
  <c r="M25" i="29"/>
  <c r="I30" i="29"/>
  <c r="L19" i="29"/>
  <c r="J15" i="29"/>
  <c r="I48" i="29"/>
  <c r="M48" i="29"/>
  <c r="M19" i="29"/>
  <c r="K15" i="29"/>
  <c r="J48" i="29"/>
  <c r="I19" i="29"/>
  <c r="I37" i="7"/>
  <c r="J37" i="7" s="1"/>
  <c r="I47" i="7"/>
  <c r="J47" i="7" s="1"/>
  <c r="I39" i="7"/>
  <c r="J39" i="7" s="1"/>
  <c r="J40" i="7"/>
  <c r="K13" i="29"/>
  <c r="L13" i="29"/>
  <c r="I12" i="29"/>
  <c r="I13" i="29"/>
  <c r="J37" i="29"/>
  <c r="J7" i="9"/>
  <c r="I170" i="15"/>
  <c r="H56" i="7" s="1"/>
  <c r="I56" i="7" s="1"/>
  <c r="J169" i="52"/>
  <c r="I34" i="7"/>
  <c r="J34" i="7" s="1"/>
  <c r="I10" i="14"/>
  <c r="H50" i="7" s="1"/>
  <c r="J8" i="14"/>
  <c r="M14" i="28"/>
  <c r="I14" i="28"/>
  <c r="L14" i="28"/>
  <c r="J14" i="28"/>
  <c r="K14" i="28"/>
  <c r="J17" i="28"/>
  <c r="L13" i="32"/>
  <c r="K17" i="28"/>
  <c r="I13" i="32"/>
  <c r="D42" i="11"/>
  <c r="C29" i="7" s="1"/>
  <c r="M23" i="29"/>
  <c r="I23" i="29"/>
  <c r="L23" i="29"/>
  <c r="K23" i="29"/>
  <c r="J23" i="29"/>
  <c r="K8" i="32"/>
  <c r="J8" i="32"/>
  <c r="M8" i="32"/>
  <c r="I8" i="32"/>
  <c r="L8" i="32"/>
  <c r="M8" i="28"/>
  <c r="I8" i="28"/>
  <c r="L8" i="28"/>
  <c r="K8" i="28"/>
  <c r="J8" i="28"/>
  <c r="M26" i="28"/>
  <c r="I26" i="28"/>
  <c r="L26" i="28"/>
  <c r="K26" i="28"/>
  <c r="J26" i="28"/>
  <c r="L18" i="28"/>
  <c r="K18" i="28"/>
  <c r="J18" i="28"/>
  <c r="M18" i="28"/>
  <c r="I18" i="28"/>
  <c r="I35" i="32"/>
  <c r="L35" i="32"/>
  <c r="M35" i="32"/>
  <c r="K35" i="32"/>
  <c r="J35" i="32"/>
  <c r="L16" i="28"/>
  <c r="K16" i="28"/>
  <c r="J16" i="28"/>
  <c r="M16" i="28"/>
  <c r="I16" i="28"/>
  <c r="J27" i="32"/>
  <c r="M27" i="32"/>
  <c r="I27" i="32"/>
  <c r="L27" i="32"/>
  <c r="K27" i="32"/>
  <c r="J30" i="28"/>
  <c r="M30" i="28"/>
  <c r="I30" i="28"/>
  <c r="L30" i="28"/>
  <c r="K30" i="28"/>
  <c r="K248" i="46"/>
  <c r="D170" i="15"/>
  <c r="C56" i="7" s="1"/>
  <c r="K126" i="46"/>
  <c r="D8" i="14"/>
  <c r="K7" i="14"/>
  <c r="I54" i="25"/>
  <c r="L13" i="18"/>
  <c r="L14" i="18" s="1"/>
  <c r="L10" i="12" s="1"/>
  <c r="J42" i="22" s="1"/>
  <c r="M16" i="18"/>
  <c r="M19" i="18" s="1"/>
  <c r="M13" i="18" s="1"/>
  <c r="M14" i="18" s="1"/>
  <c r="M10" i="12" s="1"/>
  <c r="J19" i="20" s="1"/>
  <c r="J101" i="27"/>
  <c r="J56" i="15"/>
  <c r="J120" i="15" s="1"/>
  <c r="J28" i="30"/>
  <c r="P30" i="30"/>
  <c r="K30" i="30" s="1"/>
  <c r="I55" i="25"/>
  <c r="K37" i="10"/>
  <c r="H7" i="20" s="1"/>
  <c r="I39" i="10"/>
  <c r="F35" i="20"/>
  <c r="C39" i="10"/>
  <c r="K36" i="12"/>
  <c r="H15" i="20" s="1"/>
  <c r="I44" i="12"/>
  <c r="K14" i="12"/>
  <c r="K27" i="12" s="1"/>
  <c r="H19" i="7"/>
  <c r="I55" i="8"/>
  <c r="L28" i="30"/>
  <c r="K28" i="30"/>
  <c r="M28" i="30"/>
  <c r="N12" i="30"/>
  <c r="O12" i="30" s="1"/>
  <c r="J37" i="10"/>
  <c r="I54" i="8"/>
  <c r="L6" i="30"/>
  <c r="K6" i="30"/>
  <c r="J6" i="30"/>
  <c r="M6" i="30"/>
  <c r="I6" i="30"/>
  <c r="J184" i="15"/>
  <c r="K103" i="27"/>
  <c r="L103" i="27" s="1"/>
  <c r="K16" i="33"/>
  <c r="K26" i="33" s="1"/>
  <c r="N14" i="33"/>
  <c r="M16" i="33"/>
  <c r="M26" i="33" s="1"/>
  <c r="I16" i="33"/>
  <c r="I26" i="33" s="1"/>
  <c r="J16" i="33"/>
  <c r="J26" i="33" s="1"/>
  <c r="N32" i="29"/>
  <c r="O32" i="29" s="1"/>
  <c r="N19" i="33"/>
  <c r="L16" i="33"/>
  <c r="L26" i="33" s="1"/>
  <c r="N47" i="29"/>
  <c r="N19" i="32"/>
  <c r="N35" i="29"/>
  <c r="O35" i="29" s="1"/>
  <c r="N17" i="33"/>
  <c r="I36" i="29"/>
  <c r="M36" i="29"/>
  <c r="L36" i="29"/>
  <c r="K36" i="29"/>
  <c r="J36" i="29"/>
  <c r="K44" i="29"/>
  <c r="L44" i="29"/>
  <c r="M44" i="29"/>
  <c r="J44" i="29"/>
  <c r="I44" i="29"/>
  <c r="K42" i="29"/>
  <c r="M42" i="29"/>
  <c r="L42" i="29"/>
  <c r="J42" i="29"/>
  <c r="I42" i="29"/>
  <c r="K41" i="29"/>
  <c r="J41" i="29"/>
  <c r="I41" i="29"/>
  <c r="M41" i="29"/>
  <c r="L41" i="29"/>
  <c r="M46" i="29"/>
  <c r="L46" i="29"/>
  <c r="K46" i="29"/>
  <c r="J46" i="29"/>
  <c r="I46" i="29"/>
  <c r="M45" i="29"/>
  <c r="L45" i="29"/>
  <c r="K45" i="29"/>
  <c r="J45" i="29"/>
  <c r="I45" i="29"/>
  <c r="N32" i="30"/>
  <c r="O32" i="30" s="1"/>
  <c r="N34" i="30"/>
  <c r="O34" i="30" s="1"/>
  <c r="D123" i="15"/>
  <c r="D62" i="10"/>
  <c r="D54" i="8" s="1"/>
  <c r="J57" i="26"/>
  <c r="N16" i="32"/>
  <c r="N17" i="32"/>
  <c r="N11" i="32"/>
  <c r="N9" i="32"/>
  <c r="L7" i="15"/>
  <c r="N15" i="32"/>
  <c r="J109" i="15"/>
  <c r="N14" i="32"/>
  <c r="N20" i="33"/>
  <c r="N18" i="32"/>
  <c r="N27" i="28"/>
  <c r="O27" i="28" s="1"/>
  <c r="N7" i="32"/>
  <c r="N10" i="33"/>
  <c r="N20" i="32"/>
  <c r="N6" i="33"/>
  <c r="M9" i="30"/>
  <c r="L9" i="30"/>
  <c r="K9" i="30"/>
  <c r="J9" i="30"/>
  <c r="I9" i="30"/>
  <c r="M10" i="28"/>
  <c r="L10" i="28"/>
  <c r="K10" i="28"/>
  <c r="J10" i="28"/>
  <c r="I10" i="28"/>
  <c r="M10" i="30"/>
  <c r="L10" i="30"/>
  <c r="K10" i="30"/>
  <c r="J10" i="30"/>
  <c r="I10" i="30"/>
  <c r="M13" i="28"/>
  <c r="L13" i="28"/>
  <c r="K13" i="28"/>
  <c r="J13" i="28"/>
  <c r="I13" i="28"/>
  <c r="M8" i="30"/>
  <c r="L8" i="30"/>
  <c r="K8" i="30"/>
  <c r="J8" i="30"/>
  <c r="I8" i="30"/>
  <c r="D39" i="10"/>
  <c r="D43" i="10" s="1"/>
  <c r="D45" i="10" s="1"/>
  <c r="D47" i="10" s="1"/>
  <c r="G38" i="20"/>
  <c r="G37" i="20"/>
  <c r="M7" i="29"/>
  <c r="L7" i="29"/>
  <c r="K7" i="29"/>
  <c r="J7" i="29"/>
  <c r="I7" i="29"/>
  <c r="N17" i="29"/>
  <c r="O17" i="29" s="1"/>
  <c r="M20" i="30"/>
  <c r="L20" i="30"/>
  <c r="K20" i="30"/>
  <c r="J20" i="30"/>
  <c r="I20" i="30"/>
  <c r="M24" i="29"/>
  <c r="L24" i="29"/>
  <c r="K24" i="29"/>
  <c r="J24" i="29"/>
  <c r="I24" i="29"/>
  <c r="G35" i="20"/>
  <c r="K48" i="27"/>
  <c r="L48" i="27" s="1"/>
  <c r="M12" i="32"/>
  <c r="L12" i="32"/>
  <c r="K12" i="32"/>
  <c r="J12" i="32"/>
  <c r="I12" i="32"/>
  <c r="M25" i="28"/>
  <c r="L25" i="28"/>
  <c r="K25" i="28"/>
  <c r="J25" i="28"/>
  <c r="I25" i="28"/>
  <c r="M32" i="32"/>
  <c r="L32" i="32"/>
  <c r="K32" i="32"/>
  <c r="J32" i="32"/>
  <c r="I32" i="32"/>
  <c r="M21" i="29"/>
  <c r="L21" i="29"/>
  <c r="K21" i="29"/>
  <c r="J21" i="29"/>
  <c r="I21" i="29"/>
  <c r="G32" i="20"/>
  <c r="E113" i="15"/>
  <c r="I5" i="22"/>
  <c r="H39" i="20"/>
  <c r="I7" i="22" s="1"/>
  <c r="J104" i="15"/>
  <c r="M170" i="15"/>
  <c r="L56" i="7" s="1"/>
  <c r="K133" i="15"/>
  <c r="C21" i="7"/>
  <c r="C24" i="7" s="1"/>
  <c r="C26" i="7" s="1"/>
  <c r="K65" i="11"/>
  <c r="K91" i="11" s="1"/>
  <c r="M62" i="10"/>
  <c r="M54" i="8" s="1"/>
  <c r="J32" i="20"/>
  <c r="J37" i="20"/>
  <c r="K14" i="18"/>
  <c r="K27" i="15"/>
  <c r="K57" i="26"/>
  <c r="M39" i="10"/>
  <c r="M43" i="10" s="1"/>
  <c r="K8" i="22" s="1"/>
  <c r="J35" i="20"/>
  <c r="J115" i="15"/>
  <c r="K128" i="15"/>
  <c r="K129" i="15"/>
  <c r="K21" i="7"/>
  <c r="K24" i="7" s="1"/>
  <c r="K26" i="7" s="1"/>
  <c r="K119" i="15"/>
  <c r="O26" i="33"/>
  <c r="J42" i="12"/>
  <c r="J44" i="12" s="1"/>
  <c r="P18" i="29"/>
  <c r="K130" i="15"/>
  <c r="C44" i="12"/>
  <c r="J107" i="15"/>
  <c r="D7" i="15"/>
  <c r="K122" i="15"/>
  <c r="K88" i="15"/>
  <c r="J20" i="15"/>
  <c r="J116" i="15" s="1"/>
  <c r="D44" i="12"/>
  <c r="J181" i="15"/>
  <c r="K114" i="15"/>
  <c r="J122" i="15"/>
  <c r="J114" i="15"/>
  <c r="K121" i="15"/>
  <c r="I71" i="15"/>
  <c r="C170" i="15"/>
  <c r="C202" i="15" s="1"/>
  <c r="K343" i="48"/>
  <c r="H249" i="46"/>
  <c r="F27" i="9"/>
  <c r="F51" i="9" s="1"/>
  <c r="F249" i="46"/>
  <c r="K109" i="15"/>
  <c r="J17" i="15"/>
  <c r="J106" i="15"/>
  <c r="K188" i="15"/>
  <c r="K181" i="15"/>
  <c r="K91" i="15"/>
  <c r="K17" i="15"/>
  <c r="J111" i="15"/>
  <c r="K24" i="15"/>
  <c r="L183" i="53"/>
  <c r="J126" i="15"/>
  <c r="J127" i="15"/>
  <c r="C113" i="15"/>
  <c r="J131" i="15"/>
  <c r="K131" i="15"/>
  <c r="D113" i="15"/>
  <c r="M249" i="46"/>
  <c r="K118" i="15"/>
  <c r="L249" i="46"/>
  <c r="K106" i="15"/>
  <c r="M183" i="37"/>
  <c r="L57" i="7"/>
  <c r="K95" i="15"/>
  <c r="K127" i="15" s="1"/>
  <c r="K126" i="15"/>
  <c r="L170" i="15"/>
  <c r="K56" i="7" s="1"/>
  <c r="L182" i="52"/>
  <c r="F202" i="15"/>
  <c r="J34" i="20"/>
  <c r="C183" i="53"/>
  <c r="K169" i="37"/>
  <c r="J17" i="22"/>
  <c r="L206" i="15"/>
  <c r="J124" i="15"/>
  <c r="K17" i="22"/>
  <c r="L58" i="7"/>
  <c r="K58" i="7"/>
  <c r="I249" i="46"/>
  <c r="J249" i="46" s="1"/>
  <c r="E249" i="46"/>
  <c r="C249" i="46"/>
  <c r="J23" i="11"/>
  <c r="B58" i="7"/>
  <c r="Q26" i="29"/>
  <c r="Q51" i="29" s="1"/>
  <c r="G17" i="22"/>
  <c r="L27" i="9"/>
  <c r="L51" i="9" s="1"/>
  <c r="K17" i="9"/>
  <c r="P16" i="29" s="1"/>
  <c r="L21" i="7"/>
  <c r="L24" i="7" s="1"/>
  <c r="L26" i="7" s="1"/>
  <c r="E62" i="10"/>
  <c r="E54" i="8" s="1"/>
  <c r="H62" i="10"/>
  <c r="H54" i="8" s="1"/>
  <c r="E42" i="11"/>
  <c r="D29" i="7" s="1"/>
  <c r="K43" i="14"/>
  <c r="G202" i="15"/>
  <c r="B21" i="7"/>
  <c r="B24" i="7" s="1"/>
  <c r="B26" i="7" s="1"/>
  <c r="K59" i="15"/>
  <c r="H44" i="12"/>
  <c r="K124" i="15"/>
  <c r="Q45" i="32"/>
  <c r="F42" i="11"/>
  <c r="E29" i="7" s="1"/>
  <c r="I34" i="20"/>
  <c r="D57" i="7"/>
  <c r="J132" i="15"/>
  <c r="E7" i="15"/>
  <c r="E103" i="15" s="1"/>
  <c r="J117" i="15"/>
  <c r="M7" i="15"/>
  <c r="M103" i="15" s="1"/>
  <c r="K117" i="15"/>
  <c r="F41" i="8"/>
  <c r="P11" i="29"/>
  <c r="J81" i="15"/>
  <c r="J71" i="15" s="1"/>
  <c r="J112" i="15"/>
  <c r="C51" i="9"/>
  <c r="H120" i="15"/>
  <c r="J44" i="9"/>
  <c r="K112" i="15"/>
  <c r="G57" i="7"/>
  <c r="J108" i="15"/>
  <c r="H51" i="9"/>
  <c r="H202" i="15"/>
  <c r="J17" i="9"/>
  <c r="F19" i="20"/>
  <c r="F32" i="20"/>
  <c r="C62" i="10"/>
  <c r="C54" i="8" s="1"/>
  <c r="F38" i="20"/>
  <c r="F37" i="20"/>
  <c r="F34" i="20"/>
  <c r="K227" i="15"/>
  <c r="I37" i="20"/>
  <c r="I35" i="20"/>
  <c r="L39" i="10"/>
  <c r="L43" i="10" s="1"/>
  <c r="L45" i="10" s="1"/>
  <c r="L47" i="10" s="1"/>
  <c r="L62" i="10"/>
  <c r="L54" i="8" s="1"/>
  <c r="E49" i="10"/>
  <c r="G41" i="8"/>
  <c r="K44" i="9"/>
  <c r="P43" i="29" s="1"/>
  <c r="G51" i="9"/>
  <c r="K132" i="15"/>
  <c r="G7" i="15"/>
  <c r="M207" i="15"/>
  <c r="M120" i="15"/>
  <c r="J41" i="11"/>
  <c r="C71" i="15"/>
  <c r="E51" i="9"/>
  <c r="J59" i="15"/>
  <c r="J123" i="15" s="1"/>
  <c r="G21" i="14"/>
  <c r="F50" i="7"/>
  <c r="F52" i="7" s="1"/>
  <c r="J55" i="7"/>
  <c r="E20" i="7"/>
  <c r="E21" i="7" s="1"/>
  <c r="E24" i="7" s="1"/>
  <c r="E26" i="7" s="1"/>
  <c r="C183" i="37"/>
  <c r="C183" i="34"/>
  <c r="J13" i="7"/>
  <c r="J34" i="9"/>
  <c r="R26" i="29"/>
  <c r="R51" i="29" s="1"/>
  <c r="P24" i="32"/>
  <c r="K41" i="11"/>
  <c r="G116" i="15"/>
  <c r="G39" i="15"/>
  <c r="F57" i="7" s="1"/>
  <c r="M27" i="9"/>
  <c r="M51" i="9" s="1"/>
  <c r="M183" i="53"/>
  <c r="K57" i="16"/>
  <c r="K62" i="16" s="1"/>
  <c r="J61" i="7" s="1"/>
  <c r="J62" i="16"/>
  <c r="I61" i="7" s="1"/>
  <c r="L41" i="8"/>
  <c r="E41" i="8"/>
  <c r="Q41" i="28"/>
  <c r="P10" i="32"/>
  <c r="K23" i="11"/>
  <c r="M91" i="11" s="1"/>
  <c r="J21" i="9"/>
  <c r="K8" i="10"/>
  <c r="I8" i="7"/>
  <c r="J23" i="10"/>
  <c r="G249" i="46"/>
  <c r="I116" i="15"/>
  <c r="I39" i="15"/>
  <c r="L8" i="14"/>
  <c r="L10" i="14" s="1"/>
  <c r="E202" i="15"/>
  <c r="D56" i="7"/>
  <c r="R21" i="32"/>
  <c r="R40" i="32" s="1"/>
  <c r="R45" i="32" s="1"/>
  <c r="H103" i="15"/>
  <c r="H134" i="15"/>
  <c r="F39" i="10"/>
  <c r="F43" i="10" s="1"/>
  <c r="F45" i="10" s="1"/>
  <c r="F47" i="10" s="1"/>
  <c r="F53" i="18" s="1"/>
  <c r="F57" i="18" s="1"/>
  <c r="F62" i="10"/>
  <c r="F54" i="8" s="1"/>
  <c r="M55" i="8"/>
  <c r="M41" i="8"/>
  <c r="J22" i="8"/>
  <c r="K7" i="8"/>
  <c r="M8" i="14"/>
  <c r="M10" i="14" s="1"/>
  <c r="K110" i="15"/>
  <c r="D249" i="46"/>
  <c r="H49" i="10"/>
  <c r="K169" i="53"/>
  <c r="J40" i="8"/>
  <c r="K25" i="8"/>
  <c r="B50" i="7"/>
  <c r="B52" i="7" s="1"/>
  <c r="C21" i="14"/>
  <c r="G6" i="22" s="1"/>
  <c r="G49" i="10"/>
  <c r="L127" i="15"/>
  <c r="L39" i="15"/>
  <c r="P29" i="29"/>
  <c r="P25" i="30"/>
  <c r="I25" i="30" s="1"/>
  <c r="K81" i="15"/>
  <c r="K105" i="15"/>
  <c r="J40" i="9"/>
  <c r="F39" i="15"/>
  <c r="F113" i="15"/>
  <c r="M183" i="34"/>
  <c r="L183" i="34"/>
  <c r="K49" i="15"/>
  <c r="K108" i="15"/>
  <c r="E52" i="7"/>
  <c r="D41" i="8"/>
  <c r="J49" i="15"/>
  <c r="J110" i="15"/>
  <c r="K37" i="22"/>
  <c r="K9" i="22" s="1"/>
  <c r="N56" i="31"/>
  <c r="N64" i="31"/>
  <c r="L183" i="37"/>
  <c r="I29" i="29" l="1"/>
  <c r="J179" i="17"/>
  <c r="I181" i="17"/>
  <c r="N31" i="28"/>
  <c r="O31" i="28" s="1"/>
  <c r="N38" i="28"/>
  <c r="O38" i="28" s="1"/>
  <c r="N11" i="28"/>
  <c r="O11" i="28" s="1"/>
  <c r="N26" i="32"/>
  <c r="N7" i="28"/>
  <c r="O7" i="28" s="1"/>
  <c r="N36" i="32"/>
  <c r="N34" i="28"/>
  <c r="O34" i="28" s="1"/>
  <c r="N28" i="32"/>
  <c r="N38" i="32"/>
  <c r="N33" i="32"/>
  <c r="I51" i="9"/>
  <c r="N19" i="28"/>
  <c r="N6" i="32"/>
  <c r="N9" i="28"/>
  <c r="O9" i="28" s="1"/>
  <c r="I29" i="7"/>
  <c r="J29" i="7" s="1"/>
  <c r="N37" i="32"/>
  <c r="N31" i="32"/>
  <c r="M9" i="29"/>
  <c r="M6" i="29" s="1"/>
  <c r="L9" i="29"/>
  <c r="L6" i="29" s="1"/>
  <c r="N36" i="28"/>
  <c r="O36" i="28" s="1"/>
  <c r="N20" i="28"/>
  <c r="O20" i="28" s="1"/>
  <c r="N29" i="32"/>
  <c r="N28" i="28"/>
  <c r="O28" i="28" s="1"/>
  <c r="N32" i="28"/>
  <c r="O32" i="28" s="1"/>
  <c r="N8" i="29"/>
  <c r="O8" i="29" s="1"/>
  <c r="C57" i="7"/>
  <c r="N33" i="28"/>
  <c r="O33" i="28" s="1"/>
  <c r="N25" i="32"/>
  <c r="N35" i="28"/>
  <c r="O35" i="28" s="1"/>
  <c r="N12" i="28"/>
  <c r="O12" i="28" s="1"/>
  <c r="H17" i="22"/>
  <c r="D134" i="15"/>
  <c r="H18" i="22" s="1"/>
  <c r="N30" i="32"/>
  <c r="D206" i="15"/>
  <c r="N12" i="29"/>
  <c r="O12" i="29" s="1"/>
  <c r="N29" i="28"/>
  <c r="O29" i="28" s="1"/>
  <c r="N34" i="32"/>
  <c r="D205" i="15"/>
  <c r="I202" i="15"/>
  <c r="N19" i="29"/>
  <c r="O19" i="29" s="1"/>
  <c r="N37" i="29"/>
  <c r="O37" i="29" s="1"/>
  <c r="D207" i="15"/>
  <c r="G34" i="20"/>
  <c r="D202" i="15"/>
  <c r="K29" i="29"/>
  <c r="N25" i="29"/>
  <c r="O25" i="29" s="1"/>
  <c r="N31" i="29"/>
  <c r="O31" i="29" s="1"/>
  <c r="M29" i="29"/>
  <c r="K9" i="29"/>
  <c r="K6" i="29" s="1"/>
  <c r="J9" i="29"/>
  <c r="J6" i="29" s="1"/>
  <c r="I6" i="29"/>
  <c r="N13" i="32"/>
  <c r="J29" i="29"/>
  <c r="N37" i="28"/>
  <c r="O37" i="28" s="1"/>
  <c r="N15" i="28"/>
  <c r="N15" i="29"/>
  <c r="O15" i="29" s="1"/>
  <c r="N14" i="29"/>
  <c r="O14" i="29" s="1"/>
  <c r="N38" i="29"/>
  <c r="N30" i="29"/>
  <c r="O30" i="29" s="1"/>
  <c r="N48" i="29"/>
  <c r="N13" i="29"/>
  <c r="O13" i="29" s="1"/>
  <c r="I50" i="7"/>
  <c r="H20" i="7"/>
  <c r="H21" i="7" s="1"/>
  <c r="H24" i="7" s="1"/>
  <c r="I19" i="7"/>
  <c r="I20" i="7" s="1"/>
  <c r="N30" i="28"/>
  <c r="O30" i="28" s="1"/>
  <c r="N27" i="32"/>
  <c r="N16" i="28"/>
  <c r="N18" i="28"/>
  <c r="N26" i="28"/>
  <c r="O26" i="28" s="1"/>
  <c r="N8" i="28"/>
  <c r="O8" i="28" s="1"/>
  <c r="N23" i="29"/>
  <c r="O23" i="29" s="1"/>
  <c r="N17" i="28"/>
  <c r="N35" i="32"/>
  <c r="N8" i="32"/>
  <c r="N14" i="28"/>
  <c r="O14" i="28" s="1"/>
  <c r="D10" i="14"/>
  <c r="C50" i="7" s="1"/>
  <c r="J10" i="14"/>
  <c r="I38" i="20"/>
  <c r="I19" i="20"/>
  <c r="J15" i="22"/>
  <c r="M43" i="14"/>
  <c r="M38" i="14" s="1"/>
  <c r="M40" i="14" s="1"/>
  <c r="M16" i="14" s="1"/>
  <c r="M20" i="14" s="1"/>
  <c r="L51" i="7" s="1"/>
  <c r="K15" i="22"/>
  <c r="K42" i="22"/>
  <c r="M14" i="12"/>
  <c r="L14" i="12"/>
  <c r="L43" i="14"/>
  <c r="L38" i="14" s="1"/>
  <c r="L40" i="14" s="1"/>
  <c r="L16" i="14" s="1"/>
  <c r="L20" i="14" s="1"/>
  <c r="K51" i="7" s="1"/>
  <c r="J38" i="20"/>
  <c r="J39" i="10"/>
  <c r="J43" i="10" s="1"/>
  <c r="J45" i="10" s="1"/>
  <c r="J47" i="10" s="1"/>
  <c r="J53" i="18" s="1"/>
  <c r="I30" i="30"/>
  <c r="I36" i="30" s="1"/>
  <c r="L30" i="30"/>
  <c r="J30" i="30"/>
  <c r="M30" i="30"/>
  <c r="H13" i="20"/>
  <c r="K42" i="12"/>
  <c r="K44" i="12" s="1"/>
  <c r="C43" i="10"/>
  <c r="C45" i="10" s="1"/>
  <c r="C47" i="10" s="1"/>
  <c r="I43" i="10"/>
  <c r="I45" i="10" s="1"/>
  <c r="I47" i="10" s="1"/>
  <c r="D49" i="10"/>
  <c r="D53" i="18"/>
  <c r="D57" i="18" s="1"/>
  <c r="D47" i="12" s="1"/>
  <c r="J55" i="8"/>
  <c r="N28" i="30"/>
  <c r="O28" i="30" s="1"/>
  <c r="N6" i="30"/>
  <c r="O6" i="30" s="1"/>
  <c r="J171" i="15"/>
  <c r="N16" i="33"/>
  <c r="N26" i="33" s="1"/>
  <c r="N42" i="29"/>
  <c r="I43" i="29"/>
  <c r="J43" i="29"/>
  <c r="K43" i="29"/>
  <c r="N41" i="29"/>
  <c r="N46" i="29"/>
  <c r="N36" i="29"/>
  <c r="O36" i="29" s="1"/>
  <c r="N45" i="29"/>
  <c r="M43" i="29"/>
  <c r="L43" i="29"/>
  <c r="N44" i="29"/>
  <c r="O44" i="29" s="1"/>
  <c r="N13" i="28"/>
  <c r="O13" i="28" s="1"/>
  <c r="N9" i="30"/>
  <c r="O9" i="30" s="1"/>
  <c r="N10" i="28"/>
  <c r="O10" i="28" s="1"/>
  <c r="N24" i="29"/>
  <c r="O24" i="29" s="1"/>
  <c r="N10" i="30"/>
  <c r="O10" i="30" s="1"/>
  <c r="M205" i="15"/>
  <c r="N20" i="30"/>
  <c r="O20" i="30" s="1"/>
  <c r="N32" i="32"/>
  <c r="M202" i="15"/>
  <c r="N25" i="28"/>
  <c r="O25" i="28" s="1"/>
  <c r="H9" i="20"/>
  <c r="I13" i="22" s="1"/>
  <c r="N12" i="32"/>
  <c r="K101" i="27"/>
  <c r="L101" i="27" s="1"/>
  <c r="N8" i="30"/>
  <c r="O8" i="30" s="1"/>
  <c r="N7" i="29"/>
  <c r="O7" i="29" s="1"/>
  <c r="H8" i="22"/>
  <c r="M24" i="32"/>
  <c r="M39" i="32" s="1"/>
  <c r="L24" i="32"/>
  <c r="L39" i="32" s="1"/>
  <c r="K24" i="32"/>
  <c r="K39" i="32" s="1"/>
  <c r="J24" i="32"/>
  <c r="J39" i="32" s="1"/>
  <c r="I24" i="32"/>
  <c r="I39" i="32" s="1"/>
  <c r="R45" i="30"/>
  <c r="K8" i="14"/>
  <c r="K10" i="14" s="1"/>
  <c r="M18" i="29"/>
  <c r="M16" i="29" s="1"/>
  <c r="L18" i="29"/>
  <c r="L16" i="29" s="1"/>
  <c r="K18" i="29"/>
  <c r="K16" i="29" s="1"/>
  <c r="J18" i="29"/>
  <c r="J16" i="29" s="1"/>
  <c r="I18" i="29"/>
  <c r="I16" i="29" s="1"/>
  <c r="O31" i="33"/>
  <c r="N21" i="29"/>
  <c r="O21" i="29" s="1"/>
  <c r="M10" i="32"/>
  <c r="M21" i="32" s="1"/>
  <c r="L10" i="32"/>
  <c r="L21" i="32" s="1"/>
  <c r="K10" i="32"/>
  <c r="K21" i="32" s="1"/>
  <c r="J10" i="32"/>
  <c r="J21" i="32" s="1"/>
  <c r="I10" i="32"/>
  <c r="I21" i="32" s="1"/>
  <c r="M11" i="29"/>
  <c r="M10" i="29" s="1"/>
  <c r="L11" i="29"/>
  <c r="L10" i="29" s="1"/>
  <c r="K11" i="29"/>
  <c r="K10" i="29" s="1"/>
  <c r="J11" i="29"/>
  <c r="J10" i="29" s="1"/>
  <c r="I11" i="29"/>
  <c r="I10" i="29" s="1"/>
  <c r="M25" i="30"/>
  <c r="L25" i="30"/>
  <c r="K25" i="30"/>
  <c r="K36" i="30" s="1"/>
  <c r="J25" i="30"/>
  <c r="K171" i="15"/>
  <c r="K206" i="15" s="1"/>
  <c r="D103" i="15"/>
  <c r="M45" i="10"/>
  <c r="M47" i="10" s="1"/>
  <c r="M49" i="10" s="1"/>
  <c r="B56" i="7"/>
  <c r="J7" i="15"/>
  <c r="K120" i="15"/>
  <c r="K7" i="15"/>
  <c r="H57" i="7"/>
  <c r="K123" i="15"/>
  <c r="K71" i="15"/>
  <c r="K249" i="46"/>
  <c r="L202" i="15"/>
  <c r="J58" i="7"/>
  <c r="J42" i="11"/>
  <c r="O45" i="32" s="1"/>
  <c r="J113" i="15"/>
  <c r="K11" i="9"/>
  <c r="K39" i="15"/>
  <c r="E134" i="15"/>
  <c r="M134" i="15"/>
  <c r="M204" i="15" s="1"/>
  <c r="Q45" i="30"/>
  <c r="J8" i="22"/>
  <c r="J27" i="9"/>
  <c r="E47" i="12"/>
  <c r="E50" i="12" s="1"/>
  <c r="E63" i="12" s="1"/>
  <c r="E65" i="18"/>
  <c r="B57" i="7"/>
  <c r="C207" i="15"/>
  <c r="C205" i="15"/>
  <c r="C103" i="15"/>
  <c r="C134" i="15"/>
  <c r="G18" i="22" s="1"/>
  <c r="G134" i="15"/>
  <c r="J39" i="15"/>
  <c r="G103" i="15"/>
  <c r="K50" i="7"/>
  <c r="L50" i="7"/>
  <c r="J62" i="10"/>
  <c r="J54" i="8" s="1"/>
  <c r="P40" i="29"/>
  <c r="K40" i="9"/>
  <c r="P39" i="29" s="1"/>
  <c r="P34" i="29"/>
  <c r="K34" i="9"/>
  <c r="J8" i="7"/>
  <c r="P7" i="30"/>
  <c r="I36" i="22"/>
  <c r="K23" i="10"/>
  <c r="K39" i="10" s="1"/>
  <c r="K43" i="10" s="1"/>
  <c r="I11" i="22"/>
  <c r="I41" i="22"/>
  <c r="I10" i="22" s="1"/>
  <c r="K44" i="14" s="1"/>
  <c r="K38" i="14" s="1"/>
  <c r="K40" i="14" s="1"/>
  <c r="K16" i="14" s="1"/>
  <c r="P6" i="28"/>
  <c r="K22" i="8"/>
  <c r="K42" i="11"/>
  <c r="J50" i="9"/>
  <c r="P36" i="30"/>
  <c r="P39" i="32"/>
  <c r="G47" i="12"/>
  <c r="G50" i="12" s="1"/>
  <c r="G65" i="18"/>
  <c r="L53" i="18"/>
  <c r="L57" i="18" s="1"/>
  <c r="L49" i="10"/>
  <c r="J41" i="8"/>
  <c r="F49" i="10"/>
  <c r="P24" i="28"/>
  <c r="K40" i="8"/>
  <c r="K55" i="8" s="1"/>
  <c r="K169" i="52"/>
  <c r="K170" i="15" s="1"/>
  <c r="L207" i="15"/>
  <c r="L205" i="15"/>
  <c r="K57" i="7"/>
  <c r="L103" i="15"/>
  <c r="L134" i="15"/>
  <c r="J18" i="22" s="1"/>
  <c r="R22" i="32"/>
  <c r="K113" i="15"/>
  <c r="E57" i="7"/>
  <c r="F103" i="15"/>
  <c r="F134" i="15"/>
  <c r="I103" i="15"/>
  <c r="H47" i="12"/>
  <c r="H50" i="12" s="1"/>
  <c r="H65" i="18"/>
  <c r="I134" i="15"/>
  <c r="P22" i="29"/>
  <c r="K21" i="9"/>
  <c r="P21" i="32"/>
  <c r="J181" i="17" l="1"/>
  <c r="K179" i="17"/>
  <c r="K181" i="17" s="1"/>
  <c r="D204" i="15"/>
  <c r="N29" i="29"/>
  <c r="N6" i="29"/>
  <c r="O6" i="29" s="1"/>
  <c r="N9" i="29"/>
  <c r="O9" i="29" s="1"/>
  <c r="J19" i="7"/>
  <c r="J20" i="7" s="1"/>
  <c r="J21" i="7" s="1"/>
  <c r="I57" i="7"/>
  <c r="J57" i="7" s="1"/>
  <c r="H26" i="7"/>
  <c r="I24" i="7"/>
  <c r="I26" i="7" s="1"/>
  <c r="C52" i="7"/>
  <c r="D21" i="14"/>
  <c r="H6" i="22" s="1"/>
  <c r="L52" i="7"/>
  <c r="M21" i="14"/>
  <c r="K6" i="22" s="1"/>
  <c r="L27" i="12"/>
  <c r="L44" i="12" s="1"/>
  <c r="K37" i="7"/>
  <c r="I13" i="20"/>
  <c r="M27" i="12"/>
  <c r="M44" i="12" s="1"/>
  <c r="L37" i="7"/>
  <c r="J13" i="20"/>
  <c r="K52" i="7"/>
  <c r="L21" i="14"/>
  <c r="J6" i="22" s="1"/>
  <c r="N30" i="30"/>
  <c r="O30" i="30" s="1"/>
  <c r="M36" i="30"/>
  <c r="L36" i="30"/>
  <c r="J36" i="30"/>
  <c r="G8" i="22"/>
  <c r="I21" i="7"/>
  <c r="I49" i="10"/>
  <c r="I53" i="18"/>
  <c r="I57" i="18" s="1"/>
  <c r="I47" i="12" s="1"/>
  <c r="C49" i="10"/>
  <c r="C53" i="18"/>
  <c r="C57" i="18" s="1"/>
  <c r="C65" i="18" s="1"/>
  <c r="P10" i="29"/>
  <c r="N10" i="29" s="1"/>
  <c r="O10" i="29" s="1"/>
  <c r="K27" i="9"/>
  <c r="J202" i="15"/>
  <c r="N43" i="29"/>
  <c r="O43" i="29" s="1"/>
  <c r="N16" i="29"/>
  <c r="O16" i="29" s="1"/>
  <c r="I34" i="29"/>
  <c r="I33" i="29" s="1"/>
  <c r="M34" i="29"/>
  <c r="M33" i="29" s="1"/>
  <c r="K34" i="29"/>
  <c r="K33" i="29" s="1"/>
  <c r="L34" i="29"/>
  <c r="L33" i="29" s="1"/>
  <c r="J34" i="29"/>
  <c r="J33" i="29" s="1"/>
  <c r="M40" i="29"/>
  <c r="M39" i="29" s="1"/>
  <c r="L40" i="29"/>
  <c r="L39" i="29" s="1"/>
  <c r="K40" i="29"/>
  <c r="K39" i="29" s="1"/>
  <c r="J40" i="29"/>
  <c r="J39" i="29" s="1"/>
  <c r="I40" i="29"/>
  <c r="I39" i="29" s="1"/>
  <c r="K202" i="15"/>
  <c r="L40" i="32"/>
  <c r="N25" i="30"/>
  <c r="D65" i="18"/>
  <c r="J103" i="15"/>
  <c r="N24" i="32"/>
  <c r="N39" i="32" s="1"/>
  <c r="M24" i="28"/>
  <c r="M39" i="28" s="1"/>
  <c r="L24" i="28"/>
  <c r="L39" i="28" s="1"/>
  <c r="K24" i="28"/>
  <c r="K39" i="28" s="1"/>
  <c r="J24" i="28"/>
  <c r="J39" i="28" s="1"/>
  <c r="I24" i="28"/>
  <c r="I39" i="28" s="1"/>
  <c r="K40" i="32"/>
  <c r="N18" i="29"/>
  <c r="O18" i="29" s="1"/>
  <c r="M22" i="29"/>
  <c r="M20" i="29" s="1"/>
  <c r="M26" i="29" s="1"/>
  <c r="L22" i="29"/>
  <c r="L20" i="29" s="1"/>
  <c r="L26" i="29" s="1"/>
  <c r="K22" i="29"/>
  <c r="K20" i="29" s="1"/>
  <c r="K26" i="29" s="1"/>
  <c r="J22" i="29"/>
  <c r="J20" i="29" s="1"/>
  <c r="J26" i="29" s="1"/>
  <c r="I22" i="29"/>
  <c r="I20" i="29" s="1"/>
  <c r="I26" i="29" s="1"/>
  <c r="M40" i="32"/>
  <c r="N10" i="32"/>
  <c r="N21" i="32" s="1"/>
  <c r="J6" i="28"/>
  <c r="J21" i="28" s="1"/>
  <c r="I6" i="28"/>
  <c r="I21" i="28" s="1"/>
  <c r="K6" i="28"/>
  <c r="K21" i="28" s="1"/>
  <c r="M6" i="28"/>
  <c r="M21" i="28" s="1"/>
  <c r="L6" i="28"/>
  <c r="L21" i="28" s="1"/>
  <c r="M7" i="30"/>
  <c r="M22" i="30" s="1"/>
  <c r="L7" i="30"/>
  <c r="L22" i="30" s="1"/>
  <c r="K7" i="30"/>
  <c r="K22" i="30" s="1"/>
  <c r="K38" i="30" s="1"/>
  <c r="K42" i="30" s="1"/>
  <c r="J7" i="30"/>
  <c r="J22" i="30" s="1"/>
  <c r="I7" i="30"/>
  <c r="I22" i="30" s="1"/>
  <c r="I38" i="30" s="1"/>
  <c r="I42" i="30" s="1"/>
  <c r="K134" i="15"/>
  <c r="K204" i="15" s="1"/>
  <c r="N11" i="29"/>
  <c r="O11" i="29" s="1"/>
  <c r="I40" i="32"/>
  <c r="J56" i="7"/>
  <c r="I17" i="22"/>
  <c r="J40" i="32"/>
  <c r="M53" i="18"/>
  <c r="M57" i="18" s="1"/>
  <c r="M65" i="18" s="1"/>
  <c r="D41" i="7"/>
  <c r="J51" i="9"/>
  <c r="C204" i="15"/>
  <c r="K207" i="15"/>
  <c r="K103" i="15"/>
  <c r="K18" i="22"/>
  <c r="P40" i="32"/>
  <c r="P45" i="32" s="1"/>
  <c r="J134" i="15"/>
  <c r="O29" i="29"/>
  <c r="K205" i="15"/>
  <c r="K62" i="10"/>
  <c r="K54" i="8" s="1"/>
  <c r="H19" i="20"/>
  <c r="H37" i="20"/>
  <c r="H35" i="20"/>
  <c r="H38" i="20"/>
  <c r="H32" i="20"/>
  <c r="H34" i="20"/>
  <c r="I9" i="22"/>
  <c r="J37" i="22"/>
  <c r="J9" i="22" s="1"/>
  <c r="K20" i="14"/>
  <c r="K21" i="14" s="1"/>
  <c r="I6" i="22" s="1"/>
  <c r="I16" i="14"/>
  <c r="J16" i="14" s="1"/>
  <c r="P33" i="29"/>
  <c r="K50" i="9"/>
  <c r="K41" i="8"/>
  <c r="P39" i="28"/>
  <c r="J57" i="18"/>
  <c r="J49" i="10"/>
  <c r="P21" i="28"/>
  <c r="P20" i="29"/>
  <c r="H63" i="12"/>
  <c r="G41" i="7"/>
  <c r="L204" i="15"/>
  <c r="P22" i="30"/>
  <c r="P38" i="30" s="1"/>
  <c r="P42" i="30" s="1"/>
  <c r="F41" i="7"/>
  <c r="G63" i="12"/>
  <c r="F65" i="18"/>
  <c r="F47" i="12"/>
  <c r="P22" i="32"/>
  <c r="L65" i="18"/>
  <c r="L47" i="12"/>
  <c r="L50" i="12" s="1"/>
  <c r="D50" i="12"/>
  <c r="C41" i="7" s="1"/>
  <c r="J24" i="7" l="1"/>
  <c r="J26" i="7" s="1"/>
  <c r="I50" i="12"/>
  <c r="I63" i="12" s="1"/>
  <c r="J47" i="12"/>
  <c r="J50" i="7"/>
  <c r="N36" i="30"/>
  <c r="J38" i="30"/>
  <c r="J42" i="30" s="1"/>
  <c r="L38" i="30"/>
  <c r="L42" i="30" s="1"/>
  <c r="M38" i="30"/>
  <c r="M42" i="30" s="1"/>
  <c r="C47" i="12"/>
  <c r="C50" i="12" s="1"/>
  <c r="C63" i="12" s="1"/>
  <c r="I65" i="18"/>
  <c r="J65" i="18"/>
  <c r="N39" i="29"/>
  <c r="N40" i="29"/>
  <c r="O25" i="30"/>
  <c r="O36" i="30" s="1"/>
  <c r="L41" i="28"/>
  <c r="J49" i="29"/>
  <c r="J51" i="29" s="1"/>
  <c r="L49" i="29"/>
  <c r="L51" i="29" s="1"/>
  <c r="K41" i="28"/>
  <c r="K49" i="29"/>
  <c r="K51" i="29" s="1"/>
  <c r="I41" i="28"/>
  <c r="M49" i="29"/>
  <c r="M51" i="29" s="1"/>
  <c r="M41" i="28"/>
  <c r="J41" i="28"/>
  <c r="I49" i="29"/>
  <c r="I51" i="29" s="1"/>
  <c r="N34" i="29"/>
  <c r="O34" i="29" s="1"/>
  <c r="N40" i="32"/>
  <c r="I18" i="22"/>
  <c r="N24" i="28"/>
  <c r="O24" i="28" s="1"/>
  <c r="O39" i="28" s="1"/>
  <c r="N7" i="30"/>
  <c r="O7" i="30" s="1"/>
  <c r="O22" i="30" s="1"/>
  <c r="N6" i="28"/>
  <c r="N21" i="28" s="1"/>
  <c r="N22" i="29"/>
  <c r="O22" i="29" s="1"/>
  <c r="M47" i="12"/>
  <c r="M50" i="12" s="1"/>
  <c r="P45" i="30"/>
  <c r="N22" i="32"/>
  <c r="P41" i="28"/>
  <c r="N20" i="29"/>
  <c r="P26" i="29"/>
  <c r="D63" i="12"/>
  <c r="N33" i="29"/>
  <c r="P49" i="29"/>
  <c r="K41" i="7"/>
  <c r="L63" i="12"/>
  <c r="F50" i="12"/>
  <c r="I8" i="22"/>
  <c r="K45" i="10"/>
  <c r="K47" i="10" s="1"/>
  <c r="J20" i="14"/>
  <c r="J21" i="14" s="1"/>
  <c r="I20" i="14"/>
  <c r="K51" i="9"/>
  <c r="H41" i="7" l="1"/>
  <c r="C83" i="18"/>
  <c r="B41" i="7"/>
  <c r="K47" i="12"/>
  <c r="K50" i="12" s="1"/>
  <c r="K63" i="12" s="1"/>
  <c r="O38" i="30"/>
  <c r="O42" i="30" s="1"/>
  <c r="N39" i="28"/>
  <c r="N41" i="28" s="1"/>
  <c r="O6" i="28"/>
  <c r="O21" i="28" s="1"/>
  <c r="O41" i="28" s="1"/>
  <c r="N22" i="30"/>
  <c r="N38" i="30" s="1"/>
  <c r="N42" i="30" s="1"/>
  <c r="M63" i="12"/>
  <c r="L41" i="7"/>
  <c r="H51" i="7"/>
  <c r="I51" i="7" s="1"/>
  <c r="I21" i="14"/>
  <c r="K53" i="18"/>
  <c r="K49" i="10"/>
  <c r="E41" i="7"/>
  <c r="F63" i="12"/>
  <c r="P51" i="29"/>
  <c r="J50" i="12"/>
  <c r="J63" i="12" s="1"/>
  <c r="O33" i="29"/>
  <c r="O49" i="29" s="1"/>
  <c r="N49" i="29"/>
  <c r="O20" i="29"/>
  <c r="O26" i="29" s="1"/>
  <c r="N26" i="29"/>
  <c r="I41" i="7" l="1"/>
  <c r="J41" i="7" s="1"/>
  <c r="K57" i="18"/>
  <c r="K65" i="18" s="1"/>
  <c r="M83" i="18" s="1"/>
  <c r="O51" i="29"/>
  <c r="N51" i="29"/>
  <c r="H52" i="7"/>
  <c r="J51" i="7" l="1"/>
  <c r="J52" i="7" s="1"/>
  <c r="I52" i="7"/>
  <c r="F4" i="9"/>
  <c r="G4" i="9" s="1"/>
  <c r="H4" i="9" s="1"/>
  <c r="I4" i="9" s="1"/>
  <c r="J4" i="9" s="1"/>
  <c r="K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1777</author>
  </authors>
  <commentList>
    <comment ref="F81" authorId="0" shapeId="0" xr:uid="{00000000-0006-0000-0300-00000100000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<sst xmlns="http://schemas.openxmlformats.org/spreadsheetml/2006/main" count="128880" uniqueCount="5497">
  <si>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</si>
  <si>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</si>
  <si>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</si>
  <si>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</si>
  <si>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</si>
  <si>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</si>
  <si>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</si>
  <si>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</si>
  <si>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</si>
  <si>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</si>
  <si>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</si>
  <si>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</si>
  <si>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</si>
  <si>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</si>
  <si>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</si>
  <si>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</si>
  <si>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</si>
  <si>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</si>
  <si>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</si>
  <si>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</si>
  <si>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</si>
  <si>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</si>
  <si>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</si>
  <si>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</si>
  <si>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</si>
  <si>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</si>
  <si>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</si>
  <si>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</si>
  <si>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</si>
  <si>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</si>
  <si>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</si>
  <si>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</si>
  <si>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</si>
  <si>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</si>
  <si>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</si>
  <si>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</si>
  <si>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</si>
  <si>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</si>
  <si>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</si>
  <si>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</si>
  <si>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</si>
  <si>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</si>
  <si>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</si>
  <si>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</si>
  <si>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</si>
  <si>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</si>
  <si>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</si>
  <si>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</si>
  <si>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</si>
  <si>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</si>
  <si>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</si>
  <si>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</si>
  <si>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</si>
  <si>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</si>
  <si>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</si>
  <si>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</si>
  <si>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</si>
  <si>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</si>
  <si>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</si>
  <si>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</si>
  <si>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</si>
  <si>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</si>
  <si>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</si>
  <si>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</si>
  <si>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</si>
  <si>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</si>
  <si>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</si>
  <si>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</si>
  <si>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</si>
  <si>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</si>
  <si>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</si>
  <si>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</si>
  <si>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</si>
  <si>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</si>
  <si>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</si>
  <si>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</si>
  <si>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</si>
  <si>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</si>
  <si>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</si>
  <si>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</si>
  <si>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</si>
  <si>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</si>
  <si>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</si>
  <si>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</si>
  <si>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</si>
  <si>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</si>
  <si>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</si>
  <si>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</si>
  <si>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</si>
  <si>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</si>
  <si>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</si>
  <si>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</si>
  <si>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</si>
  <si>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</si>
  <si>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</si>
  <si>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</si>
  <si>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</si>
  <si>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</si>
  <si>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</si>
  <si>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</si>
  <si>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</si>
  <si>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</si>
  <si>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</si>
  <si>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</si>
  <si>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</si>
  <si>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</si>
  <si>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</si>
  <si>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</si>
  <si>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</si>
  <si>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</si>
  <si>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</si>
  <si>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</si>
  <si>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</si>
  <si>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</si>
  <si>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</si>
  <si>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</si>
  <si>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</si>
  <si>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</si>
  <si>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</si>
  <si>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</si>
  <si>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</si>
  <si>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</si>
  <si>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</si>
  <si>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</si>
  <si>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</si>
  <si>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</si>
  <si>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</si>
  <si>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</si>
  <si>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</si>
  <si>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</si>
  <si>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</si>
  <si>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</si>
  <si>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</si>
  <si>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</si>
  <si>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</si>
  <si>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</si>
  <si>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</si>
  <si>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</si>
  <si>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</si>
  <si>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</si>
  <si>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</si>
  <si>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</si>
  <si>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</si>
  <si>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</si>
  <si>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</si>
  <si>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</si>
  <si>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</si>
  <si>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</si>
  <si>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</si>
  <si>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</si>
  <si>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</si>
  <si>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</si>
  <si>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</si>
  <si>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</si>
  <si>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</si>
  <si>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</si>
  <si>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</si>
  <si>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</si>
  <si>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</si>
  <si>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</si>
  <si>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</si>
  <si>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</si>
  <si>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</si>
  <si>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</si>
  <si>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</si>
  <si>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</si>
  <si>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</si>
  <si>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</si>
  <si>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</si>
  <si>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</si>
  <si>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</si>
  <si>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</si>
  <si>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</si>
  <si>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</si>
  <si>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</si>
  <si>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</si>
  <si>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</si>
  <si>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</si>
  <si>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</si>
  <si>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</si>
  <si>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</si>
  <si>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</si>
  <si>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</si>
  <si>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</si>
  <si>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</si>
  <si>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</si>
  <si>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</si>
  <si>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</si>
  <si>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</si>
  <si>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</si>
  <si>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</si>
  <si>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</si>
  <si>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</si>
  <si>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</si>
  <si>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</si>
  <si>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</si>
  <si>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</si>
  <si>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</si>
  <si>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</si>
  <si>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</si>
  <si>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</si>
  <si>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</si>
  <si>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</si>
  <si>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</si>
  <si>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</si>
  <si>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</si>
  <si>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</si>
  <si>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</si>
  <si>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</si>
  <si>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</si>
  <si>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</si>
  <si>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</si>
  <si>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</si>
  <si>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</si>
  <si>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</si>
  <si>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</si>
  <si>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</si>
  <si>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</si>
  <si>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</si>
  <si>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</si>
  <si>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</si>
  <si>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</si>
  <si>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</si>
  <si>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</si>
  <si>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</si>
  <si>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</si>
  <si>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</si>
  <si>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</si>
  <si>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</si>
  <si>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</si>
  <si>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</si>
  <si>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</si>
  <si>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</si>
  <si>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</si>
  <si>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</si>
  <si>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</si>
  <si>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</si>
  <si>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</si>
  <si>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</si>
  <si>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</si>
  <si>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</si>
  <si>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</si>
  <si>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</si>
  <si>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</si>
  <si>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</si>
  <si>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</si>
  <si>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</si>
  <si>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</si>
  <si>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</si>
  <si>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</si>
  <si>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</si>
  <si>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</si>
  <si>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</si>
  <si>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</si>
  <si>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</si>
  <si>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</si>
  <si>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</si>
  <si>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</si>
  <si>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</si>
  <si>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</si>
  <si>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</si>
  <si>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</si>
  <si>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</si>
  <si>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</si>
  <si>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</si>
  <si>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</si>
  <si>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</si>
  <si>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</si>
  <si>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</si>
  <si>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</si>
  <si>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</si>
  <si>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</si>
  <si>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</si>
  <si>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</si>
  <si>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</si>
  <si>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</si>
  <si>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</si>
  <si>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</si>
  <si>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</si>
  <si>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</si>
  <si>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</si>
  <si>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</si>
  <si>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</si>
  <si>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</si>
  <si>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</si>
  <si>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</si>
  <si>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</si>
  <si>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</si>
  <si>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</si>
  <si>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</si>
  <si>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</si>
  <si>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</si>
  <si>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</si>
  <si>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</si>
  <si>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</si>
  <si>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</si>
  <si>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</si>
  <si>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</si>
  <si>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</si>
  <si>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</si>
  <si>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</si>
  <si>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</si>
  <si>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</si>
  <si>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</si>
  <si>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</si>
  <si>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</si>
  <si>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</si>
  <si>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</si>
  <si>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</si>
  <si>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</si>
  <si>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</si>
  <si>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</si>
  <si>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</si>
  <si>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</si>
  <si>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</si>
  <si>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</si>
  <si>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</si>
  <si>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</si>
  <si>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</si>
  <si>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</si>
  <si>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</si>
  <si>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</si>
  <si>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</si>
  <si>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</si>
  <si>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</si>
  <si>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</si>
  <si>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</si>
  <si>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</si>
  <si>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</si>
  <si>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</si>
  <si>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</si>
  <si>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</si>
  <si>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</si>
  <si>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</si>
  <si>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</si>
  <si>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</si>
  <si>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</si>
  <si>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</si>
  <si>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</si>
  <si>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</si>
  <si>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</si>
  <si>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</si>
  <si>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</si>
  <si>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</si>
  <si>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</si>
  <si>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</si>
  <si>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</si>
  <si>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</si>
  <si>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</si>
  <si>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</si>
  <si>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</si>
  <si>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</si>
  <si>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</si>
  <si>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</si>
  <si>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</si>
  <si>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</si>
  <si>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</si>
  <si>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</si>
  <si>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</si>
  <si>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</si>
  <si>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</si>
  <si>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</si>
  <si>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</si>
  <si>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</si>
  <si>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</si>
  <si>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</si>
  <si>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</si>
  <si>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</si>
  <si>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</si>
  <si>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</si>
  <si>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</si>
  <si>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</si>
  <si>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</si>
  <si>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</si>
  <si>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</si>
  <si>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</si>
  <si>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</si>
  <si>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</si>
  <si>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</si>
  <si>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</si>
  <si>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</si>
  <si>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</si>
  <si>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</si>
  <si>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</si>
  <si>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</si>
  <si>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</si>
  <si>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</si>
  <si>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</si>
  <si>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</si>
  <si>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</si>
  <si>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</si>
  <si>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</si>
  <si>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</si>
  <si>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</si>
  <si>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</si>
  <si>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</si>
  <si>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</si>
  <si>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</si>
  <si>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</si>
  <si>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</si>
  <si>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</si>
  <si>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</si>
  <si>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</si>
  <si>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</si>
  <si>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</si>
  <si>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</si>
  <si>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</si>
  <si>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</si>
  <si>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</si>
  <si>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</si>
  <si>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</si>
  <si>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</si>
  <si>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</si>
  <si>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</si>
  <si>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</si>
  <si>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</si>
  <si>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</si>
  <si>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</si>
  <si>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</si>
  <si>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</si>
  <si>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</si>
  <si>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</si>
  <si>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</si>
  <si>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</si>
  <si>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</si>
  <si>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</si>
  <si>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</si>
  <si>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</si>
  <si>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</si>
  <si>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</si>
  <si>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</si>
  <si>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</si>
  <si>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</si>
  <si>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</si>
  <si>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</si>
  <si>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</si>
  <si>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</si>
  <si>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</si>
  <si>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</si>
  <si>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</si>
  <si>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</si>
  <si>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</si>
  <si>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</si>
  <si>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</si>
  <si>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</si>
  <si>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</si>
  <si>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</si>
  <si>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</si>
  <si>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</si>
  <si>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</si>
  <si>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</si>
  <si>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</si>
  <si>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</si>
  <si>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</si>
  <si>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</si>
  <si>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</si>
  <si>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</si>
  <si>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</si>
  <si>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</si>
  <si>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</si>
  <si>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</si>
  <si>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</si>
  <si>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</si>
  <si>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</si>
  <si>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</si>
  <si>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</si>
  <si>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</si>
  <si>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</si>
  <si>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</si>
  <si>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</si>
  <si>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</si>
  <si>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</si>
  <si>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</si>
  <si>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</si>
  <si>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</si>
  <si>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</si>
  <si>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</si>
  <si>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</si>
  <si>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</si>
  <si>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</si>
  <si>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</si>
  <si>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</si>
  <si>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</si>
  <si>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</si>
  <si>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</si>
  <si>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</si>
  <si>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</si>
  <si>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</si>
  <si>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</si>
  <si>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</si>
  <si>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</si>
  <si>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</si>
  <si>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</si>
  <si>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</si>
  <si>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</si>
  <si>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</si>
  <si>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</si>
  <si>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</si>
  <si>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</si>
  <si>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</si>
  <si>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</si>
  <si>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</si>
  <si>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</si>
  <si>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</si>
  <si>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</si>
  <si>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</si>
  <si>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</si>
  <si>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</si>
  <si>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</si>
  <si>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</si>
  <si>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</si>
  <si>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</si>
  <si>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</si>
  <si>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</si>
  <si>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</si>
  <si>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</si>
  <si>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</si>
  <si>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</si>
  <si>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</si>
  <si>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</si>
  <si>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</si>
  <si>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</si>
  <si>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</si>
  <si>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</si>
  <si>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</si>
  <si>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</si>
  <si>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</si>
  <si>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</si>
  <si>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</si>
  <si>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</si>
  <si>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</si>
  <si>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</si>
  <si>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</si>
  <si>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</si>
  <si>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</si>
  <si>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</si>
  <si>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</si>
  <si>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</si>
  <si>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</si>
  <si>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</si>
  <si>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</si>
  <si>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</si>
  <si>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</si>
  <si>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</si>
  <si>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</si>
  <si>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</si>
  <si>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</si>
  <si>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</si>
  <si>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</si>
  <si>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</si>
  <si>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</si>
  <si>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</si>
  <si>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</si>
  <si>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</si>
  <si>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</si>
  <si>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</si>
  <si>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</si>
  <si>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</si>
  <si>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</si>
  <si>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</si>
  <si>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</si>
  <si>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</si>
  <si>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</si>
  <si>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</si>
  <si>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</si>
  <si>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</si>
  <si>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</si>
  <si>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</si>
  <si>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</si>
  <si>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</si>
  <si>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</si>
  <si>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</si>
  <si>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</si>
  <si>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</si>
  <si>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</si>
  <si>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</si>
  <si>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</si>
  <si>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</si>
  <si>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</si>
  <si>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</si>
  <si>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</si>
  <si>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</si>
  <si>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</si>
  <si>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</si>
  <si>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</si>
  <si>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</si>
  <si>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</si>
  <si>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</si>
  <si>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</si>
  <si>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</si>
  <si>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</si>
  <si>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</si>
  <si>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</si>
  <si>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</si>
  <si>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</si>
  <si>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</si>
  <si>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</si>
  <si>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</si>
  <si>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</si>
  <si>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</si>
  <si>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</si>
  <si>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</si>
  <si>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</si>
  <si>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</si>
  <si>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</si>
  <si>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</si>
  <si>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</si>
  <si>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</si>
  <si>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</si>
  <si>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</si>
  <si>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</si>
  <si>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</si>
  <si>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</si>
  <si>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</si>
  <si>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</si>
  <si>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</si>
  <si>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</si>
  <si>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</si>
  <si>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</si>
  <si>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</si>
  <si>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</si>
  <si>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</si>
  <si>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</si>
  <si>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</si>
  <si>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</si>
  <si>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</si>
  <si>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</si>
  <si>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</si>
  <si>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</si>
  <si>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</si>
  <si>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</si>
  <si>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</si>
  <si>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</si>
  <si>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</si>
  <si>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</si>
  <si>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</si>
  <si>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</si>
  <si>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</si>
  <si>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</si>
  <si>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</si>
  <si>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</si>
  <si>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</si>
  <si>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</si>
  <si>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</si>
  <si>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</si>
  <si>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</si>
  <si>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</si>
  <si>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</si>
  <si>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</si>
  <si>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</si>
  <si>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</si>
  <si>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Expenditure By Type</t>
  </si>
  <si>
    <t>Employee related costs</t>
  </si>
  <si>
    <t>Debt impairment</t>
  </si>
  <si>
    <t>Bulk purchases</t>
  </si>
  <si>
    <t>Other materials</t>
  </si>
  <si>
    <t>Contracted services</t>
  </si>
  <si>
    <t>Transfers and grants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</si>
  <si>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</si>
  <si>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</si>
  <si>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</si>
  <si>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</si>
  <si>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</si>
  <si>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</si>
  <si>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</si>
  <si>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</si>
  <si>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</si>
  <si>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</si>
  <si>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</si>
  <si>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</si>
  <si>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</si>
  <si>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</si>
  <si>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</si>
  <si>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</si>
  <si>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</si>
  <si>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</si>
  <si>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</si>
  <si>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</si>
  <si>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</si>
  <si>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</si>
  <si>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</si>
  <si>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</si>
  <si>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</si>
  <si>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</si>
  <si>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</si>
  <si>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</si>
  <si>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</si>
  <si>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</si>
  <si>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</si>
  <si>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</si>
  <si>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</si>
  <si>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</si>
  <si>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</si>
  <si>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</si>
  <si>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</si>
  <si>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</si>
  <si>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</si>
  <si>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</si>
  <si>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</si>
  <si>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</si>
  <si>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</si>
  <si>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</si>
  <si>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</si>
  <si>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</si>
  <si>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</si>
  <si>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</si>
  <si>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</si>
  <si>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</si>
  <si>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</si>
  <si>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</si>
  <si>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</si>
  <si>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</si>
  <si>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</si>
  <si>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</si>
  <si>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</si>
  <si>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</si>
  <si>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</si>
  <si>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</si>
  <si>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</si>
  <si>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</si>
  <si>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2. Net assets must balance with Total Community Wealth/Equity</t>
  </si>
  <si>
    <t>CASH FLOW FROM OPERATING ACTIVITIES</t>
  </si>
  <si>
    <t>Receipts</t>
  </si>
  <si>
    <t>Interest</t>
  </si>
  <si>
    <t>Dividends</t>
  </si>
  <si>
    <t>Payments</t>
  </si>
  <si>
    <t>Suppliers and employees</t>
  </si>
  <si>
    <t>NET CASH FROM/(USED) OPERATING ACTIVITIES</t>
  </si>
  <si>
    <t>CASH FLOWS FROM INVESTING ACTIVITIES</t>
  </si>
  <si>
    <t>Proceeds on disposal of PPE</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</si>
  <si>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</si>
  <si>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</si>
  <si>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</si>
  <si>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</si>
  <si>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</si>
  <si>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</si>
  <si>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</si>
  <si>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</si>
  <si>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</si>
  <si>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</si>
  <si>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</si>
  <si>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</si>
  <si>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</si>
  <si>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</si>
  <si>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</si>
  <si>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</si>
  <si>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</si>
  <si>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</si>
  <si>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</si>
  <si>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</si>
  <si>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</si>
  <si>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</si>
  <si>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</si>
  <si>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</si>
  <si>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</si>
  <si>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</si>
  <si>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</si>
  <si>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</si>
  <si>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</si>
  <si>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</si>
  <si>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</si>
  <si>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</si>
  <si>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</si>
  <si>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</si>
  <si>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</si>
  <si>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</si>
  <si>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</si>
  <si>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</si>
  <si>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</si>
  <si>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</si>
  <si>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</si>
  <si>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</si>
  <si>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</si>
  <si>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</si>
  <si>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</si>
  <si>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</si>
  <si>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</si>
  <si>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</si>
  <si>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</si>
  <si>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</si>
  <si>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</si>
  <si>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</si>
  <si>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</si>
  <si>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</si>
  <si>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</si>
  <si>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</si>
  <si>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</si>
  <si>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</si>
  <si>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</si>
  <si>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</si>
  <si>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</si>
  <si>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</si>
  <si>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</si>
  <si>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</si>
  <si>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</si>
  <si>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</si>
  <si>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</si>
  <si>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</si>
  <si>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</si>
  <si>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</si>
  <si>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</si>
  <si>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</si>
  <si>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</si>
  <si>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</si>
  <si>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</si>
  <si>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</si>
  <si>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</si>
  <si>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</si>
  <si>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</si>
  <si>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</si>
  <si>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</si>
  <si>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</si>
  <si>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</si>
  <si>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</si>
  <si>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</si>
  <si>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</si>
  <si>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</si>
  <si>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</si>
  <si>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</si>
  <si>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</si>
  <si>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</si>
  <si>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</si>
  <si>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</si>
  <si>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</si>
  <si>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</si>
  <si>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</si>
  <si>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</si>
  <si>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</si>
  <si>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</si>
  <si>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</si>
  <si>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</si>
  <si>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</si>
  <si>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</si>
  <si>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</si>
  <si>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</si>
  <si>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</si>
  <si>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</si>
  <si>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</si>
  <si>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</si>
  <si>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</si>
  <si>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</si>
  <si>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</si>
  <si>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</si>
  <si>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</si>
  <si>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</si>
  <si>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</si>
  <si>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</si>
  <si>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</si>
  <si>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</si>
  <si>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</si>
  <si>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</si>
  <si>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</si>
  <si>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</si>
  <si>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</si>
  <si>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</si>
  <si>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</si>
  <si>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</si>
  <si>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</si>
  <si>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</si>
  <si>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</si>
  <si>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</si>
  <si>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</si>
  <si>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</si>
  <si>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</si>
  <si>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</si>
  <si>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</si>
  <si>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</si>
  <si>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</si>
  <si>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</si>
  <si>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</si>
  <si>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</si>
  <si>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</si>
  <si>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</si>
  <si>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</si>
  <si>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</si>
  <si>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</si>
  <si>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</si>
  <si>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</si>
  <si>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</si>
  <si>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</si>
  <si>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</si>
  <si>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</si>
  <si>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</si>
  <si>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</si>
  <si>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</si>
  <si>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</si>
  <si>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</si>
  <si>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</si>
  <si>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</si>
  <si>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</si>
  <si>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</si>
  <si>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</si>
  <si>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</si>
  <si>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</si>
  <si>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</si>
  <si>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</si>
  <si>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</si>
  <si>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</si>
  <si>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</si>
  <si>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</si>
  <si>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</si>
  <si>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</si>
  <si>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</si>
  <si>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</si>
  <si>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</si>
  <si>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</si>
  <si>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</si>
  <si>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</si>
  <si>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</si>
  <si>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</si>
  <si>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</si>
  <si>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</si>
  <si>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</si>
  <si>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</si>
  <si>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</si>
  <si>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</si>
  <si>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</si>
  <si>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</si>
  <si>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</si>
  <si>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</si>
  <si>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</si>
  <si>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</si>
  <si>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</si>
  <si>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</si>
  <si>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</si>
  <si>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</si>
  <si>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</si>
  <si>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</si>
  <si>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</si>
  <si>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</si>
  <si>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</si>
  <si>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</si>
  <si>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</si>
  <si>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</si>
  <si>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</si>
  <si>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</si>
  <si>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</si>
  <si>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</si>
  <si>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</si>
  <si>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</si>
  <si>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</si>
  <si>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</si>
  <si>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</si>
  <si>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</si>
  <si>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</si>
  <si>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</si>
  <si>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</si>
  <si>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</si>
  <si>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</si>
  <si>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</si>
  <si>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</si>
  <si>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</si>
  <si>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</si>
  <si>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</si>
  <si>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</si>
  <si>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</si>
  <si>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</si>
  <si>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</si>
  <si>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</si>
  <si>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</si>
  <si>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</si>
  <si>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</si>
  <si>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</si>
  <si>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</si>
  <si>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</si>
  <si>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</si>
  <si>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</si>
  <si>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</si>
  <si>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</si>
  <si>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</si>
  <si>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</si>
  <si>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</si>
  <si>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</si>
  <si>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</si>
  <si>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</si>
  <si>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</si>
  <si>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</si>
  <si>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</si>
  <si>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</si>
  <si>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</si>
  <si>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</si>
  <si>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</si>
  <si>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</si>
  <si>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</si>
  <si>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</si>
  <si>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</si>
  <si>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</si>
  <si>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</si>
  <si>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</si>
  <si>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</si>
  <si>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</si>
  <si>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</si>
  <si>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</si>
  <si>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</si>
  <si>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</si>
  <si>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</si>
  <si>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</si>
  <si>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</si>
  <si>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</si>
  <si>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</si>
  <si>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</si>
  <si>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</si>
  <si>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</si>
  <si>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</si>
  <si>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</si>
  <si>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</si>
  <si>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</si>
  <si>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</si>
  <si>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</si>
  <si>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</si>
  <si>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</si>
  <si>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</si>
  <si>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</si>
  <si>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</si>
  <si>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</si>
  <si>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</si>
  <si>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</si>
  <si>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</si>
  <si>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</si>
  <si>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</si>
  <si>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</si>
  <si>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</si>
  <si>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</si>
  <si>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</si>
  <si>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</si>
  <si>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</si>
  <si>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</si>
  <si>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</si>
  <si>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</si>
  <si>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</si>
  <si>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</si>
  <si>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</si>
  <si>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</si>
  <si>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</si>
  <si>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</si>
  <si>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</si>
  <si>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</si>
  <si>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</si>
  <si>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</si>
  <si>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</si>
  <si>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</si>
  <si>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</si>
  <si>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</si>
  <si>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</si>
  <si>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</si>
  <si>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</si>
  <si>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</si>
  <si>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</si>
  <si>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</si>
  <si>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</si>
  <si>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</si>
  <si>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</si>
  <si>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</si>
  <si>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</si>
  <si>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</si>
  <si>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</si>
  <si>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</si>
  <si>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</si>
  <si>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</si>
  <si>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</si>
  <si>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</si>
  <si>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</si>
  <si>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</si>
  <si>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</si>
  <si>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</si>
  <si>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</si>
  <si>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</si>
  <si>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</si>
  <si>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</si>
  <si>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</si>
  <si>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</si>
  <si>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</si>
  <si>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</si>
  <si>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</si>
  <si>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</si>
  <si>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</si>
  <si>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</si>
  <si>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</si>
  <si>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</si>
  <si>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</si>
  <si>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</si>
  <si>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</si>
  <si>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</si>
  <si>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</si>
  <si>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</si>
  <si>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</si>
  <si>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</si>
  <si>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</si>
  <si>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</si>
  <si>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</si>
  <si>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</si>
  <si>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</si>
  <si>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</si>
  <si>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</si>
  <si>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</si>
  <si>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</si>
  <si>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</si>
  <si>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</si>
  <si>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</si>
  <si>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</si>
  <si>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</si>
  <si>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</si>
  <si>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</si>
  <si>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</si>
  <si>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</si>
  <si>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</si>
  <si>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</si>
  <si>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</si>
  <si>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</si>
  <si>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</si>
  <si>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</si>
  <si>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</si>
  <si>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</si>
  <si>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</si>
  <si>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</si>
  <si>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</si>
  <si>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</si>
  <si>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</si>
  <si>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</si>
  <si>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</si>
  <si>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</si>
  <si>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</si>
  <si>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</si>
  <si>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</si>
  <si>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</si>
  <si>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</si>
  <si>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</si>
  <si>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</si>
  <si>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</si>
  <si>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</si>
  <si>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</si>
  <si>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</si>
  <si>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</si>
  <si>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</si>
  <si>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</si>
  <si>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</si>
  <si>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</si>
  <si>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</si>
  <si>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</si>
  <si>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</si>
  <si>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</si>
  <si>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</si>
  <si>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</si>
  <si>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</si>
  <si>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</si>
  <si>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</si>
  <si>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</si>
  <si>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</si>
  <si>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</si>
  <si>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</si>
  <si>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</si>
  <si>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</si>
  <si>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</si>
  <si>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</si>
  <si>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</si>
  <si>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</si>
  <si>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</si>
  <si>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</si>
  <si>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</si>
  <si>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</si>
  <si>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</si>
  <si>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</si>
  <si>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</si>
  <si>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Depreciation of Property, Plant &amp; Equipment</t>
  </si>
  <si>
    <t>Lease amortisation</t>
  </si>
  <si>
    <t>Capital asset impairment</t>
  </si>
  <si>
    <t>Total bulk purchases</t>
  </si>
  <si>
    <t>Other Expenditure By Type</t>
  </si>
  <si>
    <t>Collection costs</t>
  </si>
  <si>
    <t>Contributions to 'other' provisions</t>
  </si>
  <si>
    <t>Audit fees</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</si>
  <si>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</si>
  <si>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</si>
  <si>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</si>
  <si>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</si>
  <si>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</si>
  <si>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</si>
  <si>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</si>
  <si>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</si>
  <si>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</si>
  <si>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</si>
  <si>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</si>
  <si>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</si>
  <si>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</si>
  <si>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</si>
  <si>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</si>
  <si>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</si>
  <si>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</si>
  <si>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</si>
  <si>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</si>
  <si>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</si>
  <si>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</si>
  <si>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</si>
  <si>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</si>
  <si>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</si>
  <si>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</si>
  <si>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</si>
  <si>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</si>
  <si>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</si>
  <si>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</si>
  <si>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</si>
  <si>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</si>
  <si>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</si>
  <si>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</si>
  <si>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</si>
  <si>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</si>
  <si>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</si>
  <si>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</si>
  <si>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</si>
  <si>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VAT</t>
  </si>
  <si>
    <t>Non current liabilities - Borrowing</t>
  </si>
  <si>
    <t>Finance leases (including PPP asset element)</t>
  </si>
  <si>
    <t>Provisions - non current</t>
  </si>
  <si>
    <t>Retirement benefits</t>
  </si>
  <si>
    <t>Refuse landfill site rehabilitation</t>
  </si>
  <si>
    <t>CHANGES IN NET ASSETS</t>
  </si>
  <si>
    <t>Accumulated surplus/(Deficit)</t>
  </si>
  <si>
    <t>Depreciation offsets</t>
  </si>
  <si>
    <t>Other adjustments</t>
  </si>
  <si>
    <t>Housing Development Fund</t>
  </si>
  <si>
    <t>Capital replacement</t>
  </si>
  <si>
    <t>Self-insurance</t>
  </si>
  <si>
    <t>Revaluation</t>
  </si>
  <si>
    <t>Total Reserves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</si>
  <si>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</si>
  <si>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</si>
  <si>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</si>
  <si>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</si>
  <si>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</si>
  <si>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</si>
  <si>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</si>
  <si>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</si>
  <si>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</si>
  <si>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</si>
  <si>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</si>
  <si>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</si>
  <si>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</si>
  <si>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</si>
  <si>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</si>
  <si>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</si>
  <si>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</si>
  <si>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</si>
  <si>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</si>
  <si>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</si>
  <si>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</si>
  <si>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</si>
  <si>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</si>
  <si>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</si>
  <si>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</si>
  <si>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</si>
  <si>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</si>
  <si>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</si>
  <si>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</si>
  <si>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</si>
  <si>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</si>
  <si>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</si>
  <si>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</si>
  <si>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</si>
  <si>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</si>
  <si>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</si>
  <si>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</si>
  <si>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</si>
  <si>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</si>
  <si>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</si>
  <si>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</si>
  <si>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</si>
  <si>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</si>
  <si>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</si>
  <si>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</si>
  <si>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</si>
  <si>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</si>
  <si>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</si>
  <si>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</si>
  <si>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</si>
  <si>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</si>
  <si>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</si>
  <si>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</si>
  <si>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</si>
  <si>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</si>
  <si>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</si>
  <si>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</si>
  <si>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</si>
  <si>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</si>
  <si>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</si>
  <si>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</si>
  <si>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</si>
  <si>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</si>
  <si>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</si>
  <si>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</si>
  <si>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</si>
  <si>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</si>
  <si>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</si>
  <si>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</si>
  <si>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</si>
  <si>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</si>
  <si>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</si>
  <si>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</si>
  <si>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</si>
  <si>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</si>
  <si>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</si>
  <si>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1.1 - [Name of sub-vote]</t>
  </si>
  <si>
    <t>1.10</t>
  </si>
  <si>
    <t>2.1 - [Name of sub-vote]</t>
  </si>
  <si>
    <t>2.10</t>
  </si>
  <si>
    <t>3.1 - [Name of sub-vote]</t>
  </si>
  <si>
    <t>3.10</t>
  </si>
  <si>
    <t>4.1 - [Name of sub-vote]</t>
  </si>
  <si>
    <t>4.10</t>
  </si>
  <si>
    <t>5.1 - [Name of sub-vote]</t>
  </si>
  <si>
    <t>5.10</t>
  </si>
  <si>
    <t>6.1 - [Name of sub-vote]</t>
  </si>
  <si>
    <t>6.10</t>
  </si>
  <si>
    <t>7.1 - [Name of sub-vote]</t>
  </si>
  <si>
    <t>7.10</t>
  </si>
  <si>
    <t>8.1 - [Name of sub-vote]</t>
  </si>
  <si>
    <t>8.10</t>
  </si>
  <si>
    <t>9.1 - [Name of sub-vote]</t>
  </si>
  <si>
    <t>9.10</t>
  </si>
  <si>
    <t>10.1 - [Name of sub-vote]</t>
  </si>
  <si>
    <t>10.10</t>
  </si>
  <si>
    <t>11.1 - [Name of sub-vote]</t>
  </si>
  <si>
    <t>11.10</t>
  </si>
  <si>
    <t>12.1 - [Name of sub-vote]</t>
  </si>
  <si>
    <t>12.10</t>
  </si>
  <si>
    <t>13.1 - [Name of sub-vote]</t>
  </si>
  <si>
    <t>13.10</t>
  </si>
  <si>
    <t>14.1 - [Name of sub-vote]</t>
  </si>
  <si>
    <t>14.10</t>
  </si>
  <si>
    <t>15.1 - [Name of sub-vote]</t>
  </si>
  <si>
    <t>15.10</t>
  </si>
  <si>
    <t>ADJB18d</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</si>
  <si>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</si>
  <si>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</si>
  <si>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</si>
  <si>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</si>
  <si>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</si>
  <si>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</si>
  <si>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</si>
  <si>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</si>
  <si>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</si>
  <si>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</si>
  <si>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</si>
  <si>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</si>
  <si>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</si>
  <si>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</si>
  <si>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</si>
  <si>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</si>
  <si>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</si>
  <si>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</si>
  <si>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</si>
  <si>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</si>
  <si>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</si>
  <si>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</si>
  <si>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</si>
  <si>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</si>
  <si>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</si>
  <si>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</si>
  <si>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</si>
  <si>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</si>
  <si>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</si>
  <si>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</si>
  <si>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</si>
  <si>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</si>
  <si>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</si>
  <si>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</si>
  <si>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</si>
  <si>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</si>
  <si>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</si>
  <si>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</si>
  <si>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</si>
  <si>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</si>
  <si>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</si>
  <si>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</si>
  <si>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</si>
  <si>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</si>
  <si>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</si>
  <si>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</si>
  <si>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</si>
  <si>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</si>
  <si>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</si>
  <si>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</si>
  <si>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</si>
  <si>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</si>
  <si>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</si>
  <si>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</si>
  <si>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</si>
  <si>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</si>
  <si>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</si>
  <si>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</si>
  <si>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</si>
  <si>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</si>
  <si>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</si>
  <si>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</si>
  <si>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</si>
  <si>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</si>
  <si>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</si>
  <si>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</si>
  <si>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</si>
  <si>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</si>
  <si>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</si>
  <si>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</si>
  <si>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</si>
  <si>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</si>
  <si>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</si>
  <si>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</si>
  <si>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</si>
  <si>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</si>
  <si>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</si>
  <si>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</si>
  <si>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</si>
  <si>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</si>
  <si>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</si>
  <si>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</si>
  <si>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</si>
  <si>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</si>
  <si>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</si>
  <si>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</si>
  <si>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</si>
  <si>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</si>
  <si>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</si>
  <si>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</si>
  <si>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</si>
  <si>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</si>
  <si>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</si>
  <si>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</si>
  <si>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</si>
  <si>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</si>
  <si>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</si>
  <si>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</si>
  <si>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</si>
  <si>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</si>
  <si>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</si>
  <si>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</si>
  <si>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</si>
  <si>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</si>
  <si>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</si>
  <si>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</si>
  <si>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</si>
  <si>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</si>
  <si>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</si>
  <si>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</si>
  <si>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</si>
  <si>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</si>
  <si>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</si>
  <si>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</si>
  <si>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</si>
  <si>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</si>
  <si>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</si>
  <si>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</si>
  <si>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</si>
  <si>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</si>
  <si>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</si>
  <si>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</si>
  <si>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</si>
  <si>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</si>
  <si>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</si>
  <si>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</si>
  <si>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</si>
  <si>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</si>
  <si>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</si>
  <si>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</si>
  <si>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</si>
  <si>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</si>
  <si>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</si>
  <si>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</si>
  <si>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</si>
  <si>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</si>
  <si>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</si>
  <si>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</si>
  <si>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</si>
  <si>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</si>
  <si>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</si>
  <si>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</si>
  <si>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</si>
  <si>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</si>
  <si>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</si>
  <si>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</si>
  <si>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</si>
  <si>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</si>
  <si>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</si>
  <si>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</si>
  <si>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</si>
  <si>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</si>
  <si>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</si>
  <si>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</si>
  <si>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</si>
  <si>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</si>
  <si>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</si>
  <si>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</si>
  <si>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</si>
  <si>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</si>
  <si>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</si>
  <si>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</si>
  <si>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</si>
  <si>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</si>
  <si>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</si>
  <si>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</si>
  <si>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</si>
  <si>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</si>
  <si>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</si>
  <si>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</si>
  <si>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</si>
  <si>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</si>
  <si>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</si>
  <si>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</si>
  <si>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</si>
  <si>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</si>
  <si>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</si>
  <si>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</si>
  <si>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</si>
  <si>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</si>
  <si>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</si>
  <si>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</si>
  <si>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</si>
  <si>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</si>
  <si>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</si>
  <si>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</si>
  <si>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</si>
  <si>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</si>
  <si>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</si>
  <si>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</si>
  <si>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</si>
  <si>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</si>
  <si>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</si>
  <si>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</si>
  <si>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</si>
  <si>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</si>
  <si>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</si>
  <si>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</si>
  <si>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</si>
  <si>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</si>
  <si>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</si>
  <si>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</si>
  <si>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</si>
  <si>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</si>
  <si>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</si>
  <si>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</si>
  <si>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</si>
  <si>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</si>
  <si>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</si>
  <si>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</si>
  <si>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</si>
  <si>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</si>
  <si>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</si>
  <si>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</si>
  <si>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</si>
  <si>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</si>
  <si>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</si>
  <si>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</si>
  <si>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</si>
  <si>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</si>
  <si>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</si>
  <si>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</si>
  <si>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</si>
  <si>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</si>
  <si>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</si>
  <si>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</si>
  <si>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</si>
  <si>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</si>
  <si>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</si>
  <si>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</si>
  <si>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</si>
  <si>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</si>
  <si>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</si>
  <si>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</si>
  <si>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</si>
  <si>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</si>
  <si>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</si>
  <si>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</si>
  <si>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</si>
  <si>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</si>
  <si>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</si>
  <si>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</si>
  <si>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</si>
  <si>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</si>
  <si>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</si>
  <si>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</si>
  <si>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</si>
  <si>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</si>
  <si>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</si>
  <si>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</si>
  <si>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</si>
  <si>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</si>
  <si>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</si>
  <si>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</si>
  <si>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</si>
  <si>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</si>
  <si>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</si>
  <si>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</si>
  <si>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</si>
  <si>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</si>
  <si>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</si>
  <si>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</si>
  <si>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</si>
  <si>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</si>
  <si>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</si>
  <si>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</si>
  <si>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</si>
  <si>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</si>
  <si>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</si>
  <si>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</si>
  <si>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</si>
  <si>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</si>
  <si>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</si>
  <si>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</si>
  <si>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</si>
  <si>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</si>
  <si>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</si>
  <si>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</si>
  <si>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</si>
  <si>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</si>
  <si>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</si>
  <si>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</si>
  <si>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</si>
  <si>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</si>
  <si>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</si>
  <si>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</si>
  <si>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</si>
  <si>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</si>
  <si>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</si>
  <si>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</si>
  <si>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</si>
  <si>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</si>
  <si>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</si>
  <si>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</si>
  <si>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</si>
  <si>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</si>
  <si>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</si>
  <si>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</si>
  <si>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</si>
  <si>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</si>
  <si>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</si>
  <si>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</si>
  <si>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</si>
  <si>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</si>
  <si>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</si>
  <si>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</si>
  <si>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</si>
  <si>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</si>
  <si>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</si>
  <si>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</si>
  <si>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</si>
  <si>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</si>
  <si>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</si>
  <si>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</si>
  <si>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</si>
  <si>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</si>
  <si>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</si>
  <si>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</si>
  <si>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</si>
  <si>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</si>
  <si>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</si>
  <si>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</si>
  <si>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</si>
  <si>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</si>
  <si>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</si>
  <si>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</si>
  <si>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</si>
  <si>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</si>
  <si>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</si>
  <si>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</si>
  <si>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</si>
  <si>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</si>
  <si>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</si>
  <si>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</si>
  <si>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</si>
  <si>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</si>
  <si>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</si>
  <si>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</si>
  <si>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</si>
  <si>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</si>
  <si>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</si>
  <si>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</si>
  <si>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</si>
  <si>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</si>
  <si>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</si>
  <si>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</si>
  <si>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</si>
  <si>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</si>
  <si>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</si>
  <si>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</si>
  <si>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</si>
  <si>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</si>
  <si>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</si>
  <si>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</si>
  <si>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</si>
  <si>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</si>
  <si>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</si>
  <si>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</si>
  <si>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</si>
  <si>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</si>
  <si>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</si>
  <si>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</si>
  <si>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</si>
  <si>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</si>
  <si>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</si>
  <si>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</si>
  <si>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</si>
  <si>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</si>
  <si>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</si>
  <si>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</si>
  <si>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</si>
  <si>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</si>
  <si>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</si>
  <si>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</si>
  <si>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</si>
  <si>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</si>
  <si>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</si>
  <si>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</si>
  <si>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</si>
  <si>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</si>
  <si>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</si>
  <si>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</si>
  <si>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</si>
  <si>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</si>
  <si>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</si>
  <si>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</si>
  <si>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</si>
  <si>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</si>
  <si>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</si>
  <si>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</si>
  <si>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</si>
  <si>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</si>
  <si>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</si>
  <si>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</si>
  <si>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</si>
  <si>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</si>
  <si>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</si>
  <si>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</si>
  <si>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</si>
  <si>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</si>
  <si>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</si>
  <si>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</si>
  <si>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</si>
  <si>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</si>
  <si>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</si>
  <si>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</si>
  <si>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</si>
  <si>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</si>
  <si>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</si>
  <si>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</si>
  <si>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</si>
  <si>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</si>
  <si>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</si>
  <si>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</si>
  <si>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</si>
  <si>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</si>
  <si>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</si>
  <si>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</si>
  <si>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</si>
  <si>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</si>
  <si>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</si>
  <si>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</si>
  <si>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</si>
  <si>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</si>
  <si>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</si>
  <si>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</si>
  <si>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</si>
  <si>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</si>
  <si>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</si>
  <si>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</si>
  <si>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</si>
  <si>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</si>
  <si>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</si>
  <si>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</si>
  <si>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</si>
  <si>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</si>
  <si>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</si>
  <si>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</si>
  <si>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</si>
  <si>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</si>
  <si>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</si>
  <si>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</si>
  <si>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</si>
  <si>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</si>
  <si>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</si>
  <si>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</si>
  <si>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</si>
  <si>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</si>
  <si>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</si>
  <si>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</si>
  <si>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</si>
  <si>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</si>
  <si>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</si>
  <si>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</si>
  <si>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</si>
  <si>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</si>
  <si>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</si>
  <si>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</si>
  <si>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</si>
  <si>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</si>
  <si>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</si>
  <si>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</si>
  <si>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</si>
  <si>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Gains</t>
  </si>
  <si>
    <t>Losses</t>
  </si>
  <si>
    <t>Transfers and Subsidies - Operational</t>
  </si>
  <si>
    <t>Transfers and Subsidies - Capital</t>
  </si>
  <si>
    <t>Decrease (increase) in non-current receivables</t>
  </si>
  <si>
    <t>Other Revenue</t>
  </si>
  <si>
    <t>Outsourced Services</t>
  </si>
  <si>
    <t>Consultants and Professional Services</t>
  </si>
  <si>
    <t>Contractors</t>
  </si>
  <si>
    <t>Total contracted services</t>
  </si>
  <si>
    <t>Trade Payables</t>
  </si>
  <si>
    <t xml:space="preserve"> Other creditors</t>
  </si>
  <si>
    <t>GRAP adjustments</t>
  </si>
  <si>
    <t>Restated balance</t>
  </si>
  <si>
    <t>Transfers to/from Reserves</t>
  </si>
  <si>
    <t>Other reserves</t>
  </si>
  <si>
    <t>Proceeds on Disposal of Fixed and Intangible Assets</t>
  </si>
  <si>
    <t>IR</t>
  </si>
  <si>
    <t>IE</t>
  </si>
  <si>
    <t>Code</t>
  </si>
  <si>
    <t>0200</t>
  </si>
  <si>
    <t>0300</t>
  </si>
  <si>
    <t>0400</t>
  </si>
  <si>
    <t>0500</t>
  </si>
  <si>
    <t>0600</t>
  </si>
  <si>
    <t>0800</t>
  </si>
  <si>
    <t>0900</t>
  </si>
  <si>
    <t>1000</t>
  </si>
  <si>
    <t>1100</t>
  </si>
  <si>
    <t>1200</t>
  </si>
  <si>
    <t>1300</t>
  </si>
  <si>
    <t>1400</t>
  </si>
  <si>
    <t>1500</t>
  </si>
  <si>
    <t>1600</t>
  </si>
  <si>
    <t>1700</t>
  </si>
  <si>
    <t>2000</t>
  </si>
  <si>
    <t>2100</t>
  </si>
  <si>
    <t>2200</t>
  </si>
  <si>
    <t>2300</t>
  </si>
  <si>
    <t>2400</t>
  </si>
  <si>
    <t>2500</t>
  </si>
  <si>
    <t>2600</t>
  </si>
  <si>
    <t>2700</t>
  </si>
  <si>
    <t>2800</t>
  </si>
  <si>
    <t>2900</t>
  </si>
  <si>
    <t>3000</t>
  </si>
  <si>
    <t>3300</t>
  </si>
  <si>
    <t>3400</t>
  </si>
  <si>
    <t>3500</t>
  </si>
  <si>
    <t>3700</t>
  </si>
  <si>
    <t>3900</t>
  </si>
  <si>
    <t>4100</t>
  </si>
  <si>
    <t>CE</t>
  </si>
  <si>
    <t>3100</t>
  </si>
  <si>
    <t>3200</t>
  </si>
  <si>
    <t>4200</t>
  </si>
  <si>
    <t>4300</t>
  </si>
  <si>
    <t>4400</t>
  </si>
  <si>
    <t>5000</t>
  </si>
  <si>
    <t>2010</t>
  </si>
  <si>
    <t>2020</t>
  </si>
  <si>
    <t>2030</t>
  </si>
  <si>
    <t>2040</t>
  </si>
  <si>
    <t>2070</t>
  </si>
  <si>
    <t>2080</t>
  </si>
  <si>
    <t>0120</t>
  </si>
  <si>
    <t>0130</t>
  </si>
  <si>
    <t>0140</t>
  </si>
  <si>
    <t>0150</t>
  </si>
  <si>
    <t>0160</t>
  </si>
  <si>
    <t>0170</t>
  </si>
  <si>
    <t>0210</t>
  </si>
  <si>
    <t>0220</t>
  </si>
  <si>
    <t>0230</t>
  </si>
  <si>
    <t>0240</t>
  </si>
  <si>
    <t>0260</t>
  </si>
  <si>
    <t>0270</t>
  </si>
  <si>
    <t>0280</t>
  </si>
  <si>
    <t>0330</t>
  </si>
  <si>
    <t>0340</t>
  </si>
  <si>
    <t>0350</t>
  </si>
  <si>
    <t>0360</t>
  </si>
  <si>
    <t>0370</t>
  </si>
  <si>
    <t>0410</t>
  </si>
  <si>
    <t>0460</t>
  </si>
  <si>
    <t>0470</t>
  </si>
  <si>
    <t>S71_AdjustmentAmount</t>
  </si>
  <si>
    <t>O</t>
  </si>
  <si>
    <t>2001</t>
  </si>
  <si>
    <t>2002</t>
  </si>
  <si>
    <t>2003</t>
  </si>
  <si>
    <t>2004</t>
  </si>
  <si>
    <t>2005</t>
  </si>
  <si>
    <t>2006</t>
  </si>
  <si>
    <t>2007</t>
  </si>
  <si>
    <t>2008</t>
  </si>
  <si>
    <t>2009</t>
  </si>
  <si>
    <t>2011</t>
  </si>
  <si>
    <t>2012</t>
  </si>
  <si>
    <t>2090</t>
  </si>
  <si>
    <t>2301</t>
  </si>
  <si>
    <t>2302</t>
  </si>
  <si>
    <t>2303</t>
  </si>
  <si>
    <t>2501</t>
  </si>
  <si>
    <t>2502</t>
  </si>
  <si>
    <t>2801</t>
  </si>
  <si>
    <t>2802</t>
  </si>
  <si>
    <t>2701</t>
  </si>
  <si>
    <t>2702</t>
  </si>
  <si>
    <t>2703</t>
  </si>
  <si>
    <t>Consultant fees</t>
  </si>
  <si>
    <t>General expenses</t>
  </si>
  <si>
    <t>RM</t>
  </si>
  <si>
    <t>DP</t>
  </si>
  <si>
    <t>0180</t>
  </si>
  <si>
    <t>0190</t>
  </si>
  <si>
    <t>0250</t>
  </si>
  <si>
    <t>0290</t>
  </si>
  <si>
    <t>0310</t>
  </si>
  <si>
    <t>0320</t>
  </si>
  <si>
    <t>0380</t>
  </si>
  <si>
    <t>0390</t>
  </si>
  <si>
    <t>0420</t>
  </si>
  <si>
    <t>0430</t>
  </si>
  <si>
    <t>0440</t>
  </si>
  <si>
    <t>0450</t>
  </si>
  <si>
    <t>0490</t>
  </si>
  <si>
    <t>0510</t>
  </si>
  <si>
    <t>0520</t>
  </si>
  <si>
    <t>0530</t>
  </si>
  <si>
    <t>0540</t>
  </si>
  <si>
    <t>0550</t>
  </si>
  <si>
    <t>0570</t>
  </si>
  <si>
    <t>0580</t>
  </si>
  <si>
    <t>0590</t>
  </si>
  <si>
    <t>0610</t>
  </si>
  <si>
    <t>0620</t>
  </si>
  <si>
    <t>0630</t>
  </si>
  <si>
    <t>0640</t>
  </si>
  <si>
    <t>0650</t>
  </si>
  <si>
    <t>0670</t>
  </si>
  <si>
    <t>0680</t>
  </si>
  <si>
    <t>0690</t>
  </si>
  <si>
    <t>0700</t>
  </si>
  <si>
    <t>0710</t>
  </si>
  <si>
    <t>0730</t>
  </si>
  <si>
    <t>0740</t>
  </si>
  <si>
    <t>0750</t>
  </si>
  <si>
    <t>0760</t>
  </si>
  <si>
    <t>0790</t>
  </si>
  <si>
    <t>0810</t>
  </si>
  <si>
    <t>0820</t>
  </si>
  <si>
    <t>0830</t>
  </si>
  <si>
    <t>0840</t>
  </si>
  <si>
    <t>0850</t>
  </si>
  <si>
    <t>0860</t>
  </si>
  <si>
    <t>0870</t>
  </si>
  <si>
    <t>0880</t>
  </si>
  <si>
    <t>0890</t>
  </si>
  <si>
    <t>0910</t>
  </si>
  <si>
    <t>0920</t>
  </si>
  <si>
    <t>0930</t>
  </si>
  <si>
    <t>0940</t>
  </si>
  <si>
    <t>0950</t>
  </si>
  <si>
    <t>0960</t>
  </si>
  <si>
    <t>0970</t>
  </si>
  <si>
    <t>0980</t>
  </si>
  <si>
    <t>0990</t>
  </si>
  <si>
    <t>1020</t>
  </si>
  <si>
    <t>1030</t>
  </si>
  <si>
    <t>1040</t>
  </si>
  <si>
    <t>1060</t>
  </si>
  <si>
    <t>1070</t>
  </si>
  <si>
    <t>1080</t>
  </si>
  <si>
    <t>1090</t>
  </si>
  <si>
    <t>1130</t>
  </si>
  <si>
    <t>1140</t>
  </si>
  <si>
    <t>4002</t>
  </si>
  <si>
    <t>1160</t>
  </si>
  <si>
    <t>1170</t>
  </si>
  <si>
    <t>1210</t>
  </si>
  <si>
    <t>1220</t>
  </si>
  <si>
    <t>1230</t>
  </si>
  <si>
    <t>1240</t>
  </si>
  <si>
    <t>1250</t>
  </si>
  <si>
    <t>1260</t>
  </si>
  <si>
    <t>1270</t>
  </si>
  <si>
    <t>1280</t>
  </si>
  <si>
    <t>1290</t>
  </si>
  <si>
    <t>1320</t>
  </si>
  <si>
    <t>1330</t>
  </si>
  <si>
    <t>1340</t>
  </si>
  <si>
    <t>1360</t>
  </si>
  <si>
    <t>1380</t>
  </si>
  <si>
    <t>1410</t>
  </si>
  <si>
    <t>1420</t>
  </si>
  <si>
    <t>1430</t>
  </si>
  <si>
    <t>1440</t>
  </si>
  <si>
    <t>1450</t>
  </si>
  <si>
    <t>1470</t>
  </si>
  <si>
    <t>1490</t>
  </si>
  <si>
    <t>1510</t>
  </si>
  <si>
    <t>1530</t>
  </si>
  <si>
    <t>1550</t>
  </si>
  <si>
    <t>1570</t>
  </si>
  <si>
    <t>1.2 - [Name of sub-vote]</t>
  </si>
  <si>
    <t>1.3 - [Name of sub-vote]</t>
  </si>
  <si>
    <t>1.4 - [Name of sub-vote]</t>
  </si>
  <si>
    <t>1.5 - [Name of sub-vote]</t>
  </si>
  <si>
    <t>1.6 - [Name of sub-vote]</t>
  </si>
  <si>
    <t>1.7 - [Name of sub-vote]</t>
  </si>
  <si>
    <t>1.8 - [Name of sub-vote]</t>
  </si>
  <si>
    <t>1.9 - [Name of sub-vote]</t>
  </si>
  <si>
    <t>1.10 - [Name of sub-vote]</t>
  </si>
  <si>
    <t>3.2 - [Name of sub-vote]</t>
  </si>
  <si>
    <t>3.3 - [Name of sub-vote]</t>
  </si>
  <si>
    <t>3.4 - [Name of sub-vote]</t>
  </si>
  <si>
    <t>3.5 - [Name of sub-vote]</t>
  </si>
  <si>
    <t>3.6 - [Name of sub-vote]</t>
  </si>
  <si>
    <t>3.7 - [Name of sub-vote]</t>
  </si>
  <si>
    <t>3.8 - [Name of sub-vote]</t>
  </si>
  <si>
    <t>3.9 - [Name of sub-vote]</t>
  </si>
  <si>
    <t>3.10 - [Name of sub-vote]</t>
  </si>
  <si>
    <t>4.2 - [Name of sub-vote]</t>
  </si>
  <si>
    <t>4.3 - [Name of sub-vote]</t>
  </si>
  <si>
    <t>4.4 - [Name of sub-vote]</t>
  </si>
  <si>
    <t>4.5 - [Name of sub-vote]</t>
  </si>
  <si>
    <t>4.6 - [Name of sub-vote]</t>
  </si>
  <si>
    <t>4.7 - [Name of sub-vote]</t>
  </si>
  <si>
    <t>4.8 - [Name of sub-vote]</t>
  </si>
  <si>
    <t>4.9 - [Name of sub-vote]</t>
  </si>
  <si>
    <t>4.10 - [Name of sub-vote]</t>
  </si>
  <si>
    <t>5.2 - [Name of sub-vote]</t>
  </si>
  <si>
    <t>5.3 - [Name of sub-vote]</t>
  </si>
  <si>
    <t>5.4 - [Name of sub-vote]</t>
  </si>
  <si>
    <t>5.5 - [Name of sub-vote]</t>
  </si>
  <si>
    <t>5.6 - [Name of sub-vote]</t>
  </si>
  <si>
    <t>5.7 - [Name of sub-vote]</t>
  </si>
  <si>
    <t>5.8 - [Name of sub-vote]</t>
  </si>
  <si>
    <t>5.9 - [Name of sub-vote]</t>
  </si>
  <si>
    <t>5.10 - [Name of sub-vote]</t>
  </si>
  <si>
    <t>6.2 - [Name of sub-vote]</t>
  </si>
  <si>
    <t>6.3 - [Name of sub-vote]</t>
  </si>
  <si>
    <t>6.4 - [Name of sub-vote]</t>
  </si>
  <si>
    <t>6.5 - [Name of sub-vote]</t>
  </si>
  <si>
    <t>6.6 - [Name of sub-vote]</t>
  </si>
  <si>
    <t>6.7 - [Name of sub-vote]</t>
  </si>
  <si>
    <t>6.8 - [Name of sub-vote]</t>
  </si>
  <si>
    <t>6.9 - [Name of sub-vote]</t>
  </si>
  <si>
    <t>6.10 - [Name of sub-vote]</t>
  </si>
  <si>
    <t>2.2 - [Name of sub-vote]</t>
  </si>
  <si>
    <t>2.3 - [Name of sub-vote]</t>
  </si>
  <si>
    <t>2.4 - [Name of sub-vote]</t>
  </si>
  <si>
    <t>2.5 - [Name of sub-vote]</t>
  </si>
  <si>
    <t>2.6 - [Name of sub-vote]</t>
  </si>
  <si>
    <t>2.7 - [Name of sub-vote]</t>
  </si>
  <si>
    <t>2.8 - [Name of sub-vote]</t>
  </si>
  <si>
    <t>2.9 - [Name of sub-vote]</t>
  </si>
  <si>
    <t>2.10 - [Name of sub-vote]</t>
  </si>
  <si>
    <t>7.2 - [Name of sub-vote]</t>
  </si>
  <si>
    <t>7.3 - [Name of sub-vote]</t>
  </si>
  <si>
    <t>7.4 - [Name of sub-vote]</t>
  </si>
  <si>
    <t>7.5 - [Name of sub-vote]</t>
  </si>
  <si>
    <t>7.6 - [Name of sub-vote]</t>
  </si>
  <si>
    <t>7.7 - [Name of sub-vote]</t>
  </si>
  <si>
    <t>7.8 - [Name of sub-vote]</t>
  </si>
  <si>
    <t>7.9 - [Name of sub-vote]</t>
  </si>
  <si>
    <t>7.10 - [Name of sub-vote]</t>
  </si>
  <si>
    <t>8.2 - [Name of sub-vote]</t>
  </si>
  <si>
    <t>8.3 - [Name of sub-vote]</t>
  </si>
  <si>
    <t>8.4 - [Name of sub-vote]</t>
  </si>
  <si>
    <t>8.5 - [Name of sub-vote]</t>
  </si>
  <si>
    <t>8.6 - [Name of sub-vote]</t>
  </si>
  <si>
    <t>8.7 - [Name of sub-vote]</t>
  </si>
  <si>
    <t>8.8 - [Name of sub-vote]</t>
  </si>
  <si>
    <t>8.9 - [Name of sub-vote]</t>
  </si>
  <si>
    <t>8.10 - [Name of sub-vote]</t>
  </si>
  <si>
    <t>9.2 - [Name of sub-vote]</t>
  </si>
  <si>
    <t>9.3 - [Name of sub-vote]</t>
  </si>
  <si>
    <t>9.4 - [Name of sub-vote]</t>
  </si>
  <si>
    <t>9.5 - [Name of sub-vote]</t>
  </si>
  <si>
    <t>9.6 - [Name of sub-vote]</t>
  </si>
  <si>
    <t>9.7 - [Name of sub-vote]</t>
  </si>
  <si>
    <t>9.8 - [Name of sub-vote]</t>
  </si>
  <si>
    <t>9.10 - [Name of sub-vote]</t>
  </si>
  <si>
    <t>9.9 - [Name of sub-vote]</t>
  </si>
  <si>
    <t>12.2 - [Name of sub-vote]</t>
  </si>
  <si>
    <t>12.3 - [Name of sub-vote]</t>
  </si>
  <si>
    <t>12.4 - [Name of sub-vote]</t>
  </si>
  <si>
    <t>12.5 - [Name of sub-vote]</t>
  </si>
  <si>
    <t>12.6 - [Name of sub-vote]</t>
  </si>
  <si>
    <t>12.7 - [Name of sub-vote]</t>
  </si>
  <si>
    <t>12.8 - [Name of sub-vote]</t>
  </si>
  <si>
    <t>12.9 - [Name of sub-vote]</t>
  </si>
  <si>
    <t>12.10 - [Name of sub-vote]</t>
  </si>
  <si>
    <t>13.2 - [Name of sub-vote]</t>
  </si>
  <si>
    <t>13.3 - [Name of sub-vote]</t>
  </si>
  <si>
    <t>13.4 - [Name of sub-vote]</t>
  </si>
  <si>
    <t>13.5 - [Name of sub-vote]</t>
  </si>
  <si>
    <t>13.6 - [Name of sub-vote]</t>
  </si>
  <si>
    <t>13.7 - [Name of sub-vote]</t>
  </si>
  <si>
    <t>13.8 - [Name of sub-vote]</t>
  </si>
  <si>
    <t>13.9 - [Name of sub-vote]</t>
  </si>
  <si>
    <t>13.10 - [Name of sub-vote]</t>
  </si>
  <si>
    <t>14.2 - [Name of sub-vote]</t>
  </si>
  <si>
    <t>14.3 - [Name of sub-vote]</t>
  </si>
  <si>
    <t>14.4 - [Name of sub-vote]</t>
  </si>
  <si>
    <t>14.5 - [Name of sub-vote]</t>
  </si>
  <si>
    <t>14.6 - [Name of sub-vote]</t>
  </si>
  <si>
    <t>14.7 - [Name of sub-vote]</t>
  </si>
  <si>
    <t>14.8 - [Name of sub-vote]</t>
  </si>
  <si>
    <t>14.10 - [Name of sub-vote]</t>
  </si>
  <si>
    <t>14.9 - [Name of sub-vote]</t>
  </si>
  <si>
    <t>15.3 - [Name of sub-vote]</t>
  </si>
  <si>
    <t>15.4 - [Name of sub-vote]</t>
  </si>
  <si>
    <t>15.2 - [Name of sub-vote]</t>
  </si>
  <si>
    <t>15.5 - [Name of sub-vote]</t>
  </si>
  <si>
    <t>15.6 - [Name of sub-vote]</t>
  </si>
  <si>
    <t>15.7 - [Name of sub-vote]</t>
  </si>
  <si>
    <t>15.8 - [Name of sub-vote]</t>
  </si>
  <si>
    <t>15.9 - [Name of sub-vote]</t>
  </si>
  <si>
    <t>15.10 - [Name of sub-vote]</t>
  </si>
  <si>
    <t>10.2 - [Name of sub-vote]</t>
  </si>
  <si>
    <t>10.3 - [Name of sub-vote]</t>
  </si>
  <si>
    <t>10.4 - [Name of sub-vote]</t>
  </si>
  <si>
    <t>10.5 - [Name of sub-vote]</t>
  </si>
  <si>
    <t>10.6 - [Name of sub-vote]</t>
  </si>
  <si>
    <t>10.7 - [Name of sub-vote]</t>
  </si>
  <si>
    <t>10.8 - [Name of sub-vote]</t>
  </si>
  <si>
    <t>10.9 - [Name of sub-vote]</t>
  </si>
  <si>
    <t>10.10 - [Name of sub-vote]</t>
  </si>
  <si>
    <t>11.3 - [Name of sub-vote]</t>
  </si>
  <si>
    <t>11.2 - [Name of sub-vote]</t>
  </si>
  <si>
    <t>11.4 - [Name of sub-vote]</t>
  </si>
  <si>
    <t>11.5 - [Name of sub-vote]</t>
  </si>
  <si>
    <t>11.6 - [Name of sub-vote]</t>
  </si>
  <si>
    <t>11.7 - [Name of sub-vote]</t>
  </si>
  <si>
    <t>11.8 - [Name of sub-vote]</t>
  </si>
  <si>
    <t>11.9 - [Name of sub-vote]</t>
  </si>
  <si>
    <t>11.10 - [Name of sub-vote]</t>
  </si>
  <si>
    <t>0110</t>
  </si>
  <si>
    <t>0480</t>
  </si>
  <si>
    <t>0560</t>
  </si>
  <si>
    <t>0660</t>
  </si>
  <si>
    <t>0720</t>
  </si>
  <si>
    <t>0770</t>
  </si>
  <si>
    <t>1050</t>
  </si>
  <si>
    <t>1110</t>
  </si>
  <si>
    <t>1180</t>
  </si>
  <si>
    <t>1370</t>
  </si>
  <si>
    <t>0141</t>
  </si>
  <si>
    <t>0145</t>
  </si>
  <si>
    <t>0146</t>
  </si>
  <si>
    <t>0147</t>
  </si>
  <si>
    <t>0242</t>
  </si>
  <si>
    <t>0243</t>
  </si>
  <si>
    <t>0341</t>
  </si>
  <si>
    <t>0342</t>
  </si>
  <si>
    <t>0361</t>
  </si>
  <si>
    <t>0362</t>
  </si>
  <si>
    <t>0363</t>
  </si>
  <si>
    <t>0364</t>
  </si>
  <si>
    <t>0401</t>
  </si>
  <si>
    <t>0402</t>
  </si>
  <si>
    <t>0411</t>
  </si>
  <si>
    <t>0412</t>
  </si>
  <si>
    <t>0413</t>
  </si>
  <si>
    <t>0461</t>
  </si>
  <si>
    <t>0462</t>
  </si>
  <si>
    <t>0464</t>
  </si>
  <si>
    <t>Not on Chart</t>
  </si>
  <si>
    <t>0465</t>
  </si>
  <si>
    <t>0466</t>
  </si>
  <si>
    <t>0467</t>
  </si>
  <si>
    <t>0471</t>
  </si>
  <si>
    <t>0472</t>
  </si>
  <si>
    <t>0473</t>
  </si>
  <si>
    <t>0474</t>
  </si>
  <si>
    <t>0475</t>
  </si>
  <si>
    <t>Call deposits</t>
  </si>
  <si>
    <t>Other current investments</t>
  </si>
  <si>
    <t>IA</t>
  </si>
  <si>
    <t>SM</t>
  </si>
  <si>
    <t>MS</t>
  </si>
  <si>
    <t>0150D</t>
  </si>
  <si>
    <t>0140D</t>
  </si>
  <si>
    <t>0130D</t>
  </si>
  <si>
    <t>0120D</t>
  </si>
  <si>
    <t>0160D</t>
  </si>
  <si>
    <t>0180D</t>
  </si>
  <si>
    <t>210001</t>
  </si>
  <si>
    <t>Administrative Handling Fees</t>
  </si>
  <si>
    <t>Sale of Property</t>
  </si>
  <si>
    <t>Insurance Refund</t>
  </si>
  <si>
    <t>Bad Debts Recovered</t>
  </si>
  <si>
    <t>Breakages and Losses Recovered</t>
  </si>
  <si>
    <t>Collection Charges</t>
  </si>
  <si>
    <t>Commission</t>
  </si>
  <si>
    <t>Discounts and Early Settlements</t>
  </si>
  <si>
    <t>Incidental Cash Surpluses</t>
  </si>
  <si>
    <t>Inspection Fees</t>
  </si>
  <si>
    <t>Registration Fees</t>
  </si>
  <si>
    <t>Staff Recoveries</t>
  </si>
  <si>
    <t>Request for Information</t>
  </si>
  <si>
    <t>Merchandising, Jobbing and Contracts</t>
  </si>
  <si>
    <t>Bursary Repayment</t>
  </si>
  <si>
    <t>Recovery Infrastructure Maintenance</t>
  </si>
  <si>
    <t>Skills Development Levy Refund</t>
  </si>
  <si>
    <t>Arbor City Awards Competition</t>
  </si>
  <si>
    <t>1601</t>
  </si>
  <si>
    <t>1602</t>
  </si>
  <si>
    <t>1603</t>
  </si>
  <si>
    <t>1604</t>
  </si>
  <si>
    <t>1605</t>
  </si>
  <si>
    <t>1606</t>
  </si>
  <si>
    <t>1607</t>
  </si>
  <si>
    <t>1608</t>
  </si>
  <si>
    <t>1609</t>
  </si>
  <si>
    <t>1610</t>
  </si>
  <si>
    <t>1611</t>
  </si>
  <si>
    <t>1612</t>
  </si>
  <si>
    <t>1613</t>
  </si>
  <si>
    <t>1614</t>
  </si>
  <si>
    <t>1615</t>
  </si>
  <si>
    <t>1616</t>
  </si>
  <si>
    <t>1617</t>
  </si>
  <si>
    <t>1618</t>
  </si>
  <si>
    <t>28000101</t>
  </si>
  <si>
    <t>28000102</t>
  </si>
  <si>
    <t>28000103</t>
  </si>
  <si>
    <t>28000104</t>
  </si>
  <si>
    <t>28000201</t>
  </si>
  <si>
    <t>28000202</t>
  </si>
  <si>
    <t>28000203</t>
  </si>
  <si>
    <t>28000204</t>
  </si>
  <si>
    <t>??</t>
  </si>
  <si>
    <t>S71_Account</t>
  </si>
  <si>
    <t>S71_AccountLink</t>
  </si>
  <si>
    <t>S71_AccountExtAccount</t>
  </si>
  <si>
    <t>S71_AccountExtensionID</t>
  </si>
  <si>
    <t>S71_ItemSCOAAccount</t>
  </si>
  <si>
    <t>S71_A4Code</t>
  </si>
  <si>
    <t>S71_A4Description</t>
  </si>
  <si>
    <t>S71_A4SubCode</t>
  </si>
  <si>
    <t>S71_A4SubDescription</t>
  </si>
  <si>
    <t>S71_SA1SubCode</t>
  </si>
  <si>
    <t>S71_SA1SubDescription</t>
  </si>
  <si>
    <t>S71_A2Code</t>
  </si>
  <si>
    <t>S71_A2Description</t>
  </si>
  <si>
    <t>S71_A2SubCode</t>
  </si>
  <si>
    <t>S71_A2SubDescription</t>
  </si>
  <si>
    <t>S71_A5CapexCode</t>
  </si>
  <si>
    <t>S71_A5GCode</t>
  </si>
  <si>
    <t>S71_A5GDescription</t>
  </si>
  <si>
    <t>S71_ProjectType</t>
  </si>
  <si>
    <t>S71_ItemType</t>
  </si>
  <si>
    <t>S71_A6Code</t>
  </si>
  <si>
    <t>S71_A6Description</t>
  </si>
  <si>
    <t>S71_A6SubCode</t>
  </si>
  <si>
    <t>S71_A6SubDescription</t>
  </si>
  <si>
    <t>S71_A7Code</t>
  </si>
  <si>
    <t>S71_A7Description</t>
  </si>
  <si>
    <t>S71_A7SubCode</t>
  </si>
  <si>
    <t>S71_A7SubDescription</t>
  </si>
  <si>
    <t>S71_A7CodePayments</t>
  </si>
  <si>
    <t>S71_A7DescriptionPayments</t>
  </si>
  <si>
    <t>S71_A7SubCodePayments</t>
  </si>
  <si>
    <t>S71_A7SubDescriptionPayments</t>
  </si>
  <si>
    <t>S71_A9Code</t>
  </si>
  <si>
    <t>S71_A9Description</t>
  </si>
  <si>
    <t>S71_A9SubCode</t>
  </si>
  <si>
    <t>S71_A9SubDescription</t>
  </si>
  <si>
    <t>S71_SA3Code</t>
  </si>
  <si>
    <t>S71_SA3Description</t>
  </si>
  <si>
    <t>S71_SA3SubCode</t>
  </si>
  <si>
    <t>S71_SA3SubDescription</t>
  </si>
  <si>
    <t>S71_SA30FDSubCode</t>
  </si>
  <si>
    <t>S71_SA30FDSubDescription</t>
  </si>
  <si>
    <t>S71_CFCode</t>
  </si>
  <si>
    <t>S71_SA34aCode</t>
  </si>
  <si>
    <t>S71_SA34aDescription</t>
  </si>
  <si>
    <t>S71_SA34aCode_2</t>
  </si>
  <si>
    <t>S71_SA34aSubDescription</t>
  </si>
  <si>
    <t>S71_SA34Code</t>
  </si>
  <si>
    <t>S71_SA34Description</t>
  </si>
  <si>
    <t>S71_SA34bSubCode</t>
  </si>
  <si>
    <t>S71_SA34bSubDescription</t>
  </si>
  <si>
    <t>S71_SA34cCode</t>
  </si>
  <si>
    <t>S71_SA34cDescription</t>
  </si>
  <si>
    <t>S71_SA34cSubCode</t>
  </si>
  <si>
    <t>S71_SA34cSubDescription</t>
  </si>
  <si>
    <t>S71_RepMaintCode</t>
  </si>
  <si>
    <t>S71_SA34dCode</t>
  </si>
  <si>
    <t>S71_SA34dDescription</t>
  </si>
  <si>
    <t>S71_SA34dSubCode</t>
  </si>
  <si>
    <t>S71_SA34dSubDescription</t>
  </si>
  <si>
    <t>S71_DepCode</t>
  </si>
  <si>
    <t>S71_SA34eCode</t>
  </si>
  <si>
    <t>S71_SA34eDescription</t>
  </si>
  <si>
    <t>S71_SA34eSubCode</t>
  </si>
  <si>
    <t>S71_SA34eSubDescription</t>
  </si>
  <si>
    <t>S71_StaffCode</t>
  </si>
  <si>
    <t>S71_MasterVoteMunicipal</t>
  </si>
  <si>
    <t>S71_SubMunicipalVoteNo</t>
  </si>
  <si>
    <t>S71_MasterVoteDescription</t>
  </si>
  <si>
    <t>S71_FxVoteDescription</t>
  </si>
  <si>
    <t>S71_SA15Ref</t>
  </si>
  <si>
    <t>S71_SA17Ref</t>
  </si>
  <si>
    <t>S71_OriginalBudget</t>
  </si>
  <si>
    <t>S71_SpecialAdjustedBudget</t>
  </si>
  <si>
    <t>S71_AdjustedBudget</t>
  </si>
  <si>
    <t>S71_OY1AdjustedBudget</t>
  </si>
  <si>
    <t>S71_OY2AdjustedBudget</t>
  </si>
  <si>
    <t>S71_MonthlyOutcomeJul</t>
  </si>
  <si>
    <t>S71_MonthlyOutcomeAug</t>
  </si>
  <si>
    <t>S71_MonthlyOutcomeSep</t>
  </si>
  <si>
    <t>S71_MonthlyOutcomeOct</t>
  </si>
  <si>
    <t>S71_MonthlyOutcomeNov</t>
  </si>
  <si>
    <t>S71_MonthlyOutcomeDec</t>
  </si>
  <si>
    <t>S71_MonthlyOutcomeJan</t>
  </si>
  <si>
    <t>S71_MonthlyOutcomeFeb</t>
  </si>
  <si>
    <t>S71_MonthlyOutcomeMar</t>
  </si>
  <si>
    <t>S71_MonthlyOutcomeApr</t>
  </si>
  <si>
    <t>S71_MonthlyOutcomeMay</t>
  </si>
  <si>
    <t>S71_MonthlyOutcomeJun</t>
  </si>
  <si>
    <t>X044</t>
  </si>
  <si>
    <t>X046</t>
  </si>
  <si>
    <t>X054</t>
  </si>
  <si>
    <t>X051</t>
  </si>
  <si>
    <t>X052</t>
  </si>
  <si>
    <t>X049</t>
  </si>
  <si>
    <t>X047</t>
  </si>
  <si>
    <t>X058</t>
  </si>
  <si>
    <t>X020</t>
  </si>
  <si>
    <t>X146</t>
  </si>
  <si>
    <t>X139</t>
  </si>
  <si>
    <t>X148</t>
  </si>
  <si>
    <t>X141</t>
  </si>
  <si>
    <t>X147</t>
  </si>
  <si>
    <t>X045</t>
  </si>
  <si>
    <t>X081</t>
  </si>
  <si>
    <t>X098</t>
  </si>
  <si>
    <t>X099</t>
  </si>
  <si>
    <t>X096</t>
  </si>
  <si>
    <t>X101</t>
  </si>
  <si>
    <t>X041</t>
  </si>
  <si>
    <t>X019</t>
  </si>
  <si>
    <t>X124</t>
  </si>
  <si>
    <t>X018</t>
  </si>
  <si>
    <t>X042</t>
  </si>
  <si>
    <t>X053</t>
  </si>
  <si>
    <t>X038</t>
  </si>
  <si>
    <t>X006</t>
  </si>
  <si>
    <t>X095</t>
  </si>
  <si>
    <t>X016</t>
  </si>
  <si>
    <t>X059</t>
  </si>
  <si>
    <t>X056</t>
  </si>
  <si>
    <t>X050</t>
  </si>
  <si>
    <t>X055</t>
  </si>
  <si>
    <t>X061</t>
  </si>
  <si>
    <t>X117</t>
  </si>
  <si>
    <t>X032</t>
  </si>
  <si>
    <t>S71_SpecAdjustmentAmount</t>
  </si>
  <si>
    <t>140</t>
  </si>
  <si>
    <t>241</t>
  </si>
  <si>
    <t>464</t>
  </si>
  <si>
    <t>0260D</t>
  </si>
  <si>
    <t>0170I</t>
  </si>
  <si>
    <t>D0001/IL53820/F0001/X049/R0647/001/FINA</t>
  </si>
  <si>
    <t>Liabilities:Current Liabilities:Trade and Other Payable Exchange Transactions:Payables and Accruals:Deposits</t>
  </si>
  <si>
    <t xml:space="preserve"> _</t>
  </si>
  <si>
    <t xml:space="preserve"> _ </t>
  </si>
  <si>
    <t>_</t>
  </si>
  <si>
    <t>IL</t>
  </si>
  <si>
    <t xml:space="preserve"> Trade and other payables</t>
  </si>
  <si>
    <t>Finance and Administration</t>
  </si>
  <si>
    <t>D0001/IA04803/F0001/X049/R0647/001/FINA</t>
  </si>
  <si>
    <t>Assets:Non-current Assets:Intangible Assets:Cost:Other:Finance Leased:Computer Software Accumulated Amortisation:Amortisation</t>
  </si>
  <si>
    <t xml:space="preserve"> Intangible</t>
  </si>
  <si>
    <t>D0001/IL53987/F0001/X049/R0647/001/FINA</t>
  </si>
  <si>
    <t>Liabilities:Current Liabilities:Trade and Other Payable Exchange Transactions:Control, Clearing and Interface Accounts:Salary Clearing and Control:Salary Control:Deposits</t>
  </si>
  <si>
    <t>D0001/IL54001/F0001/X049/R0647/001/FINA</t>
  </si>
  <si>
    <t>Liabilities:Current Liabilities:Trade and Other Payable Exchange Transactions:Control, Clearing and Interface Accounts:Salary Clearing and Control:Medical Aid Control:Deposits</t>
  </si>
  <si>
    <t>D0001/IL53999/F0001/X049/R0647/001/FINA</t>
  </si>
  <si>
    <t>Liabilities:Current Liabilities:Trade and Other Payable Exchange Transactions:Control, Clearing and Interface Accounts:Salary Clearing and Control:Pension Control:Deposits</t>
  </si>
  <si>
    <t>D0001/IL53995/F0001/X049/R0647/001/FINA</t>
  </si>
  <si>
    <t>Liabilities:Current Liabilities:Trade and Other Payable Exchange Transactions:Control, Clearing and Interface Accounts:Salary Clearing and Control:UIF Control:Deposits</t>
  </si>
  <si>
    <t>D0001/IL53989/F0001/X049/R0647/001/FINA</t>
  </si>
  <si>
    <t>Liabilities:Current Liabilities:Trade and Other Payable Exchange Transactions:Control, Clearing and Interface Accounts:Salary Clearing and Control:Travel Control:Deposits</t>
  </si>
  <si>
    <t>D0001/IA02534/F0001/X049/R0647/001/FINA</t>
  </si>
  <si>
    <t>Assets:Current Assets:Trade and other Receivables from Exchange Transactions:Trading Service and Customer Service Debtors:Water:Debt Write-off</t>
  </si>
  <si>
    <t>D0001/IL53997/F0001/X049/R0647/001/FINA</t>
  </si>
  <si>
    <t>Liabilities:Current Liabilities:Trade and Other Payable Exchange Transactions:Control, Clearing and Interface Accounts:Salary Clearing and Control:Skills Control:Deposits</t>
  </si>
  <si>
    <t>D0001/IA06183/F0001/X049/R0647/001/FINA</t>
  </si>
  <si>
    <t>Assets:Non-current Assets:Property, Plant and Equipment:Cost Model:Computer Equipment:In-use:Accumulated Depreciation:Depreciation</t>
  </si>
  <si>
    <t xml:space="preserve"> Property, plant and equipment</t>
  </si>
  <si>
    <t>D0001/IA06243/F0001/X049/R0647/001/FINA</t>
  </si>
  <si>
    <t>Assets:Non-current Assets:Property, Plant and Equipment:Cost Model:Furniture and Office Equipment:In-use:Accumulated Depreciation:Depreciation</t>
  </si>
  <si>
    <t>D0001/IA06303/F0001/X049/R0647/001/FINA</t>
  </si>
  <si>
    <t>Assets:Non-current Assets:Property, Plant and Equipment:Cost Model:Machinery and Equipment:In-use:Accumulated Depreciation:Depreciation</t>
  </si>
  <si>
    <t>D0001/IA01357/F0001/X049/R0647/001/FINA</t>
  </si>
  <si>
    <t>Assets:Non-current Assets:Property, Plant and Equipment:Cost Model:Transport Assets:Owned and In-use:Accumulated Depreciation:Depreciation</t>
  </si>
  <si>
    <t>D0001/IL53991/F0001/X049/R0647/001/FINA</t>
  </si>
  <si>
    <t>Liabilities:Current Liabilities:Trade and Other Payable Exchange Transactions:Control, Clearing and Interface Accounts:Salary Clearing and Control:Leave Control:Deposits</t>
  </si>
  <si>
    <t>D0001/IA00122/F0001/X049/R0647/001/FINA</t>
  </si>
  <si>
    <t>Assets:Non-current Assets:Property, Plant and Equipment:Cost Model:Roads Infrastructure:Accumulated Depreciation:Depreciation</t>
  </si>
  <si>
    <t>D0001/IA00022/F0001/X049/R0647/001/FINA</t>
  </si>
  <si>
    <t>Assets:Non-current Assets:Property, Plant and Equipment:Cost Model:Community Assets:Accumulated Depreciation:Depreciation</t>
  </si>
  <si>
    <t>D0001/IA00082/F0001/X049/R0647/001/FINA</t>
  </si>
  <si>
    <t>Assets:Non-current Assets:Property, Plant and Equipment:Cost Model:Other Assets:Accumulated Depreciation:Depreciation</t>
  </si>
  <si>
    <t>D0001/IA02105/F0001/X049/R0647/001/FINA</t>
  </si>
  <si>
    <t>Assets:Current Assets:Cash and Cash Equivalents:Cash at Bank:Bank Account:Specify (replace with account description):Deposits</t>
  </si>
  <si>
    <t>D0001/IA10384/F0001/X049/R0647/001/FINA</t>
  </si>
  <si>
    <t>Assets:Current Assets:Deposits:Deposits</t>
  </si>
  <si>
    <t>D0001/IL07049/F0001/X049/R0647/001/FINA</t>
  </si>
  <si>
    <t>Liabilities:Current Liabilities:Trade and Other Payable Non-exchange Transactions:Transfers and Subsidies Unspent:Capital:Monetary Allocations:National Government:Municipal Infrastructure Grant:Transferred to Revenue/Capital Expenditure</t>
  </si>
  <si>
    <t>D0001/IL08802/F0001/X049/R0647/001/FINA</t>
  </si>
  <si>
    <t>Liabilities:Current Liabilities:Trade and Other Payable Non-exchange Transactions:Transfers and Subsidies Unspent:Operational:Monetary Allocations:National Government:Expanded Public Works Programme Integrated Grant:Transferred to Revenue/Capital Expenditure</t>
  </si>
  <si>
    <t>D0001/IL08834/F0001/X049/R0647/001/FINA</t>
  </si>
  <si>
    <t>Liabilities:Current Liabilities:Trade and Other Payable Non-exchange Transactions:Transfers and Subsidies Unspent:Operational:Monetary Allocations:National Government:Local Government Financial Management Grant:Transferred to Revenue/Capital Expenditure</t>
  </si>
  <si>
    <t>D0001/IL21296/F0001/X049/R0647/001/FINA</t>
  </si>
  <si>
    <t>Liabilities:Current Liabilities:Trade and Other Payable Non-exchange Transactions:Transfers and Subsidies Unspent:Operational:Monetary Allocations:National Government:Equitable Share:Transferred to Revenue/Capital Expenditure</t>
  </si>
  <si>
    <t>D0001/IL073634/F0001/X049/R0647/001/FINA</t>
  </si>
  <si>
    <t>Liabilities:Current Liabilities:Trade and Other Payable Non-exchange Transactions:Transfers and Subsidies Payable:Operational:Monetary Allocations:District Municipalities:Limpopo:DC 35 - Capricorn:Capacity Building and Other:Specify (Add grant description):Transferred to Revenue/Capital Expenditure</t>
  </si>
  <si>
    <t>C0177-6/IA09840/F0791/X049/R1331/001/FIN</t>
  </si>
  <si>
    <t>Assets:Current Assets:Cash and Cash Equivalents:Cash at Bank:Bank Account:Specify (replace with account description):Withdrawals</t>
  </si>
  <si>
    <t>0160W</t>
  </si>
  <si>
    <t>Government - capital</t>
  </si>
  <si>
    <t>Other Cash Flows/Payments by Type / Capital assets</t>
  </si>
  <si>
    <t>W</t>
  </si>
  <si>
    <t>O1333-4/IE00549/F0041/X129/R1331/001/COMM</t>
  </si>
  <si>
    <t>Expenditure:Operational Cost:Achievements and Awards</t>
  </si>
  <si>
    <t>O1333-4/IE00677/F0041/X129/R1331/001/COMM</t>
  </si>
  <si>
    <t>Expenditure:Contracted Services:Outsourced Services:Catering Services</t>
  </si>
  <si>
    <t>2700-001</t>
  </si>
  <si>
    <t>O1333-4/IE00703/F0041/X129/R1331/001/COMM</t>
  </si>
  <si>
    <t>Expenditure:Contracted Services:Outsourced Services:Transport Services</t>
  </si>
  <si>
    <t>O1265-1/IE00534/F0041/X019/R1331/001/COMM</t>
  </si>
  <si>
    <t>Expenditure:Inventory Consumed:Materials and Supplies</t>
  </si>
  <si>
    <t>Community and Social Services</t>
  </si>
  <si>
    <t>D0001/IR01671/F0791/X049/R1330/001/TECH</t>
  </si>
  <si>
    <t>Revenue:Non-exchange Revenue:Transfers and Subsidies:Capital:Monetary Allocations:National Government:Municipal Infrastructure Grant</t>
  </si>
  <si>
    <t>C0227-6/IA01952/F0791/X016/R1812/001/TECH</t>
  </si>
  <si>
    <t>Assets:Non-current Assets:Construction Work-in-progress:Acquisitions:Outsourced</t>
  </si>
  <si>
    <t>Community and Social Services2</t>
  </si>
  <si>
    <t>C0230-3/IA01952/F0791/X016/R1812/001/TECH</t>
  </si>
  <si>
    <t>D0001/IR01429/F0001/X101/R1331/001/TECH</t>
  </si>
  <si>
    <t>Revenue:Exchange Revenue:Sales of Goods and Rendering of Services:Building Plan Approval</t>
  </si>
  <si>
    <t>Planning and Development</t>
  </si>
  <si>
    <t>D0001/IR01666/F0786/X035/R1331/001/TECH</t>
  </si>
  <si>
    <t>Revenue:Non-exchange Revenue:Transfers and Subsidies:Capital:Monetary Allocations:National Government:Integrated National Electrification Programme Grant</t>
  </si>
  <si>
    <t>Energy Sources</t>
  </si>
  <si>
    <t>D0001/IR01113/F0047/X049/R1331/001/TECH</t>
  </si>
  <si>
    <t>Revenue:Exchange Revenue:Sales of Goods and Rendering of Services:Sale of Goods:Publications:Tender Documents</t>
  </si>
  <si>
    <t>D0001/IR01428/F0001/X101/R1331/001/TECH</t>
  </si>
  <si>
    <t>Revenue:Exchange Revenue:Sales of Goods and Rendering of Services:Application Fees for Land Usage</t>
  </si>
  <si>
    <t>D0001/IR03124/F2682/X101/R1331/001/FIN</t>
  </si>
  <si>
    <t>Revenue:Non-exchange Revenue:Transfers and Subsidies:Operational:Monetary Allocations:Departmental Agencies and Accounts:National Departmental Agencies:Community Schemes Ombud Service</t>
  </si>
  <si>
    <t>O1254-1/IE00144/F0041/X077/R1331/001/TECH</t>
  </si>
  <si>
    <t>Expenditure:Operational Cost:Travel and Subsistence:Domestic:Transport without Operator:Own Transport</t>
  </si>
  <si>
    <t>O1254-1/IE00583/F0041/X077/R1331/001/TECH</t>
  </si>
  <si>
    <t>Expenditure:Operational Cost:Printing, Publications and Books</t>
  </si>
  <si>
    <t>D0001/IR02310/F1169/X049/R1331/001/COMM</t>
  </si>
  <si>
    <t>Revenue:Non-exchange Revenue:Transfers and Subsidies:Operational:Monetary Allocations:National Governments:Expanded Public Works Programme Integrated Grant</t>
  </si>
  <si>
    <t>D0001/IR00992/F0930/X132/R1331/001/COMM</t>
  </si>
  <si>
    <t>Revenue:Exchange Revenue:Service Charges:Waste Management:Refuse Removal</t>
  </si>
  <si>
    <t>O1244-5/IE00036/F0041/X006/R1331/001/COMM</t>
  </si>
  <si>
    <t>Expenditure:Employee Related Cost:Municipal Staff:Salaries, Wages and Allowances:Basic Salary and Wages</t>
  </si>
  <si>
    <t>2000-001</t>
  </si>
  <si>
    <t>O1244-5/IE00604/F0041/X006/R1331/001/COMM</t>
  </si>
  <si>
    <t>Expenditure:Operational Cost:Uniform and Protective Clothing</t>
  </si>
  <si>
    <t>O1244-5/IE00534/F0041/X006/R1331/001/COMM</t>
  </si>
  <si>
    <t>O1278-3/IE00604/F0041/X006/R1331/001/COMM</t>
  </si>
  <si>
    <t>O1278-3/IE00738/F0041/X006/R1331/001/COMM</t>
  </si>
  <si>
    <t>Expenditure:Inventory Consumed:Consumables:Standard Rated</t>
  </si>
  <si>
    <t>O1278-3/IE00534/F0041/X006/R1331/001/COMM</t>
  </si>
  <si>
    <t>O1278-3/IE00045/F0041/X006/R1331/001/COMM</t>
  </si>
  <si>
    <t>Expenditure:Employee Related Cost:Municipal Staff:Social Contributions:Unemployment Insurance</t>
  </si>
  <si>
    <t>2000-002</t>
  </si>
  <si>
    <t>O1278-3/IE00036/F0041/X006/R1331/001/COMM</t>
  </si>
  <si>
    <t>O1243-1/IE00583/F13636/X024/R1331/001/LIBR</t>
  </si>
  <si>
    <t>O1243-1/IE00677/F13636/X024/R1331/001/LIBR</t>
  </si>
  <si>
    <t>O1243-1/IE00671/F13636/X024/R1331/001/LIBR</t>
  </si>
  <si>
    <t>Expenditure:Contracted Services:Contractors:Transportation</t>
  </si>
  <si>
    <t>2700-003</t>
  </si>
  <si>
    <t>O1255-1/IE00583/F13636/X024/R1331/001/LIBR</t>
  </si>
  <si>
    <t>O1255-1/IE00632/F13636/X024/R1331/001/LIBR</t>
  </si>
  <si>
    <t>Expenditure:Contracted Services:Contractors:Catering Services</t>
  </si>
  <si>
    <t>O1255-1/IE00550/F13636/X024/R1331/001/LIBR</t>
  </si>
  <si>
    <t>Expenditure:Operational Cost:Assets less than the Capitalisation Threshold</t>
  </si>
  <si>
    <t>O1255-1/IE00671/F13636/X024/R1331/001/LIBR</t>
  </si>
  <si>
    <t>O1275-1/IE00604/F0041/X132/R1331/001/COMM</t>
  </si>
  <si>
    <t>O1275-1/IE00534/F0041/X132/R1331/001/COMM</t>
  </si>
  <si>
    <t>O1275-1/IE00677/F0041/X132/R1330/001/COMM</t>
  </si>
  <si>
    <t>O1244-8/IE00534/F0041/X028/R1331/001/COMM</t>
  </si>
  <si>
    <t>O1244-8/IE00677/F0041/X028/R1331/001/COMM</t>
  </si>
  <si>
    <t>O1244-8/IE00703/F0041/X028/R1331/001/COMM</t>
  </si>
  <si>
    <t>O1244-4/IE00738/F0041/X018/R1331/001/COMM</t>
  </si>
  <si>
    <t>O1244-3/IE00572/F0041/X018/R1331/001/COMM</t>
  </si>
  <si>
    <t>Expenditure:Operational Cost:Honoraria (Voluntarily Workers)</t>
  </si>
  <si>
    <t>O1244-3/IE00583/F0041/X018/R1331/001/COMM</t>
  </si>
  <si>
    <t>O1244-3/IE00632/F0041/X018/R1331/001/COMM</t>
  </si>
  <si>
    <t>O1244-3/IE00671/F0041/X018/R1331/001/COMM</t>
  </si>
  <si>
    <t>O1244-2/IE00549/F0041/X018/R1331/001/COMM</t>
  </si>
  <si>
    <t>O1244-2/IE00571/F0041/X018/R1331/001/COMM</t>
  </si>
  <si>
    <t>Expenditure:Operational Cost:Hire Charges</t>
  </si>
  <si>
    <t>O1244-2/IE00572/F0041/X018/R1331/001/COMM</t>
  </si>
  <si>
    <t>O1244-2/IE00677/F0041/X018/R1331/001/COMM</t>
  </si>
  <si>
    <t>O1244-2/IE00671/F0041/X018/R1331/001/COMM</t>
  </si>
  <si>
    <t>O1244-1/IE00143/F0041/X021/R1331/001/COMM</t>
  </si>
  <si>
    <t>Expenditure:Operational Cost:Travel and Subsistence:Domestic:Transport without Operator:Car Rental</t>
  </si>
  <si>
    <t>O1244-1/IE00142/F0041/X021/R1331/001/COMM</t>
  </si>
  <si>
    <t>Expenditure:Operational Cost:Travel and Subsistence:Domestic:Transport with Operator:Other Transport Provider</t>
  </si>
  <si>
    <t>O1244-1/IE00060/F0041/X021/R1331/001/COMM</t>
  </si>
  <si>
    <t>Expenditure:Operational Cost:Travel and Subsistence:Domestic:Accommodation</t>
  </si>
  <si>
    <t>O1244-1/IE00062/F0041/X021/R1331/001/COMM</t>
  </si>
  <si>
    <t>Expenditure:Operational Cost:Travel and Subsistence:Domestic:Food and Beverage (Served)</t>
  </si>
  <si>
    <t>O1244-1/IE00602/F0041/X021/R1331/001/COMM</t>
  </si>
  <si>
    <t>Expenditure:Operational Cost:Toll Gate Fees</t>
  </si>
  <si>
    <t>O1354-1/IE00571/F0041/X022/R1331/001/COMM</t>
  </si>
  <si>
    <t>O1354-1/IE00671/F0041/X022/R1331/001/COMM</t>
  </si>
  <si>
    <t>O1354-1/IE00751/F0041/X022/R1330/001/COMM</t>
  </si>
  <si>
    <t>Expenditure:Operational Cost:Advertising, Publicity and Marketing:Corporate and Municipal Activities</t>
  </si>
  <si>
    <t>O1354-1/IE00594/F0041/X022/R1330/001/COMM</t>
  </si>
  <si>
    <t>Expenditure:Operational Cost:Signage</t>
  </si>
  <si>
    <t>O1305-1/IE00583/F0041/X097/R1331/001/COMM</t>
  </si>
  <si>
    <t>O1305-1/IE00671/F0041/X097/R1331/001/COMM</t>
  </si>
  <si>
    <t>O1305-1/IE00677/F0041/X097/R1331/001/COMM</t>
  </si>
  <si>
    <t>O1304-2/IE00583/F0041/X098/R1331/001/COMM</t>
  </si>
  <si>
    <t>O1304-2/IE00671/F0041/X098/R1331/001/COMM</t>
  </si>
  <si>
    <t>O1217-1/IE00738/F0041/X013/R1331/001/COMM</t>
  </si>
  <si>
    <t>O0001/IE00552/F0041/X006/R1330/001/COMM</t>
  </si>
  <si>
    <t>Expenditure:Operational Cost:Bargaining Council</t>
  </si>
  <si>
    <t>O0001/IE00595/F0041/X006/R1330/001/COMM</t>
  </si>
  <si>
    <t>Expenditure:Operational Cost:Skills Development Fund Levy</t>
  </si>
  <si>
    <t>O0001/IE00040/F0041/X006/R1330/001/COMM</t>
  </si>
  <si>
    <t>Expenditure:Employee Related Cost:Municipal Staff:Social Contributions:Bargaining Council</t>
  </si>
  <si>
    <t>2000-009</t>
  </si>
  <si>
    <t>O0001/IE00043/F0041/X006/R1330/001/COMM</t>
  </si>
  <si>
    <t>Expenditure:Employee Related Cost:Municipal Staff:Social Contributions:Medical</t>
  </si>
  <si>
    <t>2000-003</t>
  </si>
  <si>
    <t>O0001/IE00044/F0041/X006/R1330/001/COMM</t>
  </si>
  <si>
    <t>Expenditure:Employee Related Cost:Municipal Staff:Social Contributions:Pension</t>
  </si>
  <si>
    <t>O0001/IE00045/F0041/X006/R1330/001/COMM</t>
  </si>
  <si>
    <t>O0001/IE03969/F0041/X006/R1330/001/COMM</t>
  </si>
  <si>
    <t>Expenditure:Employee Related Cost:Municipal Staff:Salaries, Wages and Allowances:Allowances:Service Related Benefits:Overtime:Non Structured</t>
  </si>
  <si>
    <t>2000-004</t>
  </si>
  <si>
    <t>O0001/IE03971/F0041/X006/R1330/001/COMM</t>
  </si>
  <si>
    <t>Expenditure:Employee Related Cost:Municipal Staff:Salaries, Wages and Allowances:Allowances:Service Related Benefits:Overtime:Structured</t>
  </si>
  <si>
    <t>O0001/IE01525/F0041/X006/R1330/001/COMM</t>
  </si>
  <si>
    <t>Expenditure:Employee Related Cost:Municipal Staff:Salaries, Wages and Allowances:Allowances:Service Related Benefits:Acting and Post Related Allowances</t>
  </si>
  <si>
    <t>O0001/IE01526/F0041/X006/R1330/001/COMM</t>
  </si>
  <si>
    <t>Expenditure:Employee Related Cost:Municipal Staff:Salaries, Wages and Allowances:Allowances:Service Related Benefits:Bonus</t>
  </si>
  <si>
    <t>2000-005</t>
  </si>
  <si>
    <t>O0001/IE01530/F0041/X006/R1330/001/COMM</t>
  </si>
  <si>
    <t>Expenditure:Employee Related Cost:Municipal Staff:Salaries, Wages and Allowances:Allowances:Service Related Benefits:Leave Pay</t>
  </si>
  <si>
    <t>2000-010</t>
  </si>
  <si>
    <t>O0001/IE01521/F0041/X006/R1330/001/COMM</t>
  </si>
  <si>
    <t>Expenditure:Employee Related Cost:Municipal Staff:Salaries, Wages and Allowances:Allowances:Housing Benefits and Incidental:Housing Benefits</t>
  </si>
  <si>
    <t>2000-008</t>
  </si>
  <si>
    <t>O0001/IE00121/F0041/X006/R1330/001/COMM</t>
  </si>
  <si>
    <t>Expenditure:Employee Related Cost:Municipal Staff:Salaries, Wages and Allowances:Allowances:Cellular and Telephone</t>
  </si>
  <si>
    <t>2000-007</t>
  </si>
  <si>
    <t>O0001/IE00126/F0041/X006/R1330/001/COMM</t>
  </si>
  <si>
    <t>Expenditure:Employee Related Cost:Municipal Staff:Salaries, Wages and Allowances:Allowances:Travel or Motor Vehicle</t>
  </si>
  <si>
    <t>2000-006</t>
  </si>
  <si>
    <t>O0001/IE00036/F0041/X006/R1330/001/COMM</t>
  </si>
  <si>
    <t>O0001/IE00108/F0041/X006/R1330/001/COMM</t>
  </si>
  <si>
    <t>Expenditure:Employee Related Cost:Municipal Staff:Post-retirement Benefit:Medical:Past Service Cost</t>
  </si>
  <si>
    <t>2000-012</t>
  </si>
  <si>
    <t>O0001/IE06984/F0041/X006/R1330/001/COMM</t>
  </si>
  <si>
    <t>Expenditure:Employee Related Cost:Senior Management:Designation:Salaries and Allowances:Service Related Benefits:Acting and Post Related Allowances</t>
  </si>
  <si>
    <t>O0001/IE07063/F0041/X006/R1330/001/COMM</t>
  </si>
  <si>
    <t>Expenditure:Employee Related Cost:Senior Management:Designation:Salaries and Allowances:Service Related Benefits:Leave Pay</t>
  </si>
  <si>
    <t>O0001/IE06829/F0041/X006/R1330/001/COMM</t>
  </si>
  <si>
    <t>Expenditure:Employee Related Cost:Senior Management:Designation:Salaries and Allowances:Allowance:Cellular and Telephone</t>
  </si>
  <si>
    <t>O0001/IE06074/F0041/X006/R1330/001/COMM</t>
  </si>
  <si>
    <t>Expenditure:Employee Related Cost:Senior Management:Designation:Salaries and Allowances:Basic Salary</t>
  </si>
  <si>
    <t>O0001/IE06107/F0041/X006/R1330/001/COMM</t>
  </si>
  <si>
    <t>Expenditure:Employee Related Cost:Senior Management:Designation:Salaries and Allowances:Bonuses</t>
  </si>
  <si>
    <t>O0001/IE06134/F0041/X006/R1330/001/COMM</t>
  </si>
  <si>
    <t>Expenditure:Employee Related Cost:Senior Management:Designation:Social Contributions:Bargaining Council</t>
  </si>
  <si>
    <t>O0001/IE06193/F0041/X006/R1330/001/COMM</t>
  </si>
  <si>
    <t>Expenditure:Employee Related Cost:Senior Management:Designation:Social Contributions:Medical</t>
  </si>
  <si>
    <t>O0001/IE06236/F0041/X006/R1330/001/COMM</t>
  </si>
  <si>
    <t>Expenditure:Employee Related Cost:Senior Management:Designation:Social Contributions:Pension</t>
  </si>
  <si>
    <t>O0001/IE06266/F0041/X006/R1330/001/COMM</t>
  </si>
  <si>
    <t>Expenditure:Employee Related Cost:Senior Management:Designation:Social Contributions:Unemployment Insurance</t>
  </si>
  <si>
    <t>O0001/IE00534/F0041/X133/R1331/001/COMM</t>
  </si>
  <si>
    <t>O0001/IE00534/F0041/X132/R1331/001/COMM</t>
  </si>
  <si>
    <t>O0001/IE00604/F0041/X133/R1331/001/COMM</t>
  </si>
  <si>
    <t>O0001/IE00604/F0041/X132/R1331/001/COMM</t>
  </si>
  <si>
    <t>O1305-1/IE00572/F0041/X098/R1331/001/COMM</t>
  </si>
  <si>
    <t>O1305-1/IE00583/F0041/X098/R1331/001/COMM</t>
  </si>
  <si>
    <t>O1305-1/IE00632/F0041/X098/R1331/001/COMM</t>
  </si>
  <si>
    <t>O1305-1/IE00703/F0041/X098/R1331/001/COMM</t>
  </si>
  <si>
    <t>O1305-1/IE00571/F0041/X098/R1331/001/COMM</t>
  </si>
  <si>
    <t>O1220-2/IE00751/F0041/X076/R1331/001/COMM</t>
  </si>
  <si>
    <t>O1220-2/IE00571/F0041/X076/R1331/001/COMM</t>
  </si>
  <si>
    <t>O1220-2/IE00703/F0041/X076/R1331/001/COMM</t>
  </si>
  <si>
    <t>O1220-2/IE00677/F0041/X076/R1330/001/COMM</t>
  </si>
  <si>
    <t>O1220-2/IE00756/F0041/X076/R1331/001/COMM</t>
  </si>
  <si>
    <t>Expenditure:Operational Cost:Advertising, Publicity and Marketing:Signs</t>
  </si>
  <si>
    <t>O1220-1/IE00751/F0041/X076/R1331/001/COMM</t>
  </si>
  <si>
    <t>O1220-2/IE00572/F0041/X076/R1331/001/COMM</t>
  </si>
  <si>
    <t>O1220-2/IE00754/F0041/X076/R1331/001/COMM</t>
  </si>
  <si>
    <t>Expenditure:Operational Cost:Advertising, Publicity and Marketing:Gifts and Promotional Items</t>
  </si>
  <si>
    <t>O1220-2/IE00534/F0041/X076/R1331/001/COMM</t>
  </si>
  <si>
    <t>O1220-2/IE00632/F0041/X076/R1331/001/COMM</t>
  </si>
  <si>
    <t>O1220-2/IE00671/F0041/X076/R1331/001/COMM</t>
  </si>
  <si>
    <t>O1333-3/IE00677/F0041/X129/R1331/001/COMM</t>
  </si>
  <si>
    <t>O1333-3/IE00703/F0041/X129/R1331/001/COMM</t>
  </si>
  <si>
    <t>O1333-2/IE00143/F0041/X129/R1331/001/COMM</t>
  </si>
  <si>
    <t>O1333-2/IE00060/F0041/X129/R1331/001/COMM</t>
  </si>
  <si>
    <t>O1333-2/IE00062/F0041/X129/R1331/001/COMM</t>
  </si>
  <si>
    <t>O1333-2/IE00815/F0041/X129/R1331/001/COMM</t>
  </si>
  <si>
    <t>Expenditure:Operational Cost:Travel and Subsistence:Non-employees</t>
  </si>
  <si>
    <t>O1333-2/IE00549/F0041/X129/R1331/001/COMM</t>
  </si>
  <si>
    <t>O1333-2/IE00677/F0041/X129/R1331/001/COMM</t>
  </si>
  <si>
    <t>O1333-2/IE00703/F0041/X129/R1331/001/COMM</t>
  </si>
  <si>
    <t>O1333-2/IE00640/F0041/X129/R1331/001/COMM</t>
  </si>
  <si>
    <t>Expenditure:Contracted Services:Contractors:First Aid</t>
  </si>
  <si>
    <t>O1333-2/IE00666/F0041/X129/R1331/001/COMM</t>
  </si>
  <si>
    <t>Expenditure:Contracted Services:Contractors:Sports and Recreation</t>
  </si>
  <si>
    <t>O1333-1/IE00143/F0041/X125/R1331/001/COMM</t>
  </si>
  <si>
    <t>O1333-1/IE00060/F0041/X125/R1331/001/COMM</t>
  </si>
  <si>
    <t>O1333-1/IE00062/F0041/X125/R1331/001/COMM</t>
  </si>
  <si>
    <t>O1333-1/IE00815/F0041/X125/R1331/001/COMM</t>
  </si>
  <si>
    <t>O1333-1/IE00754/F0041/X125/R1331/001/COMM</t>
  </si>
  <si>
    <t>O1333-1/IE00677/F0041/X125/R1331/001/COMM</t>
  </si>
  <si>
    <t>O1333-1/IE00703/F0041/X125/R1331/001/COMM</t>
  </si>
  <si>
    <t>O1333-1/IE00640/F0041/X125/R1331/001/COMM</t>
  </si>
  <si>
    <t>O1333-1/IE00666/F0041/X125/R1331/001/COMM</t>
  </si>
  <si>
    <t>O1244-6/IE00667/F0041/X012/R1331/001/COMM</t>
  </si>
  <si>
    <t>Expenditure:Contracted Services:Contractors:Stage and Sound Crew</t>
  </si>
  <si>
    <t>O1244-6/IE00754/F0041/X012/R1331/001/COMM</t>
  </si>
  <si>
    <t>O1244-6/IE00571/F0041/X012/R1331/001/COMM</t>
  </si>
  <si>
    <t>O1244-6/IE00677/F0041/X012/R1331/001/COMM</t>
  </si>
  <si>
    <t>O1244-6/IE00703/F0041/X012/R1331/001/COMM</t>
  </si>
  <si>
    <t>D0001/IL43223/F0001/X049/R1330/001/FIN</t>
  </si>
  <si>
    <t>Liabilities:Current Liabilities:Trade and Other Payable Exchange Transactions:Payables and Accruals:Opening Balance</t>
  </si>
  <si>
    <t>C0006-1/IA06282/F0002/X049/R1330/001/FIN</t>
  </si>
  <si>
    <t>Assets:Non-current Assets:Property, Plant and Equipment:Cost Model:Machinery and Equipment:Future Use:Cost:Acquisitions</t>
  </si>
  <si>
    <t>C0004-1/IA06233/F0002/X049/R1330/001/FIN</t>
  </si>
  <si>
    <t>Assets:Non-current Assets:Property, Plant and Equipment:Cost Model:Furniture and Office Equipment:Future Use:Cost:Acquisitions</t>
  </si>
  <si>
    <t>C0003-1/IA06173/F0002/X049/R1330/001/CORP</t>
  </si>
  <si>
    <t>Assets:Non-current Assets:Property, Plant and Equipment:Cost Model:Computer Equipment:Future Use:Cost:Acquisitions</t>
  </si>
  <si>
    <t>D0001/IA02376/F0001/X049/R1330/001/FIN</t>
  </si>
  <si>
    <t>Assets:Current Assets:Trade and other Receivables from Exchange Transactions:Trading Service and Customer Service Debtors:Waste Management:Monthly Billing</t>
  </si>
  <si>
    <t>D0001/IA02132/F0001/X049/R1330/001/FIN</t>
  </si>
  <si>
    <t>Assets:Current Assets:Receivables from Non-exchange Transactions:Property Rates:Agricultural Properties:Monthly Billing</t>
  </si>
  <si>
    <t>D0001/IA02477/F0001/X049/R1330/001/FIN</t>
  </si>
  <si>
    <t>Assets:Current Assets:Receivables from Non-exchange Transactions:Fines:Fines Issued</t>
  </si>
  <si>
    <t>D0001/IL41802/F0001/X049/R1330/001/FIN</t>
  </si>
  <si>
    <t>Liabilities:Current Liabilities:Bank Overdraft:Standard Bank:Specify (Add Institutions and Account Number):Withdrawals</t>
  </si>
  <si>
    <t xml:space="preserve"> Bank overdraft</t>
  </si>
  <si>
    <t>D0001/IA10170/F0001/X049/R1330/001/FIN</t>
  </si>
  <si>
    <t>Assets:Current Assets:Cash and Cash Equivalents:Call Deposits and Investments:Contractual Rights:Opening Balance</t>
  </si>
  <si>
    <t>Call deposits and investments</t>
  </si>
  <si>
    <t>D0001/IL37831/F0001/X049/R1330/001/FIN</t>
  </si>
  <si>
    <t>Liabilities:Current Liabilities:Output VAT:Recognised</t>
  </si>
  <si>
    <t>D0001/IA10378/F0001/X049/R1330/001/FIN</t>
  </si>
  <si>
    <t>Assets:Current Assets:VAT Receivable:Input VAT General:Recognised</t>
  </si>
  <si>
    <t>D0001/IL53922/F0001/X049/R1330/001/FIN</t>
  </si>
  <si>
    <t>Liabilities:Current Liabilities:Trade and Other Payable Exchange Transactions:Leave Accrual:Deposits</t>
  </si>
  <si>
    <t>O1254-2/IE00583/F0041/X077/R1331/001/TECH</t>
  </si>
  <si>
    <t>O1254-2/IE00607/F0041/X077/R1331/001/TECH</t>
  </si>
  <si>
    <t>Expenditure:Operational Cost:Wet Fuel</t>
  </si>
  <si>
    <t>O1765-1/IE00080/F0041/X116/R1331/001/TECH</t>
  </si>
  <si>
    <t>Expenditure:Contracted Services:Consultants and Professional Services:Infrastructure and Planning:Engineering:Civil</t>
  </si>
  <si>
    <t>2700-002</t>
  </si>
  <si>
    <t>Road Transport</t>
  </si>
  <si>
    <t>O2390-1/IE00080/F0041/X116/R1331/001/TECH</t>
  </si>
  <si>
    <t>O1875-1/IE00080/F0041/X140/R1331/001/TECH</t>
  </si>
  <si>
    <t>Waste Water Management</t>
  </si>
  <si>
    <t>O1876-1/IE00080/F0041/X140/R1331/001/TECH</t>
  </si>
  <si>
    <t>O2501-1/IE00080/F0041/X140/R1331/001/TECH</t>
  </si>
  <si>
    <t>O2502-1/IE00080/F0041/X140/R1331/001/TECH</t>
  </si>
  <si>
    <t>O1880-1/IE00080/F0041/X140/R1331/001/TECH</t>
  </si>
  <si>
    <t>O1880-1/IE00080/F0041/X116/R1331/001/TECH</t>
  </si>
  <si>
    <t>O2392-1/IE00080/F0041/X140/R1331/001/TECH</t>
  </si>
  <si>
    <t>O2392-1/IE00080/F0041/X116/R1331/001/TECH</t>
  </si>
  <si>
    <t>O3259-1/IE00080/F0041/X015/R1331/001/TECH</t>
  </si>
  <si>
    <t>O3259-1/IE00080/F0041/X016/R1331/001/TECH</t>
  </si>
  <si>
    <t>O3229-1/IE00080/F0041/X015/R1331/001/TECH</t>
  </si>
  <si>
    <t>O3229-1/IE00080/F0041/X016/R1331/001/TECH</t>
  </si>
  <si>
    <t>O3259-1/IE00649/F0041/X015/R1331/001/TECH</t>
  </si>
  <si>
    <t>Expenditure:Contracted Services:Contractors:Maintenance of Buildings and Facilities</t>
  </si>
  <si>
    <t>O3259-1/IE00649/F0041/X016/R1331/001/TECH</t>
  </si>
  <si>
    <t>O3229-1/IE00649/F0041/X015/R1331/001/TECH</t>
  </si>
  <si>
    <t>O3229-1/IE00649/F0041/X016/R1331/001/TECH</t>
  </si>
  <si>
    <t>C0020-1/IA01952/F0786/X035/R1331/001/TECH</t>
  </si>
  <si>
    <t>C0227-2/IA01952/F0791/X005/R1813/001/TECH</t>
  </si>
  <si>
    <t>C0230-5/IA01952/F0791/X016/R1814/001/TECH</t>
  </si>
  <si>
    <t>C0227-4/IA01952/F0791/X005/R1815/001/TECH</t>
  </si>
  <si>
    <t>C0230-1/IA01952/F0791/X005/R1817/001/TECH</t>
  </si>
  <si>
    <t>C0120-1/IA00132/F0002/X116/R1815/001/TECH</t>
  </si>
  <si>
    <t>Assets:Non-current Assets:Property, Plant and Equipment:Cost Model:Roads Infrastructure:Cost:Acquisitions</t>
  </si>
  <si>
    <t>C0120-1/IA01952/F0002/X116/R1815/001/TECH</t>
  </si>
  <si>
    <t>C0227-5/IA01952/F0791/X015/R1812/001/TECH</t>
  </si>
  <si>
    <t>C0177-1/IA01952/F0791/X116/R1814/001/TECH</t>
  </si>
  <si>
    <t>C0177-2/IA01952/F0791/X116/R1815/001/TECH</t>
  </si>
  <si>
    <t>C0230-6/IA01952/F0791/X006/R1331/001/TECH</t>
  </si>
  <si>
    <t>C0177-3/IA01952/F0791/X116/R1817/001/TECH</t>
  </si>
  <si>
    <t>C0177-4/IA01952/F0791/X116/R1818/001/TECH</t>
  </si>
  <si>
    <t>C0227-1/IA01952/F0791/X005/R1818/001/TECH</t>
  </si>
  <si>
    <t>C0007-1/IA01327/F0002/X050/R1330/001/FIN</t>
  </si>
  <si>
    <t>Assets:Non-current Assets:Property, Plant and Equipment:Cost Model:Transport Assets:Future Use:Cost:Acquisitions</t>
  </si>
  <si>
    <t>C0004-1/IA06233/F0002/X006/R1330/001/COMM</t>
  </si>
  <si>
    <t>C0003-1/IA06173/F0002/X047/R1330/001/TECH</t>
  </si>
  <si>
    <t>C0006-1/IA06282/F0002/X006/R1330/001/COMM</t>
  </si>
  <si>
    <t>O0025-1/IE00578/F0041/X104/R1331/001/TECH</t>
  </si>
  <si>
    <t>Expenditure:Operational Cost:Management Fee</t>
  </si>
  <si>
    <t>O0025-1/IE00581/F0041/X104/R1331/001/TECH</t>
  </si>
  <si>
    <t>Expenditure:Operational Cost:Parking Fees</t>
  </si>
  <si>
    <t>O0025-1/IE00583/F0041/X104/R1331/001/TECH</t>
  </si>
  <si>
    <t>O0025-1/IE00607/F0041/X104/R1331/001/TECH</t>
  </si>
  <si>
    <t>O0025-2/IE00578/F0041/X101/R1331/001/TECH</t>
  </si>
  <si>
    <t>O0025-2/IE00607/F0041/X101/R1331/001/TECH</t>
  </si>
  <si>
    <t>O0025-3/IE00001/F0041/X101/R1331/001/TECH</t>
  </si>
  <si>
    <t>Expenditure:Contracted Services:Consultants and Professional Services:Infrastructure and Planning:Town Planner</t>
  </si>
  <si>
    <t>O1236-1/IE00751/F0041/X045/R1331/001/COMM</t>
  </si>
  <si>
    <t>Executive and Council</t>
  </si>
  <si>
    <t>O1236-1/IE00738/F0041/X045/R1331/001/MM</t>
  </si>
  <si>
    <t>O1236-1/IE00534/F0041/X045/R1331/001/MM</t>
  </si>
  <si>
    <t>O1236-1/IE00677/F0041/X045/R1331/001/COMM</t>
  </si>
  <si>
    <t>O1236-1/IE00703/F0041/X045/R1331/001/COMM</t>
  </si>
  <si>
    <t>O0001/IE00036/F0041/X091/R1330/001/LIC</t>
  </si>
  <si>
    <t>O0001/IE00108/F0041/X091/R1330/001/LIC</t>
  </si>
  <si>
    <t>O0001/IE01521/F0041/X091/R1330/001/LIC</t>
  </si>
  <si>
    <t>O0001/IE01526/F0041/X091/R1330/001/LIC</t>
  </si>
  <si>
    <t>O0001/IE03971/F0041/X091/R1330/001/LIC</t>
  </si>
  <si>
    <t>O0001/IE03969/F0041/X091/R1330/001/LIC</t>
  </si>
  <si>
    <t>O0001/IE00045/F0041/X091/R1330/001/LIC</t>
  </si>
  <si>
    <t>O0001/IE00044/F0041/X091/R1330/001/LIC</t>
  </si>
  <si>
    <t>O0001/IE00043/F0041/X091/R1330/001/LIC</t>
  </si>
  <si>
    <t>O0001/IE00040/F0041/X091/R1330/001/LIC</t>
  </si>
  <si>
    <t>O0001/IE00595/F0041/X091/R1330/001/LIC</t>
  </si>
  <si>
    <t>O0001/IE00552/F0041/X091/R1330/001/LIC</t>
  </si>
  <si>
    <t>O0001/IE01530/F0041/X091/R1330/001/LIC</t>
  </si>
  <si>
    <t>O0001/IE00552/F0041/X045/R1330/001/MM</t>
  </si>
  <si>
    <t>O0001/IE00595/F0041/X045/R1330/001/MM</t>
  </si>
  <si>
    <t>O0001/IE00040/F0041/X045/R1330/001/MM</t>
  </si>
  <si>
    <t>O0001/IE00043/F0041/X045/R1330/001/MM</t>
  </si>
  <si>
    <t>O0001/IE00044/F0041/X045/R1330/001/MM</t>
  </si>
  <si>
    <t>O0001/IE00045/F0041/X045/R1330/001/MM</t>
  </si>
  <si>
    <t>O0001/IE03969/F0041/X045/R1330/001/MM</t>
  </si>
  <si>
    <t>O0001/IE03971/F0041/X045/R1330/001/MM</t>
  </si>
  <si>
    <t>O0001/IE01525/F0041/X045/R1330/001/MM</t>
  </si>
  <si>
    <t>O0001/IE01526/F0041/X045/R1330/001/MM</t>
  </si>
  <si>
    <t>O0001/IE01521/F0041/X045/R1330/001/MM</t>
  </si>
  <si>
    <t>O0001/IE00121/F0041/X045/R1330/001/MM</t>
  </si>
  <si>
    <t>O0001/IE00126/F0041/X045/R1330/001/MM</t>
  </si>
  <si>
    <t>O0001/IE00036/F0041/X045/R1330/001/MM</t>
  </si>
  <si>
    <t>O0001/IE00108/F0041/X045/R1330/001/MM</t>
  </si>
  <si>
    <t>O0001/IE00132/F0041/X045/R1330/001/MM</t>
  </si>
  <si>
    <t>Expenditure:Employee Related Cost:Senior Management:Municipal Manager (MM):Social Contributions:Bargaining Council</t>
  </si>
  <si>
    <t>O0001/IE00136/F0041/X045/R1330/001/MM</t>
  </si>
  <si>
    <t>Expenditure:Employee Related Cost:Senior Management:Municipal Manager (MM):Social Contributions:Medical</t>
  </si>
  <si>
    <t>O0001/IE00138/F0041/X045/R1330/001/MM</t>
  </si>
  <si>
    <t>Expenditure:Employee Related Cost:Senior Management:Municipal Manager (MM):Social Contributions:Pension</t>
  </si>
  <si>
    <t>O0001/IE00130/F0041/X045/R1330/001/MM</t>
  </si>
  <si>
    <t>Expenditure:Employee Related Cost:Senior Management:Municipal Manager (MM):Salaries and Allowances:Bonuses</t>
  </si>
  <si>
    <t>O0001/IE01567/F0041/X045/R1330/001/MM</t>
  </si>
  <si>
    <t>Expenditure:Employee Related Cost:Senior Management:Municipal Manager (MM):Salaries and Allowances:Service Related Benefits:Acting and Post Related Allowances</t>
  </si>
  <si>
    <t>O0001/IE01573/F0041/X045/R1330/001/MM</t>
  </si>
  <si>
    <t>Expenditure:Employee Related Cost:Senior Management:Municipal Manager (MM):Salaries and Allowances:Service Related Benefits:Leave Pay</t>
  </si>
  <si>
    <t>O0001/IE01558/F0041/X045/R1330/001/MM</t>
  </si>
  <si>
    <t>Expenditure:Employee Related Cost:Senior Management:Municipal Manager (MM):Salaries and Allowances:Allowance:Cellular and Telephone</t>
  </si>
  <si>
    <t>O0001/IE01560/F0041/X045/R1330/001/MM</t>
  </si>
  <si>
    <t>Expenditure:Employee Related Cost:Senior Management:Municipal Manager (MM):Salaries and Allowances:Allowance:Housing Benefits</t>
  </si>
  <si>
    <t>O0001/IE00128/F0041/X045/R1330/001/MM</t>
  </si>
  <si>
    <t>Expenditure:Employee Related Cost:Senior Management:Municipal Manager (MM):Salaries and Allowances:Basic Salary</t>
  </si>
  <si>
    <t>O0001/IE00552/F13636/X024/R1330/001/LIBR</t>
  </si>
  <si>
    <t>O0001/IE00595/F13636/X024/R1330/001/LIBR</t>
  </si>
  <si>
    <t>O0001/IE00040/F13636/X024/R1330/001/LIBR</t>
  </si>
  <si>
    <t>O0001/IE00043/F13636/X024/R1330/001/LIBR</t>
  </si>
  <si>
    <t>O0001/IE00044/F13636/X024/R1330/001/LIBR</t>
  </si>
  <si>
    <t>O0001/IE00045/F13636/X024/R1330/001/LIBR</t>
  </si>
  <si>
    <t>O0001/IE03969/F13636/X024/R1330/001/LIBR</t>
  </si>
  <si>
    <t>O0001/IE03971/F13636/X024/R1330/001/LIBR</t>
  </si>
  <si>
    <t>O0001/IE01525/F13636/X024/R1330/001/LIBR</t>
  </si>
  <si>
    <t>O0001/IE01526/F13636/X024/R1330/001/LIBR</t>
  </si>
  <si>
    <t>O0001/IE01530/F13636/X024/R1330/001/LIBR</t>
  </si>
  <si>
    <t>O0001/IE01521/F13636/X024/R1330/001/LIBR</t>
  </si>
  <si>
    <t>O0001/IE00126/F13636/X024/R1330/001/LIBR</t>
  </si>
  <si>
    <t>O0001/IE00036/F13636/X024/R1330/001/LIBR</t>
  </si>
  <si>
    <t>O0001/IE00552/F0041/X049/R1330/001/FIN</t>
  </si>
  <si>
    <t>O0001/IE00595/F0041/X049/R1330/001/FIN</t>
  </si>
  <si>
    <t>O0001/IE00040/F0041/X049/R1330/001/FIN</t>
  </si>
  <si>
    <t>O0001/IE00043/F0041/X049/R1330/001/FIN</t>
  </si>
  <si>
    <t>O0001/IE00044/F0041/X049/R1330/001/FIN</t>
  </si>
  <si>
    <t>O0001/IE00045/F0041/X049/R1330/001/FIN</t>
  </si>
  <si>
    <t>O0001/IE03969/F0041/X049/R1330/001/FIN</t>
  </si>
  <si>
    <t>O0001/IE03971/F0041/X049/R1330/001/FIN</t>
  </si>
  <si>
    <t>O0001/IE01525/F0041/X049/R1330/001/FIN</t>
  </si>
  <si>
    <t>O0001/IE01526/F0041/X049/R1330/001/FIN</t>
  </si>
  <si>
    <t>O0001/IE01521/F0041/X049/R1330/001/FIN</t>
  </si>
  <si>
    <t>O0001/IE00121/F0041/X049/R1330/001/FIN</t>
  </si>
  <si>
    <t>O0001/IE06772/F0041/X049/R1330/001/FIN</t>
  </si>
  <si>
    <t>Expenditure:Employee Related Cost:Senior Management:Chief Financial Officer:Salaries and Allowances:Allowance:Travel or Motor Vehicle</t>
  </si>
  <si>
    <t>O0001/IE00036/F0041/X049/R1330/001/FIN</t>
  </si>
  <si>
    <t>O0001/IE06776/F0041/X049/R1330/001/FIN</t>
  </si>
  <si>
    <t>Expenditure:Employee Related Cost:Senior Management:Chief Financial Officer:Salaries and Allowances:Service Related Benefits:Acting and Post Related Allowances</t>
  </si>
  <si>
    <t>O0001/IE06782/F0041/X049/R1330/001/FIN</t>
  </si>
  <si>
    <t>Expenditure:Employee Related Cost:Senior Management:Chief Financial Officer:Salaries and Allowances:Service Related Benefits:Leave Pay</t>
  </si>
  <si>
    <t>O0001/IE06766/F0041/X049/R1330/001/FIN</t>
  </si>
  <si>
    <t>Expenditure:Employee Related Cost:Senior Management:Chief Financial Officer:Salaries and Allowances:Allowance:Cellular and Telephone</t>
  </si>
  <si>
    <t>O0001/IE06768/F0041/X049/R1330/001/FIN</t>
  </si>
  <si>
    <t>Expenditure:Employee Related Cost:Senior Management:Chief Financial Officer:Salaries and Allowances:Allowance:Housing Benefits</t>
  </si>
  <si>
    <t>O0001/IE06059/F0041/X049/R1330/001/FIN</t>
  </si>
  <si>
    <t>Expenditure:Employee Related Cost:Senior Management:Chief Financial Officer:Salaries and Allowances:Basic Salary</t>
  </si>
  <si>
    <t>O0001/IE06061/F0041/X049/R1330/001/FIN</t>
  </si>
  <si>
    <t>Expenditure:Employee Related Cost:Senior Management:Chief Financial Officer:Salaries and Allowances:Bonuses</t>
  </si>
  <si>
    <t>O0001/IE06071/F0041/X049/R1330/001/FIN</t>
  </si>
  <si>
    <t>Expenditure:Employee Related Cost:Senior Management:Chief Financial Officer:Social Contributions:Unemployment Insurance</t>
  </si>
  <si>
    <t>O0001/IE06067/F0041/X049/R1330/001/FIN</t>
  </si>
  <si>
    <t>Expenditure:Employee Related Cost:Senior Management:Chief Financial Officer:Social Contributions:Medical</t>
  </si>
  <si>
    <t>O0001/IE06069/F0041/X049/R1330/001/FIN</t>
  </si>
  <si>
    <t>Expenditure:Employee Related Cost:Senior Management:Chief Financial Officer:Social Contributions:Pension</t>
  </si>
  <si>
    <t>O0001/IE00552/F0041/X046/R1330/001/CORP</t>
  </si>
  <si>
    <t>O0001/IE00595/F0041/X046/R1330/001/CORP</t>
  </si>
  <si>
    <t>O0001/IE00040/F0041/X046/R1330/001/CORP</t>
  </si>
  <si>
    <t>O0001/IE00043/F0041/X046/R1330/001/CORP</t>
  </si>
  <si>
    <t>O0001/IE00044/F0041/X046/R1330/001/CORP</t>
  </si>
  <si>
    <t>O0001/IE00045/F0041/X046/R1330/001/CORP</t>
  </si>
  <si>
    <t>O0001/IE03969/F0041/X046/R1330/001/CORP</t>
  </si>
  <si>
    <t>O0001/IE03971/F0041/X046/R1330/001/CORP</t>
  </si>
  <si>
    <t>O0001/IE01525/F0041/X046/R1330/001/CORP</t>
  </si>
  <si>
    <t>O0001/IE01526/F0041/X046/R1330/001/CORP</t>
  </si>
  <si>
    <t>O0001/IE01521/F0041/X046/R1330/001/CORP</t>
  </si>
  <si>
    <t>O0001/IE00121/F0041/X046/R1330/001/CORP</t>
  </si>
  <si>
    <t>O0001/IE00036/F0041/X046/R1330/001/CORP</t>
  </si>
  <si>
    <t>O0001/IE00108/F0041/X046/R1330/001/CORP</t>
  </si>
  <si>
    <t>O0001/IE00126/F0041/X046/R1330/001/CORP</t>
  </si>
  <si>
    <t>O0001/IE01533/F0041/X046/R1330/001/CORP</t>
  </si>
  <si>
    <t>Expenditure:Employee Related Cost:Municipal Staff:Salaries, Wages and Allowances:Allowances:Service Related Benefits:Long Service Award</t>
  </si>
  <si>
    <t>2000-011</t>
  </si>
  <si>
    <t>O0001/IE01530/F0041/X046/R1330/001/CORP</t>
  </si>
  <si>
    <t>O0001/IE06138/F0041/X046/R1330/001/CORP</t>
  </si>
  <si>
    <t>O0001/IE06203/F0041/X046/R1330/001/CORP</t>
  </si>
  <si>
    <t>O0001/IE06227/F0041/X046/R1330/001/CORP</t>
  </si>
  <si>
    <t>O0001/IE06260/F0041/X046/R1330/001/CORP</t>
  </si>
  <si>
    <t>O0001/IE06978/F0041/X046/R1330/001/CORP</t>
  </si>
  <si>
    <t>O0001/IE07062/F0041/X046/R1330/001/CORP</t>
  </si>
  <si>
    <t>O0001/IE06821/F0041/X046/R1330/001/CORP</t>
  </si>
  <si>
    <t>O0001/IE06853/F0041/X046/R1330/001/CORP</t>
  </si>
  <si>
    <t>Expenditure:Employee Related Cost:Senior Management:Designation:Salaries and Allowances:Allowance:Housing Benefits</t>
  </si>
  <si>
    <t>O0001/IE06076/F0041/X046/R1330/001/CORP</t>
  </si>
  <si>
    <t>O0001/IE06112/F0041/X046/R1330/001/CORP</t>
  </si>
  <si>
    <t>O0001/IE01530/F0041/X044/R1330/001/EXEC</t>
  </si>
  <si>
    <t>O0001/IE00552/F0041/X044/R1330/001/EXEC</t>
  </si>
  <si>
    <t>O0001/IE00595/F0041/X044/R1330/001/EXEC</t>
  </si>
  <si>
    <t>O0001/IE00040/F0041/X044/R1330/001/EXEC</t>
  </si>
  <si>
    <t>O0001/IE00043/F0041/X044/R1330/001/EXEC</t>
  </si>
  <si>
    <t>O0001/IE00044/F0041/X044/R1330/001/EXEC</t>
  </si>
  <si>
    <t>O0001/IE00045/F0041/X044/R1330/001/EXEC</t>
  </si>
  <si>
    <t>O0001/IE03969/F0041/X044/R1330/001/EXEC</t>
  </si>
  <si>
    <t>O0001/IE03971/F0041/X044/R1330/001/EXEC</t>
  </si>
  <si>
    <t>O0001/IE01526/F0041/X044/R1330/001/EXEC</t>
  </si>
  <si>
    <t>O0001/IE01521/F0041/X044/R1330/001/EXEC</t>
  </si>
  <si>
    <t>O0001/IE00121/F0041/X044/R1330/001/EXEC</t>
  </si>
  <si>
    <t>O0001/IE00036/F0041/X044/R1330/001/EXEC</t>
  </si>
  <si>
    <t>O0001/IE07218/F0041/X044/R1330/001/EXEC</t>
  </si>
  <si>
    <t>Expenditure:Remuneration of Councillors:Executive Mayor:Allowances and Service Related Benefits:Basic Salary</t>
  </si>
  <si>
    <t>O0001/IE07219/F0041/X044/R1330/001/EXEC</t>
  </si>
  <si>
    <t>Expenditure:Remuneration of Councillors:Executive Mayor:Allowances and Service Related Benefits:Cell phone Allowance</t>
  </si>
  <si>
    <t>O3614/IR01485/F2496/X049/R1330/001/FIN</t>
  </si>
  <si>
    <t>Revenue:Non-exchange Revenue:Property Rates:Mining Properties</t>
  </si>
  <si>
    <t>Rates</t>
  </si>
  <si>
    <t>O0001/IE00816/F0041/X044/R1330/001/EXEC</t>
  </si>
  <si>
    <t>Expenditure:Remuneration of Councillors:Speaker:Allowances and Service Related Benefits:Basic Salary</t>
  </si>
  <si>
    <t>O0001/IE07194/F0041/X044/R1330/001/EXEC</t>
  </si>
  <si>
    <t>Expenditure:Remuneration of Councillors:Deputy Executive Mayor:Allowances and Service Related Benefits:Basic Salary</t>
  </si>
  <si>
    <t>O0001/IE07195/F0041/X044/R1330/001/EXEC</t>
  </si>
  <si>
    <t>Expenditure:Remuneration of Councillors:Deputy Executive Mayor:Allowances and Service Related Benefits:Cell phone Allowance</t>
  </si>
  <si>
    <t>O0001/IE07206/F0041/X044/R1330/001/EXEC</t>
  </si>
  <si>
    <t>Expenditure:Remuneration of Councillors:Executive Committee:Allowances and Service Related Benefits:Basic Salary</t>
  </si>
  <si>
    <t>O0001/IE07207/F0041/X044/R1330/001/EXEC</t>
  </si>
  <si>
    <t>Expenditure:Remuneration of Councillors:Executive Committee:Allowances and Service Related Benefits:Cell phone Allowance</t>
  </si>
  <si>
    <t>O0001/IE00585/F0041/X044/R1330/001/EXEC</t>
  </si>
  <si>
    <t>Expenditure:Operational Cost:Remuneration to Section 79 Committee Members</t>
  </si>
  <si>
    <t>O0001/IE07230/F0041/X044/R1330/001/EXEC</t>
  </si>
  <si>
    <t>Expenditure:Remuneration of Councillors:Total for All Other Councillors:Allowances and Service Related Benefits:Basic Salary</t>
  </si>
  <si>
    <t>O0001/IE07231/F0041/X044/R1330/001/EXEC</t>
  </si>
  <si>
    <t>Expenditure:Remuneration of Councillors:Total for All Other Councillors:Allowances and Service Related Benefits:Cell phone Allowance</t>
  </si>
  <si>
    <t>O0001/IE00552/F0041/X116/R1330/001/TECH</t>
  </si>
  <si>
    <t>O0001/IE00040/F0041/X116/R1330/001/TECH</t>
  </si>
  <si>
    <t>O0001/IE00595/F0041/X116/R1330/001/TECH</t>
  </si>
  <si>
    <t>O0001/IE00043/F0041/X116/R1330/001/TECH</t>
  </si>
  <si>
    <t>O0001/IE00044/F0041/X116/R1330/001/TECH</t>
  </si>
  <si>
    <t>O0001/IE00045/F0041/X116/R1330/001/TECH</t>
  </si>
  <si>
    <t>O0001/IE03969/F0041/X116/R1330/001/TECH</t>
  </si>
  <si>
    <t>O0001/IE03971/F0041/X116/R1330/001/TECH</t>
  </si>
  <si>
    <t>O0001/IE01525/F0041/X116/R1330/001/TECH</t>
  </si>
  <si>
    <t>O0001/IE01526/F0041/X116/R1330/001/TECH</t>
  </si>
  <si>
    <t>O0001/IE01530/F0041/X116/R1330/001/TECH</t>
  </si>
  <si>
    <t>O0001/IE01521/F0041/X116/R1330/001/TECH</t>
  </si>
  <si>
    <t>O0001/IE00121/F0041/X116/R1330/001/TECH</t>
  </si>
  <si>
    <t>O0001/IE00126/F0041/X116/R1330/001/TECH</t>
  </si>
  <si>
    <t>O0001/IE00036/F0041/X116/R1330/001/TECH</t>
  </si>
  <si>
    <t>O0001/IE00108/F0041/X116/R1330/001/TECH</t>
  </si>
  <si>
    <t>O0001/IE06975/F0041/X116/R1330/001/TECH</t>
  </si>
  <si>
    <t>O0001/IE07064/F0041/X116/R1330/001/TECH</t>
  </si>
  <si>
    <t>O0001/IE06828/F0041/X116/R1330/001/TECH</t>
  </si>
  <si>
    <t>O0001/IE06864/F0041/X116/R1330/001/TECH</t>
  </si>
  <si>
    <t>O0001/IE06079/F0041/X116/R1330/001/TECH</t>
  </si>
  <si>
    <t>O0001/IE06109/F0041/X116/R1330/001/TECH</t>
  </si>
  <si>
    <t>O0001/IE00595/F0041/X049/R1330/001/TECH</t>
  </si>
  <si>
    <t>O0001/IE00552/F0041/X049/R1330/001/TECH</t>
  </si>
  <si>
    <t>O0001/IE06146/F0041/X116/R1330/001/TECH</t>
  </si>
  <si>
    <t>O0001/IE06194/F0041/X116/R1330/001/TECH</t>
  </si>
  <si>
    <t>O0001/IE06223/F0041/X116/R1330/001/TECH</t>
  </si>
  <si>
    <t>O0001/IE06253/F0041/X116/R1330/001/TECH</t>
  </si>
  <si>
    <t>O0001/IE00143/F0041/X006/R1331/001/COMM</t>
  </si>
  <si>
    <t>O0001/IE00144/F0041/X006/R1331/001/COMM</t>
  </si>
  <si>
    <t>O0001/IE01581/F0041/X006/R1331/001/COMM</t>
  </si>
  <si>
    <t>Expenditure:Operational Cost:Travel and Subsistence:Domestic:Transport with Operator:Public Transport:Air Transport</t>
  </si>
  <si>
    <t>O0001/IE01582/F0041/X006/R1331/001/COMM</t>
  </si>
  <si>
    <t>Expenditure:Operational Cost:Travel and Subsistence:Domestic:Transport with Operator:Public Transport:Railway Transport</t>
  </si>
  <si>
    <t>O0001/IE00060/F0041/X006/R1331/001/COMM</t>
  </si>
  <si>
    <t>O0001/IE00061/F0041/X006/R1331/001/COMM</t>
  </si>
  <si>
    <t>Expenditure:Operational Cost:Travel and Subsistence:Domestic:Daily Allowance</t>
  </si>
  <si>
    <t>O0001/IE00062/F0041/X006/R1331/001/COMM</t>
  </si>
  <si>
    <t>O0001/IE00063/F0041/X006/R1331/001/COMM</t>
  </si>
  <si>
    <t>Expenditure:Operational Cost:Travel and Subsistence:Domestic:Incidental Cost</t>
  </si>
  <si>
    <t>O0011-1/IE01321/F0041/X049/R1331/001/FIN</t>
  </si>
  <si>
    <t>Expenditure:Transfers and Subsidies:Operational:Allocations In-kind:Households:Social Assistance:Social Relief</t>
  </si>
  <si>
    <t xml:space="preserve">Cash Transfers to Groups of Individuals  </t>
  </si>
  <si>
    <t>O0001/IE00562/F0041/X131/R1331/001/COMM</t>
  </si>
  <si>
    <t>Expenditure:Operational Cost:Dumping Fees (District Council)</t>
  </si>
  <si>
    <t>O0001/IE00674/F0041/X014/R1331/001/COMM</t>
  </si>
  <si>
    <t>Expenditure:Contracted Services:Outsourced Services:Animal Care</t>
  </si>
  <si>
    <t>O1234-2/IE00738/F0041/X132/R1331/001/COMM</t>
  </si>
  <si>
    <t>O1234-2/IE00534/F0041/X132/R1331/001/COMM</t>
  </si>
  <si>
    <t>O1234-2/IE00677/F0041/X132/R1331/001/COMM</t>
  </si>
  <si>
    <t>O1278-2/IE00143/F1169/X132/R1331/001/COMM</t>
  </si>
  <si>
    <t>O1278-2/IE00060/F1169/X132/R1331/001/COMM</t>
  </si>
  <si>
    <t>O1278-2/IE00062/F1169/X132/R1331/001/COMM</t>
  </si>
  <si>
    <t>O1278-2/IE00815/F1169/X132/R1331/001/COMM</t>
  </si>
  <si>
    <t>O1278-2/IE00754/F1169/X125/R1331/001/COMM</t>
  </si>
  <si>
    <t>O1278-2/IE00604/F1169/X132/R1331/001/COMM</t>
  </si>
  <si>
    <t>O1278-2/IE00604/F1169/X133/R1331/001/COMM</t>
  </si>
  <si>
    <t>O1278-2/IE00604/F1169/X125/R1331/001/COMM</t>
  </si>
  <si>
    <t>O1278-2/IE00604/F1169/X087/R1331/001/COMM</t>
  </si>
  <si>
    <t>O1278-2/IE00534/F1169/X132/R1331/001/COMM</t>
  </si>
  <si>
    <t>O1278-2/IE00534/F1169/X133/R1331/001/COMM</t>
  </si>
  <si>
    <t>O1278-2/IE00534/F1169/X125/R1331/001/COMM</t>
  </si>
  <si>
    <t>O1278-2/IE00534/F1169/X087/R1331/001/COMM</t>
  </si>
  <si>
    <t>O1278-2/IE00045/F1169/X132/R1330/001/COMM</t>
  </si>
  <si>
    <t>O1278-2/IE00045/F1169/X133/R1330/001/COMM</t>
  </si>
  <si>
    <t>O1278-2/IE00045/F1169/X125/R1330/001/COMM</t>
  </si>
  <si>
    <t>O1278-2/IE00045/F1169/X087/R1330/001/COMM</t>
  </si>
  <si>
    <t>O1278-2/IE00036/F1169/X132/R1330/001/COMM</t>
  </si>
  <si>
    <t>O1278-2/IE00036/F1169/X133/R1330/001/COMM</t>
  </si>
  <si>
    <t>O1278-2/IE00036/F1169/X125/R1330/001/COMM</t>
  </si>
  <si>
    <t>O1278-2/IE00036/F1169/X087/R1330/001/COMM</t>
  </si>
  <si>
    <t>O1278-2/IE00673/F1169/X087/R1331/001/COMM</t>
  </si>
  <si>
    <t>Expenditure:Contracted Services:Outsourced Services:Alien Vegetation Control</t>
  </si>
  <si>
    <t>O1278-2/IE00677/F1169/X132/R1331/001/COMM</t>
  </si>
  <si>
    <t>O1278-2/IE00703/F1169/X132/R1331/001/COMM</t>
  </si>
  <si>
    <t>O1278-2/IE00640/F1169/X132/R1331/001/COMM</t>
  </si>
  <si>
    <t>O1263-2/IE00677/F0041/X019/R1331/001/COMM</t>
  </si>
  <si>
    <t>O1263-2/IE00583/F0041/X019/R1331/001/COMM</t>
  </si>
  <si>
    <t>O1264-1/IE00583/F0041/X019/R1331/001/COMM</t>
  </si>
  <si>
    <t>O1264-1/IE00594/F0041/X019/R1331/001/COMM</t>
  </si>
  <si>
    <t>O1264-1/IE00677/F0041/X019/R1331/001/COMM</t>
  </si>
  <si>
    <t>O1264-1/IE00703/F0041/X019/R1331/001/COMM</t>
  </si>
  <si>
    <t>O1444-1/IE00754/F0041/X025/R1331/001/COMM</t>
  </si>
  <si>
    <t>O1444-1/IE00571/F0041/X025/R1331/001/COMM</t>
  </si>
  <si>
    <t>O1444-1/IE00583/F0041/X025/R1331/001/COMM</t>
  </si>
  <si>
    <t>O1444-1/IE00677/F0041/X025/R1331/001/COMM</t>
  </si>
  <si>
    <t>O1444-1/IE00703/F0041/X025/R1331/001/COMM</t>
  </si>
  <si>
    <t>O1444-1/IE00572/F0041/X025/R1331/001/COMM</t>
  </si>
  <si>
    <t>O1444-2/IE00060/F0041/X025/R1331/001/COMM</t>
  </si>
  <si>
    <t>O1444-2/IE00062/F0041/X025/R1331/001/COMM</t>
  </si>
  <si>
    <t>O1444-2/IE00754/F0041/X025/R1331/001/COMM</t>
  </si>
  <si>
    <t>O1444-2/IE00583/F0041/X025/R1331/001/COMM</t>
  </si>
  <si>
    <t>O1444-2/IE00703/F0041/X025/R1331/001/COMM</t>
  </si>
  <si>
    <t>O1444-3/IE00750/F0041/X025/R1331/001/COMM</t>
  </si>
  <si>
    <t>Expenditure:Operational Cost:Advertising, Publicity and Marketing:Bursaries (Non-employees)</t>
  </si>
  <si>
    <t>O1245-2/IE00703/F0041/X028/R1331/001/COMM</t>
  </si>
  <si>
    <t>O1245-2/IE00677/F0041/X028/R1331/001/COMM</t>
  </si>
  <si>
    <t>O1245-2/IE00754/F0041/X028/R1331/001/COMM</t>
  </si>
  <si>
    <t>O1242-1/IE00594/F0041/X005/R1331/001/COMM</t>
  </si>
  <si>
    <t>O1242-1/IE00534/F0041/X005/R1331/001/COMM</t>
  </si>
  <si>
    <t>O1242-1/IE00677/F0041/X005/R1331/001/COMM</t>
  </si>
  <si>
    <t>O1242-1/IE00703/F0041/X005/R1331/001/COMM</t>
  </si>
  <si>
    <t>O1244-7/IE00534/F0041/X028/R1331/001/COMM</t>
  </si>
  <si>
    <t>O1244-7/IE00677/F0041/X028/R1331/001/COMM</t>
  </si>
  <si>
    <t>O1244-7/IE00703/F0041/X028/R1331/001/COMM</t>
  </si>
  <si>
    <t>O1244-7/IE00738/F0041/X028/R1331/001/COMM</t>
  </si>
  <si>
    <t>O0016-1/IE00534/F0041/X076/R1331/001/CORP</t>
  </si>
  <si>
    <t>O0016-1/IE00594/F0041/X076/R1331/001/CORP</t>
  </si>
  <si>
    <t>O0016-1/IE00842/F0041/X076/R1331/001/CORP</t>
  </si>
  <si>
    <t>Expenditure:Contracted Services:Consultants and Professional Services:Business and Advisory:Occupational Health and Safety</t>
  </si>
  <si>
    <t>O1263-1/IE01581/F0041/X019/R1331/001/COMM</t>
  </si>
  <si>
    <t>O1263-1/IE00143/F0041/X019/R1331/001/COMM</t>
  </si>
  <si>
    <t>O1263-1/IE01582/F0041/X019/R1331/001/COMM</t>
  </si>
  <si>
    <t>O1263-1/IE00062/F0041/X019/R1331/001/COMM</t>
  </si>
  <si>
    <t>O1263-1/IE00060/F0041/X019/R1331/001/COMM</t>
  </si>
  <si>
    <t>O1263-1/IE00583/F0041/X019/R1331/001/COMM</t>
  </si>
  <si>
    <t>O1263-1/IE00677/F0041/X019/R1331/001/COMM</t>
  </si>
  <si>
    <t>O1263-1/IE00703/F0041/X019/R1331/001/COMM</t>
  </si>
  <si>
    <t>O1240-1/IE00751/F0041/X045/R1331/001/MM</t>
  </si>
  <si>
    <t>O1240-1/IE00583/F0041/X045/R1331/001/MM</t>
  </si>
  <si>
    <t>O1229-1/IE00583/F0041/X045/R1331/001/MM</t>
  </si>
  <si>
    <t>O1229-1/IE00677/F0041/X045/R1331/001/MM</t>
  </si>
  <si>
    <t>O1229-1/IE00703/F0041/X045/R1331/001/MM</t>
  </si>
  <si>
    <t>O1338-1/IE00583/F0041/X045/R1331/001/MM</t>
  </si>
  <si>
    <t>O1338-1/IE00607/F0041/X045/R1331/001/MM</t>
  </si>
  <si>
    <t>O1223-1/IE00143/F0041/X051/R1331/001/CORP</t>
  </si>
  <si>
    <t>O1223-1/IE01581/F0041/X051/R1331/001/CORP</t>
  </si>
  <si>
    <t>O1223-1/IE00060/F0041/X051/R1331/001/CORP</t>
  </si>
  <si>
    <t>O1223-1/IE00062/F0041/X051/R1330/001/CORP</t>
  </si>
  <si>
    <t>O1223-1/IE00694/F0041/X051/R1331/001/CORP</t>
  </si>
  <si>
    <t>Expenditure:Contracted Services:Outsourced Services:Professional Staff</t>
  </si>
  <si>
    <t>O1223-1/IE00703/F0041/X051/R1331/001/CORP</t>
  </si>
  <si>
    <t>O1225-1/IE00143/F0041/X051/R1331/001/CORP</t>
  </si>
  <si>
    <t>O1225-1/IE01581/F0041/X051/R1331/001/CORP</t>
  </si>
  <si>
    <t>O1225-1/IE00060/F0041/X051/R1331/001/CORP</t>
  </si>
  <si>
    <t>O1225-1/IE00062/F0041/X051/R1331/001/CORP</t>
  </si>
  <si>
    <t>O1225-1/IE00694/F0041/X051/R1331/001/CORP</t>
  </si>
  <si>
    <t>O1225-1/IE00703/F0041/X051/R1331/001/CORP</t>
  </si>
  <si>
    <t>O1232-1/IE00143/F0041/X051/R1331/001/CORP</t>
  </si>
  <si>
    <t>O1232-1/IE01581/F0041/X051/R1331/001/CORP</t>
  </si>
  <si>
    <t>O1232-1/IE00060/F0041/X051/R1331/001/CORP</t>
  </si>
  <si>
    <t>O1232-1/IE00062/F0041/X051/R1331/001/CORP</t>
  </si>
  <si>
    <t>O1232-1/IE00694/F0041/X051/R1331/001/CORP</t>
  </si>
  <si>
    <t>O1232-1/IE00703/F0041/X051/R1331/001/CORP</t>
  </si>
  <si>
    <t>O1299-1/IE00555/F0041/X051/R1330/001/CORP</t>
  </si>
  <si>
    <t>Expenditure:Operational Cost:Bursaries (Employees)</t>
  </si>
  <si>
    <t>D0001/IR01053/F2496/X049/R1330/001/FIN</t>
  </si>
  <si>
    <t>Revenue:Non-exchange Revenue:Property Rates:Small Holdings:Agricultural Purposes</t>
  </si>
  <si>
    <t>D0001/IR01052/F2496/X049/R1330/001/FIN</t>
  </si>
  <si>
    <t>Revenue:Non-exchange Revenue:Property Rates:Restitution and Redistribution Properties (Section 8(2)n):Land and Assistance Act or Restitution of Land Rights Act</t>
  </si>
  <si>
    <t>D0001/IR01049/F2496/X049/R1330/001/FIN</t>
  </si>
  <si>
    <t>Revenue:Non-exchange Revenue:Property Rates:Residential Properties:Developed</t>
  </si>
  <si>
    <t>D0001/IR01481/F2496/X049/R1330/001/FIN</t>
  </si>
  <si>
    <t>Revenue:Non-exchange Revenue:Property Rates:Agricultural Property</t>
  </si>
  <si>
    <t>D0001/IR01482/F2496/X049/R1330/001/FIN</t>
  </si>
  <si>
    <t>Revenue:Non-exchange Revenue:Property Rates:Business and Commercial Properties</t>
  </si>
  <si>
    <t>D0001/IR01484/F2496/X049/R1330/001/FIN</t>
  </si>
  <si>
    <t>Revenue:Non-exchange Revenue:Property Rates:Industrial Properties</t>
  </si>
  <si>
    <t>D0001/IR01485/F2496/X049/R1330/001/FIN</t>
  </si>
  <si>
    <t>D0001/IR01486/F2496/X049/R1330/001/FIN</t>
  </si>
  <si>
    <t>Revenue:Non-exchange Revenue:Property Rates:Multiple Purposes</t>
  </si>
  <si>
    <t>D0001/IR01487/F2496/X049/R1330/001/FIN</t>
  </si>
  <si>
    <t>Revenue:Non-exchange Revenue:Property Rates:Municipal Properties</t>
  </si>
  <si>
    <t>D0001/IR01488/F2496/X049/R1330/001/FIN</t>
  </si>
  <si>
    <t>Revenue:Non-exchange Revenue:Property Rates:National Monument Properties</t>
  </si>
  <si>
    <t>D0001/IR01489/F2496/X049/R1330/001/FIN</t>
  </si>
  <si>
    <t>Revenue:Non-exchange Revenue:Property Rates:Other Categories</t>
  </si>
  <si>
    <t>D0001/IR01492/F2496/X049/R1330/001/FIN</t>
  </si>
  <si>
    <t>Revenue:Non-exchange Revenue:Property Rates:Public Benefit Organisations</t>
  </si>
  <si>
    <t>D0001/IR01493/F2496/X049/R1330/001/FIN</t>
  </si>
  <si>
    <t>Revenue:Non-exchange Revenue:Property Rates:Public Service Infrastructure Properties</t>
  </si>
  <si>
    <t>D0001/IR01495/F2496/X049/R1330/001/FIN</t>
  </si>
  <si>
    <t>Revenue:Non-exchange Revenue:Property Rates:State Trust Land</t>
  </si>
  <si>
    <t>D0001/IR01496/F2496/X049/R1330/001/FIN</t>
  </si>
  <si>
    <t>Revenue:Non-exchange Revenue:Property Rates:State-owned Properties</t>
  </si>
  <si>
    <t>O3602/IR01053/F2496/X049/R1330/001/FIN</t>
  </si>
  <si>
    <t>O3602/IR01052/F2496/X049/R1330/001/FIN</t>
  </si>
  <si>
    <t>O3602/IR01049/F2496/X049/R1330/001/FIN</t>
  </si>
  <si>
    <t>O3602/IR01481/F2496/X049/R1330/001/FIN</t>
  </si>
  <si>
    <t>O3602/IR01482/F2496/X049/R1330/001/FIN</t>
  </si>
  <si>
    <t>O3602/IR01484/F2496/X049/R1330/001/FIN</t>
  </si>
  <si>
    <t>O3602/IR01485/F2496/X049/R1330/001/FIN</t>
  </si>
  <si>
    <t>O3602/IR01486/F2496/X049/R1330/001/FIN</t>
  </si>
  <si>
    <t>O3602/IR01487/F2496/X049/R1330/001/FIN</t>
  </si>
  <si>
    <t>O3602/IR01488/F2496/X049/R1330/001/FIN</t>
  </si>
  <si>
    <t>O3602/IR01489/F2496/X049/R1330/001/FIN</t>
  </si>
  <si>
    <t>O3602/IR01492/F2496/X049/R1330/001/FIN</t>
  </si>
  <si>
    <t>O3602/IR01493/F2496/X049/R1330/001/FIN</t>
  </si>
  <si>
    <t>O3602/IR01495/F2496/X049/R1330/001/FIN</t>
  </si>
  <si>
    <t>O3602/IR01496/F2496/X049/R1330/001/FIN</t>
  </si>
  <si>
    <t>O3615/IR01053/F2496/X049/R1330/001/FIN</t>
  </si>
  <si>
    <t>O3615/IR01052/F2496/X049/R1330/001/FIN</t>
  </si>
  <si>
    <t>O3615/IR01049/F2496/X049/R1330/001/FIN</t>
  </si>
  <si>
    <t>O3615/IR01481/F2496/X049/R1330/001/FIN</t>
  </si>
  <si>
    <t>O3615/IR01482/F2496/X049/R1330/001/FIN</t>
  </si>
  <si>
    <t>O3615/IR01484/F2496/X049/R1330/001/FIN</t>
  </si>
  <si>
    <t>O3615/IR01485/F2496/X049/R1330/001/FIN</t>
  </si>
  <si>
    <t>O3615/IR01486/F2496/X049/R1330/001/FIN</t>
  </si>
  <si>
    <t>O3615/IR01487/F2496/X049/R1330/001/FIN</t>
  </si>
  <si>
    <t>O3615/IR01488/F2496/X049/R1330/001/FIN</t>
  </si>
  <si>
    <t>O3615/IR01489/F2496/X049/R1330/001/FIN</t>
  </si>
  <si>
    <t>O3615/IR01492/F2496/X049/R1330/001/FIN</t>
  </si>
  <si>
    <t>O3615/IR01493/F2496/X049/R1330/001/FIN</t>
  </si>
  <si>
    <t>O3615/IR01495/F2496/X049/R1330/001/FIN</t>
  </si>
  <si>
    <t>O3615/IR01496/F2496/X049/R1330/001/FIN</t>
  </si>
  <si>
    <t>O3604/IR01053/F2496/X049/R1330/001/FIN</t>
  </si>
  <si>
    <t>O3604/IR01052/F2496/X049/R1330/001/FIN</t>
  </si>
  <si>
    <t>O3604/IR01049/F2496/X049/R1330/001/FIN</t>
  </si>
  <si>
    <t>O3604/IR01481/F2496/X049/R1330/001/FIN</t>
  </si>
  <si>
    <t>O3604/IR01482/F2496/X049/R1330/001/FIN</t>
  </si>
  <si>
    <t>O3604/IR01484/F2496/X049/R1330/001/FIN</t>
  </si>
  <si>
    <t>O3604/IR01485/F2496/X049/R1330/001/FIN</t>
  </si>
  <si>
    <t>O3604/IR01486/F2496/X049/R1330/001/FIN</t>
  </si>
  <si>
    <t>O3604/IR01487/F2496/X049/R1330/001/FIN</t>
  </si>
  <si>
    <t>O3604/IR01488/F2496/X049/R1330/001/FIN</t>
  </si>
  <si>
    <t>O3604/IR01489/F2496/X049/R1330/001/FIN</t>
  </si>
  <si>
    <t>O3604/IR01492/F2496/X049/R1330/001/FIN</t>
  </si>
  <si>
    <t>O3604/IR01493/F2496/X049/R1330/001/FIN</t>
  </si>
  <si>
    <t>O3604/IR01495/F2496/X049/R1330/001/FIN</t>
  </si>
  <si>
    <t>O3604/IR01496/F2496/X049/R1330/001/FIN</t>
  </si>
  <si>
    <t>O3614/IR01053/F2496/X049/R1330/001/FIN</t>
  </si>
  <si>
    <t>O3614/IR01052/F2496/X049/R1330/001/FIN</t>
  </si>
  <si>
    <t>O3614/IR01049/F2496/X049/R1330/001/FIN</t>
  </si>
  <si>
    <t>O3614/IR01481/F2496/X049/R1330/001/FIN</t>
  </si>
  <si>
    <t>O3614/IR01482/F2496/X049/R1330/001/FIN</t>
  </si>
  <si>
    <t>O3614/IR01484/F2496/X049/R1330/001/FIN</t>
  </si>
  <si>
    <t>O3614/IR01485/F2496/X055/R1330/001/FIN</t>
  </si>
  <si>
    <t>O3614/IR01486/F2496/X049/R1330/001/FIN</t>
  </si>
  <si>
    <t>O3614/IR01487/F2496/X049/R1330/001/FIN</t>
  </si>
  <si>
    <t>O3614/IR01488/F2496/X049/R1330/001/FIN</t>
  </si>
  <si>
    <t>O3614/IR01489/F2496/X049/R1330/001/FIN</t>
  </si>
  <si>
    <t>O3614/IR01492/F2496/X049/R1330/001/FIN</t>
  </si>
  <si>
    <t>O3614/IR01493/F2496/X049/R1330/001/FIN</t>
  </si>
  <si>
    <t>O3614/IR01495/F2496/X049/R1330/001/FIN</t>
  </si>
  <si>
    <t>O3614/IR01496/F2496/X049/R1330/001/FIN</t>
  </si>
  <si>
    <t>O3617/IR01053/F2496/X049/R1330/001/FIN</t>
  </si>
  <si>
    <t>O3617/IR01052/F2496/X049/R1330/001/FIN</t>
  </si>
  <si>
    <t>O3617/IR01049/F2496/X049/R1330/001/FIN</t>
  </si>
  <si>
    <t>O3617/IR01481/F2496/X049/R1330/001/FIN</t>
  </si>
  <si>
    <t>O3617/IR01482/F2496/X049/R1330/001/FIN</t>
  </si>
  <si>
    <t>O3617/IR01484/F2496/X049/R1330/001/FIN</t>
  </si>
  <si>
    <t>O3617/IR01485/F2496/X049/R1330/001/FIN</t>
  </si>
  <si>
    <t>O3617/IR01486/F2496/X049/R1330/001/FIN</t>
  </si>
  <si>
    <t>O3617/IR01487/F2496/X049/R1330/001/FIN</t>
  </si>
  <si>
    <t>O3617/IR01488/F2496/X049/R1330/001/FIN</t>
  </si>
  <si>
    <t>O3617/IR01489/F2496/X049/R1330/001/FIN</t>
  </si>
  <si>
    <t>O3617/IR01492/F2496/X049/R1330/001/FIN</t>
  </si>
  <si>
    <t>O3617/IR01493/F2496/X049/R1330/001/FIN</t>
  </si>
  <si>
    <t>O3617/IR01495/F2496/X049/R1330/001/FIN</t>
  </si>
  <si>
    <t>O3617/IR01496/F2496/X049/R1330/001/FIN</t>
  </si>
  <si>
    <t>O3603/IR01053/F2496/X049/R1330/001/FIN</t>
  </si>
  <si>
    <t>O3603/IR01052/F2496/X049/R1330/001/FIN</t>
  </si>
  <si>
    <t>O3603/IR01049/F2496/X049/R1330/001/FIN</t>
  </si>
  <si>
    <t>O3603/IR01481/F2496/X049/R1330/001/FIN</t>
  </si>
  <si>
    <t>O3603/IR01482/F2496/X049/R1330/001/FIN</t>
  </si>
  <si>
    <t>O3603/IR01484/F2496/X049/R1330/001/FIN</t>
  </si>
  <si>
    <t>O3603/IR01485/F2496/X049/R1330/001/FIN</t>
  </si>
  <si>
    <t>O3603/IR01486/F2496/X049/R1330/001/FIN</t>
  </si>
  <si>
    <t>O3603/IR01487/F2496/X049/R1330/001/FIN</t>
  </si>
  <si>
    <t>O3603/IR01488/F2496/X049/R1330/001/FIN</t>
  </si>
  <si>
    <t>O3603/IR01489/F2496/X049/R1330/001/FIN</t>
  </si>
  <si>
    <t>O3603/IR01492/F2496/X049/R1330/001/FIN</t>
  </si>
  <si>
    <t>O3603/IR01493/F2496/X049/R1330/001/FIN</t>
  </si>
  <si>
    <t>O3603/IR01495/F2496/X049/R1330/001/FIN</t>
  </si>
  <si>
    <t>O3603/IR01496/F2496/X049/R1330/001/FIN</t>
  </si>
  <si>
    <t>O3613/IR01053/F2496/X049/R1330/001/FIN</t>
  </si>
  <si>
    <t>O3613/IR01052/F2496/X049/R1330/001/FIN</t>
  </si>
  <si>
    <t>O3613/IR01049/F2496/X049/R1330/001/FIN</t>
  </si>
  <si>
    <t>O3613/IR01481/F2496/X049/R1330/001/FIN</t>
  </si>
  <si>
    <t>O3613/IR01482/F2496/X049/R1330/001/FIN</t>
  </si>
  <si>
    <t>O3613/IR01484/F2496/X049/R1330/001/FIN</t>
  </si>
  <si>
    <t>O3613/IR01485/F2496/X049/R1330/001/FIN</t>
  </si>
  <si>
    <t>O3613/IR01486/F2496/X049/R1330/001/FIN</t>
  </si>
  <si>
    <t>O3613/IR01487/F2496/X049/R1330/001/FIN</t>
  </si>
  <si>
    <t>O3613/IR01488/F2496/X049/R1330/001/FIN</t>
  </si>
  <si>
    <t>O3613/IR01489/F2496/X049/R1330/001/FIN</t>
  </si>
  <si>
    <t>O3613/IR01492/F2496/X049/R1330/001/FIN</t>
  </si>
  <si>
    <t>O3613/IR01493/F2496/X049/R1330/001/FIN</t>
  </si>
  <si>
    <t>O3613/IR01495/F2496/X049/R1330/001/FIN</t>
  </si>
  <si>
    <t>O3613/IR01496/F2496/X049/R1330/001/FIN</t>
  </si>
  <si>
    <t>O3612/IR01053/F2496/X049/R1330/001/FIN</t>
  </si>
  <si>
    <t>O3612/IR01052/F2496/X049/R1330/001/FIN</t>
  </si>
  <si>
    <t>O3612/IR01049/F2496/X049/R1330/001/FIN</t>
  </si>
  <si>
    <t>O3612/IR01481/F2496/X049/R1330/001/FIN</t>
  </si>
  <si>
    <t>O3612/IR01482/F2496/X049/R1330/001/FIN</t>
  </si>
  <si>
    <t>O3612/IR01484/F2496/X049/R1330/001/FIN</t>
  </si>
  <si>
    <t>O3612/IR01485/F2496/X049/R1330/001/FIN</t>
  </si>
  <si>
    <t>O3612/IR01486/F2496/X049/R1330/001/FIN</t>
  </si>
  <si>
    <t>O3612/IR01487/F2496/X049/R1330/001/FIN</t>
  </si>
  <si>
    <t>O3612/IR01488/F2496/X049/R1330/001/FIN</t>
  </si>
  <si>
    <t>O3612/IR01489/F2496/X049/R1330/001/FIN</t>
  </si>
  <si>
    <t>O3612/IR01492/F2496/X049/R1330/001/FIN</t>
  </si>
  <si>
    <t>O3612/IR01493/F2496/X049/R1330/001/FIN</t>
  </si>
  <si>
    <t>O3612/IR01495/F2496/X049/R1330/001/FIN</t>
  </si>
  <si>
    <t>O3612/IR01496/F2496/X049/R1330/001/FIN</t>
  </si>
  <si>
    <t>D0001/IR01410/F0001/X091/R1331/001/COMM</t>
  </si>
  <si>
    <t>Revenue:Exchange Revenue:Licences or Permits:Trading</t>
  </si>
  <si>
    <t>D0001/IR01523/F0001/X091/R1331/001/CORP</t>
  </si>
  <si>
    <t>Revenue:Exchange Revenue:Licences or Permits:Road and Transport:Learner Licence Application</t>
  </si>
  <si>
    <t>D0001/IR01524/F0001/X091/R1331/001/CORP</t>
  </si>
  <si>
    <t>Revenue:Exchange Revenue:Licences or Permits:Road and Transport:Learners Certificate</t>
  </si>
  <si>
    <t>D0001/IR01527/F0001/X091/R1331/001/CORP</t>
  </si>
  <si>
    <t>Revenue:Exchange Revenue:Licences or Permits:Road and Transport:Motor Vehicle Licence</t>
  </si>
  <si>
    <t>O0001/IE00592/F0041/X046/R1331/001/CORP</t>
  </si>
  <si>
    <t>Expenditure:Operational Cost:Seating Allowance for Traditional Leaders</t>
  </si>
  <si>
    <t>O0001/IE00807/F0041/X091/R1331/001/LIC</t>
  </si>
  <si>
    <t>Expenditure:Operational Cost:Licences:Licence Agency Fees</t>
  </si>
  <si>
    <t>O0001/IE00751/F0041/X046/R1331/001/CORP</t>
  </si>
  <si>
    <t>O0001/IE00738/F0041/X046/R1331/001/CORP</t>
  </si>
  <si>
    <t>O0001/IE00739/F0041/X046/R1331/001/CORP</t>
  </si>
  <si>
    <t>Expenditure:Inventory Consumed:Consumables:Zero Rated</t>
  </si>
  <si>
    <t>O1344-1/IE00847/F0041/X096/R1331/001/CORP</t>
  </si>
  <si>
    <t>Expenditure:Contracted Services:Consultants and Professional Services:Business and Advisory:Research and Advisory</t>
  </si>
  <si>
    <t>O0001/IE00006/F0041/X053/R1331/001/CORP</t>
  </si>
  <si>
    <t>Expenditure:Contracted Services:Consultants and Professional Services:Legal Cost:Collection</t>
  </si>
  <si>
    <t>O0001/IE00007/F0041/X053/R1331/001/CORP</t>
  </si>
  <si>
    <t>Expenditure:Contracted Services:Consultants and Professional Services:Legal Cost:Issue of Summons</t>
  </si>
  <si>
    <t>O0001/IE00008/F0041/X053/R1331/001/CORP</t>
  </si>
  <si>
    <t>Expenditure:Contracted Services:Consultants and Professional Services:Legal Cost:Legal Advice and Litigation</t>
  </si>
  <si>
    <t>O0001/IE00571/F0041/X046/R1331/001/CORP</t>
  </si>
  <si>
    <t>O0001/IE00538/F0041/X046/R1331/001/CORP</t>
  </si>
  <si>
    <t>Expenditure:Operating Leases:Computer Equipment</t>
  </si>
  <si>
    <t>O0001/IE00545/F0041/X046/R1331/001/CORP</t>
  </si>
  <si>
    <t>Expenditure:Operating Leases:Machinery and Equipment</t>
  </si>
  <si>
    <t>O0001/IE00604/F0041/X046/R1331/001/CORP</t>
  </si>
  <si>
    <t>O0001/IE00143/F0041/X046/R1331/001/CORP</t>
  </si>
  <si>
    <t>O0001/IE00144/F0041/X046/R1331/001/CORP</t>
  </si>
  <si>
    <t>O0001/IE01581/F0041/X046/R1331/001/CORP</t>
  </si>
  <si>
    <t>O0001/IE00060/F0041/X046/R1331/001/CORP</t>
  </si>
  <si>
    <t>O0001/IE00061/F0041/X046/R1331/001/CORP</t>
  </si>
  <si>
    <t>O0001/IE00062/F0041/X046/R1331/001/CORP</t>
  </si>
  <si>
    <t>O0001/IE00063/F0041/X046/R1331/001/CORP</t>
  </si>
  <si>
    <t>O0001/IE00815/F0041/X046/R1331/001/CORP</t>
  </si>
  <si>
    <t>O0001/IE00143/F0041/X052/R1331/001/CORP</t>
  </si>
  <si>
    <t>O0001/IE01581/F0041/X052/R1331/001/CORP</t>
  </si>
  <si>
    <t>O0001/IE00060/F0041/X052/R1331/001/CORP</t>
  </si>
  <si>
    <t>O0001/IE00062/F0041/X052/R1331/001/CORP</t>
  </si>
  <si>
    <t>O0001/IE00063/F0041/X052/R1331/001/CORP</t>
  </si>
  <si>
    <t>O0001/IE00605/F0041/X050/R1331/001/CORP</t>
  </si>
  <si>
    <t>Expenditure:Operational Cost:Vehicle Tracking</t>
  </si>
  <si>
    <t>O0001/IE00586/F0041/X046/R1331/001/CORP</t>
  </si>
  <si>
    <t>Expenditure:Operational Cost:Remuneration to Ward Committees</t>
  </si>
  <si>
    <t>O0001/IE00786/F0041/X052/R1331/001/CORP</t>
  </si>
  <si>
    <t>Expenditure:Operational Cost:External Computer Service:Information Services</t>
  </si>
  <si>
    <t>O0001/IE00787/F0041/X052/R1331/001/CORP</t>
  </si>
  <si>
    <t>Expenditure:Operational Cost:External Computer Service:Internet Charge</t>
  </si>
  <si>
    <t>O0001/IE00789/F0041/X052/R1331/001/CORP</t>
  </si>
  <si>
    <t>Expenditure:Operational Cost:External Computer Service:Network Extensions</t>
  </si>
  <si>
    <t>O0001/IE00790/F0041/X052/R1331/001/CORP</t>
  </si>
  <si>
    <t>Expenditure:Operational Cost:External Computer Service:Recovery Centre Hosting Charges</t>
  </si>
  <si>
    <t>O0001/IE00534/F0041/X052/R1331/001/CORP</t>
  </si>
  <si>
    <t>O0001/IE00793/F0041/X052/R1331/001/CORP</t>
  </si>
  <si>
    <t>Expenditure:Operational Cost:External Computer Service:Specialised Computer Service</t>
  </si>
  <si>
    <t>O0001/IE00795/F0041/X052/R1331/001/CORP</t>
  </si>
  <si>
    <t>Expenditure:Operational Cost:External Computer Service:System Development</t>
  </si>
  <si>
    <t>O0001/IE00792/F0041/X052/R1331/001/CORP</t>
  </si>
  <si>
    <t>Expenditure:Operational Cost:External Computer Service:Software Licences</t>
  </si>
  <si>
    <t>O1239-1/IE00755/F0041/X054/R1331/001/CORP</t>
  </si>
  <si>
    <t>Expenditure:Operational Cost:Advertising, Publicity and Marketing:Municipal Newsletters</t>
  </si>
  <si>
    <t>O1239-1/IE00837/F0041/X054/R1331/001/EXEC</t>
  </si>
  <si>
    <t>Expenditure:Contracted Services:Consultants and Professional Services:Business and Advisory:Communications</t>
  </si>
  <si>
    <t>O0001/IE00698/F0041/X046/R1330/001/CORP</t>
  </si>
  <si>
    <t>Expenditure:Contracted Services:Outsourced Services:Security Services</t>
  </si>
  <si>
    <t>O0018-2/IE00060/F0041/X046/R1330/001/MM</t>
  </si>
  <si>
    <t>O0018-2/IE00694/F0041/X046/R1330/001/CORP</t>
  </si>
  <si>
    <t>O0018-2/IE00845/F0041/X046/R1330/001/CORP</t>
  </si>
  <si>
    <t>Expenditure:Contracted Services:Consultants and Professional Services:Business and Advisory:Qualification Verification</t>
  </si>
  <si>
    <t>O0001/IE00738/F0041/X046/R1330/001/CORP</t>
  </si>
  <si>
    <t>O1285-1/IE00595/F1177/X049/R1330/001/FIN</t>
  </si>
  <si>
    <t>O1285-1/IE00045/F1177/X049/R1330/001/FIN</t>
  </si>
  <si>
    <t>O1285-1/IE00036/F1177/X049/R1330/001/FIN</t>
  </si>
  <si>
    <t>O1288-1/IE00694/F1177/X049/R1330/001/FIN</t>
  </si>
  <si>
    <t>O1288-1/IE00059/F1177/X049/R1330/001/FIN</t>
  </si>
  <si>
    <t>Expenditure:Operational Cost:Registration Fees:Seminars, Conferences, Workshops and Events:National</t>
  </si>
  <si>
    <t>O0001/IE01581/F1177/X049/R1330/001/FIN</t>
  </si>
  <si>
    <t>O0001/IE01583/F1177/X049/R1330/001/FIN</t>
  </si>
  <si>
    <t>Expenditure:Operational Cost:Travel and Subsistence:Domestic:Transport with Operator:Public Transport:Road Transport</t>
  </si>
  <si>
    <t>O0001/IE00060/F1177/X049/R1330/001/FIN</t>
  </si>
  <si>
    <t>O0001/IE00061/F1177/X049/R1330/001/FIN</t>
  </si>
  <si>
    <t>O0001/IE00062/F1177/X049/R1330/001/FIN</t>
  </si>
  <si>
    <t>O0001/IE00063/F1177/X049/R1330/001/FIN</t>
  </si>
  <si>
    <t>O0001/IE00830/F0041/X049/R1330/001/FIN</t>
  </si>
  <si>
    <t>Expenditure:Contracted Services:Consultants and Professional Services:Business and Advisory:Accounting and Auditing</t>
  </si>
  <si>
    <t>O0001/IE00609/F0041/X049/R1330/001/FIN</t>
  </si>
  <si>
    <t>Expenditure:Operational Cost:Workmen's Compensation Fund</t>
  </si>
  <si>
    <t>O0001/IE00579/F0041/X055/R1330/001/FIN</t>
  </si>
  <si>
    <t>Expenditure:Operational Cost:Municipal Services</t>
  </si>
  <si>
    <t>O0001/IE00800/F0041/X055/R1330/001/FIN</t>
  </si>
  <si>
    <t>Expenditure:Operational Cost:Insurance Underwriting:Claims paid to Third Parties</t>
  </si>
  <si>
    <t>O0001/IE00803/F0041/X055/R1330/001/FIN</t>
  </si>
  <si>
    <t>Expenditure:Operational Cost:Insurance Underwriting:Insurance Brokers Fees</t>
  </si>
  <si>
    <t>O0001/IE00805/F0041/X055/R1330/001/FIN</t>
  </si>
  <si>
    <t>Expenditure:Operational Cost:Insurance Underwriting:Premiums</t>
  </si>
  <si>
    <t>O0001/IE00771/F0041/X055/R1330/001/FIN</t>
  </si>
  <si>
    <t>Expenditure:Operational Cost:Communication:Postage/Stamps/Franking Machines</t>
  </si>
  <si>
    <t>O0001/IE00769/F0041/X055/R1330/001/FIN</t>
  </si>
  <si>
    <t>Expenditure:Operational Cost:Communication:Cellular Contract (Subscription and Calls)</t>
  </si>
  <si>
    <t>O0001/IE00773/F0041/X055/R1330/001/FIN</t>
  </si>
  <si>
    <t>Expenditure:Operational Cost:Communication:Rent Private Bag and Postal Box</t>
  </si>
  <si>
    <t>O0001/IE00778/F0041/X046/R1330/001/CORP</t>
  </si>
  <si>
    <t>Expenditure:Operational Cost:Communication:Telephone, Fax, Telegraph and Telex</t>
  </si>
  <si>
    <t>O0001/IE00685/F0041/X055/R1330/001/MM</t>
  </si>
  <si>
    <t>Expenditure:Contracted Services:Outsourced Services:Internal Auditors</t>
  </si>
  <si>
    <t>O0001/IE00844/F0041/X055/R1330/001/FIN</t>
  </si>
  <si>
    <t>Expenditure:Contracted Services:Consultants and Professional Services:Business and Advisory:Project Management</t>
  </si>
  <si>
    <t>O0001/IE00663/F0041/X055/R1330/001/FIN</t>
  </si>
  <si>
    <t>Expenditure:Contracted Services:Contractors:Safeguard and Security</t>
  </si>
  <si>
    <t>O0001/IE00694/F1177/X049/R1330/001/FIN</t>
  </si>
  <si>
    <t>O0001/IE00677/F0041/X055/R1330/001/FIN</t>
  </si>
  <si>
    <t>O0001/IE00703/F0041/X055/R1330/001/FIN</t>
  </si>
  <si>
    <t>O0001/IE00847/F0041/X055/R1330/001/FIN</t>
  </si>
  <si>
    <t>O0001/IE00759/F0041/X049/R1330/001/FIN</t>
  </si>
  <si>
    <t>Expenditure:Operational Cost:Bank Charges, Facility and Card Fees:Bank Accounts</t>
  </si>
  <si>
    <t>O0001/IE00761/F0041/X049/R1330/001/FIN</t>
  </si>
  <si>
    <t>Expenditure:Operational Cost:Bank Charges, Facility and Card Fees:Investments</t>
  </si>
  <si>
    <t>O0001/IE00735/F0041/X049/R1330/001/FIN</t>
  </si>
  <si>
    <t>Expenditure:Interest, Dividends and Rent on Land:Interest Paid:Overdue Accounts</t>
  </si>
  <si>
    <t>O0001/IE00108/F0041/X049/R1330/001/FIN</t>
  </si>
  <si>
    <t>O0001/IE00698/F0041/X049/R1330/001/FIN</t>
  </si>
  <si>
    <t>O0001/IE00516/F0001/X049/R1330/001/FIN</t>
  </si>
  <si>
    <t>Expenditure:Bad Debts Written Off</t>
  </si>
  <si>
    <t>O0001/IE00848/F1177/X059/R1330/001/FIN</t>
  </si>
  <si>
    <t>Expenditure:Contracted Services:Consultants and Professional Services:Business and Advisory:Valuer and Assessors</t>
  </si>
  <si>
    <t>O0001/IE00794/F0041/X052/R1330/001/CORP</t>
  </si>
  <si>
    <t>Expenditure:Operational Cost:External Computer Service:System Adviser</t>
  </si>
  <si>
    <t>O0001/IE01530/F0041/X049/R1330/001/FIN</t>
  </si>
  <si>
    <t>O0001/IE00584/F0041/X049/R1330/001/FIN</t>
  </si>
  <si>
    <t>Expenditure:Operational Cost:Professional Bodies, Membership and Subscription</t>
  </si>
  <si>
    <t>O0001/IE00810/F0041/X049/R1330/001/FIN</t>
  </si>
  <si>
    <t>Expenditure:Operational Cost:Registration Fees:Professional and Regulatory Bodies</t>
  </si>
  <si>
    <t>O0001/IE07606/F0001/X047/R1330/001/FIN</t>
  </si>
  <si>
    <t>Expenditure:Depreciation and Amortisation:Depreciation:Community Assets:Community Facilities:Halls</t>
  </si>
  <si>
    <t>2300-001</t>
  </si>
  <si>
    <t>Depreciation of Property, Plant and Equipment</t>
  </si>
  <si>
    <t>O0001/IE00711/F0001/X047/R1330/001/FIN</t>
  </si>
  <si>
    <t>Expenditure:Depreciation and Amortisation:Depreciation:Furniture and Office Equipment</t>
  </si>
  <si>
    <t>O0001/IE07568/F0041/X047/R1330/001/FIN</t>
  </si>
  <si>
    <t>Expenditure:Depreciation and Amortisation:Depreciation:Investment Property:Revenue Generating:Improved Properties</t>
  </si>
  <si>
    <t>O0001/IE07615/F0041/X047/R1330/001/FIN</t>
  </si>
  <si>
    <t>Expenditure:Depreciation and Amortisation:Depreciation:Community Assets:Community Facilities:Libraries</t>
  </si>
  <si>
    <t>O0001/IE00715/F0041/X047/R1330/001/FIN</t>
  </si>
  <si>
    <t>Expenditure:Depreciation and Amortisation:Depreciation:Machinery and Equipment</t>
  </si>
  <si>
    <t>O0001/IE07625/F0001/X047/R1330/001/FIN</t>
  </si>
  <si>
    <t>Expenditure:Depreciation and Amortisation:Depreciation:Other Assets:Operational Buildings:Municipal Offices</t>
  </si>
  <si>
    <t>O0001/IE07587/F0001/X047/R1330/001/FIN</t>
  </si>
  <si>
    <t>Expenditure:Depreciation and Amortisation:Depreciation:Roads Infrastructure:Roads</t>
  </si>
  <si>
    <t>O0001/IE00562/F0041/X131/R1330/001/COMM</t>
  </si>
  <si>
    <t>O0001/IE00143/F13636/X024/R1331/001/LIBR</t>
  </si>
  <si>
    <t>O0001/IE00144/F13636/X024/R1331/001/LIBR</t>
  </si>
  <si>
    <t>O0001/IE01581/F13636/X024/R1331/001/LIBR</t>
  </si>
  <si>
    <t>O0001/IE00142/F13636/X024/R1331/001/LIBR</t>
  </si>
  <si>
    <t>O0001/IE00060/F13636/X024/R1331/001/LIBR</t>
  </si>
  <si>
    <t>O0001/IE00061/F13636/X024/R1331/001/LIBR</t>
  </si>
  <si>
    <t>O0001/IE00062/F13636/X024/R1331/001/LIBR</t>
  </si>
  <si>
    <t>O0001/IE00063/F13636/X024/R1331/001/LIBR</t>
  </si>
  <si>
    <t>O0001/IE00751/F13636/X024/R1331/001/LIBR</t>
  </si>
  <si>
    <t>O0001/IE00753/F13636/X024/R1331/001/LIBR</t>
  </si>
  <si>
    <t>Expenditure:Operational Cost:Advertising, Publicity and Marketing:Customer/Client Information</t>
  </si>
  <si>
    <t>O0001/IE00754/F13636/X024/R1331/001/LIBR</t>
  </si>
  <si>
    <t>O0001/IE00757/F13636/X024/R1331/001/LIBR</t>
  </si>
  <si>
    <t>Expenditure:Operational Cost:Advertising, Publicity and Marketing:Staff Recruitment</t>
  </si>
  <si>
    <t>O0001/IE00557/F13636/X024/R1331/001/LIBR</t>
  </si>
  <si>
    <t>Expenditure:Operational Cost:Copy Right Fees</t>
  </si>
  <si>
    <t>O0001/IE00583/F13636/X024/R1331/001/LIBR</t>
  </si>
  <si>
    <t>O0001/IE00609/F13636/X024/R1331/001/LIBR</t>
  </si>
  <si>
    <t>O0001/IE00793/F13636/X024/R1331/001/LIBR</t>
  </si>
  <si>
    <t>O1550-1/IE00650/F0041/X101/R1331/001/TECH</t>
  </si>
  <si>
    <t>Expenditure:Contracted Services:Contractors:Maintenance of Equipment</t>
  </si>
  <si>
    <t>O1551-1/IE00651/F0041/X061/R1330/001/CORP</t>
  </si>
  <si>
    <t>Expenditure:Contracted Services:Contractors:Maintenance of Unspecified Assets</t>
  </si>
  <si>
    <t>O2774-1/IE00649/F0041/X047/R1331/001/TECH</t>
  </si>
  <si>
    <t>O0001/IE00607/F0041/X050/R1331/001/CORP</t>
  </si>
  <si>
    <t>O0001/IE00534/F0041/X058/R1331/001/TECH</t>
  </si>
  <si>
    <t>Finance and Administration2</t>
  </si>
  <si>
    <t>Supply Chain Management</t>
  </si>
  <si>
    <t>O0001/IE00848/F0041/X059/R1331/001/FIN</t>
  </si>
  <si>
    <t>O0001/IE00808/F0041/X050/R1331/001/CORP</t>
  </si>
  <si>
    <t>Expenditure:Operational Cost:Licences:Motor Vehicle Licence and Registrations</t>
  </si>
  <si>
    <t>O0001/IE00594/F0041/X101/R1331/001/TECH</t>
  </si>
  <si>
    <t>O0001/IE00647/F0041/X101/R1331/001/TECH</t>
  </si>
  <si>
    <t>Expenditure:Contracted Services:Contractors:Inspection Fees</t>
  </si>
  <si>
    <t>O0001/IE00581/F0041/X099/R1331/001/TECH</t>
  </si>
  <si>
    <t>O0001/IE00578/F0041/X101/R1330/001/TECH</t>
  </si>
  <si>
    <t>O0001/IE00581/F0041/X101/R1331/001/TECH</t>
  </si>
  <si>
    <t>O0001/IE00583/F0041/X101/R1331/001/TECH</t>
  </si>
  <si>
    <t>O0001/IE00001/F0041/X101/R1331/001/TECH</t>
  </si>
  <si>
    <t>O2734-1/IE00649/F0041/X091/R1330/001/LIC</t>
  </si>
  <si>
    <t>O1299-2/IE00062/F0041/X051/R1331/001/CORP</t>
  </si>
  <si>
    <t>O1299-2/IE00754/F0041/X051/R1331/001/CORP</t>
  </si>
  <si>
    <t>O1299-2/IE00694/F0041/X051/R1331/001/CORP</t>
  </si>
  <si>
    <t>O1299-2/IE00594/F0041/X051/R1331/001/CORP</t>
  </si>
  <si>
    <t>D0001/IR01435/F0001/X049/R1330/001/FIN</t>
  </si>
  <si>
    <t>Revenue:Exchange Revenue:Sales of Goods and Rendering of Services:Clearance Certificates</t>
  </si>
  <si>
    <t>D0001/IR01061/F0001/X049/R1330/001/FIN</t>
  </si>
  <si>
    <t>Revenue:Exchange Revenue:Interest, Dividend and Rent on Land:Interest:Current and Non-current Assets:Short Term Investments and Call Accounts</t>
  </si>
  <si>
    <t>D0001/IR01143/F0001/X049/R1331/001/FIN</t>
  </si>
  <si>
    <t>Revenue:Non-exchange Revenue:Interest, Dividend and Rent on Land:Interest:Receivables:Property Rates</t>
  </si>
  <si>
    <t>D0001/IR01070/F0001/X049/R1331/001/FIN</t>
  </si>
  <si>
    <t>Revenue:Exchange Revenue:Interest, Dividend and Rent on Land:Interest:Receivables:Service Charges</t>
  </si>
  <si>
    <t>D0001/IR01531/F0001/X049/R1331/001/FIN</t>
  </si>
  <si>
    <t>Revenue:Exchange Revenue:Operational Revenue:Commission:Transaction Handling Fees</t>
  </si>
  <si>
    <t>D0001/IR01530/F0001/X049/R1331/001/FIN</t>
  </si>
  <si>
    <t>Revenue:Exchange Revenue:Operational Revenue:Commission:Insurance</t>
  </si>
  <si>
    <t>D0001/IR01140/F0042/X116/R1331/001/FIN</t>
  </si>
  <si>
    <t>Revenue:Non-exchange Revenue:Fines, Penalties and Forfeits:Fines:Traffic:Court Fines</t>
  </si>
  <si>
    <t>D0001/IR02344/F0041/X055/R1330/001/FIN</t>
  </si>
  <si>
    <t>Revenue:Non-exchange Revenue:Transfers and Subsidies:Operational:Monetary Allocations:National Revenue Fund:Equitable Share</t>
  </si>
  <si>
    <t>D0001/IR02318/F1177/X049/R1330/001/FIN</t>
  </si>
  <si>
    <t>Revenue:Non-exchange Revenue:Transfers and Subsidies:Operational:Monetary Allocations:National Governments:Local Government Financial Management Grant</t>
  </si>
  <si>
    <t>D0001/IR01424/F0001/X046/R1330/001/CORP</t>
  </si>
  <si>
    <t>Revenue:Exchange Revenue:Operational Revenue:Skills Development Levy Refund</t>
  </si>
  <si>
    <t>D0001/IR01425/F0001/X049/R1331/001/FIN</t>
  </si>
  <si>
    <t>Revenue:Exchange Revenue:Operational Revenue:Staff Recoveries</t>
  </si>
  <si>
    <t>D0001/IR01193/F0001/X049/R1330/001/FIN</t>
  </si>
  <si>
    <t>Revenue:Exchange Revenue:Rental from Fixed Assets:Market Related:Property Plant and Equipment:Straight-lined Operating:Other Assets</t>
  </si>
  <si>
    <t>D0001/IR03195/F2766/X049/R1330/001/FIN</t>
  </si>
  <si>
    <t>Revenue:Non-exchange Revenue:Transfers and Subsidies:Operational:Monetary Allocations:Departmental Agencies and Accounts:National Departmental Agencies:Local Government, Water and Related Service SETA</t>
  </si>
  <si>
    <t>D0001/IR006986/F13636/X024/R1331/001/COMM</t>
  </si>
  <si>
    <t>Revenue:Non-exchange Revenue:Transfers and Subsidies:Operational:Monetary Allocations:Provincial Government:KwaZulu-Natal:Capacity Building and Other:Specify (Add grant description)</t>
  </si>
  <si>
    <t>D0001/IR00961/F0001/X024/R1331/001/COMM</t>
  </si>
  <si>
    <t>Revenue:Exchange Revenue:Sales of Goods and Rendering of Services:Library Fees:Membership</t>
  </si>
  <si>
    <t>D0001/IR01457/F0001/X024/R1331/001/COMM</t>
  </si>
  <si>
    <t>Revenue:Exchange Revenue:Sales of Goods and Rendering of Services:Photocopies and Faxes</t>
  </si>
  <si>
    <t>D0001/IR01014/F0042/X024/R1331/001/COMM</t>
  </si>
  <si>
    <t>Revenue:Non-exchange Revenue:Fines, Penalties and Forfeits:Fines:Overdue Books Fine</t>
  </si>
  <si>
    <t>O1223-3/IE00694/F0041/X044/R1331/001/EXEC</t>
  </si>
  <si>
    <t>O1232-2/IE00059/F0041/X044/R1331/001/EXEC</t>
  </si>
  <si>
    <t>O0001/IE00143/F0041/X044/R1331/001/EXEC</t>
  </si>
  <si>
    <t>O0001/IE00144/F0041/X044/R1331/001/EXEC</t>
  </si>
  <si>
    <t>O0001/IE00060/F0041/X044/R1331/001/EXEC</t>
  </si>
  <si>
    <t>O0001/IE00062/F0041/X044/R1331/001/EXEC</t>
  </si>
  <si>
    <t>O0001/IE00063/F0041/X044/R1331/001/EXEC</t>
  </si>
  <si>
    <t>D0001/IA02619/F0001/X049/R1330/001/FIN</t>
  </si>
  <si>
    <t>Assets:Current Assets:Receivables from Non-exchange Transactions:Property Rates:Farm Properties:Farm Properties not used for any Purpose:Accrued Revenue</t>
  </si>
  <si>
    <t>D0001/IA02621/F0001/X049/R1330/001/FIN</t>
  </si>
  <si>
    <t>Assets:Current Assets:Receivables from Non-exchange Transactions:Property Rates:Farm Properties:Farm Properties not used for any Purpose:Collections</t>
  </si>
  <si>
    <t>D0001/IA02622/F0001/X049/R1330/001/FIN</t>
  </si>
  <si>
    <t>Assets:Current Assets:Receivables from Non-exchange Transactions:Property Rates:Farm Properties:Farm Properties not used for any Purpose:Debt Write-offs</t>
  </si>
  <si>
    <t>D0001/IA09944/F0001/X049/R1330/001/FIN</t>
  </si>
  <si>
    <t>Assets:Current Assets:Receivables from Non-exchange Transactions:Property Rates:Farm Properties:Farm Properties not used for any Purpose:Interest Charge</t>
  </si>
  <si>
    <t>D0001/IA02623/F0001/X049/R1330/001/FIN</t>
  </si>
  <si>
    <t>Assets:Current Assets:Receivables from Non-exchange Transactions:Property Rates:Farm Properties:Farm Properties not used for any Purpose:Monthly Billing</t>
  </si>
  <si>
    <t>D0001/IA02625/F0001/X049/R1330/001/FIN</t>
  </si>
  <si>
    <t>Assets:Current Assets:Receivables from Non-exchange Transactions:Property Rates:Farm Properties:Farm Properties not used for any Purpose:Prior Period Corrections and Adjustments</t>
  </si>
  <si>
    <t>D0001/IA02626/F0001/X049/R1330/001/FIN</t>
  </si>
  <si>
    <t>Assets:Current Assets:Receivables from Non-exchange Transactions:Property Rates:Farm Properties:Industrial Purposes:Accrued Revenue</t>
  </si>
  <si>
    <t>D0001/IA02628/F0001/X049/R1330/001/FIN</t>
  </si>
  <si>
    <t>Assets:Current Assets:Receivables from Non-exchange Transactions:Property Rates:Farm Properties:Industrial Purposes:Collections</t>
  </si>
  <si>
    <t>D0001/IA02629/F0001/X049/R1330/001/FIN</t>
  </si>
  <si>
    <t>Assets:Current Assets:Receivables from Non-exchange Transactions:Property Rates:Farm Properties:Industrial Purposes:Debt Write-offs</t>
  </si>
  <si>
    <t>D0001/IA09945/F0001/X049/R1330/001/FIN</t>
  </si>
  <si>
    <t>Assets:Current Assets:Receivables from Non-exchange Transactions:Property Rates:Farm Properties:Industrial Purposes:Interest Charge</t>
  </si>
  <si>
    <t>D0001/IA02128/F0001/X049/R1330/001/FIN</t>
  </si>
  <si>
    <t>Assets:Current Assets:Receivables from Non-exchange Transactions:Property Rates:Agricultural Properties:Accrued Revenue</t>
  </si>
  <si>
    <t>D0001/IA02630/F0001/X049/R1330/001/FIN</t>
  </si>
  <si>
    <t>Assets:Current Assets:Receivables from Non-exchange Transactions:Property Rates:Farm Properties:Industrial Purposes:Monthly Billing</t>
  </si>
  <si>
    <t>D0001/IA02130/F0001/X049/R1330/001/FIN</t>
  </si>
  <si>
    <t>Assets:Current Assets:Receivables from Non-exchange Transactions:Property Rates:Agricultural Properties:Collections</t>
  </si>
  <si>
    <t>D0001/IA02632/F0001/X049/R1330/001/FIN</t>
  </si>
  <si>
    <t>Assets:Current Assets:Receivables from Non-exchange Transactions:Property Rates:Farm Properties:Industrial Purposes:Prior Period Corrections and Adjustments</t>
  </si>
  <si>
    <t>D0001/IA02131/F0001/X049/R1330/001/FIN</t>
  </si>
  <si>
    <t>Assets:Current Assets:Receivables from Non-exchange Transactions:Property Rates:Agricultural Properties:Debt Write-offs</t>
  </si>
  <si>
    <t>D0001/IA02633/F0001/X049/R1330/001/FIN</t>
  </si>
  <si>
    <t>Assets:Current Assets:Receivables from Non-exchange Transactions:Property Rates:Farm Properties:Other Purpose than Above:Accrued Revenue</t>
  </si>
  <si>
    <t>D0001/IA08405/F0001/X049/R1330/001/FIN</t>
  </si>
  <si>
    <t>Assets:Current Assets:Receivables from Non-exchange Transactions:Property Rates:Agricultural Properties:Interest Charge</t>
  </si>
  <si>
    <t>D0001/IA02635/F0001/X049/R1330/001/FIN</t>
  </si>
  <si>
    <t>Assets:Current Assets:Receivables from Non-exchange Transactions:Property Rates:Farm Properties:Other Purpose than Above:Collections</t>
  </si>
  <si>
    <t>D0001/IA02134/F0001/X049/R1330/001/FIN</t>
  </si>
  <si>
    <t>Assets:Current Assets:Receivables from Non-exchange Transactions:Property Rates:Agricultural Properties:Prior Period Corrections and Adjustments</t>
  </si>
  <si>
    <t>D0001/IA02636/F0001/X049/R1330/001/FIN</t>
  </si>
  <si>
    <t>Assets:Current Assets:Receivables from Non-exchange Transactions:Property Rates:Farm Properties:Other Purpose than Above:Debt Write-offs</t>
  </si>
  <si>
    <t>D0001/IA09946/F0001/X049/R1330/001/FIN</t>
  </si>
  <si>
    <t>Assets:Current Assets:Receivables from Non-exchange Transactions:Property Rates:Farm Properties:Other Purpose than Above:Interest Charge</t>
  </si>
  <si>
    <t>D0001/IA02135/F0001/X049/R1330/001/FIN</t>
  </si>
  <si>
    <t>Assets:Current Assets:Receivables from Non-exchange Transactions:Property Rates:Business  and Commercial:Accrued Revenue</t>
  </si>
  <si>
    <t>D0001/IA02637/F0001/X049/R1330/001/FIN</t>
  </si>
  <si>
    <t>Assets:Current Assets:Receivables from Non-exchange Transactions:Property Rates:Farm Properties:Other Purpose than Above:Monthly Billing</t>
  </si>
  <si>
    <t>D0001/IA02137/F0001/X049/R1330/001/FIN</t>
  </si>
  <si>
    <t>Assets:Current Assets:Receivables from Non-exchange Transactions:Property Rates:Business  and Commercial:Collections</t>
  </si>
  <si>
    <t>D0001/IA02639/F0001/X049/R1330/001/FIN</t>
  </si>
  <si>
    <t>Assets:Current Assets:Receivables from Non-exchange Transactions:Property Rates:Farm Properties:Other Purpose than Above:Prior Period Corrections and Adjustments</t>
  </si>
  <si>
    <t>D0001/IA02138/F0001/X049/R1330/001/FIN</t>
  </si>
  <si>
    <t>Assets:Current Assets:Receivables from Non-exchange Transactions:Property Rates:Business  and Commercial:Debt Write-offs</t>
  </si>
  <si>
    <t>D0001/IA02640/F0001/X049/R1330/001/FIN</t>
  </si>
  <si>
    <t>Assets:Current Assets:Receivables from Non-exchange Transactions:Property Rates:Farm Properties:Residential Properties:Accrued Revenue</t>
  </si>
  <si>
    <t>D0001/IA08406/F0001/X049/R1330/001/FIN</t>
  </si>
  <si>
    <t>Assets:Current Assets:Receivables from Non-exchange Transactions:Property Rates:Business  and Commercial:Interest Charge</t>
  </si>
  <si>
    <t>D0001/IA02642/F0001/X049/R1330/001/FIN</t>
  </si>
  <si>
    <t>Assets:Current Assets:Receivables from Non-exchange Transactions:Property Rates:Farm Properties:Residential Properties:Collections</t>
  </si>
  <si>
    <t>D0001/IA02139/F0001/X049/R1330/001/FIN</t>
  </si>
  <si>
    <t>Assets:Current Assets:Receivables from Non-exchange Transactions:Property Rates:Business  and Commercial:Monthly Billing</t>
  </si>
  <si>
    <t>D0001/IA02643/F0001/X049/R1330/001/FIN</t>
  </si>
  <si>
    <t>Assets:Current Assets:Receivables from Non-exchange Transactions:Property Rates:Farm Properties:Residential Properties:Debt Write-offs</t>
  </si>
  <si>
    <t>D0001/IA02141/F0001/X049/R1330/001/FIN</t>
  </si>
  <si>
    <t>Assets:Current Assets:Receivables from Non-exchange Transactions:Property Rates:Business  and Commercial:Prior Period Corrections and Adjustments</t>
  </si>
  <si>
    <t>D0001/IA09947/F0001/X049/R1330/001/FIN</t>
  </si>
  <si>
    <t>Assets:Current Assets:Receivables from Non-exchange Transactions:Property Rates:Farm Properties:Residential Properties:Interest Charge</t>
  </si>
  <si>
    <t>D0001/IA02149/F0001/X049/R1330/001/FIN</t>
  </si>
  <si>
    <t>Assets:Current Assets:Receivables from Non-exchange Transactions:Property Rates:Industrial Properties:Accrued Revenue</t>
  </si>
  <si>
    <t>D0001/IA02644/F0001/X049/R1330/001/FIN</t>
  </si>
  <si>
    <t>Assets:Current Assets:Receivables from Non-exchange Transactions:Property Rates:Farm Properties:Residential Properties:Monthly Billing</t>
  </si>
  <si>
    <t>D0001/IA02151/F0001/X049/R1330/001/FIN</t>
  </si>
  <si>
    <t>Assets:Current Assets:Receivables from Non-exchange Transactions:Property Rates:Industrial Properties:Collections</t>
  </si>
  <si>
    <t>D0001/IA02646/F0001/X049/R1330/001/FIN</t>
  </si>
  <si>
    <t>Assets:Current Assets:Receivables from Non-exchange Transactions:Property Rates:Farm Properties:Residential Properties:Prior Period Corrections and Adjustments</t>
  </si>
  <si>
    <t>D0001/IA02152/F0001/X049/R1330/001/FIN</t>
  </si>
  <si>
    <t>Assets:Current Assets:Receivables from Non-exchange Transactions:Property Rates:Industrial Properties:Debt Write-offs</t>
  </si>
  <si>
    <t>D0001/IA02653/F0001/X049/R1330/001/FIN</t>
  </si>
  <si>
    <t>Assets:Current Assets:Receivables from Non-exchange Transactions:Property Rates:Industrial Properties:Impairment:Recognised</t>
  </si>
  <si>
    <t>D0001/IA08408/F0001/X049/R1330/001/FIN</t>
  </si>
  <si>
    <t>Assets:Current Assets:Receivables from Non-exchange Transactions:Property Rates:Industrial Properties:Interest Charge</t>
  </si>
  <si>
    <t>D0001/IA02654/F0001/X049/R1330/001/FIN</t>
  </si>
  <si>
    <t>Assets:Current Assets:Receivables from Non-exchange Transactions:Property Rates:Industrial Properties:Impairment:Reversal</t>
  </si>
  <si>
    <t>D0001/IA02153/F0001/X049/R1330/001/FIN</t>
  </si>
  <si>
    <t>Assets:Current Assets:Receivables from Non-exchange Transactions:Property Rates:Industrial Properties:Monthly Billing</t>
  </si>
  <si>
    <t>D0001/IA02657/F0001/X049/R1330/001/FIN</t>
  </si>
  <si>
    <t>Assets:Current Assets:Receivables from Non-exchange Transactions:Property Rates:Mining Properties:Impairment:Recognised</t>
  </si>
  <si>
    <t>D0001/IA02155/F0001/X049/R1330/001/FIN</t>
  </si>
  <si>
    <t>Assets:Current Assets:Receivables from Non-exchange Transactions:Property Rates:Industrial Properties:Prior Period Corrections and Adjustments</t>
  </si>
  <si>
    <t>D0001/IA02658/F0001/X049/R1330/001/FIN</t>
  </si>
  <si>
    <t>Assets:Current Assets:Receivables from Non-exchange Transactions:Property Rates:Mining Properties:Impairment:Reversal</t>
  </si>
  <si>
    <t>D0001/IA02156/F0001/X049/R1330/001/FIN</t>
  </si>
  <si>
    <t>Assets:Current Assets:Receivables from Non-exchange Transactions:Property Rates:Mining Properties:Accrued Revenue</t>
  </si>
  <si>
    <t>D0001/IA02661/F0001/X049/R1330/001/FIN</t>
  </si>
  <si>
    <t>Assets:Current Assets:Receivables from Non-exchange Transactions:Property Rates:Multiple Purposes:Impairment:Recognised</t>
  </si>
  <si>
    <t>D0001/IA02158/F0001/X049/R1330/001/FIN</t>
  </si>
  <si>
    <t>Assets:Current Assets:Receivables from Non-exchange Transactions:Property Rates:Mining Properties:Collections</t>
  </si>
  <si>
    <t>D0001/IA02662/F0001/X049/R1330/001/FIN</t>
  </si>
  <si>
    <t>Assets:Current Assets:Receivables from Non-exchange Transactions:Property Rates:Multiple Purposes:Impairment:Reversal</t>
  </si>
  <si>
    <t>D0001/IA02159/F0001/X049/R1330/001/FIN</t>
  </si>
  <si>
    <t>Assets:Current Assets:Receivables from Non-exchange Transactions:Property Rates:Mining Properties:Debt Write-offs</t>
  </si>
  <si>
    <t>D0001/IA02666/F0001/X049/R1330/001/FIN</t>
  </si>
  <si>
    <t>Assets:Current Assets:Receivables from Non-exchange Transactions:Property Rates:Municipal Properties:Impairment:Recognised</t>
  </si>
  <si>
    <t>D0001/IA08409/F0001/X049/R1330/001/FIN</t>
  </si>
  <si>
    <t>Assets:Current Assets:Receivables from Non-exchange Transactions:Property Rates:Mining Properties:Interest Charge</t>
  </si>
  <si>
    <t>D0001/IA02667/F0001/X049/R1330/001/FIN</t>
  </si>
  <si>
    <t>Assets:Current Assets:Receivables from Non-exchange Transactions:Property Rates:Municipal Properties:Impairment:Reversal</t>
  </si>
  <si>
    <t>D0001/IA02160/F0001/X049/R1330/001/FIN</t>
  </si>
  <si>
    <t>Assets:Current Assets:Receivables from Non-exchange Transactions:Property Rates:Mining Properties:Monthly Billing</t>
  </si>
  <si>
    <t>D0001/IA02670/F0001/X049/R1330/001/FIN</t>
  </si>
  <si>
    <t>Assets:Current Assets:Receivables from Non-exchange Transactions:Property Rates:National Monument Properties:Impairment:Recognised</t>
  </si>
  <si>
    <t>D0001/IA02162/F0001/X049/R1330/001/FIN</t>
  </si>
  <si>
    <t>Assets:Current Assets:Receivables from Non-exchange Transactions:Property Rates:Mining Properties:Prior Period Corrections and Adjustments</t>
  </si>
  <si>
    <t>D0001/IA02671/F0001/X049/R1330/001/FIN</t>
  </si>
  <si>
    <t>Assets:Current Assets:Receivables from Non-exchange Transactions:Property Rates:National Monument Properties:Impairment:Reversal</t>
  </si>
  <si>
    <t>D0001/IA02163/F0001/X049/R1330/001/FIN</t>
  </si>
  <si>
    <t>Assets:Current Assets:Receivables from Non-exchange Transactions:Property Rates:Multiple Purposes:Accrued Revenue</t>
  </si>
  <si>
    <t>D0001/IA02682/F0001/X049/R1330/001/FIN</t>
  </si>
  <si>
    <t>Assets:Current Assets:Receivables from Non-exchange Transactions:Property Rates:Public Benefit Organisations:Impairment:Recognised</t>
  </si>
  <si>
    <t>D0001/IA02165/F0001/X049/R1330/001/FIN</t>
  </si>
  <si>
    <t>Assets:Current Assets:Receivables from Non-exchange Transactions:Property Rates:Multiple Purposes:Collections</t>
  </si>
  <si>
    <t>D0001/IA02683/F0001/X049/R1330/001/FIN</t>
  </si>
  <si>
    <t>Assets:Current Assets:Receivables from Non-exchange Transactions:Property Rates:Public Benefit Organisations:Impairment:Reversal</t>
  </si>
  <si>
    <t>D0001/IA02166/F0001/X049/R1330/001/FIN</t>
  </si>
  <si>
    <t>Assets:Current Assets:Receivables from Non-exchange Transactions:Property Rates:Multiple Purposes:Debt Write-offs</t>
  </si>
  <si>
    <t>D0001/IA02686/F0001/X049/R1330/001/FIN</t>
  </si>
  <si>
    <t>Assets:Current Assets:Receivables from Non-exchange Transactions:Property Rates:Public Service Infrastructure:Impairment:Recognised</t>
  </si>
  <si>
    <t>D0001/IA08410/F0001/X049/R1330/001/FIN</t>
  </si>
  <si>
    <t>Assets:Current Assets:Receivables from Non-exchange Transactions:Property Rates:Multiple Purposes:Interest Charge</t>
  </si>
  <si>
    <t>D0001/IA02687/F0001/X049/R1330/001/FIN</t>
  </si>
  <si>
    <t>Assets:Current Assets:Receivables from Non-exchange Transactions:Property Rates:Public Service Infrastructure:Impairment:Reversal</t>
  </si>
  <si>
    <t>D0001/IA02167/F0001/X049/R1330/001/FIN</t>
  </si>
  <si>
    <t>Assets:Current Assets:Receivables from Non-exchange Transactions:Property Rates:Multiple Purposes:Monthly Billing</t>
  </si>
  <si>
    <t>D0001/IA02688/F0001/X049/R1330/001/FIN</t>
  </si>
  <si>
    <t>Assets:Current Assets:Receivables from Non-exchange Transactions:Property Rates:Residential Properties:Developed:Accrued Revenue</t>
  </si>
  <si>
    <t>D0001/IA02169/F0001/X049/R1330/001/FIN</t>
  </si>
  <si>
    <t>Assets:Current Assets:Receivables from Non-exchange Transactions:Property Rates:Multiple Purposes:Prior Period Corrections and Adjustments</t>
  </si>
  <si>
    <t>D0001/IA02690/F0001/X049/R1330/001/FIN</t>
  </si>
  <si>
    <t>Assets:Current Assets:Receivables from Non-exchange Transactions:Property Rates:Residential Properties:Developed:Collections</t>
  </si>
  <si>
    <t>D0001/IA02170/F0001/X049/R1330/001/FIN</t>
  </si>
  <si>
    <t>Assets:Current Assets:Receivables from Non-exchange Transactions:Property Rates:Municipal Properties:Accrued Revenue</t>
  </si>
  <si>
    <t>D0001/IA02691/F0001/X049/R1330/001/FIN</t>
  </si>
  <si>
    <t>Assets:Current Assets:Receivables from Non-exchange Transactions:Property Rates:Residential Properties:Developed:Debt Write-offs</t>
  </si>
  <si>
    <t>D0001/IA02172/F0001/X049/R1330/001/FIN</t>
  </si>
  <si>
    <t>Assets:Current Assets:Receivables from Non-exchange Transactions:Property Rates:Municipal Properties:Collections</t>
  </si>
  <si>
    <t>D0001/IA09948/F0001/X049/R1330/001/FIN</t>
  </si>
  <si>
    <t>Assets:Current Assets:Receivables from Non-exchange Transactions:Property Rates:Residential Properties:Developed:Interest Charge</t>
  </si>
  <si>
    <t>D0001/IA02173/F0001/X049/R1330/001/FIN</t>
  </si>
  <si>
    <t>Assets:Current Assets:Receivables from Non-exchange Transactions:Property Rates:Municipal Properties:Debt Write-offs</t>
  </si>
  <si>
    <t>D0001/IA02692/F0001/X049/R1330/001/FIN</t>
  </si>
  <si>
    <t>Assets:Current Assets:Receivables from Non-exchange Transactions:Property Rates:Residential Properties:Developed:Monthly Billing</t>
  </si>
  <si>
    <t>D0001/IA08411/F0001/X049/R1330/001/FIN</t>
  </si>
  <si>
    <t>Assets:Current Assets:Receivables from Non-exchange Transactions:Property Rates:Municipal Properties:Interest Charge</t>
  </si>
  <si>
    <t>D0001/IA02694/F0001/X049/R1330/001/FIN</t>
  </si>
  <si>
    <t>Assets:Current Assets:Receivables from Non-exchange Transactions:Property Rates:Residential Properties:Developed:Prior Period Corrections and Adjustments</t>
  </si>
  <si>
    <t>D0001/IA02174/F0001/X049/R1330/001/FIN</t>
  </si>
  <si>
    <t>Assets:Current Assets:Receivables from Non-exchange Transactions:Property Rates:Municipal Properties:Monthly Billing</t>
  </si>
  <si>
    <t>D0001/IA02695/F0001/X049/R1330/001/FIN</t>
  </si>
  <si>
    <t>Assets:Current Assets:Receivables from Non-exchange Transactions:Property Rates:Residential Properties:Vacant Land:Accrued Revenue</t>
  </si>
  <si>
    <t>D0001/IA02176/F0001/X049/R1330/001/FIN</t>
  </si>
  <si>
    <t>Assets:Current Assets:Receivables from Non-exchange Transactions:Property Rates:Municipal Properties:Prior Period Corrections and Adjustments</t>
  </si>
  <si>
    <t>D0001/IA02697/F0001/X049/R1330/001/FIN</t>
  </si>
  <si>
    <t>Assets:Current Assets:Receivables from Non-exchange Transactions:Property Rates:Residential Properties:Vacant Land:Collections</t>
  </si>
  <si>
    <t>D0001/IA02177/F0001/X049/R1330/001/FIN</t>
  </si>
  <si>
    <t>Assets:Current Assets:Receivables from Non-exchange Transactions:Property Rates:National Monument Properties:Accrued Revenue</t>
  </si>
  <si>
    <t>D0001/IA02698/F0001/X049/R1330/001/FIN</t>
  </si>
  <si>
    <t>Assets:Current Assets:Receivables from Non-exchange Transactions:Property Rates:Residential Properties:Vacant Land:Debt Write-offs</t>
  </si>
  <si>
    <t>D0001/IA02179/F0001/X049/R1330/001/FIN</t>
  </si>
  <si>
    <t>Assets:Current Assets:Receivables from Non-exchange Transactions:Property Rates:National Monument Properties:Collections</t>
  </si>
  <si>
    <t>D0001/IA09949/F0001/X049/R1330/001/FIN</t>
  </si>
  <si>
    <t>Assets:Current Assets:Receivables from Non-exchange Transactions:Property Rates:Residential Properties:Vacant Land:Interest Charge</t>
  </si>
  <si>
    <t>D0001/IA02180/F0001/X049/R1330/001/FIN</t>
  </si>
  <si>
    <t>Assets:Current Assets:Receivables from Non-exchange Transactions:Property Rates:National Monument Properties:Debt Write-offs</t>
  </si>
  <si>
    <t>D0001/IA02699/F0001/X049/R1330/001/FIN</t>
  </si>
  <si>
    <t>Assets:Current Assets:Receivables from Non-exchange Transactions:Property Rates:Residential Properties:Vacant Land:Monthly Billing</t>
  </si>
  <si>
    <t>D0001/IA08412/F0001/X049/R1330/001/FIN</t>
  </si>
  <si>
    <t>Assets:Current Assets:Receivables from Non-exchange Transactions:Property Rates:National Monument Properties:Interest Charge</t>
  </si>
  <si>
    <t>D0001/IA02701/F0001/X049/R1330/001/FIN</t>
  </si>
  <si>
    <t>Assets:Current Assets:Receivables from Non-exchange Transactions:Property Rates:Residential Properties:Vacant Land:Prior Period Corrections and Adjustments</t>
  </si>
  <si>
    <t>D0001/IA02181/F0001/X049/R1330/001/FIN</t>
  </si>
  <si>
    <t>Assets:Current Assets:Receivables from Non-exchange Transactions:Property Rates:National Monument Properties:Monthly Billing</t>
  </si>
  <si>
    <t>D0001/IA02757/F0001/X049/R1330/001/FIN</t>
  </si>
  <si>
    <t>Assets:Current Assets:Receivables from Non-exchange Transactions:Property Rates:State Trust Land:Impairment:Recognised</t>
  </si>
  <si>
    <t>D0001/IA02183/F0001/X049/R1330/001/FIN</t>
  </si>
  <si>
    <t>Assets:Current Assets:Receivables from Non-exchange Transactions:Property Rates:National Monument Properties:Prior Period Corrections and Adjustments</t>
  </si>
  <si>
    <t>D0001/IA02758/F0001/X049/R1330/001/FIN</t>
  </si>
  <si>
    <t>Assets:Current Assets:Receivables from Non-exchange Transactions:Property Rates:State Trust Land:Impairment:Reversal</t>
  </si>
  <si>
    <t>D0001/IA02198/F0001/X049/R1330/001/FIN</t>
  </si>
  <si>
    <t>Assets:Current Assets:Receivables from Non-exchange Transactions:Property Rates:Public Benefit Organisations:Accrued Revenue</t>
  </si>
  <si>
    <t>D0001/IA02759/F0001/X049/R1330/001/FIN</t>
  </si>
  <si>
    <t>Assets:Current Assets:Receivables from Non-exchange Transactions:Property Rates:State-owned Properties:National Government:Accrued Revenue</t>
  </si>
  <si>
    <t>D0001/IA02200/F0001/X049/R1330/001/FIN</t>
  </si>
  <si>
    <t>Assets:Current Assets:Receivables from Non-exchange Transactions:Property Rates:Public Benefit Organisations:Collections</t>
  </si>
  <si>
    <t>D0001/IA02761/F0001/X049/R1330/001/FIN</t>
  </si>
  <si>
    <t>Assets:Current Assets:Receivables from Non-exchange Transactions:Property Rates:State-owned Properties:National Government:Collections</t>
  </si>
  <si>
    <t>D0001/IA02201/F0001/X049/R1330/001/FIN</t>
  </si>
  <si>
    <t>Assets:Current Assets:Receivables from Non-exchange Transactions:Property Rates:Public Benefit Organisations:Debt Write-offs</t>
  </si>
  <si>
    <t>D0001/IA02762/F0001/X049/R1330/001/FIN</t>
  </si>
  <si>
    <t>Assets:Current Assets:Receivables from Non-exchange Transactions:Property Rates:State-owned Properties:National Government:Debt Write-offs</t>
  </si>
  <si>
    <t>D0001/IA08415/F0001/X049/R1330/001/FIN</t>
  </si>
  <si>
    <t>Assets:Current Assets:Receivables from Non-exchange Transactions:Property Rates:Public Benefit Organisations:Interest Charge</t>
  </si>
  <si>
    <t>D0001/IA09957/F0001/X049/R1330/001/FIN</t>
  </si>
  <si>
    <t>Assets:Current Assets:Receivables from Non-exchange Transactions:Property Rates:State-owned Properties:National Government:Interest Charge</t>
  </si>
  <si>
    <t>D0001/IA02202/F0001/X049/R1330/001/FIN</t>
  </si>
  <si>
    <t>Assets:Current Assets:Receivables from Non-exchange Transactions:Property Rates:Public Benefit Organisations:Monthly Billing</t>
  </si>
  <si>
    <t>D0001/IA02204/F0001/X049/R1330/001/FIN</t>
  </si>
  <si>
    <t>Assets:Current Assets:Receivables from Non-exchange Transactions:Property Rates:Public Benefit Organisations:Prior Period Corrections and Adjustments</t>
  </si>
  <si>
    <t>D0001/IA02763/F0001/X049/R1330/001/FIN</t>
  </si>
  <si>
    <t>Assets:Current Assets:Receivables from Non-exchange Transactions:Property Rates:State-owned Properties:National Government:Monthly Billing</t>
  </si>
  <si>
    <t>D0001/IA02765/F0001/X049/R1330/001/FIN</t>
  </si>
  <si>
    <t>Assets:Current Assets:Receivables from Non-exchange Transactions:Property Rates:State-owned Properties:National Government:Prior Period Corrections and Adjustments</t>
  </si>
  <si>
    <t>D0001/IA02205/F0001/X049/R1330/001/FIN</t>
  </si>
  <si>
    <t>Assets:Current Assets:Receivables from Non-exchange Transactions:Property Rates:Public Service Infrastructure:Accrued Revenue</t>
  </si>
  <si>
    <t>D0001/IA02766/F0001/X049/R1330/001/FIN</t>
  </si>
  <si>
    <t>Assets:Current Assets:Receivables from Non-exchange Transactions:Property Rates:State-owned Properties:Provincial Government:Accrued Revenue</t>
  </si>
  <si>
    <t>D0001/IA02207/F0001/X049/R1330/001/FIN</t>
  </si>
  <si>
    <t>Assets:Current Assets:Receivables from Non-exchange Transactions:Property Rates:Public Service Infrastructure:Collections</t>
  </si>
  <si>
    <t>D0001/IA02768/F0001/X049/R1330/001/FIN</t>
  </si>
  <si>
    <t>Assets:Current Assets:Receivables from Non-exchange Transactions:Property Rates:State-owned Properties:Provincial Government:Collections</t>
  </si>
  <si>
    <t>D0001/IA02208/F0001/X049/R1330/001/FIN</t>
  </si>
  <si>
    <t>Assets:Current Assets:Receivables from Non-exchange Transactions:Property Rates:Public Service Infrastructure:Debt Write-offs</t>
  </si>
  <si>
    <t>D0001/IA02769/F0001/X049/R1330/001/FIN</t>
  </si>
  <si>
    <t>Assets:Current Assets:Receivables from Non-exchange Transactions:Property Rates:State-owned Properties:Provincial Government:Debt Write-offs</t>
  </si>
  <si>
    <t>D0001/IA08416/F0001/X049/R1330/001/FIN</t>
  </si>
  <si>
    <t>Assets:Current Assets:Receivables from Non-exchange Transactions:Property Rates:Public Service Infrastructure:Interest Charge</t>
  </si>
  <si>
    <t>D0001/IA09958/F0001/X049/R1330/001/FIN</t>
  </si>
  <si>
    <t>Assets:Current Assets:Receivables from Non-exchange Transactions:Property Rates:State-owned Properties:Provincial Government:Interest Charge</t>
  </si>
  <si>
    <t>D0001/IA02209/F0001/X049/R1330/001/FIN</t>
  </si>
  <si>
    <t>Assets:Current Assets:Receivables from Non-exchange Transactions:Property Rates:Public Service Infrastructure:Monthly Billing</t>
  </si>
  <si>
    <t>D0001/IA02770/F0001/X049/R1330/001/FIN</t>
  </si>
  <si>
    <t>Assets:Current Assets:Receivables from Non-exchange Transactions:Property Rates:State-owned Properties:Provincial Government:Monthly Billing</t>
  </si>
  <si>
    <t>D0001/IA02211/F0001/X049/R1330/001/FIN</t>
  </si>
  <si>
    <t>Assets:Current Assets:Receivables from Non-exchange Transactions:Property Rates:Public Service Infrastructure:Prior Period Corrections and Adjustments</t>
  </si>
  <si>
    <t>D0001/IA02772/F0001/X049/R1330/001/FIN</t>
  </si>
  <si>
    <t>Assets:Current Assets:Receivables from Non-exchange Transactions:Property Rates:State-owned Properties:Provincial Government:Prior Period Corrections and Adjustments</t>
  </si>
  <si>
    <t>D0001/IA02219/F0001/X049/R1330/001/FIN</t>
  </si>
  <si>
    <t>Assets:Current Assets:Receivables from Non-exchange Transactions:Property Rates:State Trust Land:Accrued Revenue</t>
  </si>
  <si>
    <t>D0001/IA00392/F0001/X049/R1330/001/FIN</t>
  </si>
  <si>
    <t>Assets:Current Assets:Receivables from Non-exchange Transactions:Property Rates:Communal Land:Residential:Impairment:Recognised</t>
  </si>
  <si>
    <t>D0001/IA02221/F0001/X049/R1330/001/FIN</t>
  </si>
  <si>
    <t>Assets:Current Assets:Receivables from Non-exchange Transactions:Property Rates:State Trust Land:Collections</t>
  </si>
  <si>
    <t>D0001/IA00393/F0001/X049/R1330/001/FIN</t>
  </si>
  <si>
    <t>Assets:Current Assets:Receivables from Non-exchange Transactions:Property Rates:Communal Land:Residential:Impairment:Reversal</t>
  </si>
  <si>
    <t>D0001/IA02222/F0001/X049/R1330/001/FIN</t>
  </si>
  <si>
    <t>Assets:Current Assets:Receivables from Non-exchange Transactions:Property Rates:State Trust Land:Debt Write-offs</t>
  </si>
  <si>
    <t>D0001/IA08418/F0001/X049/R1330/001/FIN</t>
  </si>
  <si>
    <t>Assets:Current Assets:Receivables from Non-exchange Transactions:Property Rates:State Trust Land:Interest Charge</t>
  </si>
  <si>
    <t>D0001/IA00396/F0001/X049/R1330/001/FIN</t>
  </si>
  <si>
    <t>Assets:Current Assets:Receivables from Non-exchange Transactions:Property Rates:Communal Land:Small Holdings:Impairment:Recognised</t>
  </si>
  <si>
    <t>D0001/IA02223/F0001/X049/R1330/001/FIN</t>
  </si>
  <si>
    <t>Assets:Current Assets:Receivables from Non-exchange Transactions:Property Rates:State Trust Land:Monthly Billing</t>
  </si>
  <si>
    <t>D0001/IA00397/F0001/X049/R1330/001/FIN</t>
  </si>
  <si>
    <t>Assets:Current Assets:Receivables from Non-exchange Transactions:Property Rates:Communal Land:Small Holdings:Impairment:Reversal</t>
  </si>
  <si>
    <t>D0001/IA02225/F0001/X049/R1330/001/FIN</t>
  </si>
  <si>
    <t>Assets:Current Assets:Receivables from Non-exchange Transactions:Property Rates:State Trust Land:Prior Period Corrections and Adjustments</t>
  </si>
  <si>
    <t>D0001/IA00400/F0001/X049/R1330/001/FIN</t>
  </si>
  <si>
    <t>Assets:Current Assets:Receivables from Non-exchange Transactions:Property Rates:Farm Properties:Agricultural Purposes:Impairment:Recognised</t>
  </si>
  <si>
    <t>D0001/IA02563/F0001/X049/R1330/001/FIN</t>
  </si>
  <si>
    <t>Assets:Current Assets:Receivables from Non-exchange Transactions:Property Rates:Agricultural Properties:Impairment:Opening Balance</t>
  </si>
  <si>
    <t>D0001/IA00401/F0001/X049/R1330/001/FIN</t>
  </si>
  <si>
    <t>Assets:Current Assets:Receivables from Non-exchange Transactions:Property Rates:Farm Properties:Agricultural Purposes:Impairment:Reversal</t>
  </si>
  <si>
    <t>D0001/IA00404/F0001/X049/R1330/001/FIN</t>
  </si>
  <si>
    <t>Assets:Current Assets:Receivables from Non-exchange Transactions:Property Rates:Farm Properties:Business and Commercial Purposes:Impairment:Recognised</t>
  </si>
  <si>
    <t>D0001/IA02565/F0001/X049/R1330/001/FIN</t>
  </si>
  <si>
    <t>Assets:Current Assets:Receivables from Non-exchange Transactions:Property Rates:Agricultural Properties:Impairment:Reversal</t>
  </si>
  <si>
    <t>D0001/IA02568/F0001/X049/R1330/001/FIN</t>
  </si>
  <si>
    <t>Assets:Current Assets:Receivables from Non-exchange Transactions:Property Rates:Business  and Commercial:Impairment:Recognised</t>
  </si>
  <si>
    <t>D0001/IA00405/F0001/X049/R1330/001/FIN</t>
  </si>
  <si>
    <t>Assets:Current Assets:Receivables from Non-exchange Transactions:Property Rates:Farm Properties:Business and Commercial Purposes:Impairment:Reversal</t>
  </si>
  <si>
    <t>D0001/IA02569/F0001/X049/R1330/001/FIN</t>
  </si>
  <si>
    <t>Assets:Current Assets:Receivables from Non-exchange Transactions:Property Rates:Business  and Commercial:Impairment:Reversal</t>
  </si>
  <si>
    <t>D0001/IA00408/F0001/X049/R1330/001/FIN</t>
  </si>
  <si>
    <t>Assets:Current Assets:Receivables from Non-exchange Transactions:Property Rates:Farm Properties:Farm Properties not used for any Purpose:Impairment:Recognised</t>
  </si>
  <si>
    <t>D0001/IA00409/F0001/X049/R1330/001/FIN</t>
  </si>
  <si>
    <t>Assets:Current Assets:Receivables from Non-exchange Transactions:Property Rates:Farm Properties:Farm Properties not used for any Purpose:Impairment:Reversal</t>
  </si>
  <si>
    <t>D0001/IA02591/F0001/X049/R1330/001/FIN</t>
  </si>
  <si>
    <t>Assets:Current Assets:Receivables from Non-exchange Transactions:Property Rates:Communal Land:Residential:Accrued Revenue</t>
  </si>
  <si>
    <t>D0001/IA00412/F0001/X049/R1330/001/FIN</t>
  </si>
  <si>
    <t>Assets:Current Assets:Receivables from Non-exchange Transactions:Property Rates:Farm Properties:Industrial Purposes:Impairment:Recognised</t>
  </si>
  <si>
    <t>D0001/IA02593/F0001/X049/R1330/001/FIN</t>
  </si>
  <si>
    <t>Assets:Current Assets:Receivables from Non-exchange Transactions:Property Rates:Communal Land:Residential:Collections</t>
  </si>
  <si>
    <t>D0001/IA00413/F0001/X049/R1330/001/FIN</t>
  </si>
  <si>
    <t>Assets:Current Assets:Receivables from Non-exchange Transactions:Property Rates:Farm Properties:Industrial Purposes:Impairment:Reversal</t>
  </si>
  <si>
    <t>D0001/IA02594/F0001/X049/R1330/001/FIN</t>
  </si>
  <si>
    <t>Assets:Current Assets:Receivables from Non-exchange Transactions:Property Rates:Communal Land:Residential:Debt Write-offs</t>
  </si>
  <si>
    <t>D0001/IA00416/F0001/X049/R1330/001/FIN</t>
  </si>
  <si>
    <t>Assets:Current Assets:Receivables from Non-exchange Transactions:Property Rates:Farm Properties:Other Purpose than Above:Impairment:Recognised</t>
  </si>
  <si>
    <t>D0001/IA09940/F0001/X049/R1330/001/FIN</t>
  </si>
  <si>
    <t>Assets:Current Assets:Receivables from Non-exchange Transactions:Property Rates:Communal Land:Residential:Interest Charge</t>
  </si>
  <si>
    <t>D0001/IA00417/F0001/X049/R1330/001/FIN</t>
  </si>
  <si>
    <t>Assets:Current Assets:Receivables from Non-exchange Transactions:Property Rates:Farm Properties:Other Purpose than Above:Impairment:Reversal</t>
  </si>
  <si>
    <t>D0001/IA02595/F0001/X049/R1330/001/FIN</t>
  </si>
  <si>
    <t>Assets:Current Assets:Receivables from Non-exchange Transactions:Property Rates:Communal Land:Residential:Monthly Billing</t>
  </si>
  <si>
    <t>D0001/IA00420/F0001/X049/R1330/001/FIN</t>
  </si>
  <si>
    <t>Assets:Current Assets:Receivables from Non-exchange Transactions:Property Rates:Farm Properties:Residential Properties:Impairment:Recognised</t>
  </si>
  <si>
    <t>D0001/IA02597/F0001/X049/R1330/001/FIN</t>
  </si>
  <si>
    <t>Assets:Current Assets:Receivables from Non-exchange Transactions:Property Rates:Communal Land:Residential:Prior Period Corrections and Adjustments</t>
  </si>
  <si>
    <t>D0001/IA02598/F0001/X049/R1330/001/FIN</t>
  </si>
  <si>
    <t>Assets:Current Assets:Receivables from Non-exchange Transactions:Property Rates:Communal Land:Small Holdings:Accrued Revenue</t>
  </si>
  <si>
    <t>D0001/IA00421/F0001/X049/R1330/001/FIN</t>
  </si>
  <si>
    <t>Assets:Current Assets:Receivables from Non-exchange Transactions:Property Rates:Farm Properties:Residential Properties:Impairment:Reversal</t>
  </si>
  <si>
    <t>D0001/IA00424/F0001/X049/R1330/001/FIN</t>
  </si>
  <si>
    <t>Assets:Current Assets:Receivables from Non-exchange Transactions:Property Rates:Residential Properties:Developed:Impairment:Recognised</t>
  </si>
  <si>
    <t>D0001/IA02600/F0001/X049/R1330/001/FIN</t>
  </si>
  <si>
    <t>Assets:Current Assets:Receivables from Non-exchange Transactions:Property Rates:Communal Land:Small Holdings:Collections</t>
  </si>
  <si>
    <t>D0001/IA02601/F0001/X049/R1330/001/FIN</t>
  </si>
  <si>
    <t>Assets:Current Assets:Receivables from Non-exchange Transactions:Property Rates:Communal Land:Small Holdings:Debt Write-offs</t>
  </si>
  <si>
    <t>D0001/IA00425/F0001/X049/R1330/001/FIN</t>
  </si>
  <si>
    <t>Assets:Current Assets:Receivables from Non-exchange Transactions:Property Rates:Residential Properties:Developed:Impairment:Reversal</t>
  </si>
  <si>
    <t>D0001/IA00428/F0001/X049/R1330/001/FIN</t>
  </si>
  <si>
    <t>Assets:Current Assets:Receivables from Non-exchange Transactions:Property Rates:Residential Properties:Vacant Land:Impairment:Recognised</t>
  </si>
  <si>
    <t>D0001/IA09941/F0001/X049/R1330/001/FIN</t>
  </si>
  <si>
    <t>Assets:Current Assets:Receivables from Non-exchange Transactions:Property Rates:Communal Land:Small Holdings:Interest Charge</t>
  </si>
  <si>
    <t>D0001/IA00429/F0001/X049/R1330/001/FIN</t>
  </si>
  <si>
    <t>Assets:Current Assets:Receivables from Non-exchange Transactions:Property Rates:Residential Properties:Vacant Land:Impairment:Reversal</t>
  </si>
  <si>
    <t>D0001/IA02602/F0001/X049/R1330/001/FIN</t>
  </si>
  <si>
    <t>Assets:Current Assets:Receivables from Non-exchange Transactions:Property Rates:Communal Land:Small Holdings:Monthly Billing</t>
  </si>
  <si>
    <t>D0001/IA02604/F0001/X049/R1330/001/FIN</t>
  </si>
  <si>
    <t>Assets:Current Assets:Receivables from Non-exchange Transactions:Property Rates:Communal Land:Small Holdings:Prior Period Corrections and Adjustments</t>
  </si>
  <si>
    <t>D0001/IA00460/F0001/X049/R1330/001/FIN</t>
  </si>
  <si>
    <t>Assets:Current Assets:Receivables from Non-exchange Transactions:Property Rates:State-owned Properties:National Government:Impairment:Recognised</t>
  </si>
  <si>
    <t>D0001/IA00461/F0001/X049/R1330/001/FIN</t>
  </si>
  <si>
    <t>Assets:Current Assets:Receivables from Non-exchange Transactions:Property Rates:State-owned Properties:National Government:Impairment:Reversal</t>
  </si>
  <si>
    <t>D0001/IA02605/F0001/X049/R1330/001/FIN</t>
  </si>
  <si>
    <t>Assets:Current Assets:Receivables from Non-exchange Transactions:Property Rates:Farm Properties:Agricultural Purposes:Accrued Revenue</t>
  </si>
  <si>
    <t>D0001/IA00464/F0001/X049/R1330/001/FIN</t>
  </si>
  <si>
    <t>Assets:Current Assets:Receivables from Non-exchange Transactions:Property Rates:State-owned Properties:Provincial Government:Impairment:Recognised</t>
  </si>
  <si>
    <t>D0001/IA02607/F0001/X049/R1330/001/FIN</t>
  </si>
  <si>
    <t>Assets:Current Assets:Receivables from Non-exchange Transactions:Property Rates:Farm Properties:Agricultural Purposes:Collections</t>
  </si>
  <si>
    <t>D0001/IA02608/F0001/X049/R1330/001/FIN</t>
  </si>
  <si>
    <t>Assets:Current Assets:Receivables from Non-exchange Transactions:Property Rates:Farm Properties:Agricultural Purposes:Debt Write-offs</t>
  </si>
  <si>
    <t>D0001/IA00465/F0001/X049/R1330/001/FIN</t>
  </si>
  <si>
    <t>Assets:Current Assets:Receivables from Non-exchange Transactions:Property Rates:State-owned Properties:Provincial Government:Impairment:Reversal</t>
  </si>
  <si>
    <t>D0001/IA09942/F0001/X049/R1330/001/FIN</t>
  </si>
  <si>
    <t>Assets:Current Assets:Receivables from Non-exchange Transactions:Property Rates:Farm Properties:Agricultural Purposes:Interest Charge</t>
  </si>
  <si>
    <t>D0001/IA02609/F0001/X049/R1330/001/FIN</t>
  </si>
  <si>
    <t>Assets:Current Assets:Receivables from Non-exchange Transactions:Property Rates:Farm Properties:Agricultural Purposes:Monthly Billing</t>
  </si>
  <si>
    <t>D0001/IA02611/F0001/X049/R1330/001/FIN</t>
  </si>
  <si>
    <t>Assets:Current Assets:Receivables from Non-exchange Transactions:Property Rates:Farm Properties:Agricultural Purposes:Prior Period Corrections and Adjustments</t>
  </si>
  <si>
    <t>D0001/IA02612/F0001/X049/R1330/001/FIN</t>
  </si>
  <si>
    <t>Assets:Current Assets:Receivables from Non-exchange Transactions:Property Rates:Farm Properties:Business and Commercial Purposes:Accrued Revenue</t>
  </si>
  <si>
    <t>D0001/IA02614/F0001/X049/R1330/001/FIN</t>
  </si>
  <si>
    <t>Assets:Current Assets:Receivables from Non-exchange Transactions:Property Rates:Farm Properties:Business and Commercial Purposes:Collections</t>
  </si>
  <si>
    <t>D0001/IA02615/F0001/X049/R1330/001/FIN</t>
  </si>
  <si>
    <t>Assets:Current Assets:Receivables from Non-exchange Transactions:Property Rates:Farm Properties:Business and Commercial Purposes:Debt Write-offs</t>
  </si>
  <si>
    <t>D0001/IA09943/F0001/X049/R1330/001/FIN</t>
  </si>
  <si>
    <t>Assets:Current Assets:Receivables from Non-exchange Transactions:Property Rates:Farm Properties:Business and Commercial Purposes:Interest Charge</t>
  </si>
  <si>
    <t>D0001/IA02616/F0001/X049/R1330/001/FIN</t>
  </si>
  <si>
    <t>Assets:Current Assets:Receivables from Non-exchange Transactions:Property Rates:Farm Properties:Business and Commercial Purposes:Monthly Billing</t>
  </si>
  <si>
    <t>D0001/IA02618/F0001/X049/R1330/001/FIN</t>
  </si>
  <si>
    <t>Assets:Current Assets:Receivables from Non-exchange Transactions:Property Rates:Farm Properties:Business and Commercial Purposes:Prior Period Corrections and Recognised</t>
  </si>
  <si>
    <t>D0001/IA02372/F13637/X132/R1330/001/FIN</t>
  </si>
  <si>
    <t>Assets:Current Assets:Trade and other Receivables from Exchange Transactions:Trading Service and Customer Service Debtors:Waste Management:Accrued Revenue</t>
  </si>
  <si>
    <t>D0001/IA02374/F13638/X132/R1330/001/FIN</t>
  </si>
  <si>
    <t>Assets:Current Assets:Trade and other Receivables from Exchange Transactions:Trading Service and Customer Service Debtors:Waste Management:Collections</t>
  </si>
  <si>
    <t>D0001/IA02375/F13638/X132/R1330/001/FIN</t>
  </si>
  <si>
    <t>Assets:Current Assets:Trade and other Receivables from Exchange Transactions:Trading Service and Customer Service Debtors:Waste Management:Debt Write-off</t>
  </si>
  <si>
    <t>D0001/IA08437/F13636/X132/R1330/001/FIN</t>
  </si>
  <si>
    <t>Assets:Current Assets:Trade and other Receivables from Exchange Transactions:Trading Service and Customer Service Debtors:Waste Management:Interest Charge</t>
  </si>
  <si>
    <t>D0001/IA02811/F13639/X132/R1330/001/FIN</t>
  </si>
  <si>
    <t>Assets:Current Assets:Trade and other Receivables from Exchange Transactions:Trading Service and Customer Service Debtors:Waste Management:Impairment:Recognised</t>
  </si>
  <si>
    <t>D0001/IA02812/F13639/X132/R1330/001/FIN</t>
  </si>
  <si>
    <t>Assets:Current Assets:Trade and other Receivables from Exchange Transactions:Trading Service and Customer Service Debtors:Waste Management:Impairment:Reversal</t>
  </si>
  <si>
    <t>D0001/IA02378/F13637/X132/R1330/001/FIN</t>
  </si>
  <si>
    <t>Assets:Current Assets:Trade and other Receivables from Exchange Transactions:Trading Service and Customer Service Debtors:Waste Management:Prior Period Corrections and Adjustments</t>
  </si>
  <si>
    <t>D0001/IL38614/F13636/X132/R1330/001/FIN</t>
  </si>
  <si>
    <t>Liabilities:Current Liabilities:Consumer Deposits:Refuse:Deposits</t>
  </si>
  <si>
    <t xml:space="preserve"> Consumer deposits</t>
  </si>
  <si>
    <t>D0001/IA10214/F0001/X049/R1330/001/FIN</t>
  </si>
  <si>
    <t>Assets:Current Assets:Cash and Cash Equivalents:Cash on Hand:Petty Cash:Opening Balance</t>
  </si>
  <si>
    <t>D0001/IA10211/F0001/X049/R1330/001/FIN</t>
  </si>
  <si>
    <t>Assets:Current Assets:Cash and Cash Equivalents:Cash on Hand:Cash in Transit:Opening Balance</t>
  </si>
  <si>
    <t>D0001/IL53935/F0001/X049/R1330/001/FIN</t>
  </si>
  <si>
    <t>Liabilities:Current Liabilities:Trade and Other Payable Exchange Transactions:Unallocated Deposits:Deposits</t>
  </si>
  <si>
    <t>D0001/IA10352/F0001/X049/R1330/001/FIN</t>
  </si>
  <si>
    <t>Assets:Current Assets:Inventory:Materials and Supplies:Acquisitions</t>
  </si>
  <si>
    <t>D0001/IA09591/F0001/X049/R1330/001/FIN</t>
  </si>
  <si>
    <t>D0001/IA10337/F0001/X049/R1330/001/FIN</t>
  </si>
  <si>
    <t>Assets:Current Assets:Inventory:Consumables:Standard Rated:Acquisitions</t>
  </si>
  <si>
    <t>D0001/IA10342/F0001/X049/R1330/001/FIN</t>
  </si>
  <si>
    <t>Assets:Current Assets:Inventory:Consumables:Zero Rated:Acquisitions</t>
  </si>
  <si>
    <t>D0001/IL37839/F0001/X049/R1330/001/FIN</t>
  </si>
  <si>
    <t>Liabilities:Current Liabilities:VAT Payable (Control):Opening Balance</t>
  </si>
  <si>
    <t>D0001/IZ00012/F0001/X049/R1330/001/FIN</t>
  </si>
  <si>
    <t>Gains and Losses:Inventory:Decrease in net-realisable Value</t>
  </si>
  <si>
    <t>Loss on disposal of PPE</t>
  </si>
  <si>
    <t>D0001/IA10352/F0001/X049/R0395/001/FIN</t>
  </si>
  <si>
    <t>D0001/IA02563/F0001/X049/R1331/001/FIN</t>
  </si>
  <si>
    <t>D0001/IA02565/F0001/X049/R1331/001/FIN</t>
  </si>
  <si>
    <t>D0001/IA02128/F0001/X049/R1331/001/FIN</t>
  </si>
  <si>
    <t>D0001/IA02131/F0001/X049/R1331/001/FIN</t>
  </si>
  <si>
    <t>D0001/IA08405/F0001/X049/R1331/001/FIN</t>
  </si>
  <si>
    <t>D0001/IA02134/F0001/X049/R1331/001/FIN</t>
  </si>
  <si>
    <t>D0001/IA02568/F0001/X049/R1331/001/FIN</t>
  </si>
  <si>
    <t>D0001/IA02569/F0001/X049/R1331/001/FIN</t>
  </si>
  <si>
    <t>D0001/IA02137/F0001/X049/R1331/001/FIN</t>
  </si>
  <si>
    <t>D0001/IA02138/F0001/X049/R1331/001/FIN</t>
  </si>
  <si>
    <t>D0001/IA08406/F0001/X049/R1331/001/FIN</t>
  </si>
  <si>
    <t>D0001/IA02141/F0047/X049/R1331/001/FIN</t>
  </si>
  <si>
    <t>D0001/IA00396/F0001/X049/R1331/001/FIN</t>
  </si>
  <si>
    <t>D0001/IA00397/F0001/X049/R1331/001/FIN</t>
  </si>
  <si>
    <t>D0001/IA02598/F0001/X049/R1331/001/FIN</t>
  </si>
  <si>
    <t>D0001/IA02601/F0001/X049/R1331/001/FIN</t>
  </si>
  <si>
    <t>D0001/IA09941/F0001/X049/R1331/001/FIN</t>
  </si>
  <si>
    <t>D0001/IA02604/F0001/X049/R1331/001/FIN</t>
  </si>
  <si>
    <t>D0001/IA00392/F0001/X049/R1331/001/FIN</t>
  </si>
  <si>
    <t>D0001/IA00393/F0001/X049/R1331/001/FIN</t>
  </si>
  <si>
    <t>D0001/IA02591/F0001/X049/R1331/001/FIN</t>
  </si>
  <si>
    <t>D0001/IA02593/F0001/X049/R1331/001/FIN</t>
  </si>
  <si>
    <t>D0001/IA02594/F0001/X049/R1331/001/FIN</t>
  </si>
  <si>
    <t>D0001/IA09940/F0001/X049/R1331/001/FIN</t>
  </si>
  <si>
    <t>D0001/IA02595/F0001/X049/R1331/001/FIN</t>
  </si>
  <si>
    <t>D0001/IA02597/F0001/X049/R1331/001/FIN</t>
  </si>
  <si>
    <t>D0001/IA00388/F0001/X049/R1331/001/FIN</t>
  </si>
  <si>
    <t>Assets:Current Assets:Receivables from Non-exchange Transactions:Property Rates:Communal Land:Other:Impairment:Recognised</t>
  </si>
  <si>
    <t>D0001/IA00389/F0001/X049/R1331/001/FIN</t>
  </si>
  <si>
    <t>Assets:Current Assets:Receivables from Non-exchange Transactions:Property Rates:Communal Land:Other:Impairment:Reversal</t>
  </si>
  <si>
    <t>D0001/IA02584/F0001/X049/R1331/001/FIN</t>
  </si>
  <si>
    <t>Assets:Current Assets:Receivables from Non-exchange Transactions:Property Rates:Communal Land:Other:Accrued Revenue</t>
  </si>
  <si>
    <t>D0001/IA02586/F0001/X049/R1331/001/FIN</t>
  </si>
  <si>
    <t>Assets:Current Assets:Receivables from Non-exchange Transactions:Property Rates:Communal Land:Other:Collections</t>
  </si>
  <si>
    <t>D0001/IA02587/F0001/X049/R1331/001/FIN</t>
  </si>
  <si>
    <t>Assets:Current Assets:Receivables from Non-exchange Transactions:Property Rates:Communal Land:Other:Debt Write-offs</t>
  </si>
  <si>
    <t>D0001/IA09939/F0001/X049/R1331/001/FIN</t>
  </si>
  <si>
    <t>Assets:Current Assets:Receivables from Non-exchange Transactions:Property Rates:Communal Land:Other:Interest Charge</t>
  </si>
  <si>
    <t>D0001/IA02588/F0001/X049/R1331/001/FIN</t>
  </si>
  <si>
    <t>Assets:Current Assets:Receivables from Non-exchange Transactions:Property Rates:Communal Land:Other:Monthly Billing</t>
  </si>
  <si>
    <t>D0001/IA02590/F0001/X049/R1331/001/FIN</t>
  </si>
  <si>
    <t>Assets:Current Assets:Receivables from Non-exchange Transactions:Property Rates:Communal Land:Other:Prior Period Corrections and Adjustments</t>
  </si>
  <si>
    <t>D0001/IA00384/F0001/X049/R1331/001/FIN</t>
  </si>
  <si>
    <t>Assets:Current Assets:Receivables from Non-exchange Transactions:Property Rates:Communal Land:Farm Property:Impairment:Recognised</t>
  </si>
  <si>
    <t>D0001/IA00385/F0001/X049/R1331/001/FIN</t>
  </si>
  <si>
    <t>Assets:Current Assets:Receivables from Non-exchange Transactions:Property Rates:Communal Land:Farm Property:Impairment:Reversal</t>
  </si>
  <si>
    <t>D0001/IA02577/F0001/X049/R1331/001/FIN</t>
  </si>
  <si>
    <t>Assets:Current Assets:Receivables from Non-exchange Transactions:Property Rates:Communal Land:Farm Property:Accrued Revenue</t>
  </si>
  <si>
    <t>D0001/IA02579/F0001/X049/R1331/001/FIN</t>
  </si>
  <si>
    <t>Assets:Current Assets:Receivables from Non-exchange Transactions:Property Rates:Communal Land:Farm Property:Collections</t>
  </si>
  <si>
    <t>D0001/IA02580/F0001/X049/R1331/001/FIN</t>
  </si>
  <si>
    <t>Assets:Current Assets:Receivables from Non-exchange Transactions:Property Rates:Communal Land:Farm Property:Debt Write-offs</t>
  </si>
  <si>
    <t>D0001/IA09938/F0001/X049/R1331/001/FIN</t>
  </si>
  <si>
    <t>Assets:Current Assets:Receivables from Non-exchange Transactions:Property Rates:Communal Land:Farm Property:Interest Charge</t>
  </si>
  <si>
    <t>D0001/IA02581/F0001/X049/R1331/001/FIN</t>
  </si>
  <si>
    <t>Assets:Current Assets:Receivables from Non-exchange Transactions:Property Rates:Communal Land:Farm Property:Monthly Billing</t>
  </si>
  <si>
    <t>D0001/IA02583/F0001/X049/R1331/001/FIN</t>
  </si>
  <si>
    <t>Assets:Current Assets:Receivables from Non-exchange Transactions:Property Rates:Communal Land:Farm Property:Prior Period Corrections and Adjustments</t>
  </si>
  <si>
    <t>D0001/IA00380/F0001/X049/R1331/001/FIN</t>
  </si>
  <si>
    <t>Assets:Current Assets:Receivables from Non-exchange Transactions:Property Rates:Communal Land:Business and Commercial:Impairment:Recognised</t>
  </si>
  <si>
    <t>D0001/IA00381/F0001/X049/R1331/001/FIN</t>
  </si>
  <si>
    <t>Assets:Current Assets:Receivables from Non-exchange Transactions:Property Rates:Communal Land:Business and Commercial:Impairment:Reversal</t>
  </si>
  <si>
    <t>D0001/IA02570/F0001/X049/R1331/001/FIN</t>
  </si>
  <si>
    <t>Assets:Current Assets:Receivables from Non-exchange Transactions:Property Rates:Communal Land:Business and Commercial:Accrued Revenue</t>
  </si>
  <si>
    <t>D0001/IA02572/F0001/X049/R1331/001/FIN</t>
  </si>
  <si>
    <t>Assets:Current Assets:Receivables from Non-exchange Transactions:Property Rates:Communal Land:Business and Commercial:Collections</t>
  </si>
  <si>
    <t>D0001/IA02573/F0001/X049/R1331/001/FIN</t>
  </si>
  <si>
    <t>Assets:Current Assets:Receivables from Non-exchange Transactions:Property Rates:Communal Land:Business and Commercial:Debt Write-offs</t>
  </si>
  <si>
    <t>D0001/IA09937/F0001/X049/R1331/001/FIN</t>
  </si>
  <si>
    <t>Assets:Current Assets:Receivables from Non-exchange Transactions:Property Rates:Communal Land:Business and Commercial:Interest Charge</t>
  </si>
  <si>
    <t>D0001/IA02574/F0001/X049/R1331/001/FIN</t>
  </si>
  <si>
    <t>Assets:Current Assets:Receivables from Non-exchange Transactions:Property Rates:Communal Land:Business and Commercial:Monthly Billing</t>
  </si>
  <si>
    <t>D0001/IA02576/F0001/X049/R1331/001/FIN</t>
  </si>
  <si>
    <t>Assets:Current Assets:Receivables from Non-exchange Transactions:Property Rates:Communal Land:Business and Commercial:Prior Period Corrections and Adjustments</t>
  </si>
  <si>
    <t>D0001/IA02649/F0001/X049/R1330/001/FIN</t>
  </si>
  <si>
    <t>Assets:Current Assets:Receivables from Non-exchange Transactions:Property Rates:Formal and Informal Settlements:Impairment:Recognised</t>
  </si>
  <si>
    <t>D0001/IA02650/F0001/X049/R1330/001/FIN</t>
  </si>
  <si>
    <t>Assets:Current Assets:Receivables from Non-exchange Transactions:Property Rates:Formal and Informal Settlements:Impairment:Reversal</t>
  </si>
  <si>
    <t>D0001/IA02142/F0001/X049/R1330/001/FIN</t>
  </si>
  <si>
    <t>Assets:Current Assets:Receivables from Non-exchange Transactions:Property Rates:Formal and Informal Settlements:Accrued Revenue</t>
  </si>
  <si>
    <t>D0001/IA02144/F0001/X049/R1330/001/FIN</t>
  </si>
  <si>
    <t>Assets:Current Assets:Receivables from Non-exchange Transactions:Property Rates:Formal and Informal Settlements:Collections</t>
  </si>
  <si>
    <t>D0001/IA02145/F0001/X049/R1330/001/FIN</t>
  </si>
  <si>
    <t>Assets:Current Assets:Receivables from Non-exchange Transactions:Property Rates:Formal and Informal Settlements:Debt Write-offs</t>
  </si>
  <si>
    <t>D0001/IA08407/F0001/X049/R1330/001/FIN</t>
  </si>
  <si>
    <t>Assets:Current Assets:Receivables from Non-exchange Transactions:Property Rates:Formal and Informal Settlements:Interest Charge</t>
  </si>
  <si>
    <t>D0001/IA02146/F0001/X049/R1330/001/FIN</t>
  </si>
  <si>
    <t>Assets:Current Assets:Receivables from Non-exchange Transactions:Property Rates:Formal and Informal Settlements:Monthly Billing</t>
  </si>
  <si>
    <t>D0001/IA02148/F0001/X049/R1330/001/FIN</t>
  </si>
  <si>
    <t>Assets:Current Assets:Receivables from Non-exchange Transactions:Property Rates:Formal and Informal Settlements:Prior Period Corrections and Adjustments</t>
  </si>
  <si>
    <t>D0001/IA02649/F0001/X049/R1331/001/FIN</t>
  </si>
  <si>
    <t>D0001/IA02650/F0001/X049/R1331/001/FIN</t>
  </si>
  <si>
    <t>D0001/IA02142/F0001/X049/R1331/001/FIN</t>
  </si>
  <si>
    <t>D0001/IA02144/F0001/X049/R1331/001/FIN</t>
  </si>
  <si>
    <t>D0001/IA02145/F0001/X049/R1331/001/FIN</t>
  </si>
  <si>
    <t>D0001/IA08407/F0001/X049/R1331/001/FIN</t>
  </si>
  <si>
    <t>D0001/IA02146/F0001/X049/R1331/001/FIN</t>
  </si>
  <si>
    <t>D0001/IA02148/F0001/X049/R1331/001/FIN</t>
  </si>
  <si>
    <t>D0001/IA02653/F0001/X049/R1331/001/FIN</t>
  </si>
  <si>
    <t>D0001/IA02654/F0001/X049/R1331/001/FIN</t>
  </si>
  <si>
    <t>D0001/IA02149/F0001/X049/R1331/001/FIN</t>
  </si>
  <si>
    <t>D0001/IA02152/F0001/X049/R1331/001/FIN</t>
  </si>
  <si>
    <t>D0001/IA08408/F0001/X049/R1331/001/FIN</t>
  </si>
  <si>
    <t>D0001/IA02155/F0001/X049/R1331/001/FIN</t>
  </si>
  <si>
    <t>D0001/IA00420/F0001/X049/R1331/001/FIN</t>
  </si>
  <si>
    <t>D0001/IA00421/F0001/X049/R1331/001/FIN</t>
  </si>
  <si>
    <t>D0001/IA02640/F0001/X049/R1331/001/FIN</t>
  </si>
  <si>
    <t>D0001/IA02642/F0001/X049/R1331/001/FIN</t>
  </si>
  <si>
    <t>D0001/IA02643/F0001/X049/R1331/001/FIN</t>
  </si>
  <si>
    <t>D0001/IA09947/F0001/X049/R1331/001/FIN</t>
  </si>
  <si>
    <t>D0001/IA02646/F0001/X049/R1331/001/FIN</t>
  </si>
  <si>
    <t>D0001/IA00416/F0001/X049/R1331/001/FIN</t>
  </si>
  <si>
    <t>D0001/IA00417/F0001/X049/R1331/001/FIN</t>
  </si>
  <si>
    <t>D0001/IA02633/F0001/X049/R1331/001/FIN</t>
  </si>
  <si>
    <t>D0001/IA02635/F0001/X049/R1331/001/FIN</t>
  </si>
  <si>
    <t>D0001/IA02636/F0001/X049/R1331/001/FIN</t>
  </si>
  <si>
    <t>D0001/IA09946/F0001/X049/R1331/001/FIN</t>
  </si>
  <si>
    <t>D0001/IA02637/F0001/X049/R1331/001/FIN</t>
  </si>
  <si>
    <t>D0001/IA02639/F0001/X049/R1331/001/FIN</t>
  </si>
  <si>
    <t>D0001/IA00412/F0001/X049/R1331/001/FIN</t>
  </si>
  <si>
    <t>D0001/IA00413/F0001/X049/R1331/001/FIN</t>
  </si>
  <si>
    <t>D0001/IA02626/F0001/X049/R1331/001/FIN</t>
  </si>
  <si>
    <t>D0001/IA02628/F0001/X049/R1331/001/FIN</t>
  </si>
  <si>
    <t>D0001/IA02629/F0001/X049/R1331/001/FIN</t>
  </si>
  <si>
    <t>D0001/IA09945/F0001/X049/R1331/001/FIN</t>
  </si>
  <si>
    <t>D0001/IA02630/F0001/X049/R1331/001/FIN</t>
  </si>
  <si>
    <t>D0001/IA02632/F0001/X049/R1331/001/FIN</t>
  </si>
  <si>
    <t>D0001/IA00408/F0001/X049/R1331/001/FIN</t>
  </si>
  <si>
    <t>D0001/IA00409/F0001/X049/R1331/001/FIN</t>
  </si>
  <si>
    <t>D0001/IA02619/F0001/X049/R1331/001/FIN</t>
  </si>
  <si>
    <t>D0001/IA02621/F0001/X049/R1331/001/FIN</t>
  </si>
  <si>
    <t>D0001/IA02622/F0001/X049/R1331/001/FIN</t>
  </si>
  <si>
    <t>D0001/IA09944/F0001/X049/R1331/001/FIN</t>
  </si>
  <si>
    <t>D0001/IA02623/F0001/X049/R1331/001/FIN</t>
  </si>
  <si>
    <t>D0001/IA02625/F0001/X049/R1331/001/FIN</t>
  </si>
  <si>
    <t>D0001/IA00404/F0001/X049/R1331/001/FIN</t>
  </si>
  <si>
    <t>D0001/IA00405/F0001/X049/R1331/001/FIN</t>
  </si>
  <si>
    <t>D0001/IA09943/F0001/X049/R1331/001/FIN</t>
  </si>
  <si>
    <t>D0001/IA02616/F0001/X049/R1331/001/FIN</t>
  </si>
  <si>
    <t>D0001/IA02618/F0001/X049/R1331/001/FIN</t>
  </si>
  <si>
    <t>D0001/IA02612/F0001/X049/R1331/001/FIN</t>
  </si>
  <si>
    <t>D0001/IA02614/F0001/X049/R1331/001/FIN</t>
  </si>
  <si>
    <t>D0001/IA02615/F0001/X049/R1331/001/FIN</t>
  </si>
  <si>
    <t>D0001/IA00400/F0001/X049/R1331/001/FIN</t>
  </si>
  <si>
    <t>D0001/IA00401/F0001/X049/R1331/001/FIN</t>
  </si>
  <si>
    <t>D0001/IA02605/F0001/X049/R1331/001/FIN</t>
  </si>
  <si>
    <t>D0001/IA02607/F0001/X049/R1331/001/FIN</t>
  </si>
  <si>
    <t>D0001/IA02608/F0001/X049/R1331/001/FIN</t>
  </si>
  <si>
    <t>D0001/IA09942/F0001/X049/R1331/001/FIN</t>
  </si>
  <si>
    <t>D0001/IA02609/F0001/X049/R1331/001/FIN</t>
  </si>
  <si>
    <t>D0001/IA02611/F13640/X049/R1331/001/FIN</t>
  </si>
  <si>
    <t>D0001/IA02657/F0001/X049/R1331/001/FIN</t>
  </si>
  <si>
    <t>D0001/IA02658/F0001/X049/R1331/001/FIN</t>
  </si>
  <si>
    <t>D0001/IA02156/F0001/X049/R1331/001/FIN</t>
  </si>
  <si>
    <t>D0001/IA02159/F0001/X049/R1331/001/FIN</t>
  </si>
  <si>
    <t>D0001/IA08409/F0001/X049/R1331/001/FIN</t>
  </si>
  <si>
    <t>D0001/IA02162/F0001/X049/R1331/001/FIN</t>
  </si>
  <si>
    <t>D0001/IA00464/F0001/X049/R1331/001/FIN</t>
  </si>
  <si>
    <t>D0001/IA00465/F0001/X049/R1331/001/FIN</t>
  </si>
  <si>
    <t>D0001/IA02766/F0001/X049/R1331/001/FIN</t>
  </si>
  <si>
    <t>D0001/IA02769/F0001/X049/R1331/001/FIN</t>
  </si>
  <si>
    <t>D0001/IA09958/F0001/X049/R1331/001/FIN</t>
  </si>
  <si>
    <t>D0001/IA02772/F0001/X049/R1331/001/FIN</t>
  </si>
  <si>
    <t>D0001/IA00460/F0001/X049/R1331/001/FIN</t>
  </si>
  <si>
    <t>D0001/IA00461/F0001/X049/R1331/001/FIN</t>
  </si>
  <si>
    <t>D0001/IA02759/F0001/X049/R1331/001/FIN</t>
  </si>
  <si>
    <t>D0001/IA02762/F0001/X049/R1331/001/FIN</t>
  </si>
  <si>
    <t>D0001/IA09957/F0001/X049/R1331/001/FIN</t>
  </si>
  <si>
    <t>D0001/IA02765/F0001/X049/R1331/001/FIN</t>
  </si>
  <si>
    <t>D0001/IA02757/F0001/X049/R1331/001/FIN</t>
  </si>
  <si>
    <t>D0001/IA02758/F0001/X049/R1331/001/FIN</t>
  </si>
  <si>
    <t>D0001/IA02219/F0001/X049/R1331/001/FIN</t>
  </si>
  <si>
    <t>D0001/IA02222/F0001/X049/R1331/001/FIN</t>
  </si>
  <si>
    <t>D0001/IA08418/F0001/X049/R1331/001/FIN</t>
  </si>
  <si>
    <t>D0001/IA02225/F0001/X049/R1331/001/FIN</t>
  </si>
  <si>
    <t>D0001/IA02753/F0001/X049/R1331/001/FIN</t>
  </si>
  <si>
    <t>Assets:Current Assets:Receivables from Non-exchange Transactions:Property Rates:Special Rating Area:Impairment:Recognised</t>
  </si>
  <si>
    <t>D0001/IA02754/F0001/X049/R1331/001/FIN</t>
  </si>
  <si>
    <t>Assets:Current Assets:Receivables from Non-exchange Transactions:Property Rates:Special Rating Area:Impairment:Reversal</t>
  </si>
  <si>
    <t>D0001/IA02212/F0001/X049/R1331/001/FIN</t>
  </si>
  <si>
    <t>Assets:Current Assets:Receivables from Non-exchange Transactions:Property Rates:Special Rating Area:Accrued Revenue</t>
  </si>
  <si>
    <t>D0001/IA02214/F0001/X049/R1331/001/FIN</t>
  </si>
  <si>
    <t>Assets:Current Assets:Receivables from Non-exchange Transactions:Property Rates:Special Rating Area:Collections</t>
  </si>
  <si>
    <t>D0001/IA02215/F0001/X049/R1331/001/FIN</t>
  </si>
  <si>
    <t>Assets:Current Assets:Receivables from Non-exchange Transactions:Property Rates:Special Rating Area:Debt Write-offs</t>
  </si>
  <si>
    <t>D0001/IA08417/F0001/X049/R1331/001/FIN</t>
  </si>
  <si>
    <t>Assets:Current Assets:Receivables from Non-exchange Transactions:Property Rates:Special Rating Area:Interest Charge</t>
  </si>
  <si>
    <t>D0001/IA02216/F0001/X049/R1331/001/FIN</t>
  </si>
  <si>
    <t>Assets:Current Assets:Receivables from Non-exchange Transactions:Property Rates:Special Rating Area:Monthly Billing</t>
  </si>
  <si>
    <t>D0001/IA02218/F0001/X049/R1331/001/FIN</t>
  </si>
  <si>
    <t>Assets:Current Assets:Receivables from Non-exchange Transactions:Property Rates:Special Rating Area:Prior Period Corrections and Adjustments</t>
  </si>
  <si>
    <t>D0001/IA00456/F0001/X049/R1331/001/FIN</t>
  </si>
  <si>
    <t>Assets:Current Assets:Receivables from Non-exchange Transactions:Property Rates:Small Holdings:Residential Purposes:Impairment:Recognised</t>
  </si>
  <si>
    <t>D0001/IA00457/F0001/X049/R1331/001/FIN</t>
  </si>
  <si>
    <t>Assets:Current Assets:Receivables from Non-exchange Transactions:Property Rates:Small Holdings:Residential Purposes:Impairment:Reversal</t>
  </si>
  <si>
    <t>D0001/IA02744/F0001/X049/R1331/001/FIN</t>
  </si>
  <si>
    <t>Assets:Current Assets:Receivables from Non-exchange Transactions:Property Rates:Small Holdings:Residential Purposes:Accrued Revenue</t>
  </si>
  <si>
    <t>D0001/IA02746/F0001/X049/R1331/001/FIN</t>
  </si>
  <si>
    <t>Assets:Current Assets:Receivables from Non-exchange Transactions:Property Rates:Small Holdings:Residential Purposes:Collections</t>
  </si>
  <si>
    <t>D0001/IA02747/F0001/X049/R1331/001/FIN</t>
  </si>
  <si>
    <t>Assets:Current Assets:Receivables from Non-exchange Transactions:Property Rates:Small Holdings:Residential Purposes:Debt Write-offs</t>
  </si>
  <si>
    <t>D0001/IA09956/F0001/X049/R1331/001/FIN</t>
  </si>
  <si>
    <t>Assets:Current Assets:Receivables from Non-exchange Transactions:Property Rates:Small Holdings:Residential Purposes:Interest Charge</t>
  </si>
  <si>
    <t>D0001/IA02748/F0001/X049/R1331/001/FIN</t>
  </si>
  <si>
    <t>Assets:Current Assets:Receivables from Non-exchange Transactions:Property Rates:Small Holdings:Residential Purposes:Monthly Billing</t>
  </si>
  <si>
    <t>D0001/IA02750/F0001/X049/R1331/001/FIN</t>
  </si>
  <si>
    <t>Assets:Current Assets:Receivables from Non-exchange Transactions:Property Rates:Small Holdings:Residential Purposes:Prior Period Corrections and Adjustments</t>
  </si>
  <si>
    <t>D0001/IA00452/F0001/X049/R1331/001/FIN</t>
  </si>
  <si>
    <t>Assets:Current Assets:Receivables from Non-exchange Transactions:Property Rates:Small Holdings:Purposes other than the Above:Impairment:Recognised</t>
  </si>
  <si>
    <t>D0001/IA00453/F0001/X049/R1331/001/FIN</t>
  </si>
  <si>
    <t>Assets:Current Assets:Receivables from Non-exchange Transactions:Property Rates:Small Holdings:Purposes other than the Above:Impairment:Reversal</t>
  </si>
  <si>
    <t>D0001/IA02737/F0001/X049/R1331/001/FIN</t>
  </si>
  <si>
    <t>Assets:Current Assets:Receivables from Non-exchange Transactions:Property Rates:Small Holdings:Purposes other than the Above:Accrued Revenue</t>
  </si>
  <si>
    <t>D0001/IA02739/F0001/X049/R1331/001/FIN</t>
  </si>
  <si>
    <t>Assets:Current Assets:Receivables from Non-exchange Transactions:Property Rates:Small Holdings:Purposes other than the Above:Collections</t>
  </si>
  <si>
    <t>D0001/IA02740/F0001/X049/R1331/001/FIN</t>
  </si>
  <si>
    <t>Assets:Current Assets:Receivables from Non-exchange Transactions:Property Rates:Small Holdings:Purposes other than the Above:Debt Write-offs</t>
  </si>
  <si>
    <t>D0001/IA09955/F0001/X049/R1331/001/FIN</t>
  </si>
  <si>
    <t>Assets:Current Assets:Receivables from Non-exchange Transactions:Property Rates:Small Holdings:Purposes other than the Above:Interest Charge</t>
  </si>
  <si>
    <t>D0001/IA02741/F0001/X049/R1331/001/FIN</t>
  </si>
  <si>
    <t>Assets:Current Assets:Receivables from Non-exchange Transactions:Property Rates:Small Holdings:Purposes other than the Above:Monthly Billing</t>
  </si>
  <si>
    <t>D0001/IA02743/F0001/X049/R1331/001/FIN</t>
  </si>
  <si>
    <t>Assets:Current Assets:Receivables from Non-exchange Transactions:Property Rates:Small Holdings:Purposes other than the Above:Prior Period Corrections and Adjustments</t>
  </si>
  <si>
    <t>D0001/IA00448/F0001/X049/R1331/001/FIN</t>
  </si>
  <si>
    <t>Assets:Current Assets:Receivables from Non-exchange Transactions:Property Rates:Small Holdings:Industrial Purposes:Impairment:Recognised</t>
  </si>
  <si>
    <t>D0001/IA00449/F0001/X049/R1331/001/FIN</t>
  </si>
  <si>
    <t>Assets:Current Assets:Receivables from Non-exchange Transactions:Property Rates:Small Holdings:Industrial Purposes:Impairment:Reversal</t>
  </si>
  <si>
    <t>D0001/IA02730/F0001/X049/R1331/001/FIN</t>
  </si>
  <si>
    <t>Assets:Current Assets:Receivables from Non-exchange Transactions:Property Rates:Small Holdings:Industrial Purposes:Accrued Revenue</t>
  </si>
  <si>
    <t>D0001/IA02732/F0001/X049/R1331/001/FIN</t>
  </si>
  <si>
    <t>Assets:Current Assets:Receivables from Non-exchange Transactions:Property Rates:Small Holdings:Industrial Purposes:Collections</t>
  </si>
  <si>
    <t>D0001/IA02733/F0001/X049/R1331/001/FIN</t>
  </si>
  <si>
    <t>Assets:Current Assets:Receivables from Non-exchange Transactions:Property Rates:Small Holdings:Industrial Purposes:Debt Write-offs</t>
  </si>
  <si>
    <t>D0001/IA09954/F0001/X049/R1331/001/FIN</t>
  </si>
  <si>
    <t>Assets:Current Assets:Receivables from Non-exchange Transactions:Property Rates:Small Holdings:Industrial Purposes:Interest Charge</t>
  </si>
  <si>
    <t>D0001/IA02734/F0001/X049/R1331/001/FIN</t>
  </si>
  <si>
    <t>Assets:Current Assets:Receivables from Non-exchange Transactions:Property Rates:Small Holdings:Industrial Purposes:Monthly Billing</t>
  </si>
  <si>
    <t>D0001/IA02736/F0001/X049/R1331/001/FIN</t>
  </si>
  <si>
    <t>Assets:Current Assets:Receivables from Non-exchange Transactions:Property Rates:Small Holdings:Industrial Purposes:Prior Period Corrections and Adjustments</t>
  </si>
  <si>
    <t>D0001/IA00444/F0001/X049/R1331/001/FIN</t>
  </si>
  <si>
    <t>Assets:Current Assets:Receivables from Non-exchange Transactions:Property Rates:Small Holdings:Business and Commercial Purposes:Impairment:Recognised</t>
  </si>
  <si>
    <t>D0001/IA00445/F0001/X049/R1331/001/FIN</t>
  </si>
  <si>
    <t>Assets:Current Assets:Receivables from Non-exchange Transactions:Property Rates:Small Holdings:Business and Commercial Purposes:Impairment:Reversal</t>
  </si>
  <si>
    <t>D0001/IA02723/F0001/X049/R1331/001/FIN</t>
  </si>
  <si>
    <t>Assets:Current Assets:Receivables from Non-exchange Transactions:Property Rates:Small Holdings:Business and Commercial Purposes:Accrued Revenue</t>
  </si>
  <si>
    <t>D0001/IA02725/F0001/X049/R1331/001/FIN</t>
  </si>
  <si>
    <t>Assets:Current Assets:Receivables from Non-exchange Transactions:Property Rates:Small Holdings:Business and Commercial Purposes:Collections</t>
  </si>
  <si>
    <t>D0001/IA02726/F0001/X049/R1331/001/FIN</t>
  </si>
  <si>
    <t>Assets:Current Assets:Receivables from Non-exchange Transactions:Property Rates:Small Holdings:Business and Commercial Purposes:Debt Write-offs</t>
  </si>
  <si>
    <t>D0001/IA09953/F0001/X049/R1331/001/FIN</t>
  </si>
  <si>
    <t>Assets:Current Assets:Receivables from Non-exchange Transactions:Property Rates:Small Holdings:Business and Commercial Purposes:Interest Charge</t>
  </si>
  <si>
    <t>D0001/IA02727/F0001/X049/R1331/001/FIN</t>
  </si>
  <si>
    <t>Assets:Current Assets:Receivables from Non-exchange Transactions:Property Rates:Small Holdings:Business and Commercial Purposes:Monthly Billing</t>
  </si>
  <si>
    <t>D0001/IA02729/F0001/X049/R1331/001/FIN</t>
  </si>
  <si>
    <t>Assets:Current Assets:Receivables from Non-exchange Transactions:Property Rates:Small Holdings:Business and Commercial Purposes:Prior Period Corrections and Adjustments</t>
  </si>
  <si>
    <t>D0001/IA00440/F0001/X049/R1331/001/FIN</t>
  </si>
  <si>
    <t>Assets:Current Assets:Receivables from Non-exchange Transactions:Property Rates:Small Holdings:Agricultural Purposes:Impairment:Recognised</t>
  </si>
  <si>
    <t>D0001/IA00441/F0001/X049/R1331/001/FIN</t>
  </si>
  <si>
    <t>Assets:Current Assets:Receivables from Non-exchange Transactions:Property Rates:Small Holdings:Agricultural Purposes:Impairment:Reversal</t>
  </si>
  <si>
    <t>D0001/IA02716/F0001/X049/R1331/001/FIN</t>
  </si>
  <si>
    <t>Assets:Current Assets:Receivables from Non-exchange Transactions:Property Rates:Small Holdings:Agricultural Purposes:Accrued Revenue</t>
  </si>
  <si>
    <t>D0001/IA02718/F0001/X049/R1331/001/FIN</t>
  </si>
  <si>
    <t>Assets:Current Assets:Receivables from Non-exchange Transactions:Property Rates:Small Holdings:Agricultural Purposes:Collections</t>
  </si>
  <si>
    <t>D0001/IA02719/F0001/X049/R1331/001/FIN</t>
  </si>
  <si>
    <t>Assets:Current Assets:Receivables from Non-exchange Transactions:Property Rates:Small Holdings:Agricultural Purposes:Debt Write-offs</t>
  </si>
  <si>
    <t>D0001/IA09952/F0001/X049/R1331/001/FIN</t>
  </si>
  <si>
    <t>Assets:Current Assets:Receivables from Non-exchange Transactions:Property Rates:Small Holdings:Agricultural Purposes:Interest Charge</t>
  </si>
  <si>
    <t>D0001/IA02722/F0001/X049/R1331/001/FIN</t>
  </si>
  <si>
    <t>Assets:Current Assets:Receivables from Non-exchange Transactions:Property Rates:Small Holdings:Agricultural Purposes:Prior Period Corrections and Adjustments</t>
  </si>
  <si>
    <t>D0001/IA00436/F0001/X049/R1331/001/FIN</t>
  </si>
  <si>
    <t>Assets:Current Assets:Receivables from Non-exchange Transactions:Property Rates:Restitution and Redistribution Properties:Land and Assistance Act or Restitution of Land Rights Act:Impairment:Recognised</t>
  </si>
  <si>
    <t>D0001/IA00437/F0001/X049/R1331/001/FIN</t>
  </si>
  <si>
    <t>Assets:Current Assets:Receivables from Non-exchange Transactions:Property Rates:Restitution and Redistribution Properties:Land and Assistance Act or Restitution of Land Rights Act:Impairment:Reversal</t>
  </si>
  <si>
    <t>D0001/IA02709/F0001/X049/R1331/001/FIN</t>
  </si>
  <si>
    <t>Assets:Current Assets:Receivables from Non-exchange Transactions:Property Rates:Restitution and Redistribution Properties:Land and Assistance Act or Restitution of Land Rights Act:Accrued Revenue</t>
  </si>
  <si>
    <t>D0001/IA02711/F0001/X049/R1331/001/FIN</t>
  </si>
  <si>
    <t>Assets:Current Assets:Receivables from Non-exchange Transactions:Property Rates:Restitution and Redistribution Properties:Land and Assistance Act or Restitution of Land Rights Act:Collections</t>
  </si>
  <si>
    <t>D0001/IA02712/F0001/X049/R1331/001/FIN</t>
  </si>
  <si>
    <t>Assets:Current Assets:Receivables from Non-exchange Transactions:Property Rates:Restitution and Redistribution Properties:Land and Assistance Act or Restitution of Land Rights Act:Debt Write-offs</t>
  </si>
  <si>
    <t>D0001/IA09951/F0001/X049/R1331/001</t>
  </si>
  <si>
    <t>Assets:Current Assets:Receivables from Non-exchange Transactions:Property Rates:Restitution and Redistribution Properties:Land and Assistance Act or Restitution of Land Rights Act:Interest Charge</t>
  </si>
  <si>
    <t>D0001/IA02713/F0001/X049/R1331/001</t>
  </si>
  <si>
    <t>Assets:Current Assets:Receivables from Non-exchange Transactions:Property Rates:Restitution and Redistribution Properties:Land and Assistance Act or Restitution of Land Rights Act:Monthly Billing</t>
  </si>
  <si>
    <t>D0001/IA02715/F0001/X049/R1331/001</t>
  </si>
  <si>
    <t>Assets:Current Assets:Receivables from Non-exchange Transactions:Property Rates:Restitution and Redistribution Properties:Land and Assistance Act or Restitution of Land Rights Act:Prior Period Corrections and Adjustments</t>
  </si>
  <si>
    <t>D0001/IA00432/F0001/X049/R1331/001</t>
  </si>
  <si>
    <t>Assets:Current Assets:Receivables from Non-exchange Transactions:Property Rates:Restitution and Redistribution Properties:Communal Property Associations Act:Impairment:Recognised</t>
  </si>
  <si>
    <t>D0001/IA00433/F0001/X049/R1331/001/FIN</t>
  </si>
  <si>
    <t>Assets:Current Assets:Receivables from Non-exchange Transactions:Property Rates:Restitution and Redistribution Properties:Communal Property Associations Act:Impairment:Reversal</t>
  </si>
  <si>
    <t>D0001/IA02702/F0001/X049/R1331/001/FIN</t>
  </si>
  <si>
    <t>Assets:Current Assets:Receivables from Non-exchange Transactions:Property Rates:Restitution and Redistribution Properties:Communal Property Associations Act:Accrued Revenue</t>
  </si>
  <si>
    <t>D0001/IA02704/F0001/X049/R1331/001/FIN</t>
  </si>
  <si>
    <t>Assets:Current Assets:Receivables from Non-exchange Transactions:Property Rates:Restitution and Redistribution Properties:Communal Property Associations Act:Collections</t>
  </si>
  <si>
    <t>D0001/IA02705/F0001/X049/R1331/001/FIN</t>
  </si>
  <si>
    <t>Assets:Current Assets:Receivables from Non-exchange Transactions:Property Rates:Restitution and Redistribution Properties:Communal Property Associations Act:Debt Write-offs</t>
  </si>
  <si>
    <t>D0001/IA09950/F0001/X049/R1331/001/FIN</t>
  </si>
  <si>
    <t>Assets:Current Assets:Receivables from Non-exchange Transactions:Property Rates:Restitution and Redistribution Properties:Communal Property Associations Act:Interest Charge</t>
  </si>
  <si>
    <t>D0001/IA02706/F0001/X049/R1331/001/FIN</t>
  </si>
  <si>
    <t>Assets:Current Assets:Receivables from Non-exchange Transactions:Property Rates:Restitution and Redistribution Properties:Communal Property Associations Act:Monthly Billing</t>
  </si>
  <si>
    <t>D0001/IA02708/F0001/X049/R1331/001/FIN</t>
  </si>
  <si>
    <t>Assets:Current Assets:Receivables from Non-exchange Transactions:Property Rates:Restitution and Redistribution Properties:Communal Property Associations Act:Prior Period Corrections and Adjustments</t>
  </si>
  <si>
    <t>D0001/IA00428/F0001/X049/R1331/001/FIN</t>
  </si>
  <si>
    <t>D0001/IA00429/F0001/X049/R1331/001</t>
  </si>
  <si>
    <t>D0001/IA02695/F13640/X049/R1331/001/FIN</t>
  </si>
  <si>
    <t>D0001/IA02697/F0001/X049/R1331/001/FIN</t>
  </si>
  <si>
    <t>D0001/IA02698/F0001/X049/R1331/001/FIN</t>
  </si>
  <si>
    <t>D0001/IA09949/F0001/X049/R1331/001/FIN</t>
  </si>
  <si>
    <t>D0001/IA02699/F0001/X049/R1331/001/FIN</t>
  </si>
  <si>
    <t>D0001/IA02701/F0001/X049/R1331/001/FIN</t>
  </si>
  <si>
    <t>D0001/IA00424/F0001/X049/R1331/001/FIN</t>
  </si>
  <si>
    <t>D0001/IA00425/F0001/X049/R1331/001/FIN</t>
  </si>
  <si>
    <t>D0001/IA02688/F0001/X049/R1331/001</t>
  </si>
  <si>
    <t>D0001/IA02691/F0001/X049/R1331/001/FIN</t>
  </si>
  <si>
    <t>D0001/IA09948/F0001/X049/R1331/001/FIN</t>
  </si>
  <si>
    <t>D0001/IA02694/F0001/X049/R1331/001/FIN</t>
  </si>
  <si>
    <t>D0001/IA02686/F0001/X049/R1331/001/FIN</t>
  </si>
  <si>
    <t>D0001/IA02687/F0001/X049/R1331/001/FIN</t>
  </si>
  <si>
    <t>D0001/IA02205/F0001/X049/R1331/001/FIN</t>
  </si>
  <si>
    <t>D0001/IA02208/F0001/X049/R1331/001/FIN</t>
  </si>
  <si>
    <t>D0001/IA08416/F0001/X049/R1331/001/FIN</t>
  </si>
  <si>
    <t>D0001/IA02211/F0001/X049/R1331/001/FIN</t>
  </si>
  <si>
    <t>D0001/IA02682/F0001/X049/R1331/001/FIN</t>
  </si>
  <si>
    <t>D0001/IA02683/F0001/X049/R1331/001/FIN</t>
  </si>
  <si>
    <t>D0001/IA02198/F0001/X049/R1331/001/FIN</t>
  </si>
  <si>
    <t>D0001/IA02200/F0001/X049/R1331/001/FIN</t>
  </si>
  <si>
    <t>D0001/IA02201/F0001/X049/R1331/001/FIN</t>
  </si>
  <si>
    <t>D0001/IA08415/F0001/X049/R1331/001/FIN</t>
  </si>
  <si>
    <t>D0001/IA02204/F0001/X049/R1331/001/FIN</t>
  </si>
  <si>
    <t>D0001/IA02678/F0001/X049/R1331/001/FIN</t>
  </si>
  <si>
    <t>Assets:Current Assets:Receivables from Non-exchange Transactions:Property Rates:Protected Areas:Impairment:Recognised</t>
  </si>
  <si>
    <t>D0001/IA02679/F0001/X049/R1331/001/FIN</t>
  </si>
  <si>
    <t>Assets:Current Assets:Receivables from Non-exchange Transactions:Property Rates:Protected Areas:Impairment:Reversal</t>
  </si>
  <si>
    <t>D0001/IA02191/F0001/X049/R1331/001/FIN</t>
  </si>
  <si>
    <t>Assets:Current Assets:Receivables from Non-exchange Transactions:Property Rates:Protected Areas:Accrued Revenue</t>
  </si>
  <si>
    <t>D0001/IA02193/F0001/X049/R1331/001/FIN</t>
  </si>
  <si>
    <t>Assets:Current Assets:Receivables from Non-exchange Transactions:Property Rates:Protected Areas:Collections</t>
  </si>
  <si>
    <t>D0001/IA02194/F0001/X049/R1331/001/FIN</t>
  </si>
  <si>
    <t>Assets:Current Assets:Receivables from Non-exchange Transactions:Property Rates:Protected Areas:Debt Write-offs</t>
  </si>
  <si>
    <t>D0001/IA08414/F0001/X049/R1331/001/FIN</t>
  </si>
  <si>
    <t>Assets:Current Assets:Receivables from Non-exchange Transactions:Property Rates:Protected Areas:Interest Charge</t>
  </si>
  <si>
    <t>D0001/IA02195/F0001/X049/R1331/001/FIN</t>
  </si>
  <si>
    <t>Assets:Current Assets:Receivables from Non-exchange Transactions:Property Rates:Protected Areas:Monthly Billing</t>
  </si>
  <si>
    <t>D0001/IA02197/F0001/X049/R1331/001/FIN</t>
  </si>
  <si>
    <t>Assets:Current Assets:Receivables from Non-exchange Transactions:Property Rates:Protected Areas:Prior Period Corrections and Adjustments</t>
  </si>
  <si>
    <t>D0001/IA02674/F0001/X049/R1331/001/FIN</t>
  </si>
  <si>
    <t>Assets:Current Assets:Receivables from Non-exchange Transactions:Property Rates:Privately Owned Towns Serviced by the Owner:Impairment:Recognised</t>
  </si>
  <si>
    <t>D0001/IA02675/F0001/X049/R1331/001/FIN</t>
  </si>
  <si>
    <t>Assets:Current Assets:Receivables from Non-exchange Transactions:Property Rates:Privately Owned Towns Serviced by the Owner:Impairment:Reversal</t>
  </si>
  <si>
    <t>D0001/IA02184/F0001/X049/R1331/001/FIN</t>
  </si>
  <si>
    <t>Assets:Current Assets:Receivables from Non-exchange Transactions:Property Rates:Privately Owned Towns Serviced by the Owner:Accrued Revenue</t>
  </si>
  <si>
    <t>D0001/IA02186/F0001/X049/R1331/001/FIN</t>
  </si>
  <si>
    <t>Assets:Current Assets:Receivables from Non-exchange Transactions:Property Rates:Privately Owned Towns Serviced by the Owner:Collections</t>
  </si>
  <si>
    <t>D0001/IA02187/F0001/X049/R1331/001/FIN</t>
  </si>
  <si>
    <t>Assets:Current Assets:Receivables from Non-exchange Transactions:Property Rates:Privately Owned Towns Serviced by the Owner:Debt Write-offs</t>
  </si>
  <si>
    <t>D0001/IA08413/F0001/X049/R1331/001/FIN</t>
  </si>
  <si>
    <t>Assets:Current Assets:Receivables from Non-exchange Transactions:Property Rates:Privately Owned Towns Serviced by the Owner:Interest Charge</t>
  </si>
  <si>
    <t>D0001/IA02188/F0001/X049/R1331/001/FIN</t>
  </si>
  <si>
    <t>Assets:Current Assets:Receivables from Non-exchange Transactions:Property Rates:Privately Owned Towns Serviced by the Owner:Monthly Billing</t>
  </si>
  <si>
    <t>D0001/IA02190/F0001/X049/R1331/001/FIN</t>
  </si>
  <si>
    <t>Assets:Current Assets:Receivables from Non-exchange Transactions:Property Rates:Privately Owned Towns Serviced by the Owner:Prior Period Corrections and Adjustments</t>
  </si>
  <si>
    <t>D0001/IA02670/F0001/X049/R1331/001/FIN</t>
  </si>
  <si>
    <t>D0001/IA02671/F0001/X049/R1331/001/FIN</t>
  </si>
  <si>
    <t>D0001/IA02177/F0001/X049/R1331/001/FIN</t>
  </si>
  <si>
    <t>D0001/IA02179/F0001/X049/R1331/001/FIN</t>
  </si>
  <si>
    <t>D0001/IA02180/F0001/X049/R1331/001/FIN</t>
  </si>
  <si>
    <t>D0001/IA08412/F0001/X049/R1331/001/FIN</t>
  </si>
  <si>
    <t>D0001/IA02181/F0001/X049/R1331/001/FIN</t>
  </si>
  <si>
    <t>D0001/IA02183/F0001/X049/R1331/001/FIN</t>
  </si>
  <si>
    <t>D0001/IA02666/F0001/X049/R1331/001/FIN</t>
  </si>
  <si>
    <t>D0001/IA02667/F0001/X049/R1331/001/FIN</t>
  </si>
  <si>
    <t>D0001/IA08411/F0001/X049/R1331/001/FIN</t>
  </si>
  <si>
    <t>D0001/IA02807/F0001/X132/R1331/001/FIN</t>
  </si>
  <si>
    <t>Assets:Current Assets:Trade and other Receivables from Exchange Transactions:Trading Service and Customer Service Debtors:Service Charges:Impairment:Recognised</t>
  </si>
  <si>
    <t>D0001/IA02808/F0001/X132/R1331/001/FIN</t>
  </si>
  <si>
    <t>Assets:Current Assets:Trade and other Receivables from Exchange Transactions:Trading Service and Customer Service Debtors:Service Charges:Impairment:Reversal</t>
  </si>
  <si>
    <t>D0001/IA02371/F0001/X132/R1331/001/FIN</t>
  </si>
  <si>
    <t>Assets:Current Assets:Trade and other Receivables from Exchange Transactions:Trading Service and Customer Service Debtors:Service Charges:Prior Period Corrections and Adjustments</t>
  </si>
  <si>
    <t>D0001/IA02365/F0001/X132/R1331/001/FIN</t>
  </si>
  <si>
    <t>Assets:Current Assets:Trade and other Receivables from Exchange Transactions:Trading Service and Customer Service Debtors:Service Charges:Accrued Revenue</t>
  </si>
  <si>
    <t>D0001/IA02367/F0001/X132/R1331/001/FIN</t>
  </si>
  <si>
    <t>Assets:Current Assets:Trade and other Receivables from Exchange Transactions:Trading Service and Customer Service Debtors:Service Charges:Collections</t>
  </si>
  <si>
    <t>D0001/IA02368/F0001/X132/R1331/001/FIN</t>
  </si>
  <si>
    <t>Assets:Current Assets:Trade and other Receivables from Exchange Transactions:Trading Service and Customer Service Debtors:Service Charges:Debt Write-off</t>
  </si>
  <si>
    <t>D0001/IA08436/F0001/X132/R1331/001/FIN</t>
  </si>
  <si>
    <t>Assets:Current Assets:Trade and other Receivables from Exchange Transactions:Trading Service and Customer Service Debtors:Service Charges:Interest Charge</t>
  </si>
  <si>
    <t>D0001/IA02369/F0001/X132/R1331/001/FIN</t>
  </si>
  <si>
    <t>Assets:Current Assets:Trade and other Receivables from Exchange Transactions:Trading Service and Customer Service Debtors:Service Charges:Monthly Billing</t>
  </si>
  <si>
    <t>D0001/IL37833/F0001/X049/R1330/001/FIN</t>
  </si>
  <si>
    <t>Liabilities:Current Liabilities:Output VAT:  Provision for Doubtful Debt Impairment:Opening Balance</t>
  </si>
  <si>
    <t>D0001/IA10326/F0001/X049/R1330/001/FIN</t>
  </si>
  <si>
    <t>Assets:Current Assets:Control, Clearing and Interface Accounts:Third Party Refunds:Opening Balance</t>
  </si>
  <si>
    <t>D0001/IA10370/F0001/X049/R1330/001/FIN</t>
  </si>
  <si>
    <t>Assets:Current Assets:VAT Receivable:Input VAT Capital:Recognised</t>
  </si>
  <si>
    <t>D0001/IA10372/F0001/X049/R1330/001/FIN</t>
  </si>
  <si>
    <t>Assets:Current Assets:VAT Receivable:VAT Control:Opening Balance</t>
  </si>
  <si>
    <t>D0001/IL54029/F0001/X049/R1330/001/FIN</t>
  </si>
  <si>
    <t>Liabilities:Current Liabilities:Trade and Other Payable Exchange Transactions:Long Service Award:Opening Balance</t>
  </si>
  <si>
    <t>D0001/IL54012/F0001/X049/R1330/001/FIN</t>
  </si>
  <si>
    <t>Liabilities:Current Liabilities:Trade and Other Payable Exchange Transactions:Control, Clearing and Interface Accounts:Salary Clearing and Control:Employee Deductions FICS:Opening Balance</t>
  </si>
  <si>
    <t>D0001/IL54006/F0001/X049/R1330/001/FIN</t>
  </si>
  <si>
    <t>Liabilities:Current Liabilities:Trade and Other Payable Exchange Transactions:Control, Clearing and Interface Accounts:Salary Clearing and Control:Group Life Control:Opening Balance</t>
  </si>
  <si>
    <t>D0001/IL53895/F0001/X049/R1330/001/FIN</t>
  </si>
  <si>
    <t>Liabilities:Current Liabilities:Trade and Other Payable Exchange Transactions:Control, Clearing and Interface Accounts:Salary Clearing and Control:Leave Control:Opening Balance</t>
  </si>
  <si>
    <t>D0001/IL53907/F0001/X049/R1330/001/FIN</t>
  </si>
  <si>
    <t>Liabilities:Current Liabilities:Trade and Other Payable Exchange Transactions:Control, Clearing and Interface Accounts:Salary Clearing and Control:Medical Aid Control:Opening Balance</t>
  </si>
  <si>
    <t>D0001/IL53906/F0001/X049/R1330/001/FIN</t>
  </si>
  <si>
    <t>Liabilities:Current Liabilities:Trade and Other Payable Exchange Transactions:Control, Clearing and Interface Accounts:Salary Clearing and Control:Pension Control:Opening Balance</t>
  </si>
  <si>
    <t>D0001/IL53947/F0001/X049/R1330/001/FIN</t>
  </si>
  <si>
    <t>Liabilities:Current Liabilities:Trade and Other Payable Exchange Transactions:Control, Clearing and Interface Accounts:Salary Clearing and Control:Salary Control:Opening Balance</t>
  </si>
  <si>
    <t>D0001/IL53901/F0001/X049/R1330/001/FIN</t>
  </si>
  <si>
    <t>Liabilities:Current Liabilities:Trade and Other Payable Exchange Transactions:Control, Clearing and Interface Accounts:Salary Clearing and Control:Skills Control:Opening Balance</t>
  </si>
  <si>
    <t>D0001/IL53896/F0001/X049/R1330/001/FIN</t>
  </si>
  <si>
    <t>Liabilities:Current Liabilities:Trade and Other Payable Exchange Transactions:Control, Clearing and Interface Accounts:Salary Clearing and Control:Tax Control:Opening Balance</t>
  </si>
  <si>
    <t>D0001/IL53948/F0001/X049/R1330/001/FIN</t>
  </si>
  <si>
    <t>Liabilities:Current Liabilities:Trade and Other Payable Exchange Transactions:Control, Clearing and Interface Accounts:Salary Clearing and Control:Travel Control:Opening Balance</t>
  </si>
  <si>
    <t>D0001/IL53995/F0001/X049/R1330/001/FIN</t>
  </si>
  <si>
    <t>D0001/IL53714/F0001/X049/R1330/001/FIN</t>
  </si>
  <si>
    <t>Liabilities:Current Liabilities:Trade and Other Payable Exchange Transactions:Bonus:Deposits</t>
  </si>
  <si>
    <t>D0001/IL53922/F0001/X049/R1331/001/FIN</t>
  </si>
  <si>
    <t>D0001/IL53856/F0001/X049/R1330/001/FIN</t>
  </si>
  <si>
    <t>Liabilities:Current Liabilities:Trade and Other Payable Exchange Transactions:Overtime:Deposits</t>
  </si>
  <si>
    <t>D0001/IL53889/F0001/X049/R1330/001/FIN</t>
  </si>
  <si>
    <t>Liabilities:Current Liabilities:Trade and Other Payable Exchange Transactions:PAYE Deductions:Opening Balance</t>
  </si>
  <si>
    <t>D0001/IL53822/F0001/X049/R1330/001/FIN</t>
  </si>
  <si>
    <t>Liabilities:Current Liabilities:Trade and Other Payable Exchange Transactions:Pension and Retirement Contributions:Opening Balance</t>
  </si>
  <si>
    <t>D0001/IL53984/F0001/X049/R1330/001/FIN</t>
  </si>
  <si>
    <t>Liabilities:Current Liabilities:Trade and Other Payable Exchange Transactions:Retentions:Opening Balance</t>
  </si>
  <si>
    <t>D0001/IL54037/F0001/X049/R1330/001/FIN</t>
  </si>
  <si>
    <t>Liabilities:Current Liabilities:Trade and Other Payable Exchange Transactions:Standby:Opening Balance</t>
  </si>
  <si>
    <t>D0001/IL54010/F0001/X049/R1330/001/FIN</t>
  </si>
  <si>
    <t>Liabilities:Current Liabilities:Trade and Other Payable Exchange Transactions:Control, Clearing and Interface Accounts:Salary Clearing and Control:Unions Control:Deposits</t>
  </si>
  <si>
    <t>D0001/IR01490/F2496/X049/R1330/001/FIN</t>
  </si>
  <si>
    <t>Revenue:Non-exchange Revenue:Property Rates:Privately Owned Towns Serviced by the Owner</t>
  </si>
  <si>
    <t>D0001/IR01491/F2496/X049/R1330/001/FIN</t>
  </si>
  <si>
    <t>Revenue:Non-exchange Revenue:Property Rates:Protected Areas</t>
  </si>
  <si>
    <t>D0001/IR01483/F2496/X049/R1330/001/FIN</t>
  </si>
  <si>
    <t>Revenue:Non-exchange Revenue:Property Rates:Formal and Informal Settlements</t>
  </si>
  <si>
    <t>D0001/IR01038/F2496/X049/R1330/001/FIN</t>
  </si>
  <si>
    <t>Revenue:Non-exchange Revenue:Property Rates:Communal Land:Business and Commercial</t>
  </si>
  <si>
    <t>D0001/IR01039/F2496/X049/R1330/001/FIN</t>
  </si>
  <si>
    <t>Revenue:Non-exchange Revenue:Property Rates:Communal Land:Farm Property</t>
  </si>
  <si>
    <t>D0001/IR01040/F2496/X049/R1330/001/FIN</t>
  </si>
  <si>
    <t>Revenue:Non-exchange Revenue:Property Rates:Communal Land:Other</t>
  </si>
  <si>
    <t>D0001/IR01041/F2496/X049/R1330/001/FIN</t>
  </si>
  <si>
    <t>Revenue:Non-exchange Revenue:Property Rates:Communal Land:Residential</t>
  </si>
  <si>
    <t>D0001/IR01042/F2496/X049/R1330/001/FIN</t>
  </si>
  <si>
    <t>Revenue:Non-exchange Revenue:Property Rates:Communal Land:Small Holdings</t>
  </si>
  <si>
    <t>D0001/IR01043/F2496/X049/R1330/001/FIN</t>
  </si>
  <si>
    <t>Revenue:Non-exchange Revenue:Property Rates:Farm Properties:Agricultural Purposes</t>
  </si>
  <si>
    <t>D0001/IR01044/F2496/X049/R1330/001/FIN</t>
  </si>
  <si>
    <t>Revenue:Non-exchange Revenue:Property Rates:Farm Properties:Business and Commercial</t>
  </si>
  <si>
    <t>D0001/IR01045/F2496/X049/R1330/001/FIN</t>
  </si>
  <si>
    <t>Revenue:Non-exchange Revenue:Property Rates:Farm Properties:Farm Properties not used for any purpose</t>
  </si>
  <si>
    <t>D0001/IR01046/F2496/X049/R1330/001/FIN</t>
  </si>
  <si>
    <t>Revenue:Non-exchange Revenue:Property Rates:Farm Properties:Industrial Purposes</t>
  </si>
  <si>
    <t>D0001/IR01047/F2496/X049/R1330/001/FIN</t>
  </si>
  <si>
    <t>Revenue:Non-exchange Revenue:Property Rates:Farm Properties:Other purposes than the above</t>
  </si>
  <si>
    <t>D0001/IR01048/F2496/X049/R1330/001/FIN</t>
  </si>
  <si>
    <t>Revenue:Non-exchange Revenue:Property Rates:Farm Properties:Residential Properties</t>
  </si>
  <si>
    <t>D0001/IR01050/F2496/X049/R1330/001/FIN</t>
  </si>
  <si>
    <t>Revenue:Non-exchange Revenue:Property Rates:Residential Properties:Vacant Land</t>
  </si>
  <si>
    <t>D0001/IR01051/F2496/X049/R1330/001/FIN</t>
  </si>
  <si>
    <t>Revenue:Non-exchange Revenue:Property Rates:Restitution and Redistribution Properties (Section 8(2)n):Communal Property Associations Act</t>
  </si>
  <si>
    <t>D0001/IR01054/F2496/X049/R1330/001/FIN</t>
  </si>
  <si>
    <t>Revenue:Non-exchange Revenue:Property Rates:Small Holdings:Business and Commercial Purposes</t>
  </si>
  <si>
    <t>D0001/IR01055/F2496/X049/R1330/001/FIN</t>
  </si>
  <si>
    <t>Revenue:Non-exchange Revenue:Property Rates:Small Holdings:Industrial Purposes</t>
  </si>
  <si>
    <t>D0001/IR01494/F2496/X049/R1330/001/FIN</t>
  </si>
  <si>
    <t>Revenue:Non-exchange Revenue:Property Rates:Special Rating Area</t>
  </si>
  <si>
    <t>D0001/IR01056/F2496/X049/R1330/001/FIN</t>
  </si>
  <si>
    <t>Revenue:Non-exchange Revenue:Property Rates:Small Holdings:Purposes other than the above (specify)</t>
  </si>
  <si>
    <t>D0001/IR01057/F2496/X049/R1330/001/FIN</t>
  </si>
  <si>
    <t>Revenue:Non-exchange Revenue:Property Rates:Small Holdings:Residential Purposes</t>
  </si>
  <si>
    <t>C0292-1/IA05099/F0002/X047/R1330/001/FIN</t>
  </si>
  <si>
    <t>Assets:Non-current Assets:Intangible Assets:Cost:Other:In-use:Computer Software Accumulated Impairment:Impairment</t>
  </si>
  <si>
    <t>C0292-1/IA05091/F0002/X047/R1330/001/FIN</t>
  </si>
  <si>
    <t>Assets:Non-current Assets:Intangible Assets:Cost:Other:In-use:Computer Software Accumulated Amortisation:Amortisation</t>
  </si>
  <si>
    <t>C0292-1/IA05101/F0002/X047/R1330/001/CORP</t>
  </si>
  <si>
    <t>Assets:Non-current Assets:Intangible Assets:Cost:Other:In-use:Computer Software:Acquisitions</t>
  </si>
  <si>
    <t>C0306-1/IA00082/F0002/X047/R1330/001/FIN</t>
  </si>
  <si>
    <t>C0306-1/IA00090/F0002/X047/R1330/001/FIN</t>
  </si>
  <si>
    <t>Assets:Non-current Assets:Property, Plant and Equipment:Cost Model:Other Assets:Accumulated Impairment:Impairment</t>
  </si>
  <si>
    <t>C0306-1/IA00092/F0002/X047/R1330/001/FIN</t>
  </si>
  <si>
    <t>Assets:Non-current Assets:Property, Plant and Equipment:Cost Model:Other Assets:Cost:Acquisitions</t>
  </si>
  <si>
    <t>C0273-1/IA00022/F0002/X047/R1330/001/FIN</t>
  </si>
  <si>
    <t>C0273-1/IA00030/F0002/X047/R1330/001/FIN</t>
  </si>
  <si>
    <t>Assets:Non-current Assets:Property, Plant and Equipment:Cost Model:Community Assets:Accumulated Impairment:Impairment</t>
  </si>
  <si>
    <t>C0273-1/IA00032/F0002/X047/R1330/001/FIN</t>
  </si>
  <si>
    <t>Assets:Non-current Assets:Property, Plant and Equipment:Cost Model:Community Assets:Cost:Acquisitions</t>
  </si>
  <si>
    <t>C0276-1/IA00022/F0002/X047/R1330/001/FIN</t>
  </si>
  <si>
    <t>C0276-1/IA00030/F0002/X047/R1330/001/FIN</t>
  </si>
  <si>
    <t>C0276-1/IA00032/F0002/X047/R1330/001/FIN</t>
  </si>
  <si>
    <t>C0277-1/IA00022/F0002/X047/R1330/001/FIN</t>
  </si>
  <si>
    <t>C0277-1/IA00030/F0002/X047/R1330/001/FIN</t>
  </si>
  <si>
    <t>C0277-1/IA00032/F0002/X047/R1330/001/FIN</t>
  </si>
  <si>
    <t>C0291-1/IA00022/F0002/X047/R1330/001/FIN</t>
  </si>
  <si>
    <t>C0291-1/IA00030/F0002/X047/R1330/001/FIN</t>
  </si>
  <si>
    <t>C0291-1/IA00032/F0002/X047/R1330/001/FIN</t>
  </si>
  <si>
    <t>C0072-1/IA01357/F0002/X047/R1330/001/FIN</t>
  </si>
  <si>
    <t>C0072-1/IA01365/F0002/X047/R1330/001/FIN</t>
  </si>
  <si>
    <t>Assets:Non-current Assets:Property, Plant and Equipment:Cost Model:Transport Assets:Owned and In-use:Accumulated Impairment:Impairment</t>
  </si>
  <si>
    <t>C0072-1/IA01367/F0002/X047/R1330/001/FIN</t>
  </si>
  <si>
    <t>Assets:Non-current Assets:Property, Plant and Equipment:Cost Model:Transport Assets:Owned and In-use:Cost:Acquisitions</t>
  </si>
  <si>
    <t>C0068-1/IA06183/F0002/X047/R1330/001/FIN</t>
  </si>
  <si>
    <t>C0068-1/IA06191/F0002/X047/R1330/001/FIN</t>
  </si>
  <si>
    <t>Assets:Non-current Assets:Property, Plant and Equipment:Cost Model:Computer Equipment:In-use:Accumulated Impairment:Impairment</t>
  </si>
  <si>
    <t>C0068-1/IA06193/F0002/X047/R1330/001/FIN</t>
  </si>
  <si>
    <t>Assets:Non-current Assets:Property, Plant and Equipment:Cost Model:Computer Equipment:In-use:Cost:Acquisitions</t>
  </si>
  <si>
    <t>C0069-1/IA06243/F0002/X047/R1330/001/FIN</t>
  </si>
  <si>
    <t>C0069-1/IA06251/F0002/X047/R1330/001/FIN</t>
  </si>
  <si>
    <t>Assets:Non-current Assets:Property, Plant and Equipment:Cost Model:Furniture and Office Equipment:In-use:Accumulated Impairment:Impairment</t>
  </si>
  <si>
    <t>C0069-1/IA06253/F0002/X047/R1330/001/FIN</t>
  </si>
  <si>
    <t>Assets:Non-current Assets:Property, Plant and Equipment:Cost Model:Furniture and Office Equipment:In-use:Cost:Acquisitions</t>
  </si>
  <si>
    <t>C0071-1/IA06303/F0002/X047/R1330/001/FIN</t>
  </si>
  <si>
    <t>C0071-1/IA06311/F0002/X047/R1330/001/FIN</t>
  </si>
  <si>
    <t>Assets:Non-current Assets:Property, Plant and Equipment:Cost Model:Machinery and Equipment:In-use:Accumulated Impairment:Impairment</t>
  </si>
  <si>
    <t>C0071-1/IA06313/F0002/X047/R1330/001/FIN</t>
  </si>
  <si>
    <t>Assets:Non-current Assets:Property, Plant and Equipment:Cost Model:Machinery and Equipment:In-use:Cost:Acquisitions</t>
  </si>
  <si>
    <t>C0245-1/IA00022/F0002/X101/R1331/001/TECH</t>
  </si>
  <si>
    <t>C0245-1/IA00030/F0002/X101/R1331/001/TECH</t>
  </si>
  <si>
    <t>C0245-1/IA00032/F0791/X101/R1331/001/TECH</t>
  </si>
  <si>
    <t>C0227-7/IA00022/F0002/X101/R1331/001/TECH</t>
  </si>
  <si>
    <t>C0227-7/IA00030/F0002/X101/R1331/001/TECH</t>
  </si>
  <si>
    <t>C0227-7/IA01952/F0791/X101/R1331/001/TECH</t>
  </si>
  <si>
    <t>C0230-4/IA00022/F0002/X101/R1331/001/TECH</t>
  </si>
  <si>
    <t>C0230-4/IA00030/F0002/X101/R1331/001/TECH</t>
  </si>
  <si>
    <t>C0230-4/IA00032/F0791/X101/R1331/001/TECH</t>
  </si>
  <si>
    <t>C0004-2/IA06243/F0002/X047/R1330/001/TECH</t>
  </si>
  <si>
    <t>C0004-2/IA06253/F0002/X047/R1330/001/TECH</t>
  </si>
  <si>
    <t>C0001-1/IA01305/F0002/X047/R1331/001/TECH</t>
  </si>
  <si>
    <t>Assets:Non-current Assets:Property, Plant and Equipment:Cost Model:Land:General Plant:Owned and In-use:Accumulated Impairment:Impairment</t>
  </si>
  <si>
    <t>C0001-1/IA01307/F0002/X047/R1331/001/TECH</t>
  </si>
  <si>
    <t>Assets:Non-current Assets:Property, Plant and Equipment:Cost Model:Land:General Plant:Owned and In-use:Cost:Acquisitions</t>
  </si>
  <si>
    <t>C0004-3/IA00082/F0002/X047/R1330/001/FIN</t>
  </si>
  <si>
    <t>C0004-3/IA00090/F0002/X047/R1330/001/FIN</t>
  </si>
  <si>
    <t>C0004-3/IA00092/F0002/X047/R1330/001/FIN</t>
  </si>
  <si>
    <t>C0086-1/IA05091/F0002/X047/R1330/001/FIN</t>
  </si>
  <si>
    <t>C0086-2/IA05101/F0002/X047/R1330/001/FIN</t>
  </si>
  <si>
    <t>C0227-7/IA00032/F0791/X101/R1331/001/TECH</t>
  </si>
  <si>
    <t>C0040-1/IA00122/F0002/X116/R1331/001/TECH</t>
  </si>
  <si>
    <t>C0040-1/IA00130/F0002/X116/R1331/001/TECH</t>
  </si>
  <si>
    <t>Assets:Non-current Assets:Property, Plant and Equipment:Cost Model:Roads Infrastructure:Accumulated Impairment:Impairment</t>
  </si>
  <si>
    <t>C0040-1/IA00132/F0002/X116/R1331/001/TECH</t>
  </si>
  <si>
    <t>C0261-1/IA00082/F0002/X047/R1331/001/FIN</t>
  </si>
  <si>
    <t>C0261-1/IA00090/F0002/X047/R1331/001/FIN</t>
  </si>
  <si>
    <t>C0261-1/IA00092/F0791/X047/R1331/001/FIN</t>
  </si>
  <si>
    <t>O0001/IE01525/F0041/X044/R1330/001/EXEC</t>
  </si>
  <si>
    <t>O0001/IE01530/F0041/X045/R1330/001/MM</t>
  </si>
  <si>
    <t>D0001/IR06028/F9273/X046/R1331/001/CORP</t>
  </si>
  <si>
    <t>Revenue:Non-exchange Revenue:Transfers and Subsidies:Operational:Monetary Allocations:National Governments:Municipal Rehabilitation Grant</t>
  </si>
  <si>
    <t>O1348-1/IE00080/F0041/X006/R1330/001/TECH</t>
  </si>
  <si>
    <t>O0001/IE00567/F0041/X049/R1330/001/FIN</t>
  </si>
  <si>
    <t>Expenditure:Operational Cost:External Audit Fees</t>
  </si>
  <si>
    <t>O0001/IE00649/F0041/X101/R1330/001/TECH</t>
  </si>
  <si>
    <t>O0001/IE00142/F0041/X044/R1330/001/EXEC</t>
  </si>
  <si>
    <t>O0001/IE00062/F0041/X045/R1330/001/MM</t>
  </si>
  <si>
    <t>O0001/IE00142/F0041/X045/R1330/001/MM</t>
  </si>
  <si>
    <t>O0001/IE00060/F0041/X045/R1330/001/MM</t>
  </si>
  <si>
    <t>O0001/IE00061/F0041/X045/R1330/001/MM</t>
  </si>
  <si>
    <t>O1232-3/IE00059/F0041/X098/R1330/001/TECH</t>
  </si>
  <si>
    <t>D0001/IZ00106/F0041/X049/R1330/001/FIN</t>
  </si>
  <si>
    <t>Gains and Losses:Disposal of Fixed and Intangible Assets:Property, Plant and Equipment:Other Assets:Gains</t>
  </si>
  <si>
    <t>Gains on disposal of PPE</t>
  </si>
  <si>
    <t>D0001/IZ00107/F0041/X049/R1330/001/FIN</t>
  </si>
  <si>
    <t>Gains and Losses:Disposal of Fixed and Intangible Assets:Property, Plant and Equipment:Other Assets:Losses</t>
  </si>
  <si>
    <t>C0265-1/IA01952/F0002/X101/R1330/001/TECH</t>
  </si>
  <si>
    <t>O0001/IE00550/F0041/X047/R1330/001/FIN</t>
  </si>
  <si>
    <t>D0001/IA02368/F0001/X049/R1331/001/FIN</t>
  </si>
  <si>
    <t>D0001/IA10277/F0001/X049/R1330/001/FIN</t>
  </si>
  <si>
    <t>Assets:Current Assets:Operating Lease - Straight Lining:Opening Balance</t>
  </si>
  <si>
    <t>D0001/IA10243/F0001/X049/R1330/001/FIN</t>
  </si>
  <si>
    <t>Assets:Current Assets:Current Portion of Non-current Receivables:Staff Loans/Recoveries:Opening Balance</t>
  </si>
  <si>
    <t>D0001/IA09093/F0001/X049/R1330/001/FIN</t>
  </si>
  <si>
    <t>Assets:Current Assets:Cash and Cash Equivalents:Call Deposits and Investments:Deposit taking Institutions:Specify (replace with account description):Deposits</t>
  </si>
  <si>
    <t>D0001/IA10208/F0001/X049/R1330/001/FIN</t>
  </si>
  <si>
    <t>Assets:Current Assets:Cash and Cash Equivalents:Cash on Hand:Cashier Floats:Opening Balance</t>
  </si>
  <si>
    <t>D0001/LN00007/F0001/X049/R1330/001/FIN</t>
  </si>
  <si>
    <t>Net Assets:Accumulated Surplus/(Deficit):Transfers to/from operating revenue and expenditure</t>
  </si>
  <si>
    <t>LN</t>
  </si>
  <si>
    <t xml:space="preserve"> Accumulated Surplus/(Deficit)</t>
  </si>
  <si>
    <t>Appropriations to Reserves</t>
  </si>
  <si>
    <t>D0001/IL00790/F0001/X049/R1330/001/FIN</t>
  </si>
  <si>
    <t>Liabilities:Non-current Liabilities:Defined Benefit Obligations:Medical:Current service cost</t>
  </si>
  <si>
    <t xml:space="preserve">  Provisions</t>
  </si>
  <si>
    <t>D0001/IL00915/F0001/X049/R1330/001/FIN</t>
  </si>
  <si>
    <t>Liabilities:Non-current Liabilities:Financial Liabilities:Operating Lease Liability</t>
  </si>
  <si>
    <t xml:space="preserve">  Financial liabilities</t>
  </si>
  <si>
    <t>Financial liabilities</t>
  </si>
  <si>
    <t>D0001/IA10298/F0001/X049/R1330/001/FIN</t>
  </si>
  <si>
    <t>Assets:Current Assets:Control, Clearing and Interface Accounts:Garnishee Payments:Opening Balance</t>
  </si>
  <si>
    <t>D0001/IA10289/F0001/X049/R1330/001/FIN</t>
  </si>
  <si>
    <t>Assets:Current Assets:Control, Clearing and Interface Accounts:Employee Net Pay and Bond Payment:Opening Balance</t>
  </si>
  <si>
    <t>D0001/IL17170/F0001/X049/R1330/001/FIN</t>
  </si>
  <si>
    <t>Liabilities:Current Liabilities:Trade and Other Payable Non-exchange Transactions:Transfers and Subsidies Unspent:Operational:Monetary Allocations:Departmental Agencies and Accounts:National Departmental Agencies:Community Schemes Ombud Service:Receipts</t>
  </si>
  <si>
    <t>D0001/IL17171/F0001/X049/R1330/001/FIN</t>
  </si>
  <si>
    <t>Liabilities:Current Liabilities:Trade and Other Payable Non-exchange Transactions:Transfers and Subsidies Unspent:Operational:Monetary Allocations:Departmental Agencies and Accounts:National Departmental Agencies:Community Schemes Ombud Service:Transferred to Revenue/Capital Expenditure</t>
  </si>
  <si>
    <t>D0001/IL092980/F0001/X049/R1330/001/FIN</t>
  </si>
  <si>
    <t>Liabilities:Current Liabilities:Trade and Other Payable Non-exchange Transactions:Transfers and Subsidies Unspent:Operational:Monetary Allocations:Provincial Government:KwaZulu-Natal:Infrastructure:Specify (Add grant description):Receipts</t>
  </si>
  <si>
    <t>D0001/IL092976/F0001/X049/R1330/001/FIN</t>
  </si>
  <si>
    <t>D0001/IL37124/F0001/X049/R1330/001/FIN</t>
  </si>
  <si>
    <t>Liabilities:Current Liabilities:Trade and Other Payable Non-exchange Transactions:Transfers and Subsidies Unspent:Operational:Monetary Allocations:National Government:Municipal Rehabilitation Grant:Receipts</t>
  </si>
  <si>
    <t>D0001/IL08833/F1177/X049/R1330/001/FIN</t>
  </si>
  <si>
    <t>Liabilities:Current Liabilities:Trade and Other Payable Non-exchange Transactions:Transfers and Subsidies Unspent:Operational:Monetary Allocations:National Government:Local Government Financial Management Grant:Receipts</t>
  </si>
  <si>
    <t>D0001/IL07028/F0786/X035/R1330/001/TECH</t>
  </si>
  <si>
    <t>Liabilities:Current Liabilities:Trade and Other Payable Non-exchange Transactions:Transfers and Subsidies Unspent:Capital:Monetary Allocations:National Government:Integrated National Electrification Programme Grant:Receipts</t>
  </si>
  <si>
    <t>D0001/IL08801/F1169/X049/R1330/001/COMM</t>
  </si>
  <si>
    <t>Liabilities:Current Liabilities:Trade and Other Payable Non-exchange Transactions:Transfers and Subsidies Unspent:Operational:Monetary Allocations:National Government:Expanded Public Works Programme Integrated Grant:Receipts</t>
  </si>
  <si>
    <t>D0001/IL093092/F13636/X024/R1330/001/LIBR</t>
  </si>
  <si>
    <t>Liabilities:Current Liabilities:Trade and Other Payable Non-exchange Transactions:Transfers and Subsidies Unspent:Operational:Monetary Allocations:Provincial Government:KwaZulu-Natal:Capacity Building and Other:Specify (Add grant description):Receipts</t>
  </si>
  <si>
    <t>D0001/IL07048/F0791/X049/R1330/001/TECH</t>
  </si>
  <si>
    <t>Liabilities:Current Liabilities:Trade and Other Payable Non-exchange Transactions:Transfers and Subsidies Unspent:Capital:Monetary Allocations:National Government:Municipal Infrastructure Grant:Receipts</t>
  </si>
  <si>
    <t>D0001/IL093033/F0791/X049/R1330/001/TECH</t>
  </si>
  <si>
    <t>Liabilities:Current Liabilities:Trade and Other Payable Non-exchange Transactions:Transfers and Subsidies Unspent:Operational:Monetary Allocations:Provincial Government:KwaZulu-Natal:Infrastructure:Specify (Add grant description):Transferred to Revenue/Capital Expenditure</t>
  </si>
  <si>
    <t>D0001/IL092976/F13621/X049/R1330/001/FIN</t>
  </si>
  <si>
    <t>D0001/IL37144/F9273/X049/R1330/001/FIN</t>
  </si>
  <si>
    <t>Liabilities:Current Liabilities:Trade and Other Payable Non-exchange Transactions:Transfers and Subsidies Unspent:Operational:Monetary Allocations:National Government:Municipal Rehabilitation Grant:Transferred to Revenue/Capital Expenditure</t>
  </si>
  <si>
    <t>D0001/IL08834/F1177/X049/R1330/001/FIN</t>
  </si>
  <si>
    <t>D0001/IL07029/F0786/X035/R1330/001/TECH</t>
  </si>
  <si>
    <t>Liabilities:Current Liabilities:Trade and Other Payable Non-exchange Transactions:Transfers and Subsidies Unspent:Capital:Monetary Allocations:National Government:Integrated National Electrification Programme Grant:Transferred to Revenue/Capital Expenditure</t>
  </si>
  <si>
    <t>D0001/IL08802/F1169/X049/R1330/001/COMM</t>
  </si>
  <si>
    <t>D0001/IL093089/F13636/X049/R1330/001/LIBR</t>
  </si>
  <si>
    <t>Liabilities:Current Liabilities:Trade and Other Payable Non-exchange Transactions:Transfers and Subsidies Unspent:Operational:Monetary Allocations:Provincial Government:KwaZulu-Natal:Capacity Building and Other:Specify (Add grant description):Transferred to Revenue/Capital Expenditure</t>
  </si>
  <si>
    <t>D0001/IL07049/F0791/X049/R1330/001/TECH</t>
  </si>
  <si>
    <t>D0001/IA10375/F0001/X049/R1330/001/FIN</t>
  </si>
  <si>
    <t>Assets:Current Assets:VAT Receivable:Input Accrual:Recognised</t>
  </si>
  <si>
    <t>D0001/IL39588/F0001/X049/R1330/001/FIN</t>
  </si>
  <si>
    <t>Liabilities:Current Liabilities:VAT Credit:  Output Accrual:Recognised</t>
  </si>
  <si>
    <t>D0001/IL00212/F0001/X049/R1330/001/FIN</t>
  </si>
  <si>
    <t>Liabilities:Non-current Liabilities:Provision and Impairment:Impairment:Other Receivables from Non-exchange Transactions:Unauthorised, Irregular, Fruitless and Wasteful Expenditure:Increases</t>
  </si>
  <si>
    <t>D0001/IL38557/F0001/X049/R1330/001/FIN</t>
  </si>
  <si>
    <t>Liabilities:Current Liabilities:Consumer Deposits:Wayleave:Opening Balance</t>
  </si>
  <si>
    <t>O0001/IE00758/F0041/X101/R1330/001/TECH</t>
  </si>
  <si>
    <t>Expenditure:Operational Cost:Advertising, Publicity and Marketing:Tenders</t>
  </si>
  <si>
    <t>O0001/IE00114/F0041/X091/R1330/001/LIC</t>
  </si>
  <si>
    <t>Expenditure:Employee Related Cost:Municipal Staff:Post-retirement Benefit:Pension:Defined Contribution Fund Expenses</t>
  </si>
  <si>
    <t>O0001/IE01551/F0041/X006/R1330/001/COMM</t>
  </si>
  <si>
    <t>Expenditure:Employee Related Cost:Senior Management:Post-retirement Benefit:Pension:Defined Contribution Fund Expenses</t>
  </si>
  <si>
    <t>O0001/IE00114/F0041/X006/R1330/001/COMM</t>
  </si>
  <si>
    <t>O0001/IE00114/F0041/X116/R1330/001/TECH</t>
  </si>
  <si>
    <t>O0001/IE01551/F0041/X116/R1330/001/TECH</t>
  </si>
  <si>
    <t>D0001/IA02720/F0001/X049/R1331/001/FIN</t>
  </si>
  <si>
    <t>Assets:Current Assets:Receivables from Non-exchange Transactions:Property Rates:Small Holdings:Agricultural Purposes:Monthly Billing</t>
  </si>
  <si>
    <t>D0001/IL093092/F13639/X049/R1330/001/TECH</t>
  </si>
  <si>
    <t>D0001/IL093086/F13621/X049/R1330/001/TECH</t>
  </si>
  <si>
    <t>Liabilities:Current Liabilities:Trade and Other Payable Non-exchange Transactions:Transfers and Subsidies Unspent:Operational:Monetary Allocations:Provincial Government:KwaZulu-Natal:Capacity Building and Other:Specify (Add grant description):Re-payment of Unspent Grant</t>
  </si>
  <si>
    <t>Cash Payments by Type / Other expenditure</t>
  </si>
  <si>
    <t>D0001/IA02158/F0001/X049/R1331/001/FIN</t>
  </si>
  <si>
    <t>D0001/IA02170/F0001/X049/R1331/001/FIN</t>
  </si>
  <si>
    <t>D0001/IA02173/F0001/X049/R1331/001/FIN</t>
  </si>
  <si>
    <t>D0001/IA02176/F0001/X049/R1331/001/FIN</t>
  </si>
  <si>
    <t>D0001/IA10378/F0001/X055/R1330/001/FIN</t>
  </si>
  <si>
    <t>O0001/IE00709/F0041/X047/R1330/001/FIN</t>
  </si>
  <si>
    <t>Expenditure:Depreciation and Amortisation:Depreciation:Computer Equipment</t>
  </si>
  <si>
    <t>D0001/IR01519/F0001/X091/R1331/001/CORP</t>
  </si>
  <si>
    <t>Revenue:Exchange Revenue:Licences or Permits:Road and Transport:Drivers Licence Application/Duplicate Drivers Licences</t>
  </si>
  <si>
    <t>D0001/IR01520/F0001/X091/R1331/001/CORP</t>
  </si>
  <si>
    <t>Revenue:Exchange Revenue:Licences or Permits:Road and Transport:Drivers Licence Certificate</t>
  </si>
  <si>
    <t>D0001/IA10321/F0001/X049/R1330/001/FIN</t>
  </si>
  <si>
    <t>Assets:Current Assets:Control, Clearing and Interface Accounts:Over/Under Banking:Opening Balance</t>
  </si>
  <si>
    <t>O0001/IE06856/F0041/X006/R1330/001/COMM</t>
  </si>
  <si>
    <t>D0001/IA09327/F0001/X049/R1330/001/FIN</t>
  </si>
  <si>
    <t>Assets:Current Assets:Cash and Cash Equivalents:Call Deposits and Investments:Special Deposit for the Payment of Interest:Specify (replace with account description):Deposits</t>
  </si>
  <si>
    <t>D0001/IL54016/F0001/X049/R1330/001/FIN</t>
  </si>
  <si>
    <t>Liabilities:Current Liabilities:Trade and Other Payable Exchange Transactions:Control, Clearing and Interface Accounts:Goods Received/Invoice Received:Opening Balance</t>
  </si>
  <si>
    <t>O1285-1/IE00552/F1177/X049/R1330/001/FIN</t>
  </si>
  <si>
    <t>O1285-1/IE03969/F1177/X049/R1330/001/FIN</t>
  </si>
  <si>
    <t>O1285-1/IE03971/F1177/X049/R1330/001/FIN</t>
  </si>
  <si>
    <t>D0001/IA09103/F0041/X049/R1330/001/FIN</t>
  </si>
  <si>
    <t>Assets:Current Assets:Cash and Cash Equivalents:Call Deposits and Investments:Deposit taking Institutions:Specify (replace with account description):Interest Earned</t>
  </si>
  <si>
    <t>Government - operating</t>
  </si>
  <si>
    <t>D0001/IA09078/F0041/X049/R1330/001/FIN</t>
  </si>
  <si>
    <t>Assets:Current Assets:Cash and Cash Equivalents:Call Deposits and Investments:Deposit taking Institutions:Specify (replace with account description):Charges</t>
  </si>
  <si>
    <t>D0001/IA09089/F0041/X049/R1330/001/FIN</t>
  </si>
  <si>
    <t>D0001/IA09109/F0041/X049/R1330/001/FIN</t>
  </si>
  <si>
    <t>Assets:Current Assets:Cash and Cash Equivalents:Call Deposits and Investments:Deposit taking Institutions:Specify (replace with account description):Withdrawals</t>
  </si>
  <si>
    <t>0150W</t>
  </si>
  <si>
    <t>C0358-1/IA02549/F0002/X047/R1331/001/FIN</t>
  </si>
  <si>
    <t>Assets:Non-current Assets:Investment Property:Cost Model:Accumulated Depreciation:Depreciation</t>
  </si>
  <si>
    <t xml:space="preserve"> Investment property</t>
  </si>
  <si>
    <t>D0001/IR01073/F0001/X049/R1330/001/FIN</t>
  </si>
  <si>
    <t>Revenue:Exchange Revenue:Interest, Dividend and Rent on Land:Interest:Receivables:Waste Management</t>
  </si>
  <si>
    <t>O1255-1/IE00754/F13636/X024/R1331/001/LIBR</t>
  </si>
  <si>
    <t>C0342-1/IA01953/F0002/X049/R1331/001/FIN</t>
  </si>
  <si>
    <t>Assets:Non-current Assets:Investment Property:Cost Model:Additions</t>
  </si>
  <si>
    <t>O1280-1/IE00830/F1177/X055/R1330/001/FIN</t>
  </si>
  <si>
    <t>O0001/IE00841/F0041/X051/R1330/001/CORP</t>
  </si>
  <si>
    <t>Expenditure:Contracted Services:Consultants and Professional Services:Business and Advisory:Medical Examinations</t>
  </si>
  <si>
    <t>O0001/IE00703/F0041/X046/R1331/001/CORP</t>
  </si>
  <si>
    <t>O1336-1/IE00060/F0041/X046/R1331/001/CORP</t>
  </si>
  <si>
    <t>O1336-1/IE00572/F0041/X046/R1331/001/CORP</t>
  </si>
  <si>
    <t>O1336-1/IE00571/F0041/X046/R1331/001/CORP</t>
  </si>
  <si>
    <t>O0828-1/IE00649/F0045/X101/R1331/001/CORP</t>
  </si>
  <si>
    <t>O0001/IE00758/F0041/X049/R1330/001/FIN</t>
  </si>
  <si>
    <t>O0001/IE00757/F0041/X049/R1330/001/FIN</t>
  </si>
  <si>
    <t>O0001/IE00751/F0041/X049/R1330/001/FIN</t>
  </si>
  <si>
    <t>O0001/IE00572/F0041/X046/R1330/001/CORP</t>
  </si>
  <si>
    <t>O1244-1/IE00677/F0041/X021/R1331/001/COMM</t>
  </si>
  <si>
    <t>O1220-2/IE00694/F0041/X076/R1331/001/COMM</t>
  </si>
  <si>
    <t>O1220-2/IE00677/F0041/X076/R1331/001/COMM</t>
  </si>
  <si>
    <t>O1220-2/IE00583/F0041/X076/R1331/001/COMM</t>
  </si>
  <si>
    <t>O1220-2/IE00703/F0041/X076/R1330/001/COMM</t>
  </si>
  <si>
    <t>O1220-1/IE00677/F0041/X076/R1331/001/COMM</t>
  </si>
  <si>
    <t>O1220-1/IE00738/F0041/X076/R1331/001/COMM</t>
  </si>
  <si>
    <t>O1220-1/IE00739/F0041/X076/R1331/001/COMM</t>
  </si>
  <si>
    <t>O1220-3/IE00677/F0041/X076/R1331/001/COMM</t>
  </si>
  <si>
    <t>O1220-3/IE00739/F0041/X076/R1331/001/COMM</t>
  </si>
  <si>
    <t>O1220-3/IE00738/F0041/X076/R1331/001/COMM</t>
  </si>
  <si>
    <t>O1219-1/IE00677/F0041/X076/R1331/001/COMM</t>
  </si>
  <si>
    <t>O1219-1/IE00756/F0041/X076/R1331/001/COMM</t>
  </si>
  <si>
    <t>O1219-1/IE00703/F0041/X076/R1331/001/COMM</t>
  </si>
  <si>
    <t>O1219-1/IE00738/F0041/X076/R1331/001/COMM</t>
  </si>
  <si>
    <t>O1219-1/IE00751/F0041/X076/R1331/001/COMM</t>
  </si>
  <si>
    <t>O1333-5/IE00751/F0041/X129/R1331/001/COMM</t>
  </si>
  <si>
    <t>O1333-5/IE00754/F0041/X129/R1331/001/COMM</t>
  </si>
  <si>
    <t>O1333-5/IE00703/F0041/X129/R1331/001/COMM</t>
  </si>
  <si>
    <t>O1333-5/IE00738/F0041/X129/R1331/001/COMM</t>
  </si>
  <si>
    <t>O1333-6/IE00754/F0041/X129/R1331/001/COMM</t>
  </si>
  <si>
    <t>O1333-6/IE00703/F0041/X129/R1331/001/COMM</t>
  </si>
  <si>
    <t>O1333-6/IE00751/F0041/X129/R1331/001/COMM</t>
  </si>
  <si>
    <t>O1333-6/IE00572/F0041/X129/R1331/001/COMM</t>
  </si>
  <si>
    <t>O1333-6/IE00738/F0041/X129/R1331/001/COMM</t>
  </si>
  <si>
    <t>O1333-6/IE00677/F0041/X129/R1331/001/COMM</t>
  </si>
  <si>
    <t>O1333-6/IE00640/F0041/X129/R1331/001/COMM</t>
  </si>
  <si>
    <t>O1333-4/IE00640/F0041/X129/R1331/001/COMM</t>
  </si>
  <si>
    <t>O1333-4/IE00060/F0041/X129/R1331/001/COMM</t>
  </si>
  <si>
    <t>O1444-2/IE00694/F0041/X025/R1331/001/COMM</t>
  </si>
  <si>
    <t>O1444-2/IE00738/F0041/X025/R1331/001/COMM</t>
  </si>
  <si>
    <t>O1444-2/IE00677/F0041/X025/R1331/001/COMM</t>
  </si>
  <si>
    <t>O1245-2/IE00571/F0041/X028/R1331/001/COMM</t>
  </si>
  <si>
    <t>O1244-4/IE00694/F0041/X018/R1331/001/COMM</t>
  </si>
  <si>
    <t>O1244-4/IE00677/F0041/X018/R1331/001/COMM</t>
  </si>
  <si>
    <t>O1244-4/IE00703/F0041/X018/R1331/001/COMM</t>
  </si>
  <si>
    <t>O1244-4/IE00583/F0041/X018/R1331/001/COMM</t>
  </si>
  <si>
    <t>O1305-1/IE00694/F0041/X098/R1331/001/COMM</t>
  </si>
  <si>
    <t>O1275-1/IE00571/F0041/X132/R1331/001/COMM</t>
  </si>
  <si>
    <t>O1275-1/IE00062/F0041/X132/R1331/001/COMM</t>
  </si>
  <si>
    <t>O0001/IE00550/F0041/X132/R1331/001/COMM</t>
  </si>
  <si>
    <t>O0001/IE00571/F0041/X132/R1331/001/COMM</t>
  </si>
  <si>
    <t>O0001/IE00562/F0041/X132/R1331/001/COMM</t>
  </si>
  <si>
    <t>O0001/IE00738/F0041/X132/R1331/001/COMM</t>
  </si>
  <si>
    <t>O1244-1/IE00607/F0041/X021/R1331/001/COMM</t>
  </si>
  <si>
    <t>O1354-1/IE00754/F0041/X022/R1331/001/COMM</t>
  </si>
  <si>
    <t>O1354-1/IE00583/F0041/X022/R1331/001/COMM</t>
  </si>
  <si>
    <t>O1333-7/IE00677/F0041/X129/R1331/001/COMM</t>
  </si>
  <si>
    <t>O1333-7/IE00703/F0041/X129/R1331/001/COMM</t>
  </si>
  <si>
    <t>O1333-7/IE00640/F0041/X129/R1331/001/COMM</t>
  </si>
  <si>
    <t>O1333-8/IE00640/F0041/X129/R1331/001/COMM</t>
  </si>
  <si>
    <t>O1333-8/IE00677/F0041/X129/R1331/001/COMM</t>
  </si>
  <si>
    <t>O1333-8/IE00703/F0041/X129/R1331/001/COMM</t>
  </si>
  <si>
    <t>O1333-8/IE00549/F0041/X129/R1331/001/COMM</t>
  </si>
  <si>
    <t>O1333-8/IE00143/F0041/X129/R1331/001/COMM</t>
  </si>
  <si>
    <t>O1333-8/IE00060/F0041/X129/R1331/001/COMM</t>
  </si>
  <si>
    <t>O1355-1/IE00751/F0041/X022/R1331/001/COMM</t>
  </si>
  <si>
    <t>O1355-1/IE00583/F0041/X022/R1331/001/COMM</t>
  </si>
  <si>
    <t>O1355-1/IE00694/F0041/X022/R1331/001/COMM</t>
  </si>
  <si>
    <t>O0013-1/IE00583/F0041/X028/R1331/001/COMM</t>
  </si>
  <si>
    <t>O0013-1/IE00703/F0041/X028/R1331/001/COMM</t>
  </si>
  <si>
    <t>O0013-1/IE00677/F0041/X028/R1331/001/COMM</t>
  </si>
  <si>
    <t>O1236-2/IE00751/F0041/X045/R1331/001/MM</t>
  </si>
  <si>
    <t>O1540-1/IE00534/F0041/X052/R1331/001/CORP</t>
  </si>
  <si>
    <t>O1236-2/IE00583/F0041/X045/R1331/001/MM</t>
  </si>
  <si>
    <t>O1236-2/IE00572/F0041/X045/R1331/001/MM</t>
  </si>
  <si>
    <t>O1236-2/IE00571/F0041/X045/R1331/001/MM</t>
  </si>
  <si>
    <t>O1236-2/IE00626/F0041/X045/R1331/001/MM</t>
  </si>
  <si>
    <t>Expenditure:Contracted Services:Contractors:Artists and Performers</t>
  </si>
  <si>
    <t>O1244-9/IE00572/F0041/X025/R1331/001/COMM</t>
  </si>
  <si>
    <t>O1333-9/IE00677/F0041/X129/R1331/001/COMM</t>
  </si>
  <si>
    <t>O1333-9/IE00640/F0041/X129/R1331/001/COMM</t>
  </si>
  <si>
    <t>O1333-9/IE00703/F0041/X129/R1331/001/COMM</t>
  </si>
  <si>
    <t>O0018-2/IE00846/F0041/X045/R1331/001/MM</t>
  </si>
  <si>
    <t>Expenditure:Contracted Services:Consultants and Professional Services:Business and Advisory:Quality Control</t>
  </si>
  <si>
    <t>O0018-2/IE00694/F0041/X045/R1331/001/MM</t>
  </si>
  <si>
    <t>O0018-2/IE00833/F1177/X045/R1331/001/MM</t>
  </si>
  <si>
    <t>Expenditure:Contracted Services:Consultants and Professional Services:Business and Advisory:Audit Committee</t>
  </si>
  <si>
    <t>O1333-10/IE00677/F0041/X129/R1331/001/COMM</t>
  </si>
  <si>
    <t>O1333-10/IE00549/F0041/X129/R1331/001/COMM</t>
  </si>
  <si>
    <t>O1333-10/IE00640/F0041/X129/R1331/001/COMM</t>
  </si>
  <si>
    <t>O1333-10/IE00703/F0041/X129/R1331/001/COMM</t>
  </si>
  <si>
    <t>O1333-10/IE00060/F0041/X129/R1331/001/COMM</t>
  </si>
  <si>
    <t>O0001/IE00583/F0041/X045/R1331/001/MM</t>
  </si>
  <si>
    <t>O1248-1/IE00677/F0041/X012/R1331/001/COMM</t>
  </si>
  <si>
    <t>O1248-1/IE00703/F0041/X012/R1331/001/COMM</t>
  </si>
  <si>
    <t>O0001/IE00671/F0041/X046/R1331/001/CORP</t>
  </si>
  <si>
    <t>O1337-1/IE00583/F0041/X045/R1331/001/MM</t>
  </si>
  <si>
    <t>O1762-1/IE00651/F0041/X116/R1814/001/TECH</t>
  </si>
  <si>
    <t>O1760-1/IE00651/F0041/X116/R1814/001/TECH</t>
  </si>
  <si>
    <t>O1762-1/IE00080/F0041/X116/R1814/001/TECH</t>
  </si>
  <si>
    <t>O1337-2/IE00645/F0041/X045/R1331/001/MM</t>
  </si>
  <si>
    <t>Expenditure:Contracted Services:Contractors:Graphic Designers</t>
  </si>
  <si>
    <t>O1300-1/IE00555/F0041/X051/R1331/001/CORP</t>
  </si>
  <si>
    <t>O1350-1/IE00694/F0041/X045/R1331/001/MM</t>
  </si>
  <si>
    <t>O2708-1/IE00649/F0041/X129/R1331/001/TECH</t>
  </si>
  <si>
    <t>O3399-1/IE00649/F0041/X129/R1331/001/TECH</t>
  </si>
  <si>
    <t>O1300-2/IE00810/F0041/X051/R1330/001/CORP</t>
  </si>
  <si>
    <t>O1300-2/IE00694/F0041/X051/R1330/001/FIN</t>
  </si>
  <si>
    <t>O1300-2/IE00694/F0041/X051/R1330/001/CORP</t>
  </si>
  <si>
    <t>O1300-2/IE00703/F0041/X051/R1330/001/CORP</t>
  </si>
  <si>
    <t>O1300-2/IE00703/F0041/X051/R1330/001/FIN</t>
  </si>
  <si>
    <t>O1300-2/IE00677/F0041/X051/R1330/001/CORP</t>
  </si>
  <si>
    <t>O1300-2/IE00810/F0041/X051/R1330/001/FIN</t>
  </si>
  <si>
    <t>O1300-2/IE00677/F0041/X051/R1330/001/FIN</t>
  </si>
  <si>
    <t>O1350-2/IE00834/F0041/X045/R1331/001/MM</t>
  </si>
  <si>
    <t>Expenditure:Contracted Services:Consultants and Professional Services:Business and Advisory:Board Member</t>
  </si>
  <si>
    <t>C0019-1/IA01952/F0786/X035/R1331/001/TECH</t>
  </si>
  <si>
    <t>O1350-3/IE00583/F0041/X045/R1331/001/MM</t>
  </si>
  <si>
    <t>O0001/IE00650/F0041/X046/R1331/001/CORP</t>
  </si>
  <si>
    <t>O0001/IE00769/F0041/X046/R1331/001/CORP</t>
  </si>
  <si>
    <t>O0001/IE00778/F0041/X046/R1331/001/CORP</t>
  </si>
  <si>
    <t>O0001/IE00545/F0041/X046/R1330/001/CORP</t>
  </si>
  <si>
    <t>O0016-2/IE00682/F0041/X112/R1331/001/CORP</t>
  </si>
  <si>
    <t>Expenditure:Contracted Services:Outsourced Services:Fire Services</t>
  </si>
  <si>
    <t>Public Safety</t>
  </si>
  <si>
    <t>O0016-2/IE00698/F0041/X112/R1331/001/CORP</t>
  </si>
  <si>
    <t>O0016-2/IE00001/F0041/X112/R1331/001/CORP</t>
  </si>
  <si>
    <t>O0016-2/IE00850/F0041/X112/R1331/001/CORP</t>
  </si>
  <si>
    <t>Expenditure:Contracted Services:Consultants and Professional Services:Infrastructure and Planning:Architectural</t>
  </si>
  <si>
    <t>O1240-2/IE00738/F0041/X045/R1331/001/MM</t>
  </si>
  <si>
    <t>O1244-10/IE00571/F0041/X020/R1331/001/COMM</t>
  </si>
  <si>
    <t>O0001/IE00583/F0041/X046/R1330/001/CORP</t>
  </si>
  <si>
    <t>O0001/IE00534/F0041/X046/R1330/001/CORP</t>
  </si>
  <si>
    <t>O0001/IE00559/F0041/X046/R1330/001/CORP</t>
  </si>
  <si>
    <t>Expenditure:Operational Cost:Courier and Delivery Services</t>
  </si>
  <si>
    <t>O0001/IE00655/F0041/X046/R1330/001/CORP</t>
  </si>
  <si>
    <t>Expenditure:Contracted Services:Contractors:Pest Control and Fumigation</t>
  </si>
  <si>
    <t>O0001/IE00543/F0041/X046/R1330/001/CORP</t>
  </si>
  <si>
    <t>Expenditure:Operating Leases:Land</t>
  </si>
  <si>
    <t>O0001/IE00678/F0041/X046/R1330/001/CORP</t>
  </si>
  <si>
    <t>Expenditure:Contracted Services:Outsourced Services:Cleaning Services</t>
  </si>
  <si>
    <t>O0001/IE00583/F0041/X046/R1331/001/LIC</t>
  </si>
  <si>
    <t>O1236-2/IE00703/F0041/X045/R1331/001/MM</t>
  </si>
  <si>
    <t>O1236-2/IE00677/F0041/X045/R1331/001/MM</t>
  </si>
  <si>
    <t>O0024-1/IE00578/F0041/X101/R1331/001/TECH</t>
  </si>
  <si>
    <t>O0001/IE00063/F0041/X101/R1331/001/TECH</t>
  </si>
  <si>
    <t>O0001/IE00061/F0041/X049/R1331/001/TECH</t>
  </si>
  <si>
    <t>C0018-1/IA01952/F0786/X035/R1331/001/TECH</t>
  </si>
  <si>
    <t>C0007-2/IA01327/F0002/X116/R1331/001/COMM</t>
  </si>
  <si>
    <t>C0311-1/IA00092/F0002/X116/R1330/001/TECH</t>
  </si>
  <si>
    <t>C0352-1/IA01952/F0002/X046/R1331/001/CORP</t>
  </si>
  <si>
    <t>O1304-2/IE00677/F0041/X098/R1331/001/COMM</t>
  </si>
  <si>
    <t>O1297-1/IE00571/F0041/X046/R1331/001/CORP</t>
  </si>
  <si>
    <t>O0022-1/IE00025/F0041/X045/R1331/001/MM</t>
  </si>
  <si>
    <t>Expenditure:Contracted Services:Outsourced Services:Business and Advisory:Research and Advisory</t>
  </si>
  <si>
    <t>O1305-2/IE00694/F0041/X045/R1331/001/MM</t>
  </si>
  <si>
    <t>O1244-10/IE00754/F0041/X020/R1331/001/COMM</t>
  </si>
  <si>
    <t>O1244-10/IE00677/F0041/X020/R1331/001/COMM</t>
  </si>
  <si>
    <t>O1342-1/IE00834/F0041/X045/R1331/001/MM</t>
  </si>
  <si>
    <t>O1243-3/IE00677/F0041/X028/R1331/001/COMM</t>
  </si>
  <si>
    <t>O1243-3/IE00703/F0041/X028/R1331/001/COMM</t>
  </si>
  <si>
    <t>O1336-2/IE00694/F0041/X052/R1331/001/CORP</t>
  </si>
  <si>
    <t>O1245-1/IE00703/F0041/X028/R1331/001/COMM</t>
  </si>
  <si>
    <t>O1245-3/IE00703/F0041/X028/R1331/001/COMM</t>
  </si>
  <si>
    <t>O1245-3/IE00677/F0041/X028/R1331/001/COMM</t>
  </si>
  <si>
    <t>O1245-3/IE00640/F0041/X028/R1331/001/COMM</t>
  </si>
  <si>
    <t>O1245-3/IE00060/F0041/X028/R1331/001/COMM</t>
  </si>
  <si>
    <t>O1252-1/IE00703/F0041/X028/R1331/001/COMM</t>
  </si>
  <si>
    <t>O1244-8/IE00571/F0041/X028/R1331/001/COMM</t>
  </si>
  <si>
    <t>O0007-1/IE00677/F0041/X028/R1331/001/COMM</t>
  </si>
  <si>
    <t>O0007-1/IE00703/F0041/X028/R1331/001/COMM</t>
  </si>
  <si>
    <t>O0007-1/IE00571/F0041/X028/R1331/001/COMM</t>
  </si>
  <si>
    <t>O1243-4/IE00703/F0041/X028/R1331/001/COMM</t>
  </si>
  <si>
    <t>O1243-4/IE00677/F0041/X028/R1331/001/COMM</t>
  </si>
  <si>
    <t>O1243-4/IE00571/F0041/X028/R1331/001/COMM</t>
  </si>
  <si>
    <t>O1243-4/IE00534/F0041/X028/R1331/001/COMM</t>
  </si>
  <si>
    <t>O1246-3/IE00844/F0041/X045/R1331/001/MM</t>
  </si>
  <si>
    <t>O0001/IE00584/F0041/X045/R1331/001/MM</t>
  </si>
  <si>
    <t>O1232-4/IE00059/F0041/X045/R1331/001/MM</t>
  </si>
  <si>
    <t>O0001/IE00143/F0041/X045/R1331/001/MM</t>
  </si>
  <si>
    <t>O0001/IE01581/F0041/X045/R1331/001/MM</t>
  </si>
  <si>
    <t>O0001/IE00060/F0041/X045/R1331/001/MM</t>
  </si>
  <si>
    <t>O1293-3/IE00549/F0041/X045/R1331/001/MM</t>
  </si>
  <si>
    <t>O1263-1/IE00694/F0041/X019/R1331/001/COMM</t>
  </si>
  <si>
    <t>O3616/IR00992/F0930/X132/R1331/001/COMM</t>
  </si>
  <si>
    <t>O1241-1/IE00573/F0041/X028/R1331/001/COMM</t>
  </si>
  <si>
    <t>Expenditure:Operational Cost:Indigent Relief</t>
  </si>
  <si>
    <t>O1255-1/IE00143/F13636/X024/R1331/001/LIBR</t>
  </si>
  <si>
    <t>O1255-1/IE00144/F13636/X024/R1331/001/LIBR</t>
  </si>
  <si>
    <t>O1255-1/IE00549/F13636/X024/R1331/001/LIBR</t>
  </si>
  <si>
    <t>O1255-2/IE00143/F13636/X024/R1331/001/LIBR</t>
  </si>
  <si>
    <t>O1255-2/IE00550/F13636/X024/R1331/001/LIBR</t>
  </si>
  <si>
    <t>O1255-2/IE00754/F13636/X024/R1331/001/LIBR</t>
  </si>
  <si>
    <t>O1255-2/IE00144/F13636/X024/R1331/001/LIBR</t>
  </si>
  <si>
    <t>O1255-3/IE00677/F13636/X024/R1331/001/LIBR</t>
  </si>
  <si>
    <t>O1255-4/IE00583/F13636/X024/R1331/001/LIBR</t>
  </si>
  <si>
    <t>O1255-5/IE00583/F13636/X024/R1331/001/LIBR</t>
  </si>
  <si>
    <t>O1255-6/IE00583/F13636/X024/R1331/001/LIBR</t>
  </si>
  <si>
    <t>O1255-7/IE00703/F13636/X024/R1331/001/LIBR</t>
  </si>
  <si>
    <t>O1255-7/IE00583/F13636/X024/R1331/001/LIBR</t>
  </si>
  <si>
    <t>O0001/IE00023/F0041/X101/R1331/001/TECH</t>
  </si>
  <si>
    <t>Expenditure:Contracted Services:Outsourced Services:Business and Advisory:Qualification Verification</t>
  </si>
  <si>
    <t>O1255-8/IE00583/F13636/X024/R1331/001/LIBR</t>
  </si>
  <si>
    <t>O1255-8/IE00550/F13636/X024/R1331/001/LIBR</t>
  </si>
  <si>
    <t>O1255-8/IE00751/F13636/X024/R1331/001/LIBR</t>
  </si>
  <si>
    <t>O2774-2/IE00649/F0041/X108/R1331/001/TECH</t>
  </si>
  <si>
    <t>Fencing and Fences</t>
  </si>
  <si>
    <t>O0001/IE00609/F0041/X045/R1330/001/MM</t>
  </si>
  <si>
    <t>O0001/IE00609/F0041/X116/R1330/001/TECH</t>
  </si>
  <si>
    <t>O1244-10/IE00703/F0041/X020/R1331/001/COMM</t>
  </si>
  <si>
    <t>O0001/IE00609/F0041/X051/R1331/001/CORP</t>
  </si>
  <si>
    <t>O0001/IE00738/F0041/X091/R1331/001/CORP</t>
  </si>
  <si>
    <t>O0029-1/IE00793/F0041/X052/R1331/001/CORP</t>
  </si>
  <si>
    <t>O0828-2/IE00631/F0041/X051/R1331/001/CORP</t>
  </si>
  <si>
    <t>Expenditure:Contracted Services:Contractors:Building</t>
  </si>
  <si>
    <t>O0001/IE00609/F0041/X006/R1330/001/COMM</t>
  </si>
  <si>
    <t>O0001/IE06917/F0041/X046/R1331/001/CORP</t>
  </si>
  <si>
    <t>Expenditure:Employee Related Cost:Senior Management:Designation:Salaries and Allowances:Allowance:Travel or Motor Vehicle</t>
  </si>
  <si>
    <t>C0004-4/IA06233/F0002/X046/R1331/001/CORP</t>
  </si>
  <si>
    <t>O0001/IE00140/F0041/X045/R1330/001/MM</t>
  </si>
  <si>
    <t>Expenditure:Employee Related Cost:Senior Management:Municipal Manager (MM):Social Contributions:Unemployment Insurance</t>
  </si>
  <si>
    <t>C0230-5/IA01952/F0002/X016/R1814/001/TECH</t>
  </si>
  <si>
    <t>D0001/IL00747/F0001/X051/R1330/001/CORP</t>
  </si>
  <si>
    <t>Liabilities:Current Liabilities:Provision and Impairment:Leave:Increases</t>
  </si>
  <si>
    <t>D0001/IL00852/F0001/X051/R1330/001/CORP</t>
  </si>
  <si>
    <t>Liabilities:Non-current Liabilities:Provision and Impairment:Long-service Awards:Increases</t>
  </si>
  <si>
    <t>C0177-2/IA01952/F0002/X116/R1815/001/TECH</t>
  </si>
  <si>
    <t>D0001/IL43218/F0001/X049/R1331/001/FIN</t>
  </si>
  <si>
    <t>Liabilities:Current Liabilities:Trade and Other Payable Exchange Transactions:Advance Payments:Opening Balance</t>
  </si>
  <si>
    <t>D0001/IL53976/F0001/X049/R1331/001/FIN</t>
  </si>
  <si>
    <t>Liabilities:Current Liabilities:Trade and Other Payable Exchange Transactions:Advance Payments:Withdrawals</t>
  </si>
  <si>
    <t>D0001/IL53975/F0001/X049/R1331/001/FIN</t>
  </si>
  <si>
    <t>Liabilities:Current Liabilities:Trade and Other Payable Exchange Transactions:Advance Payments:Deposits</t>
  </si>
  <si>
    <t>D0001/IA10275/F0001/X049/R1331/001/FIN</t>
  </si>
  <si>
    <t>Assets:Current Assets:Receivables from Non-exchange Transactions:Accrued Income:Recognised</t>
  </si>
  <si>
    <t>D0001/IA10276/F0001/X049/R1331/001/FIN</t>
  </si>
  <si>
    <t>Assets:Current Assets:Receivables from Non-exchange Transactions:Accrued Income:Reversal</t>
  </si>
  <si>
    <t>D0001/IA10274/F0001/X049/R1331/001/FIN</t>
  </si>
  <si>
    <t>Assets:Current Assets:Receivables from Non-exchange Transactions:Accrued Income:Opening Balance</t>
  </si>
  <si>
    <t>O1333-9/IE00754/F0041/X129/R1331/001/COMM</t>
  </si>
  <si>
    <t>O0008-1/IE00634/F0041/X035/R1331/001/TECH</t>
  </si>
  <si>
    <t>Expenditure:Contracted Services:Contractors:Electrical</t>
  </si>
  <si>
    <t>D0001/IA10275/F2496/X049/R1331/001/FIN</t>
  </si>
  <si>
    <t>D0001/IL53975/F2496/X049/R1331/001/FIN</t>
  </si>
  <si>
    <t>O1278-2/IE00045/F1169/X006/R1331/001/COMM</t>
  </si>
  <si>
    <t>O1278-2/IE00040/F1169/X006/R1331/001/COMM</t>
  </si>
  <si>
    <t>O1278-2/IE00595/F1169/X006/R1331/001/COMM</t>
  </si>
  <si>
    <t>O1278-2/IE00582/F1169/X006/R1331/001/COMM</t>
  </si>
  <si>
    <t>Expenditure:Operational Cost:Personnel Agency Fees [Personnel Recruitment Costs]</t>
  </si>
  <si>
    <t>O0022-2/IE00694/F0041/X098/R1331/001/MM</t>
  </si>
  <si>
    <t>C0230-7/IA01952/F0002/X016/R1814/001/TECH</t>
  </si>
  <si>
    <t>C0230-8/IA01952/F0002/X006/R1331/001/TECH</t>
  </si>
  <si>
    <t>C0177-5/IA01952/F0002/X116/R1817/001/TECH</t>
  </si>
  <si>
    <t>C0230-9/IA01952/F0002/X006/R1815/001/TECH</t>
  </si>
  <si>
    <t>O1108-1/IR006971/F13650/X129/R1812/001/TECH</t>
  </si>
  <si>
    <t>Revenue:Non-exchange Revenue:Transfers and Subsidies:Operational:Monetary Allocations:Provincial Government:KwaZulu-Natal:Infrastructure:Specify (Add grant description)</t>
  </si>
  <si>
    <t>O1278-2/IE00036/F0041/X132/R1331/001/COMM</t>
  </si>
  <si>
    <t>O1244-12/IE00534/F0041/X044/R1331/001/EXEC</t>
  </si>
  <si>
    <t>O1219-1/IE00754/F0041/X076/R1331/001/COMM</t>
  </si>
  <si>
    <t>O1333-5/IE00677/F0041/X129/R1331/001/COMM</t>
  </si>
  <si>
    <t>O1333-5/IE00694/F0041/X129/R1331/001/COMM</t>
  </si>
  <si>
    <t>O1333-6/IE00549/F0041/X129/R1331/001/COMM</t>
  </si>
  <si>
    <t>O0013-1/IE00572/F0041/X028/R1331/001/COMM</t>
  </si>
  <si>
    <t>O0013-1/IE00060/F0041/X028/R1331/001/COMM</t>
  </si>
  <si>
    <t>O0013-1/IE00694/F0041/X028/R1331/001/COMM</t>
  </si>
  <si>
    <t>O0013-1/IE00534/F0041/X028/R1331/001/COMM</t>
  </si>
  <si>
    <t>O1244-9/IE00703/F0041/X025/R1331/001/COMM</t>
  </si>
  <si>
    <t>O1244-9/IE00677/F0041/X025/R1331/001/COMM</t>
  </si>
  <si>
    <t>O1244-9/IE00694/F0041/X025/R1331/001/COMM</t>
  </si>
  <si>
    <t>O1244-9/IE00571/F0041/X025/R1331/001/COMM</t>
  </si>
  <si>
    <t>O0001/IE00607/F0041/X129/R1331/001/COMM</t>
  </si>
  <si>
    <t>O0001/IE00602/F0041/X129/R1331/001/COMM</t>
  </si>
  <si>
    <t>O1243-5/IE00534/F0041/X012/R1331/001/COMM</t>
  </si>
  <si>
    <t>O1245-1/IE00677/F0041/X028/R1331/001/COMM</t>
  </si>
  <si>
    <t>O1245-1/IE00534/F0041/X028/R1331/001/COMM</t>
  </si>
  <si>
    <t>O1252-1/IE00677/F0041/X028/R1331/001/COMM</t>
  </si>
  <si>
    <t>O1252-1/IE00694/F0041/X028/R1331/001/COMM</t>
  </si>
  <si>
    <t>O1252-1/IE00677/F0041/X028/R1812/001/COMM</t>
  </si>
  <si>
    <t>O1244-1/IE00703/F0041/X021/R1331/001/COMM</t>
  </si>
  <si>
    <t>O0001/IE00060/F0041/X021/R1331/001/COMM</t>
  </si>
  <si>
    <t>O1244-4/IE00534/F0041/X018/R1331/001/COMM</t>
  </si>
  <si>
    <t>O1305-3/IE00534/F0041/X098/R1331/001/COMM</t>
  </si>
  <si>
    <t>O1444-6/IE00694/F0041/X028/R1331/001/COMM</t>
  </si>
  <si>
    <t>O1444-6/IE00703/F0041/X028/R1331/001/COMM</t>
  </si>
  <si>
    <t>O1444-6/IE00677/F0041/X028/R1331/001/COMM</t>
  </si>
  <si>
    <t>O1444-6/IE00534/F0041/X028/R1331/001/COMM</t>
  </si>
  <si>
    <t>O1444-6/IE00060/F0041/X028/R1331/001/COMM</t>
  </si>
  <si>
    <t>O1588-1/IE00534/F0041/X028/R1331/001/COMM</t>
  </si>
  <si>
    <t>O0001/IE00609/F0041/X091/R1331/001/LIC</t>
  </si>
  <si>
    <t>C0230-10/IA01952/F0791/X016/R1814/001/TECH</t>
  </si>
  <si>
    <t>O1245-1/IE00534/F0041/X028/R1812/001/COMM</t>
  </si>
  <si>
    <t>D0001/IR006973/F13637/X104/R1331/001/TECH</t>
  </si>
  <si>
    <t>O0001/IE00598/F0041/X091/R1331/001/LIC</t>
  </si>
  <si>
    <t>Expenditure:Operational Cost:Storage of Files (Archiving)</t>
  </si>
  <si>
    <t>C0002-1/IA02842/F0041/X047/R1331/001/COMM</t>
  </si>
  <si>
    <t>Assets:Non-current Assets:Heritage Assets:Cost Model:Historic Buildings:Areas of Land of Historic Specific Significance Cost:Acquisitions</t>
  </si>
  <si>
    <t xml:space="preserve"> Other -current assets</t>
  </si>
  <si>
    <t>Other -current assets</t>
  </si>
  <si>
    <t>C0002-1/IA03762/F0041/X047/R1331/001/COMM</t>
  </si>
  <si>
    <t>Assets:Non-current Assets:Biological Assets:Cost:Consumable:Immature:Dairy Cattle:Acquisitions</t>
  </si>
  <si>
    <t xml:space="preserve"> Biological</t>
  </si>
  <si>
    <t>O0763-1/IE00666/F13637/X099/R1331/001/TECH</t>
  </si>
  <si>
    <t>O1246-4/IE00036/F0041/X046/R1330/001/CORP</t>
  </si>
  <si>
    <t>D0001/IA06319/F0001/X047/R1331/001/FIN</t>
  </si>
  <si>
    <t>Assets:Non-current Assets:Property, Plant and Equipment:Cost Model:Machinery and Equipment:In-use:Cost:Opening Balance</t>
  </si>
  <si>
    <t>D0001/IA06305/F0001/X047/R1331/001/FIN</t>
  </si>
  <si>
    <t>Assets:Non-current Assets:Property, Plant and Equipment:Cost Model:Machinery and Equipment:In-use:Accumulated Depreciation:Opening Balance</t>
  </si>
  <si>
    <t>D0001/IA06245/F0001/X047/R1331/001/FIN</t>
  </si>
  <si>
    <t>Assets:Non-current Assets:Property, Plant and Equipment:Cost Model:Furniture and Office Equipment:In-use:Accumulated Depreciation:Opening Balance</t>
  </si>
  <si>
    <t>C0072-1/IA01373/F0001/X047/R1331/001/FIN</t>
  </si>
  <si>
    <t>Assets:Non-current Assets:Property, Plant and Equipment:Cost Model:Transport Assets:Owned and In-use:Cost:Opening Balance</t>
  </si>
  <si>
    <t>C0069-1/IA06259/F0001/X047/R1331/001/FIN</t>
  </si>
  <si>
    <t>Assets:Non-current Assets:Property, Plant and Equipment:Cost Model:Furniture and Office Equipment:In-use:Cost:Opening Balance</t>
  </si>
  <si>
    <t>D0001/IA01359/F0001/X047/R1331/001/FIN</t>
  </si>
  <si>
    <t>Assets:Non-current Assets:Property, Plant and Equipment:Cost Model:Transport Assets:Owned and In-use:Accumulated Depreciation:Opening Balance</t>
  </si>
  <si>
    <t>D0001/IA00124/F0001/X047/R1331/001/FIN</t>
  </si>
  <si>
    <t>Assets:Non-current Assets:Property, Plant and Equipment:Cost Model:Roads Infrastructure:Accumulated Depreciation:Opening Balance</t>
  </si>
  <si>
    <t>C0120-3/IA00138/F0001/X047/R1331/001/FIN</t>
  </si>
  <si>
    <t>Assets:Non-current Assets:Property, Plant and Equipment:Cost Model:Roads Infrastructure:Cost:Opening Balance</t>
  </si>
  <si>
    <t>C0068-1/IA06199/F0001/X047/R1331/001/FIN</t>
  </si>
  <si>
    <t>Assets:Non-current Assets:Property, Plant and Equipment:Cost Model:Computer Equipment:In-use:Cost:Opening Balance</t>
  </si>
  <si>
    <t>D0001/IA06185/F0001/X047/R1331/001/FIN</t>
  </si>
  <si>
    <t>Assets:Non-current Assets:Property, Plant and Equipment:Cost Model:Computer Equipment:In-use:Accumulated Depreciation:Opening Balance</t>
  </si>
  <si>
    <t>C0276-1/IA00038/F0001/X047/R1331/001/FIN</t>
  </si>
  <si>
    <t>Assets:Non-current Assets:Property, Plant and Equipment:Cost Model:Community Assets:Cost:Opening Balance</t>
  </si>
  <si>
    <t>D0001/IA00024/F0001/X047/R1331/001/FIN</t>
  </si>
  <si>
    <t>Assets:Non-current Assets:Property, Plant and Equipment:Cost Model:Community Assets:Accumulated Depreciation:Opening Balance</t>
  </si>
  <si>
    <t>C0306-1/IA00098/F0001/X047/R1331/001/FIN</t>
  </si>
  <si>
    <t>Assets:Non-current Assets:Property, Plant and Equipment:Cost Model:Other Assets:Cost:Opening Balance</t>
  </si>
  <si>
    <t>D0001/IA00084/F0001/X047/R1331/001/FIN</t>
  </si>
  <si>
    <t>Assets:Non-current Assets:Property, Plant and Equipment:Cost Model:Other Assets:Accumulated Depreciation:Opening Balance</t>
  </si>
  <si>
    <t>C0358-2/IA01958/F0001/X047/R1331/001/FIN</t>
  </si>
  <si>
    <t>Assets:Non-current Assets:Investment Property:Cost Model:Opening Balance</t>
  </si>
  <si>
    <t>D0001/IA02438/F0001/X047/R1331/001/FIN</t>
  </si>
  <si>
    <t>Assets:Non-current Assets:Construction Work-in-progress:Opening Balance</t>
  </si>
  <si>
    <t>C0001-1/IA01313/F0001/X047/R1331/001/FIN</t>
  </si>
  <si>
    <t>Assets:Non-current Assets:Property, Plant and Equipment:Cost Model:Land:General Plant:Owned and In-use:Cost:Opening Balance</t>
  </si>
  <si>
    <t>C0230-11/IA01952/F0791/X016/R1818/001/TECH</t>
  </si>
  <si>
    <t>C0007-3/IA01327/F0002/X116/R1331/001/TECH</t>
  </si>
  <si>
    <t>C0006-2/IA06282/F0002/X116/R1331/001/TECH</t>
  </si>
  <si>
    <t>D0001/IL093085/F13650/X125/R1331/001/COMM</t>
  </si>
  <si>
    <t>D0001/IL093084/F13650/X125/R1331/001/COMM</t>
  </si>
  <si>
    <t>D0001/IL093086/F13650/X125/R1331/001/COMM</t>
  </si>
  <si>
    <t>D0001/IL093083/F13650/X125/R1331/001/COMM</t>
  </si>
  <si>
    <t>Liabilities:Current Liabilities:Trade and Other Payable Non-exchange Transactions:Transfers and Subsidies Unspent:Operational:Monetary Allocations:Provincial Government:KwaZulu-Natal:Capacity Building and Other:Specify (Add grant description):Opening Balance</t>
  </si>
  <si>
    <t>D0001/IR006971/F13650/X125/R1330/001/COMM</t>
  </si>
  <si>
    <t>D0001/IR01422/F0045/X049/R1330/001/FIN</t>
  </si>
  <si>
    <t>Revenue:Exchange Revenue:Operational Revenue:Recovery Maintenance</t>
  </si>
  <si>
    <t>D0001/IL54014/F0001/X049/R1330/001/FIN</t>
  </si>
  <si>
    <t>Liabilities:Current Liabilities:Trade and Other Payable Exchange Transactions:Control, Clearing and Interface Accounts:Salary Clearing and Control:Employee Deductions FICS:Withdrawals</t>
  </si>
  <si>
    <t>D0001/IL54013/F0001/X049/R1330/001/FIN</t>
  </si>
  <si>
    <t>Liabilities:Current Liabilities:Trade and Other Payable Exchange Transactions:Control, Clearing and Interface Accounts:Salary Clearing and Control:Employee Deductions FICS:Deposits</t>
  </si>
  <si>
    <t>D0001/IL54007/F0001/X049/R1331/001/EXEC</t>
  </si>
  <si>
    <t>Liabilities:Current Liabilities:Trade and Other Payable Exchange Transactions:Control, Clearing and Interface Accounts:Salary Clearing and Control:Group Life Control:Deposits</t>
  </si>
  <si>
    <t>O0008-3/IE00566/F0041/X035/R1817/001/TECH</t>
  </si>
  <si>
    <t>Expenditure:Operational Cost:Eskom Connection Fees</t>
  </si>
  <si>
    <t>O1359-1/IE00694/F0041/X044/R1331/001/EXEC</t>
  </si>
  <si>
    <t>C0261-1/IA00092/F0002/X049/R1330/001/CORP</t>
  </si>
  <si>
    <t>D0001/IA09572/F0001/X049/R1330/001/FIN</t>
  </si>
  <si>
    <t>D0001/IA09572/F0001/X049/R1331/001/FIN</t>
  </si>
  <si>
    <t>D0001/IA10181/F0001/X049/R1330/001/FIN</t>
  </si>
  <si>
    <t>Assets:Current Assets:Cash and Cash Equivalents:Call Deposits and Investments:Short Term portion of Investments:Deposit Taking Institutions:Opening Balance</t>
  </si>
  <si>
    <t>O0001/IE00723/F0041/X047/R1331/001/FIN</t>
  </si>
  <si>
    <t>Expenditure:Depreciation and Amortisation:Depreciation:Transport Assets</t>
  </si>
  <si>
    <t>O0001/IE00030/F0041/X047/R1331/001/FIN</t>
  </si>
  <si>
    <t>Expenditure:Depreciation and Amortisation:Amortisation:Intangible Assets:Licences and Rights:Computer Software and Applications</t>
  </si>
  <si>
    <t>7eb20c30-ee1f-475f-a757-8801dc77ab2d</t>
  </si>
  <si>
    <t>C0292-2/IA00082/F0048/X047/R1331/001/FIN</t>
  </si>
  <si>
    <t>O1359-1/IE00677/F0041/X045/R1331/001/EXEC</t>
  </si>
  <si>
    <t>O1359-1/IE00813/F0041/X045/R1331/001/EXEC</t>
  </si>
  <si>
    <t>Expenditure:Operational Cost:Transport Provided as Part of Departmental Activities:Municipal Activities</t>
  </si>
  <si>
    <t>O0001/IE00792/F0041/X052/R1812/001/CORP</t>
  </si>
  <si>
    <t>O2391-1/IE00649/F0041/X116/R1331/001/TECH</t>
  </si>
  <si>
    <t>D0001/IA10384/F2496/X049/R1331/001/FIN</t>
  </si>
  <si>
    <t>D0001/IA10384/F0930/X006/R1331/001/COMM</t>
  </si>
  <si>
    <t>D0001/IA02102/F2495/X049/R1331/001/FIN</t>
  </si>
  <si>
    <t>Assets:Current Assets:Cash and Cash Equivalents:Call Deposits and Investments:Special Deposit for the Payment of Interest:Specify (replace with account description):Withdrawals</t>
  </si>
  <si>
    <t>0170W</t>
  </si>
  <si>
    <t>D0001/IA02101/F2495/X049/R1331/001/FIN</t>
  </si>
  <si>
    <t>Assets:Current Assets:Cash and Cash Equivalents:Call Deposits and Investments:Special Deposit for the Payment of Interest:Specify (replace with account description):Opening Balance</t>
  </si>
  <si>
    <t>0170D</t>
  </si>
  <si>
    <t>Cash/cash equivalents at the month/year begin:</t>
  </si>
  <si>
    <t>D0001/IA02099/F2495/X049/R1331/001/FIN</t>
  </si>
  <si>
    <t>D0001/IA02097/F2495/X049/R1331/001/FIN</t>
  </si>
  <si>
    <t>Assets:Current Assets:Cash and Cash Equivalents:Call Deposits and Investments:Special Deposit for the Payment of Interest:Specify (replace with account description):Charges</t>
  </si>
  <si>
    <t>D0001/IA02100/F2495/X049/R1331/001/FIN</t>
  </si>
  <si>
    <t>Assets:Current Assets:Cash and Cash Equivalents:Call Deposits and Investments:Special Deposit for the Payment of Interest:Specify (replace with account description):Interest Earned</t>
  </si>
  <si>
    <t>D0001/IA09572/F1169/X049/R1331/001/FIN</t>
  </si>
  <si>
    <t>D0001/IA09572/F1177/X049/R1331/001/FIN</t>
  </si>
  <si>
    <t>D0001/IA09572/F1182/X049/R1331/001/FIN</t>
  </si>
  <si>
    <t>D0001/IA09800/F1177/X049/R1331/001/FIN</t>
  </si>
  <si>
    <t>D0001/IA09800/F13650/X049/R1331/001/FIN</t>
  </si>
  <si>
    <t>D0001/IA09800/F1169/X049/R1331/001/FIN</t>
  </si>
  <si>
    <t>D0001/IA09800/F1182/X049/R1331/001/FIN</t>
  </si>
  <si>
    <t>D0001/IA09800/F13530/X049/R1331/001/FIN</t>
  </si>
  <si>
    <t>D0001/IA09572/F13650/X049/R1331/001/FIN</t>
  </si>
  <si>
    <t>D0001/IA09572/F13530/X049/R1331/001/FIN</t>
  </si>
  <si>
    <t>C0086-3/IA00758/F0002/X049/R1331/001/FIN</t>
  </si>
  <si>
    <t>Assets:Non-current Assets:Intangible Assets:Cost:Internally Generated:In-use:Computer Software:Acquisitions</t>
  </si>
  <si>
    <t>C0040-2/IA01952/F0002/X116/R1331/001/TECH</t>
  </si>
  <si>
    <t>O0001/IE01533/F0041/X049/R1330/001/FIN</t>
  </si>
  <si>
    <t>O0001/IE06922/F0041/X116/R1330/001/TECH</t>
  </si>
  <si>
    <t>O0001/IE01533/F0041/X044/R1330/001/EXEC</t>
  </si>
  <si>
    <t>O1766-1/IE00571/F0041/X116/R1331/001/TECH</t>
  </si>
  <si>
    <t>O1359-1/IE00703/F0041/X044/R1331/001/EXEC</t>
  </si>
  <si>
    <t>C0040-1/IA00132/F0791/X116/R1816/001/TECH</t>
  </si>
  <si>
    <t>C0040-1/IA00122/F0791/X116/R1816/001/TECH</t>
  </si>
  <si>
    <t>O2734-1/IE00679/F0041/X045/R1331/001/MM</t>
  </si>
  <si>
    <t>Expenditure:Contracted Services:Outsourced Services:Clearing and Grass Cutting Services</t>
  </si>
  <si>
    <t>O0001/IE00534/F0041/X045/R1331/001/MM</t>
  </si>
  <si>
    <t>O1264-2/IE00534/F1180/X019/R1331/001/COMM</t>
  </si>
  <si>
    <t>O1264-2/IE00738/F1180/X019/R1331/001/COMM</t>
  </si>
  <si>
    <t>D0001/IA09973/F0791/X049/R1330/001/FIN</t>
  </si>
  <si>
    <t>Assets:Current Assets:Cash and Cash Equivalents:Cash at Bank:Bank Account:Specify (replace with account description):Opening Balance</t>
  </si>
  <si>
    <t>D0001/IA09806/F0791/X049/R1330/001/FIN</t>
  </si>
  <si>
    <t>D0001/IA09401/F0791/X049/R1330/001/FIN</t>
  </si>
  <si>
    <t>Assets:Current Assets:Cash and Cash Equivalents:Cash at Bank:Bank Account:Specify (replace with account description):Charges</t>
  </si>
  <si>
    <t>D0001/IA09729/F0791/X049/R1330/001/FIN</t>
  </si>
  <si>
    <t>Assets:Current Assets:Cash and Cash Equivalents:Cash at Bank:Bank Account:Specify (replace with account description):Interest Earned</t>
  </si>
  <si>
    <t>D0001/IA09588/F0791/X049/R1330/001/FIN</t>
  </si>
  <si>
    <t>D0001/IA09566/F1177/X049/R1330/001/FIN</t>
  </si>
  <si>
    <t>D0001/IA09764/F1177/X049/R1330/001/FIN</t>
  </si>
  <si>
    <t>D0001/IA09421/F1177/X049/R1330/001/FIN</t>
  </si>
  <si>
    <t>D0001/IA09667/F1177/X049/R1330/001/FIN</t>
  </si>
  <si>
    <t>D0001/IA09975/F1177/X049/R1330/001/FIN</t>
  </si>
  <si>
    <t>D0001/IA09621/F1169/X049/R1330/001/FIN</t>
  </si>
  <si>
    <t>D0001/IA09977/F1169/X049/R1330/001/FIN</t>
  </si>
  <si>
    <t>D0001/IA09422/F1169/X049/R1330/001/FIN</t>
  </si>
  <si>
    <t>D0001/IA09791/F1169/X049/R1330/001/FIN</t>
  </si>
  <si>
    <t>D0001/IA09600/F1169/X049/R1330/001/FIN</t>
  </si>
  <si>
    <t>D0001/IA09858/F13636/X049/R1330/001/FIN</t>
  </si>
  <si>
    <t>D0001/IA09599/F13636/X049/R1330/001/FIN</t>
  </si>
  <si>
    <t>D0001/IA09984/F13636/X049/R1330/001/FIN</t>
  </si>
  <si>
    <t>D0001/IA09707/F13636/X049/R1330/001/FIN</t>
  </si>
  <si>
    <t>D0001/IA09377/F13636/X049/R1330/001/FIN</t>
  </si>
  <si>
    <t>D0001/IA09980/F2496/X049/R1330/001/FIN</t>
  </si>
  <si>
    <t>D0001/IA09674/F2496/X049/R1330/001/FIN</t>
  </si>
  <si>
    <t>D0001/IA09785/F2496/X049/R1330/001/FIN</t>
  </si>
  <si>
    <t>0120W</t>
  </si>
  <si>
    <t>D0001/IA09384/F2496/X049/R1330/001/FIN</t>
  </si>
  <si>
    <t>D0001/IA09546/F2496/X049/R1330/001/FIN</t>
  </si>
  <si>
    <t>D0001/IR02321/F0929/X019/R1331/001/COMM</t>
  </si>
  <si>
    <t>Revenue:Non-exchange Revenue:Transfers and Subsidies:Operational:Monetary Allocations:National Governments:Municipal Disaster Relief Grant</t>
  </si>
  <si>
    <t>D0001/IA09797/F0930/X049/R1330/001/FIN</t>
  </si>
  <si>
    <t>0130W</t>
  </si>
  <si>
    <t>D0001/IA09705/F0930/X049/R1330/001/FIN</t>
  </si>
  <si>
    <t>D0001/IA09381/F0930/X049/R1330/001/FIN</t>
  </si>
  <si>
    <t>D0001/IA09579/F0930/X049/R1330/001/FIN</t>
  </si>
  <si>
    <t>D0001/IA09982/F0930/X049/R1330/001/FIN</t>
  </si>
  <si>
    <t>D0001/IA09377/F1180/X019/R1330/001/COMM</t>
  </si>
  <si>
    <t>D0001/IA09707/F1180/X019/R1330/001/COMM</t>
  </si>
  <si>
    <t>D0001/IA09599/F1180/X019/R1330/001/COMM</t>
  </si>
  <si>
    <t>D0001/IA09858/F1180/X019/R1330/001/COMM</t>
  </si>
  <si>
    <t>D0001/IA09984/F1180/X019/R1330/001/COMM</t>
  </si>
  <si>
    <t>O1293-4/IE00534/F0041/X044/R1331/001/EXEC</t>
  </si>
  <si>
    <t>D0001/IL53989/F0001/X049/R1330/001/FIN</t>
  </si>
  <si>
    <t>D0001/IL53739/F0001/X049/R1330/001/FIN</t>
  </si>
  <si>
    <t>Liabilities:Current Liabilities:Trade and Other Payable Exchange Transactions:Compensation Commission (COID):Opening Balance</t>
  </si>
  <si>
    <t>D0001/IL53990/F0001/X049/R1330/001/FIN</t>
  </si>
  <si>
    <t>Liabilities:Current Liabilities:Trade and Other Payable Exchange Transactions:Control, Clearing and Interface Accounts:Salary Clearing and Control:Travel Control:Withdrawals</t>
  </si>
  <si>
    <t>D0001/IL43228/F0001/X049/R1330/001/FIN</t>
  </si>
  <si>
    <t>Liabilities:Current Liabilities:Trade and Other Payable Exchange Transactions:Compensation Commission (COID):Withdrawals</t>
  </si>
  <si>
    <t>D0001/IL53987/F0001/X049/R1330/001/FIN</t>
  </si>
  <si>
    <t>D0001/IL53988/F0001/X049/R1330/001/FIN</t>
  </si>
  <si>
    <t>Liabilities:Current Liabilities:Trade and Other Payable Exchange Transactions:Control, Clearing and Interface Accounts:Salary Clearing and Control:Salary Control:Withdrawals</t>
  </si>
  <si>
    <t>D0001/IL53996/F0001/X049/R1330/001/FIN</t>
  </si>
  <si>
    <t>Liabilities:Current Liabilities:Trade and Other Payable Exchange Transactions:Control, Clearing and Interface Accounts:Salary Clearing and Control:UIF Control:Withdrawals</t>
  </si>
  <si>
    <t>D0001/IL53994/F0001/X049/R1330/001/FIN</t>
  </si>
  <si>
    <t>Liabilities:Current Liabilities:Trade and Other Payable Exchange Transactions:Control, Clearing and Interface Accounts:Salary Clearing and Control:Tax Control:Withdrawals</t>
  </si>
  <si>
    <t>D0001/IL53991/F0001/X049/R1330/001/FIN</t>
  </si>
  <si>
    <t>D0001/IL53993/F0001/X049/R1330/001/FIN</t>
  </si>
  <si>
    <t>Liabilities:Current Liabilities:Trade and Other Payable Exchange Transactions:Control, Clearing and Interface Accounts:Salary Clearing and Control:Tax Control:Deposits</t>
  </si>
  <si>
    <t>D0001/IL53997/F0001/X049/R1330/001/FIN</t>
  </si>
  <si>
    <t>D0001/IL53992/F0001/X049/R1330/001/FIN</t>
  </si>
  <si>
    <t>Liabilities:Current Liabilities:Trade and Other Payable Exchange Transactions:Control, Clearing and Interface Accounts:Salary Clearing and Control:Leave Control:Withdrawals</t>
  </si>
  <si>
    <t>D0001/IL53999/F0001/X049/R1330/001/FIN</t>
  </si>
  <si>
    <t>D0001/IL53998/F0001/X049/R1330/001/FIN</t>
  </si>
  <si>
    <t>Liabilities:Current Liabilities:Trade and Other Payable Exchange Transactions:Control, Clearing and Interface Accounts:Salary Clearing and Control:Skills Control:Withdrawals</t>
  </si>
  <si>
    <t>D0001/IL54007/F0001/X049/R1330/001/FIN</t>
  </si>
  <si>
    <t>D0001/IL54005/F0001/X049/R1330/001/FIN</t>
  </si>
  <si>
    <t>Liabilities:Current Liabilities:Trade and Other Payable Exchange Transactions:Control, Clearing and Interface Accounts:Salary Clearing and Control:Medical Aid Control:Withdrawals</t>
  </si>
  <si>
    <t>D0001/IL54000/F0001/X049/R1330/001/FIN</t>
  </si>
  <si>
    <t>Liabilities:Current Liabilities:Trade and Other Payable Exchange Transactions:Control, Clearing and Interface Accounts:Salary Clearing and Control:Pension Control:Withdrawals</t>
  </si>
  <si>
    <t>D0001/IL54001/F0001/X049/R1330/001/FIN</t>
  </si>
  <si>
    <t>D0001/IL54008/F0001/X049/R1330/001/FIN</t>
  </si>
  <si>
    <t>Liabilities:Current Liabilities:Trade and Other Payable Exchange Transactions:Control, Clearing and Interface Accounts:Salary Clearing and Control:Group Life Control:Withdrawals</t>
  </si>
  <si>
    <t>D0001/IL54011/F0001/X049/R1330/001/FIN</t>
  </si>
  <si>
    <t>Liabilities:Current Liabilities:Trade and Other Payable Exchange Transactions:Control, Clearing and Interface Accounts:Salary Clearing and Control:Unions Control:Withdrawals</t>
  </si>
  <si>
    <t>D0001/IL54009/F0001/X049/R1330/001/FIN</t>
  </si>
  <si>
    <t>Liabilities:Current Liabilities:Trade and Other Payable Exchange Transactions:Control, Clearing and Interface Accounts:Salary Clearing and Control:Unions Control:Opening Balance</t>
  </si>
  <si>
    <t>D0001/IL082104/F0001/X049/R1330/001/FIN</t>
  </si>
  <si>
    <t>Liabilities:Current Liabilities:Trade and Other Payable Exchange Transactions:Control, Clearing and Interface Accounts:Salary Clearing and Control:Employee Net Pay and Bond Payment:Opening Balance</t>
  </si>
  <si>
    <t>D0001/IL082106/F0001/X049/R1330/001/FIN</t>
  </si>
  <si>
    <t>Liabilities:Current Liabilities:Trade and Other Payable Exchange Transactions:Control, Clearing and Interface Accounts:Salary Clearing and Control:Employee Net Pay and Bond Payment:Deposits</t>
  </si>
  <si>
    <t>D0001/IL082105/F0001/X049/R1330/001/FIN</t>
  </si>
  <si>
    <t>Liabilities:Current Liabilities:Trade and Other Payable Exchange Transactions:Control, Clearing and Interface Accounts:Salary Clearing and Control:Garnishee Payments:Opening Balance</t>
  </si>
  <si>
    <t>D0001/IL53900/F0001/X049/R1330/001/FIN</t>
  </si>
  <si>
    <t>Liabilities:Current Liabilities:Trade and Other Payable Exchange Transactions:Control, Clearing and Interface Accounts:Salary Clearing and Control:UIF Control:Opening Balance</t>
  </si>
  <si>
    <t>D0001/IL54041/F0001/X049/R1330/001/FIN</t>
  </si>
  <si>
    <t>Liabilities:Current Liabilities:Trade and Other Payable Exchange Transactions:Compensation Commission (COID):Deposits</t>
  </si>
  <si>
    <t>D0001/IL082108/F0001/X049/R1330/001/FIN</t>
  </si>
  <si>
    <t>Liabilities:Current Liabilities:Trade and Other Payable Exchange Transactions:Control, Clearing and Interface Accounts:Salary Clearing and Control:Garnishee Payments:Deposits</t>
  </si>
  <si>
    <t>D0001/IL082107/F0001/X049/R1330/001/FIN</t>
  </si>
  <si>
    <t>Liabilities:Current Liabilities:Trade and Other Payable Exchange Transactions:Control, Clearing and Interface Accounts:Salary Clearing and Control:Employee Net Pay and Bond Payment:Withdrawals</t>
  </si>
  <si>
    <t>D0001/IL082109/F0001/X049/R1330/001/FIN</t>
  </si>
  <si>
    <t>Liabilities:Current Liabilities:Trade and Other Payable Exchange Transactions:Control, Clearing and Interface Accounts:Salary Clearing and Control:Garnishee Payments:Withdrawals</t>
  </si>
  <si>
    <t>D0001/IA02107/F0046/X049/R1330/001/FIN</t>
  </si>
  <si>
    <t>D0001/IA02106/F0046/X049/R1330/001/FIN</t>
  </si>
  <si>
    <t>D0001/IA02108/F0046/X049/R1330/001/FIN</t>
  </si>
  <si>
    <t>0140W</t>
  </si>
  <si>
    <t>D0001/IA02105/F0046/X049/R1330/001/FIN</t>
  </si>
  <si>
    <t>D0001/IA09630/F2494/X049/R1330/001/FIN</t>
  </si>
  <si>
    <t>D0001/IA09779/F2494/X049/R1330/001/FIN</t>
  </si>
  <si>
    <t>D0001/IA09440/F2494/X049/R1330/001/FIN</t>
  </si>
  <si>
    <t>D0001/IA09779/F2495/X049/R1330/001/FIN</t>
  </si>
  <si>
    <t>D0001/IA09630/F2495/X049/R1330/001/FIN</t>
  </si>
  <si>
    <t>D0001/IA09440/F2495/X049/R1330/001/FIN</t>
  </si>
  <si>
    <t>D0001/IA09979/F2494/X049/R1330/001/FIN</t>
  </si>
  <si>
    <t>D0001/IA09492/F2494/X049/R1330/001/FIN</t>
  </si>
  <si>
    <t>D0001/IA09979/F2495/X049/R1330/001/FIN</t>
  </si>
  <si>
    <t>D0001/IA09492/F2495/X049/R1330/001/FIN</t>
  </si>
  <si>
    <t>D0001/IA09831/F0042/X049/R1330/001/FIN</t>
  </si>
  <si>
    <t>D0001/IA09976/F0042/X049/R1330/001/FIN</t>
  </si>
  <si>
    <t>D0001/IA09434/F0042/X049/R1330/001/FIN</t>
  </si>
  <si>
    <t>D0001/IA09728/F0042/X049/R1330/001/FIN</t>
  </si>
  <si>
    <t>D0001/IA09499/F0042/X049/R1330/001/FIN</t>
  </si>
  <si>
    <t>D0001/IA09976/F0044/X049/R1330/001/FIN</t>
  </si>
  <si>
    <t>D0001/IA09728/F0044/X049/R1330/001/FIN</t>
  </si>
  <si>
    <t>D0001/IA09831/F0044/X049/R1330/001/FIN</t>
  </si>
  <si>
    <t>D0001/IA09499/F0044/X049/R1330/001/FIN</t>
  </si>
  <si>
    <t>D0001/IA09434/F0044/X049/R1330/001/FIN</t>
  </si>
  <si>
    <t>D0001/IA09782/F0041/X049/R1330/001/FIN</t>
  </si>
  <si>
    <t>D0001/IA09362/F0041/X049/R1330/001/FIN</t>
  </si>
  <si>
    <t>D0001/IA09983/F0041/X049/R1330/001/FIN</t>
  </si>
  <si>
    <t>D0001/IA09543/F0041/X049/R1330/001/FIN</t>
  </si>
  <si>
    <t>D0001/IA09636/F0041/X049/R1330/001/FIN</t>
  </si>
  <si>
    <t>D0001/IA09564/F0047/X049/R1330/001/FIN</t>
  </si>
  <si>
    <t>D0001/IR01435/F0047/X049/R1330/001/FIN</t>
  </si>
  <si>
    <t>D0001/IR01113/F0047/X049/R1330/001/FIN</t>
  </si>
  <si>
    <t>D0001/IR01457/F0047/X049/R1330/001/FIN</t>
  </si>
  <si>
    <t>D0001/IA09452/F0047/X049/R1330/001/FIN</t>
  </si>
  <si>
    <t>D0001/IA09653/F0047/X049/R1330/001/FIN</t>
  </si>
  <si>
    <t>D0001/IA09803/F0047/X049/R1330/001/FIN</t>
  </si>
  <si>
    <t>D0001/IA09590/F0047/X049/R1330/001/FIN</t>
  </si>
  <si>
    <t>D0001/IA09978/F0047/X049/R1330/001/FIN</t>
  </si>
  <si>
    <t>D0001/IL53985/F0001/X049/R1330/001/FIN</t>
  </si>
  <si>
    <t>Liabilities:Current Liabilities:Trade and Other Payable Exchange Transactions:Retentions:Deposits</t>
  </si>
  <si>
    <t>D0001/IL53820/F0001/X049/R1330/001/FIN</t>
  </si>
  <si>
    <t>D0001/IL53986/F0001/X049/R1330/001/FIN</t>
  </si>
  <si>
    <t>Liabilities:Current Liabilities:Trade and Other Payable Exchange Transactions:Retentions:Withdrawals</t>
  </si>
  <si>
    <t>D0001/IL53821/F0001/X049/R1330/001/FIN</t>
  </si>
  <si>
    <t>Liabilities:Current Liabilities:Trade and Other Payable Exchange Transactions:Payables and Accruals:Withdrawals</t>
  </si>
  <si>
    <t>D0001/IL00752/F0001/X049/R1330/001/FIN</t>
  </si>
  <si>
    <t>Liabilities:Current Liabilities:Provision and Impairment:Leave:Reversals</t>
  </si>
  <si>
    <t>D0001/IL00748/F0001/X049/R1330/001/FIN</t>
  </si>
  <si>
    <t>Liabilities:Current Liabilities:Provision and Impairment:Leave:Increases (Passage of Time/Discounted Rate)</t>
  </si>
  <si>
    <t>D0001/IL00747/F0001/X049/R1330/001/FIN</t>
  </si>
  <si>
    <t>D0001/IL00750/F0001/X049/R1330/001/FIN</t>
  </si>
  <si>
    <t>Liabilities:Current Liabilities:Provision and Impairment:Leave:Reductions (Outflow of Economic Benefits)</t>
  </si>
  <si>
    <t>D0001/IL00751/F0001/X049/R1330/001/FIN</t>
  </si>
  <si>
    <t>Liabilities:Current Liabilities:Provision and Impairment:Leave:Reductions (without Outflow of Economic Benefits)</t>
  </si>
  <si>
    <t>D0001/IL00749/F0001/X049/R1330/001/FIN</t>
  </si>
  <si>
    <t>Liabilities:Current Liabilities:Provision and Impairment:Leave:Opening Balance</t>
  </si>
  <si>
    <t>D0001/IL00798/F0001/X051/R1330/001/CORP</t>
  </si>
  <si>
    <t>Liabilities:Non-current Liabilities:Defined Benefit Obligations:Pension:Opening balance</t>
  </si>
  <si>
    <t>D0001/IL00791/F0001/X051/R1330/001/CORP</t>
  </si>
  <si>
    <t>Liabilities:Non-current Liabilities:Defined Benefit Obligations:Medical:Interest cost</t>
  </si>
  <si>
    <t>D0001/IL00788/F0001/X051/R1330/001/CORP</t>
  </si>
  <si>
    <t>Liabilities:Non-current Liabilities:Defined Benefit Obligations:Medical:Actuarial loss/ (gain) recognised in the year</t>
  </si>
  <si>
    <t>D0001/IL00787/F0001/X051/R1330/001/CORP</t>
  </si>
  <si>
    <t>Liabilities:Non-current Liabilities:Defined Benefit Obligations:Medical:Actual employer benefit payments</t>
  </si>
  <si>
    <t>D0001/IL00790/F0001/X051/R1330/001/CORP</t>
  </si>
  <si>
    <t>D0001/IL00794/F0001/X051/R1330/001/CORP</t>
  </si>
  <si>
    <t>Liabilities:Non-current Liabilities:Defined Benefit Obligations:Pension:Actuarial loss/ (gain) recognised in the year</t>
  </si>
  <si>
    <t>D0001/IL00797/F0001/X051/R1330/001/CORP</t>
  </si>
  <si>
    <t>Liabilities:Non-current Liabilities:Defined Benefit Obligations:Pension:Interest cost</t>
  </si>
  <si>
    <t>D0001/IL00796/F0001/X051/R1330/001/CORP</t>
  </si>
  <si>
    <t>Liabilities:Non-current Liabilities:Defined Benefit Obligations:Pension:Current service cost</t>
  </si>
  <si>
    <t>D0001/IL00792/F0001/X051/R1330/001/CORP</t>
  </si>
  <si>
    <t>Liabilities:Non-current Liabilities:Defined Benefit Obligations:Medical:Opening balance</t>
  </si>
  <si>
    <t>D0001/IL00793/F0001/X051/R1330/001/CORP</t>
  </si>
  <si>
    <t>Liabilities:Non-current Liabilities:Defined Benefit Obligations:Pension:Actual employer benefit payments</t>
  </si>
  <si>
    <t>D0001/IA02771/F0001/X049/R1331/001/FIN</t>
  </si>
  <si>
    <t>Assets:Current Assets:Receivables from Non-exchange Transactions:Property Rates:State-owned Properties:Provincial Government:Opening Balance</t>
  </si>
  <si>
    <t>D0001/IA02140/F0001/X049/R1331/001/FIN</t>
  </si>
  <si>
    <t>Assets:Current Assets:Receivables from Non-exchange Transactions:Property Rates:Business  and Commercial:Opening Balance</t>
  </si>
  <si>
    <t>D0001/IA02210/F0001/X049/R1331/001/FIN</t>
  </si>
  <si>
    <t>Assets:Current Assets:Receivables from Non-exchange Transactions:Property Rates:Public Service Infrastructure:Opening Balance</t>
  </si>
  <si>
    <t>D0001/IA02728/F0001/X049/R1331/001/FIN</t>
  </si>
  <si>
    <t>Assets:Current Assets:Receivables from Non-exchange Transactions:Property Rates:Small Holdings:Business and Commercial Purposes:Opening Balance</t>
  </si>
  <si>
    <t>D0001/IA02133/F0001/X049/R1331/001/FIN</t>
  </si>
  <si>
    <t>Assets:Current Assets:Receivables from Non-exchange Transactions:Property Rates:Agricultural Properties:Opening Balance</t>
  </si>
  <si>
    <t>D0001/IA02224/F0001/X049/R1331/001/FIN</t>
  </si>
  <si>
    <t>Assets:Current Assets:Receivables from Non-exchange Transactions:Property Rates:State Trust Land:Opening Balance</t>
  </si>
  <si>
    <t>D0001/IA02377/F0001/X132/R1331/001/COMM</t>
  </si>
  <si>
    <t>Assets:Current Assets:Trade and other Receivables from Exchange Transactions:Trading Service and Customer Service Debtors:Waste Management:Opening Balance</t>
  </si>
  <si>
    <t>C0040-3/IA010610/F0791/X116/R1815/001/TECH</t>
  </si>
  <si>
    <t>Assets:Non-current Assets:Construction Work-in-progress:Transfer to PPE</t>
  </si>
  <si>
    <t>C0040-3/IA02438/F0791/X116/R1815/001/TECH</t>
  </si>
  <si>
    <t>C0040-3/IA010612/F0791/X116/R1815/001/TECH</t>
  </si>
  <si>
    <t>Assets:Non-current Assets:Construction Work-in-progress:Accumulated Impairment</t>
  </si>
  <si>
    <t>C0040-3/IA01952/F0791/X116/R1815/001/TECH</t>
  </si>
  <si>
    <t>C0040-4/IA010610/F0791/X116/R1813/001/TECH</t>
  </si>
  <si>
    <t>C0040-4/IA01952/F0791/X116/R1813/001/TECH</t>
  </si>
  <si>
    <t>C0040-4/IA02438/F0791/X116/R1813/001/TECH</t>
  </si>
  <si>
    <t>C0040-4/IA010612/F0791/X116/R1813/001/TECH</t>
  </si>
  <si>
    <t>C0230-12/IA02438/F0791/X116/R1815/001/TECH</t>
  </si>
  <si>
    <t>C0230-12/IA010612/F0791/X116/R1815/001/TECH</t>
  </si>
  <si>
    <t>C0230-12/IA01952/F0791/X116/R1815/001/TECH</t>
  </si>
  <si>
    <t>C0230-12/IA010610/F0791/X116/R1815/001/TECH</t>
  </si>
  <si>
    <t>C0230-13/IA01952/F0791/X016/R1816/001/TECH</t>
  </si>
  <si>
    <t>C0230-13/IA010610/F0791/X016/R1816/001/TECH</t>
  </si>
  <si>
    <t>C0230-13/IA02438/F0791/X016/R1816/001/TECH</t>
  </si>
  <si>
    <t>C0230-13/IA010612/F0791/X016/R1816/001/TECH</t>
  </si>
  <si>
    <t>O0001/IE00817/F0041/X044/R1330/001/EXEC</t>
  </si>
  <si>
    <t>Expenditure:Remuneration of Councillors:Speaker:Allowances and Service Related Benefits:Cell phone Allowance</t>
  </si>
  <si>
    <t>D0001/IA10181/F0001/X049/R1331/001/FIN</t>
  </si>
  <si>
    <t>O1351-1/IR01556-1/F0001/X047/R1331/001/FIN</t>
  </si>
  <si>
    <t>Revenue:Non-exchange Revenue:Transfers and Subsidies:Capital:Allocations In-kind:Households:Unspecified</t>
  </si>
  <si>
    <t>D0001/IA00082/F0001/X049/R1330/001/FIN</t>
  </si>
  <si>
    <t>D0001/IE07625/F0001/X049/R1330/001/FIN</t>
  </si>
  <si>
    <t>D0001/IA00084/F0001/X049/R1330/001/FIN</t>
  </si>
  <si>
    <t>D0001/IE00030/F0001/X049/R1330/001/FIN</t>
  </si>
  <si>
    <t>D0001/IA01313/F0001/X049/R1330/001/FIN</t>
  </si>
  <si>
    <t>D0001/IE00709/F0001/X049/R1330/001/FIN</t>
  </si>
  <si>
    <t>D0001/IE00715/F0001/X049/R1330/001/FIN</t>
  </si>
  <si>
    <t>D0001/IA06303/F0001/X049/R1330/001/FIN</t>
  </si>
  <si>
    <t>D0001/IA06305/F0001/X049/R1330/001/FIN</t>
  </si>
  <si>
    <t>D0001/IA06259/F0001/X049/R1330/001/FIN</t>
  </si>
  <si>
    <t>D0001/IA06245/F0001/X049/R1330/001/FIN</t>
  </si>
  <si>
    <t>D0001/IA06243/F0001/X049/R1330/001/FIN</t>
  </si>
  <si>
    <t>D0001/IA06199/F0001/X049/R1330/001/FIN</t>
  </si>
  <si>
    <t>D0001/IA06185/F0001/X049/R1330/001/FIN</t>
  </si>
  <si>
    <t>D0001/IA06183/F0001/X049/R1330/001/FIN</t>
  </si>
  <si>
    <t>D0001/IA05091/F0001/X049/R1330/001/FIN</t>
  </si>
  <si>
    <t>D0001/IA05095/F0001/X049/R1330/001/FIN</t>
  </si>
  <si>
    <t>Assets:Non-current Assets:Intangible Assets:Cost:Other:In-use:Computer Software Accumulated Amortisation:Opening Balance</t>
  </si>
  <si>
    <t>C0040-5/IA00132/F0002/X116/R1814/001/TECH</t>
  </si>
  <si>
    <t>C0040-6/IA00132/F0002/X116/R1814/001/TECH</t>
  </si>
  <si>
    <t>C0040-7/IA00132/F0002/X116/R1814/001/TECH</t>
  </si>
  <si>
    <t>C0040-8/IA00132/F0002/X116/R1814/001/TECH</t>
  </si>
  <si>
    <t>C0040-9/IA00132/F0002/X116/R1814/001/TECH</t>
  </si>
  <si>
    <t>C0040-10/IA00132/F0002/X116/R1814/001/TECH</t>
  </si>
  <si>
    <t>D0001/IA06319/F0001/X049/R1330/001/FIN</t>
  </si>
  <si>
    <t>D0001/IR01454/F0041/X055/R1331/001/FIN</t>
  </si>
  <si>
    <t>Revenue:Exchange Revenue:Sales of Goods and Rendering of Services:Objections and Appeals</t>
  </si>
  <si>
    <t>D0001/IA10355/F0041/X047/R1331/001/FIN</t>
  </si>
  <si>
    <t>Assets:Current Assets:Inventory:Materials and Supplies:Write-offs</t>
  </si>
  <si>
    <t>D0001/IA10354/F0041/X047/R1331/001/FIN</t>
  </si>
  <si>
    <t>Assets:Current Assets:Inventory:Materials and Supplies:Adjustments</t>
  </si>
  <si>
    <t>D0001/IA10353/F0041/X047/R1331/001/FIN</t>
  </si>
  <si>
    <t>Assets:Current Assets:Inventory:Materials and Supplies:Issues</t>
  </si>
  <si>
    <t>D0001/IA10351/F0041/X047/R1331/001/FIN</t>
  </si>
  <si>
    <t>Assets:Current Assets:Inventory:Materials and Supplies:Opening Balance</t>
  </si>
  <si>
    <t>D0001/IA10352/F0041/X047/R1331/001/FIN</t>
  </si>
  <si>
    <t>D0001/IL092576/F15762/X046/R1330/001/COMM</t>
  </si>
  <si>
    <t>Liabilities:Current Liabilities:Trade and Other Payable Non-exchange Transactions:Transfers and Subsidies Unspent:Operational:Monetary Allocations:National Government:Municipal Disaster Recovery Grant:Receipts</t>
  </si>
  <si>
    <t>O0001/IE06920/F0041/X006/R1331/001/COMM</t>
  </si>
  <si>
    <t>C0040-5/IA00132/F0002/X116/R1331/001/TECH</t>
  </si>
  <si>
    <t>C0040-11/IA01952/F0002/X116/R1814/001/TECH</t>
  </si>
  <si>
    <t>D0001/IA10178/F0001/X049/R1330/001/FIN</t>
  </si>
  <si>
    <t>Assets:Current Assets:Cash and Cash Equivalents:Call Deposits and Investments:Deposit taking Institutions:Specify (replace with account description):Opening Balance</t>
  </si>
  <si>
    <t>D0001/IA10037/F0001/X049/R1330/001/FIN</t>
  </si>
  <si>
    <t>D0001/IA10017/F0001/X049/R1330/001/FIN</t>
  </si>
  <si>
    <t>D0001/IA09988/F0001/X049/R1330/001/FIN</t>
  </si>
  <si>
    <t>D0001/IA10116/F0001/X049/R1330/001/FIN</t>
  </si>
  <si>
    <t>D0001/IA10160/F0001/X049/R1330/001/FIN</t>
  </si>
  <si>
    <t>D0001/IA02582/F0001/X049/R1330/001/FIN</t>
  </si>
  <si>
    <t>Assets:Current Assets:Receivables from Non-exchange Transactions:Property Rates:Communal Land:Farm Property:Opening Balance</t>
  </si>
  <si>
    <t>D0001/IA02567/F0001/X049/R1330/001/FIN</t>
  </si>
  <si>
    <t>Assets:Current Assets:Receivables from Non-exchange Transactions:Property Rates:Business  and Commercial:Impairment:Opening Balance</t>
  </si>
  <si>
    <t>D0001/IA00387/F0001/X049/R1330/001/FIN</t>
  </si>
  <si>
    <t>Assets:Current Assets:Receivables from Non-exchange Transactions:Property Rates:Communal Land:Other:Impairment:Opening Balance</t>
  </si>
  <si>
    <t>D0001/IA00395/F0001/X049/R1330/001/FIN</t>
  </si>
  <si>
    <t>Assets:Current Assets:Receivables from Non-exchange Transactions:Property Rates:Communal Land:Small Holdings:Impairment:Opening Balance</t>
  </si>
  <si>
    <t>D0001/IA02478/F0001/X049/R1330/001/FIN</t>
  </si>
  <si>
    <t>Assets:Current Assets:Receivables from Non-exchange Transactions:Fines:Opening Balance</t>
  </si>
  <si>
    <t>D0001/IA02589/F0001/X049/R1330/001/FIN</t>
  </si>
  <si>
    <t>Assets:Current Assets:Receivables from Non-exchange Transactions:Property Rates:Communal Land:Other:Opening Balance</t>
  </si>
  <si>
    <t>D0001/IA00391/F0001/X049/R1330/001/FIN</t>
  </si>
  <si>
    <t>Assets:Current Assets:Receivables from Non-exchange Transactions:Property Rates:Communal Land:Residential:Impairment:Opening Balance</t>
  </si>
  <si>
    <t>D0001/IA02596/F0001/X049/R1330/001/FIN</t>
  </si>
  <si>
    <t>Assets:Current Assets:Receivables from Non-exchange Transactions:Property Rates:Communal Land:Residential:Opening Balance</t>
  </si>
  <si>
    <t>D0001/IA00379/F0001/X049/R1330/001/FIN</t>
  </si>
  <si>
    <t>Assets:Current Assets:Receivables from Non-exchange Transactions:Property Rates:Communal Land:Business and Commercial:Impairment:Opening Balance</t>
  </si>
  <si>
    <t>D0001/IA00383/F0001/X049/R1330/001/FIN</t>
  </si>
  <si>
    <t>Assets:Current Assets:Receivables from Non-exchange Transactions:Property Rates:Communal Land:Farm Property:Impairment:Opening Balance</t>
  </si>
  <si>
    <t>D0001/IA10341/F0001/X049/R1330/001/FIN</t>
  </si>
  <si>
    <t>Assets:Current Assets:Inventory:Consumables:Zero Rated:Opening Balance</t>
  </si>
  <si>
    <t>D0001/IA10336/F0001/X049/R1330/001/FIN</t>
  </si>
  <si>
    <t>Assets:Current Assets:Inventory:Consumables:Standard Rated:Opening Balance</t>
  </si>
  <si>
    <t>D0001/IA02603/F0001/X049/R1330/001/FIN</t>
  </si>
  <si>
    <t>Assets:Current Assets:Receivables from Non-exchange Transactions:Property Rates:Communal Land:Small Holdings:Opening Balance</t>
  </si>
  <si>
    <t>D0001/IA02575/F0001/X049/R1330/001/FIN</t>
  </si>
  <si>
    <t>Assets:Current Assets:Receivables from Non-exchange Transactions:Property Rates:Communal Land:Business and Commercial:Opening Balance</t>
  </si>
  <si>
    <t>D0001/IA10383/F0001/X049/R1330/001/FIN</t>
  </si>
  <si>
    <t>Assets:Current Assets:Deposits:Opening Balance</t>
  </si>
  <si>
    <t>D0001/IA02624/F0001/X049/R1330/001/FIN</t>
  </si>
  <si>
    <t>Assets:Current Assets:Receivables from Non-exchange Transactions:Property Rates:Farm Properties:Farm Properties not used for any Purpose:Opening Balance</t>
  </si>
  <si>
    <t>D0001/IA00403/F0001/X049/R1330/001/FIN</t>
  </si>
  <si>
    <t>Assets:Current Assets:Receivables from Non-exchange Transactions:Property Rates:Farm Properties:Business and Commercial Purposes:Impairment:Opening Balance</t>
  </si>
  <si>
    <t>D0001/IA00399/F0001/X049/R1330/001/FIN</t>
  </si>
  <si>
    <t>Assets:Current Assets:Receivables from Non-exchange Transactions:Property Rates:Farm Properties:Agricultural Purposes:Impairment:Opening Balance</t>
  </si>
  <si>
    <t>D0001/IA02638/F0001/X049/R1330/001/FIN</t>
  </si>
  <si>
    <t>Assets:Current Assets:Receivables from Non-exchange Transactions:Property Rates:Farm Properties:Other Purpose than Above:Opening Balance</t>
  </si>
  <si>
    <t>D0001/IA02617/F0001/X049/R1330/001/FIN</t>
  </si>
  <si>
    <t>Assets:Current Assets:Receivables from Non-exchange Transactions:Property Rates:Farm Properties:Business and Commercial Purposes:Opening Balance</t>
  </si>
  <si>
    <t>D0001/IA00415/F0001/X049/R1330/001/FIN</t>
  </si>
  <si>
    <t>Assets:Current Assets:Receivables from Non-exchange Transactions:Property Rates:Farm Properties:Other Purpose than Above:Impairment:Opening Balance</t>
  </si>
  <si>
    <t>D0001/IA02631/F0001/X049/R1330/001/FIN</t>
  </si>
  <si>
    <t>Assets:Current Assets:Receivables from Non-exchange Transactions:Property Rates:Farm Properties:Industrial Purposes:Opening Balance</t>
  </si>
  <si>
    <t>D0001/IA00407/F0001/X049/R1330/001/FIN</t>
  </si>
  <si>
    <t>Assets:Current Assets:Receivables from Non-exchange Transactions:Property Rates:Farm Properties:Farm Properties not used for any Purpose:Impairment:Opening Balance</t>
  </si>
  <si>
    <t>D0001/IA02610/F0001/X049/R1330/001/FIN</t>
  </si>
  <si>
    <t>Assets:Current Assets:Receivables from Non-exchange Transactions:Property Rates:Farm Properties:Agricultural Purposes:Opening Balance</t>
  </si>
  <si>
    <t>D0001/IA00419/F0001/X049/R1330/001/FIN</t>
  </si>
  <si>
    <t>Assets:Current Assets:Receivables from Non-exchange Transactions:Property Rates:Farm Properties:Residential Properties:Impairment:Opening Balance</t>
  </si>
  <si>
    <t>D0001/IA00411/F0001/X049/R1330/001/FIN</t>
  </si>
  <si>
    <t>Assets:Current Assets:Receivables from Non-exchange Transactions:Property Rates:Farm Properties:Industrial Purposes:Impairment:Opening Balance</t>
  </si>
  <si>
    <t>D0001/IA02645/F0001/X049/R1330/001/FIN</t>
  </si>
  <si>
    <t>Assets:Current Assets:Receivables from Non-exchange Transactions:Property Rates:Farm Properties:Residential Properties:Opening Balance</t>
  </si>
  <si>
    <t>D0001/IA02182/F0001/X049/R1330/001/FIN</t>
  </si>
  <si>
    <t>Assets:Current Assets:Receivables from Non-exchange Transactions:Property Rates:National Monument Properties:Opening Balance</t>
  </si>
  <si>
    <t>D0001/IA02685/F0001/X049/R1330/001/FIN</t>
  </si>
  <si>
    <t>Assets:Current Assets:Receivables from Non-exchange Transactions:Property Rates:Public Service Infrastructure:Impairment:Opening Balance</t>
  </si>
  <si>
    <t>D0001/IA02175/F0001/X049/R1330/001/FIN</t>
  </si>
  <si>
    <t>Assets:Current Assets:Receivables from Non-exchange Transactions:Property Rates:Municipal Properties:Opening Balance</t>
  </si>
  <si>
    <t>D0001/IA02652/F0001/X049/R1330/001/FIN</t>
  </si>
  <si>
    <t>Assets:Current Assets:Receivables from Non-exchange Transactions:Property Rates:Industrial Properties:Impairment:Opening Balance</t>
  </si>
  <si>
    <t>D0001/IA02656/F0001/X049/R1330/001/FIN</t>
  </si>
  <si>
    <t>Assets:Current Assets:Receivables from Non-exchange Transactions:Property Rates:Mining Properties:Impairment:Opening Balance</t>
  </si>
  <si>
    <t>D0001/IA02168/F0001/X049/R1330/001/FIN</t>
  </si>
  <si>
    <t>Assets:Current Assets:Receivables from Non-exchange Transactions:Property Rates:Multiple Purposes:Opening Balance</t>
  </si>
  <si>
    <t>D0001/IA02210/F0001/X049/R1330/001/FIN</t>
  </si>
  <si>
    <t>D0001/IA02648/F0001/X049/R1330/001/FIN</t>
  </si>
  <si>
    <t>Assets:Current Assets:Receivables from Non-exchange Transactions:Property Rates:Formal and Informal Settlements:Impairment:Opening Balance</t>
  </si>
  <si>
    <t>D0001/IA02664/F0001/X049/R1330/001/FIN</t>
  </si>
  <si>
    <t>Assets:Current Assets:Receivables from Non-exchange Transactions:Property Rates:Municipal Properties:Impairment:Opening Balance</t>
  </si>
  <si>
    <t>D0001/IA02189/F0001/X049/R1330/001/FIN</t>
  </si>
  <si>
    <t>Assets:Current Assets:Receivables from Non-exchange Transactions:Property Rates:Privately Owned Towns Serviced by the Owner:Opening Balance</t>
  </si>
  <si>
    <t>D0001/IA02161/F0001/X049/R1330/001/FIN</t>
  </si>
  <si>
    <t>Assets:Current Assets:Receivables from Non-exchange Transactions:Property Rates:Mining Properties:Opening Balance</t>
  </si>
  <si>
    <t>D0001/IA02154/F0001/X049/R1330/001/FIN</t>
  </si>
  <si>
    <t>Assets:Current Assets:Receivables from Non-exchange Transactions:Property Rates:Industrial Properties:Opening Balance</t>
  </si>
  <si>
    <t>D0001/IA02673/F0001/X049/R1330/001/FIN</t>
  </si>
  <si>
    <t>Assets:Current Assets:Receivables from Non-exchange Transactions:Property Rates:Privately Owned Towns Serviced by the Owner:Impairment:Opening Balance</t>
  </si>
  <si>
    <t>D0001/IA02660/F0001/X049/R1330/001/FIN</t>
  </si>
  <si>
    <t>Assets:Current Assets:Receivables from Non-exchange Transactions:Property Rates:Multiple Purposes:Impairment:Opening Balance</t>
  </si>
  <si>
    <t>D0001/IA02669/F0001/X049/R1330/001/FIN</t>
  </si>
  <si>
    <t>Assets:Current Assets:Receivables from Non-exchange Transactions:Property Rates:National Monument Properties:Impairment:Opening Balance</t>
  </si>
  <si>
    <t>D0001/IA02681/F0001/X049/R1330/001/FIN</t>
  </si>
  <si>
    <t>Assets:Current Assets:Receivables from Non-exchange Transactions:Property Rates:Public Benefit Organisations:Impairment:Opening Balance</t>
  </si>
  <si>
    <t>D0001/IA02147/F0001/X049/R1330/001/FIN</t>
  </si>
  <si>
    <t>Assets:Current Assets:Receivables from Non-exchange Transactions:Property Rates:Formal and Informal Settlements:Opening Balance</t>
  </si>
  <si>
    <t>D0001/IA02677/F0001/X049/R1330/001/FIN</t>
  </si>
  <si>
    <t>Assets:Current Assets:Receivables from Non-exchange Transactions:Property Rates:Protected Areas:Impairment:Opening Balance</t>
  </si>
  <si>
    <t>D0001/IA02196/F0001/X049/R1330/001/FIN</t>
  </si>
  <si>
    <t>Assets:Current Assets:Receivables from Non-exchange Transactions:Property Rates:Protected Areas:Opening Balance</t>
  </si>
  <si>
    <t>D0001/IA02203/F0001/X049/R1330/001/FIN</t>
  </si>
  <si>
    <t>Assets:Current Assets:Receivables from Non-exchange Transactions:Property Rates:Public Benefit Organisations:Opening Balance</t>
  </si>
  <si>
    <t>D0001/IA00435/F0001/X049/R1330/001/FIN</t>
  </si>
  <si>
    <t>Assets:Current Assets:Receivables from Non-exchange Transactions:Property Rates:Restitution and Redistribution Properties:Land and Assistance Act or Restitution of Land Rights Act:Impairment:Opening Balance</t>
  </si>
  <si>
    <t>D0001/IA00427/F0001/X049/R1330/001/FIN</t>
  </si>
  <si>
    <t>Assets:Current Assets:Receivables from Non-exchange Transactions:Property Rates:Residential Properties:Vacant Land:Impairment:Opening Balance</t>
  </si>
  <si>
    <t>D0001/IA02721/F0001/X049/R1330/001/FIN</t>
  </si>
  <si>
    <t>Assets:Current Assets:Receivables from Non-exchange Transactions:Property Rates:Small Holdings:Agricultural Purposes:Opening Balance</t>
  </si>
  <si>
    <t>D0001/IA02707/F0001/X049/R1330/001/FIN</t>
  </si>
  <si>
    <t>Assets:Current Assets:Receivables from Non-exchange Transactions:Property Rates:Restitution and Redistribution Properties:Communal Property Associations Act:Opening Balance</t>
  </si>
  <si>
    <t>D0001/IA00423/F0001/X049/R1330/001/FIN</t>
  </si>
  <si>
    <t>Assets:Current Assets:Receivables from Non-exchange Transactions:Property Rates:Residential Properties:Developed:Impairment:Opening Balance</t>
  </si>
  <si>
    <t>D0001/IA00431/F0001/X049/R1330/001/FIN</t>
  </si>
  <si>
    <t>Assets:Current Assets:Receivables from Non-exchange Transactions:Property Rates:Restitution and Redistribution Properties:Communal Property Associations Act:Impairment:Opening Balance</t>
  </si>
  <si>
    <t>D0001/IA02714/F0001/X049/R1330/001/FIN</t>
  </si>
  <si>
    <t>Assets:Current Assets:Receivables from Non-exchange Transactions:Property Rates:Restitution and Redistribution Properties:Land and Assistance Act or Restitution of Land Rights Act:Opening Balance</t>
  </si>
  <si>
    <t>D0001/IA00443/F0001/X049/R1330/001/FIN</t>
  </si>
  <si>
    <t>Assets:Current Assets:Receivables from Non-exchange Transactions:Property Rates:Small Holdings:Business and Commercial Purposes:Impairment:Opening Balance</t>
  </si>
  <si>
    <t>D0001/IA00439/F0001/X049/R1330/001/FIN</t>
  </si>
  <si>
    <t>Assets:Current Assets:Receivables from Non-exchange Transactions:Property Rates:Small Holdings:Agricultural Purposes:Impairment:Opening Balance</t>
  </si>
  <si>
    <t>D0001/IA02742/F0001/X049/R1330/001/FIN</t>
  </si>
  <si>
    <t>Assets:Current Assets:Receivables from Non-exchange Transactions:Property Rates:Small Holdings:Purposes other than the Above:Opening Balance</t>
  </si>
  <si>
    <t>D0001/IA02728/F0001/X049/R1330/001/FIN</t>
  </si>
  <si>
    <t>D0001/IA00451/F0001/X049/R1330/001/FIN</t>
  </si>
  <si>
    <t>Assets:Current Assets:Receivables from Non-exchange Transactions:Property Rates:Small Holdings:Purposes other than the Above:Impairment:Opening Balance</t>
  </si>
  <si>
    <t>D0001/IA02735/F0001/X049/R1330/001/FIN</t>
  </si>
  <si>
    <t>Assets:Current Assets:Receivables from Non-exchange Transactions:Property Rates:Small Holdings:Industrial Purposes:Opening Balance</t>
  </si>
  <si>
    <t>D0001/IA02693/F0001/X049/R1330/001/FIN</t>
  </si>
  <si>
    <t>Assets:Current Assets:Receivables from Non-exchange Transactions:Property Rates:Residential Properties:Developed:Opening Balance</t>
  </si>
  <si>
    <t>D0001/IA00447/F0001/X049/R1330/001/FIN</t>
  </si>
  <si>
    <t>Assets:Current Assets:Receivables from Non-exchange Transactions:Property Rates:Small Holdings:Industrial Purposes:Impairment:Opening Balance</t>
  </si>
  <si>
    <t>D0001/IA02749/F0001/X049/R1330/001/FIN</t>
  </si>
  <si>
    <t>Assets:Current Assets:Receivables from Non-exchange Transactions:Property Rates:Small Holdings:Residential Purposes:Opening Balance</t>
  </si>
  <si>
    <t>D0001/IA02700/F0001/X049/R1330/001/FIN</t>
  </si>
  <si>
    <t>Assets:Current Assets:Receivables from Non-exchange Transactions:Property Rates:Residential Properties:Vacant Land:Opening Balance</t>
  </si>
  <si>
    <t>D0001/IA00455/F0001/X049/R1330/001/FIN</t>
  </si>
  <si>
    <t>Assets:Current Assets:Receivables from Non-exchange Transactions:Property Rates:Small Holdings:Residential Purposes:Impairment:Opening Balance</t>
  </si>
  <si>
    <t>D0001/IA02224/F0001/X049/R1330/001/FIN</t>
  </si>
  <si>
    <t>D0001/IA00463/F0001/X049/R1330/001/FIN</t>
  </si>
  <si>
    <t>Assets:Current Assets:Receivables from Non-exchange Transactions:Property Rates:State-owned Properties:Provincial Government:Impairment:Opening Balance</t>
  </si>
  <si>
    <t>D0001/IA02752/F0001/X049/R1330/001/FIN</t>
  </si>
  <si>
    <t>Assets:Current Assets:Receivables from Non-exchange Transactions:Property Rates:Special Rating Area:Impairment:Opening Balance</t>
  </si>
  <si>
    <t>D0001/IA02771/F0001/X049/R1330/001/FIN</t>
  </si>
  <si>
    <t>D0001/IA00459/F0001/X049/R1330/001/FIN</t>
  </si>
  <si>
    <t>Assets:Current Assets:Receivables from Non-exchange Transactions:Property Rates:State-owned Properties:National Government:Impairment:Opening Balance</t>
  </si>
  <si>
    <t>D0001/IA02764/F0001/X049/R1330/001/FIN</t>
  </si>
  <si>
    <t>Assets:Current Assets:Receivables from Non-exchange Transactions:Property Rates:State-owned Properties:National Government:Opening Balance</t>
  </si>
  <si>
    <t>D0001/IA02756/F0001/X049/R1330/001/FIN</t>
  </si>
  <si>
    <t>Assets:Current Assets:Receivables from Non-exchange Transactions:Property Rates:State Trust Land:Impairment:Opening Balance</t>
  </si>
  <si>
    <t>D0001/IA02217/F0001/X049/R1330/001/FIN</t>
  </si>
  <si>
    <t>Assets:Current Assets:Receivables from Non-exchange Transactions:Property Rates:Special Rating Area:Opening Balance</t>
  </si>
  <si>
    <t>D0001/IA02806/F0001/X049/R1330/001/FIN</t>
  </si>
  <si>
    <t>Assets:Current Assets:Trade and other Receivables from Exchange Transactions:Trading Service and Customer Service Debtors:Service Charges:Impairment:Opening Balance</t>
  </si>
  <si>
    <t>D0001/IA02370/F0001/X049/R1330/001/FIN</t>
  </si>
  <si>
    <t>Assets:Current Assets:Trade and other Receivables from Exchange Transactions:Trading Service and Customer Service Debtors:Service Charges:Opening Balance</t>
  </si>
  <si>
    <t>D0001/IA02377/F0001/X049/R1330/001/FIN</t>
  </si>
  <si>
    <t>D0001/IA02810/F0001/X049/R1330/001/FIN</t>
  </si>
  <si>
    <t>Assets:Current Assets:Trade and other Receivables from Exchange Transactions:Trading Service and Customer Service Debtors:Waste Management:Impairment:Opening Balance</t>
  </si>
  <si>
    <t>D0001/IA10380/F0001/X049/R1330/001/FIN</t>
  </si>
  <si>
    <t>Assets:Current Assets:VAT Receivable:Input VAT Capital:Opening Balance</t>
  </si>
  <si>
    <t>D0001/IA10377/F0001/X049/R1330/001/FIN</t>
  </si>
  <si>
    <t>Assets:Current Assets:VAT Receivable:Input VAT General:Opening Balance</t>
  </si>
  <si>
    <t>D0001/IA10374/F0001/X049/R1330/001/FIN</t>
  </si>
  <si>
    <t>Assets:Current Assets:VAT Receivable:Input Accrual:Opening Balance</t>
  </si>
  <si>
    <t>D0001/IA03767/F0001/X049/R1330/001/FIN</t>
  </si>
  <si>
    <t>Assets:Non-current Assets:Biological Assets:Cost:Consumable:Immature:Dairy Cattle:Opening Balance</t>
  </si>
  <si>
    <t>D0001/IA06192/F0001/X049/R1330/001/FIN</t>
  </si>
  <si>
    <t>Assets:Non-current Assets:Property, Plant and Equipment:Cost Model:Computer Equipment:In-use:Accumulated Impairment:Opening Balance</t>
  </si>
  <si>
    <t>D0001/IA06179/F0001/X049/R1330/001/FIN</t>
  </si>
  <si>
    <t>Assets:Non-current Assets:Property, Plant and Equipment:Cost Model:Computer Equipment:Future Use:Cost:Opening Balance</t>
  </si>
  <si>
    <t>D0001/IA02846/F0001/X049/R1330/001/FIN</t>
  </si>
  <si>
    <t>Assets:Non-current Assets:Heritage Assets:Cost Model:Historic Buildings:Areas of Land of Historic Specific Significance Cost:Opening Balance</t>
  </si>
  <si>
    <t>D0001/IA06239/F0001/X049/R1330/001/FIN</t>
  </si>
  <si>
    <t>Assets:Non-current Assets:Property, Plant and Equipment:Cost Model:Furniture and Office Equipment:Future Use:Cost:Opening Balance</t>
  </si>
  <si>
    <t>D0001/IA05106/F0001/X049/R1330/001/FIN</t>
  </si>
  <si>
    <t>Assets:Non-current Assets:Intangible Assets:Cost:Other:In-use:Computer Software:Opening Balance</t>
  </si>
  <si>
    <t>D0001/IA00763/F0001/X049/R1330/001/FIN</t>
  </si>
  <si>
    <t>Assets:Non-current Assets:Intangible Assets:Cost:Internally Generated:In-use:Computer Software:Opening Balance</t>
  </si>
  <si>
    <t>D0001/IA05100/F0001/X049/R1330/001/FIN</t>
  </si>
  <si>
    <t>Assets:Non-current Assets:Intangible Assets:Cost:Other:In-use:Computer Software Accumulated Impairment:Opening Balance</t>
  </si>
  <si>
    <t>D0001/IA00031/F0001/X049/R1330/001/FIN</t>
  </si>
  <si>
    <t>Assets:Non-current Assets:Property, Plant and Equipment:Cost Model:Community Assets:Accumulated Impairment:Opening Balance</t>
  </si>
  <si>
    <t>D0001/IA02551/F0001/X049/R1330/001/FIN</t>
  </si>
  <si>
    <t>Assets:Non-current Assets:Investment Property:Cost Model:Accumulated Depreciation:Opening Balance</t>
  </si>
  <si>
    <t>D0001/IA00091/F0001/X049/R1330/001/FIN</t>
  </si>
  <si>
    <t>Assets:Non-current Assets:Property, Plant and Equipment:Cost Model:Other Assets:Accumulated Impairment:Opening Balance</t>
  </si>
  <si>
    <t>D0001/IA06288/F0001/X049/R1330/001/FIN</t>
  </si>
  <si>
    <t>Assets:Non-current Assets:Property, Plant and Equipment:Cost Model:Machinery and Equipment:Future Use:Cost:Opening Balance</t>
  </si>
  <si>
    <t>D0001/IA01333/F0001/X049/R1330/001/FIN</t>
  </si>
  <si>
    <t>Assets:Non-current Assets:Property, Plant and Equipment:Cost Model:Transport Assets:Future Use:Cost:Opening Balance</t>
  </si>
  <si>
    <t>D0001/IA00131/F0001/X049/R1330/001/FIN</t>
  </si>
  <si>
    <t>Assets:Non-current Assets:Property, Plant and Equipment:Cost Model:Roads Infrastructure:Accumulated Impairment:Opening Balance</t>
  </si>
  <si>
    <t>D0001/IA01366/F0001/X049/R1330/001/FIN</t>
  </si>
  <si>
    <t>Assets:Non-current Assets:Property, Plant and Equipment:Cost Model:Transport Assets:Owned and In-use:Accumulated Impairment:Opening Balance</t>
  </si>
  <si>
    <t>D0001/IA01306/F0001/X049/R1330/001/FIN</t>
  </si>
  <si>
    <t>Assets:Non-current Assets:Property, Plant and Equipment:Cost Model:Land:General Plant:Owned and In-use:Accumulated Impairment:Opening Balance</t>
  </si>
  <si>
    <t>D0001/IA06312/F0001/X049/R1330/001/FIN</t>
  </si>
  <si>
    <t>Assets:Non-current Assets:Property, Plant and Equipment:Cost Model:Machinery and Equipment:In-use:Accumulated Impairment:Opening Balance</t>
  </si>
  <si>
    <t>D0001/IL53855/F0001/X049/R1330/001/FIN</t>
  </si>
  <si>
    <t>Liabilities:Current Liabilities:Trade and Other Payable Exchange Transactions:Overtime:Opening Balance</t>
  </si>
  <si>
    <t>D0001/IL27884/F0001/X049/R1330/001/FIN</t>
  </si>
  <si>
    <t>Liabilities:Current Liabilities:Output VAT:Opening Balance</t>
  </si>
  <si>
    <t>D0001/IL53934/F0001/X049/R1330/001/FIN</t>
  </si>
  <si>
    <t>Liabilities:Current Liabilities:Trade and Other Payable Exchange Transactions:Unallocated Deposits:Opening Balance</t>
  </si>
  <si>
    <t>D0001/IL53713/F0001/X049/R1330/001/FIN</t>
  </si>
  <si>
    <t>Liabilities:Current Liabilities:Trade and Other Payable Exchange Transactions:Bonus:Opening Balance</t>
  </si>
  <si>
    <t>D0001/IL38567/F0001/X049/R1330/001/FIN</t>
  </si>
  <si>
    <t>Liabilities:Current Liabilities:Bank Overdraft:Standard Bank:Specify (Add Institutions and Account Number):Opening Balance</t>
  </si>
  <si>
    <t>D0001/IL43198/F0001/X049/R1330/001/FIN</t>
  </si>
  <si>
    <t>Liabilities:Current Liabilities:Consumer Deposits:Refuse:Opening Balance</t>
  </si>
  <si>
    <t>D0001/IL53921/F0001/X049/R1330/001/FIN</t>
  </si>
  <si>
    <t>Liabilities:Current Liabilities:Trade and Other Payable Exchange Transactions:Leave Accrual:Opening Balance</t>
  </si>
  <si>
    <t>D0001/IL41801/F0001/X049/R1330/001/FIN</t>
  </si>
  <si>
    <t>D0001/IL08800/F0001/X049/R1330/001/FIN</t>
  </si>
  <si>
    <t>Liabilities:Current Liabilities:Trade and Other Payable Non-exchange Transactions:Transfers and Subsidies Unspent:Operational:Monetary Allocations:National Government:Expanded Public Works Programme Integrated Grant:Opening Balance</t>
  </si>
  <si>
    <t>D0001/IL17169/F0001/X049/R1330/001/FIN</t>
  </si>
  <si>
    <t>Liabilities:Current Liabilities:Trade and Other Payable Non-exchange Transactions:Transfers and Subsidies Unspent:Operational:Monetary Allocations:Departmental Agencies and Accounts:National Departmental Agencies:Community Schemes Ombud Service:Opening Balance</t>
  </si>
  <si>
    <t>D0001/IL13777/F0001/X049/R1330/001/FIN</t>
  </si>
  <si>
    <t>Liabilities:Current Liabilities:Trade and Other Payable Non-exchange Transactions:Transfers and Subsidies Unspent:Capital:Monetary Allocations:Departmental Agencies and Accounts:National Departmental Agencies:Community Schemes Ombud Service:Opening Balance</t>
  </si>
  <si>
    <t>D0001/IL07047/F0001/X049/R1330/001/FIN</t>
  </si>
  <si>
    <t>Liabilities:Current Liabilities:Trade and Other Payable Non-exchange Transactions:Transfers and Subsidies Unspent:Capital:Monetary Allocations:National Government:Municipal Infrastructure Grant:Opening Balance</t>
  </si>
  <si>
    <t>D0001/IL08832/F0001/X049/R1330/001/FIN</t>
  </si>
  <si>
    <t>Liabilities:Current Liabilities:Trade and Other Payable Non-exchange Transactions:Transfers and Subsidies Unspent:Operational:Monetary Allocations:National Government:Local Government Financial Management Grant:Opening Balance</t>
  </si>
  <si>
    <t>D0001/IL37143/F0001/X049/R1330/001/FIN</t>
  </si>
  <si>
    <t>Liabilities:Current Liabilities:Trade and Other Payable Non-exchange Transactions:Transfers and Subsidies Unspent:Operational:Monetary Allocations:National Government:Municipal Rehabilitation Grant:Opening Balance</t>
  </si>
  <si>
    <t>D0001/IL092575/F0001/X049/R1330/001/FIN</t>
  </si>
  <si>
    <t>Liabilities:Current Liabilities:Trade and Other Payable Non-exchange Transactions:Transfers and Subsidies Unspent:Operational:Monetary Allocations:National Government:Municipal Disaster Recovery Grant:Opening Balance</t>
  </si>
  <si>
    <t>D0001/IL07027/F0001/X049/R1330/001/FIN</t>
  </si>
  <si>
    <t>Liabilities:Current Liabilities:Trade and Other Payable Non-exchange Transactions:Transfers and Subsidies Unspent:Capital:Monetary Allocations:National Government:Integrated National Electrification Programme Grant:Opening Balance</t>
  </si>
  <si>
    <t>D0001/IL39587/F0001/X049/R1330/001/FIN</t>
  </si>
  <si>
    <t>Liabilities:Current Liabilities:VAT Credit:  Output Accrual:Opening Balance</t>
  </si>
  <si>
    <t>D0001/IL00854/F0001/X049/R1330/001/FIN</t>
  </si>
  <si>
    <t>Liabilities:Non-current Liabilities:Provision and Impairment:Long-service Awards:Opening Balance</t>
  </si>
  <si>
    <t>D0001/IL00211/F0001/X049/R1330/001/FIN</t>
  </si>
  <si>
    <t>Liabilities:Non-current Liabilities:Provision and Impairment:Impairment:Other Receivables from Non-exchange Transactions:Unauthorised, Irregular, Fruitless and Wasteful Expenditure:Opening Balance</t>
  </si>
  <si>
    <t>D0001/LN00006/F0001/X049/R1330/001/FIN</t>
  </si>
  <si>
    <t>Net Assets:Accumulated Surplus/(Deficit):Opening Balance</t>
  </si>
  <si>
    <t>Accumulated Surplus/(Deficit) - opening balance</t>
  </si>
  <si>
    <t>D0001/IL093091/F0001/X049/R1330/001/FIN</t>
  </si>
  <si>
    <t>D0001/IL092979/F0001/X049/R1330/001/FIN</t>
  </si>
  <si>
    <t>Liabilities:Current Liabilities:Trade and Other Payable Non-exchange Transactions:Transfers and Subsidies Unspent:Operational:Monetary Allocations:Provincial Government:KwaZulu-Natal:Infrastructure:Specify (Add grant description):Opening Balance</t>
  </si>
  <si>
    <t>D0001/IL092975/F0001/X049/R1330/001/FIN</t>
  </si>
  <si>
    <t>D0001/IL093031/F0001/X049/R1330/001/FIN</t>
  </si>
  <si>
    <t>D0001/IL093087/F0001/X049/R1330/001/FIN</t>
  </si>
  <si>
    <t>D0001/IA10177/F0001/X049/R1330/001/FIN</t>
  </si>
  <si>
    <t>D0001/IA02068/F0001/X049/R1330/001/FIN</t>
  </si>
  <si>
    <t>D0001/IA10182/F0001/X049/R1330/001/FIN</t>
  </si>
  <si>
    <t>D0001/IA10185/F0001/X049/R1330/001/FIN</t>
  </si>
  <si>
    <t>D0001/IA10186/F0001/X049/R1330/001/FIN</t>
  </si>
  <si>
    <t>D0001/IA10176/F0001/X049/R1330/001/FIN</t>
  </si>
  <si>
    <t>D0001/IA10190/F0001/X049/R1330/001/FIN</t>
  </si>
  <si>
    <t>D0001/IA10184/F0001/X049/R1330/001/FIN</t>
  </si>
  <si>
    <t>D0001/IA10183/F0001/X049/R1330/001/FIN</t>
  </si>
  <si>
    <t>D0001/IA06252/F0001/X049/R1330/001/FIN</t>
  </si>
  <si>
    <t>Assets:Non-current Assets:Property, Plant and Equipment:Cost Model:Furniture and Office Equipment:In-use:Accumulated Impairment:Opening Balance</t>
  </si>
  <si>
    <t>C0040-12/IA00132/F0002/X116/R1814/001/TECH</t>
  </si>
  <si>
    <t>D0001/IA09323/F0041/X049/R1331/001/FIN</t>
  </si>
  <si>
    <t>D0001/IL53988/F0041/X049/R1330/001/FIN</t>
  </si>
  <si>
    <t>Cash Payments by Type / Employee related costs</t>
  </si>
  <si>
    <t>D0001/IL43222/F0041/X049/R1330/001/FIN</t>
  </si>
  <si>
    <t>Liabilities:Current Liabilities:Trade and Other Payable Exchange Transactions:Long Service Award:Withdrawals</t>
  </si>
  <si>
    <t>D0001/IL43220/F0041/X049/R1330/001/FIN</t>
  </si>
  <si>
    <t>Liabilities:Current Liabilities:Trade and Other Payable Exchange Transactions:Leave Accrual:Withdrawals</t>
  </si>
  <si>
    <t>D0001/IL54000/F0041/X049/R1330/001/FIN</t>
  </si>
  <si>
    <t>D0001/IL43227/F0041/X049/R1330/001/FIN</t>
  </si>
  <si>
    <t>Liabilities:Current Liabilities:Trade and Other Payable Exchange Transactions:Bonus:Withdrawals</t>
  </si>
  <si>
    <t>D0001/IL43225/F0041/X049/R1330/001/FIN</t>
  </si>
  <si>
    <t>Liabilities:Current Liabilities:Trade and Other Payable Exchange Transactions:PAYE Deductions:Withdrawals</t>
  </si>
  <si>
    <t>D0001/IL53857/F0041/X049/R1330/001/FIN</t>
  </si>
  <si>
    <t>Liabilities:Current Liabilities:Trade and Other Payable Exchange Transactions:Overtime:Withdrawals</t>
  </si>
  <si>
    <t>D0001/IL54039/F0041/X049/R1330/001/FIN</t>
  </si>
  <si>
    <t>Liabilities:Current Liabilities:Trade and Other Payable Exchange Transactions:Standby:Withdrawals</t>
  </si>
  <si>
    <t>D0001/IL53996/F0041/X049/R1330/001/FIN</t>
  </si>
  <si>
    <t>D0001/IL53998/F0041/X049/R1330/001/FIN</t>
  </si>
  <si>
    <t>D0001/IL54005/F0041/X049/R1330/001/FIN</t>
  </si>
  <si>
    <t>O0001/IA09982/F0001/X049/R1331/001/FIN</t>
  </si>
  <si>
    <t>D0001/IA09840/F0791/X049/R1331/001/FIN</t>
  </si>
  <si>
    <t>www.mkhambathini.gov.za</t>
  </si>
  <si>
    <t>mm@mkhambathini</t>
  </si>
  <si>
    <t>Private bag X04</t>
  </si>
  <si>
    <t>Camperdown</t>
  </si>
  <si>
    <t>18 old main road</t>
  </si>
  <si>
    <t>6703035937088</t>
  </si>
  <si>
    <t>Mr</t>
  </si>
  <si>
    <t>Cllr T.a Gwala</t>
  </si>
  <si>
    <t>0317859318</t>
  </si>
  <si>
    <t>0825934610</t>
  </si>
  <si>
    <t>031 785 2121</t>
  </si>
  <si>
    <t>speaker@mkhambathini.gov.za</t>
  </si>
  <si>
    <t>7310170539080</t>
  </si>
  <si>
    <t>Mrs</t>
  </si>
  <si>
    <t>Mrs. Nompumelelo Makhanya</t>
  </si>
  <si>
    <t>0317859316</t>
  </si>
  <si>
    <t>0826594155</t>
  </si>
  <si>
    <t>mpume.makhanya@mkhambathini.gov.za</t>
  </si>
  <si>
    <t>6011115589088</t>
  </si>
  <si>
    <t>Cllr E Ngcongo</t>
  </si>
  <si>
    <t>0723534647</t>
  </si>
  <si>
    <t>0317852121</t>
  </si>
  <si>
    <t>mayor@mkhambathini.gov.za</t>
  </si>
  <si>
    <t>7805080583086</t>
  </si>
  <si>
    <t>Zandile Mathenjwa</t>
  </si>
  <si>
    <t>7109040468086</t>
  </si>
  <si>
    <t>Cllr L.Z Lembethe</t>
  </si>
  <si>
    <t>031 785 9314</t>
  </si>
  <si>
    <t>0834667846</t>
  </si>
  <si>
    <t>deputymayor@mkhambathini.gov.za</t>
  </si>
  <si>
    <t>Mrs Nompumelelo Makhanya</t>
  </si>
  <si>
    <t>8503036087083</t>
  </si>
  <si>
    <t>Municipal Manager</t>
  </si>
  <si>
    <t>Mr Sanele Mngwengwe</t>
  </si>
  <si>
    <t>031 785 9520</t>
  </si>
  <si>
    <t>082 850 9555</t>
  </si>
  <si>
    <t>mm@mkhambathini.gov.za</t>
  </si>
  <si>
    <t>9611290379085</t>
  </si>
  <si>
    <t>Miss</t>
  </si>
  <si>
    <t>Nokulunga Nkosi</t>
  </si>
  <si>
    <t>secretarymm@mkhambathini.gov.za</t>
  </si>
  <si>
    <t>8204305598088</t>
  </si>
  <si>
    <t>Thokozani Gambu</t>
  </si>
  <si>
    <t>0317859300</t>
  </si>
  <si>
    <t>cfo@mkhambathini.gov.za</t>
  </si>
  <si>
    <t>8105240556083</t>
  </si>
  <si>
    <t>Ms.Mpho Motsoeneng</t>
  </si>
  <si>
    <t>0317859319</t>
  </si>
  <si>
    <t>mpho.motsoeneng@mkhambathini.gov.za</t>
  </si>
  <si>
    <t>880228570086</t>
  </si>
  <si>
    <t xml:space="preserve">Budget Officer </t>
  </si>
  <si>
    <t>Mr Thuthukani Zondo</t>
  </si>
  <si>
    <t>031 785 9333</t>
  </si>
  <si>
    <t>0716409705</t>
  </si>
  <si>
    <t>budget@mkhambathini.gov.za</t>
  </si>
  <si>
    <t>9406101281087</t>
  </si>
  <si>
    <t>Nonkululeko Ngubane</t>
  </si>
  <si>
    <t>0317859326</t>
  </si>
  <si>
    <t>0791808234</t>
  </si>
  <si>
    <t>0823130226</t>
  </si>
  <si>
    <t>0317859307</t>
  </si>
  <si>
    <t>0733824086</t>
  </si>
  <si>
    <t>0317859317</t>
  </si>
  <si>
    <t>0844463391</t>
  </si>
  <si>
    <t>07146094720</t>
  </si>
  <si>
    <t>Financial  and Administration Management</t>
  </si>
  <si>
    <t>Sound financial management, good governance and public participation.</t>
  </si>
  <si>
    <t>Sustainable Community Services</t>
  </si>
  <si>
    <t>Ensure basic service delivery, Job Creation, LED, HIV  Aids and Sport &amp; Culture</t>
  </si>
  <si>
    <t>Provincialisation</t>
  </si>
  <si>
    <t>camperdow hall</t>
  </si>
  <si>
    <t>Camperdown Hall</t>
  </si>
  <si>
    <t>New</t>
  </si>
  <si>
    <t>infrustucture development</t>
  </si>
  <si>
    <t>New municipal offices</t>
  </si>
  <si>
    <t>New Municipal Offices</t>
  </si>
  <si>
    <t>infrustructure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</si>
</sst>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 #,##0.00_ ;_ * \-#,##0.00_ ;_ * &quot;-&quot;??_ ;_ @_ "/>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73" x14ac:knownFonts="1">
    <font>
      <sz val="10"/>
      <name val="Arial"/>
    </font>
    <font>
      <sz val="11"/>
      <color theme="1"/>
      <name val="Calibri"/>
      <family val="2"/>
      <scheme val="minor"/>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sz val="11"/>
      <color theme="1"/>
      <name val="Calibri"/>
      <family val="2"/>
      <scheme val="minor"/>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8"/>
      <color theme="0"/>
      <name val="Arial Narrow"/>
      <family val="2"/>
    </font>
    <font>
      <sz val="9"/>
      <color theme="0"/>
      <name val="Arial Narrow"/>
      <family val="2"/>
    </font>
    <font>
      <sz val="10"/>
      <color theme="0"/>
      <name val="Arial"/>
      <family val="2"/>
    </font>
    <font>
      <sz val="10"/>
      <color theme="0"/>
      <name val="Arial Narrow"/>
      <family val="2"/>
    </font>
    <font>
      <i/>
      <sz val="8"/>
      <color theme="0"/>
      <name val="Arial Narrow"/>
      <family val="2"/>
    </font>
    <font>
      <sz val="8"/>
      <color theme="1"/>
      <name val="Arial Narrow"/>
      <family val="2"/>
    </font>
    <font>
      <i/>
      <sz val="10"/>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FFFF00"/>
        <bgColor indexed="64"/>
      </patternFill>
    </fill>
  </fills>
  <borders count="1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
      <left/>
      <right/>
      <top style="medium">
        <color indexed="64"/>
      </top>
      <bottom style="medium">
        <color indexed="64"/>
      </bottom>
      <diagonal/>
    </border>
  </borders>
  <cellStyleXfs count="59">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3" fillId="0" borderId="0" applyNumberFormat="0" applyFill="0" applyBorder="0" applyAlignment="0" applyProtection="0">
      <alignment vertical="top"/>
      <protection locked="0"/>
    </xf>
    <xf numFmtId="0" fontId="52" fillId="0" borderId="0" applyNumberFormat="0" applyFont="0" applyFill="0" applyBorder="0" applyAlignment="0" applyProtection="0">
      <alignment vertical="top"/>
      <protection locked="0"/>
    </xf>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2" fillId="0" borderId="0"/>
    <xf numFmtId="0" fontId="60" fillId="0" borderId="0"/>
    <xf numFmtId="0" fontId="2" fillId="0" borderId="0"/>
    <xf numFmtId="0" fontId="2" fillId="23" borderId="7" applyNumberFormat="0" applyFont="0" applyAlignment="0" applyProtection="0"/>
    <xf numFmtId="0" fontId="37" fillId="20" borderId="8" applyNumberFormat="0" applyAlignment="0" applyProtection="0"/>
    <xf numFmtId="9" fontId="2"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0" fontId="38" fillId="0" borderId="0" applyNumberFormat="0" applyFill="0" applyBorder="0" applyAlignment="0" applyProtection="0"/>
    <xf numFmtId="0" fontId="39" fillId="0" borderId="9" applyNumberFormat="0" applyFill="0" applyAlignment="0" applyProtection="0"/>
    <xf numFmtId="0" fontId="40" fillId="0" borderId="0" applyNumberFormat="0" applyFill="0" applyBorder="0" applyAlignment="0" applyProtection="0"/>
    <xf numFmtId="0" fontId="1" fillId="0" borderId="0"/>
    <xf numFmtId="0" fontId="2" fillId="0" borderId="0"/>
    <xf numFmtId="0" fontId="1" fillId="0" borderId="0"/>
    <xf numFmtId="0" fontId="2" fillId="0" borderId="0"/>
    <xf numFmtId="43" fontId="2" fillId="0" borderId="0" applyFont="0" applyFill="0" applyBorder="0" applyAlignment="0" applyProtection="0"/>
    <xf numFmtId="0" fontId="3" fillId="0" borderId="0" applyNumberFormat="0" applyFill="0" applyBorder="0" applyAlignment="0" applyProtection="0">
      <alignment vertical="top"/>
      <protection locked="0"/>
    </xf>
  </cellStyleXfs>
  <cellXfs count="1473">
    <xf numFmtId="0" fontId="0" fillId="0" borderId="0" xfId="0"/>
    <xf numFmtId="0" fontId="7" fillId="0" borderId="0" xfId="0" applyFont="1"/>
    <xf numFmtId="0" fontId="4" fillId="0" borderId="0" xfId="0" applyFont="1" applyProtection="1"/>
    <xf numFmtId="0" fontId="8" fillId="0" borderId="10" xfId="0" applyFont="1" applyFill="1" applyBorder="1" applyAlignment="1"/>
    <xf numFmtId="0" fontId="9" fillId="0" borderId="11" xfId="0" applyFont="1" applyBorder="1" applyAlignment="1"/>
    <xf numFmtId="0" fontId="9" fillId="0" borderId="0" xfId="0" applyFont="1"/>
    <xf numFmtId="0" fontId="10" fillId="0" borderId="12" xfId="0" applyFont="1" applyFill="1" applyBorder="1" applyAlignment="1">
      <alignment vertical="center" wrapText="1"/>
    </xf>
    <xf numFmtId="0" fontId="10" fillId="0" borderId="13" xfId="0" applyFont="1" applyFill="1" applyBorder="1" applyAlignment="1">
      <alignment vertical="center" wrapText="1"/>
    </xf>
    <xf numFmtId="0" fontId="10" fillId="0" borderId="14" xfId="0" applyFont="1" applyFill="1" applyBorder="1" applyAlignment="1">
      <alignment horizontal="center" vertical="center"/>
    </xf>
    <xf numFmtId="0" fontId="10" fillId="0" borderId="15" xfId="0" applyFont="1" applyFill="1" applyBorder="1" applyAlignment="1">
      <alignment horizontal="center" vertical="center" wrapText="1"/>
    </xf>
    <xf numFmtId="0" fontId="10" fillId="0" borderId="16" xfId="0" applyFont="1" applyFill="1" applyBorder="1" applyAlignment="1">
      <alignment horizontal="center" vertical="center" wrapText="1"/>
    </xf>
    <xf numFmtId="9" fontId="10" fillId="0" borderId="16" xfId="47" applyFont="1" applyFill="1" applyBorder="1" applyAlignment="1">
      <alignment horizontal="center" vertical="center" wrapText="1"/>
    </xf>
    <xf numFmtId="9" fontId="10" fillId="0" borderId="17" xfId="47" applyFont="1" applyFill="1" applyBorder="1" applyAlignment="1">
      <alignment horizontal="center" vertical="center" wrapText="1"/>
    </xf>
    <xf numFmtId="9" fontId="10" fillId="0" borderId="18" xfId="47"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10" fillId="0" borderId="23" xfId="0" applyFont="1" applyFill="1" applyBorder="1" applyAlignment="1">
      <alignment horizontal="left" vertical="center"/>
    </xf>
    <xf numFmtId="0" fontId="9" fillId="0" borderId="24" xfId="0" applyFont="1" applyFill="1" applyBorder="1" applyAlignment="1">
      <alignment horizontal="center" vertical="center"/>
    </xf>
    <xf numFmtId="0" fontId="9" fillId="0" borderId="25" xfId="0" applyFont="1" applyBorder="1" applyAlignment="1">
      <alignment horizontal="center"/>
    </xf>
    <xf numFmtId="0" fontId="9" fillId="0" borderId="25" xfId="0" applyFont="1" applyFill="1" applyBorder="1" applyAlignment="1">
      <alignment horizontal="center" vertical="center"/>
    </xf>
    <xf numFmtId="9" fontId="9" fillId="0" borderId="25" xfId="47" applyFont="1" applyFill="1" applyBorder="1" applyAlignment="1">
      <alignment horizontal="center" vertical="center"/>
    </xf>
    <xf numFmtId="9" fontId="9" fillId="0" borderId="26" xfId="47" applyFont="1" applyFill="1" applyBorder="1" applyAlignment="1">
      <alignment horizontal="center" vertical="center"/>
    </xf>
    <xf numFmtId="9" fontId="9" fillId="0" borderId="27" xfId="47" applyFont="1" applyFill="1" applyBorder="1" applyAlignment="1">
      <alignment horizontal="center" vertical="center"/>
    </xf>
    <xf numFmtId="0" fontId="11" fillId="0" borderId="28" xfId="0" applyFont="1" applyFill="1" applyBorder="1"/>
    <xf numFmtId="170" fontId="9" fillId="0" borderId="29" xfId="0" applyNumberFormat="1" applyFont="1" applyFill="1" applyBorder="1"/>
    <xf numFmtId="170" fontId="9" fillId="0" borderId="30" xfId="0" applyNumberFormat="1" applyFont="1" applyBorder="1"/>
    <xf numFmtId="170" fontId="9" fillId="0" borderId="31" xfId="0" applyNumberFormat="1" applyFont="1" applyBorder="1"/>
    <xf numFmtId="170" fontId="9" fillId="0" borderId="32" xfId="0" applyNumberFormat="1" applyFont="1" applyBorder="1"/>
    <xf numFmtId="0" fontId="9" fillId="0" borderId="10" xfId="0" applyFont="1" applyFill="1" applyBorder="1" applyAlignment="1">
      <alignment horizontal="left" indent="1"/>
    </xf>
    <xf numFmtId="170" fontId="9" fillId="0" borderId="19" xfId="0" applyNumberFormat="1" applyFont="1" applyBorder="1"/>
    <xf numFmtId="170" fontId="9" fillId="0" borderId="20" xfId="0" applyNumberFormat="1" applyFont="1" applyBorder="1"/>
    <xf numFmtId="170" fontId="9" fillId="0" borderId="21" xfId="0" applyNumberFormat="1" applyFont="1" applyBorder="1"/>
    <xf numFmtId="170" fontId="9" fillId="0" borderId="22" xfId="0" applyNumberFormat="1" applyFont="1" applyBorder="1"/>
    <xf numFmtId="170" fontId="9" fillId="0" borderId="19" xfId="0" applyNumberFormat="1" applyFont="1" applyFill="1" applyBorder="1"/>
    <xf numFmtId="0" fontId="9" fillId="0" borderId="14" xfId="0" applyFont="1" applyFill="1" applyBorder="1" applyAlignment="1">
      <alignment horizontal="left" indent="1"/>
    </xf>
    <xf numFmtId="0" fontId="12" fillId="0" borderId="14" xfId="0" applyFont="1" applyFill="1" applyBorder="1"/>
    <xf numFmtId="0" fontId="10" fillId="0" borderId="14" xfId="0" applyFont="1" applyFill="1" applyBorder="1"/>
    <xf numFmtId="0" fontId="9" fillId="0" borderId="14" xfId="0" applyFont="1" applyFill="1" applyBorder="1"/>
    <xf numFmtId="0" fontId="10" fillId="0" borderId="14" xfId="0" applyFont="1" applyFill="1" applyBorder="1" applyAlignment="1">
      <alignment vertical="top" wrapText="1"/>
    </xf>
    <xf numFmtId="0" fontId="9" fillId="0" borderId="10" xfId="0" applyFont="1" applyFill="1" applyBorder="1" applyAlignment="1">
      <alignment horizontal="left" wrapText="1" indent="1"/>
    </xf>
    <xf numFmtId="0" fontId="9" fillId="0" borderId="23" xfId="0" applyFont="1" applyFill="1" applyBorder="1"/>
    <xf numFmtId="170" fontId="9" fillId="0" borderId="24" xfId="0" applyNumberFormat="1" applyFont="1" applyBorder="1"/>
    <xf numFmtId="170" fontId="9" fillId="0" borderId="25" xfId="0" applyNumberFormat="1" applyFont="1" applyBorder="1"/>
    <xf numFmtId="170" fontId="9" fillId="0" borderId="26" xfId="0" applyNumberFormat="1" applyFont="1" applyBorder="1"/>
    <xf numFmtId="170" fontId="9" fillId="0" borderId="27" xfId="0" applyNumberFormat="1" applyFont="1" applyBorder="1"/>
    <xf numFmtId="170" fontId="9" fillId="0" borderId="29" xfId="0" applyNumberFormat="1" applyFont="1" applyBorder="1"/>
    <xf numFmtId="0" fontId="9" fillId="0" borderId="0" xfId="0" applyFont="1" applyBorder="1"/>
    <xf numFmtId="0" fontId="10" fillId="0" borderId="23" xfId="0" applyFont="1" applyFill="1" applyBorder="1"/>
    <xf numFmtId="0" fontId="9" fillId="0" borderId="10" xfId="0" applyFont="1" applyFill="1" applyBorder="1"/>
    <xf numFmtId="0" fontId="10" fillId="0" borderId="10" xfId="0" applyFont="1" applyFill="1" applyBorder="1"/>
    <xf numFmtId="0" fontId="11" fillId="0" borderId="10" xfId="0" applyFont="1" applyFill="1" applyBorder="1"/>
    <xf numFmtId="168" fontId="10" fillId="0" borderId="0" xfId="0" applyNumberFormat="1" applyFont="1" applyBorder="1"/>
    <xf numFmtId="0" fontId="9" fillId="0" borderId="0" xfId="0" applyFont="1" applyBorder="1" applyAlignment="1">
      <alignment vertical="top" wrapText="1"/>
    </xf>
    <xf numFmtId="0" fontId="9" fillId="0" borderId="10" xfId="0" applyFont="1" applyFill="1" applyBorder="1" applyAlignment="1">
      <alignment horizontal="left" indent="2"/>
    </xf>
    <xf numFmtId="170" fontId="9" fillId="0" borderId="24" xfId="0" applyNumberFormat="1" applyFont="1" applyFill="1" applyBorder="1"/>
    <xf numFmtId="0" fontId="8" fillId="0" borderId="0" xfId="0" applyFont="1" applyFill="1" applyBorder="1" applyAlignment="1">
      <alignment horizontal="left"/>
    </xf>
    <xf numFmtId="0" fontId="9" fillId="0" borderId="0" xfId="0" applyFont="1" applyAlignment="1">
      <alignment horizontal="center"/>
    </xf>
    <xf numFmtId="0" fontId="10" fillId="0" borderId="28" xfId="0" applyFont="1" applyFill="1" applyBorder="1" applyAlignment="1">
      <alignment horizontal="center" vertical="center"/>
    </xf>
    <xf numFmtId="0" fontId="10" fillId="0" borderId="33" xfId="0" applyFont="1" applyFill="1" applyBorder="1" applyAlignment="1">
      <alignment vertical="center" wrapText="1"/>
    </xf>
    <xf numFmtId="0" fontId="10" fillId="0" borderId="34" xfId="0" applyFont="1" applyFill="1" applyBorder="1" applyAlignment="1">
      <alignment vertical="center" wrapText="1"/>
    </xf>
    <xf numFmtId="0" fontId="10" fillId="0" borderId="35"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3" fillId="0" borderId="10" xfId="0" applyFont="1" applyFill="1" applyBorder="1" applyAlignment="1">
      <alignment horizontal="center" vertical="center"/>
    </xf>
    <xf numFmtId="0" fontId="9" fillId="0" borderId="36" xfId="0" applyFont="1" applyFill="1" applyBorder="1" applyAlignment="1">
      <alignment horizontal="center" vertical="center" wrapText="1"/>
    </xf>
    <xf numFmtId="0" fontId="10" fillId="0" borderId="37" xfId="0" applyFont="1" applyFill="1" applyBorder="1" applyAlignment="1">
      <alignment horizontal="left" vertical="center"/>
    </xf>
    <xf numFmtId="0" fontId="9" fillId="0" borderId="38" xfId="0" applyFont="1" applyFill="1" applyBorder="1" applyAlignment="1">
      <alignment horizontal="center" vertical="center"/>
    </xf>
    <xf numFmtId="0" fontId="9" fillId="0" borderId="39" xfId="0" applyFont="1" applyBorder="1" applyAlignment="1">
      <alignment horizontal="center"/>
    </xf>
    <xf numFmtId="0" fontId="9" fillId="0" borderId="39" xfId="0" applyFont="1" applyFill="1" applyBorder="1" applyAlignment="1">
      <alignment horizontal="center" vertical="center"/>
    </xf>
    <xf numFmtId="9" fontId="9" fillId="0" borderId="39" xfId="47" applyFont="1" applyFill="1" applyBorder="1" applyAlignment="1">
      <alignment horizontal="center" vertical="center"/>
    </xf>
    <xf numFmtId="9" fontId="9" fillId="0" borderId="40" xfId="47" applyFont="1" applyFill="1" applyBorder="1" applyAlignment="1">
      <alignment horizontal="center" vertical="center"/>
    </xf>
    <xf numFmtId="0" fontId="11" fillId="0" borderId="14" xfId="0" applyFont="1" applyBorder="1"/>
    <xf numFmtId="0" fontId="9" fillId="0" borderId="14" xfId="0" applyFont="1" applyBorder="1" applyAlignment="1">
      <alignment horizontal="center"/>
    </xf>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0" fontId="10" fillId="0" borderId="0" xfId="0" applyFont="1" applyBorder="1" applyAlignment="1">
      <alignment horizontal="center"/>
    </xf>
    <xf numFmtId="0" fontId="10" fillId="0" borderId="41" xfId="0" applyFont="1" applyBorder="1"/>
    <xf numFmtId="0" fontId="9" fillId="0" borderId="41" xfId="0" applyFont="1" applyBorder="1" applyAlignment="1">
      <alignment horizontal="center"/>
    </xf>
    <xf numFmtId="171" fontId="10" fillId="0" borderId="42" xfId="0" applyNumberFormat="1" applyFont="1" applyBorder="1"/>
    <xf numFmtId="171" fontId="10" fillId="0" borderId="43" xfId="0" applyNumberFormat="1" applyFont="1" applyBorder="1"/>
    <xf numFmtId="171" fontId="10" fillId="0" borderId="44" xfId="0" applyNumberFormat="1" applyFont="1" applyBorder="1"/>
    <xf numFmtId="0" fontId="9" fillId="0" borderId="14" xfId="0" applyFont="1" applyBorder="1"/>
    <xf numFmtId="168" fontId="9" fillId="0" borderId="0" xfId="0" applyNumberFormat="1" applyFont="1" applyBorder="1"/>
    <xf numFmtId="0" fontId="9" fillId="0" borderId="14" xfId="0" applyFont="1" applyBorder="1" applyAlignment="1">
      <alignment horizontal="left" indent="1"/>
    </xf>
    <xf numFmtId="168" fontId="9" fillId="0" borderId="0" xfId="0" applyNumberFormat="1" applyFont="1" applyFill="1" applyBorder="1"/>
    <xf numFmtId="0" fontId="10" fillId="0" borderId="45" xfId="0" applyFont="1" applyBorder="1"/>
    <xf numFmtId="0" fontId="9" fillId="0" borderId="45" xfId="0" applyFont="1" applyBorder="1" applyAlignment="1">
      <alignment horizontal="center"/>
    </xf>
    <xf numFmtId="171" fontId="10" fillId="0" borderId="24" xfId="0" applyNumberFormat="1" applyFont="1" applyBorder="1"/>
    <xf numFmtId="171" fontId="10" fillId="0" borderId="25" xfId="0" applyNumberFormat="1" applyFont="1" applyBorder="1"/>
    <xf numFmtId="171" fontId="10" fillId="0" borderId="27" xfId="0" applyNumberFormat="1" applyFont="1" applyBorder="1"/>
    <xf numFmtId="0" fontId="14" fillId="0" borderId="46" xfId="0" applyFont="1" applyBorder="1"/>
    <xf numFmtId="0" fontId="13" fillId="0" borderId="0" xfId="0" applyFont="1" applyBorder="1" applyAlignment="1">
      <alignment horizontal="center"/>
    </xf>
    <xf numFmtId="168" fontId="12" fillId="0" borderId="0" xfId="0" applyNumberFormat="1" applyFont="1" applyFill="1" applyBorder="1"/>
    <xf numFmtId="0" fontId="13" fillId="0" borderId="0" xfId="0" quotePrefix="1" applyFont="1" applyBorder="1"/>
    <xf numFmtId="168" fontId="12" fillId="0" borderId="0" xfId="0" applyNumberFormat="1" applyFont="1" applyBorder="1"/>
    <xf numFmtId="0" fontId="13" fillId="0" borderId="0" xfId="0" applyFont="1" applyBorder="1" applyAlignment="1">
      <alignment horizontal="left"/>
    </xf>
    <xf numFmtId="0" fontId="13" fillId="0" borderId="0" xfId="0" applyFont="1" applyBorder="1" applyAlignment="1">
      <alignment horizontal="left" vertical="top" wrapText="1"/>
    </xf>
    <xf numFmtId="0" fontId="13" fillId="0" borderId="0" xfId="0" applyFont="1" applyBorder="1"/>
    <xf numFmtId="0" fontId="13" fillId="0" borderId="0" xfId="0" applyFont="1" applyBorder="1" applyAlignment="1">
      <alignment vertical="top" wrapText="1"/>
    </xf>
    <xf numFmtId="0" fontId="13" fillId="0" borderId="0" xfId="0" applyFont="1" applyBorder="1" applyAlignment="1">
      <alignment horizontal="right"/>
    </xf>
    <xf numFmtId="165" fontId="9" fillId="0" borderId="0" xfId="30" applyNumberFormat="1" applyFont="1"/>
    <xf numFmtId="0" fontId="10" fillId="0" borderId="47" xfId="0" applyFont="1" applyFill="1" applyBorder="1" applyAlignment="1">
      <alignment vertical="center" wrapText="1"/>
    </xf>
    <xf numFmtId="0" fontId="9" fillId="0" borderId="48" xfId="0" applyFont="1" applyFill="1" applyBorder="1" applyAlignment="1">
      <alignment horizontal="center" vertical="center"/>
    </xf>
    <xf numFmtId="0" fontId="9" fillId="0" borderId="49" xfId="0" applyFont="1" applyBorder="1" applyAlignment="1">
      <alignment horizontal="center"/>
    </xf>
    <xf numFmtId="171" fontId="9" fillId="0" borderId="15" xfId="0" applyNumberFormat="1" applyFont="1" applyBorder="1"/>
    <xf numFmtId="0" fontId="12" fillId="0" borderId="10" xfId="0" applyNumberFormat="1" applyFont="1" applyFill="1" applyBorder="1" applyAlignment="1" applyProtection="1">
      <alignment horizontal="left" indent="1"/>
    </xf>
    <xf numFmtId="0" fontId="9" fillId="0" borderId="10" xfId="0" applyNumberFormat="1" applyFont="1" applyFill="1" applyBorder="1" applyAlignment="1" applyProtection="1">
      <alignment horizontal="left" indent="2"/>
    </xf>
    <xf numFmtId="171" fontId="9" fillId="24" borderId="20" xfId="0" applyNumberFormat="1" applyFont="1" applyFill="1" applyBorder="1" applyProtection="1">
      <protection locked="0"/>
    </xf>
    <xf numFmtId="171" fontId="9" fillId="24" borderId="22" xfId="0" applyNumberFormat="1" applyFont="1" applyFill="1" applyBorder="1" applyProtection="1">
      <protection locked="0"/>
    </xf>
    <xf numFmtId="171" fontId="9" fillId="24" borderId="40" xfId="0" applyNumberFormat="1" applyFont="1" applyFill="1" applyBorder="1" applyProtection="1">
      <protection locked="0"/>
    </xf>
    <xf numFmtId="171" fontId="10" fillId="25" borderId="42" xfId="0" applyNumberFormat="1" applyFont="1" applyFill="1" applyBorder="1"/>
    <xf numFmtId="0" fontId="15" fillId="0" borderId="14" xfId="0" applyFont="1" applyBorder="1" applyAlignment="1">
      <alignment horizontal="center"/>
    </xf>
    <xf numFmtId="171" fontId="10" fillId="0" borderId="50" xfId="0" applyNumberFormat="1" applyFont="1" applyBorder="1"/>
    <xf numFmtId="171" fontId="10" fillId="0" borderId="51" xfId="0" applyNumberFormat="1" applyFont="1" applyBorder="1"/>
    <xf numFmtId="171" fontId="10" fillId="0" borderId="52" xfId="0" applyNumberFormat="1" applyFont="1" applyBorder="1"/>
    <xf numFmtId="0" fontId="14" fillId="0" borderId="0" xfId="0" applyFont="1" applyBorder="1" applyAlignment="1">
      <alignment horizontal="left"/>
    </xf>
    <xf numFmtId="0" fontId="13" fillId="0" borderId="0" xfId="0" applyFont="1" applyBorder="1" applyProtection="1"/>
    <xf numFmtId="0" fontId="9" fillId="0" borderId="0" xfId="0" applyFont="1" applyBorder="1" applyAlignment="1">
      <alignment horizontal="center"/>
    </xf>
    <xf numFmtId="0" fontId="13" fillId="0" borderId="10" xfId="0" applyFont="1" applyBorder="1" applyAlignment="1">
      <alignment horizontal="right"/>
    </xf>
    <xf numFmtId="165" fontId="13" fillId="0" borderId="0" xfId="30" applyNumberFormat="1" applyFont="1" applyBorder="1" applyAlignment="1">
      <alignment horizontal="right"/>
    </xf>
    <xf numFmtId="0" fontId="9" fillId="0" borderId="45" xfId="0" applyFont="1" applyFill="1" applyBorder="1" applyAlignment="1">
      <alignment horizontal="center" vertical="center"/>
    </xf>
    <xf numFmtId="0" fontId="9" fillId="0" borderId="53" xfId="0" applyFont="1" applyFill="1" applyBorder="1" applyAlignment="1">
      <alignment horizontal="center" vertical="center"/>
    </xf>
    <xf numFmtId="0" fontId="11" fillId="0" borderId="10" xfId="0" applyFont="1" applyBorder="1"/>
    <xf numFmtId="171" fontId="9" fillId="0" borderId="36" xfId="0" applyNumberFormat="1" applyFont="1" applyFill="1" applyBorder="1"/>
    <xf numFmtId="0" fontId="9" fillId="0" borderId="0" xfId="0" applyFont="1" applyFill="1"/>
    <xf numFmtId="0" fontId="9" fillId="0" borderId="10" xfId="0" applyFont="1" applyBorder="1" applyAlignment="1">
      <alignment horizontal="left" indent="1"/>
    </xf>
    <xf numFmtId="171" fontId="9" fillId="24" borderId="36" xfId="0" applyNumberFormat="1" applyFont="1" applyFill="1" applyBorder="1" applyProtection="1">
      <protection locked="0"/>
    </xf>
    <xf numFmtId="171" fontId="9" fillId="0" borderId="36" xfId="0" applyNumberFormat="1" applyFont="1" applyFill="1" applyBorder="1" applyProtection="1"/>
    <xf numFmtId="171" fontId="9" fillId="0" borderId="20" xfId="0" applyNumberFormat="1" applyFont="1" applyFill="1" applyBorder="1" applyProtection="1"/>
    <xf numFmtId="171" fontId="9" fillId="0" borderId="22" xfId="0" applyNumberFormat="1" applyFont="1" applyFill="1" applyBorder="1" applyProtection="1"/>
    <xf numFmtId="168" fontId="9" fillId="0" borderId="0" xfId="0" applyNumberFormat="1" applyFont="1" applyFill="1"/>
    <xf numFmtId="0" fontId="10" fillId="0" borderId="10" xfId="0" applyFont="1" applyBorder="1" applyAlignment="1">
      <alignment wrapText="1"/>
    </xf>
    <xf numFmtId="0" fontId="9" fillId="0" borderId="10" xfId="0" applyFont="1" applyBorder="1"/>
    <xf numFmtId="0" fontId="9" fillId="0" borderId="14" xfId="0" applyFont="1" applyFill="1" applyBorder="1" applyAlignment="1">
      <alignment horizontal="center"/>
    </xf>
    <xf numFmtId="171" fontId="9" fillId="0" borderId="20" xfId="0" applyNumberFormat="1" applyFont="1" applyBorder="1" applyProtection="1"/>
    <xf numFmtId="0" fontId="10" fillId="0" borderId="10" xfId="0" applyFont="1" applyBorder="1"/>
    <xf numFmtId="171" fontId="10" fillId="0" borderId="36" xfId="0" applyNumberFormat="1" applyFont="1" applyBorder="1"/>
    <xf numFmtId="171" fontId="10" fillId="0" borderId="20" xfId="0" applyNumberFormat="1" applyFont="1" applyBorder="1"/>
    <xf numFmtId="171" fontId="10" fillId="0" borderId="22" xfId="0" applyNumberFormat="1" applyFont="1" applyBorder="1"/>
    <xf numFmtId="171" fontId="9" fillId="24" borderId="38" xfId="0" applyNumberFormat="1" applyFont="1" applyFill="1" applyBorder="1" applyProtection="1">
      <protection locked="0"/>
    </xf>
    <xf numFmtId="171" fontId="9" fillId="24" borderId="39" xfId="0" applyNumberFormat="1" applyFont="1" applyFill="1" applyBorder="1" applyProtection="1">
      <protection locked="0"/>
    </xf>
    <xf numFmtId="171" fontId="9" fillId="0" borderId="39" xfId="0" applyNumberFormat="1" applyFont="1" applyBorder="1"/>
    <xf numFmtId="171" fontId="10" fillId="0" borderId="36" xfId="0" applyNumberFormat="1" applyFont="1" applyBorder="1" applyAlignment="1">
      <alignment vertical="top"/>
    </xf>
    <xf numFmtId="171" fontId="10" fillId="0" borderId="20" xfId="0" applyNumberFormat="1" applyFont="1" applyBorder="1" applyAlignment="1">
      <alignment vertical="top"/>
    </xf>
    <xf numFmtId="171" fontId="10" fillId="0" borderId="22" xfId="0" applyNumberFormat="1" applyFont="1" applyBorder="1" applyAlignment="1">
      <alignment vertical="top"/>
    </xf>
    <xf numFmtId="0" fontId="10" fillId="0" borderId="14" xfId="0" applyFont="1" applyBorder="1" applyAlignment="1">
      <alignment horizontal="center"/>
    </xf>
    <xf numFmtId="171" fontId="10" fillId="0" borderId="35" xfId="0" applyNumberFormat="1" applyFont="1" applyBorder="1"/>
    <xf numFmtId="171" fontId="10" fillId="0" borderId="16" xfId="0" applyNumberFormat="1" applyFont="1" applyBorder="1"/>
    <xf numFmtId="171" fontId="10" fillId="0" borderId="18" xfId="0" applyNumberFormat="1" applyFont="1" applyBorder="1"/>
    <xf numFmtId="0" fontId="9" fillId="0" borderId="37" xfId="0" applyFont="1" applyBorder="1" applyAlignment="1">
      <alignment horizontal="left" wrapText="1" indent="1"/>
    </xf>
    <xf numFmtId="0" fontId="9" fillId="0" borderId="48" xfId="0" applyFont="1" applyBorder="1" applyAlignment="1">
      <alignment horizontal="center"/>
    </xf>
    <xf numFmtId="0" fontId="10" fillId="0" borderId="54" xfId="0" applyFont="1" applyBorder="1"/>
    <xf numFmtId="0" fontId="9" fillId="0" borderId="55" xfId="0" applyFont="1" applyBorder="1" applyAlignment="1">
      <alignment horizontal="center"/>
    </xf>
    <xf numFmtId="171" fontId="10" fillId="0" borderId="56" xfId="0" applyNumberFormat="1" applyFont="1" applyBorder="1"/>
    <xf numFmtId="0" fontId="14" fillId="0" borderId="0" xfId="0" applyFont="1" applyBorder="1"/>
    <xf numFmtId="0" fontId="13" fillId="0" borderId="0" xfId="0" applyFont="1" applyFill="1" applyBorder="1"/>
    <xf numFmtId="0" fontId="13" fillId="0" borderId="0" xfId="0" applyFont="1" applyFill="1" applyBorder="1" applyAlignment="1">
      <alignment horizontal="center"/>
    </xf>
    <xf numFmtId="0" fontId="10" fillId="0" borderId="48" xfId="0" applyFont="1" applyBorder="1"/>
    <xf numFmtId="0" fontId="10" fillId="0" borderId="57" xfId="0" applyFont="1" applyBorder="1"/>
    <xf numFmtId="0" fontId="9" fillId="0" borderId="10" xfId="0" applyFont="1" applyBorder="1" applyAlignment="1">
      <alignment horizontal="left" indent="2"/>
    </xf>
    <xf numFmtId="0" fontId="10" fillId="0" borderId="10" xfId="0" applyFont="1" applyFill="1" applyBorder="1" applyAlignment="1">
      <alignment horizontal="left" indent="1"/>
    </xf>
    <xf numFmtId="0" fontId="10" fillId="0" borderId="10" xfId="0" applyFont="1" applyBorder="1" applyAlignment="1">
      <alignment horizontal="left" indent="1"/>
    </xf>
    <xf numFmtId="0" fontId="13" fillId="0" borderId="0" xfId="0" quotePrefix="1" applyFont="1" applyBorder="1" applyAlignment="1">
      <alignment horizontal="left" wrapText="1"/>
    </xf>
    <xf numFmtId="164" fontId="9" fillId="0" borderId="0" xfId="30" applyFont="1"/>
    <xf numFmtId="168" fontId="9" fillId="0" borderId="0" xfId="0" applyNumberFormat="1" applyFont="1"/>
    <xf numFmtId="0" fontId="10" fillId="0" borderId="33" xfId="0" applyFont="1" applyFill="1" applyBorder="1" applyAlignment="1">
      <alignment horizontal="centerContinuous" vertical="center" wrapText="1"/>
    </xf>
    <xf numFmtId="0" fontId="10" fillId="0" borderId="34" xfId="0" applyFont="1" applyFill="1" applyBorder="1" applyAlignment="1">
      <alignment horizontal="centerContinuous" vertical="center" wrapText="1"/>
    </xf>
    <xf numFmtId="171" fontId="9" fillId="0" borderId="20" xfId="0" applyNumberFormat="1" applyFont="1" applyFill="1" applyBorder="1"/>
    <xf numFmtId="171" fontId="9" fillId="0" borderId="36" xfId="0" applyNumberFormat="1" applyFont="1" applyFill="1" applyBorder="1" applyProtection="1">
      <protection locked="0"/>
    </xf>
    <xf numFmtId="171" fontId="9" fillId="0" borderId="20" xfId="0" applyNumberFormat="1" applyFont="1" applyFill="1" applyBorder="1" applyProtection="1">
      <protection locked="0"/>
    </xf>
    <xf numFmtId="171" fontId="9" fillId="0" borderId="22" xfId="0" applyNumberFormat="1" applyFont="1" applyFill="1" applyBorder="1" applyProtection="1">
      <protection locked="0"/>
    </xf>
    <xf numFmtId="0" fontId="9" fillId="0" borderId="23" xfId="0" applyFont="1" applyBorder="1" applyAlignment="1">
      <alignment horizontal="left" indent="1"/>
    </xf>
    <xf numFmtId="171" fontId="9" fillId="0" borderId="53" xfId="0" applyNumberFormat="1" applyFont="1" applyBorder="1"/>
    <xf numFmtId="171" fontId="9" fillId="0" borderId="25" xfId="0" applyNumberFormat="1" applyFont="1" applyBorder="1"/>
    <xf numFmtId="171" fontId="9" fillId="0" borderId="27" xfId="0" applyNumberFormat="1" applyFont="1" applyBorder="1"/>
    <xf numFmtId="171" fontId="13" fillId="0" borderId="0" xfId="0" applyNumberFormat="1" applyFont="1" applyBorder="1"/>
    <xf numFmtId="164" fontId="13" fillId="0" borderId="0" xfId="30" applyFont="1" applyBorder="1" applyAlignment="1">
      <alignment horizontal="right"/>
    </xf>
    <xf numFmtId="164" fontId="9" fillId="0" borderId="0" xfId="30" applyFont="1" applyBorder="1"/>
    <xf numFmtId="3" fontId="9" fillId="0" borderId="0" xfId="0" applyNumberFormat="1" applyFont="1" applyBorder="1"/>
    <xf numFmtId="0" fontId="8" fillId="0" borderId="0" xfId="0" applyFont="1" applyFill="1" applyBorder="1" applyAlignment="1" applyProtection="1">
      <alignment horizontal="left"/>
    </xf>
    <xf numFmtId="0" fontId="9" fillId="0" borderId="0" xfId="0" applyFont="1" applyProtection="1"/>
    <xf numFmtId="0" fontId="9" fillId="0" borderId="0" xfId="0" applyFont="1" applyAlignment="1" applyProtection="1">
      <alignment horizontal="center"/>
    </xf>
    <xf numFmtId="0" fontId="10" fillId="0" borderId="47" xfId="0" applyFont="1" applyFill="1" applyBorder="1" applyAlignment="1" applyProtection="1">
      <alignment vertical="center" wrapText="1"/>
    </xf>
    <xf numFmtId="0" fontId="10" fillId="0" borderId="34" xfId="0" applyFont="1" applyFill="1" applyBorder="1" applyAlignment="1" applyProtection="1">
      <alignment vertical="center" wrapText="1"/>
    </xf>
    <xf numFmtId="0" fontId="10" fillId="0" borderId="35"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9" fontId="10" fillId="0" borderId="16" xfId="47" applyFont="1" applyFill="1" applyBorder="1" applyAlignment="1" applyProtection="1">
      <alignment horizontal="center" vertical="center" wrapText="1"/>
    </xf>
    <xf numFmtId="9" fontId="10" fillId="0" borderId="18" xfId="47" applyFont="1" applyFill="1" applyBorder="1" applyAlignment="1" applyProtection="1">
      <alignment horizontal="center" vertical="center" wrapText="1"/>
    </xf>
    <xf numFmtId="0" fontId="9" fillId="0" borderId="36"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22" xfId="0" applyFont="1" applyFill="1" applyBorder="1" applyAlignment="1" applyProtection="1">
      <alignment horizontal="center" vertical="center" wrapText="1"/>
    </xf>
    <xf numFmtId="0" fontId="10" fillId="0" borderId="48" xfId="0" applyFont="1" applyFill="1" applyBorder="1" applyAlignment="1" applyProtection="1">
      <alignment horizontal="left" vertical="center"/>
    </xf>
    <xf numFmtId="0" fontId="9" fillId="0" borderId="48" xfId="0" applyFont="1" applyFill="1" applyBorder="1" applyAlignment="1" applyProtection="1">
      <alignment horizontal="center" vertical="center"/>
    </xf>
    <xf numFmtId="0" fontId="9" fillId="0" borderId="38" xfId="0" applyFont="1" applyFill="1" applyBorder="1" applyAlignment="1" applyProtection="1">
      <alignment horizontal="center" vertical="center"/>
    </xf>
    <xf numFmtId="0" fontId="9" fillId="0" borderId="39" xfId="0" applyFont="1" applyBorder="1" applyAlignment="1" applyProtection="1">
      <alignment horizontal="center"/>
    </xf>
    <xf numFmtId="0" fontId="9" fillId="0" borderId="39" xfId="0" applyFont="1" applyFill="1" applyBorder="1" applyAlignment="1" applyProtection="1">
      <alignment horizontal="center" vertical="center"/>
    </xf>
    <xf numFmtId="9" fontId="9" fillId="0" borderId="39" xfId="47" applyFont="1" applyFill="1" applyBorder="1" applyAlignment="1" applyProtection="1">
      <alignment horizontal="center" vertical="center"/>
    </xf>
    <xf numFmtId="9" fontId="9" fillId="0" borderId="40" xfId="47" applyFont="1" applyFill="1" applyBorder="1" applyAlignment="1" applyProtection="1">
      <alignment horizontal="center" vertical="center"/>
    </xf>
    <xf numFmtId="0" fontId="11" fillId="0" borderId="14" xfId="0" applyFont="1" applyBorder="1" applyProtection="1"/>
    <xf numFmtId="0" fontId="9" fillId="0" borderId="14" xfId="0" applyFont="1" applyFill="1" applyBorder="1" applyAlignment="1" applyProtection="1">
      <alignment horizontal="center"/>
    </xf>
    <xf numFmtId="171" fontId="9" fillId="0" borderId="36" xfId="0" applyNumberFormat="1" applyFont="1" applyBorder="1" applyProtection="1"/>
    <xf numFmtId="171" fontId="9" fillId="0" borderId="22" xfId="0" applyNumberFormat="1" applyFont="1" applyBorder="1" applyProtection="1"/>
    <xf numFmtId="0" fontId="9" fillId="0" borderId="14" xfId="0" applyFont="1" applyBorder="1" applyAlignment="1" applyProtection="1">
      <alignment horizontal="left" indent="1"/>
    </xf>
    <xf numFmtId="0" fontId="10" fillId="0" borderId="41" xfId="0" applyFont="1" applyBorder="1" applyProtection="1"/>
    <xf numFmtId="0" fontId="9" fillId="0" borderId="41" xfId="0" applyFont="1" applyBorder="1" applyAlignment="1" applyProtection="1">
      <alignment horizontal="center"/>
    </xf>
    <xf numFmtId="171" fontId="10" fillId="0" borderId="42" xfId="0" applyNumberFormat="1" applyFont="1" applyBorder="1" applyProtection="1"/>
    <xf numFmtId="171" fontId="10" fillId="0" borderId="43" xfId="0" applyNumberFormat="1" applyFont="1" applyBorder="1" applyProtection="1"/>
    <xf numFmtId="171" fontId="10" fillId="0" borderId="44" xfId="0" applyNumberFormat="1" applyFont="1" applyBorder="1" applyProtection="1"/>
    <xf numFmtId="0" fontId="9" fillId="0" borderId="14" xfId="0" applyFont="1" applyBorder="1" applyProtection="1"/>
    <xf numFmtId="0" fontId="10" fillId="0" borderId="55" xfId="0" applyFont="1" applyBorder="1" applyProtection="1"/>
    <xf numFmtId="0" fontId="9" fillId="0" borderId="55" xfId="0" applyFont="1" applyBorder="1" applyAlignment="1" applyProtection="1">
      <alignment horizontal="center"/>
    </xf>
    <xf numFmtId="171" fontId="10" fillId="0" borderId="56" xfId="0" applyNumberFormat="1" applyFont="1" applyBorder="1" applyProtection="1"/>
    <xf numFmtId="171" fontId="10" fillId="0" borderId="51" xfId="0" applyNumberFormat="1" applyFont="1" applyBorder="1" applyProtection="1"/>
    <xf numFmtId="171" fontId="10" fillId="0" borderId="52" xfId="0" applyNumberFormat="1" applyFont="1" applyBorder="1" applyProtection="1"/>
    <xf numFmtId="0" fontId="14" fillId="0" borderId="0" xfId="0" applyFont="1" applyBorder="1" applyProtection="1"/>
    <xf numFmtId="168" fontId="13" fillId="0" borderId="0" xfId="0" applyNumberFormat="1" applyFont="1" applyBorder="1" applyProtection="1"/>
    <xf numFmtId="0" fontId="9" fillId="0" borderId="0" xfId="0" applyFont="1" applyBorder="1" applyProtection="1"/>
    <xf numFmtId="0" fontId="13" fillId="0" borderId="0" xfId="0" quotePrefix="1" applyFont="1" applyFill="1" applyBorder="1" applyProtection="1"/>
    <xf numFmtId="0" fontId="15" fillId="0" borderId="0" xfId="0" applyFont="1" applyFill="1" applyBorder="1" applyProtection="1"/>
    <xf numFmtId="0" fontId="17" fillId="0" borderId="0" xfId="0" applyFont="1" applyProtection="1"/>
    <xf numFmtId="168" fontId="9" fillId="0" borderId="0" xfId="0" applyNumberFormat="1" applyFont="1" applyFill="1" applyBorder="1" applyProtection="1"/>
    <xf numFmtId="0" fontId="9" fillId="0" borderId="0" xfId="0" applyFont="1" applyFill="1" applyBorder="1" applyProtection="1"/>
    <xf numFmtId="9" fontId="9" fillId="0" borderId="0" xfId="47" applyFont="1" applyBorder="1" applyAlignment="1" applyProtection="1">
      <alignment horizontal="center"/>
    </xf>
    <xf numFmtId="0" fontId="14" fillId="0" borderId="0" xfId="0" applyFont="1" applyFill="1" applyBorder="1" applyProtection="1"/>
    <xf numFmtId="0" fontId="15" fillId="0" borderId="0" xfId="0" applyFont="1" applyBorder="1" applyProtection="1"/>
    <xf numFmtId="0" fontId="9" fillId="0" borderId="0" xfId="0" applyFont="1" applyFill="1" applyBorder="1" applyProtection="1">
      <protection locked="0"/>
    </xf>
    <xf numFmtId="168" fontId="9" fillId="24" borderId="0" xfId="0" applyNumberFormat="1" applyFont="1" applyFill="1" applyBorder="1" applyProtection="1">
      <protection locked="0"/>
    </xf>
    <xf numFmtId="0" fontId="9" fillId="24" borderId="0" xfId="0" applyFont="1" applyFill="1" applyBorder="1" applyProtection="1">
      <protection locked="0"/>
    </xf>
    <xf numFmtId="0" fontId="9" fillId="0" borderId="0" xfId="0" applyFont="1" applyBorder="1" applyAlignment="1" applyProtection="1">
      <alignment horizontal="center"/>
    </xf>
    <xf numFmtId="0" fontId="11" fillId="0" borderId="10" xfId="0" applyFont="1" applyBorder="1" applyAlignment="1">
      <alignment horizontal="left" indent="1"/>
    </xf>
    <xf numFmtId="0" fontId="11" fillId="0" borderId="10" xfId="0" applyNumberFormat="1" applyFont="1" applyFill="1" applyBorder="1" applyAlignment="1">
      <alignment horizontal="left" indent="1"/>
    </xf>
    <xf numFmtId="171" fontId="9" fillId="0" borderId="22" xfId="0" applyNumberFormat="1" applyFont="1" applyFill="1" applyBorder="1"/>
    <xf numFmtId="171" fontId="10" fillId="0" borderId="58" xfId="0" applyNumberFormat="1" applyFont="1" applyBorder="1"/>
    <xf numFmtId="171" fontId="10" fillId="0" borderId="39" xfId="0" applyNumberFormat="1" applyFont="1" applyBorder="1"/>
    <xf numFmtId="171" fontId="10" fillId="0" borderId="40" xfId="0" applyNumberFormat="1" applyFont="1" applyBorder="1"/>
    <xf numFmtId="171" fontId="10" fillId="0" borderId="59" xfId="0" applyNumberFormat="1" applyFont="1" applyBorder="1"/>
    <xf numFmtId="171" fontId="9" fillId="0" borderId="19" xfId="0" applyNumberFormat="1" applyFont="1" applyBorder="1"/>
    <xf numFmtId="0" fontId="12" fillId="0" borderId="10" xfId="0" applyNumberFormat="1" applyFont="1" applyBorder="1"/>
    <xf numFmtId="167" fontId="13" fillId="0" borderId="19" xfId="47" applyNumberFormat="1" applyFont="1" applyFill="1" applyBorder="1" applyAlignment="1">
      <alignment horizontal="center" vertical="top" wrapText="1"/>
    </xf>
    <xf numFmtId="167" fontId="13" fillId="0" borderId="20" xfId="47" applyNumberFormat="1" applyFont="1" applyFill="1" applyBorder="1" applyAlignment="1">
      <alignment horizontal="center" vertical="top" wrapText="1"/>
    </xf>
    <xf numFmtId="167" fontId="13" fillId="26" borderId="20" xfId="47" applyNumberFormat="1" applyFont="1" applyFill="1" applyBorder="1" applyAlignment="1">
      <alignment horizontal="center" vertical="top" wrapText="1"/>
    </xf>
    <xf numFmtId="167" fontId="13" fillId="0" borderId="22" xfId="47" applyNumberFormat="1" applyFont="1" applyFill="1" applyBorder="1" applyAlignment="1">
      <alignment horizontal="center" vertical="top" wrapText="1"/>
    </xf>
    <xf numFmtId="0" fontId="12" fillId="0" borderId="11" xfId="0" applyNumberFormat="1" applyFont="1" applyBorder="1"/>
    <xf numFmtId="167" fontId="13" fillId="0" borderId="24" xfId="47" applyNumberFormat="1" applyFont="1" applyFill="1" applyBorder="1" applyAlignment="1">
      <alignment horizontal="center" vertical="top" wrapText="1"/>
    </xf>
    <xf numFmtId="167" fontId="13" fillId="0" borderId="25" xfId="47" applyNumberFormat="1" applyFont="1" applyFill="1" applyBorder="1" applyAlignment="1">
      <alignment horizontal="center" vertical="top" wrapText="1"/>
    </xf>
    <xf numFmtId="167" fontId="13" fillId="26" borderId="25" xfId="47" applyNumberFormat="1" applyFont="1" applyFill="1" applyBorder="1" applyAlignment="1">
      <alignment horizontal="center" vertical="top" wrapText="1"/>
    </xf>
    <xf numFmtId="167" fontId="13" fillId="0" borderId="27" xfId="47" applyNumberFormat="1" applyFont="1" applyFill="1" applyBorder="1" applyAlignment="1">
      <alignment horizontal="center" vertical="top" wrapText="1"/>
    </xf>
    <xf numFmtId="0" fontId="9" fillId="0" borderId="0" xfId="0" applyFont="1" applyAlignment="1">
      <alignment horizontal="right"/>
    </xf>
    <xf numFmtId="171" fontId="9" fillId="0" borderId="0" xfId="0" applyNumberFormat="1" applyFont="1"/>
    <xf numFmtId="0" fontId="8" fillId="0" borderId="11" xfId="0" applyFont="1" applyFill="1" applyBorder="1" applyAlignment="1" applyProtection="1">
      <alignment horizontal="left"/>
    </xf>
    <xf numFmtId="0" fontId="19" fillId="0" borderId="0" xfId="0" applyFont="1" applyProtection="1"/>
    <xf numFmtId="0" fontId="11" fillId="0" borderId="10" xfId="0" applyNumberFormat="1" applyFont="1" applyBorder="1" applyProtection="1"/>
    <xf numFmtId="0" fontId="9" fillId="0" borderId="20" xfId="0" applyNumberFormat="1" applyFont="1" applyFill="1" applyBorder="1" applyAlignment="1" applyProtection="1">
      <alignment horizontal="center"/>
    </xf>
    <xf numFmtId="171" fontId="10" fillId="0" borderId="20" xfId="0" applyNumberFormat="1" applyFont="1" applyFill="1" applyBorder="1" applyProtection="1"/>
    <xf numFmtId="0" fontId="9" fillId="0" borderId="20" xfId="0" applyFont="1" applyBorder="1" applyProtection="1"/>
    <xf numFmtId="0" fontId="9" fillId="0" borderId="18" xfId="0" applyFont="1" applyBorder="1" applyProtection="1"/>
    <xf numFmtId="0" fontId="17" fillId="0" borderId="10" xfId="0" applyNumberFormat="1" applyFont="1" applyBorder="1" applyAlignment="1" applyProtection="1">
      <alignment horizontal="left"/>
    </xf>
    <xf numFmtId="0" fontId="9" fillId="0" borderId="22" xfId="0" applyFont="1" applyBorder="1" applyProtection="1"/>
    <xf numFmtId="0" fontId="9" fillId="0" borderId="10" xfId="0" applyNumberFormat="1" applyFont="1" applyBorder="1" applyAlignment="1" applyProtection="1">
      <alignment horizontal="left" indent="1"/>
    </xf>
    <xf numFmtId="0" fontId="9" fillId="24" borderId="20" xfId="0" applyFont="1" applyFill="1" applyBorder="1" applyProtection="1">
      <protection locked="0"/>
    </xf>
    <xf numFmtId="0" fontId="9" fillId="24" borderId="22" xfId="0" applyFont="1" applyFill="1" applyBorder="1" applyProtection="1">
      <protection locked="0"/>
    </xf>
    <xf numFmtId="171" fontId="9" fillId="0" borderId="16" xfId="0" applyNumberFormat="1" applyFont="1" applyFill="1" applyBorder="1" applyProtection="1"/>
    <xf numFmtId="171" fontId="9" fillId="0" borderId="18" xfId="0" applyNumberFormat="1" applyFont="1" applyFill="1" applyBorder="1" applyProtection="1"/>
    <xf numFmtId="171" fontId="9" fillId="0" borderId="43" xfId="0" applyNumberFormat="1" applyFont="1" applyFill="1" applyBorder="1" applyProtection="1"/>
    <xf numFmtId="171" fontId="9" fillId="0" borderId="44" xfId="0" applyNumberFormat="1" applyFont="1" applyFill="1" applyBorder="1" applyProtection="1"/>
    <xf numFmtId="0" fontId="10" fillId="0" borderId="10" xfId="0" applyNumberFormat="1" applyFont="1" applyBorder="1" applyAlignment="1" applyProtection="1">
      <alignment horizontal="left"/>
    </xf>
    <xf numFmtId="171" fontId="10" fillId="0" borderId="16" xfId="0" applyNumberFormat="1" applyFont="1" applyFill="1" applyBorder="1" applyProtection="1"/>
    <xf numFmtId="171" fontId="10" fillId="0" borderId="18" xfId="0" applyNumberFormat="1" applyFont="1" applyFill="1" applyBorder="1" applyProtection="1"/>
    <xf numFmtId="171" fontId="9" fillId="0" borderId="39" xfId="0" applyNumberFormat="1" applyFont="1" applyFill="1" applyBorder="1" applyProtection="1"/>
    <xf numFmtId="0" fontId="9" fillId="0" borderId="37" xfId="0" applyNumberFormat="1" applyFont="1" applyBorder="1" applyProtection="1"/>
    <xf numFmtId="0" fontId="9" fillId="0" borderId="39" xfId="0" applyNumberFormat="1" applyFont="1" applyFill="1" applyBorder="1" applyAlignment="1" applyProtection="1">
      <alignment horizontal="center"/>
    </xf>
    <xf numFmtId="171" fontId="9" fillId="0" borderId="40" xfId="0" applyNumberFormat="1" applyFont="1" applyFill="1" applyBorder="1" applyProtection="1"/>
    <xf numFmtId="0" fontId="9" fillId="0" borderId="58" xfId="0" applyNumberFormat="1" applyFont="1" applyBorder="1" applyAlignment="1" applyProtection="1">
      <alignment horizontal="left" indent="1"/>
    </xf>
    <xf numFmtId="0" fontId="9" fillId="0" borderId="10" xfId="0" applyNumberFormat="1" applyFont="1" applyBorder="1" applyProtection="1"/>
    <xf numFmtId="0" fontId="10" fillId="0" borderId="10" xfId="0" applyNumberFormat="1" applyFont="1" applyBorder="1" applyProtection="1"/>
    <xf numFmtId="0" fontId="9" fillId="0" borderId="58" xfId="0" applyNumberFormat="1" applyFont="1" applyBorder="1" applyProtection="1"/>
    <xf numFmtId="0" fontId="9" fillId="0" borderId="16" xfId="0" applyNumberFormat="1" applyFont="1" applyFill="1" applyBorder="1" applyAlignment="1" applyProtection="1">
      <alignment horizontal="center"/>
    </xf>
    <xf numFmtId="0" fontId="9" fillId="0" borderId="37" xfId="0" applyNumberFormat="1" applyFont="1" applyBorder="1" applyAlignment="1" applyProtection="1">
      <alignment horizontal="left" indent="1"/>
    </xf>
    <xf numFmtId="0" fontId="9" fillId="0" borderId="25" xfId="0" applyNumberFormat="1" applyFont="1" applyFill="1" applyBorder="1" applyAlignment="1" applyProtection="1">
      <alignment horizontal="center"/>
    </xf>
    <xf numFmtId="171" fontId="10" fillId="0" borderId="51" xfId="0" applyNumberFormat="1" applyFont="1" applyFill="1" applyBorder="1" applyProtection="1"/>
    <xf numFmtId="0" fontId="14" fillId="0" borderId="0" xfId="0" applyFont="1" applyProtection="1"/>
    <xf numFmtId="0" fontId="13" fillId="0" borderId="0" xfId="0" applyFont="1" applyProtection="1"/>
    <xf numFmtId="0" fontId="13" fillId="0" borderId="0" xfId="0" quotePrefix="1" applyFont="1" applyFill="1" applyBorder="1"/>
    <xf numFmtId="0" fontId="13" fillId="0" borderId="0" xfId="0" applyFont="1"/>
    <xf numFmtId="0" fontId="9" fillId="0" borderId="20" xfId="0" applyFont="1" applyBorder="1" applyAlignment="1">
      <alignment horizontal="center"/>
    </xf>
    <xf numFmtId="0" fontId="11" fillId="0" borderId="10" xfId="0" applyFont="1" applyFill="1" applyBorder="1" applyAlignment="1">
      <alignment horizontal="left"/>
    </xf>
    <xf numFmtId="0" fontId="10" fillId="0" borderId="37" xfId="0" applyFont="1" applyBorder="1" applyAlignment="1">
      <alignment horizontal="left" indent="1"/>
    </xf>
    <xf numFmtId="0" fontId="12" fillId="0" borderId="10" xfId="0" applyFont="1" applyBorder="1" applyAlignment="1">
      <alignment horizontal="right" indent="1"/>
    </xf>
    <xf numFmtId="0" fontId="15" fillId="0" borderId="10" xfId="0" applyFont="1" applyBorder="1" applyAlignment="1">
      <alignment horizontal="left" indent="1"/>
    </xf>
    <xf numFmtId="0" fontId="13" fillId="24" borderId="10" xfId="0" applyFont="1" applyFill="1" applyBorder="1" applyAlignment="1" applyProtection="1">
      <alignment horizontal="left" indent="1"/>
      <protection locked="0"/>
    </xf>
    <xf numFmtId="0" fontId="15" fillId="0" borderId="20" xfId="0" applyFont="1" applyBorder="1" applyAlignment="1">
      <alignment horizontal="center"/>
    </xf>
    <xf numFmtId="0" fontId="10" fillId="0" borderId="23" xfId="0" applyFont="1" applyBorder="1"/>
    <xf numFmtId="0" fontId="10" fillId="0" borderId="10" xfId="0" applyFont="1" applyFill="1" applyBorder="1" applyAlignment="1">
      <alignment horizontal="left" vertical="center"/>
    </xf>
    <xf numFmtId="0" fontId="9" fillId="0" borderId="14"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20" xfId="0" applyFont="1" applyFill="1" applyBorder="1" applyAlignment="1">
      <alignment horizontal="center" vertical="center"/>
    </xf>
    <xf numFmtId="9" fontId="9" fillId="0" borderId="20" xfId="47" applyFont="1" applyFill="1" applyBorder="1" applyAlignment="1">
      <alignment horizontal="center" vertical="center"/>
    </xf>
    <xf numFmtId="9" fontId="9" fillId="0" borderId="22" xfId="47" applyFont="1" applyFill="1" applyBorder="1" applyAlignment="1">
      <alignment horizontal="center" vertical="center"/>
    </xf>
    <xf numFmtId="171" fontId="10" fillId="0" borderId="15" xfId="0" applyNumberFormat="1" applyFont="1" applyBorder="1"/>
    <xf numFmtId="0" fontId="10" fillId="0" borderId="37" xfId="0" applyFont="1" applyBorder="1"/>
    <xf numFmtId="0" fontId="13" fillId="0" borderId="10" xfId="0" applyFont="1" applyBorder="1" applyAlignment="1">
      <alignment horizontal="left" indent="1"/>
    </xf>
    <xf numFmtId="0" fontId="10" fillId="0" borderId="46" xfId="0" applyFont="1" applyFill="1" applyBorder="1"/>
    <xf numFmtId="0" fontId="9" fillId="0" borderId="46" xfId="0" applyFont="1" applyFill="1" applyBorder="1" applyAlignment="1">
      <alignment horizontal="center"/>
    </xf>
    <xf numFmtId="171" fontId="9" fillId="0" borderId="46" xfId="0" applyNumberFormat="1" applyFont="1" applyBorder="1"/>
    <xf numFmtId="171" fontId="9" fillId="24" borderId="24" xfId="0" applyNumberFormat="1" applyFont="1" applyFill="1" applyBorder="1" applyProtection="1">
      <protection locked="0"/>
    </xf>
    <xf numFmtId="171" fontId="9" fillId="24" borderId="25" xfId="0" applyNumberFormat="1" applyFont="1" applyFill="1" applyBorder="1" applyProtection="1">
      <protection locked="0"/>
    </xf>
    <xf numFmtId="171" fontId="9" fillId="24" borderId="27" xfId="0" applyNumberFormat="1" applyFont="1" applyFill="1" applyBorder="1" applyProtection="1">
      <protection locked="0"/>
    </xf>
    <xf numFmtId="0" fontId="13" fillId="0" borderId="0" xfId="0" applyFont="1" applyAlignment="1">
      <alignment horizontal="right"/>
    </xf>
    <xf numFmtId="164" fontId="9" fillId="0" borderId="0" xfId="30" applyFont="1" applyFill="1" applyBorder="1"/>
    <xf numFmtId="0" fontId="10"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wrapText="1"/>
      <protection locked="0"/>
    </xf>
    <xf numFmtId="171" fontId="9" fillId="24" borderId="53" xfId="0" applyNumberFormat="1" applyFont="1" applyFill="1" applyBorder="1" applyProtection="1">
      <protection locked="0"/>
    </xf>
    <xf numFmtId="166" fontId="13" fillId="0" borderId="0" xfId="30" applyNumberFormat="1" applyFont="1" applyFill="1" applyBorder="1" applyAlignment="1">
      <alignment vertical="top" wrapText="1"/>
    </xf>
    <xf numFmtId="0" fontId="10" fillId="0" borderId="60"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1" fillId="0" borderId="10" xfId="0" applyFont="1" applyBorder="1" applyAlignment="1">
      <alignment horizontal="left" wrapText="1"/>
    </xf>
    <xf numFmtId="0" fontId="9" fillId="0" borderId="14" xfId="0" applyFont="1" applyBorder="1" applyAlignment="1">
      <alignment horizontal="left" vertical="top" wrapText="1"/>
    </xf>
    <xf numFmtId="167" fontId="13" fillId="0" borderId="21" xfId="47" applyNumberFormat="1" applyFont="1" applyFill="1" applyBorder="1" applyAlignment="1">
      <alignment horizontal="center" vertical="top" wrapText="1"/>
    </xf>
    <xf numFmtId="0" fontId="9" fillId="0" borderId="10" xfId="0" applyFont="1" applyBorder="1" applyAlignment="1">
      <alignment horizontal="left" vertical="top" wrapText="1" indent="1"/>
    </xf>
    <xf numFmtId="167" fontId="9" fillId="24" borderId="20" xfId="47" applyNumberFormat="1" applyFont="1" applyFill="1" applyBorder="1" applyAlignment="1" applyProtection="1">
      <alignment horizontal="center" vertical="top" wrapText="1"/>
      <protection locked="0"/>
    </xf>
    <xf numFmtId="167" fontId="9" fillId="0" borderId="20" xfId="47" applyNumberFormat="1" applyFont="1" applyFill="1" applyBorder="1" applyAlignment="1">
      <alignment horizontal="center" vertical="top" wrapText="1"/>
    </xf>
    <xf numFmtId="167" fontId="9" fillId="0" borderId="21" xfId="47" applyNumberFormat="1" applyFont="1" applyFill="1" applyBorder="1" applyAlignment="1">
      <alignment horizontal="center" vertical="top" wrapText="1"/>
    </xf>
    <xf numFmtId="167" fontId="9" fillId="0" borderId="22" xfId="47" applyNumberFormat="1" applyFont="1" applyFill="1" applyBorder="1" applyAlignment="1">
      <alignment horizontal="center" vertical="top" wrapText="1"/>
    </xf>
    <xf numFmtId="167" fontId="9" fillId="24" borderId="19" xfId="47" applyNumberFormat="1" applyFont="1" applyFill="1" applyBorder="1" applyAlignment="1" applyProtection="1">
      <alignment horizontal="center" vertical="top" wrapText="1"/>
      <protection locked="0"/>
    </xf>
    <xf numFmtId="167" fontId="9" fillId="26" borderId="21" xfId="47" applyNumberFormat="1" applyFont="1" applyFill="1" applyBorder="1" applyAlignment="1">
      <alignment horizontal="center" vertical="top" wrapText="1"/>
    </xf>
    <xf numFmtId="167" fontId="9" fillId="26" borderId="22" xfId="47" applyNumberFormat="1" applyFont="1" applyFill="1" applyBorder="1" applyAlignment="1">
      <alignment horizontal="center" vertical="top" wrapText="1"/>
    </xf>
    <xf numFmtId="167" fontId="9" fillId="24" borderId="21" xfId="47" applyNumberFormat="1" applyFont="1" applyFill="1" applyBorder="1" applyAlignment="1" applyProtection="1">
      <alignment horizontal="center" vertical="top" wrapText="1"/>
      <protection locked="0"/>
    </xf>
    <xf numFmtId="167" fontId="9" fillId="24" borderId="22" xfId="47" applyNumberFormat="1" applyFont="1" applyFill="1" applyBorder="1" applyAlignment="1" applyProtection="1">
      <alignment horizontal="center" vertical="top" wrapText="1"/>
      <protection locked="0"/>
    </xf>
    <xf numFmtId="167" fontId="9" fillId="24" borderId="36" xfId="47" applyNumberFormat="1" applyFont="1" applyFill="1" applyBorder="1" applyAlignment="1" applyProtection="1">
      <alignment horizontal="center" vertical="top" wrapText="1"/>
      <protection locked="0"/>
    </xf>
    <xf numFmtId="0" fontId="15" fillId="0" borderId="0" xfId="0" applyFont="1" applyFill="1" applyBorder="1"/>
    <xf numFmtId="0" fontId="9" fillId="0" borderId="0" xfId="0" applyFont="1" applyFill="1" applyBorder="1"/>
    <xf numFmtId="167" fontId="9" fillId="0" borderId="0" xfId="0" applyNumberFormat="1" applyFont="1" applyFill="1" applyAlignment="1">
      <alignment horizontal="center"/>
    </xf>
    <xf numFmtId="171" fontId="9" fillId="0" borderId="0" xfId="0" applyNumberFormat="1" applyFont="1" applyFill="1" applyBorder="1"/>
    <xf numFmtId="167" fontId="9" fillId="0" borderId="0" xfId="47" applyNumberFormat="1" applyFont="1" applyFill="1" applyBorder="1" applyAlignment="1">
      <alignment horizontal="center" vertical="top" wrapText="1"/>
    </xf>
    <xf numFmtId="168" fontId="9" fillId="0" borderId="0" xfId="30" applyNumberFormat="1" applyFont="1" applyFill="1" applyBorder="1"/>
    <xf numFmtId="168" fontId="9" fillId="0" borderId="0" xfId="30" applyNumberFormat="1" applyFont="1" applyBorder="1"/>
    <xf numFmtId="0" fontId="11" fillId="0" borderId="28" xfId="0" applyNumberFormat="1" applyFont="1" applyBorder="1" applyAlignment="1" applyProtection="1">
      <alignment horizontal="left" wrapText="1"/>
    </xf>
    <xf numFmtId="0" fontId="9" fillId="0" borderId="29" xfId="0" applyFont="1" applyBorder="1" applyAlignment="1" applyProtection="1">
      <alignment horizontal="left" vertical="top" wrapText="1"/>
    </xf>
    <xf numFmtId="0" fontId="9" fillId="0" borderId="30" xfId="0" applyFont="1" applyBorder="1" applyAlignment="1" applyProtection="1">
      <alignment horizontal="left" vertical="top" wrapText="1"/>
    </xf>
    <xf numFmtId="0" fontId="9" fillId="0" borderId="30" xfId="0" applyFont="1" applyBorder="1" applyAlignment="1" applyProtection="1">
      <alignment horizontal="center" vertical="top" wrapText="1"/>
    </xf>
    <xf numFmtId="0" fontId="9" fillId="0" borderId="32" xfId="0" applyFont="1" applyBorder="1" applyAlignment="1" applyProtection="1">
      <alignment horizontal="center" vertical="top" wrapText="1"/>
    </xf>
    <xf numFmtId="0" fontId="9" fillId="0" borderId="10" xfId="0" applyNumberFormat="1" applyFont="1" applyFill="1" applyBorder="1" applyAlignment="1" applyProtection="1">
      <alignment horizontal="left" wrapText="1" indent="1"/>
    </xf>
    <xf numFmtId="0" fontId="9" fillId="0" borderId="10" xfId="0" applyNumberFormat="1" applyFont="1" applyFill="1" applyBorder="1" applyAlignment="1" applyProtection="1">
      <alignment horizontal="left" vertical="top" wrapText="1" indent="1"/>
    </xf>
    <xf numFmtId="0" fontId="9" fillId="0" borderId="37" xfId="0" applyNumberFormat="1" applyFont="1" applyFill="1" applyBorder="1" applyAlignment="1" applyProtection="1">
      <alignment horizontal="left" vertical="top" wrapText="1" indent="1"/>
    </xf>
    <xf numFmtId="165" fontId="9" fillId="0" borderId="19" xfId="30" applyNumberFormat="1" applyFont="1" applyFill="1" applyBorder="1" applyAlignment="1" applyProtection="1">
      <alignment horizontal="left" vertical="top" wrapText="1"/>
    </xf>
    <xf numFmtId="165" fontId="9" fillId="0" borderId="20" xfId="30" applyNumberFormat="1" applyFont="1" applyFill="1" applyBorder="1" applyAlignment="1" applyProtection="1">
      <alignment horizontal="left" vertical="top" wrapText="1"/>
    </xf>
    <xf numFmtId="0" fontId="9" fillId="0" borderId="20" xfId="0" applyFont="1" applyFill="1" applyBorder="1" applyAlignment="1" applyProtection="1">
      <alignment horizontal="center" vertical="top" wrapText="1"/>
    </xf>
    <xf numFmtId="0" fontId="9" fillId="0" borderId="21" xfId="0" applyFont="1" applyFill="1" applyBorder="1" applyAlignment="1" applyProtection="1">
      <alignment horizontal="center" vertical="top" wrapText="1"/>
    </xf>
    <xf numFmtId="0" fontId="9" fillId="0" borderId="19" xfId="0" applyFont="1" applyFill="1" applyBorder="1" applyAlignment="1" applyProtection="1">
      <alignment horizontal="center" vertical="top" wrapText="1"/>
    </xf>
    <xf numFmtId="0" fontId="9" fillId="0" borderId="22" xfId="0" applyFont="1" applyFill="1" applyBorder="1" applyAlignment="1" applyProtection="1">
      <alignment horizontal="center" vertical="top" wrapText="1"/>
    </xf>
    <xf numFmtId="0" fontId="11" fillId="0" borderId="10" xfId="0" applyNumberFormat="1" applyFont="1" applyFill="1" applyBorder="1" applyAlignment="1" applyProtection="1">
      <alignment horizontal="left" wrapText="1"/>
    </xf>
    <xf numFmtId="172" fontId="9" fillId="24" borderId="19" xfId="30" applyNumberFormat="1" applyFont="1" applyFill="1" applyBorder="1" applyAlignment="1" applyProtection="1">
      <alignment horizontal="left" vertical="top" wrapText="1"/>
      <protection locked="0"/>
    </xf>
    <xf numFmtId="172" fontId="9" fillId="24" borderId="20" xfId="30" applyNumberFormat="1" applyFont="1" applyFill="1" applyBorder="1" applyAlignment="1" applyProtection="1">
      <alignment horizontal="left" vertical="top" wrapText="1"/>
      <protection locked="0"/>
    </xf>
    <xf numFmtId="172" fontId="9" fillId="24" borderId="20" xfId="47" applyNumberFormat="1" applyFont="1" applyFill="1" applyBorder="1" applyAlignment="1" applyProtection="1">
      <alignment horizontal="center" vertical="top" wrapText="1"/>
      <protection locked="0"/>
    </xf>
    <xf numFmtId="172" fontId="9" fillId="24" borderId="21" xfId="47" applyNumberFormat="1" applyFont="1" applyFill="1" applyBorder="1" applyAlignment="1" applyProtection="1">
      <alignment horizontal="center" vertical="top" wrapText="1"/>
      <protection locked="0"/>
    </xf>
    <xf numFmtId="172" fontId="9" fillId="24" borderId="19" xfId="47" applyNumberFormat="1" applyFont="1" applyFill="1" applyBorder="1" applyAlignment="1" applyProtection="1">
      <alignment horizontal="center" vertical="top" wrapText="1"/>
      <protection locked="0"/>
    </xf>
    <xf numFmtId="172" fontId="9" fillId="24" borderId="22" xfId="47" applyNumberFormat="1" applyFont="1" applyFill="1" applyBorder="1" applyAlignment="1" applyProtection="1">
      <alignment horizontal="center" vertical="top" wrapText="1"/>
      <protection locked="0"/>
    </xf>
    <xf numFmtId="172" fontId="9" fillId="0" borderId="19" xfId="30" applyNumberFormat="1" applyFont="1" applyFill="1" applyBorder="1" applyAlignment="1" applyProtection="1">
      <alignment horizontal="left" vertical="top" wrapText="1"/>
    </xf>
    <xf numFmtId="172" fontId="9" fillId="0" borderId="20" xfId="30" applyNumberFormat="1" applyFont="1" applyFill="1" applyBorder="1" applyAlignment="1" applyProtection="1">
      <alignment horizontal="left" vertical="top" wrapText="1"/>
    </xf>
    <xf numFmtId="172" fontId="9" fillId="0" borderId="20" xfId="0" applyNumberFormat="1" applyFont="1" applyFill="1" applyBorder="1" applyAlignment="1" applyProtection="1">
      <alignment horizontal="center" vertical="top" wrapText="1"/>
    </xf>
    <xf numFmtId="172" fontId="9" fillId="0" borderId="21" xfId="0" applyNumberFormat="1" applyFont="1" applyFill="1" applyBorder="1" applyAlignment="1" applyProtection="1">
      <alignment horizontal="center" vertical="top" wrapText="1"/>
    </xf>
    <xf numFmtId="172" fontId="9" fillId="0" borderId="19" xfId="0" applyNumberFormat="1" applyFont="1" applyFill="1" applyBorder="1" applyAlignment="1" applyProtection="1">
      <alignment horizontal="center" vertical="top" wrapText="1"/>
    </xf>
    <xf numFmtId="172" fontId="9" fillId="0" borderId="22" xfId="0" applyNumberFormat="1" applyFont="1" applyFill="1" applyBorder="1" applyAlignment="1" applyProtection="1">
      <alignment horizontal="center" vertical="top" wrapText="1"/>
    </xf>
    <xf numFmtId="165" fontId="9" fillId="24" borderId="19" xfId="30" applyNumberFormat="1" applyFont="1" applyFill="1" applyBorder="1" applyAlignment="1" applyProtection="1">
      <alignment horizontal="left" vertical="top" wrapText="1"/>
      <protection locked="0"/>
    </xf>
    <xf numFmtId="165" fontId="9" fillId="24" borderId="20" xfId="30" applyNumberFormat="1" applyFont="1" applyFill="1" applyBorder="1" applyAlignment="1" applyProtection="1">
      <alignment horizontal="left" vertical="top" wrapText="1"/>
      <protection locked="0"/>
    </xf>
    <xf numFmtId="2" fontId="9" fillId="24" borderId="20" xfId="30" applyNumberFormat="1" applyFont="1" applyFill="1" applyBorder="1" applyAlignment="1" applyProtection="1">
      <alignment horizontal="center" vertical="top" wrapText="1"/>
      <protection locked="0"/>
    </xf>
    <xf numFmtId="2" fontId="9" fillId="24" borderId="22" xfId="30" applyNumberFormat="1" applyFont="1" applyFill="1" applyBorder="1" applyAlignment="1" applyProtection="1">
      <alignment horizontal="center" vertical="top" wrapText="1"/>
      <protection locked="0"/>
    </xf>
    <xf numFmtId="165" fontId="9" fillId="0" borderId="58" xfId="30" applyNumberFormat="1" applyFont="1" applyFill="1" applyBorder="1" applyAlignment="1" applyProtection="1">
      <alignment horizontal="left" vertical="top" wrapText="1"/>
    </xf>
    <xf numFmtId="165" fontId="9" fillId="0" borderId="39" xfId="30" applyNumberFormat="1" applyFont="1" applyFill="1" applyBorder="1" applyAlignment="1" applyProtection="1">
      <alignment horizontal="left" vertical="top" wrapText="1"/>
    </xf>
    <xf numFmtId="2" fontId="9" fillId="0" borderId="39" xfId="30" applyNumberFormat="1" applyFont="1" applyFill="1" applyBorder="1" applyAlignment="1" applyProtection="1">
      <alignment horizontal="center" vertical="top" wrapText="1"/>
    </xf>
    <xf numFmtId="2" fontId="9" fillId="0" borderId="62" xfId="30" applyNumberFormat="1" applyFont="1" applyFill="1" applyBorder="1" applyAlignment="1" applyProtection="1">
      <alignment horizontal="center" vertical="top" wrapText="1"/>
    </xf>
    <xf numFmtId="2" fontId="9" fillId="0" borderId="58" xfId="30" applyNumberFormat="1" applyFont="1" applyFill="1" applyBorder="1" applyAlignment="1" applyProtection="1">
      <alignment horizontal="center" vertical="top" wrapText="1"/>
    </xf>
    <xf numFmtId="2" fontId="9" fillId="0" borderId="40" xfId="30" applyNumberFormat="1" applyFont="1" applyFill="1" applyBorder="1" applyAlignment="1" applyProtection="1">
      <alignment horizontal="center" vertical="top" wrapText="1"/>
    </xf>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5" fontId="9" fillId="24" borderId="58" xfId="30" applyNumberFormat="1" applyFont="1" applyFill="1" applyBorder="1" applyAlignment="1" applyProtection="1">
      <alignment horizontal="left" vertical="top" wrapText="1"/>
      <protection locked="0"/>
    </xf>
    <xf numFmtId="165" fontId="9" fillId="24" borderId="39" xfId="30" applyNumberFormat="1" applyFont="1" applyFill="1" applyBorder="1" applyAlignment="1" applyProtection="1">
      <alignment horizontal="left" vertical="top" wrapText="1"/>
      <protection locked="0"/>
    </xf>
    <xf numFmtId="165" fontId="9" fillId="24" borderId="39" xfId="30" applyNumberFormat="1" applyFont="1" applyFill="1" applyBorder="1" applyProtection="1">
      <protection locked="0"/>
    </xf>
    <xf numFmtId="165" fontId="9" fillId="24" borderId="62" xfId="30" applyNumberFormat="1" applyFont="1" applyFill="1" applyBorder="1" applyProtection="1">
      <protection locked="0"/>
    </xf>
    <xf numFmtId="165" fontId="9" fillId="24" borderId="58" xfId="30" applyNumberFormat="1" applyFont="1" applyFill="1" applyBorder="1" applyProtection="1">
      <protection locked="0"/>
    </xf>
    <xf numFmtId="165" fontId="9" fillId="24" borderId="40" xfId="30" applyNumberFormat="1" applyFont="1" applyFill="1" applyBorder="1" applyProtection="1">
      <protection locked="0"/>
    </xf>
    <xf numFmtId="165" fontId="9" fillId="24" borderId="20" xfId="30" applyNumberFormat="1" applyFont="1" applyFill="1" applyBorder="1" applyAlignment="1" applyProtection="1">
      <alignment horizontal="center" vertical="top" wrapText="1"/>
      <protection locked="0"/>
    </xf>
    <xf numFmtId="165" fontId="9" fillId="24" borderId="21" xfId="30" applyNumberFormat="1" applyFont="1" applyFill="1" applyBorder="1" applyAlignment="1" applyProtection="1">
      <alignment horizontal="center" vertical="top" wrapText="1"/>
      <protection locked="0"/>
    </xf>
    <xf numFmtId="165" fontId="9" fillId="24" borderId="19" xfId="30" applyNumberFormat="1" applyFont="1" applyFill="1" applyBorder="1" applyAlignment="1" applyProtection="1">
      <alignment horizontal="center" vertical="top" wrapText="1"/>
      <protection locked="0"/>
    </xf>
    <xf numFmtId="165" fontId="9" fillId="24" borderId="22" xfId="30" applyNumberFormat="1" applyFont="1" applyFill="1" applyBorder="1" applyAlignment="1" applyProtection="1">
      <alignment horizontal="center" vertical="top" wrapText="1"/>
      <protection locked="0"/>
    </xf>
    <xf numFmtId="165" fontId="9" fillId="24" borderId="39" xfId="30" applyNumberFormat="1" applyFont="1" applyFill="1" applyBorder="1" applyAlignment="1" applyProtection="1">
      <alignment horizontal="center" vertical="top" wrapText="1"/>
      <protection locked="0"/>
    </xf>
    <xf numFmtId="165" fontId="9" fillId="24" borderId="62" xfId="30" applyNumberFormat="1" applyFont="1" applyFill="1" applyBorder="1" applyAlignment="1" applyProtection="1">
      <alignment horizontal="center" vertical="top" wrapText="1"/>
      <protection locked="0"/>
    </xf>
    <xf numFmtId="165" fontId="9" fillId="24" borderId="58" xfId="30" applyNumberFormat="1" applyFont="1" applyFill="1" applyBorder="1" applyAlignment="1" applyProtection="1">
      <alignment horizontal="center" vertical="top" wrapText="1"/>
      <protection locked="0"/>
    </xf>
    <xf numFmtId="165" fontId="9" fillId="24" borderId="40" xfId="30" applyNumberFormat="1" applyFont="1" applyFill="1" applyBorder="1" applyAlignment="1" applyProtection="1">
      <alignment horizontal="center" vertical="top" wrapText="1"/>
      <protection locked="0"/>
    </xf>
    <xf numFmtId="0" fontId="10" fillId="0" borderId="10" xfId="0" applyNumberFormat="1" applyFont="1" applyFill="1" applyBorder="1" applyAlignment="1" applyProtection="1">
      <alignment horizontal="left" vertical="top" wrapText="1" indent="1"/>
    </xf>
    <xf numFmtId="165" fontId="9" fillId="0" borderId="20" xfId="30" applyNumberFormat="1" applyFont="1" applyFill="1" applyBorder="1" applyAlignment="1" applyProtection="1">
      <alignment horizontal="center" vertical="top" wrapText="1"/>
    </xf>
    <xf numFmtId="165" fontId="9" fillId="0" borderId="21" xfId="30" applyNumberFormat="1" applyFont="1" applyFill="1" applyBorder="1" applyAlignment="1" applyProtection="1">
      <alignment horizontal="center" vertical="top" wrapText="1"/>
    </xf>
    <xf numFmtId="165" fontId="9" fillId="0" borderId="19" xfId="30" applyNumberFormat="1" applyFont="1" applyFill="1" applyBorder="1" applyAlignment="1" applyProtection="1">
      <alignment horizontal="center" vertical="top" wrapText="1"/>
    </xf>
    <xf numFmtId="165" fontId="9" fillId="0" borderId="22" xfId="30" applyNumberFormat="1" applyFont="1" applyFill="1" applyBorder="1" applyAlignment="1" applyProtection="1">
      <alignment horizontal="center" vertical="top" wrapText="1"/>
    </xf>
    <xf numFmtId="0" fontId="10" fillId="0" borderId="37" xfId="0" applyNumberFormat="1" applyFont="1" applyFill="1" applyBorder="1" applyAlignment="1" applyProtection="1">
      <alignment horizontal="left" vertical="top" wrapText="1" indent="1"/>
    </xf>
    <xf numFmtId="165" fontId="9" fillId="0" borderId="63" xfId="30" applyNumberFormat="1" applyFont="1" applyFill="1" applyBorder="1" applyAlignment="1" applyProtection="1">
      <alignment horizontal="left" vertical="top" wrapText="1"/>
    </xf>
    <xf numFmtId="165" fontId="9" fillId="0" borderId="43" xfId="30" applyNumberFormat="1" applyFont="1" applyFill="1" applyBorder="1" applyAlignment="1" applyProtection="1">
      <alignment horizontal="left" vertical="top" wrapText="1"/>
    </xf>
    <xf numFmtId="165" fontId="9" fillId="0" borderId="43" xfId="30" applyNumberFormat="1" applyFont="1" applyFill="1" applyBorder="1" applyAlignment="1" applyProtection="1">
      <alignment horizontal="center" vertical="top" wrapText="1"/>
    </xf>
    <xf numFmtId="165" fontId="9" fillId="0" borderId="61" xfId="30" applyNumberFormat="1" applyFont="1" applyFill="1" applyBorder="1" applyAlignment="1" applyProtection="1">
      <alignment horizontal="center" vertical="top" wrapText="1"/>
    </xf>
    <xf numFmtId="165" fontId="9" fillId="0" borderId="63" xfId="30" applyNumberFormat="1" applyFont="1" applyFill="1" applyBorder="1" applyAlignment="1" applyProtection="1">
      <alignment horizontal="center" vertical="top" wrapText="1"/>
    </xf>
    <xf numFmtId="165" fontId="9" fillId="0" borderId="44" xfId="30" applyNumberFormat="1" applyFont="1" applyFill="1" applyBorder="1" applyAlignment="1" applyProtection="1">
      <alignment horizontal="center" vertical="top" wrapText="1"/>
    </xf>
    <xf numFmtId="0" fontId="9" fillId="0" borderId="10" xfId="0" applyNumberFormat="1" applyFont="1" applyBorder="1" applyAlignment="1" applyProtection="1">
      <alignment horizontal="left" vertical="top" wrapText="1" indent="1"/>
    </xf>
    <xf numFmtId="2" fontId="9" fillId="0" borderId="20" xfId="30" applyNumberFormat="1" applyFont="1" applyBorder="1" applyAlignment="1" applyProtection="1">
      <alignment horizontal="center" vertical="top" wrapText="1"/>
    </xf>
    <xf numFmtId="2" fontId="9" fillId="0" borderId="21" xfId="30" applyNumberFormat="1" applyFont="1" applyBorder="1" applyAlignment="1" applyProtection="1">
      <alignment horizontal="center" vertical="top" wrapText="1"/>
    </xf>
    <xf numFmtId="2" fontId="9" fillId="0" borderId="19" xfId="30" applyNumberFormat="1" applyFont="1" applyBorder="1" applyAlignment="1" applyProtection="1">
      <alignment horizontal="center" vertical="top" wrapText="1"/>
    </xf>
    <xf numFmtId="2" fontId="9" fillId="0" borderId="22" xfId="30" applyNumberFormat="1" applyFont="1" applyBorder="1" applyAlignment="1" applyProtection="1">
      <alignment horizontal="center" vertical="top" wrapText="1"/>
    </xf>
    <xf numFmtId="0" fontId="11" fillId="0" borderId="10" xfId="0" applyNumberFormat="1" applyFont="1" applyBorder="1" applyAlignment="1" applyProtection="1">
      <alignment horizontal="left" vertical="top" wrapText="1"/>
    </xf>
    <xf numFmtId="165" fontId="9" fillId="0" borderId="19" xfId="30" applyNumberFormat="1" applyFont="1" applyBorder="1" applyAlignment="1" applyProtection="1">
      <alignment horizontal="left" vertical="top" wrapText="1"/>
    </xf>
    <xf numFmtId="165" fontId="9" fillId="0" borderId="20" xfId="30" applyNumberFormat="1" applyFont="1" applyBorder="1" applyAlignment="1" applyProtection="1">
      <alignment horizontal="left" vertical="top" wrapText="1"/>
    </xf>
    <xf numFmtId="167" fontId="9" fillId="0" borderId="20" xfId="0" applyNumberFormat="1" applyFont="1" applyFill="1" applyBorder="1" applyAlignment="1" applyProtection="1">
      <alignment horizontal="center" vertical="top" wrapText="1"/>
    </xf>
    <xf numFmtId="167" fontId="9" fillId="0" borderId="21" xfId="0" applyNumberFormat="1" applyFont="1" applyBorder="1" applyAlignment="1" applyProtection="1">
      <alignment horizontal="center" vertical="top" wrapText="1"/>
    </xf>
    <xf numFmtId="9" fontId="9" fillId="0" borderId="19" xfId="0" applyNumberFormat="1" applyFont="1" applyFill="1" applyBorder="1" applyAlignment="1" applyProtection="1">
      <alignment horizontal="center" vertical="top" wrapText="1"/>
    </xf>
    <xf numFmtId="9" fontId="9" fillId="0" borderId="20" xfId="0" applyNumberFormat="1" applyFont="1" applyFill="1" applyBorder="1" applyAlignment="1" applyProtection="1">
      <alignment horizontal="center" vertical="top" wrapText="1"/>
    </xf>
    <xf numFmtId="9" fontId="9" fillId="0" borderId="22" xfId="0" applyNumberFormat="1" applyFont="1" applyFill="1" applyBorder="1" applyAlignment="1" applyProtection="1">
      <alignment horizontal="center" vertical="top" wrapText="1"/>
    </xf>
    <xf numFmtId="165" fontId="9" fillId="26" borderId="19" xfId="30" applyNumberFormat="1" applyFont="1" applyFill="1" applyBorder="1" applyAlignment="1" applyProtection="1">
      <alignment horizontal="left" vertical="top" wrapText="1"/>
    </xf>
    <xf numFmtId="165" fontId="9" fillId="26" borderId="20" xfId="30" applyNumberFormat="1" applyFont="1" applyFill="1" applyBorder="1" applyAlignment="1" applyProtection="1">
      <alignment horizontal="left" vertical="top" wrapText="1"/>
    </xf>
    <xf numFmtId="167" fontId="9" fillId="24" borderId="20" xfId="0" applyNumberFormat="1" applyFont="1" applyFill="1" applyBorder="1" applyAlignment="1" applyProtection="1">
      <alignment horizontal="center" vertical="top" wrapText="1"/>
      <protection locked="0"/>
    </xf>
    <xf numFmtId="167" fontId="9" fillId="24" borderId="21" xfId="0" applyNumberFormat="1" applyFont="1" applyFill="1" applyBorder="1" applyAlignment="1" applyProtection="1">
      <alignment horizontal="center" vertical="top" wrapText="1"/>
      <protection locked="0"/>
    </xf>
    <xf numFmtId="167" fontId="9" fillId="24" borderId="19" xfId="0" applyNumberFormat="1" applyFont="1" applyFill="1" applyBorder="1" applyAlignment="1" applyProtection="1">
      <alignment horizontal="center" vertical="top" wrapText="1"/>
      <protection locked="0"/>
    </xf>
    <xf numFmtId="167" fontId="9" fillId="24" borderId="22" xfId="0" applyNumberFormat="1" applyFont="1" applyFill="1" applyBorder="1" applyAlignment="1" applyProtection="1">
      <alignment horizontal="center" vertical="top" wrapText="1"/>
      <protection locked="0"/>
    </xf>
    <xf numFmtId="165" fontId="11" fillId="26" borderId="19" xfId="30" applyNumberFormat="1" applyFont="1" applyFill="1" applyBorder="1" applyAlignment="1" applyProtection="1">
      <alignment horizontal="left" vertical="top" wrapText="1"/>
    </xf>
    <xf numFmtId="165" fontId="11" fillId="26" borderId="20" xfId="30" applyNumberFormat="1" applyFont="1" applyFill="1" applyBorder="1" applyAlignment="1" applyProtection="1">
      <alignment horizontal="left" vertical="top" wrapText="1"/>
    </xf>
    <xf numFmtId="167" fontId="9" fillId="24" borderId="20" xfId="30" applyNumberFormat="1" applyFont="1" applyFill="1" applyBorder="1" applyAlignment="1" applyProtection="1">
      <alignment horizontal="center" vertical="top" wrapText="1"/>
      <protection locked="0"/>
    </xf>
    <xf numFmtId="167" fontId="9" fillId="24" borderId="21" xfId="30" applyNumberFormat="1" applyFont="1" applyFill="1" applyBorder="1" applyAlignment="1" applyProtection="1">
      <alignment horizontal="center" vertical="top" wrapText="1"/>
      <protection locked="0"/>
    </xf>
    <xf numFmtId="167" fontId="9" fillId="24" borderId="19" xfId="30" applyNumberFormat="1" applyFont="1" applyFill="1" applyBorder="1" applyAlignment="1" applyProtection="1">
      <alignment horizontal="center" vertical="top" wrapText="1"/>
      <protection locked="0"/>
    </xf>
    <xf numFmtId="167" fontId="9" fillId="24" borderId="22" xfId="30" applyNumberFormat="1" applyFont="1" applyFill="1" applyBorder="1" applyAlignment="1" applyProtection="1">
      <alignment horizontal="center" vertical="top" wrapText="1"/>
      <protection locked="0"/>
    </xf>
    <xf numFmtId="0" fontId="9" fillId="0" borderId="10" xfId="0" applyNumberFormat="1" applyFont="1" applyBorder="1" applyAlignment="1" applyProtection="1">
      <alignment horizontal="left" vertical="top" wrapText="1"/>
    </xf>
    <xf numFmtId="167" fontId="9" fillId="0" borderId="21" xfId="0" applyNumberFormat="1" applyFont="1" applyFill="1" applyBorder="1" applyAlignment="1" applyProtection="1">
      <alignment horizontal="center" vertical="top" wrapText="1"/>
    </xf>
    <xf numFmtId="167" fontId="9" fillId="0" borderId="19" xfId="0" applyNumberFormat="1" applyFont="1" applyFill="1" applyBorder="1" applyAlignment="1" applyProtection="1">
      <alignment horizontal="center" vertical="top" wrapText="1"/>
    </xf>
    <xf numFmtId="167" fontId="9" fillId="0" borderId="22" xfId="0" applyNumberFormat="1" applyFont="1" applyFill="1" applyBorder="1" applyAlignment="1" applyProtection="1">
      <alignment horizontal="center" vertical="top" wrapText="1"/>
    </xf>
    <xf numFmtId="0" fontId="9" fillId="0" borderId="23" xfId="0" applyFont="1" applyBorder="1" applyAlignment="1" applyProtection="1">
      <alignment horizontal="left" vertical="top" wrapText="1"/>
    </xf>
    <xf numFmtId="165" fontId="9" fillId="0" borderId="24" xfId="30" applyNumberFormat="1" applyFont="1" applyBorder="1" applyAlignment="1" applyProtection="1">
      <alignment horizontal="left" vertical="top" wrapText="1"/>
    </xf>
    <xf numFmtId="165" fontId="9" fillId="0" borderId="25" xfId="30" applyNumberFormat="1" applyFont="1" applyBorder="1" applyAlignment="1" applyProtection="1">
      <alignment horizontal="left" vertical="top" wrapText="1"/>
    </xf>
    <xf numFmtId="166" fontId="9" fillId="0" borderId="25" xfId="30" applyNumberFormat="1" applyFont="1" applyBorder="1" applyAlignment="1" applyProtection="1">
      <alignment vertical="top" wrapText="1"/>
    </xf>
    <xf numFmtId="166" fontId="9" fillId="0" borderId="26" xfId="30" applyNumberFormat="1" applyFont="1" applyBorder="1" applyAlignment="1" applyProtection="1">
      <alignment vertical="top" wrapText="1"/>
    </xf>
    <xf numFmtId="166" fontId="9" fillId="0" borderId="24" xfId="30" applyNumberFormat="1" applyFont="1" applyFill="1" applyBorder="1" applyAlignment="1" applyProtection="1">
      <alignment vertical="top" wrapText="1"/>
    </xf>
    <xf numFmtId="166" fontId="9" fillId="0" borderId="25" xfId="30" applyNumberFormat="1" applyFont="1" applyFill="1" applyBorder="1" applyAlignment="1" applyProtection="1">
      <alignment vertical="top" wrapText="1"/>
    </xf>
    <xf numFmtId="166" fontId="9" fillId="0" borderId="27" xfId="30" applyNumberFormat="1" applyFont="1" applyFill="1" applyBorder="1" applyAlignment="1" applyProtection="1">
      <alignment vertical="top" wrapText="1"/>
    </xf>
    <xf numFmtId="168" fontId="9" fillId="0" borderId="0" xfId="0" applyNumberFormat="1" applyFont="1" applyBorder="1" applyProtection="1"/>
    <xf numFmtId="168" fontId="9" fillId="0" borderId="0" xfId="30" applyNumberFormat="1" applyFont="1" applyProtection="1"/>
    <xf numFmtId="168" fontId="9" fillId="0" borderId="0" xfId="0" applyNumberFormat="1" applyFont="1" applyProtection="1"/>
    <xf numFmtId="0" fontId="10" fillId="0" borderId="29" xfId="0" applyFont="1" applyFill="1" applyBorder="1" applyAlignment="1">
      <alignment horizontal="center" vertical="center" wrapText="1"/>
    </xf>
    <xf numFmtId="0" fontId="10" fillId="0" borderId="47" xfId="0" applyFont="1" applyFill="1" applyBorder="1" applyAlignment="1">
      <alignment horizontal="centerContinuous" vertical="center" wrapText="1"/>
    </xf>
    <xf numFmtId="0" fontId="10" fillId="0" borderId="37" xfId="0" applyFont="1" applyFill="1" applyBorder="1" applyAlignment="1">
      <alignment horizontal="left"/>
    </xf>
    <xf numFmtId="0" fontId="10" fillId="0" borderId="63" xfId="0" applyFont="1" applyFill="1" applyBorder="1" applyAlignment="1">
      <alignment horizontal="center" vertical="center" wrapText="1"/>
    </xf>
    <xf numFmtId="0" fontId="11" fillId="0" borderId="14" xfId="0" applyFont="1" applyBorder="1" applyAlignment="1">
      <alignment horizontal="center"/>
    </xf>
    <xf numFmtId="0" fontId="9" fillId="0" borderId="19" xfId="0" applyFont="1" applyBorder="1"/>
    <xf numFmtId="0" fontId="9" fillId="0" borderId="20" xfId="0" applyFont="1" applyBorder="1"/>
    <xf numFmtId="0" fontId="9" fillId="0" borderId="21" xfId="0" applyFont="1" applyBorder="1"/>
    <xf numFmtId="0" fontId="9" fillId="0" borderId="22" xfId="0" applyFont="1" applyBorder="1"/>
    <xf numFmtId="171" fontId="9" fillId="0" borderId="21" xfId="0" applyNumberFormat="1" applyFont="1" applyFill="1" applyBorder="1"/>
    <xf numFmtId="0" fontId="9" fillId="24" borderId="19" xfId="0" applyFont="1" applyFill="1" applyBorder="1" applyAlignment="1" applyProtection="1">
      <alignment horizontal="center"/>
      <protection locked="0"/>
    </xf>
    <xf numFmtId="167" fontId="9" fillId="0" borderId="20" xfId="47" applyNumberFormat="1" applyFont="1" applyFill="1" applyBorder="1" applyAlignment="1" applyProtection="1">
      <alignment horizontal="center" vertical="top" wrapText="1"/>
    </xf>
    <xf numFmtId="9" fontId="9" fillId="0" borderId="14" xfId="47" applyFont="1" applyBorder="1" applyAlignment="1">
      <alignment horizontal="center"/>
    </xf>
    <xf numFmtId="9" fontId="9" fillId="0" borderId="45" xfId="47" applyFont="1" applyBorder="1" applyAlignment="1">
      <alignment horizontal="center"/>
    </xf>
    <xf numFmtId="167" fontId="9" fillId="24" borderId="24" xfId="47" applyNumberFormat="1" applyFont="1" applyFill="1" applyBorder="1" applyAlignment="1" applyProtection="1">
      <alignment horizontal="center" vertical="top" wrapText="1"/>
      <protection locked="0"/>
    </xf>
    <xf numFmtId="167" fontId="9" fillId="24" borderId="25" xfId="47" applyNumberFormat="1" applyFont="1" applyFill="1" applyBorder="1" applyAlignment="1" applyProtection="1">
      <alignment horizontal="center" vertical="top" wrapText="1"/>
      <protection locked="0"/>
    </xf>
    <xf numFmtId="167" fontId="9" fillId="0" borderId="25" xfId="47" applyNumberFormat="1" applyFont="1" applyFill="1" applyBorder="1" applyAlignment="1">
      <alignment horizontal="center" vertical="top" wrapText="1"/>
    </xf>
    <xf numFmtId="167" fontId="9" fillId="0" borderId="26" xfId="47" applyNumberFormat="1" applyFont="1" applyFill="1" applyBorder="1" applyAlignment="1">
      <alignment horizontal="center" vertical="top" wrapText="1"/>
    </xf>
    <xf numFmtId="167" fontId="9" fillId="0" borderId="27" xfId="47" applyNumberFormat="1" applyFont="1" applyFill="1" applyBorder="1" applyAlignment="1">
      <alignment horizontal="center" vertical="top" wrapText="1"/>
    </xf>
    <xf numFmtId="9" fontId="9" fillId="0" borderId="0" xfId="47" applyFont="1" applyBorder="1" applyAlignment="1">
      <alignment horizontal="center"/>
    </xf>
    <xf numFmtId="0" fontId="9" fillId="0" borderId="0" xfId="0" applyFont="1" applyBorder="1" applyAlignment="1">
      <alignment horizontal="left"/>
    </xf>
    <xf numFmtId="0" fontId="11" fillId="0" borderId="0" xfId="0" applyFont="1" applyBorder="1" applyAlignment="1">
      <alignment horizontal="center"/>
    </xf>
    <xf numFmtId="0" fontId="9" fillId="0" borderId="0" xfId="0" applyFont="1" applyBorder="1" applyAlignment="1"/>
    <xf numFmtId="171" fontId="9" fillId="0" borderId="0" xfId="0" applyNumberFormat="1" applyFont="1" applyBorder="1"/>
    <xf numFmtId="9" fontId="9" fillId="0" borderId="0" xfId="0" applyNumberFormat="1" applyFont="1" applyBorder="1" applyAlignment="1">
      <alignment horizontal="center"/>
    </xf>
    <xf numFmtId="0" fontId="11" fillId="0" borderId="0" xfId="0" applyFont="1" applyBorder="1" applyAlignment="1">
      <alignment horizontal="left"/>
    </xf>
    <xf numFmtId="0" fontId="9" fillId="0" borderId="58" xfId="0" applyFont="1" applyFill="1" applyBorder="1" applyAlignment="1">
      <alignment horizontal="center" vertical="center"/>
    </xf>
    <xf numFmtId="171" fontId="10" fillId="0" borderId="19" xfId="0" applyNumberFormat="1" applyFont="1" applyBorder="1"/>
    <xf numFmtId="0" fontId="9" fillId="24" borderId="10" xfId="0" applyFont="1" applyFill="1" applyBorder="1" applyAlignment="1" applyProtection="1">
      <alignment horizontal="left" indent="1"/>
      <protection locked="0"/>
    </xf>
    <xf numFmtId="171" fontId="9" fillId="24" borderId="15" xfId="0" applyNumberFormat="1" applyFont="1" applyFill="1" applyBorder="1" applyProtection="1">
      <protection locked="0"/>
    </xf>
    <xf numFmtId="171" fontId="9" fillId="24" borderId="16" xfId="0" applyNumberFormat="1" applyFont="1" applyFill="1" applyBorder="1" applyProtection="1">
      <protection locked="0"/>
    </xf>
    <xf numFmtId="171" fontId="9" fillId="0" borderId="16" xfId="0" applyNumberFormat="1" applyFont="1" applyBorder="1"/>
    <xf numFmtId="171" fontId="9" fillId="24" borderId="18" xfId="0" applyNumberFormat="1" applyFont="1" applyFill="1" applyBorder="1" applyProtection="1">
      <protection locked="0"/>
    </xf>
    <xf numFmtId="171" fontId="9" fillId="24" borderId="58" xfId="0" applyNumberFormat="1" applyFont="1" applyFill="1" applyBorder="1" applyProtection="1">
      <protection locked="0"/>
    </xf>
    <xf numFmtId="171" fontId="9" fillId="24" borderId="35" xfId="0" applyNumberFormat="1" applyFont="1" applyFill="1" applyBorder="1" applyProtection="1">
      <protection locked="0"/>
    </xf>
    <xf numFmtId="0" fontId="10" fillId="0" borderId="57" xfId="0" applyNumberFormat="1" applyFont="1" applyBorder="1" applyAlignment="1">
      <alignment vertical="center"/>
    </xf>
    <xf numFmtId="171" fontId="10" fillId="0" borderId="63" xfId="0" applyNumberFormat="1" applyFont="1" applyBorder="1"/>
    <xf numFmtId="0" fontId="11" fillId="0" borderId="10" xfId="0" applyNumberFormat="1" applyFont="1" applyBorder="1"/>
    <xf numFmtId="0" fontId="10" fillId="0" borderId="64" xfId="0" applyNumberFormat="1" applyFont="1" applyBorder="1" applyAlignment="1">
      <alignment horizontal="left"/>
    </xf>
    <xf numFmtId="0" fontId="10" fillId="0" borderId="54" xfId="0" applyNumberFormat="1" applyFont="1" applyBorder="1" applyAlignment="1">
      <alignment vertical="center"/>
    </xf>
    <xf numFmtId="0" fontId="13" fillId="0" borderId="0" xfId="0" applyFont="1" applyFill="1" applyBorder="1" applyAlignment="1">
      <alignment horizontal="left"/>
    </xf>
    <xf numFmtId="164" fontId="13" fillId="0" borderId="0" xfId="30" applyFont="1" applyBorder="1"/>
    <xf numFmtId="168" fontId="13" fillId="0" borderId="0" xfId="0" applyNumberFormat="1" applyFont="1" applyBorder="1"/>
    <xf numFmtId="0" fontId="9" fillId="0" borderId="10" xfId="0" applyNumberFormat="1" applyFont="1" applyBorder="1" applyAlignment="1">
      <alignment horizontal="left" indent="2"/>
    </xf>
    <xf numFmtId="0" fontId="10" fillId="0" borderId="10" xfId="0" quotePrefix="1" applyFont="1" applyBorder="1"/>
    <xf numFmtId="0" fontId="13" fillId="0" borderId="10" xfId="0" quotePrefix="1" applyFont="1" applyBorder="1" applyAlignment="1">
      <alignment horizontal="left" indent="1"/>
    </xf>
    <xf numFmtId="0" fontId="9" fillId="0" borderId="10" xfId="0" quotePrefix="1" applyFont="1" applyBorder="1" applyAlignment="1">
      <alignment horizontal="left" indent="1"/>
    </xf>
    <xf numFmtId="0" fontId="10" fillId="0" borderId="55" xfId="0" applyNumberFormat="1" applyFont="1" applyBorder="1" applyAlignment="1">
      <alignment horizontal="left"/>
    </xf>
    <xf numFmtId="0" fontId="10" fillId="0" borderId="10" xfId="0" applyFont="1" applyBorder="1" applyAlignment="1">
      <alignment horizontal="left" indent="2"/>
    </xf>
    <xf numFmtId="0" fontId="10" fillId="0" borderId="10" xfId="0" quotePrefix="1" applyFont="1" applyBorder="1" applyAlignment="1">
      <alignment horizontal="left" indent="1"/>
    </xf>
    <xf numFmtId="0" fontId="9" fillId="0" borderId="10" xfId="0" quotePrefix="1" applyFont="1" applyBorder="1" applyAlignment="1">
      <alignment horizontal="left" indent="2"/>
    </xf>
    <xf numFmtId="0" fontId="10" fillId="0" borderId="0" xfId="0" applyFont="1" applyBorder="1"/>
    <xf numFmtId="171" fontId="10" fillId="0" borderId="0" xfId="0" applyNumberFormat="1" applyFont="1" applyBorder="1"/>
    <xf numFmtId="0" fontId="10" fillId="0" borderId="65"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Border="1" applyAlignment="1">
      <alignment horizontal="center" wrapText="1"/>
    </xf>
    <xf numFmtId="9" fontId="9" fillId="0" borderId="62" xfId="47" applyFont="1" applyFill="1" applyBorder="1" applyAlignment="1">
      <alignment horizontal="center" vertical="center"/>
    </xf>
    <xf numFmtId="0" fontId="9" fillId="0" borderId="62" xfId="0" applyFont="1" applyFill="1" applyBorder="1" applyAlignment="1">
      <alignment horizontal="center" vertical="center"/>
    </xf>
    <xf numFmtId="0" fontId="11" fillId="0" borderId="64" xfId="0" applyFont="1" applyBorder="1"/>
    <xf numFmtId="171" fontId="9" fillId="0" borderId="21" xfId="0" applyNumberFormat="1" applyFont="1" applyBorder="1"/>
    <xf numFmtId="171" fontId="9" fillId="26" borderId="20" xfId="0" applyNumberFormat="1" applyFont="1" applyFill="1" applyBorder="1"/>
    <xf numFmtId="167" fontId="9" fillId="0" borderId="14" xfId="47" applyNumberFormat="1" applyFont="1" applyBorder="1" applyAlignment="1">
      <alignment horizontal="center"/>
    </xf>
    <xf numFmtId="171" fontId="10" fillId="26" borderId="16" xfId="0" applyNumberFormat="1" applyFont="1" applyFill="1" applyBorder="1"/>
    <xf numFmtId="167" fontId="10" fillId="0" borderId="14" xfId="47" applyNumberFormat="1" applyFont="1" applyBorder="1" applyAlignment="1">
      <alignment horizontal="center"/>
    </xf>
    <xf numFmtId="171" fontId="10" fillId="26" borderId="36" xfId="0" applyNumberFormat="1" applyFont="1" applyFill="1" applyBorder="1"/>
    <xf numFmtId="171" fontId="10" fillId="26" borderId="20" xfId="0" applyNumberFormat="1" applyFont="1" applyFill="1" applyBorder="1"/>
    <xf numFmtId="171" fontId="10" fillId="26" borderId="21" xfId="0" applyNumberFormat="1" applyFont="1" applyFill="1" applyBorder="1"/>
    <xf numFmtId="171" fontId="10" fillId="0" borderId="21" xfId="0" applyNumberFormat="1" applyFont="1" applyBorder="1"/>
    <xf numFmtId="171" fontId="10" fillId="0" borderId="38" xfId="0" applyNumberFormat="1" applyFont="1" applyBorder="1"/>
    <xf numFmtId="171" fontId="10" fillId="0" borderId="62" xfId="0" applyNumberFormat="1" applyFont="1" applyBorder="1"/>
    <xf numFmtId="171" fontId="10" fillId="0" borderId="61" xfId="0" applyNumberFormat="1" applyFont="1" applyBorder="1"/>
    <xf numFmtId="171" fontId="9" fillId="0" borderId="18" xfId="0" applyNumberFormat="1" applyFont="1" applyBorder="1"/>
    <xf numFmtId="171" fontId="10" fillId="0" borderId="17" xfId="0" applyNumberFormat="1" applyFont="1" applyBorder="1"/>
    <xf numFmtId="171" fontId="10" fillId="0" borderId="66" xfId="0" applyNumberFormat="1" applyFont="1" applyBorder="1"/>
    <xf numFmtId="167" fontId="10" fillId="0" borderId="45" xfId="47" applyNumberFormat="1" applyFont="1" applyBorder="1" applyAlignment="1">
      <alignment horizontal="center"/>
    </xf>
    <xf numFmtId="168" fontId="13" fillId="0" borderId="0" xfId="0" applyNumberFormat="1" applyFont="1" applyBorder="1" applyAlignment="1">
      <alignment horizontal="center"/>
    </xf>
    <xf numFmtId="0" fontId="13" fillId="0" borderId="0" xfId="0" applyFont="1" applyBorder="1" applyAlignment="1">
      <alignment horizontal="center" vertical="top" wrapText="1"/>
    </xf>
    <xf numFmtId="168" fontId="12" fillId="0" borderId="0" xfId="0" applyNumberFormat="1" applyFont="1" applyBorder="1" applyAlignment="1">
      <alignment horizontal="center"/>
    </xf>
    <xf numFmtId="0" fontId="10" fillId="0" borderId="31" xfId="0" applyFont="1" applyFill="1" applyBorder="1" applyAlignment="1">
      <alignment horizontal="centerContinuous" vertical="center" wrapText="1"/>
    </xf>
    <xf numFmtId="0" fontId="10" fillId="0" borderId="29" xfId="0" applyFont="1" applyFill="1" applyBorder="1" applyAlignment="1">
      <alignment horizontal="centerContinuous" vertical="center" wrapText="1"/>
    </xf>
    <xf numFmtId="0" fontId="10" fillId="0" borderId="30" xfId="0" applyFont="1" applyFill="1" applyBorder="1" applyAlignment="1">
      <alignment horizontal="centerContinuous" vertical="center" wrapText="1"/>
    </xf>
    <xf numFmtId="0" fontId="10" fillId="0" borderId="32" xfId="0" applyFont="1" applyFill="1" applyBorder="1" applyAlignment="1">
      <alignment horizontal="centerContinuous" vertical="center" wrapText="1"/>
    </xf>
    <xf numFmtId="9" fontId="10" fillId="0" borderId="63" xfId="47" applyFont="1" applyFill="1" applyBorder="1" applyAlignment="1">
      <alignment horizontal="center" vertical="center" wrapText="1"/>
    </xf>
    <xf numFmtId="9" fontId="10" fillId="0" borderId="61" xfId="47" applyFont="1" applyFill="1" applyBorder="1" applyAlignment="1">
      <alignment horizontal="center" vertical="center" wrapText="1"/>
    </xf>
    <xf numFmtId="9" fontId="10" fillId="0" borderId="43" xfId="47"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10" xfId="0" applyFont="1" applyFill="1" applyBorder="1" applyAlignment="1">
      <alignment horizontal="left"/>
    </xf>
    <xf numFmtId="0" fontId="10" fillId="0" borderId="48" xfId="0" applyFont="1" applyFill="1" applyBorder="1" applyAlignment="1">
      <alignment horizontal="center" vertical="top" wrapText="1"/>
    </xf>
    <xf numFmtId="0" fontId="10" fillId="0" borderId="58" xfId="0" applyFont="1" applyFill="1" applyBorder="1" applyAlignment="1">
      <alignment horizontal="center" vertical="top" wrapText="1"/>
    </xf>
    <xf numFmtId="0" fontId="10" fillId="0" borderId="62" xfId="0" applyFont="1" applyFill="1" applyBorder="1" applyAlignment="1">
      <alignment horizontal="center" vertical="top" wrapText="1"/>
    </xf>
    <xf numFmtId="0" fontId="10" fillId="0" borderId="40" xfId="0" applyFont="1" applyFill="1" applyBorder="1" applyAlignment="1">
      <alignment horizontal="center" vertical="top" wrapText="1"/>
    </xf>
    <xf numFmtId="171" fontId="9" fillId="0" borderId="14" xfId="0" applyNumberFormat="1" applyFont="1" applyBorder="1"/>
    <xf numFmtId="0" fontId="10" fillId="0" borderId="14" xfId="0" applyFont="1" applyBorder="1"/>
    <xf numFmtId="171" fontId="10" fillId="0" borderId="49" xfId="0" applyNumberFormat="1" applyFont="1" applyBorder="1"/>
    <xf numFmtId="171" fontId="10" fillId="0" borderId="55" xfId="0" applyNumberFormat="1" applyFont="1" applyBorder="1"/>
    <xf numFmtId="0" fontId="14" fillId="0" borderId="0" xfId="0" applyFont="1" applyBorder="1" applyAlignment="1">
      <alignment vertical="center" wrapText="1"/>
    </xf>
    <xf numFmtId="168" fontId="10" fillId="0" borderId="0" xfId="0" applyNumberFormat="1" applyFont="1" applyFill="1" applyBorder="1"/>
    <xf numFmtId="165" fontId="13" fillId="0" borderId="0" xfId="30" applyNumberFormat="1" applyFont="1"/>
    <xf numFmtId="0" fontId="10" fillId="0" borderId="14" xfId="0" applyFont="1" applyFill="1" applyBorder="1" applyAlignment="1">
      <alignment horizontal="center" vertical="top" wrapText="1"/>
    </xf>
    <xf numFmtId="0" fontId="10" fillId="0" borderId="19" xfId="0" applyFont="1" applyFill="1" applyBorder="1" applyAlignment="1">
      <alignment horizontal="center" vertical="top" wrapText="1"/>
    </xf>
    <xf numFmtId="0" fontId="10" fillId="0" borderId="21" xfId="0" applyFont="1" applyFill="1" applyBorder="1" applyAlignment="1">
      <alignment horizontal="center" vertical="top" wrapText="1"/>
    </xf>
    <xf numFmtId="0" fontId="10" fillId="0" borderId="22" xfId="0" applyFont="1" applyFill="1" applyBorder="1" applyAlignment="1">
      <alignment horizontal="center" vertical="top" wrapText="1"/>
    </xf>
    <xf numFmtId="0" fontId="11" fillId="0" borderId="49" xfId="0" applyFont="1" applyBorder="1"/>
    <xf numFmtId="0" fontId="9" fillId="0" borderId="64" xfId="0" applyFont="1" applyBorder="1" applyAlignment="1">
      <alignment horizontal="left" indent="1"/>
    </xf>
    <xf numFmtId="171" fontId="9" fillId="0" borderId="17" xfId="0" applyNumberFormat="1" applyFont="1" applyBorder="1"/>
    <xf numFmtId="171" fontId="9" fillId="0" borderId="49" xfId="0" applyNumberFormat="1" applyFont="1" applyBorder="1"/>
    <xf numFmtId="171" fontId="10" fillId="0" borderId="14" xfId="0" applyNumberFormat="1" applyFont="1" applyBorder="1"/>
    <xf numFmtId="0" fontId="15" fillId="0" borderId="0" xfId="0" applyFont="1" applyBorder="1" applyAlignment="1">
      <alignment vertical="center" wrapText="1"/>
    </xf>
    <xf numFmtId="0" fontId="10" fillId="0" borderId="48" xfId="0" applyFont="1" applyFill="1" applyBorder="1" applyAlignment="1">
      <alignment horizontal="left"/>
    </xf>
    <xf numFmtId="0" fontId="11" fillId="0" borderId="14" xfId="0" applyFont="1" applyBorder="1" applyAlignment="1">
      <alignment horizontal="left"/>
    </xf>
    <xf numFmtId="171" fontId="10" fillId="0" borderId="41" xfId="0" applyNumberFormat="1" applyFont="1" applyBorder="1"/>
    <xf numFmtId="0" fontId="10" fillId="0" borderId="14" xfId="0" applyFont="1" applyFill="1" applyBorder="1" applyAlignment="1">
      <alignment horizontal="left"/>
    </xf>
    <xf numFmtId="0" fontId="9" fillId="0" borderId="10" xfId="0" applyFont="1" applyBorder="1" applyAlignment="1"/>
    <xf numFmtId="0" fontId="10" fillId="0" borderId="64" xfId="0" applyFont="1" applyBorder="1"/>
    <xf numFmtId="0" fontId="9" fillId="0" borderId="64" xfId="0" applyFont="1" applyFill="1" applyBorder="1"/>
    <xf numFmtId="0" fontId="9" fillId="0" borderId="67" xfId="0" applyFont="1" applyBorder="1"/>
    <xf numFmtId="171" fontId="10" fillId="0" borderId="48" xfId="0" applyNumberFormat="1" applyFont="1" applyBorder="1"/>
    <xf numFmtId="0" fontId="9" fillId="0" borderId="23" xfId="0" applyFont="1" applyFill="1" applyBorder="1" applyAlignment="1">
      <alignment horizontal="left" indent="1"/>
    </xf>
    <xf numFmtId="171" fontId="9" fillId="0" borderId="24" xfId="0" applyNumberFormat="1" applyFont="1" applyBorder="1"/>
    <xf numFmtId="171" fontId="9" fillId="0" borderId="26" xfId="0" applyNumberFormat="1" applyFont="1" applyBorder="1"/>
    <xf numFmtId="171" fontId="9" fillId="0" borderId="45" xfId="0" applyNumberFormat="1" applyFont="1" applyBorder="1"/>
    <xf numFmtId="0" fontId="10" fillId="0" borderId="60" xfId="0" applyFont="1" applyFill="1" applyBorder="1" applyAlignment="1">
      <alignment horizontal="centerContinuous" vertical="center" wrapText="1"/>
    </xf>
    <xf numFmtId="171" fontId="10" fillId="0" borderId="35" xfId="0" applyNumberFormat="1" applyFont="1" applyFill="1" applyBorder="1"/>
    <xf numFmtId="171" fontId="10" fillId="0" borderId="16" xfId="0" applyNumberFormat="1" applyFont="1" applyFill="1" applyBorder="1"/>
    <xf numFmtId="171" fontId="10" fillId="0" borderId="17" xfId="0" applyNumberFormat="1" applyFont="1" applyFill="1" applyBorder="1"/>
    <xf numFmtId="171" fontId="10" fillId="0" borderId="15" xfId="0" applyNumberFormat="1" applyFont="1" applyFill="1" applyBorder="1"/>
    <xf numFmtId="171" fontId="9" fillId="0" borderId="18" xfId="0" applyNumberFormat="1" applyFont="1" applyFill="1" applyBorder="1"/>
    <xf numFmtId="171" fontId="9" fillId="0" borderId="49" xfId="0" applyNumberFormat="1" applyFont="1" applyFill="1" applyBorder="1"/>
    <xf numFmtId="171" fontId="9" fillId="0" borderId="15" xfId="0" applyNumberFormat="1" applyFont="1" applyFill="1" applyBorder="1"/>
    <xf numFmtId="171" fontId="9" fillId="0" borderId="16" xfId="0" applyNumberFormat="1" applyFont="1" applyFill="1" applyBorder="1"/>
    <xf numFmtId="171" fontId="9" fillId="0" borderId="19" xfId="0" applyNumberFormat="1" applyFont="1" applyFill="1" applyBorder="1" applyProtection="1">
      <protection locked="0"/>
    </xf>
    <xf numFmtId="171" fontId="9" fillId="0" borderId="21" xfId="0" applyNumberFormat="1" applyFont="1" applyFill="1" applyBorder="1" applyProtection="1">
      <protection locked="0"/>
    </xf>
    <xf numFmtId="0" fontId="10" fillId="0" borderId="54" xfId="0" applyFont="1" applyBorder="1" applyAlignment="1">
      <alignment vertical="center" wrapText="1"/>
    </xf>
    <xf numFmtId="0" fontId="10" fillId="0" borderId="54" xfId="0" applyFont="1" applyBorder="1" applyAlignment="1">
      <alignment horizontal="left" indent="1"/>
    </xf>
    <xf numFmtId="0" fontId="14" fillId="0" borderId="0" xfId="0" applyFont="1" applyFill="1" applyBorder="1" applyAlignment="1">
      <alignment vertical="center" wrapText="1"/>
    </xf>
    <xf numFmtId="0" fontId="15" fillId="0" borderId="0" xfId="0" applyFont="1" applyFill="1" applyBorder="1" applyAlignment="1">
      <alignment vertical="center" wrapText="1"/>
    </xf>
    <xf numFmtId="0" fontId="10" fillId="0" borderId="68" xfId="0" applyFont="1" applyFill="1" applyBorder="1" applyAlignment="1">
      <alignment horizontal="centerContinuous" vertical="center" wrapText="1"/>
    </xf>
    <xf numFmtId="0" fontId="9" fillId="0" borderId="10" xfId="0" applyNumberFormat="1" applyFont="1" applyBorder="1" applyAlignment="1">
      <alignment horizontal="left" indent="1"/>
    </xf>
    <xf numFmtId="0" fontId="13" fillId="0" borderId="10" xfId="0" applyNumberFormat="1" applyFont="1" applyBorder="1" applyAlignment="1">
      <alignment horizontal="left" indent="2"/>
    </xf>
    <xf numFmtId="0" fontId="9" fillId="0" borderId="10" xfId="0" applyNumberFormat="1" applyFont="1" applyFill="1" applyBorder="1" applyAlignment="1">
      <alignment horizontal="left" indent="1"/>
    </xf>
    <xf numFmtId="0" fontId="15" fillId="0" borderId="0" xfId="0" applyFont="1" applyBorder="1"/>
    <xf numFmtId="0" fontId="8" fillId="0" borderId="11" xfId="0" applyFont="1" applyFill="1" applyBorder="1" applyAlignment="1">
      <alignment horizontal="left"/>
    </xf>
    <xf numFmtId="0" fontId="8" fillId="0" borderId="11" xfId="0" applyFont="1" applyFill="1" applyBorder="1" applyAlignment="1">
      <alignment horizontal="center"/>
    </xf>
    <xf numFmtId="0" fontId="10" fillId="0" borderId="24" xfId="0" applyFont="1" applyFill="1" applyBorder="1" applyAlignment="1">
      <alignment horizontal="center" vertical="top" wrapText="1"/>
    </xf>
    <xf numFmtId="0" fontId="10" fillId="0" borderId="26" xfId="0" applyFont="1" applyFill="1" applyBorder="1" applyAlignment="1">
      <alignment horizontal="center" vertical="top" wrapText="1"/>
    </xf>
    <xf numFmtId="0" fontId="10" fillId="0" borderId="27" xfId="0" applyFont="1" applyFill="1" applyBorder="1" applyAlignment="1">
      <alignment horizontal="center" vertical="top" wrapText="1"/>
    </xf>
    <xf numFmtId="0" fontId="10" fillId="0" borderId="28" xfId="0" applyNumberFormat="1" applyFont="1" applyFill="1" applyBorder="1"/>
    <xf numFmtId="0" fontId="10" fillId="0" borderId="30" xfId="0" applyNumberFormat="1" applyFont="1" applyFill="1" applyBorder="1" applyAlignment="1">
      <alignment horizontal="center"/>
    </xf>
    <xf numFmtId="172" fontId="10" fillId="0" borderId="30" xfId="30" applyNumberFormat="1" applyFont="1" applyFill="1" applyBorder="1" applyAlignment="1">
      <alignment horizontal="center"/>
    </xf>
    <xf numFmtId="0" fontId="13" fillId="0" borderId="30" xfId="0" applyNumberFormat="1" applyFont="1" applyFill="1" applyBorder="1" applyAlignment="1">
      <alignment horizontal="center"/>
    </xf>
    <xf numFmtId="171" fontId="10" fillId="0" borderId="29" xfId="0" applyNumberFormat="1" applyFont="1" applyFill="1" applyBorder="1" applyAlignment="1">
      <alignment horizontal="center"/>
    </xf>
    <xf numFmtId="171" fontId="10" fillId="0" borderId="31" xfId="0" applyNumberFormat="1" applyFont="1" applyFill="1" applyBorder="1" applyAlignment="1">
      <alignment horizontal="center"/>
    </xf>
    <xf numFmtId="171" fontId="10" fillId="0" borderId="32" xfId="0" applyNumberFormat="1" applyFont="1" applyFill="1" applyBorder="1" applyAlignment="1">
      <alignment horizontal="center"/>
    </xf>
    <xf numFmtId="171" fontId="10" fillId="0" borderId="60" xfId="0" applyNumberFormat="1" applyFont="1" applyFill="1" applyBorder="1" applyAlignment="1">
      <alignment horizontal="center"/>
    </xf>
    <xf numFmtId="0" fontId="13" fillId="24" borderId="10" xfId="0" applyNumberFormat="1" applyFont="1" applyFill="1" applyBorder="1" applyAlignment="1" applyProtection="1">
      <alignment horizontal="left" indent="1"/>
      <protection locked="0"/>
    </xf>
    <xf numFmtId="0" fontId="10" fillId="24" borderId="20" xfId="0" applyNumberFormat="1" applyFont="1" applyFill="1" applyBorder="1" applyAlignment="1" applyProtection="1">
      <alignment horizontal="center"/>
      <protection locked="0"/>
    </xf>
    <xf numFmtId="172" fontId="10" fillId="24" borderId="20" xfId="30" applyNumberFormat="1" applyFont="1" applyFill="1" applyBorder="1" applyAlignment="1" applyProtection="1">
      <alignment horizontal="center"/>
      <protection locked="0"/>
    </xf>
    <xf numFmtId="171" fontId="10" fillId="24" borderId="19" xfId="0" applyNumberFormat="1" applyFont="1" applyFill="1" applyBorder="1" applyAlignment="1" applyProtection="1">
      <alignment horizontal="center"/>
      <protection locked="0"/>
    </xf>
    <xf numFmtId="171" fontId="10" fillId="24" borderId="21" xfId="0" applyNumberFormat="1" applyFont="1" applyFill="1" applyBorder="1" applyAlignment="1" applyProtection="1">
      <alignment horizontal="center"/>
      <protection locked="0"/>
    </xf>
    <xf numFmtId="171" fontId="10" fillId="24" borderId="22" xfId="0" applyNumberFormat="1" applyFont="1" applyFill="1" applyBorder="1" applyAlignment="1" applyProtection="1">
      <alignment horizontal="center"/>
      <protection locked="0"/>
    </xf>
    <xf numFmtId="171" fontId="10" fillId="24" borderId="36" xfId="0" applyNumberFormat="1" applyFont="1" applyFill="1" applyBorder="1" applyAlignment="1" applyProtection="1">
      <alignment horizontal="center"/>
      <protection locked="0"/>
    </xf>
    <xf numFmtId="0" fontId="10" fillId="24" borderId="10" xfId="0" applyNumberFormat="1" applyFont="1" applyFill="1" applyBorder="1" applyProtection="1">
      <protection locked="0"/>
    </xf>
    <xf numFmtId="0" fontId="9" fillId="24" borderId="10" xfId="0" applyNumberFormat="1" applyFont="1" applyFill="1" applyBorder="1" applyAlignment="1" applyProtection="1">
      <alignment horizontal="left" indent="1"/>
      <protection locked="0"/>
    </xf>
    <xf numFmtId="0" fontId="9" fillId="24" borderId="20" xfId="0" applyNumberFormat="1" applyFont="1" applyFill="1" applyBorder="1" applyProtection="1">
      <protection locked="0"/>
    </xf>
    <xf numFmtId="172" fontId="9" fillId="24" borderId="20" xfId="30" applyNumberFormat="1" applyFont="1" applyFill="1" applyBorder="1" applyAlignment="1" applyProtection="1">
      <alignment horizontal="center"/>
      <protection locked="0"/>
    </xf>
    <xf numFmtId="0" fontId="10" fillId="24" borderId="37" xfId="0" applyNumberFormat="1" applyFont="1" applyFill="1" applyBorder="1" applyAlignment="1" applyProtection="1">
      <alignment horizontal="left" indent="1"/>
      <protection locked="0"/>
    </xf>
    <xf numFmtId="0" fontId="9" fillId="24" borderId="39" xfId="0" applyNumberFormat="1" applyFont="1" applyFill="1" applyBorder="1" applyProtection="1">
      <protection locked="0"/>
    </xf>
    <xf numFmtId="172" fontId="9" fillId="24" borderId="39" xfId="30" applyNumberFormat="1" applyFont="1" applyFill="1" applyBorder="1" applyAlignment="1" applyProtection="1">
      <alignment horizontal="center"/>
      <protection locked="0"/>
    </xf>
    <xf numFmtId="171" fontId="9" fillId="24" borderId="62" xfId="0" applyNumberFormat="1" applyFont="1" applyFill="1" applyBorder="1" applyProtection="1">
      <protection locked="0"/>
    </xf>
    <xf numFmtId="0" fontId="10" fillId="0" borderId="10" xfId="0" applyNumberFormat="1" applyFont="1" applyFill="1" applyBorder="1"/>
    <xf numFmtId="0" fontId="9" fillId="0" borderId="20" xfId="0" applyNumberFormat="1" applyFont="1" applyFill="1" applyBorder="1"/>
    <xf numFmtId="172" fontId="9" fillId="0" borderId="20" xfId="30" applyNumberFormat="1" applyFont="1" applyFill="1" applyBorder="1" applyAlignment="1">
      <alignment horizontal="center"/>
    </xf>
    <xf numFmtId="171" fontId="9" fillId="0" borderId="19" xfId="0" applyNumberFormat="1" applyFont="1" applyFill="1" applyBorder="1"/>
    <xf numFmtId="0" fontId="10" fillId="24" borderId="10" xfId="0" applyNumberFormat="1" applyFont="1" applyFill="1" applyBorder="1" applyAlignment="1" applyProtection="1">
      <alignment horizontal="left" indent="1"/>
      <protection locked="0"/>
    </xf>
    <xf numFmtId="0" fontId="9" fillId="24" borderId="23" xfId="0" applyNumberFormat="1" applyFont="1" applyFill="1" applyBorder="1" applyAlignment="1" applyProtection="1">
      <alignment horizontal="left" indent="1"/>
      <protection locked="0"/>
    </xf>
    <xf numFmtId="0" fontId="9" fillId="24" borderId="25" xfId="0" applyNumberFormat="1" applyFont="1" applyFill="1" applyBorder="1" applyProtection="1">
      <protection locked="0"/>
    </xf>
    <xf numFmtId="172" fontId="9" fillId="24" borderId="25" xfId="30" applyNumberFormat="1" applyFont="1" applyFill="1" applyBorder="1" applyAlignment="1" applyProtection="1">
      <alignment horizontal="center"/>
      <protection locked="0"/>
    </xf>
    <xf numFmtId="171" fontId="9" fillId="24" borderId="26" xfId="0" applyNumberFormat="1" applyFont="1" applyFill="1" applyBorder="1" applyProtection="1">
      <protection locked="0"/>
    </xf>
    <xf numFmtId="0" fontId="14" fillId="0" borderId="0" xfId="0" applyNumberFormat="1" applyFont="1" applyBorder="1"/>
    <xf numFmtId="0" fontId="13" fillId="0" borderId="0" xfId="0" applyNumberFormat="1" applyFont="1" applyBorder="1"/>
    <xf numFmtId="9" fontId="10" fillId="0" borderId="21" xfId="47" applyFont="1" applyFill="1" applyBorder="1" applyAlignment="1">
      <alignment horizontal="center" vertical="center" wrapText="1"/>
    </xf>
    <xf numFmtId="9" fontId="10" fillId="0" borderId="22" xfId="47" applyFont="1" applyFill="1" applyBorder="1" applyAlignment="1">
      <alignment horizontal="center" vertical="center" wrapText="1"/>
    </xf>
    <xf numFmtId="0" fontId="9" fillId="0" borderId="14" xfId="0" applyFont="1" applyFill="1" applyBorder="1" applyAlignment="1" applyProtection="1">
      <alignment horizontal="center"/>
      <protection locked="0"/>
    </xf>
    <xf numFmtId="0" fontId="9" fillId="0" borderId="14" xfId="0" applyNumberFormat="1" applyFont="1" applyBorder="1" applyAlignment="1">
      <alignment horizontal="left" indent="1"/>
    </xf>
    <xf numFmtId="0" fontId="10" fillId="0" borderId="14" xfId="0" applyFont="1" applyFill="1" applyBorder="1" applyAlignment="1">
      <alignment wrapText="1"/>
    </xf>
    <xf numFmtId="0" fontId="13" fillId="0" borderId="0" xfId="0" applyFont="1" applyBorder="1" applyAlignment="1" applyProtection="1">
      <alignment horizontal="left"/>
    </xf>
    <xf numFmtId="171" fontId="10" fillId="0" borderId="42" xfId="0" applyNumberFormat="1" applyFont="1" applyBorder="1" applyAlignment="1">
      <alignment vertical="top"/>
    </xf>
    <xf numFmtId="171" fontId="10" fillId="0" borderId="43" xfId="0" applyNumberFormat="1" applyFont="1" applyBorder="1" applyAlignment="1">
      <alignment vertical="top"/>
    </xf>
    <xf numFmtId="171" fontId="10" fillId="0" borderId="44" xfId="0" applyNumberFormat="1" applyFont="1" applyBorder="1" applyAlignment="1">
      <alignment vertical="top"/>
    </xf>
    <xf numFmtId="0" fontId="10" fillId="0" borderId="57" xfId="0" applyFont="1" applyBorder="1" applyAlignment="1">
      <alignment vertical="top" wrapText="1"/>
    </xf>
    <xf numFmtId="0" fontId="9" fillId="0" borderId="41" xfId="0" applyFont="1" applyBorder="1" applyAlignment="1">
      <alignment horizontal="center" vertical="top"/>
    </xf>
    <xf numFmtId="0" fontId="13" fillId="0" borderId="0" xfId="0" quotePrefix="1" applyFont="1" applyBorder="1" applyProtection="1"/>
    <xf numFmtId="0" fontId="14" fillId="0" borderId="0" xfId="0" applyFont="1" applyFill="1" applyBorder="1"/>
    <xf numFmtId="0" fontId="14" fillId="0" borderId="0" xfId="0" applyFont="1" applyBorder="1" applyAlignment="1" applyProtection="1">
      <alignment horizontal="left"/>
    </xf>
    <xf numFmtId="0" fontId="9" fillId="0" borderId="19" xfId="0" applyNumberFormat="1" applyFont="1" applyBorder="1" applyAlignment="1">
      <alignment horizontal="center"/>
    </xf>
    <xf numFmtId="0" fontId="6" fillId="27" borderId="28" xfId="0" applyFont="1" applyFill="1" applyBorder="1"/>
    <xf numFmtId="0" fontId="6" fillId="27" borderId="46" xfId="0" applyFont="1" applyFill="1" applyBorder="1" applyAlignment="1">
      <alignment horizontal="left"/>
    </xf>
    <xf numFmtId="0" fontId="6" fillId="27" borderId="69" xfId="0" applyFont="1" applyFill="1" applyBorder="1" applyAlignment="1">
      <alignment horizontal="left"/>
    </xf>
    <xf numFmtId="0" fontId="6" fillId="27" borderId="28" xfId="0" applyFont="1" applyFill="1" applyBorder="1" applyAlignment="1">
      <alignment horizontal="left"/>
    </xf>
    <xf numFmtId="0" fontId="7" fillId="28" borderId="0" xfId="0" applyFont="1" applyFill="1"/>
    <xf numFmtId="0" fontId="4" fillId="0" borderId="10" xfId="0" applyFont="1" applyBorder="1"/>
    <xf numFmtId="0" fontId="4" fillId="0" borderId="0" xfId="0" applyFont="1" applyBorder="1"/>
    <xf numFmtId="0" fontId="4" fillId="0" borderId="0" xfId="0" applyFont="1"/>
    <xf numFmtId="0" fontId="4" fillId="0" borderId="0" xfId="0" quotePrefix="1" applyFont="1" applyBorder="1"/>
    <xf numFmtId="0" fontId="4" fillId="0" borderId="14" xfId="0" applyFont="1" applyBorder="1"/>
    <xf numFmtId="0" fontId="4" fillId="0" borderId="14" xfId="0" quotePrefix="1" applyFont="1" applyBorder="1"/>
    <xf numFmtId="0" fontId="4" fillId="0" borderId="23" xfId="0" applyFont="1" applyBorder="1"/>
    <xf numFmtId="0" fontId="4" fillId="0" borderId="11" xfId="0" applyFont="1" applyBorder="1"/>
    <xf numFmtId="0" fontId="4" fillId="0" borderId="45" xfId="0" applyFont="1" applyBorder="1"/>
    <xf numFmtId="0" fontId="22" fillId="0" borderId="0" xfId="0" applyFont="1"/>
    <xf numFmtId="0" fontId="4" fillId="0" borderId="14" xfId="0" applyFont="1" applyBorder="1" applyAlignment="1">
      <alignment horizontal="center"/>
    </xf>
    <xf numFmtId="0" fontId="4" fillId="0" borderId="70" xfId="0" applyFont="1" applyBorder="1"/>
    <xf numFmtId="0" fontId="4" fillId="0" borderId="70" xfId="0" applyFont="1" applyBorder="1" applyAlignment="1">
      <alignment horizontal="center"/>
    </xf>
    <xf numFmtId="0" fontId="4" fillId="0" borderId="0" xfId="0" applyFont="1" applyAlignment="1">
      <alignment horizontal="center"/>
    </xf>
    <xf numFmtId="0" fontId="6" fillId="29" borderId="71" xfId="0" applyFont="1" applyFill="1" applyBorder="1" applyAlignment="1">
      <alignment horizontal="center"/>
    </xf>
    <xf numFmtId="0" fontId="23" fillId="29" borderId="0" xfId="0" applyFont="1" applyFill="1"/>
    <xf numFmtId="0" fontId="4" fillId="0" borderId="70" xfId="0" applyFont="1" applyFill="1" applyBorder="1" applyAlignment="1">
      <alignment horizontal="center"/>
    </xf>
    <xf numFmtId="0" fontId="4" fillId="0" borderId="0" xfId="0" applyFont="1" applyFill="1" applyBorder="1"/>
    <xf numFmtId="0" fontId="4" fillId="0" borderId="0" xfId="0" applyFont="1" applyFill="1"/>
    <xf numFmtId="0" fontId="4" fillId="0" borderId="45" xfId="0" applyFont="1" applyBorder="1" applyAlignment="1">
      <alignment horizontal="center"/>
    </xf>
    <xf numFmtId="0" fontId="4" fillId="0" borderId="72" xfId="0" applyFont="1" applyBorder="1" applyAlignment="1">
      <alignment horizontal="center"/>
    </xf>
    <xf numFmtId="0" fontId="4" fillId="0" borderId="0" xfId="0" applyFont="1" applyBorder="1" applyAlignment="1">
      <alignment horizontal="center"/>
    </xf>
    <xf numFmtId="0" fontId="0" fillId="0" borderId="0" xfId="0" applyProtection="1">
      <protection locked="0"/>
    </xf>
    <xf numFmtId="0" fontId="4" fillId="24" borderId="0" xfId="0" applyFont="1" applyFill="1" applyProtection="1">
      <protection locked="0"/>
    </xf>
    <xf numFmtId="0" fontId="4" fillId="0" borderId="0" xfId="0" applyFont="1" applyProtection="1">
      <protection locked="0"/>
    </xf>
    <xf numFmtId="16" fontId="0" fillId="0" borderId="0" xfId="0" applyNumberFormat="1" applyProtection="1">
      <protection locked="0"/>
    </xf>
    <xf numFmtId="172" fontId="9" fillId="0" borderId="20" xfId="30" applyNumberFormat="1" applyFont="1" applyFill="1" applyBorder="1" applyProtection="1">
      <protection locked="0"/>
    </xf>
    <xf numFmtId="172" fontId="9" fillId="0" borderId="20" xfId="0" applyNumberFormat="1" applyFont="1" applyFill="1" applyBorder="1" applyProtection="1">
      <protection locked="0"/>
    </xf>
    <xf numFmtId="172" fontId="9" fillId="0" borderId="22" xfId="0" applyNumberFormat="1" applyFont="1" applyFill="1" applyBorder="1" applyProtection="1">
      <protection locked="0"/>
    </xf>
    <xf numFmtId="171" fontId="10" fillId="0" borderId="63" xfId="0" applyNumberFormat="1" applyFont="1" applyBorder="1" applyAlignment="1">
      <alignment vertical="top"/>
    </xf>
    <xf numFmtId="171" fontId="10" fillId="0" borderId="63" xfId="0" applyNumberFormat="1" applyFont="1" applyFill="1" applyBorder="1"/>
    <xf numFmtId="171" fontId="10" fillId="0" borderId="43" xfId="0" applyNumberFormat="1" applyFont="1" applyFill="1" applyBorder="1"/>
    <xf numFmtId="171" fontId="10" fillId="0" borderId="44" xfId="0" applyNumberFormat="1" applyFont="1" applyFill="1" applyBorder="1"/>
    <xf numFmtId="171" fontId="10" fillId="0" borderId="42" xfId="0" applyNumberFormat="1" applyFont="1" applyFill="1" applyBorder="1"/>
    <xf numFmtId="0" fontId="16" fillId="0" borderId="0" xfId="0" applyFont="1" applyFill="1" applyBorder="1" applyAlignment="1">
      <alignment horizontal="left"/>
    </xf>
    <xf numFmtId="171" fontId="10" fillId="0" borderId="52" xfId="0" applyNumberFormat="1" applyFont="1" applyFill="1" applyBorder="1" applyProtection="1"/>
    <xf numFmtId="0" fontId="9" fillId="0" borderId="21" xfId="0" applyFont="1" applyFill="1" applyBorder="1" applyAlignment="1">
      <alignment horizontal="left" vertical="top" wrapText="1"/>
    </xf>
    <xf numFmtId="171" fontId="10" fillId="0" borderId="73" xfId="0" applyNumberFormat="1" applyFont="1" applyFill="1" applyBorder="1"/>
    <xf numFmtId="171" fontId="10" fillId="0" borderId="61" xfId="0" applyNumberFormat="1" applyFont="1" applyFill="1" applyBorder="1"/>
    <xf numFmtId="171" fontId="10" fillId="0" borderId="41" xfId="0" applyNumberFormat="1" applyFont="1" applyFill="1" applyBorder="1"/>
    <xf numFmtId="171" fontId="10" fillId="0" borderId="56" xfId="0" applyNumberFormat="1" applyFont="1" applyFill="1" applyBorder="1"/>
    <xf numFmtId="171" fontId="10" fillId="0" borderId="74" xfId="0" applyNumberFormat="1" applyFont="1" applyFill="1" applyBorder="1"/>
    <xf numFmtId="171" fontId="10" fillId="0" borderId="50" xfId="0" applyNumberFormat="1" applyFont="1" applyFill="1" applyBorder="1"/>
    <xf numFmtId="171" fontId="10" fillId="0" borderId="66" xfId="0" applyNumberFormat="1" applyFont="1" applyFill="1" applyBorder="1"/>
    <xf numFmtId="171" fontId="10" fillId="0" borderId="51" xfId="0" applyNumberFormat="1" applyFont="1" applyFill="1" applyBorder="1"/>
    <xf numFmtId="171" fontId="10" fillId="0" borderId="52" xfId="0" applyNumberFormat="1" applyFont="1" applyFill="1" applyBorder="1"/>
    <xf numFmtId="171" fontId="10" fillId="0" borderId="20" xfId="0" applyNumberFormat="1" applyFont="1" applyFill="1" applyBorder="1"/>
    <xf numFmtId="171" fontId="10" fillId="0" borderId="39" xfId="0" applyNumberFormat="1" applyFont="1" applyFill="1" applyBorder="1"/>
    <xf numFmtId="171" fontId="10" fillId="0" borderId="22" xfId="0" applyNumberFormat="1" applyFont="1" applyFill="1" applyBorder="1"/>
    <xf numFmtId="0" fontId="0" fillId="0" borderId="0" xfId="0" applyProtection="1"/>
    <xf numFmtId="0" fontId="5" fillId="0" borderId="0" xfId="0" applyFont="1" applyProtection="1"/>
    <xf numFmtId="0" fontId="7" fillId="30" borderId="75" xfId="0" applyFont="1" applyFill="1" applyBorder="1" applyAlignment="1" applyProtection="1">
      <alignment horizontal="center"/>
    </xf>
    <xf numFmtId="171" fontId="10" fillId="0" borderId="22" xfId="0" applyNumberFormat="1" applyFont="1" applyFill="1" applyBorder="1" applyProtection="1"/>
    <xf numFmtId="171" fontId="9" fillId="0" borderId="15"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1" fontId="10" fillId="0" borderId="21" xfId="0" applyNumberFormat="1" applyFont="1" applyFill="1" applyBorder="1" applyProtection="1"/>
    <xf numFmtId="171" fontId="10" fillId="0" borderId="19" xfId="0" applyNumberFormat="1" applyFont="1" applyFill="1" applyBorder="1" applyProtection="1"/>
    <xf numFmtId="0" fontId="10" fillId="0" borderId="29" xfId="0" applyFont="1" applyFill="1" applyBorder="1" applyAlignment="1">
      <alignment horizontal="center" vertical="center"/>
    </xf>
    <xf numFmtId="0" fontId="10" fillId="0" borderId="30" xfId="0" applyFont="1" applyBorder="1" applyAlignment="1">
      <alignment horizontal="center"/>
    </xf>
    <xf numFmtId="171" fontId="10" fillId="0" borderId="43" xfId="0" applyNumberFormat="1" applyFont="1" applyFill="1" applyBorder="1" applyProtection="1"/>
    <xf numFmtId="171" fontId="10" fillId="0" borderId="63" xfId="0" applyNumberFormat="1" applyFont="1" applyFill="1" applyBorder="1" applyProtection="1"/>
    <xf numFmtId="171" fontId="10" fillId="0" borderId="44" xfId="0" applyNumberFormat="1" applyFont="1" applyFill="1" applyBorder="1" applyProtection="1"/>
    <xf numFmtId="0" fontId="9" fillId="0" borderId="19" xfId="0" applyNumberFormat="1" applyFont="1" applyFill="1" applyBorder="1" applyAlignment="1" applyProtection="1">
      <alignment horizontal="left" indent="2"/>
    </xf>
    <xf numFmtId="171" fontId="10" fillId="0" borderId="15" xfId="0" applyNumberFormat="1" applyFont="1" applyFill="1" applyBorder="1" applyProtection="1"/>
    <xf numFmtId="171" fontId="10" fillId="0" borderId="18" xfId="0" applyNumberFormat="1" applyFont="1" applyFill="1" applyBorder="1"/>
    <xf numFmtId="0" fontId="10" fillId="0" borderId="54" xfId="0" applyNumberFormat="1" applyFont="1" applyBorder="1" applyProtection="1"/>
    <xf numFmtId="0" fontId="13" fillId="0" borderId="0" xfId="0" applyFont="1" applyBorder="1" applyAlignment="1" applyProtection="1">
      <alignment horizontal="center"/>
    </xf>
    <xf numFmtId="168" fontId="12" fillId="0" borderId="0" xfId="0" applyNumberFormat="1" applyFont="1" applyBorder="1" applyProtection="1">
      <protection locked="0"/>
    </xf>
    <xf numFmtId="0" fontId="12" fillId="0" borderId="0" xfId="0" applyFont="1" applyBorder="1" applyProtection="1"/>
    <xf numFmtId="168" fontId="12" fillId="0" borderId="0" xfId="0" applyNumberFormat="1" applyFont="1" applyBorder="1" applyProtection="1"/>
    <xf numFmtId="0" fontId="10" fillId="0" borderId="32" xfId="0" applyFont="1" applyFill="1" applyBorder="1" applyAlignment="1">
      <alignment vertical="center"/>
    </xf>
    <xf numFmtId="0" fontId="10" fillId="0" borderId="22" xfId="0" applyFont="1" applyFill="1" applyBorder="1" applyAlignment="1">
      <alignment horizontal="center" vertical="center"/>
    </xf>
    <xf numFmtId="0" fontId="10" fillId="0" borderId="27" xfId="0" applyFont="1" applyFill="1" applyBorder="1" applyAlignment="1">
      <alignment horizontal="center" vertical="center"/>
    </xf>
    <xf numFmtId="0" fontId="9" fillId="0" borderId="22" xfId="0" applyNumberFormat="1" applyFont="1" applyBorder="1" applyAlignment="1">
      <alignment horizontal="center"/>
    </xf>
    <xf numFmtId="0" fontId="9" fillId="0" borderId="22" xfId="0" applyNumberFormat="1" applyFont="1" applyBorder="1" applyAlignment="1" applyProtection="1">
      <alignment horizontal="center"/>
    </xf>
    <xf numFmtId="0" fontId="9" fillId="0" borderId="22" xfId="0" applyNumberFormat="1" applyFont="1" applyFill="1" applyBorder="1" applyAlignment="1" applyProtection="1">
      <alignment horizontal="center"/>
    </xf>
    <xf numFmtId="0" fontId="15" fillId="0" borderId="22" xfId="0" applyNumberFormat="1" applyFont="1" applyBorder="1" applyAlignment="1" applyProtection="1">
      <alignment horizontal="center"/>
    </xf>
    <xf numFmtId="0" fontId="9" fillId="0" borderId="52" xfId="0" applyNumberFormat="1" applyFont="1" applyBorder="1" applyAlignment="1" applyProtection="1">
      <alignment horizontal="center"/>
    </xf>
    <xf numFmtId="0" fontId="10" fillId="0" borderId="29" xfId="0" applyFont="1" applyBorder="1" applyAlignment="1">
      <alignment horizontal="center"/>
    </xf>
    <xf numFmtId="171" fontId="10" fillId="0" borderId="25" xfId="0" applyNumberFormat="1" applyFont="1" applyFill="1" applyBorder="1"/>
    <xf numFmtId="0" fontId="10" fillId="0" borderId="32" xfId="0" applyFont="1" applyBorder="1" applyAlignment="1">
      <alignment horizontal="center"/>
    </xf>
    <xf numFmtId="0" fontId="11" fillId="0" borderId="10" xfId="0" applyFont="1" applyBorder="1" applyProtection="1"/>
    <xf numFmtId="0" fontId="10" fillId="0" borderId="30" xfId="0" applyFont="1" applyBorder="1" applyAlignment="1" applyProtection="1">
      <alignment horizontal="center"/>
    </xf>
    <xf numFmtId="0" fontId="10" fillId="0" borderId="29" xfId="0" applyFont="1" applyBorder="1" applyAlignment="1" applyProtection="1">
      <alignment horizontal="center"/>
    </xf>
    <xf numFmtId="171" fontId="10" fillId="0" borderId="20" xfId="0" applyNumberFormat="1" applyFont="1" applyBorder="1" applyAlignment="1">
      <alignment horizontal="right"/>
    </xf>
    <xf numFmtId="171" fontId="10" fillId="0" borderId="19" xfId="0" applyNumberFormat="1" applyFont="1" applyBorder="1" applyAlignment="1">
      <alignment horizontal="right"/>
    </xf>
    <xf numFmtId="171" fontId="9" fillId="24" borderId="20" xfId="0" applyNumberFormat="1" applyFont="1" applyFill="1" applyBorder="1" applyAlignment="1" applyProtection="1">
      <alignment horizontal="right"/>
      <protection locked="0"/>
    </xf>
    <xf numFmtId="171" fontId="9" fillId="24" borderId="19" xfId="0" applyNumberFormat="1" applyFont="1" applyFill="1" applyBorder="1" applyAlignment="1" applyProtection="1">
      <alignment horizontal="right"/>
      <protection locked="0"/>
    </xf>
    <xf numFmtId="0" fontId="10" fillId="0" borderId="10" xfId="0" applyFont="1" applyBorder="1" applyAlignment="1" applyProtection="1">
      <alignment horizontal="left"/>
    </xf>
    <xf numFmtId="171" fontId="10" fillId="0" borderId="16" xfId="0" applyNumberFormat="1" applyFont="1" applyBorder="1" applyAlignment="1" applyProtection="1">
      <alignment horizontal="right"/>
    </xf>
    <xf numFmtId="171" fontId="10" fillId="0" borderId="15" xfId="0" applyNumberFormat="1" applyFont="1" applyBorder="1" applyAlignment="1" applyProtection="1">
      <alignment horizontal="right"/>
    </xf>
    <xf numFmtId="0" fontId="9" fillId="0" borderId="23" xfId="0" applyFont="1" applyBorder="1" applyProtection="1"/>
    <xf numFmtId="171" fontId="9" fillId="0" borderId="25" xfId="0" applyNumberFormat="1" applyFont="1" applyBorder="1" applyProtection="1"/>
    <xf numFmtId="171" fontId="9" fillId="0" borderId="24" xfId="0" applyNumberFormat="1" applyFont="1" applyBorder="1" applyProtection="1"/>
    <xf numFmtId="0" fontId="11" fillId="0" borderId="28" xfId="0" applyFont="1" applyBorder="1" applyProtection="1"/>
    <xf numFmtId="171" fontId="9" fillId="0" borderId="30" xfId="0" applyNumberFormat="1" applyFont="1" applyBorder="1" applyProtection="1"/>
    <xf numFmtId="171" fontId="9" fillId="0" borderId="29" xfId="0" applyNumberFormat="1" applyFont="1" applyBorder="1" applyProtection="1"/>
    <xf numFmtId="0" fontId="10" fillId="0" borderId="10" xfId="0" applyFont="1" applyFill="1" applyBorder="1" applyAlignment="1" applyProtection="1">
      <alignment horizontal="left" indent="1"/>
    </xf>
    <xf numFmtId="171" fontId="10" fillId="0" borderId="20" xfId="0" applyNumberFormat="1" applyFont="1" applyBorder="1" applyAlignment="1" applyProtection="1">
      <alignment horizontal="right"/>
    </xf>
    <xf numFmtId="171" fontId="10" fillId="0" borderId="19" xfId="0" applyNumberFormat="1" applyFont="1" applyBorder="1" applyAlignment="1" applyProtection="1">
      <alignment horizontal="right"/>
    </xf>
    <xf numFmtId="0" fontId="9" fillId="0" borderId="10" xfId="0" applyFont="1" applyFill="1" applyBorder="1" applyAlignment="1" applyProtection="1">
      <alignment horizontal="left" indent="1"/>
    </xf>
    <xf numFmtId="0" fontId="10" fillId="0" borderId="10" xfId="0" applyFont="1" applyBorder="1" applyAlignment="1">
      <alignment horizontal="left"/>
    </xf>
    <xf numFmtId="0" fontId="9" fillId="0" borderId="0" xfId="0" applyFont="1" applyBorder="1" applyAlignment="1" applyProtection="1">
      <alignment horizontal="center"/>
      <protection locked="0"/>
    </xf>
    <xf numFmtId="0" fontId="13" fillId="0" borderId="0" xfId="0" applyFont="1" applyFill="1" applyBorder="1" applyProtection="1">
      <protection locked="0"/>
    </xf>
    <xf numFmtId="168" fontId="10" fillId="0" borderId="0" xfId="0" applyNumberFormat="1" applyFont="1" applyFill="1" applyBorder="1" applyProtection="1">
      <protection locked="0"/>
    </xf>
    <xf numFmtId="0" fontId="10" fillId="0" borderId="0" xfId="0" applyFont="1" applyBorder="1" applyProtection="1">
      <protection locked="0"/>
    </xf>
    <xf numFmtId="168" fontId="10" fillId="0" borderId="0" xfId="0" applyNumberFormat="1" applyFont="1" applyBorder="1" applyProtection="1">
      <protection locked="0"/>
    </xf>
    <xf numFmtId="0" fontId="13" fillId="0" borderId="0" xfId="0" applyFont="1" applyBorder="1" applyAlignment="1" applyProtection="1">
      <alignment horizontal="center"/>
      <protection locked="0"/>
    </xf>
    <xf numFmtId="0" fontId="13" fillId="0" borderId="0" xfId="0" applyFont="1" applyBorder="1" applyAlignment="1" applyProtection="1">
      <alignment horizontal="right"/>
      <protection locked="0"/>
    </xf>
    <xf numFmtId="165" fontId="9" fillId="0" borderId="0" xfId="28" applyNumberFormat="1" applyFont="1" applyProtection="1">
      <protection locked="0"/>
    </xf>
    <xf numFmtId="0" fontId="10" fillId="0" borderId="32" xfId="0" applyFont="1" applyBorder="1" applyAlignment="1" applyProtection="1">
      <alignment horizontal="center"/>
    </xf>
    <xf numFmtId="171" fontId="10" fillId="0" borderId="22" xfId="0" applyNumberFormat="1" applyFont="1" applyBorder="1" applyAlignment="1">
      <alignment horizontal="right"/>
    </xf>
    <xf numFmtId="171" fontId="10" fillId="0" borderId="18" xfId="0" applyNumberFormat="1" applyFont="1" applyBorder="1" applyAlignment="1" applyProtection="1">
      <alignment horizontal="right"/>
    </xf>
    <xf numFmtId="171" fontId="9" fillId="0" borderId="27" xfId="0" applyNumberFormat="1" applyFont="1" applyBorder="1" applyProtection="1"/>
    <xf numFmtId="171" fontId="9" fillId="0" borderId="32" xfId="0" applyNumberFormat="1" applyFont="1" applyBorder="1" applyProtection="1"/>
    <xf numFmtId="171" fontId="10" fillId="0" borderId="22" xfId="0" applyNumberFormat="1" applyFont="1" applyBorder="1" applyAlignment="1" applyProtection="1">
      <alignment horizontal="right"/>
    </xf>
    <xf numFmtId="171" fontId="9" fillId="0" borderId="51" xfId="0" applyNumberFormat="1" applyFont="1" applyBorder="1"/>
    <xf numFmtId="171" fontId="9" fillId="0" borderId="19" xfId="0" applyNumberFormat="1" applyFont="1" applyBorder="1" applyProtection="1"/>
    <xf numFmtId="0" fontId="10" fillId="0" borderId="19" xfId="0" applyFont="1" applyBorder="1" applyAlignment="1" applyProtection="1">
      <alignment horizontal="center"/>
    </xf>
    <xf numFmtId="0" fontId="10" fillId="0" borderId="20" xfId="0" applyFont="1" applyBorder="1" applyAlignment="1" applyProtection="1">
      <alignment horizontal="center"/>
    </xf>
    <xf numFmtId="0" fontId="10" fillId="0" borderId="22" xfId="0" applyFont="1" applyBorder="1" applyAlignment="1" applyProtection="1">
      <alignment horizontal="center"/>
    </xf>
    <xf numFmtId="0" fontId="0" fillId="0" borderId="0" xfId="0" applyBorder="1"/>
    <xf numFmtId="171" fontId="10" fillId="0" borderId="76" xfId="0" applyNumberFormat="1" applyFont="1" applyBorder="1"/>
    <xf numFmtId="171" fontId="10" fillId="0" borderId="77" xfId="0" applyNumberFormat="1" applyFont="1" applyBorder="1"/>
    <xf numFmtId="171" fontId="9" fillId="0" borderId="77" xfId="0" applyNumberFormat="1" applyFont="1" applyBorder="1"/>
    <xf numFmtId="171" fontId="10" fillId="0" borderId="78" xfId="0" applyNumberFormat="1" applyFont="1" applyBorder="1"/>
    <xf numFmtId="171" fontId="9" fillId="0" borderId="20" xfId="0" applyNumberFormat="1" applyFont="1" applyBorder="1" applyAlignment="1">
      <alignment horizontal="right"/>
    </xf>
    <xf numFmtId="171" fontId="10" fillId="0" borderId="16" xfId="0" applyNumberFormat="1" applyFont="1" applyFill="1" applyBorder="1" applyAlignment="1">
      <alignment horizontal="right"/>
    </xf>
    <xf numFmtId="171" fontId="9" fillId="0" borderId="20" xfId="0" applyNumberFormat="1" applyFont="1" applyBorder="1" applyAlignment="1">
      <alignment horizontal="center"/>
    </xf>
    <xf numFmtId="171" fontId="9" fillId="0" borderId="20" xfId="0" applyNumberFormat="1" applyFont="1" applyFill="1" applyBorder="1" applyAlignment="1" applyProtection="1">
      <alignment horizontal="center"/>
    </xf>
    <xf numFmtId="171" fontId="10" fillId="0" borderId="16" xfId="0" applyNumberFormat="1" applyFont="1" applyFill="1" applyBorder="1" applyAlignment="1">
      <alignment horizontal="center"/>
    </xf>
    <xf numFmtId="171" fontId="9" fillId="0" borderId="20" xfId="30" applyNumberFormat="1" applyFont="1" applyFill="1" applyBorder="1" applyProtection="1"/>
    <xf numFmtId="171" fontId="9" fillId="0" borderId="22" xfId="30" applyNumberFormat="1" applyFont="1" applyFill="1" applyBorder="1" applyProtection="1"/>
    <xf numFmtId="0" fontId="9" fillId="0" borderId="0" xfId="0" applyFont="1" applyFill="1" applyBorder="1" applyAlignment="1">
      <alignment horizontal="center"/>
    </xf>
    <xf numFmtId="0" fontId="13" fillId="0" borderId="10" xfId="0" applyFont="1" applyFill="1" applyBorder="1" applyAlignment="1">
      <alignment horizontal="right"/>
    </xf>
    <xf numFmtId="165" fontId="9" fillId="0" borderId="0" xfId="30" applyNumberFormat="1" applyFont="1" applyFill="1" applyBorder="1"/>
    <xf numFmtId="0" fontId="4" fillId="24" borderId="69" xfId="0" applyFont="1" applyFill="1" applyBorder="1" applyAlignment="1" applyProtection="1">
      <alignment horizontal="center"/>
      <protection locked="0"/>
    </xf>
    <xf numFmtId="17" fontId="4" fillId="24" borderId="46" xfId="0" quotePrefix="1" applyNumberFormat="1" applyFont="1" applyFill="1" applyBorder="1" applyProtection="1">
      <protection locked="0"/>
    </xf>
    <xf numFmtId="0" fontId="4" fillId="24" borderId="46" xfId="0" applyFont="1" applyFill="1" applyBorder="1" applyProtection="1">
      <protection locked="0"/>
    </xf>
    <xf numFmtId="0" fontId="4" fillId="24" borderId="79" xfId="0" applyFont="1" applyFill="1" applyBorder="1" applyProtection="1">
      <protection locked="0"/>
    </xf>
    <xf numFmtId="0" fontId="4" fillId="24" borderId="14" xfId="0" applyFont="1" applyFill="1" applyBorder="1" applyAlignment="1" applyProtection="1">
      <alignment horizontal="center"/>
      <protection locked="0"/>
    </xf>
    <xf numFmtId="17" fontId="4" fillId="24" borderId="0" xfId="0" quotePrefix="1" applyNumberFormat="1" applyFont="1" applyFill="1" applyBorder="1" applyProtection="1">
      <protection locked="0"/>
    </xf>
    <xf numFmtId="0" fontId="4" fillId="24" borderId="0" xfId="0" applyFont="1" applyFill="1" applyBorder="1" applyProtection="1">
      <protection locked="0"/>
    </xf>
    <xf numFmtId="0" fontId="4" fillId="24" borderId="70" xfId="0" applyFont="1" applyFill="1" applyBorder="1" applyProtection="1">
      <protection locked="0"/>
    </xf>
    <xf numFmtId="0" fontId="4" fillId="24" borderId="70" xfId="0" applyFont="1" applyFill="1" applyBorder="1" applyAlignment="1" applyProtection="1">
      <alignment horizontal="center"/>
      <protection locked="0"/>
    </xf>
    <xf numFmtId="0" fontId="4" fillId="24" borderId="0" xfId="0" applyFont="1" applyFill="1" applyAlignment="1" applyProtection="1">
      <alignment horizontal="center"/>
      <protection locked="0"/>
    </xf>
    <xf numFmtId="0" fontId="4" fillId="24" borderId="0" xfId="0" applyFont="1" applyFill="1" applyAlignment="1" applyProtection="1">
      <alignment horizontal="left"/>
      <protection locked="0"/>
    </xf>
    <xf numFmtId="0" fontId="13" fillId="24" borderId="0" xfId="0" applyFont="1" applyFill="1" applyBorder="1" applyProtection="1">
      <protection locked="0"/>
    </xf>
    <xf numFmtId="167" fontId="9" fillId="24" borderId="75" xfId="0" applyNumberFormat="1" applyFont="1" applyFill="1" applyBorder="1" applyAlignment="1" applyProtection="1">
      <alignment horizontal="center"/>
      <protection locked="0"/>
    </xf>
    <xf numFmtId="0" fontId="9" fillId="24" borderId="10" xfId="0" applyNumberFormat="1" applyFont="1" applyFill="1" applyBorder="1" applyAlignment="1" applyProtection="1">
      <alignment horizontal="left" vertical="top" wrapText="1" indent="1"/>
      <protection locked="0"/>
    </xf>
    <xf numFmtId="9" fontId="9" fillId="24" borderId="80" xfId="47" applyFont="1" applyFill="1" applyBorder="1" applyAlignment="1" applyProtection="1">
      <alignment horizontal="center"/>
      <protection locked="0"/>
    </xf>
    <xf numFmtId="9" fontId="9" fillId="24" borderId="81" xfId="47" applyFont="1" applyFill="1" applyBorder="1" applyAlignment="1" applyProtection="1">
      <alignment horizontal="center"/>
      <protection locked="0"/>
    </xf>
    <xf numFmtId="9" fontId="9" fillId="24" borderId="71" xfId="47" applyFont="1" applyFill="1" applyBorder="1" applyAlignment="1" applyProtection="1">
      <alignment horizontal="center"/>
      <protection locked="0"/>
    </xf>
    <xf numFmtId="0" fontId="9" fillId="24" borderId="10" xfId="0" quotePrefix="1" applyFont="1" applyFill="1" applyBorder="1" applyAlignment="1" applyProtection="1">
      <alignment horizontal="left" indent="1"/>
      <protection locked="0"/>
    </xf>
    <xf numFmtId="0" fontId="10" fillId="24" borderId="58" xfId="0" applyFont="1" applyFill="1" applyBorder="1" applyAlignment="1" applyProtection="1">
      <alignment horizontal="center" vertical="top" wrapText="1"/>
      <protection locked="0"/>
    </xf>
    <xf numFmtId="0" fontId="10" fillId="24" borderId="39" xfId="0" applyFont="1" applyFill="1" applyBorder="1" applyAlignment="1" applyProtection="1">
      <alignment horizontal="center" vertical="top" wrapText="1"/>
      <protection locked="0"/>
    </xf>
    <xf numFmtId="0" fontId="10" fillId="24" borderId="62" xfId="0" applyFont="1" applyFill="1" applyBorder="1" applyAlignment="1" applyProtection="1">
      <alignment horizontal="center" vertical="top" wrapText="1"/>
      <protection locked="0"/>
    </xf>
    <xf numFmtId="0" fontId="10" fillId="24" borderId="19" xfId="0" applyFont="1" applyFill="1" applyBorder="1" applyAlignment="1" applyProtection="1">
      <alignment horizontal="center" vertical="top" wrapText="1"/>
      <protection locked="0"/>
    </xf>
    <xf numFmtId="0" fontId="10" fillId="24" borderId="20" xfId="0" applyFont="1" applyFill="1" applyBorder="1" applyAlignment="1" applyProtection="1">
      <alignment horizontal="center" vertical="top" wrapText="1"/>
      <protection locked="0"/>
    </xf>
    <xf numFmtId="0" fontId="10" fillId="24" borderId="21" xfId="0" applyFont="1" applyFill="1" applyBorder="1" applyAlignment="1" applyProtection="1">
      <alignment horizontal="center" vertical="top" wrapText="1"/>
      <protection locked="0"/>
    </xf>
    <xf numFmtId="0" fontId="10" fillId="24" borderId="38" xfId="0" applyFont="1" applyFill="1" applyBorder="1" applyAlignment="1" applyProtection="1">
      <alignment horizontal="center" vertical="top" wrapText="1"/>
      <protection locked="0"/>
    </xf>
    <xf numFmtId="0" fontId="12" fillId="24" borderId="10" xfId="0" applyNumberFormat="1" applyFont="1" applyFill="1" applyBorder="1" applyProtection="1">
      <protection locked="0"/>
    </xf>
    <xf numFmtId="0" fontId="0" fillId="24" borderId="0" xfId="0" applyFill="1" applyProtection="1">
      <protection locked="0"/>
    </xf>
    <xf numFmtId="0" fontId="2" fillId="24" borderId="0" xfId="0" applyFont="1" applyFill="1" applyBorder="1" applyProtection="1">
      <protection locked="0"/>
    </xf>
    <xf numFmtId="0" fontId="41" fillId="24" borderId="0" xfId="0" applyFont="1" applyFill="1" applyProtection="1">
      <protection locked="0"/>
    </xf>
    <xf numFmtId="0" fontId="0" fillId="0" borderId="0" xfId="0" applyFill="1"/>
    <xf numFmtId="0" fontId="10" fillId="31" borderId="45" xfId="0" applyFont="1" applyFill="1" applyBorder="1" applyAlignment="1" applyProtection="1">
      <alignment horizontal="left" vertical="top" wrapText="1"/>
      <protection locked="0"/>
    </xf>
    <xf numFmtId="0" fontId="10" fillId="32" borderId="75" xfId="0" applyFont="1" applyFill="1" applyBorder="1" applyAlignment="1" applyProtection="1">
      <alignment horizontal="left" vertical="top" wrapText="1" indent="1"/>
      <protection locked="0"/>
    </xf>
    <xf numFmtId="0" fontId="10" fillId="33" borderId="75" xfId="0" applyFont="1" applyFill="1" applyBorder="1" applyAlignment="1" applyProtection="1">
      <alignment horizontal="left" vertical="top" wrapText="1" indent="2"/>
      <protection locked="0"/>
    </xf>
    <xf numFmtId="0" fontId="13" fillId="24" borderId="45" xfId="0" applyFont="1" applyFill="1" applyBorder="1" applyAlignment="1" applyProtection="1">
      <alignment horizontal="left" wrapText="1"/>
      <protection locked="0"/>
    </xf>
    <xf numFmtId="0" fontId="10" fillId="24" borderId="45" xfId="0" applyFont="1" applyFill="1" applyBorder="1" applyAlignment="1" applyProtection="1">
      <alignment horizontal="left" vertical="top" wrapText="1"/>
      <protection locked="0"/>
    </xf>
    <xf numFmtId="0" fontId="10" fillId="24" borderId="75" xfId="0" applyFont="1" applyFill="1" applyBorder="1" applyAlignment="1" applyProtection="1">
      <alignment horizontal="left" vertical="top" wrapText="1"/>
      <protection locked="0"/>
    </xf>
    <xf numFmtId="0" fontId="10" fillId="24" borderId="75" xfId="0" applyFont="1" applyFill="1" applyBorder="1" applyAlignment="1" applyProtection="1">
      <alignment horizontal="left" wrapText="1" indent="1"/>
      <protection locked="0"/>
    </xf>
    <xf numFmtId="0" fontId="9" fillId="24" borderId="45" xfId="0" applyFont="1" applyFill="1" applyBorder="1" applyAlignment="1" applyProtection="1">
      <alignment horizontal="left" wrapText="1"/>
      <protection locked="0"/>
    </xf>
    <xf numFmtId="0" fontId="13" fillId="0" borderId="0" xfId="0" applyFont="1" applyFill="1" applyBorder="1" applyAlignment="1">
      <alignment horizontal="left" vertical="top" wrapText="1"/>
    </xf>
    <xf numFmtId="0" fontId="10" fillId="0" borderId="10" xfId="0" applyNumberFormat="1" applyFont="1" applyBorder="1" applyAlignment="1">
      <alignment horizontal="left" indent="1"/>
    </xf>
    <xf numFmtId="0" fontId="15" fillId="0" borderId="10" xfId="0" applyFont="1" applyFill="1" applyBorder="1" applyAlignment="1">
      <alignment horizontal="left" indent="1"/>
    </xf>
    <xf numFmtId="0" fontId="13" fillId="0" borderId="10" xfId="0" applyNumberFormat="1" applyFont="1" applyBorder="1" applyAlignment="1" applyProtection="1">
      <alignment horizontal="right" indent="1"/>
    </xf>
    <xf numFmtId="0" fontId="13" fillId="0" borderId="0" xfId="0" applyFont="1" applyFill="1" applyBorder="1" applyProtection="1"/>
    <xf numFmtId="0" fontId="10" fillId="0" borderId="10" xfId="0" applyNumberFormat="1" applyFont="1" applyFill="1" applyBorder="1" applyAlignment="1">
      <alignment horizontal="left"/>
    </xf>
    <xf numFmtId="0" fontId="42" fillId="0" borderId="0" xfId="0" applyFont="1"/>
    <xf numFmtId="0" fontId="42" fillId="0" borderId="22" xfId="0" applyFont="1" applyBorder="1"/>
    <xf numFmtId="0" fontId="43" fillId="0" borderId="19" xfId="0" applyFont="1" applyFill="1" applyBorder="1" applyAlignment="1">
      <alignment horizontal="left" vertical="top" wrapText="1" indent="3"/>
    </xf>
    <xf numFmtId="0" fontId="11" fillId="0" borderId="14" xfId="0" applyFont="1" applyFill="1" applyBorder="1" applyAlignment="1">
      <alignment horizontal="left" indent="1"/>
    </xf>
    <xf numFmtId="0" fontId="10" fillId="0" borderId="37" xfId="0" applyFont="1" applyFill="1" applyBorder="1"/>
    <xf numFmtId="0" fontId="9" fillId="0" borderId="0" xfId="0" applyFont="1" applyFill="1" applyAlignment="1">
      <alignment horizontal="center"/>
    </xf>
    <xf numFmtId="0" fontId="9" fillId="0" borderId="0" xfId="0" applyFont="1" applyFill="1" applyProtection="1"/>
    <xf numFmtId="0" fontId="9" fillId="0" borderId="20" xfId="0" applyFont="1" applyFill="1" applyBorder="1" applyAlignment="1">
      <alignment horizontal="center"/>
    </xf>
    <xf numFmtId="0" fontId="9" fillId="0" borderId="0" xfId="0" applyFont="1" applyFill="1" applyBorder="1" applyAlignment="1">
      <alignment vertical="top" wrapText="1"/>
    </xf>
    <xf numFmtId="0" fontId="9" fillId="0" borderId="0" xfId="0" applyFont="1" applyFill="1" applyAlignment="1"/>
    <xf numFmtId="0" fontId="10" fillId="0" borderId="0" xfId="0" applyFont="1" applyFill="1" applyBorder="1" applyAlignment="1">
      <alignment horizontal="center"/>
    </xf>
    <xf numFmtId="171" fontId="10" fillId="0" borderId="0" xfId="0" applyNumberFormat="1" applyFont="1" applyFill="1" applyBorder="1" applyAlignment="1">
      <alignment horizontal="left"/>
    </xf>
    <xf numFmtId="171" fontId="9" fillId="0" borderId="0" xfId="0" applyNumberFormat="1" applyFont="1" applyFill="1" applyBorder="1" applyAlignment="1">
      <alignment horizontal="left"/>
    </xf>
    <xf numFmtId="0" fontId="18" fillId="0" borderId="0" xfId="0" applyFont="1" applyFill="1"/>
    <xf numFmtId="0" fontId="9" fillId="0" borderId="0" xfId="0" applyFont="1" applyFill="1" applyAlignment="1">
      <alignment wrapText="1"/>
    </xf>
    <xf numFmtId="0" fontId="11" fillId="0" borderId="28" xfId="0" applyNumberFormat="1" applyFont="1" applyBorder="1"/>
    <xf numFmtId="0" fontId="10" fillId="0" borderId="54" xfId="0" applyNumberFormat="1" applyFont="1" applyBorder="1"/>
    <xf numFmtId="0" fontId="13" fillId="0" borderId="0" xfId="0" applyNumberFormat="1" applyFont="1" applyBorder="1" applyProtection="1"/>
    <xf numFmtId="0" fontId="10" fillId="0" borderId="54" xfId="0" applyNumberFormat="1" applyFont="1" applyBorder="1" applyAlignment="1">
      <alignment wrapText="1"/>
    </xf>
    <xf numFmtId="0" fontId="10" fillId="0" borderId="54" xfId="0" applyNumberFormat="1" applyFont="1" applyBorder="1" applyAlignment="1">
      <alignment vertical="top" wrapText="1"/>
    </xf>
    <xf numFmtId="171" fontId="10" fillId="0" borderId="63" xfId="0" applyNumberFormat="1" applyFont="1" applyBorder="1" applyAlignment="1">
      <alignment horizontal="center"/>
    </xf>
    <xf numFmtId="0" fontId="44" fillId="0" borderId="0" xfId="0" applyFont="1" applyFill="1" applyBorder="1" applyAlignment="1">
      <alignment horizontal="left"/>
    </xf>
    <xf numFmtId="0" fontId="45" fillId="0" borderId="0" xfId="0" applyFont="1"/>
    <xf numFmtId="0" fontId="47" fillId="0" borderId="10" xfId="0" applyFont="1" applyFill="1" applyBorder="1" applyAlignment="1">
      <alignment horizontal="center" vertical="center"/>
    </xf>
    <xf numFmtId="0" fontId="46" fillId="0" borderId="37" xfId="0" applyFont="1" applyFill="1" applyBorder="1" applyAlignment="1">
      <alignment horizontal="left" vertical="center"/>
    </xf>
    <xf numFmtId="0" fontId="48" fillId="0" borderId="10" xfId="0" applyFont="1" applyBorder="1"/>
    <xf numFmtId="0" fontId="45" fillId="0" borderId="30" xfId="0" applyFont="1" applyBorder="1" applyAlignment="1">
      <alignment horizontal="center"/>
    </xf>
    <xf numFmtId="0" fontId="45" fillId="0" borderId="20" xfId="0" applyFont="1" applyBorder="1" applyAlignment="1">
      <alignment horizontal="center"/>
    </xf>
    <xf numFmtId="0" fontId="46" fillId="0" borderId="10" xfId="0" applyFont="1" applyFill="1" applyBorder="1" applyAlignment="1" applyProtection="1">
      <alignment horizontal="left" indent="1"/>
    </xf>
    <xf numFmtId="0" fontId="46"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Fill="1" applyBorder="1" applyAlignment="1">
      <alignment horizontal="center"/>
    </xf>
    <xf numFmtId="0" fontId="46" fillId="0" borderId="10" xfId="0" applyFont="1" applyBorder="1" applyAlignment="1">
      <alignment horizontal="left"/>
    </xf>
    <xf numFmtId="0" fontId="45" fillId="0" borderId="23" xfId="0" applyFont="1" applyBorder="1"/>
    <xf numFmtId="0" fontId="45" fillId="0" borderId="32" xfId="0" applyFont="1" applyBorder="1" applyAlignment="1">
      <alignment horizontal="center"/>
    </xf>
    <xf numFmtId="0" fontId="45" fillId="0" borderId="22" xfId="0" applyFont="1" applyBorder="1" applyAlignment="1">
      <alignment horizontal="center"/>
    </xf>
    <xf numFmtId="0" fontId="46" fillId="0" borderId="80" xfId="0" applyFont="1" applyBorder="1"/>
    <xf numFmtId="0" fontId="45" fillId="0" borderId="77" xfId="0" applyFont="1" applyBorder="1" applyAlignment="1">
      <alignment horizontal="center"/>
    </xf>
    <xf numFmtId="0" fontId="49" fillId="0" borderId="0" xfId="0" applyFont="1"/>
    <xf numFmtId="0" fontId="45" fillId="0" borderId="0" xfId="0" applyFont="1" applyBorder="1" applyAlignment="1" applyProtection="1">
      <alignment horizontal="center"/>
      <protection locked="0"/>
    </xf>
    <xf numFmtId="0" fontId="50" fillId="0" borderId="0" xfId="0" applyFont="1" applyBorder="1" applyProtection="1"/>
    <xf numFmtId="0" fontId="47" fillId="0" borderId="0" xfId="0" quotePrefix="1" applyFont="1" applyBorder="1" applyProtection="1"/>
    <xf numFmtId="0" fontId="47" fillId="0" borderId="0" xfId="0" applyFont="1" applyBorder="1" applyAlignment="1" applyProtection="1">
      <alignment horizontal="center"/>
      <protection locked="0"/>
    </xf>
    <xf numFmtId="0" fontId="47" fillId="0" borderId="0" xfId="0" applyFont="1" applyBorder="1" applyAlignment="1" applyProtection="1">
      <alignment horizontal="left"/>
    </xf>
    <xf numFmtId="171" fontId="10" fillId="0" borderId="40" xfId="0" applyNumberFormat="1" applyFont="1" applyFill="1" applyBorder="1" applyProtection="1"/>
    <xf numFmtId="0" fontId="10" fillId="0" borderId="30" xfId="0" applyFont="1" applyFill="1" applyBorder="1" applyAlignment="1">
      <alignment horizontal="center"/>
    </xf>
    <xf numFmtId="168" fontId="12" fillId="0" borderId="0" xfId="0" applyNumberFormat="1" applyFont="1" applyFill="1" applyBorder="1" applyProtection="1">
      <protection locked="0"/>
    </xf>
    <xf numFmtId="168" fontId="12" fillId="0" borderId="0" xfId="0" applyNumberFormat="1" applyFont="1" applyFill="1" applyBorder="1" applyProtection="1"/>
    <xf numFmtId="169" fontId="9" fillId="0" borderId="20" xfId="47" applyNumberFormat="1" applyFont="1" applyFill="1" applyBorder="1" applyAlignment="1">
      <alignment horizontal="center" vertical="top" wrapText="1"/>
    </xf>
    <xf numFmtId="169" fontId="9" fillId="0" borderId="21" xfId="47" applyNumberFormat="1" applyFont="1" applyFill="1" applyBorder="1" applyAlignment="1">
      <alignment horizontal="center" vertical="top" wrapText="1"/>
    </xf>
    <xf numFmtId="169" fontId="9" fillId="0" borderId="22" xfId="47" applyNumberFormat="1" applyFont="1" applyFill="1" applyBorder="1" applyAlignment="1">
      <alignment horizontal="center" vertical="top" wrapText="1"/>
    </xf>
    <xf numFmtId="0" fontId="51" fillId="0" borderId="11" xfId="0" applyFont="1" applyFill="1" applyBorder="1" applyAlignment="1" applyProtection="1">
      <alignment horizontal="left"/>
    </xf>
    <xf numFmtId="171" fontId="10" fillId="0" borderId="76" xfId="0" applyNumberFormat="1" applyFont="1" applyFill="1" applyBorder="1" applyProtection="1"/>
    <xf numFmtId="171" fontId="10" fillId="0" borderId="77" xfId="0" applyNumberFormat="1" applyFont="1" applyFill="1" applyBorder="1" applyProtection="1"/>
    <xf numFmtId="171" fontId="10" fillId="0" borderId="82" xfId="0" applyNumberFormat="1" applyFont="1" applyFill="1" applyBorder="1" applyProtection="1"/>
    <xf numFmtId="171" fontId="10" fillId="0" borderId="82" xfId="0" applyNumberFormat="1" applyFont="1" applyBorder="1"/>
    <xf numFmtId="171" fontId="9" fillId="0" borderId="0" xfId="0" applyNumberFormat="1" applyFont="1" applyFill="1" applyBorder="1" applyProtection="1"/>
    <xf numFmtId="171" fontId="9" fillId="0" borderId="83" xfId="0" applyNumberFormat="1" applyFont="1" applyFill="1" applyBorder="1" applyProtection="1"/>
    <xf numFmtId="171" fontId="9" fillId="0" borderId="16" xfId="30" applyNumberFormat="1" applyFont="1" applyFill="1" applyBorder="1" applyProtection="1"/>
    <xf numFmtId="172" fontId="9" fillId="0" borderId="20" xfId="0" applyNumberFormat="1" applyFont="1" applyFill="1" applyBorder="1" applyProtection="1"/>
    <xf numFmtId="172" fontId="9" fillId="0" borderId="39" xfId="0" applyNumberFormat="1" applyFont="1" applyFill="1" applyBorder="1" applyProtection="1"/>
    <xf numFmtId="172" fontId="9" fillId="0" borderId="43" xfId="0" applyNumberFormat="1" applyFont="1" applyFill="1" applyBorder="1" applyProtection="1"/>
    <xf numFmtId="172" fontId="9" fillId="0" borderId="44" xfId="0" applyNumberFormat="1" applyFont="1" applyFill="1" applyBorder="1" applyProtection="1"/>
    <xf numFmtId="172" fontId="10" fillId="0" borderId="16" xfId="0" applyNumberFormat="1" applyFont="1" applyFill="1" applyBorder="1" applyProtection="1"/>
    <xf numFmtId="172" fontId="10" fillId="0" borderId="18" xfId="0" applyNumberFormat="1" applyFont="1" applyFill="1" applyBorder="1" applyProtection="1"/>
    <xf numFmtId="172" fontId="9" fillId="0" borderId="22" xfId="0" applyNumberFormat="1" applyFont="1" applyFill="1" applyBorder="1" applyProtection="1"/>
    <xf numFmtId="171" fontId="9" fillId="36" borderId="20" xfId="0" applyNumberFormat="1" applyFont="1" applyFill="1" applyBorder="1" applyProtection="1">
      <protection locked="0"/>
    </xf>
    <xf numFmtId="171" fontId="9" fillId="36" borderId="22" xfId="0" applyNumberFormat="1" applyFont="1" applyFill="1" applyBorder="1" applyProtection="1">
      <protection locked="0"/>
    </xf>
    <xf numFmtId="0" fontId="13" fillId="0" borderId="0" xfId="0" applyNumberFormat="1" applyFont="1" applyFill="1" applyBorder="1" applyAlignment="1" applyProtection="1">
      <alignment horizontal="left"/>
    </xf>
    <xf numFmtId="0" fontId="9" fillId="0" borderId="14" xfId="0" applyNumberFormat="1" applyFont="1" applyBorder="1" applyAlignment="1" applyProtection="1">
      <alignment horizontal="center"/>
    </xf>
    <xf numFmtId="0" fontId="10" fillId="0" borderId="14" xfId="0" applyNumberFormat="1" applyFont="1" applyBorder="1" applyAlignment="1" applyProtection="1">
      <alignment horizontal="center"/>
      <protection locked="0"/>
    </xf>
    <xf numFmtId="0" fontId="9" fillId="0" borderId="14" xfId="0" applyNumberFormat="1" applyFont="1" applyBorder="1" applyAlignment="1" applyProtection="1">
      <alignment horizontal="center"/>
      <protection locked="0"/>
    </xf>
    <xf numFmtId="0" fontId="9" fillId="0" borderId="14" xfId="0" applyNumberFormat="1" applyFont="1" applyFill="1" applyBorder="1" applyAlignment="1" applyProtection="1">
      <alignment horizontal="center"/>
      <protection locked="0"/>
    </xf>
    <xf numFmtId="0" fontId="9" fillId="0" borderId="45" xfId="0" applyNumberFormat="1" applyFont="1" applyBorder="1" applyAlignment="1" applyProtection="1">
      <alignment horizontal="center"/>
    </xf>
    <xf numFmtId="0" fontId="9" fillId="0" borderId="69" xfId="0" applyNumberFormat="1" applyFont="1" applyBorder="1" applyAlignment="1" applyProtection="1">
      <alignment horizontal="center"/>
    </xf>
    <xf numFmtId="0" fontId="10" fillId="0" borderId="14" xfId="0" applyNumberFormat="1" applyFont="1" applyBorder="1" applyAlignment="1" applyProtection="1">
      <alignment horizontal="center"/>
    </xf>
    <xf numFmtId="0" fontId="9" fillId="0" borderId="55" xfId="0" applyNumberFormat="1" applyFont="1" applyBorder="1" applyAlignment="1" applyProtection="1">
      <alignment horizontal="center"/>
      <protection locked="0"/>
    </xf>
    <xf numFmtId="171" fontId="9" fillId="36" borderId="19" xfId="0" applyNumberFormat="1" applyFont="1" applyFill="1" applyBorder="1" applyProtection="1">
      <protection locked="0"/>
    </xf>
    <xf numFmtId="0" fontId="9" fillId="36" borderId="14" xfId="0" applyFont="1" applyFill="1" applyBorder="1" applyAlignment="1" applyProtection="1">
      <alignment horizontal="left" wrapText="1"/>
      <protection locked="0"/>
    </xf>
    <xf numFmtId="0" fontId="61" fillId="37" borderId="0" xfId="0" applyFont="1" applyFill="1" applyProtection="1"/>
    <xf numFmtId="0" fontId="62" fillId="37" borderId="0" xfId="0" applyFont="1" applyFill="1" applyAlignment="1" applyProtection="1">
      <alignment horizontal="right"/>
    </xf>
    <xf numFmtId="0" fontId="54" fillId="37" borderId="0" xfId="0" applyFont="1" applyFill="1" applyProtection="1"/>
    <xf numFmtId="0" fontId="63" fillId="37" borderId="0" xfId="0" applyFont="1" applyFill="1" applyProtection="1"/>
    <xf numFmtId="0" fontId="64" fillId="37" borderId="0" xfId="0" applyFont="1" applyFill="1" applyAlignment="1" applyProtection="1">
      <alignment horizontal="right"/>
    </xf>
    <xf numFmtId="0" fontId="55" fillId="36" borderId="75" xfId="0" applyFont="1" applyFill="1" applyBorder="1" applyProtection="1">
      <protection locked="0"/>
    </xf>
    <xf numFmtId="0" fontId="63" fillId="37" borderId="0" xfId="0" applyFont="1" applyFill="1" applyProtection="1">
      <protection locked="0"/>
    </xf>
    <xf numFmtId="49" fontId="63" fillId="37" borderId="0" xfId="0" applyNumberFormat="1" applyFont="1" applyFill="1" applyAlignment="1" applyProtection="1">
      <alignment horizontal="right"/>
    </xf>
    <xf numFmtId="0" fontId="43" fillId="36" borderId="0" xfId="0" applyFont="1" applyFill="1" applyAlignment="1" applyProtection="1">
      <alignment horizontal="left" indent="1"/>
      <protection locked="0"/>
    </xf>
    <xf numFmtId="0" fontId="63" fillId="37" borderId="10" xfId="0" applyFont="1" applyFill="1" applyBorder="1" applyAlignment="1" applyProtection="1">
      <alignment horizontal="left" indent="1"/>
      <protection locked="0"/>
    </xf>
    <xf numFmtId="49" fontId="64" fillId="37" borderId="0" xfId="0" applyNumberFormat="1" applyFont="1" applyFill="1" applyAlignment="1" applyProtection="1">
      <alignment horizontal="right"/>
    </xf>
    <xf numFmtId="0" fontId="63" fillId="37" borderId="0" xfId="0" applyFont="1" applyFill="1" applyAlignment="1" applyProtection="1">
      <alignment horizontal="right"/>
    </xf>
    <xf numFmtId="0" fontId="43" fillId="37" borderId="0" xfId="0" applyFont="1" applyFill="1" applyProtection="1">
      <protection locked="0"/>
    </xf>
    <xf numFmtId="0" fontId="9" fillId="0" borderId="14" xfId="0" applyFont="1" applyFill="1" applyBorder="1" applyAlignment="1" applyProtection="1">
      <alignment horizontal="left" indent="1"/>
    </xf>
    <xf numFmtId="171" fontId="9" fillId="0" borderId="10" xfId="0" applyNumberFormat="1" applyFont="1" applyBorder="1" applyAlignment="1">
      <alignment horizontal="left" indent="1"/>
    </xf>
    <xf numFmtId="0" fontId="19" fillId="0" borderId="72" xfId="0" applyFont="1" applyBorder="1" applyProtection="1">
      <protection hidden="1"/>
    </xf>
    <xf numFmtId="0" fontId="19" fillId="0" borderId="0" xfId="0" applyFont="1" applyProtection="1">
      <protection hidden="1"/>
    </xf>
    <xf numFmtId="0" fontId="19" fillId="0" borderId="0" xfId="0" applyFont="1"/>
    <xf numFmtId="0" fontId="19" fillId="0" borderId="0" xfId="0" applyFont="1" applyBorder="1" applyProtection="1">
      <protection hidden="1"/>
    </xf>
    <xf numFmtId="0" fontId="19" fillId="0" borderId="70" xfId="0" applyFont="1" applyBorder="1" applyProtection="1">
      <protection hidden="1"/>
    </xf>
    <xf numFmtId="0" fontId="56" fillId="0" borderId="0" xfId="0" applyFont="1" applyBorder="1" applyProtection="1">
      <protection hidden="1"/>
    </xf>
    <xf numFmtId="0" fontId="57" fillId="0" borderId="70" xfId="0" applyFont="1" applyBorder="1" applyProtection="1">
      <protection hidden="1"/>
    </xf>
    <xf numFmtId="0" fontId="8" fillId="0" borderId="84" xfId="0" applyFont="1" applyBorder="1" applyAlignment="1" applyProtection="1">
      <alignment horizontal="left" vertical="top" wrapText="1"/>
    </xf>
    <xf numFmtId="0" fontId="8" fillId="36" borderId="85" xfId="0" applyFont="1" applyFill="1" applyBorder="1" applyAlignment="1" applyProtection="1">
      <alignment horizontal="justify" vertical="center" wrapText="1"/>
      <protection locked="0" hidden="1"/>
    </xf>
    <xf numFmtId="0" fontId="19" fillId="0" borderId="0" xfId="0" applyFont="1" applyBorder="1" applyAlignment="1" applyProtection="1">
      <alignment horizontal="left" vertical="center"/>
    </xf>
    <xf numFmtId="0" fontId="19" fillId="0" borderId="0" xfId="0" applyFont="1" applyBorder="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0" xfId="0" quotePrefix="1" applyNumberFormat="1" applyFont="1" applyProtection="1"/>
    <xf numFmtId="0" fontId="58" fillId="0" borderId="0" xfId="0" applyFont="1" applyAlignment="1">
      <alignment wrapText="1"/>
    </xf>
    <xf numFmtId="0" fontId="19" fillId="0" borderId="0" xfId="0" applyNumberFormat="1" applyFont="1" applyProtection="1"/>
    <xf numFmtId="0" fontId="8" fillId="0" borderId="23" xfId="0" applyFont="1" applyFill="1" applyBorder="1" applyAlignment="1" applyProtection="1">
      <alignment horizontal="left" vertical="top" wrapText="1"/>
    </xf>
    <xf numFmtId="0" fontId="8" fillId="0" borderId="72" xfId="0" applyFont="1" applyFill="1" applyBorder="1" applyAlignment="1" applyProtection="1">
      <alignment horizontal="justify" vertical="center" wrapText="1"/>
      <protection locked="0"/>
    </xf>
    <xf numFmtId="0" fontId="19" fillId="0" borderId="0" xfId="0" applyFont="1" applyAlignment="1" applyProtection="1">
      <alignment vertical="center"/>
    </xf>
    <xf numFmtId="0" fontId="8" fillId="0" borderId="28" xfId="0" applyFont="1" applyBorder="1" applyAlignment="1">
      <alignment vertical="center"/>
    </xf>
    <xf numFmtId="0" fontId="19" fillId="36" borderId="79" xfId="0" applyFont="1" applyFill="1" applyBorder="1" applyAlignment="1" applyProtection="1">
      <alignment vertical="center"/>
      <protection locked="0"/>
    </xf>
    <xf numFmtId="0" fontId="13" fillId="0" borderId="0" xfId="38" applyFont="1" applyAlignment="1" applyProtection="1"/>
    <xf numFmtId="0" fontId="19" fillId="0" borderId="0" xfId="0" applyFont="1" applyBorder="1" applyAlignment="1">
      <alignment vertical="center"/>
    </xf>
    <xf numFmtId="0" fontId="19" fillId="0" borderId="0" xfId="0" applyFont="1" applyAlignment="1" applyProtection="1">
      <alignment vertical="center"/>
      <protection hidden="1"/>
    </xf>
    <xf numFmtId="0" fontId="19" fillId="0" borderId="0" xfId="0" applyFont="1" applyAlignment="1">
      <alignment vertical="center"/>
    </xf>
    <xf numFmtId="0" fontId="19" fillId="0" borderId="23" xfId="0" applyFont="1" applyBorder="1" applyAlignment="1">
      <alignment vertical="center"/>
    </xf>
    <xf numFmtId="0" fontId="19" fillId="0" borderId="72" xfId="0" applyFont="1" applyBorder="1" applyAlignment="1">
      <alignment vertical="center"/>
    </xf>
    <xf numFmtId="0" fontId="8" fillId="0" borderId="10" xfId="0" applyFont="1" applyFill="1" applyBorder="1" applyAlignment="1" applyProtection="1">
      <alignment horizontal="justify" vertical="center" wrapText="1"/>
    </xf>
    <xf numFmtId="0" fontId="8" fillId="0" borderId="70" xfId="0" applyFont="1" applyFill="1" applyBorder="1" applyAlignment="1" applyProtection="1">
      <alignment horizontal="justify" vertical="center" wrapText="1"/>
      <protection locked="0" hidden="1"/>
    </xf>
    <xf numFmtId="0" fontId="8" fillId="0" borderId="0" xfId="0" applyFont="1" applyBorder="1" applyAlignment="1" applyProtection="1">
      <alignment horizontal="justify" vertical="top" wrapText="1"/>
    </xf>
    <xf numFmtId="0" fontId="8" fillId="0" borderId="23" xfId="0" applyFont="1" applyFill="1" applyBorder="1" applyAlignment="1" applyProtection="1">
      <alignment horizontal="justify" vertical="center" wrapText="1"/>
    </xf>
    <xf numFmtId="0" fontId="8" fillId="0" borderId="72" xfId="0" applyFont="1" applyFill="1" applyBorder="1" applyAlignment="1" applyProtection="1">
      <alignment horizontal="justify" vertical="center" wrapText="1"/>
    </xf>
    <xf numFmtId="0" fontId="8" fillId="0" borderId="10" xfId="0" applyFont="1" applyFill="1" applyBorder="1" applyAlignment="1" applyProtection="1">
      <alignment horizontal="left" vertical="top" wrapText="1"/>
    </xf>
    <xf numFmtId="0" fontId="19" fillId="0" borderId="0" xfId="38" applyFont="1" applyBorder="1" applyAlignment="1" applyProtection="1"/>
    <xf numFmtId="0" fontId="8" fillId="0" borderId="0" xfId="0" applyFont="1" applyFill="1" applyBorder="1" applyAlignment="1" applyProtection="1">
      <alignment horizontal="left" vertical="top" wrapText="1"/>
      <protection locked="0"/>
    </xf>
    <xf numFmtId="0" fontId="8" fillId="0" borderId="23" xfId="0" applyFont="1" applyFill="1" applyBorder="1" applyAlignment="1" applyProtection="1">
      <alignment horizontal="justify" vertical="top" wrapText="1"/>
    </xf>
    <xf numFmtId="0" fontId="8" fillId="0" borderId="72" xfId="0" applyFont="1" applyBorder="1" applyAlignment="1" applyProtection="1">
      <alignment horizontal="justify" vertical="top" wrapText="1"/>
    </xf>
    <xf numFmtId="0" fontId="8" fillId="0" borderId="0" xfId="0" applyFont="1" applyFill="1" applyBorder="1" applyAlignment="1" applyProtection="1">
      <alignment horizontal="justify" vertical="top" wrapText="1"/>
    </xf>
    <xf numFmtId="0" fontId="19" fillId="0" borderId="23" xfId="0" applyFont="1" applyBorder="1" applyAlignment="1" applyProtection="1">
      <alignment horizontal="justify" vertical="top" wrapText="1"/>
    </xf>
    <xf numFmtId="0" fontId="19" fillId="0" borderId="72" xfId="0" applyFont="1" applyBorder="1" applyAlignment="1" applyProtection="1">
      <alignment horizontal="justify" vertical="top" wrapText="1"/>
    </xf>
    <xf numFmtId="0" fontId="8" fillId="0" borderId="0" xfId="0" applyFont="1" applyAlignment="1" applyProtection="1">
      <alignment vertical="center"/>
    </xf>
    <xf numFmtId="0" fontId="8" fillId="0" borderId="0" xfId="0" applyFont="1" applyProtection="1"/>
    <xf numFmtId="0" fontId="8" fillId="0" borderId="84" xfId="0" applyFont="1" applyBorder="1" applyAlignment="1" applyProtection="1">
      <alignment horizontal="justify" wrapText="1"/>
    </xf>
    <xf numFmtId="0" fontId="19" fillId="0" borderId="85" xfId="0" applyFont="1" applyBorder="1" applyAlignment="1" applyProtection="1">
      <alignment horizontal="justify" wrapText="1"/>
    </xf>
    <xf numFmtId="0" fontId="19" fillId="0" borderId="80" xfId="0" applyFont="1" applyBorder="1" applyAlignment="1" applyProtection="1">
      <alignment horizontal="justify" wrapText="1"/>
    </xf>
    <xf numFmtId="0" fontId="19" fillId="36" borderId="71" xfId="0" applyFont="1" applyFill="1" applyBorder="1" applyAlignment="1" applyProtection="1">
      <alignment horizontal="justify" wrapText="1"/>
      <protection locked="0"/>
    </xf>
    <xf numFmtId="0" fontId="19" fillId="0" borderId="28" xfId="0" applyFont="1" applyBorder="1" applyAlignment="1" applyProtection="1">
      <alignment horizontal="justify" wrapText="1"/>
    </xf>
    <xf numFmtId="173" fontId="19" fillId="36" borderId="79" xfId="0" applyNumberFormat="1" applyFont="1" applyFill="1" applyBorder="1" applyAlignment="1" applyProtection="1">
      <alignment horizontal="justify" wrapText="1"/>
      <protection locked="0"/>
    </xf>
    <xf numFmtId="0" fontId="19" fillId="0" borderId="23" xfId="0" applyFont="1" applyFill="1" applyBorder="1" applyAlignment="1" applyProtection="1">
      <alignment horizontal="justify" wrapText="1"/>
    </xf>
    <xf numFmtId="0" fontId="8" fillId="0" borderId="80" xfId="0" applyFont="1" applyBorder="1" applyAlignment="1" applyProtection="1">
      <alignment horizontal="justify" wrapText="1"/>
    </xf>
    <xf numFmtId="0" fontId="19" fillId="36" borderId="79" xfId="0" applyFont="1" applyFill="1" applyBorder="1" applyAlignment="1" applyProtection="1">
      <alignment horizontal="justify" wrapText="1"/>
      <protection locked="0"/>
    </xf>
    <xf numFmtId="0" fontId="13" fillId="0" borderId="0" xfId="0" applyFont="1" applyProtection="1">
      <protection hidden="1"/>
    </xf>
    <xf numFmtId="0" fontId="19" fillId="0" borderId="0" xfId="38" applyFont="1" applyAlignment="1" applyProtection="1">
      <protection hidden="1"/>
    </xf>
    <xf numFmtId="0" fontId="59" fillId="0" borderId="0" xfId="38" applyFont="1" applyAlignment="1" applyProtection="1">
      <protection hidden="1"/>
    </xf>
    <xf numFmtId="0" fontId="19" fillId="0" borderId="0" xfId="0" applyFont="1" applyProtection="1">
      <protection locked="0" hidden="1"/>
    </xf>
    <xf numFmtId="0" fontId="19" fillId="0" borderId="0" xfId="0" applyFont="1" applyProtection="1">
      <protection locked="0"/>
    </xf>
    <xf numFmtId="0" fontId="59" fillId="0" borderId="0" xfId="38" applyFont="1" applyAlignment="1" applyProtection="1">
      <protection locked="0" hidden="1"/>
    </xf>
    <xf numFmtId="0" fontId="19" fillId="0" borderId="0" xfId="0" applyFont="1" applyFill="1" applyProtection="1"/>
    <xf numFmtId="0" fontId="10" fillId="0" borderId="2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9" fillId="0" borderId="10" xfId="0" applyNumberFormat="1" applyFont="1" applyFill="1" applyBorder="1" applyAlignment="1" applyProtection="1">
      <alignment horizontal="left" vertical="top" wrapText="1" indent="1"/>
      <protection locked="0"/>
    </xf>
    <xf numFmtId="165" fontId="9" fillId="24" borderId="36" xfId="30" applyNumberFormat="1" applyFont="1" applyFill="1" applyBorder="1" applyAlignment="1" applyProtection="1">
      <alignment horizontal="left" vertical="top" wrapText="1"/>
      <protection locked="0"/>
    </xf>
    <xf numFmtId="2" fontId="9" fillId="24" borderId="36" xfId="30" applyNumberFormat="1" applyFont="1" applyFill="1" applyBorder="1" applyAlignment="1" applyProtection="1">
      <alignment horizontal="center" vertical="top" wrapText="1"/>
      <protection locked="0"/>
    </xf>
    <xf numFmtId="165" fontId="9" fillId="24" borderId="22" xfId="30" applyNumberFormat="1" applyFont="1" applyFill="1" applyBorder="1" applyAlignment="1" applyProtection="1">
      <alignment horizontal="left" vertical="top" wrapText="1"/>
      <protection locked="0"/>
    </xf>
    <xf numFmtId="172" fontId="9" fillId="24" borderId="36" xfId="30" applyNumberFormat="1" applyFont="1" applyFill="1" applyBorder="1" applyAlignment="1" applyProtection="1">
      <alignment horizontal="left" vertical="top" wrapText="1"/>
      <protection locked="0"/>
    </xf>
    <xf numFmtId="172" fontId="9" fillId="0" borderId="36" xfId="30" applyNumberFormat="1" applyFont="1" applyFill="1" applyBorder="1" applyAlignment="1" applyProtection="1">
      <alignment horizontal="left" vertical="top" wrapText="1"/>
    </xf>
    <xf numFmtId="172" fontId="9" fillId="24" borderId="36" xfId="47" applyNumberFormat="1" applyFont="1" applyFill="1" applyBorder="1" applyAlignment="1" applyProtection="1">
      <alignment horizontal="center" vertical="top" wrapText="1"/>
      <protection locked="0"/>
    </xf>
    <xf numFmtId="172" fontId="9" fillId="24" borderId="22" xfId="30" applyNumberFormat="1" applyFont="1" applyFill="1" applyBorder="1" applyAlignment="1" applyProtection="1">
      <alignment horizontal="left" vertical="top" wrapText="1"/>
      <protection locked="0"/>
    </xf>
    <xf numFmtId="0" fontId="9" fillId="0" borderId="32" xfId="0" applyNumberFormat="1" applyFont="1" applyBorder="1" applyAlignment="1" applyProtection="1">
      <alignment horizontal="center" vertical="top" wrapText="1"/>
    </xf>
    <xf numFmtId="0" fontId="9" fillId="0" borderId="22" xfId="0" applyNumberFormat="1" applyFont="1" applyFill="1" applyBorder="1" applyAlignment="1" applyProtection="1">
      <alignment horizontal="center" vertical="top" wrapText="1"/>
    </xf>
    <xf numFmtId="0" fontId="9" fillId="0" borderId="40" xfId="0" applyNumberFormat="1" applyFont="1" applyFill="1" applyBorder="1" applyAlignment="1" applyProtection="1">
      <alignment horizontal="center" vertical="top" wrapText="1"/>
    </xf>
    <xf numFmtId="0" fontId="9" fillId="0" borderId="22" xfId="0" applyNumberFormat="1" applyFont="1" applyFill="1" applyBorder="1" applyAlignment="1" applyProtection="1">
      <alignment horizontal="center" wrapText="1"/>
    </xf>
    <xf numFmtId="0" fontId="9" fillId="0" borderId="22" xfId="0" applyNumberFormat="1" applyFont="1" applyFill="1" applyBorder="1" applyAlignment="1" applyProtection="1">
      <alignment horizontal="center" vertical="top" wrapText="1"/>
      <protection locked="0"/>
    </xf>
    <xf numFmtId="0" fontId="9" fillId="0" borderId="40" xfId="0" applyNumberFormat="1" applyFont="1" applyFill="1" applyBorder="1" applyAlignment="1" applyProtection="1">
      <alignment horizontal="center" vertical="top" wrapText="1"/>
      <protection locked="0"/>
    </xf>
    <xf numFmtId="0" fontId="9" fillId="0" borderId="27" xfId="0" applyFont="1" applyBorder="1" applyAlignment="1" applyProtection="1">
      <alignment horizontal="center" vertical="top" wrapText="1"/>
    </xf>
    <xf numFmtId="0" fontId="13" fillId="0" borderId="0" xfId="0" applyFont="1" applyAlignment="1">
      <alignment horizontal="left"/>
    </xf>
    <xf numFmtId="0" fontId="4" fillId="0" borderId="0" xfId="0" applyFont="1" applyAlignment="1">
      <alignment horizontal="left" indent="1"/>
    </xf>
    <xf numFmtId="0" fontId="13" fillId="0" borderId="46" xfId="0" applyNumberFormat="1" applyFont="1" applyFill="1" applyBorder="1" applyAlignment="1">
      <alignment horizontal="center"/>
    </xf>
    <xf numFmtId="0" fontId="9" fillId="0" borderId="0" xfId="0" applyNumberFormat="1" applyFont="1" applyFill="1" applyBorder="1"/>
    <xf numFmtId="0" fontId="10" fillId="0" borderId="20" xfId="0" applyFont="1" applyFill="1" applyBorder="1" applyAlignment="1">
      <alignment vertical="center" wrapText="1"/>
    </xf>
    <xf numFmtId="0" fontId="10" fillId="0" borderId="31" xfId="0" applyFont="1" applyFill="1" applyBorder="1" applyAlignment="1">
      <alignment horizontal="center" vertical="center" wrapText="1"/>
    </xf>
    <xf numFmtId="0" fontId="10" fillId="0" borderId="21" xfId="0" applyFont="1" applyFill="1" applyBorder="1" applyAlignment="1">
      <alignment vertical="center" wrapText="1"/>
    </xf>
    <xf numFmtId="0" fontId="10" fillId="0" borderId="3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3" fillId="0" borderId="32" xfId="0" applyNumberFormat="1" applyFont="1" applyFill="1" applyBorder="1" applyAlignment="1">
      <alignment horizontal="center"/>
    </xf>
    <xf numFmtId="0" fontId="13" fillId="24" borderId="22" xfId="0" applyNumberFormat="1" applyFont="1" applyFill="1" applyBorder="1" applyAlignment="1" applyProtection="1">
      <alignment horizontal="center"/>
      <protection locked="0"/>
    </xf>
    <xf numFmtId="0" fontId="13" fillId="24" borderId="40" xfId="0" applyNumberFormat="1" applyFont="1" applyFill="1" applyBorder="1" applyAlignment="1" applyProtection="1">
      <alignment horizontal="center"/>
      <protection locked="0"/>
    </xf>
    <xf numFmtId="0" fontId="9" fillId="0" borderId="22" xfId="0" applyNumberFormat="1" applyFont="1" applyFill="1" applyBorder="1"/>
    <xf numFmtId="0" fontId="13" fillId="24" borderId="27" xfId="0" applyNumberFormat="1" applyFont="1" applyFill="1" applyBorder="1" applyAlignment="1" applyProtection="1">
      <alignment horizontal="center"/>
      <protection locked="0"/>
    </xf>
    <xf numFmtId="0" fontId="10" fillId="0" borderId="26" xfId="0" applyFont="1" applyFill="1" applyBorder="1" applyAlignment="1">
      <alignment horizontal="center" vertical="center" wrapText="1"/>
    </xf>
    <xf numFmtId="0" fontId="13" fillId="0" borderId="0" xfId="0" applyNumberFormat="1" applyFont="1" applyProtection="1"/>
    <xf numFmtId="0" fontId="7" fillId="0" borderId="0" xfId="0" applyFont="1" applyFill="1"/>
    <xf numFmtId="0" fontId="7" fillId="0" borderId="0" xfId="0" applyFont="1" applyFill="1" applyAlignment="1">
      <alignment horizontal="left" indent="1"/>
    </xf>
    <xf numFmtId="0" fontId="4" fillId="0" borderId="0" xfId="0" applyFont="1" applyFill="1" applyAlignment="1">
      <alignment horizontal="left" indent="1"/>
    </xf>
    <xf numFmtId="0" fontId="42" fillId="0" borderId="0" xfId="0" applyFont="1" applyProtection="1"/>
    <xf numFmtId="0" fontId="4" fillId="0" borderId="0" xfId="0" applyFont="1" applyAlignment="1">
      <alignment horizontal="left"/>
    </xf>
    <xf numFmtId="0" fontId="13" fillId="24" borderId="20" xfId="0" applyNumberFormat="1" applyFont="1" applyFill="1" applyBorder="1" applyAlignment="1" applyProtection="1">
      <alignment horizontal="center"/>
      <protection locked="0"/>
    </xf>
    <xf numFmtId="0" fontId="13" fillId="24" borderId="0" xfId="0" applyNumberFormat="1" applyFont="1" applyFill="1" applyBorder="1" applyAlignment="1" applyProtection="1">
      <alignment horizontal="center"/>
      <protection locked="0"/>
    </xf>
    <xf numFmtId="172" fontId="10" fillId="24" borderId="39" xfId="30" applyNumberFormat="1" applyFont="1" applyFill="1" applyBorder="1" applyAlignment="1" applyProtection="1">
      <alignment horizontal="center"/>
      <protection locked="0"/>
    </xf>
    <xf numFmtId="0" fontId="13" fillId="24" borderId="39" xfId="0" applyNumberFormat="1" applyFont="1" applyFill="1" applyBorder="1" applyAlignment="1" applyProtection="1">
      <alignment horizontal="center"/>
      <protection locked="0"/>
    </xf>
    <xf numFmtId="172" fontId="10" fillId="24" borderId="25" xfId="30" applyNumberFormat="1" applyFont="1" applyFill="1" applyBorder="1" applyAlignment="1" applyProtection="1">
      <alignment horizontal="center"/>
      <protection locked="0"/>
    </xf>
    <xf numFmtId="0" fontId="13" fillId="24" borderId="25" xfId="0" applyNumberFormat="1" applyFont="1" applyFill="1" applyBorder="1" applyAlignment="1" applyProtection="1">
      <alignment horizontal="center"/>
      <protection locked="0"/>
    </xf>
    <xf numFmtId="167" fontId="9" fillId="0" borderId="20" xfId="47" applyNumberFormat="1" applyFont="1" applyFill="1" applyBorder="1" applyAlignment="1" applyProtection="1">
      <alignment horizontal="center" vertical="top" wrapText="1"/>
      <protection locked="0"/>
    </xf>
    <xf numFmtId="167" fontId="13" fillId="0" borderId="16" xfId="47" applyNumberFormat="1" applyFont="1" applyFill="1" applyBorder="1" applyAlignment="1">
      <alignment horizontal="center" vertical="top" wrapText="1"/>
    </xf>
    <xf numFmtId="0" fontId="9" fillId="0" borderId="0" xfId="0" applyFont="1" applyFill="1" applyAlignment="1">
      <alignment horizontal="right"/>
    </xf>
    <xf numFmtId="171" fontId="9" fillId="0" borderId="0" xfId="0" applyNumberFormat="1" applyFont="1" applyFill="1"/>
    <xf numFmtId="172" fontId="9" fillId="24" borderId="58" xfId="30" applyNumberFormat="1" applyFont="1" applyFill="1" applyBorder="1" applyAlignment="1" applyProtection="1">
      <alignment horizontal="left" vertical="top" wrapText="1"/>
      <protection locked="0"/>
    </xf>
    <xf numFmtId="172" fontId="9" fillId="24" borderId="39" xfId="30" applyNumberFormat="1" applyFont="1" applyFill="1" applyBorder="1" applyAlignment="1" applyProtection="1">
      <alignment horizontal="left" vertical="top" wrapText="1"/>
      <protection locked="0"/>
    </xf>
    <xf numFmtId="0" fontId="9" fillId="0" borderId="60" xfId="0" applyFont="1" applyBorder="1" applyAlignment="1" applyProtection="1">
      <alignment horizontal="center" vertical="top" wrapText="1"/>
    </xf>
    <xf numFmtId="172" fontId="9" fillId="24" borderId="38" xfId="30" applyNumberFormat="1" applyFont="1" applyFill="1" applyBorder="1" applyAlignment="1" applyProtection="1">
      <alignment horizontal="left" vertical="top" wrapText="1"/>
      <protection locked="0"/>
    </xf>
    <xf numFmtId="172" fontId="9" fillId="24" borderId="40" xfId="30" applyNumberFormat="1" applyFont="1" applyFill="1" applyBorder="1" applyAlignment="1" applyProtection="1">
      <alignment horizontal="left" vertical="top" wrapText="1"/>
      <protection locked="0"/>
    </xf>
    <xf numFmtId="0" fontId="14" fillId="0" borderId="81" xfId="0" applyFont="1" applyBorder="1"/>
    <xf numFmtId="0" fontId="13" fillId="0" borderId="81" xfId="0" applyFont="1" applyBorder="1" applyAlignment="1">
      <alignment horizontal="center"/>
    </xf>
    <xf numFmtId="168" fontId="12" fillId="0" borderId="81" xfId="0" applyNumberFormat="1" applyFont="1" applyBorder="1"/>
    <xf numFmtId="0" fontId="10" fillId="0" borderId="57" xfId="0" applyFont="1" applyBorder="1" applyAlignment="1">
      <alignment wrapText="1"/>
    </xf>
    <xf numFmtId="0" fontId="10" fillId="0" borderId="80" xfId="0" applyFont="1" applyBorder="1"/>
    <xf numFmtId="0" fontId="9" fillId="0" borderId="75" xfId="0" applyFont="1" applyBorder="1" applyAlignment="1">
      <alignment horizontal="center"/>
    </xf>
    <xf numFmtId="171" fontId="10" fillId="0" borderId="86" xfId="0" applyNumberFormat="1" applyFont="1" applyBorder="1"/>
    <xf numFmtId="171" fontId="9" fillId="24" borderId="22" xfId="0" applyNumberFormat="1" applyFont="1" applyFill="1" applyBorder="1" applyAlignment="1" applyProtection="1">
      <alignment horizontal="center"/>
      <protection locked="0"/>
    </xf>
    <xf numFmtId="167" fontId="9" fillId="24" borderId="19" xfId="47" applyNumberFormat="1" applyFont="1" applyFill="1" applyBorder="1" applyAlignment="1" applyProtection="1">
      <alignment horizontal="right" vertical="top" wrapText="1"/>
      <protection locked="0"/>
    </xf>
    <xf numFmtId="167" fontId="9" fillId="24" borderId="20" xfId="47" applyNumberFormat="1" applyFont="1" applyFill="1" applyBorder="1" applyAlignment="1" applyProtection="1">
      <alignment horizontal="right" vertical="top" wrapText="1"/>
      <protection locked="0"/>
    </xf>
    <xf numFmtId="167" fontId="9" fillId="24" borderId="21" xfId="47" applyNumberFormat="1" applyFont="1" applyFill="1" applyBorder="1" applyAlignment="1" applyProtection="1">
      <alignment horizontal="right" vertical="top" wrapText="1"/>
      <protection locked="0"/>
    </xf>
    <xf numFmtId="0" fontId="9" fillId="24" borderId="22" xfId="0" applyNumberFormat="1" applyFont="1" applyFill="1" applyBorder="1" applyProtection="1">
      <protection locked="0"/>
    </xf>
    <xf numFmtId="0" fontId="9" fillId="24" borderId="40" xfId="0" applyNumberFormat="1" applyFont="1" applyFill="1" applyBorder="1" applyProtection="1">
      <protection locked="0"/>
    </xf>
    <xf numFmtId="0" fontId="9" fillId="24" borderId="20" xfId="30" applyNumberFormat="1" applyFont="1" applyFill="1" applyBorder="1" applyProtection="1">
      <protection locked="0"/>
    </xf>
    <xf numFmtId="0" fontId="9" fillId="24" borderId="39" xfId="30" applyNumberFormat="1" applyFont="1" applyFill="1" applyBorder="1" applyProtection="1">
      <protection locked="0"/>
    </xf>
    <xf numFmtId="167" fontId="9" fillId="0" borderId="10" xfId="47" applyNumberFormat="1" applyFont="1" applyFill="1" applyBorder="1" applyAlignment="1" applyProtection="1">
      <alignment horizontal="center" vertical="top" wrapText="1"/>
    </xf>
    <xf numFmtId="167" fontId="9" fillId="0" borderId="22" xfId="47" applyNumberFormat="1" applyFont="1" applyFill="1" applyBorder="1" applyAlignment="1" applyProtection="1">
      <alignment horizontal="center" vertical="top" wrapText="1"/>
    </xf>
    <xf numFmtId="171" fontId="9" fillId="24" borderId="69" xfId="0" applyNumberFormat="1" applyFont="1" applyFill="1" applyBorder="1" applyProtection="1">
      <protection locked="0"/>
    </xf>
    <xf numFmtId="171" fontId="9" fillId="24" borderId="28" xfId="0" applyNumberFormat="1" applyFont="1" applyFill="1" applyBorder="1" applyProtection="1">
      <protection locked="0"/>
    </xf>
    <xf numFmtId="171" fontId="9" fillId="24" borderId="46" xfId="0" applyNumberFormat="1" applyFont="1" applyFill="1" applyBorder="1" applyProtection="1">
      <protection locked="0"/>
    </xf>
    <xf numFmtId="171" fontId="9" fillId="24" borderId="79" xfId="0" applyNumberFormat="1" applyFont="1" applyFill="1" applyBorder="1" applyProtection="1">
      <protection locked="0"/>
    </xf>
    <xf numFmtId="171" fontId="9" fillId="24" borderId="10" xfId="0" applyNumberFormat="1" applyFont="1" applyFill="1" applyBorder="1" applyProtection="1">
      <protection locked="0"/>
    </xf>
    <xf numFmtId="171" fontId="9" fillId="24" borderId="0" xfId="0" applyNumberFormat="1" applyFont="1" applyFill="1" applyBorder="1" applyProtection="1">
      <protection locked="0"/>
    </xf>
    <xf numFmtId="171" fontId="9" fillId="24" borderId="11" xfId="0" applyNumberFormat="1" applyFont="1" applyFill="1" applyBorder="1" applyProtection="1">
      <protection locked="0"/>
    </xf>
    <xf numFmtId="171" fontId="9" fillId="24" borderId="72" xfId="0" applyNumberFormat="1" applyFont="1" applyFill="1" applyBorder="1" applyProtection="1">
      <protection locked="0"/>
    </xf>
    <xf numFmtId="171" fontId="9" fillId="24" borderId="70" xfId="0" applyNumberFormat="1" applyFont="1" applyFill="1" applyBorder="1" applyProtection="1">
      <protection locked="0"/>
    </xf>
    <xf numFmtId="171" fontId="9" fillId="24" borderId="23" xfId="0" applyNumberFormat="1" applyFont="1" applyFill="1" applyBorder="1" applyProtection="1">
      <protection locked="0"/>
    </xf>
    <xf numFmtId="171" fontId="9" fillId="24" borderId="81" xfId="0" applyNumberFormat="1" applyFont="1" applyFill="1" applyBorder="1" applyProtection="1">
      <protection locked="0"/>
    </xf>
    <xf numFmtId="171" fontId="9" fillId="24" borderId="71" xfId="0" applyNumberFormat="1" applyFont="1" applyFill="1" applyBorder="1" applyProtection="1">
      <protection locked="0"/>
    </xf>
    <xf numFmtId="0" fontId="9" fillId="0" borderId="19" xfId="0" applyFont="1" applyBorder="1" applyAlignment="1">
      <alignment horizontal="left" vertical="center" wrapText="1"/>
    </xf>
    <xf numFmtId="171" fontId="10" fillId="0" borderId="81" xfId="0" applyNumberFormat="1" applyFont="1" applyBorder="1"/>
    <xf numFmtId="0" fontId="9" fillId="0" borderId="78" xfId="0" applyFont="1" applyBorder="1" applyAlignment="1">
      <alignment horizontal="center"/>
    </xf>
    <xf numFmtId="0" fontId="9" fillId="0" borderId="22" xfId="0" applyFont="1" applyBorder="1" applyAlignment="1">
      <alignment horizontal="center"/>
    </xf>
    <xf numFmtId="0" fontId="9" fillId="0" borderId="27" xfId="0" applyFont="1" applyBorder="1" applyAlignment="1">
      <alignment horizontal="center"/>
    </xf>
    <xf numFmtId="0" fontId="9" fillId="0" borderId="0" xfId="0" applyFont="1" applyAlignment="1">
      <alignment horizontal="left"/>
    </xf>
    <xf numFmtId="171" fontId="10" fillId="0" borderId="15" xfId="0" applyNumberFormat="1" applyFont="1" applyBorder="1" applyAlignment="1">
      <alignment vertical="top"/>
    </xf>
    <xf numFmtId="171" fontId="10" fillId="0" borderId="16" xfId="0" applyNumberFormat="1" applyFont="1" applyBorder="1" applyAlignment="1">
      <alignment vertical="top"/>
    </xf>
    <xf numFmtId="171" fontId="10" fillId="0" borderId="18" xfId="0" applyNumberFormat="1" applyFont="1" applyBorder="1" applyAlignment="1">
      <alignment vertical="top"/>
    </xf>
    <xf numFmtId="0" fontId="9" fillId="0" borderId="21" xfId="0" applyFont="1" applyBorder="1" applyAlignment="1">
      <alignment horizontal="left" vertical="top" wrapText="1"/>
    </xf>
    <xf numFmtId="171" fontId="9" fillId="24" borderId="21" xfId="0" applyNumberFormat="1" applyFont="1" applyFill="1" applyBorder="1" applyAlignment="1" applyProtection="1">
      <alignment horizontal="right"/>
      <protection locked="0"/>
    </xf>
    <xf numFmtId="0" fontId="9" fillId="0" borderId="62" xfId="0" applyFont="1" applyFill="1" applyBorder="1" applyAlignment="1">
      <alignment horizontal="left" vertical="top" wrapText="1"/>
    </xf>
    <xf numFmtId="0" fontId="9" fillId="0" borderId="10" xfId="0" applyFont="1" applyBorder="1" applyAlignment="1">
      <alignment horizontal="left" vertical="center" wrapText="1"/>
    </xf>
    <xf numFmtId="0" fontId="9" fillId="0" borderId="23" xfId="0" applyFont="1" applyBorder="1" applyAlignment="1">
      <alignment horizontal="left" vertical="top" wrapText="1" indent="1"/>
    </xf>
    <xf numFmtId="0" fontId="9" fillId="0" borderId="45" xfId="0" applyFont="1" applyBorder="1" applyAlignment="1">
      <alignment horizontal="left" vertical="top" wrapText="1"/>
    </xf>
    <xf numFmtId="167" fontId="9" fillId="24" borderId="53" xfId="47" applyNumberFormat="1" applyFont="1" applyFill="1" applyBorder="1" applyAlignment="1" applyProtection="1">
      <alignment horizontal="center" vertical="top" wrapText="1"/>
      <protection locked="0"/>
    </xf>
    <xf numFmtId="169" fontId="9" fillId="0" borderId="25" xfId="47" applyNumberFormat="1" applyFont="1" applyFill="1" applyBorder="1" applyAlignment="1">
      <alignment horizontal="center" vertical="top" wrapText="1"/>
    </xf>
    <xf numFmtId="169" fontId="9" fillId="0" borderId="26" xfId="47" applyNumberFormat="1" applyFont="1" applyFill="1" applyBorder="1" applyAlignment="1">
      <alignment horizontal="center" vertical="top" wrapText="1"/>
    </xf>
    <xf numFmtId="169" fontId="9" fillId="0" borderId="27" xfId="47" applyNumberFormat="1" applyFont="1" applyFill="1" applyBorder="1" applyAlignment="1">
      <alignment horizontal="center" vertical="top" wrapText="1"/>
    </xf>
    <xf numFmtId="0" fontId="51" fillId="0" borderId="0" xfId="0" applyFont="1"/>
    <xf numFmtId="0" fontId="9" fillId="0" borderId="0" xfId="0" applyFont="1" applyProtection="1">
      <protection locked="0"/>
    </xf>
    <xf numFmtId="171" fontId="19" fillId="0" borderId="69" xfId="0" applyNumberFormat="1" applyFont="1" applyFill="1" applyBorder="1" applyAlignment="1" applyProtection="1">
      <alignment horizontal="center"/>
      <protection locked="0"/>
    </xf>
    <xf numFmtId="0" fontId="9" fillId="0" borderId="46" xfId="0" applyFont="1" applyBorder="1"/>
    <xf numFmtId="0" fontId="9" fillId="0" borderId="79" xfId="0" applyFont="1" applyBorder="1"/>
    <xf numFmtId="0" fontId="10" fillId="0" borderId="68" xfId="0" applyFont="1" applyFill="1" applyBorder="1" applyAlignment="1" applyProtection="1">
      <alignment horizontal="center" vertical="center" wrapText="1"/>
    </xf>
    <xf numFmtId="0" fontId="10" fillId="0" borderId="47" xfId="0" applyFont="1" applyFill="1" applyBorder="1" applyAlignment="1" applyProtection="1">
      <alignment horizontal="center" vertical="center" wrapText="1"/>
    </xf>
    <xf numFmtId="0" fontId="10" fillId="0" borderId="13" xfId="0" applyFont="1" applyFill="1" applyBorder="1" applyAlignment="1" applyProtection="1">
      <alignment horizontal="center" vertical="center" wrapText="1"/>
    </xf>
    <xf numFmtId="0" fontId="9" fillId="0" borderId="45" xfId="0" applyFont="1" applyFill="1" applyBorder="1" applyAlignment="1">
      <alignment horizontal="center"/>
    </xf>
    <xf numFmtId="0" fontId="9" fillId="0" borderId="11" xfId="0" applyFont="1" applyBorder="1"/>
    <xf numFmtId="0" fontId="9" fillId="0" borderId="72" xfId="0" applyFont="1" applyBorder="1"/>
    <xf numFmtId="0" fontId="10" fillId="0" borderId="19" xfId="0" applyFont="1" applyFill="1" applyBorder="1" applyAlignment="1" applyProtection="1">
      <alignment horizontal="center" vertical="center" wrapText="1"/>
    </xf>
    <xf numFmtId="0" fontId="10" fillId="0" borderId="20" xfId="0" applyFont="1" applyFill="1" applyBorder="1" applyAlignment="1" applyProtection="1">
      <alignment horizontal="center" vertical="center" wrapText="1"/>
    </xf>
    <xf numFmtId="0" fontId="10" fillId="0" borderId="70" xfId="0" applyFont="1" applyFill="1" applyBorder="1" applyAlignment="1" applyProtection="1">
      <alignment horizontal="center" vertical="center" wrapText="1"/>
    </xf>
    <xf numFmtId="0" fontId="10" fillId="0" borderId="10" xfId="0" applyFont="1" applyFill="1" applyBorder="1" applyAlignment="1" applyProtection="1">
      <alignment horizontal="center" vertical="center" wrapText="1"/>
    </xf>
    <xf numFmtId="0" fontId="11" fillId="0" borderId="0" xfId="0" applyNumberFormat="1" applyFont="1" applyBorder="1" applyProtection="1"/>
    <xf numFmtId="0" fontId="9" fillId="0" borderId="79" xfId="0" applyNumberFormat="1" applyFont="1" applyFill="1" applyBorder="1" applyAlignment="1" applyProtection="1">
      <alignment horizontal="center"/>
    </xf>
    <xf numFmtId="0" fontId="9" fillId="0" borderId="29" xfId="0" applyFont="1" applyBorder="1"/>
    <xf numFmtId="171" fontId="19" fillId="0" borderId="30" xfId="0" applyNumberFormat="1" applyFont="1" applyFill="1" applyBorder="1" applyProtection="1">
      <protection locked="0"/>
    </xf>
    <xf numFmtId="171" fontId="19" fillId="0" borderId="32" xfId="0" applyNumberFormat="1" applyFont="1" applyFill="1" applyBorder="1" applyProtection="1">
      <protection locked="0"/>
    </xf>
    <xf numFmtId="171" fontId="10" fillId="0" borderId="28" xfId="0" applyNumberFormat="1" applyFont="1" applyFill="1" applyBorder="1" applyProtection="1"/>
    <xf numFmtId="171" fontId="10" fillId="0" borderId="30" xfId="0" applyNumberFormat="1" applyFont="1" applyFill="1" applyBorder="1" applyProtection="1"/>
    <xf numFmtId="171" fontId="10" fillId="0" borderId="46" xfId="0" applyNumberFormat="1" applyFont="1" applyFill="1" applyBorder="1" applyProtection="1"/>
    <xf numFmtId="171" fontId="10" fillId="0" borderId="29" xfId="0" applyNumberFormat="1" applyFont="1" applyFill="1" applyBorder="1" applyProtection="1"/>
    <xf numFmtId="171" fontId="10" fillId="0" borderId="79" xfId="0" applyNumberFormat="1" applyFont="1" applyFill="1" applyBorder="1" applyProtection="1"/>
    <xf numFmtId="0" fontId="17" fillId="0" borderId="0" xfId="0" applyNumberFormat="1" applyFont="1" applyBorder="1" applyAlignment="1" applyProtection="1">
      <alignment horizontal="left"/>
    </xf>
    <xf numFmtId="0" fontId="9" fillId="0" borderId="70" xfId="0" applyNumberFormat="1" applyFont="1" applyFill="1" applyBorder="1" applyAlignment="1" applyProtection="1">
      <alignment horizontal="center"/>
    </xf>
    <xf numFmtId="171" fontId="10" fillId="0" borderId="0" xfId="0" applyNumberFormat="1" applyFont="1" applyFill="1" applyBorder="1" applyProtection="1"/>
    <xf numFmtId="171" fontId="9" fillId="0" borderId="10" xfId="0" applyNumberFormat="1" applyFont="1" applyFill="1" applyBorder="1" applyProtection="1"/>
    <xf numFmtId="171" fontId="9" fillId="0" borderId="19" xfId="0" applyNumberFormat="1" applyFont="1" applyFill="1" applyBorder="1" applyProtection="1"/>
    <xf numFmtId="171" fontId="9" fillId="0" borderId="70" xfId="0" applyNumberFormat="1" applyFont="1" applyFill="1" applyBorder="1" applyProtection="1"/>
    <xf numFmtId="0" fontId="9" fillId="0" borderId="0" xfId="0" applyNumberFormat="1" applyFont="1" applyBorder="1" applyAlignment="1" applyProtection="1">
      <alignment horizontal="left" indent="1"/>
    </xf>
    <xf numFmtId="172" fontId="9" fillId="36" borderId="19" xfId="0" applyNumberFormat="1" applyFont="1" applyFill="1" applyBorder="1" applyProtection="1">
      <protection locked="0"/>
    </xf>
    <xf numFmtId="172" fontId="9" fillId="36" borderId="20" xfId="0" applyNumberFormat="1" applyFont="1" applyFill="1" applyBorder="1" applyProtection="1">
      <protection locked="0"/>
    </xf>
    <xf numFmtId="172" fontId="9" fillId="36" borderId="70" xfId="0" applyNumberFormat="1" applyFont="1" applyFill="1" applyBorder="1" applyProtection="1">
      <protection locked="0"/>
    </xf>
    <xf numFmtId="172" fontId="9" fillId="36" borderId="10" xfId="0" applyNumberFormat="1" applyFont="1" applyFill="1" applyBorder="1" applyProtection="1">
      <protection locked="0"/>
    </xf>
    <xf numFmtId="172" fontId="9" fillId="36" borderId="0" xfId="0" applyNumberFormat="1" applyFont="1" applyFill="1" applyBorder="1" applyProtection="1">
      <protection locked="0"/>
    </xf>
    <xf numFmtId="0" fontId="9" fillId="0" borderId="14" xfId="0" applyNumberFormat="1" applyFont="1" applyFill="1" applyBorder="1" applyAlignment="1" applyProtection="1">
      <alignment horizontal="center"/>
    </xf>
    <xf numFmtId="172" fontId="9" fillId="0" borderId="15" xfId="0" applyNumberFormat="1" applyFont="1" applyFill="1" applyBorder="1" applyProtection="1"/>
    <xf numFmtId="172" fontId="9" fillId="0" borderId="87" xfId="0" applyNumberFormat="1" applyFont="1" applyFill="1" applyBorder="1" applyProtection="1"/>
    <xf numFmtId="172" fontId="9" fillId="0" borderId="64" xfId="0" applyNumberFormat="1" applyFont="1" applyFill="1" applyBorder="1" applyProtection="1"/>
    <xf numFmtId="172" fontId="9" fillId="0" borderId="67" xfId="0" applyNumberFormat="1" applyFont="1" applyFill="1" applyBorder="1" applyProtection="1"/>
    <xf numFmtId="172" fontId="9" fillId="0" borderId="63" xfId="0" applyNumberFormat="1" applyFont="1" applyFill="1" applyBorder="1" applyProtection="1"/>
    <xf numFmtId="172" fontId="9" fillId="0" borderId="88" xfId="0" applyNumberFormat="1" applyFont="1" applyFill="1" applyBorder="1" applyProtection="1"/>
    <xf numFmtId="172" fontId="9" fillId="0" borderId="57" xfId="0" applyNumberFormat="1" applyFont="1" applyFill="1" applyBorder="1" applyProtection="1"/>
    <xf numFmtId="172" fontId="9" fillId="0" borderId="73" xfId="0" applyNumberFormat="1" applyFont="1" applyFill="1" applyBorder="1" applyProtection="1"/>
    <xf numFmtId="0" fontId="10" fillId="0" borderId="0" xfId="0" applyNumberFormat="1" applyFont="1" applyBorder="1" applyAlignment="1" applyProtection="1">
      <alignment horizontal="left"/>
    </xf>
    <xf numFmtId="172" fontId="10" fillId="0" borderId="15" xfId="0" applyNumberFormat="1" applyFont="1" applyFill="1" applyBorder="1" applyProtection="1"/>
    <xf numFmtId="172" fontId="10" fillId="0" borderId="87" xfId="0" applyNumberFormat="1" applyFont="1" applyFill="1" applyBorder="1" applyProtection="1"/>
    <xf numFmtId="172" fontId="10" fillId="0" borderId="64" xfId="0" applyNumberFormat="1" applyFont="1" applyFill="1" applyBorder="1" applyProtection="1"/>
    <xf numFmtId="172" fontId="10" fillId="0" borderId="67" xfId="0" applyNumberFormat="1" applyFont="1" applyFill="1" applyBorder="1" applyProtection="1"/>
    <xf numFmtId="172" fontId="9" fillId="0" borderId="19" xfId="0" applyNumberFormat="1" applyFont="1" applyFill="1" applyBorder="1" applyProtection="1"/>
    <xf numFmtId="172" fontId="9" fillId="0" borderId="0" xfId="0" applyNumberFormat="1" applyFont="1" applyFill="1" applyBorder="1" applyProtection="1"/>
    <xf numFmtId="172" fontId="9" fillId="0" borderId="10" xfId="0" applyNumberFormat="1" applyFont="1" applyFill="1" applyBorder="1" applyProtection="1"/>
    <xf numFmtId="172" fontId="9" fillId="0" borderId="70" xfId="0" applyNumberFormat="1" applyFont="1" applyFill="1" applyBorder="1" applyProtection="1"/>
    <xf numFmtId="172" fontId="9" fillId="36" borderId="58" xfId="0" applyNumberFormat="1" applyFont="1" applyFill="1" applyBorder="1" applyProtection="1">
      <protection locked="0"/>
    </xf>
    <xf numFmtId="172" fontId="9" fillId="36" borderId="39" xfId="0" applyNumberFormat="1" applyFont="1" applyFill="1" applyBorder="1" applyProtection="1">
      <protection locked="0"/>
    </xf>
    <xf numFmtId="172" fontId="9" fillId="36" borderId="89" xfId="0" applyNumberFormat="1" applyFont="1" applyFill="1" applyBorder="1" applyProtection="1">
      <protection locked="0"/>
    </xf>
    <xf numFmtId="172" fontId="9" fillId="36" borderId="37" xfId="0" applyNumberFormat="1" applyFont="1" applyFill="1" applyBorder="1" applyProtection="1">
      <protection locked="0"/>
    </xf>
    <xf numFmtId="172" fontId="9" fillId="36" borderId="90" xfId="0" applyNumberFormat="1" applyFont="1" applyFill="1" applyBorder="1" applyProtection="1">
      <protection locked="0"/>
    </xf>
    <xf numFmtId="0" fontId="9" fillId="0" borderId="90" xfId="0" applyNumberFormat="1" applyFont="1" applyBorder="1" applyProtection="1"/>
    <xf numFmtId="0" fontId="9" fillId="0" borderId="89" xfId="0" applyNumberFormat="1" applyFont="1" applyFill="1" applyBorder="1" applyAlignment="1" applyProtection="1">
      <alignment horizontal="center"/>
    </xf>
    <xf numFmtId="171" fontId="9" fillId="0" borderId="58" xfId="0" applyNumberFormat="1" applyFont="1" applyFill="1" applyBorder="1" applyProtection="1"/>
    <xf numFmtId="171" fontId="9" fillId="0" borderId="89" xfId="0" applyNumberFormat="1" applyFont="1" applyFill="1" applyBorder="1" applyProtection="1"/>
    <xf numFmtId="171" fontId="9" fillId="0" borderId="37" xfId="0" applyNumberFormat="1" applyFont="1" applyFill="1" applyBorder="1" applyProtection="1"/>
    <xf numFmtId="171" fontId="9" fillId="0" borderId="90" xfId="0" applyNumberFormat="1" applyFont="1" applyFill="1" applyBorder="1" applyProtection="1"/>
    <xf numFmtId="171" fontId="10" fillId="36" borderId="14" xfId="0" applyNumberFormat="1" applyFont="1" applyFill="1" applyBorder="1" applyProtection="1">
      <protection locked="0"/>
    </xf>
    <xf numFmtId="171" fontId="10" fillId="36" borderId="11" xfId="0" applyNumberFormat="1" applyFont="1" applyFill="1" applyBorder="1" applyProtection="1">
      <protection locked="0"/>
    </xf>
    <xf numFmtId="171" fontId="10" fillId="36" borderId="0" xfId="0" applyNumberFormat="1" applyFont="1" applyFill="1" applyBorder="1" applyProtection="1">
      <protection locked="0"/>
    </xf>
    <xf numFmtId="171" fontId="10" fillId="0" borderId="0" xfId="0" applyNumberFormat="1" applyFont="1" applyFill="1" applyBorder="1" applyProtection="1">
      <protection locked="0"/>
    </xf>
    <xf numFmtId="0" fontId="9" fillId="0" borderId="11" xfId="0" applyNumberFormat="1" applyFont="1" applyBorder="1" applyProtection="1"/>
    <xf numFmtId="0" fontId="9" fillId="0" borderId="72" xfId="0" applyNumberFormat="1" applyFont="1" applyFill="1" applyBorder="1" applyAlignment="1" applyProtection="1">
      <alignment horizontal="center"/>
    </xf>
    <xf numFmtId="171" fontId="9" fillId="0" borderId="24" xfId="0" applyNumberFormat="1" applyFont="1" applyFill="1" applyBorder="1" applyProtection="1"/>
    <xf numFmtId="171" fontId="9" fillId="0" borderId="25" xfId="0" applyNumberFormat="1" applyFont="1" applyFill="1" applyBorder="1" applyProtection="1"/>
    <xf numFmtId="171" fontId="9" fillId="0" borderId="72" xfId="0" applyNumberFormat="1" applyFont="1" applyFill="1" applyBorder="1" applyProtection="1"/>
    <xf numFmtId="171" fontId="9" fillId="0" borderId="23" xfId="0" applyNumberFormat="1" applyFont="1" applyFill="1" applyBorder="1" applyProtection="1"/>
    <xf numFmtId="171" fontId="9" fillId="0" borderId="11" xfId="0" applyNumberFormat="1" applyFont="1" applyFill="1" applyBorder="1" applyProtection="1"/>
    <xf numFmtId="0" fontId="13" fillId="0" borderId="0" xfId="0" applyNumberFormat="1" applyFont="1" applyBorder="1" applyAlignment="1" applyProtection="1">
      <alignment horizontal="left" indent="2"/>
    </xf>
    <xf numFmtId="0" fontId="10" fillId="0" borderId="91" xfId="0" applyFont="1" applyFill="1" applyBorder="1" applyAlignment="1">
      <alignment horizontal="center" vertical="top" wrapText="1"/>
    </xf>
    <xf numFmtId="0" fontId="10" fillId="0" borderId="47" xfId="0" applyFont="1" applyFill="1" applyBorder="1" applyAlignment="1">
      <alignment horizontal="center" vertical="top" wrapText="1"/>
    </xf>
    <xf numFmtId="0" fontId="10" fillId="0" borderId="33" xfId="0" applyFont="1" applyFill="1" applyBorder="1" applyAlignment="1">
      <alignment horizontal="center" vertical="top" wrapText="1"/>
    </xf>
    <xf numFmtId="0" fontId="10" fillId="0" borderId="65" xfId="0" applyFont="1" applyFill="1" applyBorder="1" applyAlignment="1">
      <alignment horizontal="center" vertical="top" wrapText="1"/>
    </xf>
    <xf numFmtId="0" fontId="10" fillId="0" borderId="54" xfId="0" applyFont="1" applyFill="1" applyBorder="1" applyAlignment="1">
      <alignment horizontal="center" vertical="top" wrapText="1"/>
    </xf>
    <xf numFmtId="0" fontId="10" fillId="0" borderId="51" xfId="0" applyFont="1" applyFill="1" applyBorder="1" applyAlignment="1">
      <alignment horizontal="center" vertical="top" wrapText="1"/>
    </xf>
    <xf numFmtId="0" fontId="10" fillId="0" borderId="66" xfId="0" applyFont="1" applyFill="1" applyBorder="1" applyAlignment="1">
      <alignment horizontal="center" vertical="top" wrapText="1"/>
    </xf>
    <xf numFmtId="0" fontId="10" fillId="0" borderId="55" xfId="0" applyFont="1" applyFill="1" applyBorder="1" applyAlignment="1">
      <alignment horizontal="center" vertical="top" wrapText="1"/>
    </xf>
    <xf numFmtId="0" fontId="10" fillId="0" borderId="50" xfId="0" applyFont="1" applyFill="1" applyBorder="1" applyAlignment="1">
      <alignment horizontal="center" vertical="top" wrapText="1"/>
    </xf>
    <xf numFmtId="0" fontId="10" fillId="0" borderId="52" xfId="0" applyFont="1" applyFill="1" applyBorder="1" applyAlignment="1">
      <alignment horizontal="center" vertical="top" wrapText="1"/>
    </xf>
    <xf numFmtId="0" fontId="4" fillId="0" borderId="10" xfId="0" applyFont="1" applyBorder="1" applyProtection="1"/>
    <xf numFmtId="0" fontId="4" fillId="0" borderId="10" xfId="0" quotePrefix="1" applyFont="1" applyBorder="1" applyProtection="1"/>
    <xf numFmtId="0" fontId="4" fillId="0" borderId="10" xfId="0" applyFont="1" applyBorder="1" applyProtection="1">
      <protection locked="0"/>
    </xf>
    <xf numFmtId="0" fontId="9" fillId="36" borderId="10" xfId="0" applyNumberFormat="1" applyFont="1" applyFill="1" applyBorder="1" applyAlignment="1" applyProtection="1">
      <alignment horizontal="left" wrapText="1" indent="2"/>
      <protection locked="0"/>
    </xf>
    <xf numFmtId="0" fontId="10" fillId="0" borderId="24" xfId="0" applyFont="1" applyBorder="1" applyAlignment="1">
      <alignment vertical="center" wrapText="1"/>
    </xf>
    <xf numFmtId="9" fontId="9" fillId="0" borderId="0" xfId="47" applyFont="1" applyFill="1" applyBorder="1" applyAlignment="1" applyProtection="1">
      <alignment horizontal="center"/>
    </xf>
    <xf numFmtId="0" fontId="2" fillId="0" borderId="0" xfId="0" applyFont="1"/>
    <xf numFmtId="0" fontId="2" fillId="0" borderId="0" xfId="0" applyFont="1" applyFill="1"/>
    <xf numFmtId="0" fontId="2" fillId="0" borderId="0" xfId="0" applyFont="1" applyProtection="1">
      <protection hidden="1"/>
    </xf>
    <xf numFmtId="0" fontId="2" fillId="0" borderId="0" xfId="0" applyFont="1" applyProtection="1"/>
    <xf numFmtId="0" fontId="49" fillId="0" borderId="0" xfId="0" applyFont="1" applyAlignment="1">
      <alignment wrapText="1"/>
    </xf>
    <xf numFmtId="49" fontId="8" fillId="0" borderId="80" xfId="0" applyNumberFormat="1" applyFont="1" applyBorder="1" applyAlignment="1" applyProtection="1">
      <alignment horizontal="justify" wrapText="1"/>
    </xf>
    <xf numFmtId="49" fontId="19" fillId="0" borderId="71" xfId="0" applyNumberFormat="1" applyFont="1" applyBorder="1" applyAlignment="1" applyProtection="1">
      <alignment horizontal="justify" wrapText="1"/>
    </xf>
    <xf numFmtId="49" fontId="19" fillId="0" borderId="80" xfId="0" applyNumberFormat="1" applyFont="1" applyBorder="1" applyAlignment="1" applyProtection="1">
      <alignment horizontal="justify" wrapText="1"/>
    </xf>
    <xf numFmtId="49" fontId="19" fillId="36" borderId="71" xfId="0" applyNumberFormat="1" applyFont="1" applyFill="1" applyBorder="1" applyAlignment="1" applyProtection="1">
      <alignment horizontal="justify" wrapText="1"/>
      <protection locked="0"/>
    </xf>
    <xf numFmtId="0" fontId="52" fillId="0" borderId="0" xfId="0" applyFont="1" applyBorder="1" applyAlignment="1" applyProtection="1">
      <alignment horizontal="left" vertical="center" wrapText="1"/>
    </xf>
    <xf numFmtId="0" fontId="52" fillId="0" borderId="0" xfId="0" quotePrefix="1" applyNumberFormat="1" applyFont="1" applyProtection="1"/>
    <xf numFmtId="0" fontId="52" fillId="0" borderId="0" xfId="0" applyFont="1" applyFill="1" applyBorder="1" applyAlignment="1" applyProtection="1">
      <alignment horizontal="left" vertical="center" wrapText="1"/>
    </xf>
    <xf numFmtId="0" fontId="52" fillId="0" borderId="0" xfId="0" applyFont="1" applyAlignment="1" applyProtection="1">
      <alignment vertical="center"/>
    </xf>
    <xf numFmtId="0" fontId="52" fillId="0" borderId="0" xfId="0" applyFont="1" applyProtection="1"/>
    <xf numFmtId="49" fontId="19" fillId="0" borderId="10" xfId="0" applyNumberFormat="1" applyFont="1" applyBorder="1" applyAlignment="1" applyProtection="1">
      <alignment horizontal="justify" wrapText="1"/>
    </xf>
    <xf numFmtId="49" fontId="19" fillId="0" borderId="23" xfId="0" applyNumberFormat="1" applyFont="1" applyFill="1" applyBorder="1" applyAlignment="1" applyProtection="1">
      <alignment horizontal="justify" wrapText="1"/>
    </xf>
    <xf numFmtId="49" fontId="19" fillId="0" borderId="72" xfId="0" applyNumberFormat="1" applyFont="1" applyFill="1" applyBorder="1" applyAlignment="1" applyProtection="1">
      <alignment horizontal="justify" wrapText="1"/>
      <protection locked="0"/>
    </xf>
    <xf numFmtId="49" fontId="19" fillId="0" borderId="28" xfId="0" applyNumberFormat="1" applyFont="1" applyBorder="1" applyAlignment="1" applyProtection="1">
      <alignment horizontal="justify" wrapText="1"/>
    </xf>
    <xf numFmtId="0" fontId="2" fillId="0" borderId="0" xfId="0" applyFont="1" applyBorder="1" applyProtection="1">
      <protection hidden="1"/>
    </xf>
    <xf numFmtId="0" fontId="52" fillId="0" borderId="0" xfId="0" applyFont="1" applyBorder="1" applyProtection="1"/>
    <xf numFmtId="0" fontId="52" fillId="0" borderId="0" xfId="0" quotePrefix="1" applyNumberFormat="1" applyFont="1" applyBorder="1" applyProtection="1"/>
    <xf numFmtId="0" fontId="2" fillId="0" borderId="0" xfId="0" applyFont="1" applyBorder="1" applyProtection="1"/>
    <xf numFmtId="0" fontId="0" fillId="0" borderId="0" xfId="0" applyBorder="1" applyProtection="1"/>
    <xf numFmtId="49" fontId="8" fillId="0" borderId="80" xfId="0" applyNumberFormat="1" applyFont="1" applyBorder="1" applyAlignment="1" applyProtection="1">
      <alignment horizontal="left"/>
    </xf>
    <xf numFmtId="49" fontId="19" fillId="0" borderId="71" xfId="0" applyNumberFormat="1" applyFont="1" applyFill="1" applyBorder="1" applyAlignment="1" applyProtection="1">
      <alignment horizontal="justify" wrapText="1"/>
    </xf>
    <xf numFmtId="0" fontId="2" fillId="0" borderId="0" xfId="0" applyFont="1" applyBorder="1"/>
    <xf numFmtId="0" fontId="43" fillId="0" borderId="0" xfId="0" applyFont="1" applyProtection="1">
      <protection hidden="1"/>
    </xf>
    <xf numFmtId="0" fontId="43" fillId="0" borderId="0" xfId="0" applyFont="1" applyProtection="1"/>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49" fontId="19" fillId="0" borderId="0" xfId="0" applyNumberFormat="1" applyFont="1" applyFill="1" applyBorder="1" applyAlignment="1" applyProtection="1">
      <alignment horizontal="justify" wrapText="1"/>
    </xf>
    <xf numFmtId="49" fontId="19" fillId="0" borderId="0" xfId="0" applyNumberFormat="1" applyFont="1" applyFill="1" applyBorder="1" applyAlignment="1" applyProtection="1">
      <alignment horizontal="justify" wrapText="1"/>
      <protection locked="0"/>
    </xf>
    <xf numFmtId="0" fontId="9" fillId="0" borderId="10" xfId="0" applyNumberFormat="1" applyFont="1" applyBorder="1" applyAlignment="1">
      <alignment horizontal="left" wrapText="1" indent="1"/>
    </xf>
    <xf numFmtId="0" fontId="10" fillId="0" borderId="54" xfId="0" applyFont="1" applyBorder="1" applyAlignment="1">
      <alignment horizontal="left"/>
    </xf>
    <xf numFmtId="0" fontId="10" fillId="0" borderId="57" xfId="0" applyNumberFormat="1" applyFont="1" applyBorder="1" applyProtection="1"/>
    <xf numFmtId="0" fontId="9" fillId="0" borderId="10" xfId="0" applyNumberFormat="1" applyFont="1" applyFill="1" applyBorder="1"/>
    <xf numFmtId="0" fontId="11" fillId="0" borderId="10" xfId="0" applyNumberFormat="1" applyFont="1" applyFill="1" applyBorder="1"/>
    <xf numFmtId="0" fontId="57" fillId="0" borderId="14" xfId="0" applyFont="1" applyBorder="1" applyAlignment="1">
      <alignment horizontal="center"/>
    </xf>
    <xf numFmtId="171" fontId="57" fillId="0" borderId="20" xfId="0" applyNumberFormat="1" applyFont="1" applyBorder="1"/>
    <xf numFmtId="0" fontId="57" fillId="0" borderId="0" xfId="0" applyFont="1" applyFill="1"/>
    <xf numFmtId="0" fontId="57" fillId="0" borderId="0" xfId="0" applyFont="1"/>
    <xf numFmtId="0" fontId="9" fillId="0" borderId="10" xfId="0" applyNumberFormat="1" applyFont="1" applyBorder="1"/>
    <xf numFmtId="0" fontId="13" fillId="0" borderId="19" xfId="0" applyNumberFormat="1" applyFont="1" applyFill="1" applyBorder="1" applyAlignment="1">
      <alignment horizontal="left" indent="3"/>
    </xf>
    <xf numFmtId="0" fontId="9" fillId="0" borderId="19" xfId="0" applyNumberFormat="1" applyFont="1" applyFill="1" applyBorder="1" applyAlignment="1">
      <alignment horizontal="left" indent="2"/>
    </xf>
    <xf numFmtId="0" fontId="9" fillId="0" borderId="19" xfId="0" applyNumberFormat="1" applyFont="1" applyBorder="1" applyAlignment="1">
      <alignment horizontal="left" indent="3"/>
    </xf>
    <xf numFmtId="0" fontId="9" fillId="0" borderId="19" xfId="0" applyNumberFormat="1" applyFont="1" applyBorder="1" applyAlignment="1">
      <alignment horizontal="left" indent="2"/>
    </xf>
    <xf numFmtId="0" fontId="9" fillId="0" borderId="19" xfId="0" applyFont="1" applyBorder="1" applyAlignment="1">
      <alignment horizontal="left" indent="2"/>
    </xf>
    <xf numFmtId="171" fontId="9" fillId="0" borderId="38" xfId="0" applyNumberFormat="1" applyFont="1" applyFill="1" applyBorder="1" applyProtection="1"/>
    <xf numFmtId="171" fontId="9" fillId="0" borderId="39" xfId="0" applyNumberFormat="1" applyFont="1" applyFill="1" applyBorder="1"/>
    <xf numFmtId="0" fontId="10" fillId="0" borderId="10" xfId="42" applyFont="1" applyFill="1" applyBorder="1"/>
    <xf numFmtId="0" fontId="9" fillId="0" borderId="0" xfId="42" applyFont="1" applyFill="1" applyBorder="1"/>
    <xf numFmtId="171" fontId="9" fillId="0" borderId="70" xfId="42" applyNumberFormat="1" applyFont="1" applyFill="1" applyBorder="1" applyProtection="1"/>
    <xf numFmtId="171" fontId="9" fillId="0" borderId="89" xfId="42" applyNumberFormat="1" applyFont="1" applyFill="1" applyBorder="1" applyProtection="1"/>
    <xf numFmtId="0" fontId="9" fillId="0" borderId="72" xfId="42" applyNumberFormat="1" applyFont="1" applyFill="1" applyBorder="1" applyAlignment="1" applyProtection="1">
      <alignment horizontal="center"/>
    </xf>
    <xf numFmtId="0" fontId="9" fillId="36" borderId="10" xfId="42" applyFont="1" applyFill="1" applyBorder="1" applyAlignment="1">
      <alignment horizontal="left" indent="1"/>
    </xf>
    <xf numFmtId="0" fontId="9" fillId="0" borderId="11" xfId="42" applyFont="1" applyBorder="1" applyAlignment="1">
      <alignment vertical="top"/>
    </xf>
    <xf numFmtId="0" fontId="8" fillId="0" borderId="46" xfId="42" applyFont="1" applyFill="1" applyBorder="1" applyAlignment="1">
      <alignment vertical="top"/>
    </xf>
    <xf numFmtId="0" fontId="8" fillId="0" borderId="79" xfId="42" applyFont="1" applyFill="1" applyBorder="1" applyAlignment="1">
      <alignment vertical="top"/>
    </xf>
    <xf numFmtId="0" fontId="8" fillId="0" borderId="28" xfId="42" applyFont="1" applyFill="1" applyBorder="1" applyAlignment="1">
      <alignment vertical="top"/>
    </xf>
    <xf numFmtId="0" fontId="9" fillId="0" borderId="23" xfId="42" applyFont="1" applyFill="1" applyBorder="1" applyAlignment="1">
      <alignment horizontal="center"/>
    </xf>
    <xf numFmtId="0" fontId="9" fillId="0" borderId="72" xfId="42" applyNumberFormat="1" applyFont="1" applyBorder="1" applyAlignment="1" applyProtection="1">
      <alignment vertical="top" wrapText="1"/>
    </xf>
    <xf numFmtId="171" fontId="9" fillId="0" borderId="79" xfId="42" applyNumberFormat="1" applyFont="1" applyFill="1" applyBorder="1" applyProtection="1"/>
    <xf numFmtId="0" fontId="10" fillId="0" borderId="10" xfId="42" applyFont="1" applyFill="1" applyBorder="1" applyAlignment="1">
      <alignment wrapText="1"/>
    </xf>
    <xf numFmtId="0" fontId="10" fillId="0" borderId="46" xfId="42" applyFont="1" applyBorder="1" applyAlignment="1">
      <alignment vertical="top"/>
    </xf>
    <xf numFmtId="0" fontId="10" fillId="0" borderId="23" xfId="42" applyNumberFormat="1" applyFont="1" applyBorder="1" applyProtection="1"/>
    <xf numFmtId="0" fontId="13" fillId="0" borderId="10" xfId="42" applyNumberFormat="1" applyFont="1" applyFill="1" applyBorder="1" applyAlignment="1" applyProtection="1">
      <alignment vertical="top" wrapText="1"/>
    </xf>
    <xf numFmtId="0" fontId="13" fillId="0" borderId="37" xfId="42" applyNumberFormat="1" applyFont="1" applyFill="1" applyBorder="1" applyAlignment="1" applyProtection="1">
      <alignment vertical="top" wrapText="1"/>
    </xf>
    <xf numFmtId="0" fontId="9" fillId="0" borderId="59" xfId="42" applyFont="1" applyFill="1" applyBorder="1" applyAlignment="1">
      <alignment horizontal="center"/>
    </xf>
    <xf numFmtId="0" fontId="17" fillId="0" borderId="28" xfId="42" applyFont="1" applyFill="1" applyBorder="1" applyAlignment="1">
      <alignment wrapText="1"/>
    </xf>
    <xf numFmtId="0" fontId="9" fillId="0" borderId="79" xfId="42" applyFont="1" applyFill="1" applyBorder="1" applyAlignment="1">
      <alignment horizontal="center"/>
    </xf>
    <xf numFmtId="0" fontId="9" fillId="0" borderId="54" xfId="42" applyFont="1" applyBorder="1"/>
    <xf numFmtId="172" fontId="9" fillId="0" borderId="59" xfId="0" applyNumberFormat="1" applyFont="1" applyFill="1" applyBorder="1" applyProtection="1"/>
    <xf numFmtId="0" fontId="13" fillId="0" borderId="10" xfId="42" applyFont="1" applyFill="1" applyBorder="1" applyAlignment="1">
      <alignment horizontal="left" wrapText="1" indent="2"/>
    </xf>
    <xf numFmtId="0" fontId="10" fillId="0" borderId="50" xfId="0" applyFont="1" applyFill="1" applyBorder="1" applyAlignment="1">
      <alignment horizontal="center" vertical="center" wrapText="1"/>
    </xf>
    <xf numFmtId="0" fontId="10" fillId="0" borderId="51" xfId="0" applyFont="1" applyFill="1" applyBorder="1" applyAlignment="1">
      <alignment horizontal="center" vertical="center" wrapText="1"/>
    </xf>
    <xf numFmtId="9" fontId="10" fillId="0" borderId="51" xfId="47" applyFont="1" applyFill="1" applyBorder="1" applyAlignment="1">
      <alignment horizontal="center" vertical="center" wrapText="1"/>
    </xf>
    <xf numFmtId="9" fontId="10" fillId="0" borderId="52" xfId="47" applyFont="1" applyFill="1" applyBorder="1" applyAlignment="1">
      <alignment horizontal="center" vertical="center" wrapText="1"/>
    </xf>
    <xf numFmtId="0" fontId="12" fillId="0" borderId="10" xfId="42" applyFont="1" applyFill="1" applyBorder="1" applyAlignment="1">
      <alignment horizontal="left" wrapText="1" indent="2"/>
    </xf>
    <xf numFmtId="0" fontId="13" fillId="0" borderId="0" xfId="0" applyFont="1" applyFill="1" applyBorder="1" applyAlignment="1">
      <alignment vertical="top"/>
    </xf>
    <xf numFmtId="0" fontId="13" fillId="0" borderId="0" xfId="0" applyFont="1" applyBorder="1" applyAlignment="1">
      <alignment vertical="top"/>
    </xf>
    <xf numFmtId="0" fontId="9" fillId="0" borderId="10" xfId="0" applyFont="1" applyFill="1" applyBorder="1" applyAlignment="1">
      <alignment horizontal="left" wrapText="1" indent="2"/>
    </xf>
    <xf numFmtId="0" fontId="13" fillId="0" borderId="10" xfId="0" applyFont="1" applyFill="1" applyBorder="1" applyAlignment="1">
      <alignment horizontal="left" wrapText="1" indent="2"/>
    </xf>
    <xf numFmtId="0" fontId="10" fillId="0" borderId="10" xfId="0" applyFont="1" applyBorder="1" applyAlignment="1">
      <alignment horizontal="left" wrapText="1" indent="1"/>
    </xf>
    <xf numFmtId="0" fontId="12" fillId="0" borderId="10" xfId="0" applyFont="1" applyFill="1" applyBorder="1" applyAlignment="1">
      <alignment horizontal="left" wrapText="1" indent="2"/>
    </xf>
    <xf numFmtId="0" fontId="9" fillId="0" borderId="10" xfId="0" applyNumberFormat="1" applyFont="1" applyBorder="1" applyAlignment="1" applyProtection="1">
      <alignment horizontal="left" wrapText="1"/>
    </xf>
    <xf numFmtId="0" fontId="10" fillId="0" borderId="10" xfId="0" applyNumberFormat="1" applyFont="1" applyBorder="1" applyAlignment="1" applyProtection="1">
      <alignment wrapText="1"/>
    </xf>
    <xf numFmtId="0" fontId="10" fillId="0" borderId="10" xfId="0" applyNumberFormat="1" applyFont="1" applyBorder="1" applyAlignment="1" applyProtection="1">
      <alignment horizontal="left" wrapText="1"/>
    </xf>
    <xf numFmtId="0" fontId="10" fillId="0" borderId="23" xfId="0" applyNumberFormat="1" applyFont="1" applyBorder="1" applyAlignment="1" applyProtection="1">
      <alignment wrapText="1"/>
    </xf>
    <xf numFmtId="172" fontId="9" fillId="0" borderId="51" xfId="0" applyNumberFormat="1" applyFont="1" applyFill="1" applyBorder="1" applyProtection="1"/>
    <xf numFmtId="172" fontId="9" fillId="0" borderId="50" xfId="0" applyNumberFormat="1" applyFont="1" applyFill="1" applyBorder="1" applyProtection="1"/>
    <xf numFmtId="172" fontId="9" fillId="0" borderId="54" xfId="0" applyNumberFormat="1" applyFont="1" applyFill="1" applyBorder="1" applyProtection="1"/>
    <xf numFmtId="172" fontId="9" fillId="0" borderId="74" xfId="0" applyNumberFormat="1" applyFont="1" applyFill="1" applyBorder="1" applyProtection="1"/>
    <xf numFmtId="171" fontId="10" fillId="0" borderId="42" xfId="0" applyNumberFormat="1" applyFont="1" applyFill="1" applyBorder="1" applyProtection="1"/>
    <xf numFmtId="49" fontId="10" fillId="0" borderId="10" xfId="0" applyNumberFormat="1" applyFont="1" applyFill="1" applyBorder="1" applyAlignment="1">
      <alignment horizontal="center" vertical="center" wrapText="1"/>
    </xf>
    <xf numFmtId="0" fontId="9" fillId="0" borderId="22" xfId="0" applyFont="1" applyBorder="1" applyAlignment="1"/>
    <xf numFmtId="0" fontId="10" fillId="0" borderId="0" xfId="0" applyFont="1" applyAlignment="1">
      <alignment horizontal="center" vertical="center"/>
    </xf>
    <xf numFmtId="0" fontId="13" fillId="24" borderId="90" xfId="0" applyNumberFormat="1" applyFont="1" applyFill="1" applyBorder="1" applyAlignment="1" applyProtection="1">
      <alignment horizontal="center"/>
      <protection locked="0"/>
    </xf>
    <xf numFmtId="0" fontId="13" fillId="24" borderId="11" xfId="0" applyNumberFormat="1" applyFont="1" applyFill="1" applyBorder="1" applyAlignment="1" applyProtection="1">
      <alignment horizontal="center"/>
      <protection locked="0"/>
    </xf>
    <xf numFmtId="0" fontId="9" fillId="0" borderId="21" xfId="0" applyFont="1" applyBorder="1" applyAlignment="1"/>
    <xf numFmtId="0" fontId="13" fillId="0" borderId="31" xfId="0" applyNumberFormat="1" applyFont="1" applyFill="1" applyBorder="1" applyAlignment="1">
      <alignment horizontal="center"/>
    </xf>
    <xf numFmtId="0" fontId="13" fillId="24" borderId="21" xfId="0" applyNumberFormat="1" applyFont="1" applyFill="1" applyBorder="1" applyAlignment="1" applyProtection="1">
      <alignment horizontal="center"/>
      <protection locked="0"/>
    </xf>
    <xf numFmtId="0" fontId="13" fillId="24" borderId="62" xfId="0" applyNumberFormat="1" applyFont="1" applyFill="1" applyBorder="1" applyAlignment="1" applyProtection="1">
      <alignment horizontal="center"/>
      <protection locked="0"/>
    </xf>
    <xf numFmtId="0" fontId="9" fillId="0" borderId="21" xfId="0" applyNumberFormat="1" applyFont="1" applyFill="1" applyBorder="1"/>
    <xf numFmtId="0" fontId="13" fillId="24" borderId="26" xfId="0" applyNumberFormat="1" applyFont="1" applyFill="1" applyBorder="1" applyAlignment="1" applyProtection="1">
      <alignment horizontal="center"/>
      <protection locked="0"/>
    </xf>
    <xf numFmtId="0" fontId="13" fillId="0" borderId="10" xfId="0" applyNumberFormat="1" applyFont="1" applyFill="1" applyBorder="1" applyAlignment="1" applyProtection="1">
      <alignment horizontal="left" indent="1"/>
    </xf>
    <xf numFmtId="172" fontId="10" fillId="36" borderId="20" xfId="29" applyNumberFormat="1" applyFont="1" applyFill="1" applyBorder="1" applyAlignment="1" applyProtection="1">
      <alignment horizontal="center"/>
      <protection locked="0"/>
    </xf>
    <xf numFmtId="0" fontId="13" fillId="36" borderId="20" xfId="0" applyNumberFormat="1" applyFont="1" applyFill="1" applyBorder="1" applyAlignment="1" applyProtection="1">
      <alignment horizontal="center"/>
      <protection locked="0"/>
    </xf>
    <xf numFmtId="0" fontId="10" fillId="38" borderId="20" xfId="0" applyNumberFormat="1" applyFont="1" applyFill="1" applyBorder="1" applyAlignment="1" applyProtection="1">
      <alignment horizontal="center"/>
      <protection locked="0"/>
    </xf>
    <xf numFmtId="172" fontId="10" fillId="38" borderId="20" xfId="30" applyNumberFormat="1" applyFont="1" applyFill="1" applyBorder="1" applyAlignment="1" applyProtection="1">
      <alignment horizontal="center"/>
      <protection locked="0"/>
    </xf>
    <xf numFmtId="0" fontId="13" fillId="38" borderId="20" xfId="0" applyNumberFormat="1" applyFont="1" applyFill="1" applyBorder="1" applyAlignment="1" applyProtection="1">
      <alignment horizontal="center"/>
      <protection locked="0"/>
    </xf>
    <xf numFmtId="0" fontId="13" fillId="38" borderId="0" xfId="0" applyNumberFormat="1" applyFont="1" applyFill="1" applyBorder="1" applyAlignment="1" applyProtection="1">
      <alignment horizontal="center"/>
      <protection locked="0"/>
    </xf>
    <xf numFmtId="0" fontId="13" fillId="38" borderId="22" xfId="0" applyNumberFormat="1" applyFont="1" applyFill="1" applyBorder="1" applyAlignment="1" applyProtection="1">
      <alignment horizontal="center"/>
      <protection locked="0"/>
    </xf>
    <xf numFmtId="0" fontId="13" fillId="38" borderId="21" xfId="0" applyNumberFormat="1" applyFont="1" applyFill="1" applyBorder="1" applyAlignment="1" applyProtection="1">
      <alignment horizontal="center"/>
      <protection locked="0"/>
    </xf>
    <xf numFmtId="171" fontId="10" fillId="38" borderId="19" xfId="0" applyNumberFormat="1" applyFont="1" applyFill="1" applyBorder="1" applyAlignment="1" applyProtection="1">
      <alignment horizontal="center"/>
      <protection locked="0"/>
    </xf>
    <xf numFmtId="171" fontId="10" fillId="38" borderId="21" xfId="0" applyNumberFormat="1" applyFont="1" applyFill="1" applyBorder="1" applyAlignment="1" applyProtection="1">
      <alignment horizontal="center"/>
      <protection locked="0"/>
    </xf>
    <xf numFmtId="171" fontId="10" fillId="38" borderId="22" xfId="0" applyNumberFormat="1" applyFont="1" applyFill="1" applyBorder="1" applyAlignment="1" applyProtection="1">
      <alignment horizontal="center"/>
      <protection locked="0"/>
    </xf>
    <xf numFmtId="171" fontId="10" fillId="38" borderId="36" xfId="0" applyNumberFormat="1" applyFont="1" applyFill="1" applyBorder="1" applyAlignment="1" applyProtection="1">
      <alignment horizontal="center"/>
      <protection locked="0"/>
    </xf>
    <xf numFmtId="0" fontId="13" fillId="38" borderId="10" xfId="0" applyNumberFormat="1" applyFont="1" applyFill="1" applyBorder="1" applyAlignment="1" applyProtection="1">
      <alignment horizontal="left" indent="1"/>
      <protection locked="0"/>
    </xf>
    <xf numFmtId="0" fontId="9" fillId="38" borderId="20" xfId="0" applyNumberFormat="1" applyFont="1" applyFill="1" applyBorder="1" applyProtection="1">
      <protection locked="0"/>
    </xf>
    <xf numFmtId="172" fontId="9" fillId="38" borderId="20" xfId="30" applyNumberFormat="1" applyFont="1" applyFill="1" applyBorder="1" applyAlignment="1" applyProtection="1">
      <alignment horizontal="center"/>
      <protection locked="0"/>
    </xf>
    <xf numFmtId="171" fontId="9" fillId="38" borderId="19" xfId="0" applyNumberFormat="1" applyFont="1" applyFill="1" applyBorder="1" applyProtection="1">
      <protection locked="0"/>
    </xf>
    <xf numFmtId="171" fontId="9" fillId="38" borderId="21" xfId="0" applyNumberFormat="1" applyFont="1" applyFill="1" applyBorder="1" applyProtection="1">
      <protection locked="0"/>
    </xf>
    <xf numFmtId="171" fontId="9" fillId="38" borderId="22" xfId="0" applyNumberFormat="1" applyFont="1" applyFill="1" applyBorder="1" applyProtection="1">
      <protection locked="0"/>
    </xf>
    <xf numFmtId="171" fontId="9" fillId="38" borderId="36" xfId="0" applyNumberFormat="1" applyFont="1" applyFill="1" applyBorder="1" applyProtection="1">
      <protection locked="0"/>
    </xf>
    <xf numFmtId="0" fontId="9" fillId="38" borderId="0" xfId="0" applyFont="1" applyFill="1"/>
    <xf numFmtId="0" fontId="9" fillId="0" borderId="20" xfId="0" applyFont="1" applyBorder="1" applyAlignment="1"/>
    <xf numFmtId="172" fontId="10" fillId="36" borderId="39" xfId="29" applyNumberFormat="1" applyFont="1" applyFill="1" applyBorder="1" applyAlignment="1" applyProtection="1">
      <alignment horizontal="center"/>
      <protection locked="0"/>
    </xf>
    <xf numFmtId="0" fontId="13" fillId="36" borderId="39" xfId="0" applyNumberFormat="1" applyFont="1" applyFill="1" applyBorder="1" applyAlignment="1" applyProtection="1">
      <alignment horizontal="center"/>
      <protection locked="0"/>
    </xf>
    <xf numFmtId="172" fontId="10" fillId="36" borderId="25" xfId="29" applyNumberFormat="1" applyFont="1" applyFill="1" applyBorder="1" applyAlignment="1" applyProtection="1">
      <alignment horizontal="center"/>
      <protection locked="0"/>
    </xf>
    <xf numFmtId="0" fontId="13" fillId="36" borderId="25" xfId="0" applyNumberFormat="1" applyFont="1" applyFill="1" applyBorder="1" applyAlignment="1" applyProtection="1">
      <alignment horizontal="center"/>
      <protection locked="0"/>
    </xf>
    <xf numFmtId="0" fontId="9" fillId="0" borderId="19" xfId="0" applyNumberFormat="1" applyFont="1" applyBorder="1" applyAlignment="1" applyProtection="1">
      <alignment horizontal="left" indent="3"/>
    </xf>
    <xf numFmtId="0" fontId="9" fillId="0" borderId="14" xfId="0" applyFont="1" applyBorder="1" applyAlignment="1" applyProtection="1">
      <alignment horizontal="center"/>
    </xf>
    <xf numFmtId="171" fontId="9" fillId="0" borderId="21" xfId="0" applyNumberFormat="1" applyFont="1" applyFill="1" applyBorder="1" applyProtection="1"/>
    <xf numFmtId="171" fontId="9" fillId="0" borderId="14" xfId="0" applyNumberFormat="1" applyFont="1" applyFill="1" applyBorder="1" applyProtection="1"/>
    <xf numFmtId="0" fontId="2" fillId="0" borderId="0" xfId="0" applyNumberFormat="1" applyFont="1" applyProtection="1"/>
    <xf numFmtId="0" fontId="2" fillId="0" borderId="0" xfId="0" applyFont="1" applyAlignment="1" applyProtection="1">
      <alignment vertical="center"/>
    </xf>
    <xf numFmtId="0" fontId="0" fillId="0" borderId="0" xfId="0" applyFont="1" applyProtection="1"/>
    <xf numFmtId="0" fontId="9" fillId="39" borderId="10" xfId="0" applyFont="1" applyFill="1" applyBorder="1" applyAlignment="1">
      <alignment horizontal="left" indent="1"/>
    </xf>
    <xf numFmtId="0" fontId="9" fillId="39" borderId="14" xfId="0" applyNumberFormat="1" applyFont="1" applyFill="1" applyBorder="1" applyAlignment="1">
      <alignment horizontal="left" vertical="top" wrapText="1" indent="1"/>
    </xf>
    <xf numFmtId="0" fontId="9" fillId="39" borderId="10" xfId="0" applyFont="1" applyFill="1" applyBorder="1" applyAlignment="1">
      <alignment horizontal="left" vertical="top" wrapText="1" indent="2"/>
    </xf>
    <xf numFmtId="0" fontId="13" fillId="0" borderId="10" xfId="0" applyFont="1" applyBorder="1" applyAlignment="1" applyProtection="1">
      <alignment horizontal="left" indent="1"/>
      <protection locked="0"/>
    </xf>
    <xf numFmtId="0" fontId="13" fillId="0" borderId="10" xfId="0" applyFont="1" applyFill="1" applyBorder="1" applyAlignment="1" applyProtection="1">
      <alignment horizontal="left" indent="1"/>
    </xf>
    <xf numFmtId="0" fontId="13" fillId="0" borderId="19" xfId="0" applyFont="1" applyFill="1" applyBorder="1" applyAlignment="1" applyProtection="1">
      <alignment horizontal="left" indent="1"/>
    </xf>
    <xf numFmtId="0" fontId="13" fillId="0" borderId="20" xfId="0" applyFont="1" applyFill="1" applyBorder="1" applyAlignment="1" applyProtection="1">
      <alignment horizontal="left" indent="1"/>
    </xf>
    <xf numFmtId="0" fontId="13" fillId="0" borderId="22" xfId="0" applyFont="1" applyFill="1" applyBorder="1" applyAlignment="1" applyProtection="1">
      <alignment horizontal="left" indent="1"/>
    </xf>
    <xf numFmtId="0" fontId="11" fillId="0" borderId="10" xfId="0" applyFont="1" applyFill="1" applyBorder="1" applyProtection="1"/>
    <xf numFmtId="0" fontId="13" fillId="0" borderId="10" xfId="0" applyFont="1" applyFill="1" applyBorder="1" applyProtection="1"/>
    <xf numFmtId="0" fontId="10" fillId="0" borderId="10" xfId="0" applyFont="1" applyFill="1" applyBorder="1" applyProtection="1"/>
    <xf numFmtId="0" fontId="13" fillId="39" borderId="10" xfId="0" applyFont="1" applyFill="1" applyBorder="1" applyAlignment="1" applyProtection="1">
      <alignment horizontal="left" indent="1"/>
      <protection locked="0"/>
    </xf>
    <xf numFmtId="0" fontId="9" fillId="39" borderId="10" xfId="0" applyFont="1" applyFill="1" applyBorder="1" applyAlignment="1" applyProtection="1">
      <alignment horizontal="left" indent="1"/>
    </xf>
    <xf numFmtId="0" fontId="13" fillId="39" borderId="10" xfId="0" applyFont="1" applyFill="1" applyBorder="1" applyAlignment="1" applyProtection="1">
      <alignment horizontal="left" indent="1"/>
    </xf>
    <xf numFmtId="0" fontId="9" fillId="0" borderId="20" xfId="0" applyFont="1" applyFill="1" applyBorder="1" applyAlignment="1" applyProtection="1">
      <alignment horizontal="center"/>
    </xf>
    <xf numFmtId="0" fontId="9" fillId="0" borderId="19" xfId="43" applyFont="1" applyBorder="1" applyAlignment="1">
      <alignment horizontal="left" indent="1"/>
    </xf>
    <xf numFmtId="0" fontId="10" fillId="0" borderId="19" xfId="0" applyFont="1" applyBorder="1"/>
    <xf numFmtId="0" fontId="10" fillId="0" borderId="0" xfId="0" applyFont="1" applyFill="1" applyBorder="1"/>
    <xf numFmtId="0" fontId="9" fillId="0" borderId="0" xfId="0" applyFont="1" applyFill="1" applyBorder="1" applyAlignment="1" applyProtection="1">
      <alignment horizontal="left" indent="1"/>
    </xf>
    <xf numFmtId="171" fontId="9" fillId="0" borderId="0" xfId="0" applyNumberFormat="1" applyFont="1" applyFill="1" applyBorder="1" applyProtection="1">
      <protection locked="0"/>
    </xf>
    <xf numFmtId="0" fontId="9" fillId="0" borderId="0" xfId="0" applyFont="1" applyFill="1" applyBorder="1" applyAlignment="1" applyProtection="1">
      <alignment horizontal="center"/>
      <protection locked="0"/>
    </xf>
    <xf numFmtId="0" fontId="9" fillId="40" borderId="10" xfId="0" applyFont="1" applyFill="1" applyBorder="1" applyAlignment="1">
      <alignment horizontal="left" wrapText="1" indent="1"/>
    </xf>
    <xf numFmtId="0" fontId="9" fillId="40" borderId="10" xfId="0" applyFont="1" applyFill="1" applyBorder="1" applyAlignment="1">
      <alignment horizontal="left" indent="1"/>
    </xf>
    <xf numFmtId="0" fontId="66" fillId="0" borderId="0" xfId="0" applyFont="1"/>
    <xf numFmtId="0" fontId="67" fillId="0" borderId="0" xfId="0" applyFont="1"/>
    <xf numFmtId="49" fontId="68" fillId="0" borderId="0" xfId="42" applyNumberFormat="1" applyFont="1"/>
    <xf numFmtId="49" fontId="66" fillId="0" borderId="0" xfId="0" applyNumberFormat="1" applyFont="1"/>
    <xf numFmtId="49" fontId="66" fillId="0" borderId="0" xfId="42" applyNumberFormat="1" applyFont="1"/>
    <xf numFmtId="49" fontId="66" fillId="0" borderId="0" xfId="42" applyNumberFormat="1" applyFont="1" applyProtection="1">
      <protection locked="0"/>
    </xf>
    <xf numFmtId="49" fontId="66" fillId="0" borderId="0" xfId="0" applyNumberFormat="1" applyFont="1" applyProtection="1">
      <protection locked="0"/>
    </xf>
    <xf numFmtId="0" fontId="66" fillId="0" borderId="0" xfId="0" quotePrefix="1" applyFont="1"/>
    <xf numFmtId="0" fontId="66" fillId="0" borderId="0" xfId="0" applyFont="1" applyProtection="1"/>
    <xf numFmtId="0" fontId="68" fillId="0" borderId="0" xfId="0" applyFont="1"/>
    <xf numFmtId="0" fontId="69" fillId="0" borderId="0" xfId="0" applyFont="1"/>
    <xf numFmtId="0" fontId="66" fillId="38" borderId="0" xfId="0" applyFont="1" applyFill="1" applyAlignment="1">
      <alignment horizontal="center"/>
    </xf>
    <xf numFmtId="0" fontId="66" fillId="38" borderId="0" xfId="0" quotePrefix="1" applyFont="1" applyFill="1" applyAlignment="1">
      <alignment horizontal="center"/>
    </xf>
    <xf numFmtId="0" fontId="66" fillId="0" borderId="0" xfId="0" applyFont="1" applyProtection="1">
      <protection locked="0"/>
    </xf>
    <xf numFmtId="0" fontId="70" fillId="0" borderId="0" xfId="0" applyFont="1"/>
    <xf numFmtId="0" fontId="66" fillId="0" borderId="0" xfId="0" applyFont="1" applyFill="1" applyBorder="1"/>
    <xf numFmtId="0" fontId="66" fillId="0" borderId="67" xfId="0" applyFont="1" applyBorder="1"/>
    <xf numFmtId="49" fontId="66" fillId="0" borderId="0" xfId="0" quotePrefix="1" applyNumberFormat="1" applyFont="1"/>
    <xf numFmtId="0" fontId="66" fillId="0" borderId="0" xfId="0" applyFont="1" applyFill="1"/>
    <xf numFmtId="171" fontId="9" fillId="24" borderId="36" xfId="0" applyNumberFormat="1" applyFont="1" applyFill="1" applyBorder="1" applyProtection="1">
      <protection hidden="1"/>
    </xf>
    <xf numFmtId="171" fontId="9" fillId="24" borderId="20" xfId="0" applyNumberFormat="1" applyFont="1" applyFill="1" applyBorder="1" applyProtection="1">
      <protection hidden="1"/>
    </xf>
    <xf numFmtId="171" fontId="9" fillId="24" borderId="22" xfId="0" applyNumberFormat="1" applyFont="1" applyFill="1" applyBorder="1" applyProtection="1">
      <protection hidden="1"/>
    </xf>
    <xf numFmtId="171" fontId="9" fillId="24" borderId="19" xfId="0" applyNumberFormat="1" applyFont="1" applyFill="1" applyBorder="1" applyAlignment="1" applyProtection="1">
      <alignment horizontal="right"/>
      <protection hidden="1"/>
    </xf>
    <xf numFmtId="171" fontId="9" fillId="24" borderId="20" xfId="0" applyNumberFormat="1" applyFont="1" applyFill="1" applyBorder="1" applyAlignment="1" applyProtection="1">
      <alignment horizontal="right"/>
      <protection hidden="1"/>
    </xf>
    <xf numFmtId="171" fontId="9" fillId="24" borderId="19" xfId="0" applyNumberFormat="1" applyFont="1" applyFill="1" applyBorder="1" applyProtection="1">
      <protection hidden="1"/>
    </xf>
    <xf numFmtId="171" fontId="9" fillId="24" borderId="21" xfId="0" applyNumberFormat="1" applyFont="1" applyFill="1" applyBorder="1" applyProtection="1">
      <protection hidden="1"/>
    </xf>
    <xf numFmtId="171" fontId="9" fillId="0" borderId="20" xfId="0" applyNumberFormat="1" applyFont="1" applyBorder="1" applyProtection="1">
      <protection hidden="1"/>
    </xf>
    <xf numFmtId="171" fontId="9" fillId="0" borderId="22" xfId="0" applyNumberFormat="1" applyFont="1" applyBorder="1" applyProtection="1">
      <protection hidden="1"/>
    </xf>
    <xf numFmtId="0" fontId="0" fillId="0" borderId="0" xfId="0"/>
    <xf numFmtId="0" fontId="3" fillId="36" borderId="70" xfId="37" applyFill="1" applyBorder="1" applyAlignment="1" applyProtection="1">
      <alignment horizontal="justify" vertical="top" wrapText="1"/>
      <protection locked="0"/>
    </xf>
    <xf numFmtId="49" fontId="3" fillId="36" borderId="71" xfId="37" applyNumberFormat="1" applyFill="1" applyBorder="1" applyAlignment="1" applyProtection="1">
      <alignment horizontal="justify" wrapText="1"/>
      <protection locked="0"/>
    </xf>
    <xf numFmtId="0" fontId="71" fillId="0" borderId="0" xfId="0" applyFont="1"/>
    <xf numFmtId="0" fontId="72" fillId="0" borderId="100" xfId="0" applyFont="1" applyFill="1" applyBorder="1" applyAlignment="1">
      <alignment horizontal="center"/>
    </xf>
    <xf numFmtId="0" fontId="0" fillId="0" borderId="0" xfId="0"/>
    <xf numFmtId="43" fontId="72" fillId="0" borderId="100" xfId="28" applyFont="1" applyFill="1" applyBorder="1" applyAlignment="1">
      <alignment horizontal="center"/>
    </xf>
    <xf numFmtId="43" fontId="0" fillId="0" borderId="0" xfId="28" applyFont="1"/>
    <xf numFmtId="43" fontId="0" fillId="0" borderId="0" xfId="0" applyNumberFormat="1"/>
    <xf numFmtId="0" fontId="0" fillId="42" borderId="0" xfId="0" applyFill="1"/>
    <xf numFmtId="0" fontId="9" fillId="38" borderId="0" xfId="0" quotePrefix="1" applyFont="1" applyFill="1" applyAlignment="1">
      <alignment horizontal="center"/>
    </xf>
    <xf numFmtId="0" fontId="9" fillId="0" borderId="0" xfId="0" quotePrefix="1" applyFont="1"/>
    <xf numFmtId="49" fontId="9" fillId="0" borderId="0" xfId="42" quotePrefix="1" applyNumberFormat="1" applyFont="1" applyFill="1" applyAlignment="1">
      <alignment vertical="top"/>
    </xf>
    <xf numFmtId="0" fontId="19" fillId="38" borderId="0" xfId="0" applyFont="1" applyFill="1" applyAlignment="1">
      <alignment horizontal="center"/>
    </xf>
    <xf numFmtId="0" fontId="9" fillId="38" borderId="0" xfId="0" applyFont="1" applyFill="1" applyAlignment="1">
      <alignment horizontal="center"/>
    </xf>
    <xf numFmtId="0" fontId="9" fillId="38" borderId="0" xfId="0" applyFont="1" applyFill="1" applyAlignment="1" applyProtection="1">
      <alignment horizontal="center"/>
      <protection locked="0"/>
    </xf>
    <xf numFmtId="0" fontId="13" fillId="38" borderId="0" xfId="0" applyFont="1" applyFill="1" applyAlignment="1">
      <alignment horizontal="center"/>
    </xf>
    <xf numFmtId="0" fontId="3" fillId="36" borderId="70" xfId="37" applyFill="1" applyBorder="1" applyAlignment="1" applyProtection="1">
      <alignment horizontal="left" vertical="top" wrapText="1"/>
      <protection locked="0"/>
    </xf>
    <xf numFmtId="0" fontId="19" fillId="0" borderId="85" xfId="0" applyFont="1" applyBorder="1" applyAlignment="1">
      <alignment horizontal="justify" wrapText="1"/>
    </xf>
    <xf numFmtId="173" fontId="19" fillId="0" borderId="72" xfId="0" applyNumberFormat="1" applyFont="1" applyBorder="1" applyAlignment="1" applyProtection="1">
      <alignment horizontal="justify" wrapText="1"/>
      <protection locked="0"/>
    </xf>
    <xf numFmtId="0" fontId="19" fillId="0" borderId="71" xfId="0" applyFont="1" applyBorder="1" applyAlignment="1">
      <alignment horizontal="justify" wrapText="1"/>
    </xf>
    <xf numFmtId="0" fontId="19" fillId="36" borderId="70" xfId="0" applyFont="1" applyFill="1" applyBorder="1" applyAlignment="1" applyProtection="1">
      <alignment horizontal="justify" wrapText="1"/>
      <protection locked="0"/>
    </xf>
    <xf numFmtId="0" fontId="19" fillId="36" borderId="71" xfId="0" quotePrefix="1" applyFont="1" applyFill="1" applyBorder="1" applyAlignment="1" applyProtection="1">
      <alignment horizontal="justify" wrapText="1"/>
      <protection locked="0"/>
    </xf>
    <xf numFmtId="49" fontId="19" fillId="36" borderId="71" xfId="0" quotePrefix="1" applyNumberFormat="1" applyFont="1" applyFill="1" applyBorder="1" applyAlignment="1" applyProtection="1">
      <alignment horizontal="justify" wrapText="1"/>
      <protection locked="0"/>
    </xf>
    <xf numFmtId="0" fontId="7" fillId="34" borderId="80" xfId="0" applyFont="1" applyFill="1" applyBorder="1" applyAlignment="1">
      <alignment horizontal="center"/>
    </xf>
    <xf numFmtId="0" fontId="7" fillId="34" borderId="81" xfId="0" applyFont="1" applyFill="1" applyBorder="1" applyAlignment="1">
      <alignment horizontal="center"/>
    </xf>
    <xf numFmtId="0" fontId="7" fillId="34" borderId="71" xfId="0" applyFont="1" applyFill="1" applyBorder="1" applyAlignment="1">
      <alignment horizontal="center"/>
    </xf>
    <xf numFmtId="0" fontId="7" fillId="35" borderId="80" xfId="0" applyFont="1" applyFill="1" applyBorder="1" applyAlignment="1">
      <alignment horizontal="center"/>
    </xf>
    <xf numFmtId="0" fontId="7" fillId="35" borderId="81" xfId="0" applyFont="1" applyFill="1" applyBorder="1" applyAlignment="1">
      <alignment horizontal="center"/>
    </xf>
    <xf numFmtId="0" fontId="7" fillId="35" borderId="71" xfId="0" applyFont="1" applyFill="1" applyBorder="1" applyAlignment="1">
      <alignment horizontal="center"/>
    </xf>
    <xf numFmtId="0" fontId="6" fillId="29" borderId="80" xfId="0" applyFont="1" applyFill="1" applyBorder="1" applyAlignment="1">
      <alignment horizontal="center"/>
    </xf>
    <xf numFmtId="0" fontId="6" fillId="29" borderId="71" xfId="0" applyFont="1" applyFill="1" applyBorder="1" applyAlignment="1">
      <alignment horizontal="center"/>
    </xf>
    <xf numFmtId="49" fontId="8" fillId="0" borderId="92" xfId="0" applyNumberFormat="1" applyFont="1" applyBorder="1" applyAlignment="1" applyProtection="1">
      <alignment horizontal="justify" wrapText="1"/>
    </xf>
    <xf numFmtId="49" fontId="19" fillId="0" borderId="93" xfId="0" applyNumberFormat="1" applyFont="1" applyBorder="1" applyAlignment="1">
      <alignment horizontal="justify" wrapText="1"/>
    </xf>
    <xf numFmtId="49" fontId="8" fillId="0" borderId="80" xfId="0" applyNumberFormat="1" applyFont="1" applyBorder="1" applyAlignment="1" applyProtection="1">
      <alignment horizontal="justify" wrapText="1"/>
    </xf>
    <xf numFmtId="49" fontId="19" fillId="0" borderId="71" xfId="0" applyNumberFormat="1" applyFont="1" applyBorder="1" applyAlignment="1">
      <alignment horizontal="justify" wrapText="1"/>
    </xf>
    <xf numFmtId="0" fontId="8" fillId="0" borderId="0" xfId="0" applyFont="1" applyBorder="1" applyAlignment="1" applyProtection="1">
      <alignment horizontal="justify" vertical="top" wrapText="1"/>
    </xf>
    <xf numFmtId="0" fontId="13" fillId="0" borderId="0"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9" fillId="0" borderId="0" xfId="0" applyFont="1" applyBorder="1" applyAlignment="1" applyProtection="1">
      <alignment horizontal="justify" vertical="top" wrapText="1"/>
    </xf>
    <xf numFmtId="0" fontId="56" fillId="0" borderId="94" xfId="0" applyFont="1" applyBorder="1" applyAlignment="1" applyProtection="1">
      <alignment horizontal="justify" vertical="center" wrapText="1"/>
    </xf>
    <xf numFmtId="0" fontId="57" fillId="0" borderId="94" xfId="0" applyFont="1" applyBorder="1" applyAlignment="1">
      <alignment horizontal="justify" vertical="center" wrapText="1"/>
    </xf>
    <xf numFmtId="49" fontId="56" fillId="0" borderId="95" xfId="0" applyNumberFormat="1" applyFont="1" applyBorder="1" applyAlignment="1" applyProtection="1">
      <alignment horizontal="justify" vertical="center"/>
    </xf>
    <xf numFmtId="49" fontId="19" fillId="0" borderId="96" xfId="0" applyNumberFormat="1" applyFont="1" applyBorder="1" applyAlignment="1">
      <alignment horizontal="justify" vertical="center"/>
    </xf>
    <xf numFmtId="49" fontId="8" fillId="0" borderId="95" xfId="0" applyNumberFormat="1" applyFont="1" applyBorder="1" applyAlignment="1" applyProtection="1">
      <alignment horizontal="justify" vertical="center" wrapText="1"/>
    </xf>
    <xf numFmtId="49" fontId="19" fillId="0" borderId="96" xfId="0" applyNumberFormat="1" applyFont="1" applyBorder="1" applyAlignment="1">
      <alignment horizontal="justify" vertical="center" wrapText="1"/>
    </xf>
    <xf numFmtId="49" fontId="56" fillId="0" borderId="97" xfId="0" applyNumberFormat="1" applyFont="1" applyBorder="1" applyAlignment="1" applyProtection="1">
      <alignment horizontal="justify" vertical="center" wrapText="1"/>
    </xf>
    <xf numFmtId="49" fontId="57" fillId="0" borderId="98" xfId="0" applyNumberFormat="1" applyFont="1" applyBorder="1" applyAlignment="1">
      <alignment horizontal="justify" vertical="center" wrapText="1"/>
    </xf>
    <xf numFmtId="49" fontId="8" fillId="0" borderId="97" xfId="0" applyNumberFormat="1" applyFont="1" applyBorder="1" applyAlignment="1" applyProtection="1">
      <alignment horizontal="justify" vertical="center" wrapText="1"/>
    </xf>
    <xf numFmtId="49" fontId="19" fillId="0" borderId="98" xfId="0" applyNumberFormat="1" applyFont="1" applyBorder="1" applyAlignment="1">
      <alignment horizontal="justify" vertical="center" wrapText="1"/>
    </xf>
    <xf numFmtId="49" fontId="8" fillId="0" borderId="0" xfId="0" applyNumberFormat="1" applyFont="1" applyFill="1" applyBorder="1" applyAlignment="1" applyProtection="1">
      <alignment horizontal="justify" wrapText="1"/>
    </xf>
    <xf numFmtId="49" fontId="19" fillId="0" borderId="0" xfId="0" applyNumberFormat="1" applyFont="1" applyFill="1" applyBorder="1" applyAlignment="1">
      <alignment horizontal="justify" wrapText="1"/>
    </xf>
    <xf numFmtId="0" fontId="13" fillId="0" borderId="0" xfId="0" applyFont="1" applyBorder="1" applyAlignment="1">
      <alignment horizontal="left" vertical="top" wrapText="1"/>
    </xf>
    <xf numFmtId="0" fontId="10" fillId="0" borderId="91" xfId="0" applyFont="1" applyFill="1" applyBorder="1" applyAlignment="1">
      <alignment horizontal="center" vertical="center" wrapText="1"/>
    </xf>
    <xf numFmtId="0" fontId="10" fillId="0" borderId="99"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69" xfId="0" applyFont="1" applyFill="1" applyBorder="1" applyAlignment="1">
      <alignment horizontal="center" vertical="center"/>
    </xf>
    <xf numFmtId="0" fontId="10" fillId="0" borderId="14" xfId="0" applyFont="1" applyFill="1" applyBorder="1" applyAlignment="1">
      <alignment horizontal="center" vertical="center"/>
    </xf>
    <xf numFmtId="0" fontId="13" fillId="0" borderId="0" xfId="0" applyFont="1" applyFill="1" applyBorder="1" applyAlignment="1">
      <alignment horizontal="left" vertical="top" wrapText="1"/>
    </xf>
    <xf numFmtId="0" fontId="10" fillId="0" borderId="28" xfId="0" applyFont="1" applyFill="1" applyBorder="1" applyAlignment="1">
      <alignment horizontal="center" vertical="center"/>
    </xf>
    <xf numFmtId="0" fontId="10" fillId="0" borderId="10" xfId="0" applyFont="1" applyFill="1" applyBorder="1" applyAlignment="1">
      <alignment horizontal="center" vertical="center"/>
    </xf>
    <xf numFmtId="0" fontId="13" fillId="0" borderId="0" xfId="0" applyFont="1" applyBorder="1" applyAlignment="1">
      <alignment horizontal="left"/>
    </xf>
    <xf numFmtId="0" fontId="16" fillId="0" borderId="0" xfId="0" applyFont="1" applyBorder="1" applyAlignment="1">
      <alignment horizontal="left"/>
    </xf>
    <xf numFmtId="0" fontId="13" fillId="0" borderId="0"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xf>
    <xf numFmtId="0" fontId="10" fillId="0" borderId="45" xfId="0" applyFont="1" applyFill="1" applyBorder="1" applyAlignment="1">
      <alignment horizontal="center" vertical="center"/>
    </xf>
    <xf numFmtId="0" fontId="10" fillId="0" borderId="48" xfId="0" applyFont="1" applyFill="1" applyBorder="1" applyAlignment="1">
      <alignment horizontal="center" vertical="center"/>
    </xf>
    <xf numFmtId="0" fontId="0" fillId="0" borderId="0" xfId="0"/>
    <xf numFmtId="0" fontId="9" fillId="0" borderId="0" xfId="0" applyFont="1" applyBorder="1" applyAlignment="1">
      <alignment horizontal="left" vertical="top" wrapText="1"/>
    </xf>
    <xf numFmtId="0" fontId="13" fillId="0" borderId="0" xfId="0" applyFont="1" applyBorder="1" applyAlignment="1" applyProtection="1">
      <alignment horizontal="left" wrapText="1"/>
    </xf>
    <xf numFmtId="0" fontId="13" fillId="0" borderId="0" xfId="0" quotePrefix="1" applyFont="1" applyBorder="1" applyAlignment="1">
      <alignment horizontal="left" wrapText="1"/>
    </xf>
    <xf numFmtId="0" fontId="13" fillId="0" borderId="0" xfId="0" quotePrefix="1" applyFont="1" applyBorder="1" applyAlignment="1" applyProtection="1">
      <alignment horizontal="left" wrapText="1"/>
    </xf>
    <xf numFmtId="0" fontId="46" fillId="0" borderId="28" xfId="0" applyFont="1" applyFill="1" applyBorder="1" applyAlignment="1">
      <alignment horizontal="center" vertical="center"/>
    </xf>
    <xf numFmtId="0" fontId="46" fillId="0" borderId="10" xfId="0" applyFont="1" applyFill="1" applyBorder="1" applyAlignment="1">
      <alignment horizontal="center" vertical="center"/>
    </xf>
    <xf numFmtId="0" fontId="46" fillId="0" borderId="69" xfId="0" applyFont="1" applyFill="1" applyBorder="1" applyAlignment="1">
      <alignment horizontal="center" vertical="center"/>
    </xf>
    <xf numFmtId="0" fontId="46" fillId="0" borderId="14" xfId="0" applyFont="1" applyFill="1" applyBorder="1" applyAlignment="1">
      <alignment horizontal="center" vertical="center"/>
    </xf>
    <xf numFmtId="0" fontId="46" fillId="0" borderId="48" xfId="0" applyFont="1" applyFill="1" applyBorder="1" applyAlignment="1">
      <alignment horizontal="center" vertical="center"/>
    </xf>
    <xf numFmtId="0" fontId="10" fillId="0" borderId="69" xfId="0" applyFont="1" applyFill="1" applyBorder="1" applyAlignment="1" applyProtection="1">
      <alignment horizontal="center" vertical="center"/>
    </xf>
    <xf numFmtId="0" fontId="10" fillId="0" borderId="14" xfId="0" applyFont="1" applyFill="1" applyBorder="1" applyAlignment="1" applyProtection="1">
      <alignment horizontal="center" vertical="center"/>
    </xf>
    <xf numFmtId="0" fontId="10" fillId="0" borderId="91" xfId="0" applyFont="1" applyFill="1" applyBorder="1" applyAlignment="1" applyProtection="1">
      <alignment horizontal="center" vertical="center" wrapText="1"/>
    </xf>
    <xf numFmtId="0" fontId="10" fillId="0" borderId="99" xfId="0" applyFont="1" applyFill="1" applyBorder="1" applyAlignment="1" applyProtection="1">
      <alignment horizontal="center" vertical="center" wrapText="1"/>
    </xf>
    <xf numFmtId="0" fontId="10" fillId="0" borderId="28"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0" fillId="0" borderId="23" xfId="0" applyFont="1" applyFill="1" applyBorder="1" applyAlignment="1" applyProtection="1">
      <alignment horizontal="center" vertical="center"/>
    </xf>
    <xf numFmtId="0" fontId="10" fillId="0" borderId="30"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0" fontId="10" fillId="0" borderId="25" xfId="0" applyFont="1" applyFill="1" applyBorder="1" applyAlignment="1" applyProtection="1">
      <alignment horizontal="center" vertical="center"/>
    </xf>
    <xf numFmtId="0" fontId="10" fillId="0" borderId="47"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30" xfId="0" applyFont="1" applyFill="1" applyBorder="1" applyAlignment="1">
      <alignment horizontal="center" vertical="center"/>
    </xf>
    <xf numFmtId="0" fontId="10" fillId="0" borderId="20" xfId="0" applyFont="1" applyFill="1" applyBorder="1" applyAlignment="1">
      <alignment horizontal="center" vertical="center"/>
    </xf>
    <xf numFmtId="0" fontId="13" fillId="0" borderId="0" xfId="0" quotePrefix="1" applyFont="1" applyBorder="1" applyAlignment="1">
      <alignment horizontal="left" vertical="top" wrapText="1"/>
    </xf>
    <xf numFmtId="0" fontId="10" fillId="0" borderId="37" xfId="0" applyFont="1" applyFill="1" applyBorder="1" applyAlignment="1">
      <alignment horizontal="center" vertical="center"/>
    </xf>
    <xf numFmtId="0" fontId="9" fillId="0" borderId="19" xfId="0" applyFont="1" applyBorder="1" applyAlignment="1">
      <alignment horizontal="left" vertical="center" wrapText="1"/>
    </xf>
    <xf numFmtId="0" fontId="10" fillId="0" borderId="69" xfId="0" applyFont="1" applyFill="1" applyBorder="1" applyAlignment="1">
      <alignment horizontal="center" vertical="center" wrapText="1"/>
    </xf>
    <xf numFmtId="0" fontId="10" fillId="0" borderId="45" xfId="0" applyFont="1" applyFill="1" applyBorder="1" applyAlignment="1">
      <alignment horizontal="center" vertical="center" wrapText="1"/>
    </xf>
    <xf numFmtId="171" fontId="8" fillId="41" borderId="75" xfId="0" applyNumberFormat="1" applyFont="1" applyFill="1" applyBorder="1" applyAlignment="1" applyProtection="1">
      <alignment horizontal="center" vertical="center"/>
      <protection locked="0"/>
    </xf>
    <xf numFmtId="0" fontId="10" fillId="0" borderId="13" xfId="0" applyFont="1" applyFill="1" applyBorder="1" applyAlignment="1" applyProtection="1">
      <alignment horizontal="center" vertical="center" wrapText="1"/>
    </xf>
    <xf numFmtId="0" fontId="9" fillId="0" borderId="69" xfId="0" applyFont="1" applyFill="1" applyBorder="1" applyAlignment="1">
      <alignment horizontal="center" wrapText="1"/>
    </xf>
    <xf numFmtId="0" fontId="9" fillId="0" borderId="45" xfId="0" applyFont="1" applyFill="1" applyBorder="1" applyAlignment="1">
      <alignment horizontal="center" wrapText="1"/>
    </xf>
    <xf numFmtId="0" fontId="10" fillId="0" borderId="99" xfId="0" applyFont="1" applyFill="1" applyBorder="1" applyAlignment="1">
      <alignment horizontal="center" vertical="top" wrapText="1"/>
    </xf>
    <xf numFmtId="0" fontId="10" fillId="0" borderId="13" xfId="0" applyFont="1" applyFill="1" applyBorder="1" applyAlignment="1">
      <alignment horizontal="center" vertical="top" wrapText="1"/>
    </xf>
    <xf numFmtId="0" fontId="8" fillId="41" borderId="79" xfId="42" applyFont="1" applyFill="1" applyBorder="1" applyAlignment="1">
      <alignment horizontal="center" vertical="center"/>
    </xf>
    <xf numFmtId="0" fontId="8" fillId="41" borderId="72" xfId="42" applyFont="1" applyFill="1" applyBorder="1" applyAlignment="1">
      <alignment horizontal="center" vertical="center"/>
    </xf>
    <xf numFmtId="0" fontId="10" fillId="0" borderId="48"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88" xfId="0" applyFont="1" applyFill="1" applyBorder="1" applyAlignment="1">
      <alignment horizontal="center" vertical="center" wrapText="1"/>
    </xf>
    <xf numFmtId="0" fontId="8" fillId="0" borderId="11" xfId="0" applyFont="1" applyFill="1" applyBorder="1" applyAlignment="1">
      <alignment horizontal="left"/>
    </xf>
  </cellXfs>
  <cellStyles count="5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xr:uid="{00000000-0005-0000-0000-00001C000000}"/>
    <cellStyle name="Comma 2 2" xfId="57" xr:uid="{00000000-0005-0000-0000-00001D000000}"/>
    <cellStyle name="Comma_B Schedule Municipal Adjustments Budget - 23 March 2009 cb" xfId="30" xr:uid="{00000000-0005-0000-0000-00001E00000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58" xr:uid="{00000000-0005-0000-0000-000026000000}"/>
    <cellStyle name="Hyperlink_AppA_Muncde_2010" xfId="38" xr:uid="{00000000-0005-0000-0000-000027000000}"/>
    <cellStyle name="Input" xfId="39" builtinId="20" customBuiltin="1"/>
    <cellStyle name="Linked Cell" xfId="40" builtinId="24" customBuiltin="1"/>
    <cellStyle name="Neutral" xfId="41" builtinId="28" customBuiltin="1"/>
    <cellStyle name="Normal" xfId="0" builtinId="0"/>
    <cellStyle name="Normal 2" xfId="42" xr:uid="{00000000-0005-0000-0000-00002C000000}"/>
    <cellStyle name="Normal 2 2" xfId="43" xr:uid="{00000000-0005-0000-0000-00002D000000}"/>
    <cellStyle name="Normal 2 2 2" xfId="56" xr:uid="{00000000-0005-0000-0000-00002E000000}"/>
    <cellStyle name="Normal 2 2 3" xfId="54" xr:uid="{00000000-0005-0000-0000-00002F000000}"/>
    <cellStyle name="Normal 2 3" xfId="55" xr:uid="{00000000-0005-0000-0000-000030000000}"/>
    <cellStyle name="Normal 2 4" xfId="53" xr:uid="{00000000-0005-0000-0000-000031000000}"/>
    <cellStyle name="Normal 4" xfId="44" xr:uid="{00000000-0005-0000-0000-000032000000}"/>
    <cellStyle name="Note" xfId="45" builtinId="10" customBuiltin="1"/>
    <cellStyle name="Output" xfId="46" builtinId="21" customBuiltin="1"/>
    <cellStyle name="Percent" xfId="47" builtinId="5"/>
    <cellStyle name="Percent 10 2" xfId="48" xr:uid="{00000000-0005-0000-0000-000036000000}"/>
    <cellStyle name="Percent 10 2 2" xfId="49" xr:uid="{00000000-0005-0000-0000-000037000000}"/>
    <cellStyle name="Title" xfId="50" builtinId="15" customBuiltin="1"/>
    <cellStyle name="Total" xfId="51" builtinId="25" customBuiltin="1"/>
    <cellStyle name="Warning Text" xfId="52" builtinId="11"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1" val="0"/>
</file>

<file path=xl/ctrlProps/ctrlProp3.xml><?xml version="1.0" encoding="utf-8"?>
<formControlPr xmlns="http://schemas.microsoft.com/office/spreadsheetml/2009/9/main" objectType="Drop" dropLines="6" dropStyle="combo" dx="22" fmlaLink="$X$35" fmlaRange="$X$19:$X$35" noThreeD="1" sel="13" val="10"/>
</file>

<file path=xl/ctrlProps/ctrlProp4.xml><?xml version="1.0" encoding="utf-8"?>
<formControlPr xmlns="http://schemas.microsoft.com/office/spreadsheetml/2009/9/main" objectType="Drop" dropLines="10" dropStyle="combo" dx="22" fmlaLink="'Lookup and lists'!$B$27" fmlaRange="'Lookup and lists'!$B$29:$B$286" noThreeD="1" sel="86" val="84"/>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06847" name="Group 29">
          <a:extLst>
            <a:ext uri="{FF2B5EF4-FFF2-40B4-BE49-F238E27FC236}">
              <a16:creationId xmlns:a16="http://schemas.microsoft.com/office/drawing/2014/main" id="{00000000-0008-0000-0100-00005FA10100}"/>
            </a:ext>
          </a:extLst>
        </xdr:cNvPr>
        <xdr:cNvGrpSpPr>
          <a:grpSpLocks/>
        </xdr:cNvGrpSpPr>
      </xdr:nvGrpSpPr>
      <xdr:grpSpPr bwMode="auto">
        <a:xfrm>
          <a:off x="0" y="0"/>
          <a:ext cx="8601075" cy="7191375"/>
          <a:chOff x="0" y="0"/>
          <a:chExt cx="903" cy="755"/>
        </a:xfrm>
      </xdr:grpSpPr>
      <xdr:grpSp>
        <xdr:nvGrpSpPr>
          <xdr:cNvPr id="106849" name="Group 11">
            <a:extLst>
              <a:ext uri="{FF2B5EF4-FFF2-40B4-BE49-F238E27FC236}">
                <a16:creationId xmlns:a16="http://schemas.microsoft.com/office/drawing/2014/main" id="{00000000-0008-0000-0100-000061A10100}"/>
              </a:ext>
            </a:extLst>
          </xdr:cNvPr>
          <xdr:cNvGrpSpPr>
            <a:grpSpLocks/>
          </xdr:cNvGrpSpPr>
        </xdr:nvGrpSpPr>
        <xdr:grpSpPr bwMode="auto">
          <a:xfrm>
            <a:off x="0" y="0"/>
            <a:ext cx="903" cy="755"/>
            <a:chOff x="0" y="0"/>
            <a:chExt cx="791" cy="672"/>
          </a:xfrm>
        </xdr:grpSpPr>
        <xdr:grpSp>
          <xdr:nvGrpSpPr>
            <xdr:cNvPr id="106851" name="Group 12">
              <a:extLst>
                <a:ext uri="{FF2B5EF4-FFF2-40B4-BE49-F238E27FC236}">
                  <a16:creationId xmlns:a16="http://schemas.microsoft.com/office/drawing/2014/main" id="{00000000-0008-0000-0100-000063A10100}"/>
                </a:ext>
              </a:extLst>
            </xdr:cNvPr>
            <xdr:cNvGrpSpPr>
              <a:grpSpLocks/>
            </xdr:cNvGrpSpPr>
          </xdr:nvGrpSpPr>
          <xdr:grpSpPr bwMode="auto">
            <a:xfrm>
              <a:off x="0" y="0"/>
              <a:ext cx="791" cy="672"/>
              <a:chOff x="12" y="17"/>
              <a:chExt cx="791" cy="672"/>
            </a:xfrm>
          </xdr:grpSpPr>
          <xdr:pic>
            <xdr:nvPicPr>
              <xdr:cNvPr id="106853" name="Picture 13" descr="Untitled-1 copy">
                <a:extLst>
                  <a:ext uri="{FF2B5EF4-FFF2-40B4-BE49-F238E27FC236}">
                    <a16:creationId xmlns:a16="http://schemas.microsoft.com/office/drawing/2014/main" id="{00000000-0008-0000-0100-000065A1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6854" name="Picture 14" descr="1 copy">
                <a:extLst>
                  <a:ext uri="{FF2B5EF4-FFF2-40B4-BE49-F238E27FC236}">
                    <a16:creationId xmlns:a16="http://schemas.microsoft.com/office/drawing/2014/main" id="{00000000-0008-0000-0100-000066A1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6855" name="Group 15">
                <a:extLst>
                  <a:ext uri="{FF2B5EF4-FFF2-40B4-BE49-F238E27FC236}">
                    <a16:creationId xmlns:a16="http://schemas.microsoft.com/office/drawing/2014/main" id="{00000000-0008-0000-0100-000067A10100}"/>
                  </a:ext>
                </a:extLst>
              </xdr:cNvPr>
              <xdr:cNvGrpSpPr>
                <a:grpSpLocks/>
              </xdr:cNvGrpSpPr>
            </xdr:nvGrpSpPr>
            <xdr:grpSpPr bwMode="auto">
              <a:xfrm>
                <a:off x="416" y="255"/>
                <a:ext cx="367" cy="413"/>
                <a:chOff x="416" y="255"/>
                <a:chExt cx="367" cy="413"/>
              </a:xfrm>
            </xdr:grpSpPr>
            <xdr:pic>
              <xdr:nvPicPr>
                <xdr:cNvPr id="106860" name="Picture 48" descr="Untitled-4-2">
                  <a:extLst>
                    <a:ext uri="{FF2B5EF4-FFF2-40B4-BE49-F238E27FC236}">
                      <a16:creationId xmlns:a16="http://schemas.microsoft.com/office/drawing/2014/main" id="{00000000-0008-0000-0100-00006CA101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6861" name="Group 17">
                  <a:extLst>
                    <a:ext uri="{FF2B5EF4-FFF2-40B4-BE49-F238E27FC236}">
                      <a16:creationId xmlns:a16="http://schemas.microsoft.com/office/drawing/2014/main" id="{00000000-0008-0000-0100-00006DA10100}"/>
                    </a:ext>
                  </a:extLst>
                </xdr:cNvPr>
                <xdr:cNvGrpSpPr>
                  <a:grpSpLocks/>
                </xdr:cNvGrpSpPr>
              </xdr:nvGrpSpPr>
              <xdr:grpSpPr bwMode="auto">
                <a:xfrm>
                  <a:off x="432" y="264"/>
                  <a:ext cx="286" cy="128"/>
                  <a:chOff x="426" y="263"/>
                  <a:chExt cx="290" cy="130"/>
                </a:xfrm>
              </xdr:grpSpPr>
              <xdr:pic>
                <xdr:nvPicPr>
                  <xdr:cNvPr id="106863" name="Picture 52" descr="Letter Head">
                    <a:extLst>
                      <a:ext uri="{FF2B5EF4-FFF2-40B4-BE49-F238E27FC236}">
                        <a16:creationId xmlns:a16="http://schemas.microsoft.com/office/drawing/2014/main" id="{00000000-0008-0000-0100-00006FA101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6864" name="Line 53">
                    <a:extLst>
                      <a:ext uri="{FF2B5EF4-FFF2-40B4-BE49-F238E27FC236}">
                        <a16:creationId xmlns:a16="http://schemas.microsoft.com/office/drawing/2014/main" id="{00000000-0008-0000-0100-000070A101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16:creationId xmlns:a16="http://schemas.microsoft.com/office/drawing/2014/main" id="{00000000-0008-0000-0100-000014240000}"/>
                    </a:ext>
                  </a:extLst>
                </xdr:cNvPr>
                <xdr:cNvSpPr txBox="1">
                  <a:spLocks noChangeArrowheads="1"/>
                </xdr:cNvSpPr>
              </xdr:nvSpPr>
              <xdr:spPr bwMode="auto">
                <a:xfrm>
                  <a:off x="435" y="393"/>
                  <a:ext cx="333" cy="255"/>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06856" name="Group 21">
                <a:extLst>
                  <a:ext uri="{FF2B5EF4-FFF2-40B4-BE49-F238E27FC236}">
                    <a16:creationId xmlns:a16="http://schemas.microsoft.com/office/drawing/2014/main" id="{00000000-0008-0000-0100-000068A10100}"/>
                  </a:ext>
                </a:extLst>
              </xdr:cNvPr>
              <xdr:cNvGrpSpPr>
                <a:grpSpLocks/>
              </xdr:cNvGrpSpPr>
            </xdr:nvGrpSpPr>
            <xdr:grpSpPr bwMode="auto">
              <a:xfrm>
                <a:off x="76" y="364"/>
                <a:ext cx="289" cy="256"/>
                <a:chOff x="76" y="364"/>
                <a:chExt cx="289" cy="256"/>
              </a:xfrm>
            </xdr:grpSpPr>
            <xdr:pic>
              <xdr:nvPicPr>
                <xdr:cNvPr id="106857" name="Picture 22" descr="J1c">
                  <a:extLst>
                    <a:ext uri="{FF2B5EF4-FFF2-40B4-BE49-F238E27FC236}">
                      <a16:creationId xmlns:a16="http://schemas.microsoft.com/office/drawing/2014/main" id="{00000000-0008-0000-0100-000069A1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6858" name="Picture 23" descr="J1a">
                  <a:extLst>
                    <a:ext uri="{FF2B5EF4-FFF2-40B4-BE49-F238E27FC236}">
                      <a16:creationId xmlns:a16="http://schemas.microsoft.com/office/drawing/2014/main" id="{00000000-0008-0000-0100-00006AA1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6859" name="Picture 24" descr="J1b">
                  <a:extLst>
                    <a:ext uri="{FF2B5EF4-FFF2-40B4-BE49-F238E27FC236}">
                      <a16:creationId xmlns:a16="http://schemas.microsoft.com/office/drawing/2014/main" id="{00000000-0008-0000-0100-00006BA1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06852" name="Picture 25" descr="B1 light">
              <a:extLst>
                <a:ext uri="{FF2B5EF4-FFF2-40B4-BE49-F238E27FC236}">
                  <a16:creationId xmlns:a16="http://schemas.microsoft.com/office/drawing/2014/main" id="{00000000-0008-0000-0100-000064A101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16:creationId xmlns:a16="http://schemas.microsoft.com/office/drawing/2014/main" id="{00000000-0008-0000-0100-00001B240000}"/>
              </a:ext>
            </a:extLst>
          </xdr:cNvPr>
          <xdr:cNvSpPr txBox="1">
            <a:spLocks noChangeArrowheads="1"/>
          </xdr:cNvSpPr>
        </xdr:nvSpPr>
        <xdr:spPr bwMode="auto">
          <a:xfrm>
            <a:off x="744" y="226"/>
            <a:ext cx="147" cy="19"/>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9242" name="Text Box 26">
          <a:extLst>
            <a:ext uri="{FF2B5EF4-FFF2-40B4-BE49-F238E27FC236}">
              <a16:creationId xmlns:a16="http://schemas.microsoft.com/office/drawing/2014/main" id="{00000000-0008-0000-0100-00001A240000}"/>
            </a:ext>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06459" name="Picture 3" descr="Untitled-1 copy">
          <a:extLst>
            <a:ext uri="{FF2B5EF4-FFF2-40B4-BE49-F238E27FC236}">
              <a16:creationId xmlns:a16="http://schemas.microsoft.com/office/drawing/2014/main" id="{00000000-0008-0000-0200-0000DB9F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106460" name="Picture 4" descr="1 copy">
          <a:extLst>
            <a:ext uri="{FF2B5EF4-FFF2-40B4-BE49-F238E27FC236}">
              <a16:creationId xmlns:a16="http://schemas.microsoft.com/office/drawing/2014/main" id="{00000000-0008-0000-0200-0000DC9F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a:extLst>
            <a:ext uri="{FF2B5EF4-FFF2-40B4-BE49-F238E27FC236}">
              <a16:creationId xmlns:a16="http://schemas.microsoft.com/office/drawing/2014/main" id="{00000000-0008-0000-02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a:extLst>
            <a:ext uri="{FF2B5EF4-FFF2-40B4-BE49-F238E27FC236}">
              <a16:creationId xmlns:a16="http://schemas.microsoft.com/office/drawing/2014/main" id="{00000000-0008-0000-02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2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a:extLst>
            <a:ext uri="{FF2B5EF4-FFF2-40B4-BE49-F238E27FC236}">
              <a16:creationId xmlns:a16="http://schemas.microsoft.com/office/drawing/2014/main" id="{00000000-0008-0000-0200-0000073400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a:extLst>
            <a:ext uri="{FF2B5EF4-FFF2-40B4-BE49-F238E27FC236}">
              <a16:creationId xmlns:a16="http://schemas.microsoft.com/office/drawing/2014/main" id="{00000000-0008-0000-0200-0000083400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a:extLst>
            <a:ext uri="{FF2B5EF4-FFF2-40B4-BE49-F238E27FC236}">
              <a16:creationId xmlns:a16="http://schemas.microsoft.com/office/drawing/2014/main" id="{00000000-0008-0000-02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a:extLst>
            <a:ext uri="{FF2B5EF4-FFF2-40B4-BE49-F238E27FC236}">
              <a16:creationId xmlns:a16="http://schemas.microsoft.com/office/drawing/2014/main" id="{00000000-0008-0000-02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2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2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a:extLst>
            <a:ext uri="{FF2B5EF4-FFF2-40B4-BE49-F238E27FC236}">
              <a16:creationId xmlns:a16="http://schemas.microsoft.com/office/drawing/2014/main" id="{00000000-0008-0000-02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2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108844</xdr:rowOff>
    </xdr:to>
    <xdr:sp macro="" textlink="">
      <xdr:nvSpPr>
        <xdr:cNvPr id="13327" name="Text Box 15">
          <a:extLst>
            <a:ext uri="{FF2B5EF4-FFF2-40B4-BE49-F238E27FC236}">
              <a16:creationId xmlns:a16="http://schemas.microsoft.com/office/drawing/2014/main" id="{00000000-0008-0000-0200-00000F340000}"/>
            </a:ext>
          </a:extLst>
        </xdr:cNvPr>
        <xdr:cNvSpPr txBox="1">
          <a:spLocks noChangeArrowheads="1"/>
        </xdr:cNvSpPr>
      </xdr:nvSpPr>
      <xdr:spPr bwMode="auto">
        <a:xfrm>
          <a:off x="609600" y="5743575"/>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a:extLst>
            <a:ext uri="{FF2B5EF4-FFF2-40B4-BE49-F238E27FC236}">
              <a16:creationId xmlns:a16="http://schemas.microsoft.com/office/drawing/2014/main" id="{00000000-0008-0000-0200-000010340000}"/>
            </a:ext>
          </a:extLst>
        </xdr:cNvPr>
        <xdr:cNvSpPr txBox="1">
          <a:spLocks noChangeArrowheads="1"/>
        </xdr:cNvSpPr>
      </xdr:nvSpPr>
      <xdr:spPr bwMode="auto">
        <a:xfrm>
          <a:off x="342900" y="6991350"/>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 uri="{FF2B5EF4-FFF2-40B4-BE49-F238E27FC236}">
                  <a16:creationId xmlns:a16="http://schemas.microsoft.com/office/drawing/2014/main" id="{00000000-0008-0000-02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180975</xdr:rowOff>
        </xdr:to>
        <xdr:sp macro="" textlink="">
          <xdr:nvSpPr>
            <xdr:cNvPr id="13331" name="Drop Down 19" hidden="1">
              <a:extLst>
                <a:ext uri="{63B3BB69-23CF-44E3-9099-C40C66FF867C}">
                  <a14:compatExt spid="_x0000_s13331"/>
                </a:ext>
                <a:ext uri="{FF2B5EF4-FFF2-40B4-BE49-F238E27FC236}">
                  <a16:creationId xmlns:a16="http://schemas.microsoft.com/office/drawing/2014/main" id="{00000000-0008-0000-02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66675</xdr:rowOff>
        </xdr:from>
        <xdr:to>
          <xdr:col>7</xdr:col>
          <xdr:colOff>219075</xdr:colOff>
          <xdr:row>18</xdr:row>
          <xdr:rowOff>152400</xdr:rowOff>
        </xdr:to>
        <xdr:sp macro="" textlink="">
          <xdr:nvSpPr>
            <xdr:cNvPr id="13332" name="Drop Down 20" hidden="1">
              <a:extLst>
                <a:ext uri="{63B3BB69-23CF-44E3-9099-C40C66FF867C}">
                  <a14:compatExt spid="_x0000_s13332"/>
                </a:ext>
                <a:ext uri="{FF2B5EF4-FFF2-40B4-BE49-F238E27FC236}">
                  <a16:creationId xmlns:a16="http://schemas.microsoft.com/office/drawing/2014/main" id="{00000000-0008-0000-02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06474" name="TextBox2">
              <a:extLst>
                <a:ext uri="{FF2B5EF4-FFF2-40B4-BE49-F238E27FC236}">
                  <a16:creationId xmlns:a16="http://schemas.microsoft.com/office/drawing/2014/main" id="{00000000-0008-0000-0200-0000EA9F0100}"/>
                </a:ext>
              </a:extLst>
            </xdr:cNvPr>
            <xdr:cNvPicPr preferRelativeResize="0">
              <a:picLocks noChangeArrowheads="1" noChangeShapeType="1"/>
              <a:extLst>
                <a:ext uri="{84589F7E-364E-4C9E-8A38-B11213B215E9}">
                  <a14:cameraTool cellRange="FinYear" spid="_x0000_s13383"/>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 uri="{FF2B5EF4-FFF2-40B4-BE49-F238E27FC236}">
                  <a16:creationId xmlns:a16="http://schemas.microsoft.com/office/drawing/2014/main" id="{00000000-0008-0000-02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 uri="{FF2B5EF4-FFF2-40B4-BE49-F238E27FC236}">
                  <a16:creationId xmlns:a16="http://schemas.microsoft.com/office/drawing/2014/main" id="{00000000-0008-0000-02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 uri="{FF2B5EF4-FFF2-40B4-BE49-F238E27FC236}">
                  <a16:creationId xmlns:a16="http://schemas.microsoft.com/office/drawing/2014/main" id="{00000000-0008-0000-02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9</xdr:row>
          <xdr:rowOff>142875</xdr:rowOff>
        </xdr:from>
        <xdr:to>
          <xdr:col>11</xdr:col>
          <xdr:colOff>285750</xdr:colOff>
          <xdr:row>11</xdr:row>
          <xdr:rowOff>76200</xdr:rowOff>
        </xdr:to>
        <xdr:sp macro="" textlink="">
          <xdr:nvSpPr>
            <xdr:cNvPr id="13337" name="TextBox6" hidden="1">
              <a:extLst>
                <a:ext uri="{63B3BB69-23CF-44E3-9099-C40C66FF867C}">
                  <a14:compatExt spid="_x0000_s13337"/>
                </a:ext>
                <a:ext uri="{FF2B5EF4-FFF2-40B4-BE49-F238E27FC236}">
                  <a16:creationId xmlns:a16="http://schemas.microsoft.com/office/drawing/2014/main" id="{00000000-0008-0000-02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104775</xdr:rowOff>
        </xdr:from>
        <xdr:to>
          <xdr:col>5</xdr:col>
          <xdr:colOff>57150</xdr:colOff>
          <xdr:row>36</xdr:row>
          <xdr:rowOff>95250</xdr:rowOff>
        </xdr:to>
        <xdr:sp macro="" textlink="">
          <xdr:nvSpPr>
            <xdr:cNvPr id="13338" name="ToggleReferenceColumns" hidden="1">
              <a:extLst>
                <a:ext uri="{63B3BB69-23CF-44E3-9099-C40C66FF867C}">
                  <a14:compatExt spid="_x0000_s13338"/>
                </a:ext>
                <a:ext uri="{FF2B5EF4-FFF2-40B4-BE49-F238E27FC236}">
                  <a16:creationId xmlns:a16="http://schemas.microsoft.com/office/drawing/2014/main" id="{00000000-0008-0000-02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 uri="{FF2B5EF4-FFF2-40B4-BE49-F238E27FC236}">
                  <a16:creationId xmlns:a16="http://schemas.microsoft.com/office/drawing/2014/main" id="{00000000-0008-0000-02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104775</xdr:rowOff>
        </xdr:from>
        <xdr:to>
          <xdr:col>5</xdr:col>
          <xdr:colOff>57150</xdr:colOff>
          <xdr:row>44</xdr:row>
          <xdr:rowOff>95250</xdr:rowOff>
        </xdr:to>
        <xdr:sp macro="" textlink="">
          <xdr:nvSpPr>
            <xdr:cNvPr id="13340" name="ToggleHiddenColumns" hidden="1">
              <a:extLst>
                <a:ext uri="{63B3BB69-23CF-44E3-9099-C40C66FF867C}">
                  <a14:compatExt spid="_x0000_s13340"/>
                </a:ext>
                <a:ext uri="{FF2B5EF4-FFF2-40B4-BE49-F238E27FC236}">
                  <a16:creationId xmlns:a16="http://schemas.microsoft.com/office/drawing/2014/main" id="{00000000-0008-0000-02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142875</xdr:rowOff>
    </xdr:from>
    <xdr:to>
      <xdr:col>5</xdr:col>
      <xdr:colOff>114300</xdr:colOff>
      <xdr:row>16</xdr:row>
      <xdr:rowOff>146900</xdr:rowOff>
    </xdr:to>
    <xdr:sp macro="" textlink="">
      <xdr:nvSpPr>
        <xdr:cNvPr id="13341" name="Text Box 24">
          <a:extLst>
            <a:ext uri="{FF2B5EF4-FFF2-40B4-BE49-F238E27FC236}">
              <a16:creationId xmlns:a16="http://schemas.microsoft.com/office/drawing/2014/main" id="{00000000-0008-0000-0200-00001D340000}"/>
            </a:ext>
          </a:extLst>
        </xdr:cNvPr>
        <xdr:cNvSpPr txBox="1">
          <a:spLocks noChangeArrowheads="1"/>
        </xdr:cNvSpPr>
      </xdr:nvSpPr>
      <xdr:spPr bwMode="auto">
        <a:xfrm>
          <a:off x="704850" y="2247900"/>
          <a:ext cx="245745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142875</xdr:rowOff>
        </xdr:from>
        <xdr:to>
          <xdr:col>7</xdr:col>
          <xdr:colOff>381000</xdr:colOff>
          <xdr:row>16</xdr:row>
          <xdr:rowOff>76200</xdr:rowOff>
        </xdr:to>
        <xdr:sp macro="" textlink="">
          <xdr:nvSpPr>
            <xdr:cNvPr id="13342" name="DateOfAdjustment" hidden="1">
              <a:extLst>
                <a:ext uri="{63B3BB69-23CF-44E3-9099-C40C66FF867C}">
                  <a14:compatExt spid="_x0000_s13342"/>
                </a:ext>
                <a:ext uri="{FF2B5EF4-FFF2-40B4-BE49-F238E27FC236}">
                  <a16:creationId xmlns:a16="http://schemas.microsoft.com/office/drawing/2014/main" id="{00000000-0008-0000-02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163830</xdr:rowOff>
    </xdr:from>
    <xdr:to>
      <xdr:col>5</xdr:col>
      <xdr:colOff>600075</xdr:colOff>
      <xdr:row>31</xdr:row>
      <xdr:rowOff>142901</xdr:rowOff>
    </xdr:to>
    <xdr:sp macro="" textlink="">
      <xdr:nvSpPr>
        <xdr:cNvPr id="13347" name="Text Box 18">
          <a:extLst>
            <a:ext uri="{FF2B5EF4-FFF2-40B4-BE49-F238E27FC236}">
              <a16:creationId xmlns:a16="http://schemas.microsoft.com/office/drawing/2014/main" id="{00000000-0008-0000-0200-000023340000}"/>
            </a:ext>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 uri="{FF2B5EF4-FFF2-40B4-BE49-F238E27FC236}">
                  <a16:creationId xmlns:a16="http://schemas.microsoft.com/office/drawing/2014/main" id="{00000000-0008-0000-02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106477" name="Picture 4" descr="1 copy">
          <a:extLst>
            <a:ext uri="{FF2B5EF4-FFF2-40B4-BE49-F238E27FC236}">
              <a16:creationId xmlns:a16="http://schemas.microsoft.com/office/drawing/2014/main" id="{00000000-0008-0000-0200-0000ED9F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a:extLst>
            <a:ext uri="{FF2B5EF4-FFF2-40B4-BE49-F238E27FC236}">
              <a16:creationId xmlns:a16="http://schemas.microsoft.com/office/drawing/2014/main" id="{00000000-0008-0000-0200-000021000000}"/>
            </a:ext>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a:extLst>
            <a:ext uri="{FF2B5EF4-FFF2-40B4-BE49-F238E27FC236}">
              <a16:creationId xmlns:a16="http://schemas.microsoft.com/office/drawing/2014/main" id="{00000000-0008-0000-0200-000022000000}"/>
            </a:ext>
          </a:extLst>
        </xdr:cNvPr>
        <xdr:cNvSpPr txBox="1">
          <a:spLocks noChangeArrowheads="1"/>
        </xdr:cNvSpPr>
      </xdr:nvSpPr>
      <xdr:spPr bwMode="auto">
        <a:xfrm>
          <a:off x="3771900" y="576262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118110</xdr:rowOff>
    </xdr:from>
    <xdr:to>
      <xdr:col>10</xdr:col>
      <xdr:colOff>0</xdr:colOff>
      <xdr:row>37</xdr:row>
      <xdr:rowOff>9712</xdr:rowOff>
    </xdr:to>
    <xdr:sp macro="" textlink="">
      <xdr:nvSpPr>
        <xdr:cNvPr id="35" name="Text Box 233">
          <a:extLst>
            <a:ext uri="{FF2B5EF4-FFF2-40B4-BE49-F238E27FC236}">
              <a16:creationId xmlns:a16="http://schemas.microsoft.com/office/drawing/2014/main" id="{00000000-0008-0000-0200-000023000000}"/>
            </a:ext>
          </a:extLst>
        </xdr:cNvPr>
        <xdr:cNvSpPr txBox="1">
          <a:spLocks noChangeArrowheads="1"/>
        </xdr:cNvSpPr>
      </xdr:nvSpPr>
      <xdr:spPr bwMode="auto">
        <a:xfrm>
          <a:off x="3762375" y="61245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a:extLst>
            <a:ext uri="{FF2B5EF4-FFF2-40B4-BE49-F238E27FC236}">
              <a16:creationId xmlns:a16="http://schemas.microsoft.com/office/drawing/2014/main" id="{00000000-0008-0000-0200-000024000000}"/>
            </a:ext>
          </a:extLst>
        </xdr:cNvPr>
        <xdr:cNvSpPr txBox="1">
          <a:spLocks noChangeArrowheads="1"/>
        </xdr:cNvSpPr>
      </xdr:nvSpPr>
      <xdr:spPr bwMode="auto">
        <a:xfrm>
          <a:off x="3771900" y="65817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a:extLst>
            <a:ext uri="{FF2B5EF4-FFF2-40B4-BE49-F238E27FC236}">
              <a16:creationId xmlns:a16="http://schemas.microsoft.com/office/drawing/2014/main" id="{00000000-0008-0000-0200-000025000000}"/>
            </a:ext>
          </a:extLst>
        </xdr:cNvPr>
        <xdr:cNvSpPr txBox="1">
          <a:spLocks noChangeArrowheads="1"/>
        </xdr:cNvSpPr>
      </xdr:nvSpPr>
      <xdr:spPr bwMode="auto">
        <a:xfrm>
          <a:off x="3762375" y="6953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80295</xdr:rowOff>
    </xdr:to>
    <xdr:sp macro="" textlink="">
      <xdr:nvSpPr>
        <xdr:cNvPr id="38" name="Text Box 233">
          <a:extLst>
            <a:ext uri="{FF2B5EF4-FFF2-40B4-BE49-F238E27FC236}">
              <a16:creationId xmlns:a16="http://schemas.microsoft.com/office/drawing/2014/main" id="{00000000-0008-0000-0200-000026000000}"/>
            </a:ext>
          </a:extLst>
        </xdr:cNvPr>
        <xdr:cNvSpPr txBox="1">
          <a:spLocks noChangeArrowheads="1"/>
        </xdr:cNvSpPr>
      </xdr:nvSpPr>
      <xdr:spPr bwMode="auto">
        <a:xfrm>
          <a:off x="3762375" y="7334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a:extLst>
            <a:ext uri="{FF2B5EF4-FFF2-40B4-BE49-F238E27FC236}">
              <a16:creationId xmlns:a16="http://schemas.microsoft.com/office/drawing/2014/main" id="{00000000-0008-0000-0200-000027000000}"/>
            </a:ext>
          </a:extLst>
        </xdr:cNvPr>
        <xdr:cNvSpPr txBox="1">
          <a:spLocks noChangeArrowheads="1"/>
        </xdr:cNvSpPr>
      </xdr:nvSpPr>
      <xdr:spPr bwMode="auto">
        <a:xfrm>
          <a:off x="6419850" y="57626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146970</xdr:rowOff>
    </xdr:to>
    <xdr:sp macro="" textlink="">
      <xdr:nvSpPr>
        <xdr:cNvPr id="40" name="Text Box 233">
          <a:hlinkClick xmlns:r="http://schemas.openxmlformats.org/officeDocument/2006/relationships" r:id="rId5"/>
          <a:extLst>
            <a:ext uri="{FF2B5EF4-FFF2-40B4-BE49-F238E27FC236}">
              <a16:creationId xmlns:a16="http://schemas.microsoft.com/office/drawing/2014/main" id="{00000000-0008-0000-0200-000028000000}"/>
            </a:ext>
          </a:extLst>
        </xdr:cNvPr>
        <xdr:cNvSpPr txBox="1">
          <a:spLocks noChangeArrowheads="1"/>
        </xdr:cNvSpPr>
      </xdr:nvSpPr>
      <xdr:spPr bwMode="auto">
        <a:xfrm>
          <a:off x="6429375" y="659130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146685</xdr:rowOff>
    </xdr:from>
    <xdr:to>
      <xdr:col>11</xdr:col>
      <xdr:colOff>533400</xdr:colOff>
      <xdr:row>37</xdr:row>
      <xdr:rowOff>38287</xdr:rowOff>
    </xdr:to>
    <xdr:sp macro="" textlink="">
      <xdr:nvSpPr>
        <xdr:cNvPr id="41" name="Text Box 233">
          <a:hlinkClick xmlns:r="http://schemas.openxmlformats.org/officeDocument/2006/relationships" r:id="rId6"/>
          <a:extLst>
            <a:ext uri="{FF2B5EF4-FFF2-40B4-BE49-F238E27FC236}">
              <a16:creationId xmlns:a16="http://schemas.microsoft.com/office/drawing/2014/main" id="{00000000-0008-0000-0200-000029000000}"/>
            </a:ext>
          </a:extLst>
        </xdr:cNvPr>
        <xdr:cNvSpPr txBox="1">
          <a:spLocks noChangeArrowheads="1"/>
        </xdr:cNvSpPr>
      </xdr:nvSpPr>
      <xdr:spPr bwMode="auto">
        <a:xfrm>
          <a:off x="6438900" y="61531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a:extLst>
            <a:ext uri="{FF2B5EF4-FFF2-40B4-BE49-F238E27FC236}">
              <a16:creationId xmlns:a16="http://schemas.microsoft.com/office/drawing/2014/main" id="{00000000-0008-0000-0200-00002A000000}"/>
            </a:ext>
          </a:extLst>
        </xdr:cNvPr>
        <xdr:cNvSpPr txBox="1">
          <a:spLocks noChangeArrowheads="1"/>
        </xdr:cNvSpPr>
      </xdr:nvSpPr>
      <xdr:spPr bwMode="auto">
        <a:xfrm>
          <a:off x="6448425" y="69818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a:extLst>
            <a:ext uri="{FF2B5EF4-FFF2-40B4-BE49-F238E27FC236}">
              <a16:creationId xmlns:a16="http://schemas.microsoft.com/office/drawing/2014/main" id="{00000000-0008-0000-0200-00002B000000}"/>
            </a:ext>
          </a:extLst>
        </xdr:cNvPr>
        <xdr:cNvSpPr txBox="1">
          <a:spLocks noChangeArrowheads="1"/>
        </xdr:cNvSpPr>
      </xdr:nvSpPr>
      <xdr:spPr bwMode="auto">
        <a:xfrm>
          <a:off x="6448425" y="73247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 uri="{FF2B5EF4-FFF2-40B4-BE49-F238E27FC236}">
                  <a16:creationId xmlns:a16="http://schemas.microsoft.com/office/drawing/2014/main" id="{00000000-0008-0000-0300-000039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512444</xdr:colOff>
      <xdr:row>0</xdr:row>
      <xdr:rowOff>19050</xdr:rowOff>
    </xdr:from>
    <xdr:to>
      <xdr:col>3</xdr:col>
      <xdr:colOff>7619</xdr:colOff>
      <xdr:row>0</xdr:row>
      <xdr:rowOff>438150</xdr:rowOff>
    </xdr:to>
    <xdr:sp macro="" textlink="">
      <xdr:nvSpPr>
        <xdr:cNvPr id="2" name="Text Box 18">
          <a:extLst>
            <a:ext uri="{FF2B5EF4-FFF2-40B4-BE49-F238E27FC236}">
              <a16:creationId xmlns:a16="http://schemas.microsoft.com/office/drawing/2014/main" id="{00000000-0008-0000-0500-000002000000}"/>
            </a:ext>
          </a:extLst>
        </xdr:cNvPr>
        <xdr:cNvSpPr txBox="1">
          <a:spLocks noChangeArrowheads="1"/>
        </xdr:cNvSpPr>
      </xdr:nvSpPr>
      <xdr:spPr bwMode="auto">
        <a:xfrm>
          <a:off x="3301364" y="19050"/>
          <a:ext cx="4928235"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500-000003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500-000004000000}"/>
            </a:ext>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73696" name="Text Box 18">
          <a:extLst>
            <a:ext uri="{FF2B5EF4-FFF2-40B4-BE49-F238E27FC236}">
              <a16:creationId xmlns:a16="http://schemas.microsoft.com/office/drawing/2014/main" id="{00000000-0008-0000-0500-0000E01F01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1215390</xdr:colOff>
      <xdr:row>0</xdr:row>
      <xdr:rowOff>0</xdr:rowOff>
    </xdr:from>
    <xdr:to>
      <xdr:col>2</xdr:col>
      <xdr:colOff>3633</xdr:colOff>
      <xdr:row>0</xdr:row>
      <xdr:rowOff>0</xdr:rowOff>
    </xdr:to>
    <xdr:sp macro="" textlink="">
      <xdr:nvSpPr>
        <xdr:cNvPr id="6145" name="AutoShape 1">
          <a:extLst>
            <a:ext uri="{FF2B5EF4-FFF2-40B4-BE49-F238E27FC236}">
              <a16:creationId xmlns:a16="http://schemas.microsoft.com/office/drawing/2014/main" id="{00000000-0008-0000-1500-000001180000}"/>
            </a:ext>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4199</xdr:colOff>
      <xdr:row>0</xdr:row>
      <xdr:rowOff>0</xdr:rowOff>
    </xdr:to>
    <xdr:sp macro="" textlink="">
      <xdr:nvSpPr>
        <xdr:cNvPr id="6146" name="AutoShape 2">
          <a:extLst>
            <a:ext uri="{FF2B5EF4-FFF2-40B4-BE49-F238E27FC236}">
              <a16:creationId xmlns:a16="http://schemas.microsoft.com/office/drawing/2014/main" id="{00000000-0008-0000-1500-000002180000}"/>
            </a:ext>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gatelopele\ccgbic$\Users\CCGSYSTEMS\Downloads\Annexure%20B1.%20Cash%20Flow%20Linking%20-%20SA30%20TEMPLATE%20-%207%20Oct%202020%20(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30"/>
      <sheetName val="Sheet1"/>
      <sheetName val="a7_sa30"/>
    </sheetNames>
    <sheetDataSet>
      <sheetData sheetId="0"/>
      <sheetData sheetId="1">
        <row r="1">
          <cell r="H1" t="str">
            <v>ShortDescription</v>
          </cell>
          <cell r="AU1" t="str">
            <v>ShortCode</v>
          </cell>
        </row>
        <row r="2">
          <cell r="H2" t="str">
            <v>Energy Sources</v>
          </cell>
          <cell r="AU2" t="str">
            <v>NULL</v>
          </cell>
        </row>
        <row r="3">
          <cell r="H3" t="str">
            <v>Information Technology</v>
          </cell>
          <cell r="AU3" t="str">
            <v>X052</v>
          </cell>
        </row>
        <row r="4">
          <cell r="H4" t="str">
            <v>Function</v>
          </cell>
          <cell r="AU4" t="str">
            <v>NULL</v>
          </cell>
        </row>
        <row r="5">
          <cell r="H5" t="str">
            <v>Community and Social Services</v>
          </cell>
          <cell r="AU5" t="str">
            <v>NULL</v>
          </cell>
        </row>
        <row r="6">
          <cell r="H6" t="str">
            <v>Core Function</v>
          </cell>
          <cell r="AU6" t="str">
            <v>NULL</v>
          </cell>
        </row>
        <row r="7">
          <cell r="H7" t="str">
            <v>Aged Care</v>
          </cell>
          <cell r="AU7" t="str">
            <v>X002</v>
          </cell>
        </row>
        <row r="8">
          <cell r="H8" t="str">
            <v>Animal Care and Diseases</v>
          </cell>
          <cell r="AU8" t="str">
            <v>X003</v>
          </cell>
        </row>
        <row r="9">
          <cell r="H9" t="str">
            <v>Cemeteries, Funeral Parlours and Crematoriums</v>
          </cell>
          <cell r="AU9" t="str">
            <v>X004</v>
          </cell>
        </row>
        <row r="10">
          <cell r="H10" t="str">
            <v>Child Care Facilities</v>
          </cell>
          <cell r="AU10" t="str">
            <v>X005</v>
          </cell>
        </row>
        <row r="11">
          <cell r="H11" t="str">
            <v>Community Halls and Facilities</v>
          </cell>
          <cell r="AU11" t="str">
            <v>X006</v>
          </cell>
        </row>
        <row r="12">
          <cell r="H12" t="str">
            <v>Libraries and Archives</v>
          </cell>
          <cell r="AU12" t="str">
            <v>X007</v>
          </cell>
        </row>
        <row r="13">
          <cell r="H13" t="str">
            <v>Literacy Programmes</v>
          </cell>
          <cell r="AU13" t="str">
            <v>X008</v>
          </cell>
        </row>
        <row r="14">
          <cell r="H14" t="str">
            <v>Museums and Art Galleries</v>
          </cell>
          <cell r="AU14" t="str">
            <v>X009</v>
          </cell>
        </row>
        <row r="15">
          <cell r="H15" t="str">
            <v>Theatres</v>
          </cell>
          <cell r="AU15" t="str">
            <v>X010</v>
          </cell>
        </row>
        <row r="16">
          <cell r="H16" t="str">
            <v>Zoo's</v>
          </cell>
          <cell r="AU16" t="str">
            <v>X011</v>
          </cell>
        </row>
        <row r="17">
          <cell r="H17" t="str">
            <v>Non-core Function</v>
          </cell>
          <cell r="AU17" t="str">
            <v>NULL</v>
          </cell>
        </row>
        <row r="18">
          <cell r="H18" t="str">
            <v>Aged Care</v>
          </cell>
          <cell r="AU18" t="str">
            <v>X012</v>
          </cell>
        </row>
        <row r="19">
          <cell r="H19" t="str">
            <v>Agricultural</v>
          </cell>
          <cell r="AU19" t="str">
            <v>X013</v>
          </cell>
        </row>
        <row r="20">
          <cell r="H20" t="str">
            <v>Animal Care and Diseases</v>
          </cell>
          <cell r="AU20" t="str">
            <v>X014</v>
          </cell>
        </row>
        <row r="21">
          <cell r="H21" t="str">
            <v>Child Care Facilities</v>
          </cell>
          <cell r="AU21" t="str">
            <v>X015</v>
          </cell>
        </row>
        <row r="22">
          <cell r="H22" t="str">
            <v>Community Halls and Facilities</v>
          </cell>
          <cell r="AU22" t="str">
            <v>X016</v>
          </cell>
        </row>
        <row r="23">
          <cell r="H23" t="str">
            <v>Consumer Protection</v>
          </cell>
          <cell r="AU23" t="str">
            <v>X017</v>
          </cell>
        </row>
        <row r="24">
          <cell r="H24" t="str">
            <v>Cultural Matters</v>
          </cell>
          <cell r="AU24" t="str">
            <v>X018</v>
          </cell>
        </row>
        <row r="25">
          <cell r="H25" t="str">
            <v>Disaster Management</v>
          </cell>
          <cell r="AU25" t="str">
            <v>X019</v>
          </cell>
        </row>
        <row r="26">
          <cell r="H26" t="str">
            <v>Education</v>
          </cell>
          <cell r="AU26" t="str">
            <v>X020</v>
          </cell>
        </row>
        <row r="27">
          <cell r="H27" t="str">
            <v>Indigenous and Customary Law</v>
          </cell>
          <cell r="AU27" t="str">
            <v>X021</v>
          </cell>
        </row>
        <row r="28">
          <cell r="H28" t="str">
            <v>Industrial Promotion</v>
          </cell>
          <cell r="AU28" t="str">
            <v>X022</v>
          </cell>
        </row>
        <row r="29">
          <cell r="H29" t="str">
            <v>Language Policy</v>
          </cell>
          <cell r="AU29" t="str">
            <v>X023</v>
          </cell>
        </row>
        <row r="30">
          <cell r="H30" t="str">
            <v>Libraries and Archives</v>
          </cell>
          <cell r="AU30" t="str">
            <v>X024</v>
          </cell>
        </row>
        <row r="31">
          <cell r="H31" t="str">
            <v>Literacy Programmes</v>
          </cell>
          <cell r="AU31" t="str">
            <v>X025</v>
          </cell>
        </row>
        <row r="32">
          <cell r="H32" t="str">
            <v>Media Services</v>
          </cell>
          <cell r="AU32" t="str">
            <v>X026</v>
          </cell>
        </row>
        <row r="33">
          <cell r="H33" t="str">
            <v>Museums and Art Galleries</v>
          </cell>
          <cell r="AU33" t="str">
            <v>X027</v>
          </cell>
        </row>
        <row r="34">
          <cell r="H34" t="str">
            <v>Population Development</v>
          </cell>
          <cell r="AU34" t="str">
            <v>X028</v>
          </cell>
        </row>
        <row r="35">
          <cell r="H35" t="str">
            <v>Provincial Cultural Matters</v>
          </cell>
          <cell r="AU35" t="str">
            <v>X029</v>
          </cell>
        </row>
        <row r="36">
          <cell r="H36" t="str">
            <v>Theatres</v>
          </cell>
          <cell r="AU36" t="str">
            <v>X030</v>
          </cell>
        </row>
        <row r="37">
          <cell r="H37" t="str">
            <v>Zoo's</v>
          </cell>
          <cell r="AU37" t="str">
            <v>X031</v>
          </cell>
        </row>
        <row r="38">
          <cell r="H38" t="str">
            <v>Core Function</v>
          </cell>
          <cell r="AU38" t="str">
            <v>NULL</v>
          </cell>
        </row>
        <row r="39">
          <cell r="H39" t="str">
            <v>Electricity</v>
          </cell>
          <cell r="AU39" t="str">
            <v>X032</v>
          </cell>
        </row>
        <row r="40">
          <cell r="H40" t="str">
            <v>Street Lighting and Signal Systems</v>
          </cell>
          <cell r="AU40" t="str">
            <v>X034</v>
          </cell>
        </row>
        <row r="41">
          <cell r="H41" t="str">
            <v>Nonelectric Energy</v>
          </cell>
          <cell r="AU41" t="str">
            <v>X033</v>
          </cell>
        </row>
        <row r="42">
          <cell r="H42" t="str">
            <v>Non-core Function</v>
          </cell>
          <cell r="AU42" t="str">
            <v>NULL</v>
          </cell>
        </row>
        <row r="43">
          <cell r="H43" t="str">
            <v>Electricity</v>
          </cell>
          <cell r="AU43" t="str">
            <v>X035</v>
          </cell>
        </row>
        <row r="44">
          <cell r="H44" t="str">
            <v>Nonelectric Energy</v>
          </cell>
          <cell r="AU44" t="str">
            <v>X036</v>
          </cell>
        </row>
        <row r="45">
          <cell r="H45" t="str">
            <v>Environmental Protection</v>
          </cell>
          <cell r="AU45" t="str">
            <v>NULL</v>
          </cell>
        </row>
        <row r="46">
          <cell r="H46" t="str">
            <v>Core Function</v>
          </cell>
          <cell r="AU46" t="str">
            <v>NULL</v>
          </cell>
        </row>
        <row r="47">
          <cell r="H47" t="str">
            <v>Biodiversity and Landscape</v>
          </cell>
          <cell r="AU47" t="str">
            <v>X037</v>
          </cell>
        </row>
        <row r="48">
          <cell r="H48" t="str">
            <v>Coastal Protection</v>
          </cell>
          <cell r="AU48" t="str">
            <v>X038</v>
          </cell>
        </row>
        <row r="49">
          <cell r="H49" t="str">
            <v>Pollution Control</v>
          </cell>
          <cell r="AU49" t="str">
            <v>X039</v>
          </cell>
        </row>
        <row r="50">
          <cell r="H50" t="str">
            <v>Non-core Function</v>
          </cell>
          <cell r="AU50" t="str">
            <v>NULL</v>
          </cell>
        </row>
        <row r="51">
          <cell r="H51" t="str">
            <v>Indigenous Forests</v>
          </cell>
          <cell r="AU51" t="str">
            <v>X040</v>
          </cell>
        </row>
        <row r="52">
          <cell r="H52" t="str">
            <v>Nature Conservation</v>
          </cell>
          <cell r="AU52" t="str">
            <v>X041</v>
          </cell>
        </row>
        <row r="53">
          <cell r="H53" t="str">
            <v>Pollution Control</v>
          </cell>
          <cell r="AU53" t="str">
            <v>X042</v>
          </cell>
        </row>
        <row r="54">
          <cell r="H54" t="str">
            <v>Soil Conservation</v>
          </cell>
          <cell r="AU54" t="str">
            <v>X043</v>
          </cell>
        </row>
        <row r="55">
          <cell r="H55" t="str">
            <v>Executive and Council</v>
          </cell>
          <cell r="AU55" t="str">
            <v>NULL</v>
          </cell>
        </row>
        <row r="56">
          <cell r="H56" t="str">
            <v>Core Function</v>
          </cell>
          <cell r="AU56" t="str">
            <v>NULL</v>
          </cell>
        </row>
        <row r="57">
          <cell r="H57" t="str">
            <v>Mayor and Council</v>
          </cell>
          <cell r="AU57" t="str">
            <v>X044</v>
          </cell>
        </row>
        <row r="58">
          <cell r="H58" t="str">
            <v>Municipal Manager, Town Secretary and Chief Executive</v>
          </cell>
          <cell r="AU58" t="str">
            <v>X045</v>
          </cell>
        </row>
        <row r="59">
          <cell r="H59" t="str">
            <v>Finance and Administration</v>
          </cell>
          <cell r="AU59" t="str">
            <v>NULL</v>
          </cell>
        </row>
        <row r="60">
          <cell r="H60" t="str">
            <v>Core Function</v>
          </cell>
          <cell r="AU60" t="str">
            <v>NULL</v>
          </cell>
        </row>
        <row r="61">
          <cell r="H61" t="str">
            <v>Administrative and Corporate Support</v>
          </cell>
          <cell r="AU61" t="str">
            <v>X046</v>
          </cell>
        </row>
        <row r="62">
          <cell r="H62" t="str">
            <v>Asset Management</v>
          </cell>
          <cell r="AU62" t="str">
            <v>X047</v>
          </cell>
        </row>
        <row r="63">
          <cell r="H63" t="str">
            <v>Finance</v>
          </cell>
          <cell r="AU63" t="str">
            <v>X049</v>
          </cell>
        </row>
        <row r="64">
          <cell r="H64" t="str">
            <v>Fleet Management</v>
          </cell>
          <cell r="AU64" t="str">
            <v>X050</v>
          </cell>
        </row>
        <row r="65">
          <cell r="H65" t="str">
            <v>Human Resources</v>
          </cell>
          <cell r="AU65" t="str">
            <v>X051</v>
          </cell>
        </row>
        <row r="66">
          <cell r="H66" t="str">
            <v>Legal Services</v>
          </cell>
          <cell r="AU66" t="str">
            <v>X053</v>
          </cell>
        </row>
        <row r="67">
          <cell r="H67" t="str">
            <v>Taxi Ranks</v>
          </cell>
          <cell r="AU67" t="str">
            <v>X117</v>
          </cell>
        </row>
        <row r="68">
          <cell r="H68" t="str">
            <v>Marketing, Customer Relations, Publicity and Media Co-ordination</v>
          </cell>
          <cell r="AU68" t="str">
            <v>X054</v>
          </cell>
        </row>
        <row r="69">
          <cell r="H69" t="str">
            <v>Property Services</v>
          </cell>
          <cell r="AU69" t="str">
            <v>X055</v>
          </cell>
        </row>
        <row r="70">
          <cell r="H70" t="str">
            <v>Risk Management</v>
          </cell>
          <cell r="AU70" t="str">
            <v>X056</v>
          </cell>
        </row>
        <row r="71">
          <cell r="H71" t="str">
            <v>Security Services</v>
          </cell>
          <cell r="AU71" t="str">
            <v>X057</v>
          </cell>
        </row>
        <row r="72">
          <cell r="H72" t="str">
            <v>Supply Chain Management</v>
          </cell>
          <cell r="AU72" t="str">
            <v>X058</v>
          </cell>
        </row>
        <row r="73">
          <cell r="H73" t="str">
            <v>Valuation Service</v>
          </cell>
          <cell r="AU73" t="str">
            <v>X059</v>
          </cell>
        </row>
        <row r="74">
          <cell r="H74" t="str">
            <v>Non-core Function</v>
          </cell>
          <cell r="AU74" t="str">
            <v>NULL</v>
          </cell>
        </row>
        <row r="75">
          <cell r="H75" t="str">
            <v>Asset Management</v>
          </cell>
          <cell r="AU75" t="str">
            <v>X060</v>
          </cell>
        </row>
        <row r="76">
          <cell r="H76" t="str">
            <v>Fleet Management</v>
          </cell>
          <cell r="AU76" t="str">
            <v>X061</v>
          </cell>
        </row>
        <row r="77">
          <cell r="H77" t="str">
            <v>Human Resources</v>
          </cell>
          <cell r="AU77" t="str">
            <v>X062</v>
          </cell>
        </row>
        <row r="78">
          <cell r="H78" t="str">
            <v>Information Technology</v>
          </cell>
          <cell r="AU78" t="str">
            <v>X063</v>
          </cell>
        </row>
        <row r="79">
          <cell r="H79" t="str">
            <v>Legal Services</v>
          </cell>
          <cell r="AU79" t="str">
            <v>X064</v>
          </cell>
        </row>
        <row r="80">
          <cell r="H80" t="str">
            <v>Marketing, Customer Relations, Publicity and Media Co-ordination</v>
          </cell>
          <cell r="AU80" t="str">
            <v>X065</v>
          </cell>
        </row>
        <row r="81">
          <cell r="H81" t="str">
            <v>Food Control</v>
          </cell>
          <cell r="AU81" t="str">
            <v>X070</v>
          </cell>
        </row>
        <row r="82">
          <cell r="H82" t="str">
            <v>Vector Control</v>
          </cell>
          <cell r="AU82" t="str">
            <v>X074</v>
          </cell>
        </row>
        <row r="83">
          <cell r="H83" t="str">
            <v>Chemical Safety</v>
          </cell>
          <cell r="AU83" t="str">
            <v>X069</v>
          </cell>
        </row>
        <row r="84">
          <cell r="H84" t="str">
            <v>Property Services</v>
          </cell>
          <cell r="AU84" t="str">
            <v>X066</v>
          </cell>
        </row>
        <row r="85">
          <cell r="H85" t="str">
            <v>Risk Management</v>
          </cell>
          <cell r="AU85" t="str">
            <v>X067</v>
          </cell>
        </row>
        <row r="86">
          <cell r="H86" t="str">
            <v>Security Services</v>
          </cell>
          <cell r="AU86" t="str">
            <v>X068</v>
          </cell>
        </row>
        <row r="87">
          <cell r="H87" t="str">
            <v>Health</v>
          </cell>
          <cell r="AU87" t="str">
            <v>NULL</v>
          </cell>
        </row>
        <row r="88">
          <cell r="H88" t="str">
            <v>Core Function</v>
          </cell>
          <cell r="AU88" t="str">
            <v>NULL</v>
          </cell>
        </row>
        <row r="89">
          <cell r="H89" t="str">
            <v>Health Services</v>
          </cell>
          <cell r="AU89" t="str">
            <v>X071</v>
          </cell>
        </row>
        <row r="90">
          <cell r="H90" t="str">
            <v>Laboratory Services</v>
          </cell>
          <cell r="AU90" t="str">
            <v>X073</v>
          </cell>
        </row>
        <row r="91">
          <cell r="H91" t="str">
            <v>Health Surveillance and Prevention of Communicable Diseases including immunizations</v>
          </cell>
          <cell r="AU91" t="str">
            <v>X072</v>
          </cell>
        </row>
        <row r="92">
          <cell r="H92" t="str">
            <v>Non-core Function</v>
          </cell>
          <cell r="AU92" t="str">
            <v>NULL</v>
          </cell>
        </row>
        <row r="93">
          <cell r="H93" t="str">
            <v>Ambulance</v>
          </cell>
          <cell r="AU93" t="str">
            <v>X075</v>
          </cell>
        </row>
        <row r="94">
          <cell r="H94" t="str">
            <v>Health Services</v>
          </cell>
          <cell r="AU94" t="str">
            <v>X076</v>
          </cell>
        </row>
        <row r="95">
          <cell r="H95" t="str">
            <v>Housing</v>
          </cell>
          <cell r="AU95" t="str">
            <v>NULL</v>
          </cell>
        </row>
        <row r="96">
          <cell r="H96" t="str">
            <v>Core Function</v>
          </cell>
          <cell r="AU96" t="str">
            <v>NULL</v>
          </cell>
        </row>
        <row r="97">
          <cell r="H97" t="str">
            <v>Housing</v>
          </cell>
          <cell r="AU97" t="str">
            <v>X077</v>
          </cell>
        </row>
        <row r="98">
          <cell r="H98" t="str">
            <v>Informal Settlements</v>
          </cell>
          <cell r="AU98" t="str">
            <v>X078</v>
          </cell>
        </row>
        <row r="99">
          <cell r="H99" t="str">
            <v>Non-core Function</v>
          </cell>
          <cell r="AU99" t="str">
            <v>NULL</v>
          </cell>
        </row>
        <row r="100">
          <cell r="H100" t="str">
            <v>Housing</v>
          </cell>
          <cell r="AU100" t="str">
            <v>X079</v>
          </cell>
        </row>
        <row r="101">
          <cell r="H101" t="str">
            <v>Informal Settlements</v>
          </cell>
          <cell r="AU101" t="str">
            <v>X080</v>
          </cell>
        </row>
        <row r="102">
          <cell r="H102" t="str">
            <v>Internal Audit</v>
          </cell>
          <cell r="AU102" t="str">
            <v>NULL</v>
          </cell>
        </row>
        <row r="103">
          <cell r="H103" t="str">
            <v>Governance Function</v>
          </cell>
          <cell r="AU103" t="str">
            <v>X081</v>
          </cell>
        </row>
        <row r="104">
          <cell r="H104" t="str">
            <v>Pounds</v>
          </cell>
          <cell r="AU104" t="str">
            <v>X152</v>
          </cell>
        </row>
        <row r="105">
          <cell r="H105" t="str">
            <v>Core Function</v>
          </cell>
          <cell r="AU105" t="str">
            <v>NULL</v>
          </cell>
        </row>
        <row r="106">
          <cell r="H106" t="str">
            <v>Non-core Function</v>
          </cell>
          <cell r="AU106" t="str">
            <v>NULL</v>
          </cell>
        </row>
        <row r="107">
          <cell r="H107" t="str">
            <v>Other</v>
          </cell>
          <cell r="AU107" t="str">
            <v>NULL</v>
          </cell>
        </row>
        <row r="108">
          <cell r="H108" t="str">
            <v>Core Function</v>
          </cell>
          <cell r="AU108" t="str">
            <v>NULL</v>
          </cell>
        </row>
        <row r="109">
          <cell r="H109" t="str">
            <v>Abattoirs</v>
          </cell>
          <cell r="AU109" t="str">
            <v>X082</v>
          </cell>
        </row>
        <row r="110">
          <cell r="H110" t="str">
            <v>Air Transport</v>
          </cell>
          <cell r="AU110" t="str">
            <v>X083</v>
          </cell>
        </row>
        <row r="111">
          <cell r="H111" t="str">
            <v>Forestry</v>
          </cell>
          <cell r="AU111" t="str">
            <v>X084</v>
          </cell>
        </row>
        <row r="112">
          <cell r="H112" t="str">
            <v>Licensing and Regulation</v>
          </cell>
          <cell r="AU112" t="str">
            <v>X085</v>
          </cell>
        </row>
        <row r="113">
          <cell r="H113" t="str">
            <v>Markets</v>
          </cell>
          <cell r="AU113" t="str">
            <v>X086</v>
          </cell>
        </row>
        <row r="114">
          <cell r="H114" t="str">
            <v>Tourism</v>
          </cell>
          <cell r="AU114" t="str">
            <v>X087</v>
          </cell>
        </row>
        <row r="115">
          <cell r="H115" t="str">
            <v>Non-core Function</v>
          </cell>
          <cell r="AU115" t="str">
            <v>NULL</v>
          </cell>
        </row>
        <row r="116">
          <cell r="H116" t="str">
            <v>Abattoirs</v>
          </cell>
          <cell r="AU116" t="str">
            <v>X088</v>
          </cell>
        </row>
        <row r="117">
          <cell r="H117" t="str">
            <v>Air Transport</v>
          </cell>
          <cell r="AU117" t="str">
            <v>X089</v>
          </cell>
        </row>
        <row r="118">
          <cell r="H118" t="str">
            <v>Forestry</v>
          </cell>
          <cell r="AU118" t="str">
            <v>X090</v>
          </cell>
        </row>
        <row r="119">
          <cell r="H119" t="str">
            <v>Licensing and Regulation</v>
          </cell>
          <cell r="AU119" t="str">
            <v>X091</v>
          </cell>
        </row>
        <row r="120">
          <cell r="H120" t="str">
            <v>Markets</v>
          </cell>
          <cell r="AU120" t="str">
            <v>X092</v>
          </cell>
        </row>
        <row r="121">
          <cell r="H121" t="str">
            <v>Tourism</v>
          </cell>
          <cell r="AU121" t="str">
            <v>X093</v>
          </cell>
        </row>
        <row r="122">
          <cell r="H122" t="str">
            <v>Planning and Development</v>
          </cell>
          <cell r="AU122" t="str">
            <v>NULL</v>
          </cell>
        </row>
        <row r="123">
          <cell r="H123" t="str">
            <v>Core Function</v>
          </cell>
          <cell r="AU123" t="str">
            <v>NULL</v>
          </cell>
        </row>
        <row r="124">
          <cell r="H124" t="str">
            <v>Billboards</v>
          </cell>
          <cell r="AU124" t="str">
            <v>X094</v>
          </cell>
        </row>
        <row r="125">
          <cell r="H125" t="str">
            <v>Corporate Wide Strategic Planning (IDPs, LEDs)</v>
          </cell>
          <cell r="AU125" t="str">
            <v>X096</v>
          </cell>
        </row>
        <row r="126">
          <cell r="H126" t="str">
            <v>Central City Improvement District</v>
          </cell>
          <cell r="AU126" t="str">
            <v>X095</v>
          </cell>
        </row>
        <row r="127">
          <cell r="H127" t="str">
            <v>Development Facilitation</v>
          </cell>
          <cell r="AU127" t="str">
            <v>X097</v>
          </cell>
        </row>
        <row r="128">
          <cell r="H128" t="str">
            <v>Economic Development/Planning</v>
          </cell>
          <cell r="AU128" t="str">
            <v>X098</v>
          </cell>
        </row>
        <row r="129">
          <cell r="H129" t="str">
            <v>Town Planning, Building Regulations and Enforcement, and City Engineer</v>
          </cell>
          <cell r="AU129" t="str">
            <v>X101</v>
          </cell>
        </row>
        <row r="130">
          <cell r="H130" t="str">
            <v>Project Management Unit</v>
          </cell>
          <cell r="AU130" t="str">
            <v>X099</v>
          </cell>
        </row>
        <row r="131">
          <cell r="H131" t="str">
            <v>Support to Local Municipalities</v>
          </cell>
          <cell r="AU131" t="str">
            <v>X100</v>
          </cell>
        </row>
        <row r="132">
          <cell r="H132" t="str">
            <v>Non-core Function</v>
          </cell>
          <cell r="AU132" t="str">
            <v>NULL</v>
          </cell>
        </row>
        <row r="133">
          <cell r="H133" t="str">
            <v>Provincial Planning</v>
          </cell>
          <cell r="AU133" t="str">
            <v>X103</v>
          </cell>
        </row>
        <row r="134">
          <cell r="H134" t="str">
            <v>Regional Planning and Development</v>
          </cell>
          <cell r="AU134" t="str">
            <v>X104</v>
          </cell>
        </row>
        <row r="135">
          <cell r="H135" t="str">
            <v>Central City Improvement District</v>
          </cell>
          <cell r="AU135" t="str">
            <v>X102</v>
          </cell>
        </row>
        <row r="136">
          <cell r="H136" t="str">
            <v>Public Safety</v>
          </cell>
          <cell r="AU136" t="str">
            <v>NULL</v>
          </cell>
        </row>
        <row r="137">
          <cell r="H137" t="str">
            <v>Core Function</v>
          </cell>
          <cell r="AU137" t="str">
            <v>NULL</v>
          </cell>
        </row>
        <row r="138">
          <cell r="H138" t="str">
            <v>Civil Defence</v>
          </cell>
          <cell r="AU138" t="str">
            <v>X105</v>
          </cell>
        </row>
        <row r="139">
          <cell r="H139" t="str">
            <v>Cleansing</v>
          </cell>
          <cell r="AU139" t="str">
            <v>X106</v>
          </cell>
        </row>
        <row r="140">
          <cell r="H140" t="str">
            <v>Control of Public Nuisances</v>
          </cell>
          <cell r="AU140" t="str">
            <v>X107</v>
          </cell>
        </row>
        <row r="141">
          <cell r="H141" t="str">
            <v>Fencing and Fences</v>
          </cell>
          <cell r="AU141" t="str">
            <v>X108</v>
          </cell>
        </row>
        <row r="142">
          <cell r="H142" t="str">
            <v>Fire Fighting and Protection</v>
          </cell>
          <cell r="AU142" t="str">
            <v>X109</v>
          </cell>
        </row>
        <row r="143">
          <cell r="H143" t="str">
            <v>Licensing and Control of Animals</v>
          </cell>
          <cell r="AU143" t="str">
            <v>X110</v>
          </cell>
        </row>
        <row r="144">
          <cell r="H144" t="str">
            <v>Police Forces, Traffic and Street Parking Control</v>
          </cell>
          <cell r="AU144" t="str">
            <v>X153</v>
          </cell>
        </row>
        <row r="145">
          <cell r="H145" t="str">
            <v>Non-core Function</v>
          </cell>
          <cell r="AU145" t="str">
            <v>NULL</v>
          </cell>
        </row>
        <row r="146">
          <cell r="H146" t="str">
            <v>Cleansing</v>
          </cell>
          <cell r="AU146" t="str">
            <v>X111</v>
          </cell>
        </row>
        <row r="147">
          <cell r="H147" t="str">
            <v>Fire Fighting and Protection</v>
          </cell>
          <cell r="AU147" t="str">
            <v>X112</v>
          </cell>
        </row>
        <row r="148">
          <cell r="H148" t="str">
            <v>Core Function</v>
          </cell>
          <cell r="AU148" t="str">
            <v>NULL</v>
          </cell>
        </row>
        <row r="149">
          <cell r="H149" t="str">
            <v>Public Transport</v>
          </cell>
          <cell r="AU149" t="str">
            <v>X115</v>
          </cell>
        </row>
        <row r="150">
          <cell r="H150" t="str">
            <v>Roads</v>
          </cell>
          <cell r="AU150" t="str">
            <v>X116</v>
          </cell>
        </row>
        <row r="151">
          <cell r="H151" t="str">
            <v>Non-core Function</v>
          </cell>
          <cell r="AU151" t="str">
            <v>NULL</v>
          </cell>
        </row>
        <row r="152">
          <cell r="H152" t="str">
            <v>Road and Traffic Regulation</v>
          </cell>
          <cell r="AU152" t="str">
            <v>X119</v>
          </cell>
        </row>
        <row r="153">
          <cell r="H153" t="str">
            <v>Public Transport</v>
          </cell>
          <cell r="AU153" t="str">
            <v>X118</v>
          </cell>
        </row>
        <row r="154">
          <cell r="H154" t="str">
            <v>Roads</v>
          </cell>
          <cell r="AU154" t="str">
            <v>X120</v>
          </cell>
        </row>
        <row r="155">
          <cell r="H155" t="str">
            <v>Taxi Ranks</v>
          </cell>
          <cell r="AU155" t="str">
            <v>X121</v>
          </cell>
        </row>
        <row r="156">
          <cell r="H156" t="str">
            <v>Sport and Recreation</v>
          </cell>
          <cell r="AU156" t="str">
            <v>NULL</v>
          </cell>
        </row>
        <row r="157">
          <cell r="H157" t="str">
            <v>Core Function</v>
          </cell>
          <cell r="AU157" t="str">
            <v>NULL</v>
          </cell>
        </row>
        <row r="158">
          <cell r="H158" t="str">
            <v>Beaches and Jetties</v>
          </cell>
          <cell r="AU158" t="str">
            <v>X122</v>
          </cell>
        </row>
        <row r="159">
          <cell r="H159" t="str">
            <v>Community Parks (including Nurseries)</v>
          </cell>
          <cell r="AU159" t="str">
            <v>X123</v>
          </cell>
        </row>
        <row r="160">
          <cell r="H160" t="str">
            <v>Recreational Facilities</v>
          </cell>
          <cell r="AU160" t="str">
            <v>X124</v>
          </cell>
        </row>
        <row r="161">
          <cell r="H161" t="str">
            <v>Sports Grounds and Stadiums</v>
          </cell>
          <cell r="AU161" t="str">
            <v>X125</v>
          </cell>
        </row>
        <row r="162">
          <cell r="H162" t="str">
            <v>Non-core Function</v>
          </cell>
          <cell r="AU162" t="str">
            <v>NULL</v>
          </cell>
        </row>
        <row r="163">
          <cell r="H163" t="str">
            <v>Casinos, Racing, Gambling, Wagering</v>
          </cell>
          <cell r="AU163" t="str">
            <v>X126</v>
          </cell>
        </row>
        <row r="164">
          <cell r="H164" t="str">
            <v>Community Parks (including Nurseries)</v>
          </cell>
          <cell r="AU164" t="str">
            <v>X127</v>
          </cell>
        </row>
        <row r="165">
          <cell r="H165" t="str">
            <v>Recreational Facilities</v>
          </cell>
          <cell r="AU165" t="str">
            <v>X128</v>
          </cell>
        </row>
        <row r="166">
          <cell r="H166" t="str">
            <v>Sports Grounds and Stadiums</v>
          </cell>
          <cell r="AU166" t="str">
            <v>X129</v>
          </cell>
        </row>
        <row r="167">
          <cell r="H167" t="str">
            <v>Waste Management</v>
          </cell>
          <cell r="AU167" t="str">
            <v>NULL</v>
          </cell>
        </row>
        <row r="168">
          <cell r="H168" t="str">
            <v>Core Function</v>
          </cell>
          <cell r="AU168" t="str">
            <v>NULL</v>
          </cell>
        </row>
        <row r="169">
          <cell r="H169" t="str">
            <v>Recycling</v>
          </cell>
          <cell r="AU169" t="str">
            <v>X130</v>
          </cell>
        </row>
        <row r="170">
          <cell r="H170" t="str">
            <v>Solid Waste Disposal (Landfill Sites)</v>
          </cell>
          <cell r="AU170" t="str">
            <v>X131</v>
          </cell>
        </row>
        <row r="171">
          <cell r="H171" t="str">
            <v>Solid Waste Removal</v>
          </cell>
          <cell r="AU171" t="str">
            <v>X132</v>
          </cell>
        </row>
        <row r="172">
          <cell r="H172" t="str">
            <v>Street Cleaning</v>
          </cell>
          <cell r="AU172" t="str">
            <v>X133</v>
          </cell>
        </row>
        <row r="173">
          <cell r="H173" t="str">
            <v>Non-core Function</v>
          </cell>
          <cell r="AU173" t="str">
            <v>NULL</v>
          </cell>
        </row>
        <row r="174">
          <cell r="H174" t="str">
            <v>Recycling</v>
          </cell>
          <cell r="AU174" t="str">
            <v>X134</v>
          </cell>
        </row>
        <row r="175">
          <cell r="H175" t="str">
            <v>Solid Waste Disposal (Landfill Sites)</v>
          </cell>
          <cell r="AU175" t="str">
            <v>X135</v>
          </cell>
        </row>
        <row r="176">
          <cell r="H176" t="str">
            <v>Solid Waste Removal</v>
          </cell>
          <cell r="AU176" t="str">
            <v>X136</v>
          </cell>
        </row>
        <row r="177">
          <cell r="H177" t="str">
            <v>Street Cleaning</v>
          </cell>
          <cell r="AU177" t="str">
            <v>X137</v>
          </cell>
        </row>
        <row r="178">
          <cell r="H178" t="str">
            <v>Waste Water Management</v>
          </cell>
          <cell r="AU178" t="str">
            <v>NULL</v>
          </cell>
        </row>
        <row r="179">
          <cell r="H179" t="str">
            <v>Core Function</v>
          </cell>
          <cell r="AU179" t="str">
            <v>NULL</v>
          </cell>
        </row>
        <row r="180">
          <cell r="H180" t="str">
            <v>Public Toilets</v>
          </cell>
          <cell r="AU180" t="str">
            <v>X138</v>
          </cell>
        </row>
        <row r="181">
          <cell r="H181" t="str">
            <v>Sewerage</v>
          </cell>
          <cell r="AU181" t="str">
            <v>X139</v>
          </cell>
        </row>
        <row r="182">
          <cell r="H182" t="str">
            <v>Storm Water Management</v>
          </cell>
          <cell r="AU182" t="str">
            <v>X140</v>
          </cell>
        </row>
        <row r="183">
          <cell r="H183" t="str">
            <v>Waste Water Treatment</v>
          </cell>
          <cell r="AU183" t="str">
            <v>X141</v>
          </cell>
        </row>
        <row r="184">
          <cell r="H184" t="str">
            <v>Non-core Function</v>
          </cell>
          <cell r="AU184" t="str">
            <v>NULL</v>
          </cell>
        </row>
        <row r="185">
          <cell r="H185" t="str">
            <v>Public Toilets</v>
          </cell>
          <cell r="AU185" t="str">
            <v>X142</v>
          </cell>
        </row>
        <row r="186">
          <cell r="H186" t="str">
            <v>Sewerage</v>
          </cell>
          <cell r="AU186" t="str">
            <v>X143</v>
          </cell>
        </row>
        <row r="187">
          <cell r="H187" t="str">
            <v>Storm Water Management</v>
          </cell>
          <cell r="AU187" t="str">
            <v>X144</v>
          </cell>
        </row>
        <row r="188">
          <cell r="H188" t="str">
            <v>Waste Water Treatment</v>
          </cell>
          <cell r="AU188" t="str">
            <v>X145</v>
          </cell>
        </row>
        <row r="189">
          <cell r="H189" t="str">
            <v>Water Management</v>
          </cell>
          <cell r="AU189" t="str">
            <v>NULL</v>
          </cell>
        </row>
        <row r="190">
          <cell r="H190" t="str">
            <v>Core Function</v>
          </cell>
          <cell r="AU190" t="str">
            <v>NULL</v>
          </cell>
        </row>
        <row r="191">
          <cell r="H191" t="str">
            <v>Water Treatment</v>
          </cell>
          <cell r="AU191" t="str">
            <v>X148</v>
          </cell>
        </row>
        <row r="192">
          <cell r="H192" t="str">
            <v>Water Distribution</v>
          </cell>
          <cell r="AU192" t="str">
            <v>X146</v>
          </cell>
        </row>
        <row r="193">
          <cell r="H193" t="str">
            <v>Water Storage</v>
          </cell>
          <cell r="AU193" t="str">
            <v>X147</v>
          </cell>
        </row>
        <row r="194">
          <cell r="H194" t="str">
            <v>Non-core Function</v>
          </cell>
          <cell r="AU194" t="str">
            <v>NULL</v>
          </cell>
        </row>
        <row r="195">
          <cell r="H195" t="str">
            <v>Water Treatment</v>
          </cell>
          <cell r="AU195" t="str">
            <v>X151</v>
          </cell>
        </row>
        <row r="196">
          <cell r="H196" t="str">
            <v>Water Distribution</v>
          </cell>
          <cell r="AU196" t="str">
            <v>X149</v>
          </cell>
        </row>
        <row r="197">
          <cell r="H197" t="str">
            <v>Water Storage</v>
          </cell>
          <cell r="AU197" t="str">
            <v>X150</v>
          </cell>
        </row>
        <row r="198">
          <cell r="H198" t="str">
            <v>Road Transport</v>
          </cell>
          <cell r="AU198" t="str">
            <v>NULL</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mailto:mpume.makhanya@mkhambathini.gov.za" TargetMode="External"/><Relationship Id="rId2" Type="http://schemas.openxmlformats.org/officeDocument/2006/relationships/hyperlink" Target="mailto:mm@mkhambathini" TargetMode="External"/><Relationship Id="rId1" Type="http://schemas.openxmlformats.org/officeDocument/2006/relationships/hyperlink" Target="http://www.mkhambathini.gov.za/" TargetMode="Externa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indexed="46"/>
  </sheetPr>
  <dimension ref="A1:CT5854"/>
  <sheetViews>
    <sheetView zoomScale="90" zoomScaleNormal="90" workbookViewId="0">
      <selection activeCell="D19" sqref="D19"/>
    </sheetView>
  </sheetViews>
  <sheetFormatPr defaultRowHeight="12.75" x14ac:dyDescent="0.2"/>
  <cols>
    <col min="1" max="1" width="47" bestFit="1" customWidth="1"/>
    <col min="2" max="2" width="17.28515625" bestFit="1" customWidth="1"/>
    <col min="3" max="3" width="47" bestFit="1" customWidth="1"/>
    <col min="4" max="4" width="24.42578125" bestFit="1" customWidth="1"/>
    <col min="5" max="5" width="255.7109375" bestFit="1" customWidth="1"/>
    <col min="6" max="6" width="13.42578125" bestFit="1" customWidth="1"/>
    <col min="7" max="7" width="81.28515625" bestFit="1" customWidth="1"/>
    <col min="8" max="8" width="17.28515625" style="1373" bestFit="1" customWidth="1"/>
    <col min="9" max="9" width="81.28515625" bestFit="1" customWidth="1"/>
    <col min="10" max="10" width="18.5703125" bestFit="1" customWidth="1"/>
    <col min="11" max="11" width="42.140625" bestFit="1" customWidth="1"/>
    <col min="12" max="12" width="13.42578125" style="1373" bestFit="1" customWidth="1"/>
    <col min="13" max="13" width="29" bestFit="1" customWidth="1"/>
    <col min="14" max="14" width="17.28515625" bestFit="1" customWidth="1"/>
    <col min="15" max="15" width="67" bestFit="1" customWidth="1"/>
    <col min="16" max="16" width="19.5703125" bestFit="1" customWidth="1"/>
    <col min="17" max="17" width="15" bestFit="1" customWidth="1"/>
    <col min="18" max="18" width="24.140625" bestFit="1" customWidth="1"/>
    <col min="19" max="19" width="16.85546875" bestFit="1" customWidth="1"/>
    <col min="20" max="20" width="14.5703125" bestFit="1" customWidth="1"/>
    <col min="21" max="21" width="13.42578125" bestFit="1" customWidth="1"/>
    <col min="22" max="22" width="36.28515625" bestFit="1" customWidth="1"/>
    <col min="23" max="23" width="17.28515625" bestFit="1" customWidth="1"/>
    <col min="24" max="24" width="36.28515625" bestFit="1" customWidth="1"/>
    <col min="25" max="25" width="13.42578125" bestFit="1" customWidth="1"/>
    <col min="26" max="26" width="21.85546875" bestFit="1" customWidth="1"/>
    <col min="27" max="27" width="17.28515625" bestFit="1" customWidth="1"/>
    <col min="28" max="28" width="22.5703125" bestFit="1" customWidth="1"/>
    <col min="29" max="29" width="22.5703125" style="813" bestFit="1" customWidth="1"/>
    <col min="30" max="30" width="48.42578125" style="813" bestFit="1" customWidth="1"/>
    <col min="31" max="31" width="26.28515625" style="813" bestFit="1" customWidth="1"/>
    <col min="32" max="32" width="43.42578125" bestFit="1" customWidth="1"/>
    <col min="33" max="33" width="13.42578125" bestFit="1" customWidth="1"/>
    <col min="34" max="34" width="28.7109375" bestFit="1" customWidth="1"/>
    <col min="35" max="35" width="17.28515625" bestFit="1" customWidth="1"/>
    <col min="36" max="36" width="28.7109375" bestFit="1" customWidth="1"/>
    <col min="37" max="37" width="14.85546875" style="1373" bestFit="1" customWidth="1"/>
    <col min="38" max="38" width="44.140625" bestFit="1" customWidth="1"/>
    <col min="39" max="39" width="18.5703125" bestFit="1" customWidth="1"/>
    <col min="40" max="40" width="44.140625" bestFit="1" customWidth="1"/>
    <col min="41" max="41" width="22.42578125" bestFit="1" customWidth="1"/>
    <col min="42" max="42" width="27.5703125" bestFit="1" customWidth="1"/>
    <col min="43" max="43" width="13.5703125" bestFit="1" customWidth="1"/>
    <col min="44" max="44" width="17.140625" bestFit="1" customWidth="1"/>
    <col min="45" max="45" width="33.5703125" bestFit="1" customWidth="1"/>
    <col min="46" max="46" width="19.5703125" bestFit="1" customWidth="1"/>
    <col min="47" max="47" width="33.5703125" bestFit="1" customWidth="1"/>
    <col min="48" max="48" width="16" bestFit="1" customWidth="1"/>
    <col min="49" max="49" width="33.5703125" bestFit="1" customWidth="1"/>
    <col min="50" max="50" width="21.140625" bestFit="1" customWidth="1"/>
    <col min="51" max="51" width="33.5703125" bestFit="1" customWidth="1"/>
    <col min="52" max="52" width="17" bestFit="1" customWidth="1"/>
    <col min="53" max="53" width="24.140625" bestFit="1" customWidth="1"/>
    <col min="54" max="54" width="20.7109375" bestFit="1" customWidth="1"/>
    <col min="55" max="55" width="26" bestFit="1" customWidth="1"/>
    <col min="56" max="56" width="19.7109375" bestFit="1" customWidth="1"/>
    <col min="57" max="57" width="17.140625" bestFit="1" customWidth="1"/>
    <col min="58" max="58" width="33.5703125" bestFit="1" customWidth="1"/>
    <col min="59" max="59" width="21" bestFit="1" customWidth="1"/>
    <col min="60" max="60" width="33.5703125" bestFit="1" customWidth="1"/>
    <col min="61" max="61" width="14.85546875" bestFit="1" customWidth="1"/>
    <col min="62" max="62" width="17.140625" bestFit="1" customWidth="1"/>
    <col min="63" max="63" width="22.42578125" bestFit="1" customWidth="1"/>
    <col min="64" max="64" width="21" bestFit="1" customWidth="1"/>
    <col min="65" max="65" width="26.140625" bestFit="1" customWidth="1"/>
    <col min="66" max="66" width="15" bestFit="1" customWidth="1"/>
    <col min="67" max="67" width="24.7109375" bestFit="1" customWidth="1"/>
    <col min="68" max="68" width="25.28515625" bestFit="1" customWidth="1"/>
    <col min="69" max="69" width="30.42578125" bestFit="1" customWidth="1"/>
    <col min="70" max="70" width="67" bestFit="1" customWidth="1"/>
    <col min="71" max="72" width="14.140625" bestFit="1" customWidth="1"/>
    <col min="73" max="73" width="21" style="1371" bestFit="1" customWidth="1"/>
    <col min="74" max="74" width="29.28515625" style="1371" bestFit="1" customWidth="1"/>
    <col min="75" max="75" width="28.42578125" style="1371" bestFit="1" customWidth="1"/>
    <col min="76" max="76" width="24.7109375" style="1371" bestFit="1" customWidth="1"/>
    <col min="77" max="77" width="21.7109375" style="1371" bestFit="1" customWidth="1"/>
    <col min="78" max="78" width="25.7109375" style="1371" bestFit="1" customWidth="1"/>
    <col min="79" max="79" width="24.42578125" bestFit="1" customWidth="1"/>
    <col min="80" max="80" width="23.85546875" bestFit="1" customWidth="1"/>
    <col min="81" max="82" width="24.85546875" bestFit="1" customWidth="1"/>
    <col min="83" max="83" width="24.28515625" bestFit="1" customWidth="1"/>
    <col min="84" max="85" width="24.85546875" bestFit="1" customWidth="1"/>
    <col min="86" max="86" width="24.5703125" bestFit="1" customWidth="1"/>
    <col min="87" max="87" width="24.85546875" bestFit="1" customWidth="1"/>
    <col min="88" max="88" width="24.5703125" bestFit="1" customWidth="1"/>
    <col min="89" max="89" width="24.42578125" bestFit="1" customWidth="1"/>
    <col min="90" max="90" width="24.85546875" bestFit="1" customWidth="1"/>
    <col min="91" max="92" width="24.5703125" bestFit="1" customWidth="1"/>
    <col min="93" max="93" width="24.42578125" bestFit="1" customWidth="1"/>
    <col min="94" max="94" width="24.85546875" bestFit="1" customWidth="1"/>
    <col min="95" max="95" width="24.5703125" bestFit="1" customWidth="1"/>
    <col min="96" max="96" width="5.5703125" bestFit="1" customWidth="1"/>
    <col min="97" max="97" width="67" bestFit="1" customWidth="1"/>
    <col min="98" max="98" width="7" bestFit="1" customWidth="1"/>
    <col min="99" max="99" width="0" hidden="1" customWidth="1"/>
  </cols>
  <sheetData>
    <row r="1" spans="1:98" ht="13.5" thickBot="1" x14ac:dyDescent="0.25">
      <c r="A1" s="1368" t="s">
        <v>2230</v>
      </c>
      <c r="B1" s="1368" t="s">
        <v>2231</v>
      </c>
      <c r="C1" s="1368" t="s">
        <v>2232</v>
      </c>
      <c r="D1" s="1368" t="s">
        <v>2233</v>
      </c>
      <c r="E1" s="1368" t="s">
        <v>2234</v>
      </c>
      <c r="F1" s="1368" t="s">
        <v>2235</v>
      </c>
      <c r="G1" s="1368" t="s">
        <v>2236</v>
      </c>
      <c r="H1" s="1368" t="s">
        <v>2237</v>
      </c>
      <c r="I1" s="1368" t="s">
        <v>2238</v>
      </c>
      <c r="J1" s="1368" t="s">
        <v>2239</v>
      </c>
      <c r="K1" s="1368" t="s">
        <v>2240</v>
      </c>
      <c r="L1" s="1368" t="s">
        <v>2241</v>
      </c>
      <c r="M1" s="1368" t="s">
        <v>2242</v>
      </c>
      <c r="N1" s="1368" t="s">
        <v>2243</v>
      </c>
      <c r="O1" s="1368" t="s">
        <v>2244</v>
      </c>
      <c r="P1" s="1368" t="s">
        <v>2245</v>
      </c>
      <c r="Q1" s="1368" t="s">
        <v>2246</v>
      </c>
      <c r="R1" s="1368" t="s">
        <v>2247</v>
      </c>
      <c r="S1" s="1368" t="s">
        <v>2248</v>
      </c>
      <c r="T1" s="1368" t="s">
        <v>2249</v>
      </c>
      <c r="U1" s="1368" t="s">
        <v>2250</v>
      </c>
      <c r="V1" s="1368" t="s">
        <v>2251</v>
      </c>
      <c r="W1" s="1368" t="s">
        <v>2252</v>
      </c>
      <c r="X1" s="1368" t="s">
        <v>2253</v>
      </c>
      <c r="Y1" s="1368" t="s">
        <v>2254</v>
      </c>
      <c r="Z1" s="1368" t="s">
        <v>2255</v>
      </c>
      <c r="AA1" s="1368" t="s">
        <v>2256</v>
      </c>
      <c r="AB1" s="1368" t="s">
        <v>2257</v>
      </c>
      <c r="AC1" s="1368" t="s">
        <v>2258</v>
      </c>
      <c r="AD1" s="1368" t="s">
        <v>2259</v>
      </c>
      <c r="AE1" s="1368" t="s">
        <v>2260</v>
      </c>
      <c r="AF1" s="1368" t="s">
        <v>2261</v>
      </c>
      <c r="AG1" s="1368" t="s">
        <v>2262</v>
      </c>
      <c r="AH1" s="1368" t="s">
        <v>2263</v>
      </c>
      <c r="AI1" s="1368" t="s">
        <v>2264</v>
      </c>
      <c r="AJ1" s="1368" t="s">
        <v>2265</v>
      </c>
      <c r="AK1" s="1368" t="s">
        <v>2266</v>
      </c>
      <c r="AL1" s="1368" t="s">
        <v>2267</v>
      </c>
      <c r="AM1" s="1368" t="s">
        <v>2268</v>
      </c>
      <c r="AN1" s="1368" t="s">
        <v>2269</v>
      </c>
      <c r="AO1" s="1368" t="s">
        <v>2270</v>
      </c>
      <c r="AP1" s="1368" t="s">
        <v>2271</v>
      </c>
      <c r="AQ1" s="1368" t="s">
        <v>2272</v>
      </c>
      <c r="AR1" s="1368" t="s">
        <v>2273</v>
      </c>
      <c r="AS1" s="1368" t="s">
        <v>2274</v>
      </c>
      <c r="AT1" s="1368" t="s">
        <v>2275</v>
      </c>
      <c r="AU1" s="1368" t="s">
        <v>2276</v>
      </c>
      <c r="AV1" s="1368" t="s">
        <v>2277</v>
      </c>
      <c r="AW1" s="1368" t="s">
        <v>2278</v>
      </c>
      <c r="AX1" s="1368" t="s">
        <v>2279</v>
      </c>
      <c r="AY1" s="1368" t="s">
        <v>2280</v>
      </c>
      <c r="AZ1" s="1368" t="s">
        <v>2281</v>
      </c>
      <c r="BA1" s="1368" t="s">
        <v>2282</v>
      </c>
      <c r="BB1" s="1368" t="s">
        <v>2283</v>
      </c>
      <c r="BC1" s="1368" t="s">
        <v>2284</v>
      </c>
      <c r="BD1" s="1368" t="s">
        <v>2285</v>
      </c>
      <c r="BE1" s="1368" t="s">
        <v>2286</v>
      </c>
      <c r="BF1" s="1368" t="s">
        <v>2287</v>
      </c>
      <c r="BG1" s="1368" t="s">
        <v>2288</v>
      </c>
      <c r="BH1" s="1368" t="s">
        <v>2289</v>
      </c>
      <c r="BI1" s="1368" t="s">
        <v>2290</v>
      </c>
      <c r="BJ1" s="1368" t="s">
        <v>2291</v>
      </c>
      <c r="BK1" s="1368" t="s">
        <v>2292</v>
      </c>
      <c r="BL1" s="1368" t="s">
        <v>2293</v>
      </c>
      <c r="BM1" s="1368" t="s">
        <v>2294</v>
      </c>
      <c r="BN1" s="1368" t="s">
        <v>2295</v>
      </c>
      <c r="BO1" s="1368" t="s">
        <v>2296</v>
      </c>
      <c r="BP1" s="1368" t="s">
        <v>2297</v>
      </c>
      <c r="BQ1" s="1368" t="s">
        <v>2298</v>
      </c>
      <c r="BR1" s="1368" t="s">
        <v>2299</v>
      </c>
      <c r="BS1" s="1368" t="s">
        <v>2300</v>
      </c>
      <c r="BT1" s="1368" t="s">
        <v>2301</v>
      </c>
      <c r="BU1" s="1370" t="s">
        <v>2302</v>
      </c>
      <c r="BV1" s="1370" t="s">
        <v>2356</v>
      </c>
      <c r="BW1" s="1370" t="s">
        <v>2303</v>
      </c>
      <c r="BX1" s="1370" t="s">
        <v>1880</v>
      </c>
      <c r="BY1" s="1370" t="s">
        <v>2304</v>
      </c>
      <c r="BZ1" s="1370" t="s">
        <v>2305</v>
      </c>
      <c r="CA1" s="1368" t="s">
        <v>2306</v>
      </c>
      <c r="CB1" s="1368" t="s">
        <v>2307</v>
      </c>
      <c r="CC1" s="1368" t="s">
        <v>2308</v>
      </c>
      <c r="CD1" s="1368" t="s">
        <v>2309</v>
      </c>
      <c r="CE1" s="1368" t="s">
        <v>2310</v>
      </c>
      <c r="CF1" s="1368" t="s">
        <v>2311</v>
      </c>
      <c r="CG1" s="1368" t="s">
        <v>2312</v>
      </c>
      <c r="CH1" s="1368" t="s">
        <v>2313</v>
      </c>
      <c r="CI1" s="1368" t="s">
        <v>2314</v>
      </c>
      <c r="CJ1" s="1368" t="s">
        <v>2315</v>
      </c>
      <c r="CK1" s="1368" t="s">
        <v>2316</v>
      </c>
      <c r="CL1" s="1368" t="s">
        <v>2317</v>
      </c>
      <c r="CM1" s="1368" t="s">
        <v>2318</v>
      </c>
      <c r="CN1" s="1368" t="s">
        <v>2315</v>
      </c>
      <c r="CO1" s="1368" t="s">
        <v>2316</v>
      </c>
      <c r="CP1" s="1368" t="s">
        <v>2317</v>
      </c>
      <c r="CQ1" s="1368" t="s">
        <v>2318</v>
      </c>
      <c r="CR1" s="1368"/>
      <c r="CS1" s="1368"/>
      <c r="CT1" s="1368"/>
    </row>
    <row r="2" spans="1:98" x14ac:dyDescent="0.2">
      <c r="C2" t="s">
        <v>2362</v>
      </c>
      <c r="D2">
        <v>55169</v>
      </c>
      <c r="E2" t="s">
        <v>2363</v>
      </c>
      <c r="F2" t="s">
        <v>2364</v>
      </c>
      <c r="G2" t="s">
        <v>2364</v>
      </c>
      <c r="H2" t="s">
        <v>2365</v>
      </c>
      <c r="I2" t="s">
        <v>2365</v>
      </c>
      <c r="J2" t="s">
        <v>2365</v>
      </c>
      <c r="K2" t="s">
        <v>2365</v>
      </c>
      <c r="L2">
        <v>1200</v>
      </c>
      <c r="M2" t="s">
        <v>1480</v>
      </c>
      <c r="N2">
        <v>1204</v>
      </c>
      <c r="O2" t="s">
        <v>1487</v>
      </c>
      <c r="P2" t="s">
        <v>2366</v>
      </c>
      <c r="Q2" t="s">
        <v>2364</v>
      </c>
      <c r="R2" t="s">
        <v>2364</v>
      </c>
      <c r="S2" t="s">
        <v>553</v>
      </c>
      <c r="T2" t="s">
        <v>2367</v>
      </c>
      <c r="U2">
        <v>360</v>
      </c>
      <c r="V2" t="s">
        <v>2368</v>
      </c>
      <c r="W2">
        <v>360</v>
      </c>
      <c r="X2" t="s">
        <v>711</v>
      </c>
      <c r="Y2" t="s">
        <v>2365</v>
      </c>
      <c r="Z2" t="s">
        <v>2365</v>
      </c>
      <c r="AA2" t="s">
        <v>2365</v>
      </c>
      <c r="AB2" t="s">
        <v>2365</v>
      </c>
      <c r="AC2" s="813" t="s">
        <v>2365</v>
      </c>
      <c r="AD2" s="813" t="s">
        <v>2365</v>
      </c>
      <c r="AE2" s="813" t="s">
        <v>2365</v>
      </c>
      <c r="AF2" t="s">
        <v>2365</v>
      </c>
      <c r="AG2" t="s">
        <v>2365</v>
      </c>
      <c r="AH2" t="s">
        <v>2365</v>
      </c>
      <c r="AI2" t="s">
        <v>2365</v>
      </c>
      <c r="AJ2" t="s">
        <v>2365</v>
      </c>
      <c r="AK2">
        <v>361</v>
      </c>
      <c r="AL2" t="s">
        <v>1804</v>
      </c>
      <c r="AM2">
        <v>361</v>
      </c>
      <c r="AN2" t="s">
        <v>1804</v>
      </c>
      <c r="AR2" t="s">
        <v>2365</v>
      </c>
      <c r="AS2" t="s">
        <v>2365</v>
      </c>
      <c r="AT2" t="s">
        <v>2365</v>
      </c>
      <c r="AU2" t="s">
        <v>2365</v>
      </c>
      <c r="AV2" t="s">
        <v>2365</v>
      </c>
      <c r="AW2" t="s">
        <v>2365</v>
      </c>
      <c r="AX2" t="s">
        <v>2365</v>
      </c>
      <c r="AY2" t="s">
        <v>2365</v>
      </c>
      <c r="AZ2" t="s">
        <v>2365</v>
      </c>
      <c r="BA2" t="s">
        <v>2365</v>
      </c>
      <c r="BB2" t="s">
        <v>2365</v>
      </c>
      <c r="BC2" t="s">
        <v>2365</v>
      </c>
      <c r="BD2" t="s">
        <v>2366</v>
      </c>
      <c r="BE2" t="s">
        <v>2365</v>
      </c>
      <c r="BF2" t="s">
        <v>2365</v>
      </c>
      <c r="BG2" t="s">
        <v>2365</v>
      </c>
      <c r="BH2" t="s">
        <v>2365</v>
      </c>
      <c r="BI2" t="s">
        <v>2366</v>
      </c>
      <c r="BJ2" t="s">
        <v>2365</v>
      </c>
      <c r="BK2" t="s">
        <v>2365</v>
      </c>
      <c r="BL2" t="s">
        <v>2365</v>
      </c>
      <c r="BM2" t="s">
        <v>2365</v>
      </c>
      <c r="BO2">
        <v>1</v>
      </c>
      <c r="BP2">
        <v>11</v>
      </c>
      <c r="BQ2" t="s">
        <v>2369</v>
      </c>
      <c r="BR2" t="s">
        <v>1487</v>
      </c>
      <c r="BU2">
        <v>0</v>
      </c>
      <c r="BV2">
        <v>0</v>
      </c>
      <c r="BW2">
        <v>0</v>
      </c>
      <c r="BX2">
        <v>0</v>
      </c>
      <c r="BY2">
        <v>0</v>
      </c>
      <c r="BZ2">
        <v>0</v>
      </c>
      <c r="CA2">
        <v>0</v>
      </c>
      <c r="CB2">
        <v>0</v>
      </c>
      <c r="CC2">
        <v>0</v>
      </c>
      <c r="CD2">
        <v>0</v>
      </c>
      <c r="CE2">
        <v>0</v>
      </c>
      <c r="CF2">
        <v>0</v>
      </c>
      <c r="CG2">
        <v>0</v>
      </c>
      <c r="CH2">
        <v>0</v>
      </c>
      <c r="CI2">
        <v>0</v>
      </c>
      <c r="CJ2">
        <v>0</v>
      </c>
      <c r="CK2">
        <v>0</v>
      </c>
      <c r="CL2">
        <v>0</v>
      </c>
      <c r="CM2">
        <v>0</v>
      </c>
      <c r="CR2" t="s">
        <v>2319</v>
      </c>
      <c r="CS2" t="str">
        <f>INDEX([8]Sheet1!$H:$H,MATCH(CR:CR,[8]Sheet1!$AU:$AU,0))</f>
        <v>Mayor and Council</v>
      </c>
      <c r="CT2" t="b">
        <f>CS2=M2</f>
        <v>0</v>
      </c>
    </row>
    <row r="3" spans="1:98" x14ac:dyDescent="0.2">
      <c r="C3" t="s">
        <v>2370</v>
      </c>
      <c r="D3">
        <v>55170</v>
      </c>
      <c r="E3" t="s">
        <v>2371</v>
      </c>
      <c r="F3" t="s">
        <v>2364</v>
      </c>
      <c r="G3" t="s">
        <v>2364</v>
      </c>
      <c r="H3" t="s">
        <v>2365</v>
      </c>
      <c r="I3" t="s">
        <v>2365</v>
      </c>
      <c r="J3" t="s">
        <v>2365</v>
      </c>
      <c r="K3" t="s">
        <v>2365</v>
      </c>
      <c r="L3">
        <v>1200</v>
      </c>
      <c r="M3" t="s">
        <v>1480</v>
      </c>
      <c r="N3">
        <v>1204</v>
      </c>
      <c r="O3" t="s">
        <v>1487</v>
      </c>
      <c r="P3" t="s">
        <v>2366</v>
      </c>
      <c r="Q3" t="s">
        <v>2364</v>
      </c>
      <c r="R3" t="s">
        <v>2364</v>
      </c>
      <c r="S3" t="s">
        <v>553</v>
      </c>
      <c r="T3" t="s">
        <v>2175</v>
      </c>
      <c r="U3">
        <v>270</v>
      </c>
      <c r="V3" t="s">
        <v>2372</v>
      </c>
      <c r="W3">
        <v>270</v>
      </c>
      <c r="X3" t="s">
        <v>704</v>
      </c>
      <c r="Y3" t="s">
        <v>2365</v>
      </c>
      <c r="Z3" t="s">
        <v>2365</v>
      </c>
      <c r="AA3" t="s">
        <v>2365</v>
      </c>
      <c r="AB3" t="s">
        <v>2365</v>
      </c>
      <c r="AC3" s="813" t="s">
        <v>2365</v>
      </c>
      <c r="AD3" s="813" t="s">
        <v>2365</v>
      </c>
      <c r="AE3" s="813" t="s">
        <v>2365</v>
      </c>
      <c r="AF3" t="s">
        <v>2365</v>
      </c>
      <c r="AG3">
        <v>1370</v>
      </c>
      <c r="AH3" t="s">
        <v>1665</v>
      </c>
      <c r="AI3">
        <v>1370</v>
      </c>
      <c r="AJ3" t="s">
        <v>1665</v>
      </c>
      <c r="AK3" t="s">
        <v>2365</v>
      </c>
      <c r="AL3" t="s">
        <v>2365</v>
      </c>
      <c r="AM3" t="s">
        <v>2365</v>
      </c>
      <c r="AN3" t="s">
        <v>2365</v>
      </c>
      <c r="AR3" t="s">
        <v>2365</v>
      </c>
      <c r="AS3" t="s">
        <v>2365</v>
      </c>
      <c r="AT3" t="s">
        <v>2365</v>
      </c>
      <c r="AU3" t="s">
        <v>2365</v>
      </c>
      <c r="AV3" t="s">
        <v>2365</v>
      </c>
      <c r="AW3" t="s">
        <v>2365</v>
      </c>
      <c r="AX3" t="s">
        <v>2365</v>
      </c>
      <c r="AY3" t="s">
        <v>2365</v>
      </c>
      <c r="AZ3" t="s">
        <v>2365</v>
      </c>
      <c r="BA3" t="s">
        <v>2365</v>
      </c>
      <c r="BB3" t="s">
        <v>2365</v>
      </c>
      <c r="BC3" t="s">
        <v>2365</v>
      </c>
      <c r="BD3" t="s">
        <v>2366</v>
      </c>
      <c r="BE3" t="s">
        <v>2365</v>
      </c>
      <c r="BF3" t="s">
        <v>2365</v>
      </c>
      <c r="BG3" t="s">
        <v>2365</v>
      </c>
      <c r="BH3" t="s">
        <v>2365</v>
      </c>
      <c r="BI3" t="s">
        <v>2366</v>
      </c>
      <c r="BJ3" t="s">
        <v>2365</v>
      </c>
      <c r="BK3" t="s">
        <v>2365</v>
      </c>
      <c r="BL3" t="s">
        <v>2365</v>
      </c>
      <c r="BM3" t="s">
        <v>2365</v>
      </c>
      <c r="BO3">
        <v>1</v>
      </c>
      <c r="BP3">
        <v>11</v>
      </c>
      <c r="BQ3" t="s">
        <v>2369</v>
      </c>
      <c r="BR3" t="s">
        <v>1487</v>
      </c>
      <c r="BU3">
        <v>0</v>
      </c>
      <c r="BV3">
        <v>0</v>
      </c>
      <c r="BW3">
        <v>0</v>
      </c>
      <c r="BX3">
        <v>0</v>
      </c>
      <c r="BY3">
        <v>0</v>
      </c>
      <c r="BZ3">
        <v>0</v>
      </c>
      <c r="CA3">
        <v>0</v>
      </c>
      <c r="CB3">
        <v>0</v>
      </c>
      <c r="CC3">
        <v>0</v>
      </c>
      <c r="CD3">
        <v>0</v>
      </c>
      <c r="CE3">
        <v>0</v>
      </c>
      <c r="CF3">
        <v>0</v>
      </c>
      <c r="CG3">
        <v>0</v>
      </c>
      <c r="CH3">
        <v>0</v>
      </c>
      <c r="CI3">
        <v>0</v>
      </c>
      <c r="CJ3">
        <v>0</v>
      </c>
      <c r="CK3">
        <v>0</v>
      </c>
      <c r="CL3">
        <v>0</v>
      </c>
      <c r="CM3">
        <v>0</v>
      </c>
      <c r="CR3" t="s">
        <v>2319</v>
      </c>
      <c r="CS3" s="1369" t="str">
        <f>INDEX([8]Sheet1!$H:$H,MATCH(CR:CR,[8]Sheet1!$AU:$AU,0))</f>
        <v>Mayor and Council</v>
      </c>
    </row>
    <row r="4" spans="1:98" x14ac:dyDescent="0.2">
      <c r="C4" t="s">
        <v>2373</v>
      </c>
      <c r="D4">
        <v>55171</v>
      </c>
      <c r="E4" t="s">
        <v>2374</v>
      </c>
      <c r="F4" t="s">
        <v>2364</v>
      </c>
      <c r="G4" t="s">
        <v>2364</v>
      </c>
      <c r="H4" t="s">
        <v>2365</v>
      </c>
      <c r="I4" t="s">
        <v>2365</v>
      </c>
      <c r="J4" t="s">
        <v>2365</v>
      </c>
      <c r="K4" t="s">
        <v>2365</v>
      </c>
      <c r="L4">
        <v>1200</v>
      </c>
      <c r="M4" t="s">
        <v>1480</v>
      </c>
      <c r="N4">
        <v>1204</v>
      </c>
      <c r="O4" t="s">
        <v>1487</v>
      </c>
      <c r="P4" t="s">
        <v>2366</v>
      </c>
      <c r="Q4" t="s">
        <v>2364</v>
      </c>
      <c r="R4" t="s">
        <v>2364</v>
      </c>
      <c r="S4" t="s">
        <v>553</v>
      </c>
      <c r="T4" t="s">
        <v>2367</v>
      </c>
      <c r="U4">
        <v>360</v>
      </c>
      <c r="V4" t="s">
        <v>2368</v>
      </c>
      <c r="W4">
        <v>360</v>
      </c>
      <c r="X4" t="s">
        <v>711</v>
      </c>
      <c r="Y4" t="s">
        <v>2365</v>
      </c>
      <c r="Z4" t="s">
        <v>2365</v>
      </c>
      <c r="AA4" t="s">
        <v>2365</v>
      </c>
      <c r="AB4" t="s">
        <v>2365</v>
      </c>
      <c r="AC4" s="813" t="s">
        <v>2365</v>
      </c>
      <c r="AD4" s="813" t="s">
        <v>2365</v>
      </c>
      <c r="AE4" s="813" t="s">
        <v>2365</v>
      </c>
      <c r="AF4" t="s">
        <v>2365</v>
      </c>
      <c r="AG4" t="s">
        <v>2365</v>
      </c>
      <c r="AH4" t="s">
        <v>2365</v>
      </c>
      <c r="AI4" t="s">
        <v>2365</v>
      </c>
      <c r="AJ4" t="s">
        <v>2365</v>
      </c>
      <c r="AK4">
        <v>361</v>
      </c>
      <c r="AL4" t="s">
        <v>1804</v>
      </c>
      <c r="AM4">
        <v>361</v>
      </c>
      <c r="AN4" t="s">
        <v>1804</v>
      </c>
      <c r="AR4" t="s">
        <v>2365</v>
      </c>
      <c r="AS4" t="s">
        <v>2365</v>
      </c>
      <c r="AT4" t="s">
        <v>2365</v>
      </c>
      <c r="AU4" t="s">
        <v>2365</v>
      </c>
      <c r="AV4" t="s">
        <v>2365</v>
      </c>
      <c r="AW4" t="s">
        <v>2365</v>
      </c>
      <c r="AX4" t="s">
        <v>2365</v>
      </c>
      <c r="AY4" t="s">
        <v>2365</v>
      </c>
      <c r="AZ4" t="s">
        <v>2365</v>
      </c>
      <c r="BA4" t="s">
        <v>2365</v>
      </c>
      <c r="BB4" t="s">
        <v>2365</v>
      </c>
      <c r="BC4" t="s">
        <v>2365</v>
      </c>
      <c r="BD4" t="s">
        <v>2366</v>
      </c>
      <c r="BE4" t="s">
        <v>2365</v>
      </c>
      <c r="BF4" t="s">
        <v>2365</v>
      </c>
      <c r="BG4" t="s">
        <v>2365</v>
      </c>
      <c r="BH4" t="s">
        <v>2365</v>
      </c>
      <c r="BI4" t="s">
        <v>2366</v>
      </c>
      <c r="BJ4" t="s">
        <v>2365</v>
      </c>
      <c r="BK4" t="s">
        <v>2365</v>
      </c>
      <c r="BL4" t="s">
        <v>2365</v>
      </c>
      <c r="BM4" t="s">
        <v>2365</v>
      </c>
      <c r="BO4">
        <v>1</v>
      </c>
      <c r="BP4">
        <v>11</v>
      </c>
      <c r="BQ4" t="s">
        <v>2369</v>
      </c>
      <c r="BR4" t="s">
        <v>1487</v>
      </c>
      <c r="BU4">
        <v>0</v>
      </c>
      <c r="BV4">
        <v>0</v>
      </c>
      <c r="BW4">
        <v>0</v>
      </c>
      <c r="BX4">
        <v>0</v>
      </c>
      <c r="BY4">
        <v>0</v>
      </c>
      <c r="BZ4">
        <v>0</v>
      </c>
      <c r="CA4">
        <v>0</v>
      </c>
      <c r="CB4">
        <v>0</v>
      </c>
      <c r="CC4">
        <v>0</v>
      </c>
      <c r="CD4">
        <v>0</v>
      </c>
      <c r="CE4">
        <v>0</v>
      </c>
      <c r="CF4">
        <v>0</v>
      </c>
      <c r="CG4">
        <v>0</v>
      </c>
      <c r="CH4">
        <v>0</v>
      </c>
      <c r="CI4">
        <v>0</v>
      </c>
      <c r="CJ4">
        <v>0</v>
      </c>
      <c r="CK4">
        <v>0</v>
      </c>
      <c r="CL4">
        <v>0</v>
      </c>
      <c r="CM4">
        <v>0</v>
      </c>
      <c r="CR4" t="s">
        <v>2319</v>
      </c>
      <c r="CS4" s="1369" t="str">
        <f>INDEX([8]Sheet1!$H:$H,MATCH(CR:CR,[8]Sheet1!$AU:$AU,0))</f>
        <v>Mayor and Council</v>
      </c>
    </row>
    <row r="5" spans="1:98" x14ac:dyDescent="0.2">
      <c r="C5" t="s">
        <v>2375</v>
      </c>
      <c r="D5">
        <v>55172</v>
      </c>
      <c r="E5" t="s">
        <v>2376</v>
      </c>
      <c r="F5" t="s">
        <v>2364</v>
      </c>
      <c r="G5" t="s">
        <v>2364</v>
      </c>
      <c r="H5" t="s">
        <v>2365</v>
      </c>
      <c r="I5" t="s">
        <v>2365</v>
      </c>
      <c r="J5" t="s">
        <v>2365</v>
      </c>
      <c r="K5" t="s">
        <v>2365</v>
      </c>
      <c r="L5">
        <v>1200</v>
      </c>
      <c r="M5" t="s">
        <v>1480</v>
      </c>
      <c r="N5">
        <v>1204</v>
      </c>
      <c r="O5" t="s">
        <v>1487</v>
      </c>
      <c r="P5" t="s">
        <v>2366</v>
      </c>
      <c r="Q5" t="s">
        <v>2364</v>
      </c>
      <c r="R5" t="s">
        <v>2364</v>
      </c>
      <c r="S5" t="s">
        <v>553</v>
      </c>
      <c r="T5" t="s">
        <v>2367</v>
      </c>
      <c r="U5">
        <v>360</v>
      </c>
      <c r="V5" t="s">
        <v>2368</v>
      </c>
      <c r="W5">
        <v>360</v>
      </c>
      <c r="X5" t="s">
        <v>711</v>
      </c>
      <c r="Y5" t="s">
        <v>2365</v>
      </c>
      <c r="Z5" t="s">
        <v>2365</v>
      </c>
      <c r="AA5" t="s">
        <v>2365</v>
      </c>
      <c r="AB5" t="s">
        <v>2365</v>
      </c>
      <c r="AC5" s="813" t="s">
        <v>2365</v>
      </c>
      <c r="AD5" s="813" t="s">
        <v>2365</v>
      </c>
      <c r="AE5" s="813" t="s">
        <v>2365</v>
      </c>
      <c r="AF5" t="s">
        <v>2365</v>
      </c>
      <c r="AG5" t="s">
        <v>2365</v>
      </c>
      <c r="AH5" t="s">
        <v>2365</v>
      </c>
      <c r="AI5" t="s">
        <v>2365</v>
      </c>
      <c r="AJ5" t="s">
        <v>2365</v>
      </c>
      <c r="AK5">
        <v>361</v>
      </c>
      <c r="AL5" t="s">
        <v>1804</v>
      </c>
      <c r="AM5">
        <v>361</v>
      </c>
      <c r="AN5" t="s">
        <v>1804</v>
      </c>
      <c r="AR5" t="s">
        <v>2365</v>
      </c>
      <c r="AS5" t="s">
        <v>2365</v>
      </c>
      <c r="AT5" t="s">
        <v>2365</v>
      </c>
      <c r="AU5" t="s">
        <v>2365</v>
      </c>
      <c r="AV5" t="s">
        <v>2365</v>
      </c>
      <c r="AW5" t="s">
        <v>2365</v>
      </c>
      <c r="AX5" t="s">
        <v>2365</v>
      </c>
      <c r="AY5" t="s">
        <v>2365</v>
      </c>
      <c r="AZ5" t="s">
        <v>2365</v>
      </c>
      <c r="BA5" t="s">
        <v>2365</v>
      </c>
      <c r="BB5" t="s">
        <v>2365</v>
      </c>
      <c r="BC5" t="s">
        <v>2365</v>
      </c>
      <c r="BD5" t="s">
        <v>2366</v>
      </c>
      <c r="BE5" t="s">
        <v>2365</v>
      </c>
      <c r="BF5" t="s">
        <v>2365</v>
      </c>
      <c r="BG5" t="s">
        <v>2365</v>
      </c>
      <c r="BH5" t="s">
        <v>2365</v>
      </c>
      <c r="BI5" t="s">
        <v>2366</v>
      </c>
      <c r="BJ5" t="s">
        <v>2365</v>
      </c>
      <c r="BK5" t="s">
        <v>2365</v>
      </c>
      <c r="BL5" t="s">
        <v>2365</v>
      </c>
      <c r="BM5" t="s">
        <v>2365</v>
      </c>
      <c r="BO5">
        <v>1</v>
      </c>
      <c r="BP5">
        <v>11</v>
      </c>
      <c r="BQ5" t="s">
        <v>2369</v>
      </c>
      <c r="BR5" t="s">
        <v>1487</v>
      </c>
      <c r="BU5">
        <v>0</v>
      </c>
      <c r="BV5">
        <v>0</v>
      </c>
      <c r="BW5">
        <v>0</v>
      </c>
      <c r="BX5">
        <v>0</v>
      </c>
      <c r="BY5">
        <v>0</v>
      </c>
      <c r="BZ5">
        <v>0</v>
      </c>
      <c r="CA5">
        <v>0</v>
      </c>
      <c r="CB5">
        <v>0</v>
      </c>
      <c r="CC5">
        <v>0</v>
      </c>
      <c r="CD5">
        <v>0</v>
      </c>
      <c r="CE5">
        <v>0</v>
      </c>
      <c r="CF5">
        <v>0</v>
      </c>
      <c r="CG5">
        <v>0</v>
      </c>
      <c r="CH5">
        <v>0</v>
      </c>
      <c r="CI5">
        <v>0</v>
      </c>
      <c r="CJ5">
        <v>0</v>
      </c>
      <c r="CK5">
        <v>0</v>
      </c>
      <c r="CL5">
        <v>0</v>
      </c>
      <c r="CM5">
        <v>0</v>
      </c>
      <c r="CR5" t="s">
        <v>2319</v>
      </c>
      <c r="CS5" s="1369" t="str">
        <f>INDEX([8]Sheet1!$H:$H,MATCH(CR:CR,[8]Sheet1!$AU:$AU,0))</f>
        <v>Mayor and Council</v>
      </c>
    </row>
    <row r="6" spans="1:98" x14ac:dyDescent="0.2">
      <c r="C6" t="s">
        <v>2377</v>
      </c>
      <c r="D6">
        <v>55173</v>
      </c>
      <c r="E6" t="s">
        <v>2378</v>
      </c>
      <c r="F6" t="s">
        <v>2364</v>
      </c>
      <c r="G6" t="s">
        <v>2364</v>
      </c>
      <c r="H6" t="s">
        <v>2365</v>
      </c>
      <c r="I6" t="s">
        <v>2365</v>
      </c>
      <c r="J6" t="s">
        <v>2365</v>
      </c>
      <c r="K6" t="s">
        <v>2365</v>
      </c>
      <c r="L6">
        <v>1200</v>
      </c>
      <c r="M6" t="s">
        <v>1480</v>
      </c>
      <c r="N6">
        <v>1204</v>
      </c>
      <c r="O6" t="s">
        <v>1487</v>
      </c>
      <c r="P6" t="s">
        <v>2366</v>
      </c>
      <c r="Q6" t="s">
        <v>2364</v>
      </c>
      <c r="R6" t="s">
        <v>2364</v>
      </c>
      <c r="S6" t="s">
        <v>553</v>
      </c>
      <c r="T6" t="s">
        <v>2367</v>
      </c>
      <c r="U6">
        <v>360</v>
      </c>
      <c r="V6" t="s">
        <v>2368</v>
      </c>
      <c r="W6">
        <v>360</v>
      </c>
      <c r="X6" t="s">
        <v>711</v>
      </c>
      <c r="Y6" t="s">
        <v>2365</v>
      </c>
      <c r="Z6" t="s">
        <v>2365</v>
      </c>
      <c r="AA6" t="s">
        <v>2365</v>
      </c>
      <c r="AB6" t="s">
        <v>2365</v>
      </c>
      <c r="AC6" s="813" t="s">
        <v>2365</v>
      </c>
      <c r="AD6" s="813" t="s">
        <v>2365</v>
      </c>
      <c r="AE6" s="813" t="s">
        <v>2365</v>
      </c>
      <c r="AF6" t="s">
        <v>2365</v>
      </c>
      <c r="AG6" t="s">
        <v>2365</v>
      </c>
      <c r="AH6" t="s">
        <v>2365</v>
      </c>
      <c r="AI6" t="s">
        <v>2365</v>
      </c>
      <c r="AJ6" t="s">
        <v>2365</v>
      </c>
      <c r="AK6">
        <v>361</v>
      </c>
      <c r="AL6" t="s">
        <v>1804</v>
      </c>
      <c r="AM6">
        <v>361</v>
      </c>
      <c r="AN6" t="s">
        <v>1804</v>
      </c>
      <c r="AR6" t="s">
        <v>2365</v>
      </c>
      <c r="AS6" t="s">
        <v>2365</v>
      </c>
      <c r="AT6" t="s">
        <v>2365</v>
      </c>
      <c r="AU6" t="s">
        <v>2365</v>
      </c>
      <c r="AV6" t="s">
        <v>2365</v>
      </c>
      <c r="AW6" t="s">
        <v>2365</v>
      </c>
      <c r="AX6" t="s">
        <v>2365</v>
      </c>
      <c r="AY6" t="s">
        <v>2365</v>
      </c>
      <c r="AZ6" t="s">
        <v>2365</v>
      </c>
      <c r="BA6" t="s">
        <v>2365</v>
      </c>
      <c r="BB6" t="s">
        <v>2365</v>
      </c>
      <c r="BC6" t="s">
        <v>2365</v>
      </c>
      <c r="BD6" t="s">
        <v>2366</v>
      </c>
      <c r="BE6" t="s">
        <v>2365</v>
      </c>
      <c r="BF6" t="s">
        <v>2365</v>
      </c>
      <c r="BG6" t="s">
        <v>2365</v>
      </c>
      <c r="BH6" t="s">
        <v>2365</v>
      </c>
      <c r="BI6" t="s">
        <v>2366</v>
      </c>
      <c r="BJ6" t="s">
        <v>2365</v>
      </c>
      <c r="BK6" t="s">
        <v>2365</v>
      </c>
      <c r="BL6" t="s">
        <v>2365</v>
      </c>
      <c r="BM6" t="s">
        <v>2365</v>
      </c>
      <c r="BO6">
        <v>1</v>
      </c>
      <c r="BP6">
        <v>11</v>
      </c>
      <c r="BQ6" t="s">
        <v>2369</v>
      </c>
      <c r="BR6" t="s">
        <v>1487</v>
      </c>
      <c r="BU6">
        <v>0</v>
      </c>
      <c r="BV6">
        <v>0</v>
      </c>
      <c r="BW6">
        <v>0</v>
      </c>
      <c r="BX6">
        <v>0</v>
      </c>
      <c r="BY6">
        <v>0</v>
      </c>
      <c r="BZ6">
        <v>0</v>
      </c>
      <c r="CA6">
        <v>0</v>
      </c>
      <c r="CB6">
        <v>0</v>
      </c>
      <c r="CC6">
        <v>0</v>
      </c>
      <c r="CD6">
        <v>0</v>
      </c>
      <c r="CE6">
        <v>0</v>
      </c>
      <c r="CF6">
        <v>0</v>
      </c>
      <c r="CG6">
        <v>0</v>
      </c>
      <c r="CH6">
        <v>0</v>
      </c>
      <c r="CI6">
        <v>0</v>
      </c>
      <c r="CJ6">
        <v>0</v>
      </c>
      <c r="CK6">
        <v>0</v>
      </c>
      <c r="CL6">
        <v>0</v>
      </c>
      <c r="CM6">
        <v>0</v>
      </c>
      <c r="CR6" t="s">
        <v>2319</v>
      </c>
      <c r="CS6" s="1369" t="str">
        <f>INDEX([8]Sheet1!$H:$H,MATCH(CR:CR,[8]Sheet1!$AU:$AU,0))</f>
        <v>Mayor and Council</v>
      </c>
    </row>
    <row r="7" spans="1:98" x14ac:dyDescent="0.2">
      <c r="C7" t="s">
        <v>2379</v>
      </c>
      <c r="D7">
        <v>55174</v>
      </c>
      <c r="E7" t="s">
        <v>2380</v>
      </c>
      <c r="F7" t="s">
        <v>2364</v>
      </c>
      <c r="G7" t="s">
        <v>2364</v>
      </c>
      <c r="H7" t="s">
        <v>2365</v>
      </c>
      <c r="I7" t="s">
        <v>2365</v>
      </c>
      <c r="J7" t="s">
        <v>2365</v>
      </c>
      <c r="K7" t="s">
        <v>2365</v>
      </c>
      <c r="L7">
        <v>1200</v>
      </c>
      <c r="M7" t="s">
        <v>1480</v>
      </c>
      <c r="N7">
        <v>1204</v>
      </c>
      <c r="O7" t="s">
        <v>1487</v>
      </c>
      <c r="P7" t="s">
        <v>2366</v>
      </c>
      <c r="Q7" t="s">
        <v>2364</v>
      </c>
      <c r="R7" t="s">
        <v>2364</v>
      </c>
      <c r="S7" t="s">
        <v>553</v>
      </c>
      <c r="T7" t="s">
        <v>2367</v>
      </c>
      <c r="U7">
        <v>360</v>
      </c>
      <c r="V7" t="s">
        <v>2368</v>
      </c>
      <c r="W7">
        <v>360</v>
      </c>
      <c r="X7" t="s">
        <v>711</v>
      </c>
      <c r="Y7" t="s">
        <v>2365</v>
      </c>
      <c r="Z7" t="s">
        <v>2365</v>
      </c>
      <c r="AA7" t="s">
        <v>2365</v>
      </c>
      <c r="AB7" t="s">
        <v>2365</v>
      </c>
      <c r="AC7" s="813" t="s">
        <v>2365</v>
      </c>
      <c r="AD7" s="813" t="s">
        <v>2365</v>
      </c>
      <c r="AE7" s="813" t="s">
        <v>2365</v>
      </c>
      <c r="AF7" t="s">
        <v>2365</v>
      </c>
      <c r="AG7" t="s">
        <v>2365</v>
      </c>
      <c r="AH7" t="s">
        <v>2365</v>
      </c>
      <c r="AI7" t="s">
        <v>2365</v>
      </c>
      <c r="AJ7" t="s">
        <v>2365</v>
      </c>
      <c r="AK7">
        <v>361</v>
      </c>
      <c r="AL7" t="s">
        <v>1804</v>
      </c>
      <c r="AM7">
        <v>361</v>
      </c>
      <c r="AN7" t="s">
        <v>1804</v>
      </c>
      <c r="AR7" t="s">
        <v>2365</v>
      </c>
      <c r="AS7" t="s">
        <v>2365</v>
      </c>
      <c r="AT7" t="s">
        <v>2365</v>
      </c>
      <c r="AU7" t="s">
        <v>2365</v>
      </c>
      <c r="AV7" t="s">
        <v>2365</v>
      </c>
      <c r="AW7" t="s">
        <v>2365</v>
      </c>
      <c r="AX7" t="s">
        <v>2365</v>
      </c>
      <c r="AY7" t="s">
        <v>2365</v>
      </c>
      <c r="AZ7" t="s">
        <v>2365</v>
      </c>
      <c r="BA7" t="s">
        <v>2365</v>
      </c>
      <c r="BB7" t="s">
        <v>2365</v>
      </c>
      <c r="BC7" t="s">
        <v>2365</v>
      </c>
      <c r="BD7" t="s">
        <v>2366</v>
      </c>
      <c r="BE7" t="s">
        <v>2365</v>
      </c>
      <c r="BF7" t="s">
        <v>2365</v>
      </c>
      <c r="BG7" t="s">
        <v>2365</v>
      </c>
      <c r="BH7" t="s">
        <v>2365</v>
      </c>
      <c r="BI7" t="s">
        <v>2366</v>
      </c>
      <c r="BJ7" t="s">
        <v>2365</v>
      </c>
      <c r="BK7" t="s">
        <v>2365</v>
      </c>
      <c r="BL7" t="s">
        <v>2365</v>
      </c>
      <c r="BM7" t="s">
        <v>2365</v>
      </c>
      <c r="BO7">
        <v>1</v>
      </c>
      <c r="BP7">
        <v>11</v>
      </c>
      <c r="BQ7" t="s">
        <v>2369</v>
      </c>
      <c r="BR7" t="s">
        <v>1487</v>
      </c>
      <c r="BU7">
        <v>0</v>
      </c>
      <c r="BV7">
        <v>0</v>
      </c>
      <c r="BW7">
        <v>0</v>
      </c>
      <c r="BX7">
        <v>0</v>
      </c>
      <c r="BY7">
        <v>0</v>
      </c>
      <c r="BZ7">
        <v>0</v>
      </c>
      <c r="CA7">
        <v>0</v>
      </c>
      <c r="CB7">
        <v>0</v>
      </c>
      <c r="CC7">
        <v>0</v>
      </c>
      <c r="CD7">
        <v>0</v>
      </c>
      <c r="CE7">
        <v>0</v>
      </c>
      <c r="CF7">
        <v>0</v>
      </c>
      <c r="CG7">
        <v>0</v>
      </c>
      <c r="CH7">
        <v>0</v>
      </c>
      <c r="CI7">
        <v>0</v>
      </c>
      <c r="CJ7">
        <v>0</v>
      </c>
      <c r="CK7">
        <v>0</v>
      </c>
      <c r="CL7">
        <v>0</v>
      </c>
      <c r="CM7">
        <v>0</v>
      </c>
      <c r="CR7" t="s">
        <v>2319</v>
      </c>
      <c r="CS7" s="1369" t="str">
        <f>INDEX([8]Sheet1!$H:$H,MATCH(CR:CR,[8]Sheet1!$AU:$AU,0))</f>
        <v>Mayor and Council</v>
      </c>
    </row>
    <row r="8" spans="1:98" x14ac:dyDescent="0.2">
      <c r="C8" t="s">
        <v>2381</v>
      </c>
      <c r="D8">
        <v>55175</v>
      </c>
      <c r="E8" t="s">
        <v>2382</v>
      </c>
      <c r="F8" t="s">
        <v>2364</v>
      </c>
      <c r="G8" t="s">
        <v>2364</v>
      </c>
      <c r="H8" t="s">
        <v>2365</v>
      </c>
      <c r="I8" t="s">
        <v>2365</v>
      </c>
      <c r="J8" t="s">
        <v>2365</v>
      </c>
      <c r="K8" t="s">
        <v>2365</v>
      </c>
      <c r="L8">
        <v>1200</v>
      </c>
      <c r="M8" t="s">
        <v>1480</v>
      </c>
      <c r="N8">
        <v>1204</v>
      </c>
      <c r="O8" t="s">
        <v>1487</v>
      </c>
      <c r="P8" t="s">
        <v>2366</v>
      </c>
      <c r="Q8" t="s">
        <v>2364</v>
      </c>
      <c r="R8" t="s">
        <v>2364</v>
      </c>
      <c r="S8" t="s">
        <v>553</v>
      </c>
      <c r="T8" t="s">
        <v>2367</v>
      </c>
      <c r="U8">
        <v>360</v>
      </c>
      <c r="V8" t="s">
        <v>2368</v>
      </c>
      <c r="W8">
        <v>360</v>
      </c>
      <c r="X8" t="s">
        <v>711</v>
      </c>
      <c r="Y8" t="s">
        <v>2365</v>
      </c>
      <c r="Z8" t="s">
        <v>2365</v>
      </c>
      <c r="AA8" t="s">
        <v>2365</v>
      </c>
      <c r="AB8" t="s">
        <v>2365</v>
      </c>
      <c r="AC8" s="813" t="s">
        <v>2365</v>
      </c>
      <c r="AD8" s="813" t="s">
        <v>2365</v>
      </c>
      <c r="AE8" s="813" t="s">
        <v>2365</v>
      </c>
      <c r="AF8" t="s">
        <v>2365</v>
      </c>
      <c r="AG8" t="s">
        <v>2365</v>
      </c>
      <c r="AH8" t="s">
        <v>2365</v>
      </c>
      <c r="AI8" t="s">
        <v>2365</v>
      </c>
      <c r="AJ8" t="s">
        <v>2365</v>
      </c>
      <c r="AK8">
        <v>361</v>
      </c>
      <c r="AL8" t="s">
        <v>1804</v>
      </c>
      <c r="AM8">
        <v>361</v>
      </c>
      <c r="AN8" t="s">
        <v>1804</v>
      </c>
      <c r="AR8" t="s">
        <v>2365</v>
      </c>
      <c r="AS8" t="s">
        <v>2365</v>
      </c>
      <c r="AT8" t="s">
        <v>2365</v>
      </c>
      <c r="AU8" t="s">
        <v>2365</v>
      </c>
      <c r="AV8" t="s">
        <v>2365</v>
      </c>
      <c r="AW8" t="s">
        <v>2365</v>
      </c>
      <c r="AX8" t="s">
        <v>2365</v>
      </c>
      <c r="AY8" t="s">
        <v>2365</v>
      </c>
      <c r="AZ8" t="s">
        <v>2365</v>
      </c>
      <c r="BA8" t="s">
        <v>2365</v>
      </c>
      <c r="BB8" t="s">
        <v>2365</v>
      </c>
      <c r="BC8" t="s">
        <v>2365</v>
      </c>
      <c r="BD8" t="s">
        <v>2366</v>
      </c>
      <c r="BE8" t="s">
        <v>2365</v>
      </c>
      <c r="BF8" t="s">
        <v>2365</v>
      </c>
      <c r="BG8" t="s">
        <v>2365</v>
      </c>
      <c r="BH8" t="s">
        <v>2365</v>
      </c>
      <c r="BI8" t="s">
        <v>2366</v>
      </c>
      <c r="BJ8" t="s">
        <v>2365</v>
      </c>
      <c r="BK8" t="s">
        <v>2365</v>
      </c>
      <c r="BL8" t="s">
        <v>2365</v>
      </c>
      <c r="BM8" t="s">
        <v>2365</v>
      </c>
      <c r="BO8">
        <v>1</v>
      </c>
      <c r="BP8">
        <v>11</v>
      </c>
      <c r="BQ8" t="s">
        <v>2369</v>
      </c>
      <c r="BR8" t="s">
        <v>1487</v>
      </c>
      <c r="BU8">
        <v>0</v>
      </c>
      <c r="BV8">
        <v>0</v>
      </c>
      <c r="BW8">
        <v>0</v>
      </c>
      <c r="BX8">
        <v>0</v>
      </c>
      <c r="BY8">
        <v>0</v>
      </c>
      <c r="BZ8">
        <v>0</v>
      </c>
      <c r="CA8">
        <v>0</v>
      </c>
      <c r="CB8">
        <v>0</v>
      </c>
      <c r="CC8">
        <v>0</v>
      </c>
      <c r="CD8">
        <v>0</v>
      </c>
      <c r="CE8">
        <v>0</v>
      </c>
      <c r="CF8">
        <v>0</v>
      </c>
      <c r="CG8">
        <v>0</v>
      </c>
      <c r="CH8">
        <v>0</v>
      </c>
      <c r="CI8">
        <v>0</v>
      </c>
      <c r="CJ8">
        <v>0</v>
      </c>
      <c r="CK8">
        <v>0</v>
      </c>
      <c r="CL8">
        <v>0</v>
      </c>
      <c r="CM8">
        <v>0</v>
      </c>
      <c r="CR8" t="s">
        <v>2319</v>
      </c>
      <c r="CS8" s="1369" t="str">
        <f>INDEX([8]Sheet1!$H:$H,MATCH(CR:CR,[8]Sheet1!$AU:$AU,0))</f>
        <v>Mayor and Council</v>
      </c>
    </row>
    <row r="9" spans="1:98" x14ac:dyDescent="0.2">
      <c r="C9" t="s">
        <v>2383</v>
      </c>
      <c r="D9">
        <v>55176</v>
      </c>
      <c r="E9" t="s">
        <v>2384</v>
      </c>
      <c r="F9" t="s">
        <v>2364</v>
      </c>
      <c r="G9" t="s">
        <v>2364</v>
      </c>
      <c r="H9" t="s">
        <v>2365</v>
      </c>
      <c r="I9" t="s">
        <v>2365</v>
      </c>
      <c r="J9" t="s">
        <v>2365</v>
      </c>
      <c r="K9" t="s">
        <v>2365</v>
      </c>
      <c r="L9">
        <v>1200</v>
      </c>
      <c r="M9" t="s">
        <v>1480</v>
      </c>
      <c r="N9">
        <v>1204</v>
      </c>
      <c r="O9" t="s">
        <v>1487</v>
      </c>
      <c r="P9" t="s">
        <v>2366</v>
      </c>
      <c r="Q9" t="s">
        <v>2364</v>
      </c>
      <c r="R9" t="s">
        <v>2364</v>
      </c>
      <c r="S9" t="s">
        <v>553</v>
      </c>
      <c r="T9" t="s">
        <v>2175</v>
      </c>
      <c r="U9">
        <v>140</v>
      </c>
      <c r="V9" t="s">
        <v>693</v>
      </c>
      <c r="W9">
        <v>140</v>
      </c>
      <c r="X9" t="s">
        <v>693</v>
      </c>
      <c r="Y9" t="s">
        <v>2365</v>
      </c>
      <c r="Z9" t="s">
        <v>2365</v>
      </c>
      <c r="AA9" t="s">
        <v>2365</v>
      </c>
      <c r="AB9" t="s">
        <v>2365</v>
      </c>
      <c r="AC9" s="813" t="s">
        <v>2365</v>
      </c>
      <c r="AD9" s="813" t="s">
        <v>2365</v>
      </c>
      <c r="AE9" s="813" t="s">
        <v>2365</v>
      </c>
      <c r="AF9" t="s">
        <v>2365</v>
      </c>
      <c r="AG9" t="s">
        <v>2365</v>
      </c>
      <c r="AH9" t="s">
        <v>2365</v>
      </c>
      <c r="AI9" t="s">
        <v>2365</v>
      </c>
      <c r="AJ9" t="s">
        <v>2365</v>
      </c>
      <c r="AK9">
        <v>147</v>
      </c>
      <c r="AL9" t="s">
        <v>1200</v>
      </c>
      <c r="AM9">
        <v>147</v>
      </c>
      <c r="AN9" t="s">
        <v>1200</v>
      </c>
      <c r="AR9" t="s">
        <v>2365</v>
      </c>
      <c r="AS9" t="s">
        <v>2365</v>
      </c>
      <c r="AT9" t="s">
        <v>2365</v>
      </c>
      <c r="AU9" t="s">
        <v>2365</v>
      </c>
      <c r="AV9" t="s">
        <v>2365</v>
      </c>
      <c r="AW9" t="s">
        <v>2365</v>
      </c>
      <c r="AX9" t="s">
        <v>2365</v>
      </c>
      <c r="AY9" t="s">
        <v>2365</v>
      </c>
      <c r="AZ9" t="s">
        <v>2365</v>
      </c>
      <c r="BA9" t="s">
        <v>2365</v>
      </c>
      <c r="BB9" t="s">
        <v>2365</v>
      </c>
      <c r="BC9" t="s">
        <v>2365</v>
      </c>
      <c r="BD9" t="s">
        <v>2366</v>
      </c>
      <c r="BE9" t="s">
        <v>2365</v>
      </c>
      <c r="BF9" t="s">
        <v>2365</v>
      </c>
      <c r="BG9" t="s">
        <v>2365</v>
      </c>
      <c r="BH9" t="s">
        <v>2365</v>
      </c>
      <c r="BI9" t="s">
        <v>2366</v>
      </c>
      <c r="BJ9" t="s">
        <v>2365</v>
      </c>
      <c r="BK9" t="s">
        <v>2365</v>
      </c>
      <c r="BL9" t="s">
        <v>2365</v>
      </c>
      <c r="BM9" t="s">
        <v>2365</v>
      </c>
      <c r="BO9">
        <v>1</v>
      </c>
      <c r="BP9">
        <v>11</v>
      </c>
      <c r="BQ9" t="s">
        <v>2369</v>
      </c>
      <c r="BR9" t="s">
        <v>1487</v>
      </c>
      <c r="BU9">
        <v>0</v>
      </c>
      <c r="BV9">
        <v>0</v>
      </c>
      <c r="BW9">
        <v>0</v>
      </c>
      <c r="BX9">
        <v>0</v>
      </c>
      <c r="BY9">
        <v>0</v>
      </c>
      <c r="BZ9">
        <v>0</v>
      </c>
      <c r="CA9">
        <v>0</v>
      </c>
      <c r="CB9">
        <v>0</v>
      </c>
      <c r="CC9">
        <v>0</v>
      </c>
      <c r="CD9">
        <v>0</v>
      </c>
      <c r="CE9">
        <v>0</v>
      </c>
      <c r="CF9">
        <v>0</v>
      </c>
      <c r="CG9">
        <v>0</v>
      </c>
      <c r="CH9">
        <v>0</v>
      </c>
      <c r="CI9">
        <v>0</v>
      </c>
      <c r="CJ9">
        <v>0</v>
      </c>
      <c r="CK9">
        <v>0</v>
      </c>
      <c r="CL9">
        <v>0</v>
      </c>
      <c r="CM9">
        <v>0</v>
      </c>
      <c r="CR9" t="s">
        <v>2319</v>
      </c>
      <c r="CS9" s="1369" t="str">
        <f>INDEX([8]Sheet1!$H:$H,MATCH(CR:CR,[8]Sheet1!$AU:$AU,0))</f>
        <v>Mayor and Council</v>
      </c>
    </row>
    <row r="10" spans="1:98" x14ac:dyDescent="0.2">
      <c r="C10" t="s">
        <v>2385</v>
      </c>
      <c r="D10">
        <v>55177</v>
      </c>
      <c r="E10" t="s">
        <v>2386</v>
      </c>
      <c r="F10" t="s">
        <v>2364</v>
      </c>
      <c r="G10" t="s">
        <v>2364</v>
      </c>
      <c r="H10" t="s">
        <v>2365</v>
      </c>
      <c r="I10" t="s">
        <v>2365</v>
      </c>
      <c r="J10" t="s">
        <v>2365</v>
      </c>
      <c r="K10" t="s">
        <v>2365</v>
      </c>
      <c r="L10">
        <v>1200</v>
      </c>
      <c r="M10" t="s">
        <v>1480</v>
      </c>
      <c r="N10">
        <v>1204</v>
      </c>
      <c r="O10" t="s">
        <v>1487</v>
      </c>
      <c r="P10" t="s">
        <v>2366</v>
      </c>
      <c r="Q10" t="s">
        <v>2364</v>
      </c>
      <c r="R10" t="s">
        <v>2364</v>
      </c>
      <c r="S10" t="s">
        <v>553</v>
      </c>
      <c r="T10" t="s">
        <v>2367</v>
      </c>
      <c r="U10">
        <v>360</v>
      </c>
      <c r="V10" t="s">
        <v>2368</v>
      </c>
      <c r="W10">
        <v>360</v>
      </c>
      <c r="X10" t="s">
        <v>711</v>
      </c>
      <c r="Y10" t="s">
        <v>2365</v>
      </c>
      <c r="Z10" t="s">
        <v>2365</v>
      </c>
      <c r="AA10" t="s">
        <v>2365</v>
      </c>
      <c r="AB10" t="s">
        <v>2365</v>
      </c>
      <c r="AC10" s="813" t="s">
        <v>2365</v>
      </c>
      <c r="AD10" s="813" t="s">
        <v>2365</v>
      </c>
      <c r="AE10" s="813" t="s">
        <v>2365</v>
      </c>
      <c r="AF10" t="s">
        <v>2365</v>
      </c>
      <c r="AG10" t="s">
        <v>2365</v>
      </c>
      <c r="AH10" t="s">
        <v>2365</v>
      </c>
      <c r="AI10" t="s">
        <v>2365</v>
      </c>
      <c r="AJ10" t="s">
        <v>2365</v>
      </c>
      <c r="AK10">
        <v>361</v>
      </c>
      <c r="AL10" t="s">
        <v>1804</v>
      </c>
      <c r="AM10">
        <v>361</v>
      </c>
      <c r="AN10" t="s">
        <v>1804</v>
      </c>
      <c r="AR10" t="s">
        <v>2365</v>
      </c>
      <c r="AS10" t="s">
        <v>2365</v>
      </c>
      <c r="AT10" t="s">
        <v>2365</v>
      </c>
      <c r="AU10" t="s">
        <v>2365</v>
      </c>
      <c r="AV10" t="s">
        <v>2365</v>
      </c>
      <c r="AW10" t="s">
        <v>2365</v>
      </c>
      <c r="AX10" t="s">
        <v>2365</v>
      </c>
      <c r="AY10" t="s">
        <v>2365</v>
      </c>
      <c r="AZ10" t="s">
        <v>2365</v>
      </c>
      <c r="BA10" t="s">
        <v>2365</v>
      </c>
      <c r="BB10" t="s">
        <v>2365</v>
      </c>
      <c r="BC10" t="s">
        <v>2365</v>
      </c>
      <c r="BD10" t="s">
        <v>2366</v>
      </c>
      <c r="BE10" t="s">
        <v>2365</v>
      </c>
      <c r="BF10" t="s">
        <v>2365</v>
      </c>
      <c r="BG10" t="s">
        <v>2365</v>
      </c>
      <c r="BH10" t="s">
        <v>2365</v>
      </c>
      <c r="BI10" t="s">
        <v>2366</v>
      </c>
      <c r="BJ10" t="s">
        <v>2365</v>
      </c>
      <c r="BK10" t="s">
        <v>2365</v>
      </c>
      <c r="BL10" t="s">
        <v>2365</v>
      </c>
      <c r="BM10" t="s">
        <v>2365</v>
      </c>
      <c r="BO10">
        <v>1</v>
      </c>
      <c r="BP10">
        <v>11</v>
      </c>
      <c r="BQ10" t="s">
        <v>2369</v>
      </c>
      <c r="BR10" t="s">
        <v>1487</v>
      </c>
      <c r="BU10">
        <v>0</v>
      </c>
      <c r="BV10">
        <v>0</v>
      </c>
      <c r="BW10">
        <v>0</v>
      </c>
      <c r="BX10">
        <v>0</v>
      </c>
      <c r="BY10">
        <v>0</v>
      </c>
      <c r="BZ10">
        <v>0</v>
      </c>
      <c r="CA10">
        <v>0</v>
      </c>
      <c r="CB10">
        <v>0</v>
      </c>
      <c r="CC10">
        <v>0</v>
      </c>
      <c r="CD10">
        <v>0</v>
      </c>
      <c r="CE10">
        <v>0</v>
      </c>
      <c r="CF10">
        <v>0</v>
      </c>
      <c r="CG10">
        <v>0</v>
      </c>
      <c r="CH10">
        <v>0</v>
      </c>
      <c r="CI10">
        <v>0</v>
      </c>
      <c r="CJ10">
        <v>0</v>
      </c>
      <c r="CK10">
        <v>0</v>
      </c>
      <c r="CL10">
        <v>0</v>
      </c>
      <c r="CM10">
        <v>0</v>
      </c>
      <c r="CR10" t="s">
        <v>2319</v>
      </c>
      <c r="CS10" s="1369" t="str">
        <f>INDEX([8]Sheet1!$H:$H,MATCH(CR:CR,[8]Sheet1!$AU:$AU,0))</f>
        <v>Mayor and Council</v>
      </c>
    </row>
    <row r="11" spans="1:98" x14ac:dyDescent="0.2">
      <c r="C11" t="s">
        <v>2387</v>
      </c>
      <c r="D11">
        <v>55178</v>
      </c>
      <c r="E11" t="s">
        <v>2388</v>
      </c>
      <c r="F11" t="s">
        <v>2364</v>
      </c>
      <c r="G11" t="s">
        <v>2364</v>
      </c>
      <c r="H11" t="s">
        <v>2365</v>
      </c>
      <c r="I11" t="s">
        <v>2365</v>
      </c>
      <c r="J11" t="s">
        <v>2365</v>
      </c>
      <c r="K11" t="s">
        <v>2365</v>
      </c>
      <c r="L11">
        <v>1200</v>
      </c>
      <c r="M11" t="s">
        <v>1480</v>
      </c>
      <c r="N11">
        <v>1204</v>
      </c>
      <c r="O11" t="s">
        <v>1487</v>
      </c>
      <c r="P11" t="s">
        <v>2366</v>
      </c>
      <c r="Q11" t="s">
        <v>2364</v>
      </c>
      <c r="R11" t="s">
        <v>2364</v>
      </c>
      <c r="S11" t="s">
        <v>553</v>
      </c>
      <c r="T11" t="s">
        <v>2175</v>
      </c>
      <c r="U11">
        <v>240</v>
      </c>
      <c r="V11" t="s">
        <v>2389</v>
      </c>
      <c r="W11">
        <v>240</v>
      </c>
      <c r="X11" t="s">
        <v>701</v>
      </c>
      <c r="Y11" t="s">
        <v>2365</v>
      </c>
      <c r="Z11" t="s">
        <v>2365</v>
      </c>
      <c r="AA11" t="s">
        <v>2365</v>
      </c>
      <c r="AB11" t="s">
        <v>2365</v>
      </c>
      <c r="AC11" s="813" t="s">
        <v>2365</v>
      </c>
      <c r="AD11" s="813" t="s">
        <v>2365</v>
      </c>
      <c r="AE11" s="813" t="s">
        <v>2365</v>
      </c>
      <c r="AF11" t="s">
        <v>2365</v>
      </c>
      <c r="AG11">
        <v>1470</v>
      </c>
      <c r="AH11" t="s">
        <v>1674</v>
      </c>
      <c r="AI11">
        <v>1470</v>
      </c>
      <c r="AJ11" t="s">
        <v>1674</v>
      </c>
      <c r="AK11">
        <v>243</v>
      </c>
      <c r="AL11" t="s">
        <v>1205</v>
      </c>
      <c r="AM11">
        <v>243</v>
      </c>
      <c r="AN11" t="s">
        <v>1205</v>
      </c>
      <c r="AR11" t="s">
        <v>2365</v>
      </c>
      <c r="AS11" t="s">
        <v>2365</v>
      </c>
      <c r="AT11" t="s">
        <v>2365</v>
      </c>
      <c r="AU11" t="s">
        <v>2365</v>
      </c>
      <c r="AV11" t="s">
        <v>2365</v>
      </c>
      <c r="AW11" t="s">
        <v>2365</v>
      </c>
      <c r="AX11" t="s">
        <v>2365</v>
      </c>
      <c r="AY11" t="s">
        <v>2365</v>
      </c>
      <c r="AZ11" t="s">
        <v>2365</v>
      </c>
      <c r="BA11" t="s">
        <v>2365</v>
      </c>
      <c r="BB11" t="s">
        <v>2365</v>
      </c>
      <c r="BC11" t="s">
        <v>2365</v>
      </c>
      <c r="BD11" t="s">
        <v>2366</v>
      </c>
      <c r="BE11" t="s">
        <v>2365</v>
      </c>
      <c r="BF11" t="s">
        <v>2365</v>
      </c>
      <c r="BG11" t="s">
        <v>2365</v>
      </c>
      <c r="BH11" t="s">
        <v>2365</v>
      </c>
      <c r="BI11" t="s">
        <v>2366</v>
      </c>
      <c r="BJ11" t="s">
        <v>2365</v>
      </c>
      <c r="BK11" t="s">
        <v>2365</v>
      </c>
      <c r="BL11" t="s">
        <v>2365</v>
      </c>
      <c r="BM11" t="s">
        <v>2365</v>
      </c>
      <c r="BO11">
        <v>1</v>
      </c>
      <c r="BP11">
        <v>11</v>
      </c>
      <c r="BQ11" t="s">
        <v>2369</v>
      </c>
      <c r="BR11" t="s">
        <v>1487</v>
      </c>
      <c r="BU11">
        <v>0</v>
      </c>
      <c r="BV11">
        <v>0</v>
      </c>
      <c r="BW11">
        <v>0</v>
      </c>
      <c r="BX11">
        <v>0</v>
      </c>
      <c r="BY11">
        <v>0</v>
      </c>
      <c r="BZ11">
        <v>0</v>
      </c>
      <c r="CA11">
        <v>0</v>
      </c>
      <c r="CB11">
        <v>0</v>
      </c>
      <c r="CC11">
        <v>0</v>
      </c>
      <c r="CD11">
        <v>0</v>
      </c>
      <c r="CE11">
        <v>0</v>
      </c>
      <c r="CF11">
        <v>0</v>
      </c>
      <c r="CG11">
        <v>0</v>
      </c>
      <c r="CH11">
        <v>0</v>
      </c>
      <c r="CI11">
        <v>0</v>
      </c>
      <c r="CJ11">
        <v>0</v>
      </c>
      <c r="CK11">
        <v>0</v>
      </c>
      <c r="CL11">
        <v>0</v>
      </c>
      <c r="CM11">
        <v>0</v>
      </c>
      <c r="CR11" t="s">
        <v>2319</v>
      </c>
      <c r="CS11" s="1369" t="str">
        <f>INDEX([8]Sheet1!$H:$H,MATCH(CR:CR,[8]Sheet1!$AU:$AU,0))</f>
        <v>Mayor and Council</v>
      </c>
    </row>
    <row r="12" spans="1:98" x14ac:dyDescent="0.2">
      <c r="C12" t="s">
        <v>2390</v>
      </c>
      <c r="D12">
        <v>55179</v>
      </c>
      <c r="E12" t="s">
        <v>2391</v>
      </c>
      <c r="F12" t="s">
        <v>2364</v>
      </c>
      <c r="G12" t="s">
        <v>2364</v>
      </c>
      <c r="H12" t="s">
        <v>2365</v>
      </c>
      <c r="I12" t="s">
        <v>2365</v>
      </c>
      <c r="J12" t="s">
        <v>2365</v>
      </c>
      <c r="K12" t="s">
        <v>2365</v>
      </c>
      <c r="L12">
        <v>1200</v>
      </c>
      <c r="M12" t="s">
        <v>1480</v>
      </c>
      <c r="N12">
        <v>1204</v>
      </c>
      <c r="O12" t="s">
        <v>1487</v>
      </c>
      <c r="P12" t="s">
        <v>2366</v>
      </c>
      <c r="Q12" t="s">
        <v>2364</v>
      </c>
      <c r="R12" t="s">
        <v>2364</v>
      </c>
      <c r="S12" t="s">
        <v>553</v>
      </c>
      <c r="T12" t="s">
        <v>2175</v>
      </c>
      <c r="U12">
        <v>240</v>
      </c>
      <c r="V12" t="s">
        <v>2389</v>
      </c>
      <c r="W12">
        <v>240</v>
      </c>
      <c r="X12" t="s">
        <v>701</v>
      </c>
      <c r="Y12" t="s">
        <v>2365</v>
      </c>
      <c r="Z12" t="s">
        <v>2365</v>
      </c>
      <c r="AA12" t="s">
        <v>2365</v>
      </c>
      <c r="AB12" t="s">
        <v>2365</v>
      </c>
      <c r="AC12" s="813" t="s">
        <v>2365</v>
      </c>
      <c r="AD12" s="813" t="s">
        <v>2365</v>
      </c>
      <c r="AE12" s="813" t="s">
        <v>2365</v>
      </c>
      <c r="AF12" t="s">
        <v>2365</v>
      </c>
      <c r="AG12">
        <v>1490</v>
      </c>
      <c r="AH12" t="s">
        <v>1675</v>
      </c>
      <c r="AI12">
        <v>1490</v>
      </c>
      <c r="AJ12" t="s">
        <v>1675</v>
      </c>
      <c r="AK12">
        <v>243</v>
      </c>
      <c r="AL12" t="s">
        <v>1205</v>
      </c>
      <c r="AM12">
        <v>243</v>
      </c>
      <c r="AN12" t="s">
        <v>1205</v>
      </c>
      <c r="AR12" t="s">
        <v>2365</v>
      </c>
      <c r="AS12" t="s">
        <v>2365</v>
      </c>
      <c r="AT12" t="s">
        <v>2365</v>
      </c>
      <c r="AU12" t="s">
        <v>2365</v>
      </c>
      <c r="AV12" t="s">
        <v>2365</v>
      </c>
      <c r="AW12" t="s">
        <v>2365</v>
      </c>
      <c r="AX12" t="s">
        <v>2365</v>
      </c>
      <c r="AY12" t="s">
        <v>2365</v>
      </c>
      <c r="AZ12" t="s">
        <v>2365</v>
      </c>
      <c r="BA12" t="s">
        <v>2365</v>
      </c>
      <c r="BB12" t="s">
        <v>2365</v>
      </c>
      <c r="BC12" t="s">
        <v>2365</v>
      </c>
      <c r="BD12" t="s">
        <v>2366</v>
      </c>
      <c r="BE12" t="s">
        <v>2365</v>
      </c>
      <c r="BF12" t="s">
        <v>2365</v>
      </c>
      <c r="BG12" t="s">
        <v>2365</v>
      </c>
      <c r="BH12" t="s">
        <v>2365</v>
      </c>
      <c r="BI12" t="s">
        <v>2366</v>
      </c>
      <c r="BJ12" t="s">
        <v>2365</v>
      </c>
      <c r="BK12" t="s">
        <v>2365</v>
      </c>
      <c r="BL12" t="s">
        <v>2365</v>
      </c>
      <c r="BM12" t="s">
        <v>2365</v>
      </c>
      <c r="BO12">
        <v>1</v>
      </c>
      <c r="BP12">
        <v>11</v>
      </c>
      <c r="BQ12" t="s">
        <v>2369</v>
      </c>
      <c r="BR12" t="s">
        <v>1487</v>
      </c>
      <c r="BU12">
        <v>0</v>
      </c>
      <c r="BV12">
        <v>0</v>
      </c>
      <c r="BW12">
        <v>0</v>
      </c>
      <c r="BX12">
        <v>0</v>
      </c>
      <c r="BY12">
        <v>0</v>
      </c>
      <c r="BZ12">
        <v>0</v>
      </c>
      <c r="CA12">
        <v>0</v>
      </c>
      <c r="CB12">
        <v>0</v>
      </c>
      <c r="CC12">
        <v>0</v>
      </c>
      <c r="CD12">
        <v>0</v>
      </c>
      <c r="CE12">
        <v>0</v>
      </c>
      <c r="CF12">
        <v>0</v>
      </c>
      <c r="CG12">
        <v>0</v>
      </c>
      <c r="CH12">
        <v>0</v>
      </c>
      <c r="CI12">
        <v>0</v>
      </c>
      <c r="CJ12">
        <v>0</v>
      </c>
      <c r="CK12">
        <v>0</v>
      </c>
      <c r="CL12">
        <v>0</v>
      </c>
      <c r="CM12">
        <v>0</v>
      </c>
      <c r="CR12" t="s">
        <v>2319</v>
      </c>
      <c r="CS12" s="1369" t="str">
        <f>INDEX([8]Sheet1!$H:$H,MATCH(CR:CR,[8]Sheet1!$AU:$AU,0))</f>
        <v>Mayor and Council</v>
      </c>
    </row>
    <row r="13" spans="1:98" x14ac:dyDescent="0.2">
      <c r="C13" t="s">
        <v>2392</v>
      </c>
      <c r="D13">
        <v>55180</v>
      </c>
      <c r="E13" t="s">
        <v>2393</v>
      </c>
      <c r="F13" t="s">
        <v>2364</v>
      </c>
      <c r="G13" t="s">
        <v>2364</v>
      </c>
      <c r="H13" t="s">
        <v>2365</v>
      </c>
      <c r="I13" t="s">
        <v>2365</v>
      </c>
      <c r="J13" t="s">
        <v>2365</v>
      </c>
      <c r="K13" t="s">
        <v>2365</v>
      </c>
      <c r="L13">
        <v>1200</v>
      </c>
      <c r="M13" t="s">
        <v>1480</v>
      </c>
      <c r="N13">
        <v>1204</v>
      </c>
      <c r="O13" t="s">
        <v>1487</v>
      </c>
      <c r="P13" t="s">
        <v>2366</v>
      </c>
      <c r="Q13" t="s">
        <v>2364</v>
      </c>
      <c r="R13" t="s">
        <v>2364</v>
      </c>
      <c r="S13" t="s">
        <v>553</v>
      </c>
      <c r="T13" t="s">
        <v>2175</v>
      </c>
      <c r="U13">
        <v>240</v>
      </c>
      <c r="V13" t="s">
        <v>2389</v>
      </c>
      <c r="W13">
        <v>240</v>
      </c>
      <c r="X13" t="s">
        <v>701</v>
      </c>
      <c r="Y13" t="s">
        <v>2365</v>
      </c>
      <c r="Z13" t="s">
        <v>2365</v>
      </c>
      <c r="AA13" t="s">
        <v>2365</v>
      </c>
      <c r="AB13" t="s">
        <v>2365</v>
      </c>
      <c r="AC13" s="813" t="s">
        <v>2365</v>
      </c>
      <c r="AD13" s="813" t="s">
        <v>2365</v>
      </c>
      <c r="AE13" s="813" t="s">
        <v>2365</v>
      </c>
      <c r="AF13" t="s">
        <v>2365</v>
      </c>
      <c r="AG13">
        <v>1510</v>
      </c>
      <c r="AH13" t="s">
        <v>1676</v>
      </c>
      <c r="AI13">
        <v>1510</v>
      </c>
      <c r="AJ13" t="s">
        <v>1676</v>
      </c>
      <c r="AK13">
        <v>243</v>
      </c>
      <c r="AL13" t="s">
        <v>1205</v>
      </c>
      <c r="AM13">
        <v>243</v>
      </c>
      <c r="AN13" t="s">
        <v>1205</v>
      </c>
      <c r="AR13" t="s">
        <v>2365</v>
      </c>
      <c r="AS13" t="s">
        <v>2365</v>
      </c>
      <c r="AT13" t="s">
        <v>2365</v>
      </c>
      <c r="AU13" t="s">
        <v>2365</v>
      </c>
      <c r="AV13" t="s">
        <v>2365</v>
      </c>
      <c r="AW13" t="s">
        <v>2365</v>
      </c>
      <c r="AX13" t="s">
        <v>2365</v>
      </c>
      <c r="AY13" t="s">
        <v>2365</v>
      </c>
      <c r="AZ13" t="s">
        <v>2365</v>
      </c>
      <c r="BA13" t="s">
        <v>2365</v>
      </c>
      <c r="BB13" t="s">
        <v>2365</v>
      </c>
      <c r="BC13" t="s">
        <v>2365</v>
      </c>
      <c r="BD13" t="s">
        <v>2366</v>
      </c>
      <c r="BE13" t="s">
        <v>2365</v>
      </c>
      <c r="BF13" t="s">
        <v>2365</v>
      </c>
      <c r="BG13" t="s">
        <v>2365</v>
      </c>
      <c r="BH13" t="s">
        <v>2365</v>
      </c>
      <c r="BI13" t="s">
        <v>2366</v>
      </c>
      <c r="BJ13" t="s">
        <v>2365</v>
      </c>
      <c r="BK13" t="s">
        <v>2365</v>
      </c>
      <c r="BL13" t="s">
        <v>2365</v>
      </c>
      <c r="BM13" t="s">
        <v>2365</v>
      </c>
      <c r="BO13">
        <v>1</v>
      </c>
      <c r="BP13">
        <v>11</v>
      </c>
      <c r="BQ13" t="s">
        <v>2369</v>
      </c>
      <c r="BR13" t="s">
        <v>1487</v>
      </c>
      <c r="BU13">
        <v>0</v>
      </c>
      <c r="BV13">
        <v>0</v>
      </c>
      <c r="BW13">
        <v>0</v>
      </c>
      <c r="BX13">
        <v>0</v>
      </c>
      <c r="BY13">
        <v>0</v>
      </c>
      <c r="BZ13">
        <v>0</v>
      </c>
      <c r="CA13">
        <v>0</v>
      </c>
      <c r="CB13">
        <v>0</v>
      </c>
      <c r="CC13">
        <v>0</v>
      </c>
      <c r="CD13">
        <v>0</v>
      </c>
      <c r="CE13">
        <v>0</v>
      </c>
      <c r="CF13">
        <v>0</v>
      </c>
      <c r="CG13">
        <v>0</v>
      </c>
      <c r="CH13">
        <v>0</v>
      </c>
      <c r="CI13">
        <v>0</v>
      </c>
      <c r="CJ13">
        <v>0</v>
      </c>
      <c r="CK13">
        <v>0</v>
      </c>
      <c r="CL13">
        <v>0</v>
      </c>
      <c r="CM13">
        <v>0</v>
      </c>
      <c r="CR13" t="s">
        <v>2319</v>
      </c>
      <c r="CS13" s="1369" t="str">
        <f>INDEX([8]Sheet1!$H:$H,MATCH(CR:CR,[8]Sheet1!$AU:$AU,0))</f>
        <v>Mayor and Council</v>
      </c>
    </row>
    <row r="14" spans="1:98" x14ac:dyDescent="0.2">
      <c r="C14" t="s">
        <v>2394</v>
      </c>
      <c r="D14">
        <v>55181</v>
      </c>
      <c r="E14" t="s">
        <v>2395</v>
      </c>
      <c r="F14" t="s">
        <v>2364</v>
      </c>
      <c r="G14" t="s">
        <v>2364</v>
      </c>
      <c r="H14" t="s">
        <v>2365</v>
      </c>
      <c r="I14" t="s">
        <v>2365</v>
      </c>
      <c r="J14" t="s">
        <v>2365</v>
      </c>
      <c r="K14" t="s">
        <v>2365</v>
      </c>
      <c r="L14">
        <v>1200</v>
      </c>
      <c r="M14" t="s">
        <v>1480</v>
      </c>
      <c r="N14">
        <v>1204</v>
      </c>
      <c r="O14" t="s">
        <v>1487</v>
      </c>
      <c r="P14" t="s">
        <v>2366</v>
      </c>
      <c r="Q14" t="s">
        <v>2364</v>
      </c>
      <c r="R14" t="s">
        <v>2364</v>
      </c>
      <c r="S14" t="s">
        <v>553</v>
      </c>
      <c r="T14" t="s">
        <v>2175</v>
      </c>
      <c r="U14">
        <v>240</v>
      </c>
      <c r="V14" t="s">
        <v>2389</v>
      </c>
      <c r="W14">
        <v>240</v>
      </c>
      <c r="X14" t="s">
        <v>701</v>
      </c>
      <c r="Y14" t="s">
        <v>2365</v>
      </c>
      <c r="Z14" t="s">
        <v>2365</v>
      </c>
      <c r="AA14" t="s">
        <v>2365</v>
      </c>
      <c r="AB14" t="s">
        <v>2365</v>
      </c>
      <c r="AC14" s="813" t="s">
        <v>2365</v>
      </c>
      <c r="AD14" s="813" t="s">
        <v>2365</v>
      </c>
      <c r="AE14" s="813" t="s">
        <v>2365</v>
      </c>
      <c r="AF14" t="s">
        <v>2365</v>
      </c>
      <c r="AG14">
        <v>1530</v>
      </c>
      <c r="AH14" t="s">
        <v>1677</v>
      </c>
      <c r="AI14">
        <v>1530</v>
      </c>
      <c r="AJ14" t="s">
        <v>1677</v>
      </c>
      <c r="AK14">
        <v>243</v>
      </c>
      <c r="AL14" t="s">
        <v>1205</v>
      </c>
      <c r="AM14">
        <v>243</v>
      </c>
      <c r="AN14" t="s">
        <v>1205</v>
      </c>
      <c r="AR14" t="s">
        <v>2365</v>
      </c>
      <c r="AS14" t="s">
        <v>2365</v>
      </c>
      <c r="AT14" t="s">
        <v>2365</v>
      </c>
      <c r="AU14" t="s">
        <v>2365</v>
      </c>
      <c r="AV14" t="s">
        <v>2365</v>
      </c>
      <c r="AW14" t="s">
        <v>2365</v>
      </c>
      <c r="AX14" t="s">
        <v>2365</v>
      </c>
      <c r="AY14" t="s">
        <v>2365</v>
      </c>
      <c r="AZ14" t="s">
        <v>2365</v>
      </c>
      <c r="BA14" t="s">
        <v>2365</v>
      </c>
      <c r="BB14" t="s">
        <v>2365</v>
      </c>
      <c r="BC14" t="s">
        <v>2365</v>
      </c>
      <c r="BD14" t="s">
        <v>2366</v>
      </c>
      <c r="BE14" t="s">
        <v>2365</v>
      </c>
      <c r="BF14" t="s">
        <v>2365</v>
      </c>
      <c r="BG14" t="s">
        <v>2365</v>
      </c>
      <c r="BH14" t="s">
        <v>2365</v>
      </c>
      <c r="BI14" t="s">
        <v>2366</v>
      </c>
      <c r="BJ14" t="s">
        <v>2365</v>
      </c>
      <c r="BK14" t="s">
        <v>2365</v>
      </c>
      <c r="BL14" t="s">
        <v>2365</v>
      </c>
      <c r="BM14" t="s">
        <v>2365</v>
      </c>
      <c r="BO14">
        <v>1</v>
      </c>
      <c r="BP14">
        <v>11</v>
      </c>
      <c r="BQ14" t="s">
        <v>2369</v>
      </c>
      <c r="BR14" t="s">
        <v>1487</v>
      </c>
      <c r="BU14">
        <v>0</v>
      </c>
      <c r="BV14">
        <v>0</v>
      </c>
      <c r="BW14">
        <v>0</v>
      </c>
      <c r="BX14">
        <v>0</v>
      </c>
      <c r="BY14">
        <v>0</v>
      </c>
      <c r="BZ14">
        <v>0</v>
      </c>
      <c r="CA14">
        <v>0</v>
      </c>
      <c r="CB14">
        <v>0</v>
      </c>
      <c r="CC14">
        <v>0</v>
      </c>
      <c r="CD14">
        <v>0</v>
      </c>
      <c r="CE14">
        <v>0</v>
      </c>
      <c r="CF14">
        <v>0</v>
      </c>
      <c r="CG14">
        <v>0</v>
      </c>
      <c r="CH14">
        <v>0</v>
      </c>
      <c r="CI14">
        <v>0</v>
      </c>
      <c r="CJ14">
        <v>0</v>
      </c>
      <c r="CK14">
        <v>0</v>
      </c>
      <c r="CL14">
        <v>0</v>
      </c>
      <c r="CM14">
        <v>0</v>
      </c>
      <c r="CR14" t="s">
        <v>2319</v>
      </c>
      <c r="CS14" s="1369" t="str">
        <f>INDEX([8]Sheet1!$H:$H,MATCH(CR:CR,[8]Sheet1!$AU:$AU,0))</f>
        <v>Mayor and Council</v>
      </c>
    </row>
    <row r="15" spans="1:98" x14ac:dyDescent="0.2">
      <c r="C15" t="s">
        <v>2396</v>
      </c>
      <c r="D15">
        <v>55182</v>
      </c>
      <c r="E15" t="s">
        <v>2397</v>
      </c>
      <c r="F15" t="s">
        <v>2364</v>
      </c>
      <c r="G15" t="s">
        <v>2364</v>
      </c>
      <c r="H15" t="s">
        <v>2365</v>
      </c>
      <c r="I15" t="s">
        <v>2365</v>
      </c>
      <c r="J15" t="s">
        <v>2365</v>
      </c>
      <c r="K15" t="s">
        <v>2365</v>
      </c>
      <c r="L15">
        <v>1200</v>
      </c>
      <c r="M15" t="s">
        <v>1480</v>
      </c>
      <c r="N15">
        <v>1204</v>
      </c>
      <c r="O15" t="s">
        <v>1487</v>
      </c>
      <c r="P15" t="s">
        <v>2366</v>
      </c>
      <c r="Q15" t="s">
        <v>2364</v>
      </c>
      <c r="R15" t="s">
        <v>2364</v>
      </c>
      <c r="S15" t="s">
        <v>553</v>
      </c>
      <c r="T15" t="s">
        <v>2367</v>
      </c>
      <c r="U15">
        <v>360</v>
      </c>
      <c r="V15" t="s">
        <v>2368</v>
      </c>
      <c r="W15">
        <v>360</v>
      </c>
      <c r="X15" t="s">
        <v>711</v>
      </c>
      <c r="Y15" t="s">
        <v>2365</v>
      </c>
      <c r="Z15" t="s">
        <v>2365</v>
      </c>
      <c r="AA15" t="s">
        <v>2365</v>
      </c>
      <c r="AB15" t="s">
        <v>2365</v>
      </c>
      <c r="AC15" s="813" t="s">
        <v>2365</v>
      </c>
      <c r="AD15" s="813" t="s">
        <v>2365</v>
      </c>
      <c r="AE15" s="813" t="s">
        <v>2365</v>
      </c>
      <c r="AF15" t="s">
        <v>2365</v>
      </c>
      <c r="AG15" t="s">
        <v>2365</v>
      </c>
      <c r="AH15" t="s">
        <v>2365</v>
      </c>
      <c r="AI15" t="s">
        <v>2365</v>
      </c>
      <c r="AJ15" t="s">
        <v>2365</v>
      </c>
      <c r="AK15">
        <v>361</v>
      </c>
      <c r="AL15" t="s">
        <v>1804</v>
      </c>
      <c r="AM15">
        <v>361</v>
      </c>
      <c r="AN15" t="s">
        <v>1804</v>
      </c>
      <c r="AR15" t="s">
        <v>2365</v>
      </c>
      <c r="AS15" t="s">
        <v>2365</v>
      </c>
      <c r="AT15" t="s">
        <v>2365</v>
      </c>
      <c r="AU15" t="s">
        <v>2365</v>
      </c>
      <c r="AV15" t="s">
        <v>2365</v>
      </c>
      <c r="AW15" t="s">
        <v>2365</v>
      </c>
      <c r="AX15" t="s">
        <v>2365</v>
      </c>
      <c r="AY15" t="s">
        <v>2365</v>
      </c>
      <c r="AZ15" t="s">
        <v>2365</v>
      </c>
      <c r="BA15" t="s">
        <v>2365</v>
      </c>
      <c r="BB15" t="s">
        <v>2365</v>
      </c>
      <c r="BC15" t="s">
        <v>2365</v>
      </c>
      <c r="BD15" t="s">
        <v>2366</v>
      </c>
      <c r="BE15" t="s">
        <v>2365</v>
      </c>
      <c r="BF15" t="s">
        <v>2365</v>
      </c>
      <c r="BG15" t="s">
        <v>2365</v>
      </c>
      <c r="BH15" t="s">
        <v>2365</v>
      </c>
      <c r="BI15" t="s">
        <v>2366</v>
      </c>
      <c r="BJ15" t="s">
        <v>2365</v>
      </c>
      <c r="BK15" t="s">
        <v>2365</v>
      </c>
      <c r="BL15" t="s">
        <v>2365</v>
      </c>
      <c r="BM15" t="s">
        <v>2365</v>
      </c>
      <c r="BO15">
        <v>1</v>
      </c>
      <c r="BP15">
        <v>11</v>
      </c>
      <c r="BQ15" t="s">
        <v>2369</v>
      </c>
      <c r="BR15" t="s">
        <v>1487</v>
      </c>
      <c r="BU15">
        <v>0</v>
      </c>
      <c r="BV15">
        <v>0</v>
      </c>
      <c r="BW15">
        <v>0</v>
      </c>
      <c r="BX15">
        <v>0</v>
      </c>
      <c r="BY15">
        <v>0</v>
      </c>
      <c r="BZ15">
        <v>0</v>
      </c>
      <c r="CA15">
        <v>0</v>
      </c>
      <c r="CB15">
        <v>0</v>
      </c>
      <c r="CC15">
        <v>0</v>
      </c>
      <c r="CD15">
        <v>0</v>
      </c>
      <c r="CE15">
        <v>0</v>
      </c>
      <c r="CF15">
        <v>0</v>
      </c>
      <c r="CG15">
        <v>0</v>
      </c>
      <c r="CH15">
        <v>0</v>
      </c>
      <c r="CI15">
        <v>0</v>
      </c>
      <c r="CJ15">
        <v>0</v>
      </c>
      <c r="CK15">
        <v>0</v>
      </c>
      <c r="CL15">
        <v>0</v>
      </c>
      <c r="CM15">
        <v>0</v>
      </c>
      <c r="CR15" t="s">
        <v>2319</v>
      </c>
      <c r="CS15" s="1369" t="str">
        <f>INDEX([8]Sheet1!$H:$H,MATCH(CR:CR,[8]Sheet1!$AU:$AU,0))</f>
        <v>Mayor and Council</v>
      </c>
    </row>
    <row r="16" spans="1:98" x14ac:dyDescent="0.2">
      <c r="C16" t="s">
        <v>2398</v>
      </c>
      <c r="D16">
        <v>55183</v>
      </c>
      <c r="E16" t="s">
        <v>2399</v>
      </c>
      <c r="F16" t="s">
        <v>2364</v>
      </c>
      <c r="G16" t="s">
        <v>2364</v>
      </c>
      <c r="H16" t="s">
        <v>2365</v>
      </c>
      <c r="I16" t="s">
        <v>2365</v>
      </c>
      <c r="J16" t="s">
        <v>2365</v>
      </c>
      <c r="K16" t="s">
        <v>2365</v>
      </c>
      <c r="L16">
        <v>1200</v>
      </c>
      <c r="M16" t="s">
        <v>1480</v>
      </c>
      <c r="N16">
        <v>1204</v>
      </c>
      <c r="O16" t="s">
        <v>1487</v>
      </c>
      <c r="P16" t="s">
        <v>2366</v>
      </c>
      <c r="Q16" t="s">
        <v>2364</v>
      </c>
      <c r="R16" t="s">
        <v>2364</v>
      </c>
      <c r="S16" t="s">
        <v>553</v>
      </c>
      <c r="T16" t="s">
        <v>2175</v>
      </c>
      <c r="U16">
        <v>240</v>
      </c>
      <c r="V16" t="s">
        <v>2389</v>
      </c>
      <c r="W16">
        <v>240</v>
      </c>
      <c r="X16" t="s">
        <v>701</v>
      </c>
      <c r="Y16" t="s">
        <v>2365</v>
      </c>
      <c r="Z16" t="s">
        <v>2365</v>
      </c>
      <c r="AA16" t="s">
        <v>2365</v>
      </c>
      <c r="AB16" t="s">
        <v>2365</v>
      </c>
      <c r="AC16" s="813" t="s">
        <v>2365</v>
      </c>
      <c r="AD16" s="813" t="s">
        <v>2365</v>
      </c>
      <c r="AE16" s="813" t="s">
        <v>2365</v>
      </c>
      <c r="AF16" t="s">
        <v>2365</v>
      </c>
      <c r="AG16">
        <v>110</v>
      </c>
      <c r="AH16" t="s">
        <v>1568</v>
      </c>
      <c r="AI16">
        <v>110</v>
      </c>
      <c r="AJ16" t="s">
        <v>1568</v>
      </c>
      <c r="AK16">
        <v>243</v>
      </c>
      <c r="AL16" t="s">
        <v>1205</v>
      </c>
      <c r="AM16">
        <v>243</v>
      </c>
      <c r="AN16" t="s">
        <v>1205</v>
      </c>
      <c r="AR16" t="s">
        <v>2365</v>
      </c>
      <c r="AS16" t="s">
        <v>2365</v>
      </c>
      <c r="AT16" t="s">
        <v>2365</v>
      </c>
      <c r="AU16" t="s">
        <v>2365</v>
      </c>
      <c r="AV16" t="s">
        <v>2365</v>
      </c>
      <c r="AW16" t="s">
        <v>2365</v>
      </c>
      <c r="AX16" t="s">
        <v>2365</v>
      </c>
      <c r="AY16" t="s">
        <v>2365</v>
      </c>
      <c r="AZ16" t="s">
        <v>2365</v>
      </c>
      <c r="BA16" t="s">
        <v>2365</v>
      </c>
      <c r="BB16" t="s">
        <v>2365</v>
      </c>
      <c r="BC16" t="s">
        <v>2365</v>
      </c>
      <c r="BD16" t="s">
        <v>2366</v>
      </c>
      <c r="BE16" t="s">
        <v>2365</v>
      </c>
      <c r="BF16" t="s">
        <v>2365</v>
      </c>
      <c r="BG16" t="s">
        <v>2365</v>
      </c>
      <c r="BH16" t="s">
        <v>2365</v>
      </c>
      <c r="BI16" t="s">
        <v>2366</v>
      </c>
      <c r="BJ16" t="s">
        <v>2365</v>
      </c>
      <c r="BK16" t="s">
        <v>2365</v>
      </c>
      <c r="BL16" t="s">
        <v>2365</v>
      </c>
      <c r="BM16" t="s">
        <v>2365</v>
      </c>
      <c r="BO16">
        <v>1</v>
      </c>
      <c r="BP16">
        <v>11</v>
      </c>
      <c r="BQ16" t="s">
        <v>2369</v>
      </c>
      <c r="BR16" t="s">
        <v>1487</v>
      </c>
      <c r="BU16">
        <v>0</v>
      </c>
      <c r="BV16">
        <v>0</v>
      </c>
      <c r="BW16">
        <v>0</v>
      </c>
      <c r="BX16">
        <v>0</v>
      </c>
      <c r="BY16">
        <v>0</v>
      </c>
      <c r="BZ16">
        <v>0</v>
      </c>
      <c r="CA16">
        <v>0</v>
      </c>
      <c r="CB16">
        <v>0</v>
      </c>
      <c r="CC16">
        <v>0</v>
      </c>
      <c r="CD16">
        <v>0</v>
      </c>
      <c r="CE16">
        <v>0</v>
      </c>
      <c r="CF16">
        <v>0</v>
      </c>
      <c r="CG16">
        <v>0</v>
      </c>
      <c r="CH16">
        <v>0</v>
      </c>
      <c r="CI16">
        <v>0</v>
      </c>
      <c r="CJ16">
        <v>0</v>
      </c>
      <c r="CK16">
        <v>0</v>
      </c>
      <c r="CL16">
        <v>0</v>
      </c>
      <c r="CM16">
        <v>0</v>
      </c>
      <c r="CR16" t="s">
        <v>2319</v>
      </c>
      <c r="CS16" s="1369" t="str">
        <f>INDEX([8]Sheet1!$H:$H,MATCH(CR:CR,[8]Sheet1!$AU:$AU,0))</f>
        <v>Mayor and Council</v>
      </c>
    </row>
    <row r="17" spans="1:97" x14ac:dyDescent="0.2">
      <c r="C17" t="s">
        <v>2400</v>
      </c>
      <c r="D17">
        <v>55184</v>
      </c>
      <c r="E17" t="s">
        <v>2401</v>
      </c>
      <c r="F17" t="s">
        <v>2364</v>
      </c>
      <c r="G17" t="s">
        <v>2364</v>
      </c>
      <c r="H17" t="s">
        <v>2365</v>
      </c>
      <c r="I17" t="s">
        <v>2365</v>
      </c>
      <c r="J17" t="s">
        <v>2365</v>
      </c>
      <c r="K17" t="s">
        <v>2365</v>
      </c>
      <c r="L17">
        <v>1200</v>
      </c>
      <c r="M17" t="s">
        <v>1480</v>
      </c>
      <c r="N17">
        <v>1204</v>
      </c>
      <c r="O17" t="s">
        <v>1487</v>
      </c>
      <c r="P17" t="s">
        <v>2366</v>
      </c>
      <c r="Q17" t="s">
        <v>2364</v>
      </c>
      <c r="R17" t="s">
        <v>2364</v>
      </c>
      <c r="S17" t="s">
        <v>553</v>
      </c>
      <c r="T17" t="s">
        <v>2175</v>
      </c>
      <c r="U17">
        <v>240</v>
      </c>
      <c r="V17" t="s">
        <v>2389</v>
      </c>
      <c r="W17">
        <v>240</v>
      </c>
      <c r="X17" t="s">
        <v>701</v>
      </c>
      <c r="Y17" t="s">
        <v>2365</v>
      </c>
      <c r="Z17" t="s">
        <v>2365</v>
      </c>
      <c r="AA17" t="s">
        <v>2365</v>
      </c>
      <c r="AB17" t="s">
        <v>2365</v>
      </c>
      <c r="AC17" s="813" t="s">
        <v>2365</v>
      </c>
      <c r="AD17" s="813" t="s">
        <v>2365</v>
      </c>
      <c r="AE17" s="813" t="s">
        <v>2365</v>
      </c>
      <c r="AF17" t="s">
        <v>2365</v>
      </c>
      <c r="AG17">
        <v>770</v>
      </c>
      <c r="AH17" t="s">
        <v>1620</v>
      </c>
      <c r="AI17">
        <v>770</v>
      </c>
      <c r="AJ17" t="s">
        <v>1620</v>
      </c>
      <c r="AK17">
        <v>243</v>
      </c>
      <c r="AL17" t="s">
        <v>1205</v>
      </c>
      <c r="AM17">
        <v>243</v>
      </c>
      <c r="AN17" t="s">
        <v>1205</v>
      </c>
      <c r="AR17" t="s">
        <v>2365</v>
      </c>
      <c r="AS17" t="s">
        <v>2365</v>
      </c>
      <c r="AT17" t="s">
        <v>2365</v>
      </c>
      <c r="AU17" t="s">
        <v>2365</v>
      </c>
      <c r="AV17" t="s">
        <v>2365</v>
      </c>
      <c r="AW17" t="s">
        <v>2365</v>
      </c>
      <c r="AX17" t="s">
        <v>2365</v>
      </c>
      <c r="AY17" t="s">
        <v>2365</v>
      </c>
      <c r="AZ17" t="s">
        <v>2365</v>
      </c>
      <c r="BA17" t="s">
        <v>2365</v>
      </c>
      <c r="BB17" t="s">
        <v>2365</v>
      </c>
      <c r="BC17" t="s">
        <v>2365</v>
      </c>
      <c r="BD17" t="s">
        <v>2366</v>
      </c>
      <c r="BE17" t="s">
        <v>2365</v>
      </c>
      <c r="BF17" t="s">
        <v>2365</v>
      </c>
      <c r="BG17" t="s">
        <v>2365</v>
      </c>
      <c r="BH17" t="s">
        <v>2365</v>
      </c>
      <c r="BI17" t="s">
        <v>2366</v>
      </c>
      <c r="BJ17" t="s">
        <v>2365</v>
      </c>
      <c r="BK17" t="s">
        <v>2365</v>
      </c>
      <c r="BL17" t="s">
        <v>2365</v>
      </c>
      <c r="BM17" t="s">
        <v>2365</v>
      </c>
      <c r="BO17">
        <v>1</v>
      </c>
      <c r="BP17">
        <v>11</v>
      </c>
      <c r="BQ17" t="s">
        <v>2369</v>
      </c>
      <c r="BR17" t="s">
        <v>1487</v>
      </c>
      <c r="BU17">
        <v>0</v>
      </c>
      <c r="BV17">
        <v>0</v>
      </c>
      <c r="BW17">
        <v>0</v>
      </c>
      <c r="BX17">
        <v>0</v>
      </c>
      <c r="BY17">
        <v>0</v>
      </c>
      <c r="BZ17">
        <v>0</v>
      </c>
      <c r="CA17">
        <v>0</v>
      </c>
      <c r="CB17">
        <v>0</v>
      </c>
      <c r="CC17">
        <v>0</v>
      </c>
      <c r="CD17">
        <v>0</v>
      </c>
      <c r="CE17">
        <v>0</v>
      </c>
      <c r="CF17">
        <v>0</v>
      </c>
      <c r="CG17">
        <v>0</v>
      </c>
      <c r="CH17">
        <v>0</v>
      </c>
      <c r="CI17">
        <v>0</v>
      </c>
      <c r="CJ17">
        <v>0</v>
      </c>
      <c r="CK17">
        <v>0</v>
      </c>
      <c r="CL17">
        <v>0</v>
      </c>
      <c r="CM17">
        <v>0</v>
      </c>
      <c r="CR17" t="s">
        <v>2319</v>
      </c>
      <c r="CS17" s="1369" t="str">
        <f>INDEX([8]Sheet1!$H:$H,MATCH(CR:CR,[8]Sheet1!$AU:$AU,0))</f>
        <v>Mayor and Council</v>
      </c>
    </row>
    <row r="18" spans="1:97" x14ac:dyDescent="0.2">
      <c r="C18" t="s">
        <v>2402</v>
      </c>
      <c r="D18">
        <v>55185</v>
      </c>
      <c r="E18" t="s">
        <v>2403</v>
      </c>
      <c r="F18" t="s">
        <v>2364</v>
      </c>
      <c r="G18" t="s">
        <v>2364</v>
      </c>
      <c r="H18" t="s">
        <v>2365</v>
      </c>
      <c r="I18" t="s">
        <v>2365</v>
      </c>
      <c r="J18" t="s">
        <v>2365</v>
      </c>
      <c r="K18" t="s">
        <v>2365</v>
      </c>
      <c r="L18">
        <v>1200</v>
      </c>
      <c r="M18" t="s">
        <v>1480</v>
      </c>
      <c r="N18">
        <v>1204</v>
      </c>
      <c r="O18" t="s">
        <v>1487</v>
      </c>
      <c r="P18" t="s">
        <v>2366</v>
      </c>
      <c r="Q18" t="s">
        <v>2364</v>
      </c>
      <c r="R18" t="s">
        <v>2364</v>
      </c>
      <c r="S18" t="s">
        <v>553</v>
      </c>
      <c r="T18" t="s">
        <v>2175</v>
      </c>
      <c r="U18">
        <v>240</v>
      </c>
      <c r="V18" t="s">
        <v>2389</v>
      </c>
      <c r="W18">
        <v>240</v>
      </c>
      <c r="X18" t="s">
        <v>701</v>
      </c>
      <c r="Y18" t="s">
        <v>2365</v>
      </c>
      <c r="Z18" t="s">
        <v>2365</v>
      </c>
      <c r="AA18" t="s">
        <v>2365</v>
      </c>
      <c r="AB18" t="s">
        <v>2365</v>
      </c>
      <c r="AC18" s="813" t="s">
        <v>2365</v>
      </c>
      <c r="AD18" s="813" t="s">
        <v>2365</v>
      </c>
      <c r="AE18" s="813" t="s">
        <v>2365</v>
      </c>
      <c r="AF18" t="s">
        <v>2365</v>
      </c>
      <c r="AG18">
        <v>1180</v>
      </c>
      <c r="AH18" t="s">
        <v>1368</v>
      </c>
      <c r="AI18">
        <v>1180</v>
      </c>
      <c r="AJ18" t="s">
        <v>1368</v>
      </c>
      <c r="AK18">
        <v>243</v>
      </c>
      <c r="AL18" t="s">
        <v>1205</v>
      </c>
      <c r="AM18">
        <v>243</v>
      </c>
      <c r="AN18" t="s">
        <v>1205</v>
      </c>
      <c r="AR18" t="s">
        <v>2365</v>
      </c>
      <c r="AS18" t="s">
        <v>2365</v>
      </c>
      <c r="AT18" t="s">
        <v>2365</v>
      </c>
      <c r="AU18" t="s">
        <v>2365</v>
      </c>
      <c r="AV18" t="s">
        <v>2365</v>
      </c>
      <c r="AW18" t="s">
        <v>2365</v>
      </c>
      <c r="AX18" t="s">
        <v>2365</v>
      </c>
      <c r="AY18" t="s">
        <v>2365</v>
      </c>
      <c r="AZ18" t="s">
        <v>2365</v>
      </c>
      <c r="BA18" t="s">
        <v>2365</v>
      </c>
      <c r="BB18" t="s">
        <v>2365</v>
      </c>
      <c r="BC18" t="s">
        <v>2365</v>
      </c>
      <c r="BD18" t="s">
        <v>2366</v>
      </c>
      <c r="BE18" t="s">
        <v>2365</v>
      </c>
      <c r="BF18" t="s">
        <v>2365</v>
      </c>
      <c r="BG18" t="s">
        <v>2365</v>
      </c>
      <c r="BH18" t="s">
        <v>2365</v>
      </c>
      <c r="BI18" t="s">
        <v>2366</v>
      </c>
      <c r="BJ18" t="s">
        <v>2365</v>
      </c>
      <c r="BK18" t="s">
        <v>2365</v>
      </c>
      <c r="BL18" t="s">
        <v>2365</v>
      </c>
      <c r="BM18" t="s">
        <v>2365</v>
      </c>
      <c r="BO18">
        <v>1</v>
      </c>
      <c r="BP18">
        <v>11</v>
      </c>
      <c r="BQ18" t="s">
        <v>2369</v>
      </c>
      <c r="BR18" t="s">
        <v>1487</v>
      </c>
      <c r="BU18">
        <v>0</v>
      </c>
      <c r="BV18">
        <v>0</v>
      </c>
      <c r="BW18">
        <v>0</v>
      </c>
      <c r="BX18">
        <v>0</v>
      </c>
      <c r="BY18">
        <v>0</v>
      </c>
      <c r="BZ18">
        <v>0</v>
      </c>
      <c r="CA18">
        <v>0</v>
      </c>
      <c r="CB18">
        <v>0</v>
      </c>
      <c r="CC18">
        <v>0</v>
      </c>
      <c r="CD18">
        <v>0</v>
      </c>
      <c r="CE18">
        <v>0</v>
      </c>
      <c r="CF18">
        <v>0</v>
      </c>
      <c r="CG18">
        <v>0</v>
      </c>
      <c r="CH18">
        <v>0</v>
      </c>
      <c r="CI18">
        <v>0</v>
      </c>
      <c r="CJ18">
        <v>0</v>
      </c>
      <c r="CK18">
        <v>0</v>
      </c>
      <c r="CL18">
        <v>0</v>
      </c>
      <c r="CM18">
        <v>0</v>
      </c>
      <c r="CR18" t="s">
        <v>2319</v>
      </c>
      <c r="CS18" s="1369" t="str">
        <f>INDEX([8]Sheet1!$H:$H,MATCH(CR:CR,[8]Sheet1!$AU:$AU,0))</f>
        <v>Mayor and Council</v>
      </c>
    </row>
    <row r="19" spans="1:97" x14ac:dyDescent="0.2">
      <c r="C19" t="s">
        <v>2404</v>
      </c>
      <c r="D19">
        <v>55186</v>
      </c>
      <c r="E19" t="s">
        <v>2405</v>
      </c>
      <c r="F19" t="s">
        <v>2364</v>
      </c>
      <c r="G19" t="s">
        <v>2364</v>
      </c>
      <c r="H19" t="s">
        <v>2365</v>
      </c>
      <c r="I19" t="s">
        <v>2365</v>
      </c>
      <c r="J19" t="s">
        <v>2365</v>
      </c>
      <c r="K19" t="s">
        <v>2365</v>
      </c>
      <c r="L19">
        <v>1200</v>
      </c>
      <c r="M19" t="s">
        <v>1480</v>
      </c>
      <c r="N19">
        <v>1204</v>
      </c>
      <c r="O19" t="s">
        <v>1487</v>
      </c>
      <c r="P19" t="s">
        <v>2366</v>
      </c>
      <c r="Q19" t="s">
        <v>2364</v>
      </c>
      <c r="R19" t="s">
        <v>2364</v>
      </c>
      <c r="S19" t="s">
        <v>553</v>
      </c>
      <c r="T19" t="s">
        <v>2175</v>
      </c>
      <c r="U19">
        <v>120</v>
      </c>
      <c r="V19" t="s">
        <v>691</v>
      </c>
      <c r="W19">
        <v>120</v>
      </c>
      <c r="X19" t="s">
        <v>691</v>
      </c>
      <c r="Y19" t="s">
        <v>2365</v>
      </c>
      <c r="Z19" t="s">
        <v>2365</v>
      </c>
      <c r="AA19" t="s">
        <v>2365</v>
      </c>
      <c r="AB19" t="s">
        <v>2365</v>
      </c>
      <c r="AC19" s="813" t="s">
        <v>2365</v>
      </c>
      <c r="AD19" s="813" t="s">
        <v>2365</v>
      </c>
      <c r="AE19" s="813" t="s">
        <v>2365</v>
      </c>
      <c r="AF19" t="s">
        <v>2365</v>
      </c>
      <c r="AG19" t="s">
        <v>2365</v>
      </c>
      <c r="AH19" t="s">
        <v>2365</v>
      </c>
      <c r="AI19" t="s">
        <v>2365</v>
      </c>
      <c r="AJ19" t="s">
        <v>2365</v>
      </c>
      <c r="AK19" t="s">
        <v>2365</v>
      </c>
      <c r="AL19" t="s">
        <v>2365</v>
      </c>
      <c r="AM19" t="s">
        <v>2365</v>
      </c>
      <c r="AN19" t="s">
        <v>2365</v>
      </c>
      <c r="AQ19" t="s">
        <v>553</v>
      </c>
      <c r="AR19" t="s">
        <v>2365</v>
      </c>
      <c r="AS19" t="s">
        <v>2365</v>
      </c>
      <c r="AT19" t="s">
        <v>2365</v>
      </c>
      <c r="AU19" t="s">
        <v>2365</v>
      </c>
      <c r="AV19" t="s">
        <v>2365</v>
      </c>
      <c r="AW19" t="s">
        <v>2365</v>
      </c>
      <c r="AX19" t="s">
        <v>2365</v>
      </c>
      <c r="AY19" t="s">
        <v>2365</v>
      </c>
      <c r="AZ19" t="s">
        <v>2365</v>
      </c>
      <c r="BA19" t="s">
        <v>2365</v>
      </c>
      <c r="BB19" t="s">
        <v>2365</v>
      </c>
      <c r="BC19" t="s">
        <v>2365</v>
      </c>
      <c r="BD19" t="s">
        <v>2366</v>
      </c>
      <c r="BE19" t="s">
        <v>2365</v>
      </c>
      <c r="BF19" t="s">
        <v>2365</v>
      </c>
      <c r="BG19" t="s">
        <v>2365</v>
      </c>
      <c r="BH19" t="s">
        <v>2365</v>
      </c>
      <c r="BI19" t="s">
        <v>2366</v>
      </c>
      <c r="BJ19" t="s">
        <v>2365</v>
      </c>
      <c r="BK19" t="s">
        <v>2365</v>
      </c>
      <c r="BL19" t="s">
        <v>2365</v>
      </c>
      <c r="BM19" t="s">
        <v>2365</v>
      </c>
      <c r="BO19">
        <v>1</v>
      </c>
      <c r="BP19">
        <v>11</v>
      </c>
      <c r="BQ19" t="s">
        <v>2369</v>
      </c>
      <c r="BR19" t="s">
        <v>1487</v>
      </c>
      <c r="BU19">
        <v>0</v>
      </c>
      <c r="BV19">
        <v>0</v>
      </c>
      <c r="BW19">
        <v>0</v>
      </c>
      <c r="BX19">
        <v>0</v>
      </c>
      <c r="BY19">
        <v>0</v>
      </c>
      <c r="BZ19">
        <v>0</v>
      </c>
      <c r="CA19">
        <v>0</v>
      </c>
      <c r="CB19">
        <v>0</v>
      </c>
      <c r="CC19">
        <v>0</v>
      </c>
      <c r="CD19">
        <v>0</v>
      </c>
      <c r="CE19">
        <v>0</v>
      </c>
      <c r="CF19">
        <v>0</v>
      </c>
      <c r="CG19">
        <v>0</v>
      </c>
      <c r="CH19">
        <v>0</v>
      </c>
      <c r="CI19">
        <v>0</v>
      </c>
      <c r="CJ19">
        <v>0</v>
      </c>
      <c r="CK19">
        <v>0</v>
      </c>
      <c r="CL19">
        <v>0</v>
      </c>
      <c r="CM19">
        <v>0</v>
      </c>
      <c r="CR19" t="s">
        <v>2319</v>
      </c>
      <c r="CS19" s="1369" t="str">
        <f>INDEX([8]Sheet1!$H:$H,MATCH(CR:CR,[8]Sheet1!$AU:$AU,0))</f>
        <v>Mayor and Council</v>
      </c>
    </row>
    <row r="20" spans="1:97" x14ac:dyDescent="0.2">
      <c r="C20" t="s">
        <v>2406</v>
      </c>
      <c r="D20">
        <v>55187</v>
      </c>
      <c r="E20" t="s">
        <v>2407</v>
      </c>
      <c r="F20" t="s">
        <v>2364</v>
      </c>
      <c r="G20" t="s">
        <v>2364</v>
      </c>
      <c r="H20" t="s">
        <v>2365</v>
      </c>
      <c r="I20" t="s">
        <v>2365</v>
      </c>
      <c r="J20" t="s">
        <v>2365</v>
      </c>
      <c r="K20" t="s">
        <v>2365</v>
      </c>
      <c r="L20">
        <v>1200</v>
      </c>
      <c r="M20" t="s">
        <v>1480</v>
      </c>
      <c r="N20">
        <v>1204</v>
      </c>
      <c r="O20" t="s">
        <v>1487</v>
      </c>
      <c r="P20" t="s">
        <v>2366</v>
      </c>
      <c r="Q20" t="s">
        <v>2364</v>
      </c>
      <c r="R20" t="s">
        <v>2364</v>
      </c>
      <c r="S20" t="s">
        <v>553</v>
      </c>
      <c r="T20" t="s">
        <v>2175</v>
      </c>
      <c r="U20">
        <v>150</v>
      </c>
      <c r="V20" t="s">
        <v>694</v>
      </c>
      <c r="W20">
        <v>150</v>
      </c>
      <c r="X20" t="s">
        <v>694</v>
      </c>
      <c r="Y20" t="s">
        <v>2365</v>
      </c>
      <c r="Z20" t="s">
        <v>2365</v>
      </c>
      <c r="AA20" t="s">
        <v>2365</v>
      </c>
      <c r="AB20" t="s">
        <v>2365</v>
      </c>
      <c r="AC20" s="813" t="s">
        <v>2365</v>
      </c>
      <c r="AD20" s="813" t="s">
        <v>2365</v>
      </c>
      <c r="AE20" s="813" t="s">
        <v>2365</v>
      </c>
      <c r="AF20" t="s">
        <v>2365</v>
      </c>
      <c r="AG20" t="s">
        <v>2365</v>
      </c>
      <c r="AH20" t="s">
        <v>2365</v>
      </c>
      <c r="AI20" t="s">
        <v>2365</v>
      </c>
      <c r="AJ20" t="s">
        <v>2365</v>
      </c>
      <c r="AK20" s="1373" t="s">
        <v>2365</v>
      </c>
      <c r="AL20" t="s">
        <v>2365</v>
      </c>
      <c r="AM20" t="s">
        <v>2365</v>
      </c>
      <c r="AN20" t="s">
        <v>2365</v>
      </c>
      <c r="AR20" t="s">
        <v>2365</v>
      </c>
      <c r="AS20" t="s">
        <v>2365</v>
      </c>
      <c r="AT20" t="s">
        <v>2365</v>
      </c>
      <c r="AU20" t="s">
        <v>2365</v>
      </c>
      <c r="AV20" t="s">
        <v>2365</v>
      </c>
      <c r="AW20" t="s">
        <v>2365</v>
      </c>
      <c r="AX20" t="s">
        <v>2365</v>
      </c>
      <c r="AY20" t="s">
        <v>2365</v>
      </c>
      <c r="AZ20" t="s">
        <v>2365</v>
      </c>
      <c r="BA20" t="s">
        <v>2365</v>
      </c>
      <c r="BB20" t="s">
        <v>2365</v>
      </c>
      <c r="BC20" t="s">
        <v>2365</v>
      </c>
      <c r="BD20" t="s">
        <v>2366</v>
      </c>
      <c r="BE20" t="s">
        <v>2365</v>
      </c>
      <c r="BF20" t="s">
        <v>2365</v>
      </c>
      <c r="BG20" t="s">
        <v>2365</v>
      </c>
      <c r="BH20" t="s">
        <v>2365</v>
      </c>
      <c r="BI20" t="s">
        <v>2366</v>
      </c>
      <c r="BJ20" t="s">
        <v>2365</v>
      </c>
      <c r="BK20" t="s">
        <v>2365</v>
      </c>
      <c r="BL20" t="s">
        <v>2365</v>
      </c>
      <c r="BM20" t="s">
        <v>2365</v>
      </c>
      <c r="BO20">
        <v>1</v>
      </c>
      <c r="BP20">
        <v>11</v>
      </c>
      <c r="BQ20" t="s">
        <v>2369</v>
      </c>
      <c r="BR20" t="s">
        <v>1487</v>
      </c>
      <c r="BU20">
        <v>0</v>
      </c>
      <c r="BV20">
        <v>0</v>
      </c>
      <c r="BW20">
        <v>0</v>
      </c>
      <c r="BX20">
        <v>0</v>
      </c>
      <c r="BY20">
        <v>0</v>
      </c>
      <c r="BZ20">
        <v>0</v>
      </c>
      <c r="CA20">
        <v>0</v>
      </c>
      <c r="CB20">
        <v>0</v>
      </c>
      <c r="CC20">
        <v>0</v>
      </c>
      <c r="CD20">
        <v>0</v>
      </c>
      <c r="CE20">
        <v>0</v>
      </c>
      <c r="CF20">
        <v>0</v>
      </c>
      <c r="CG20">
        <v>0</v>
      </c>
      <c r="CH20">
        <v>0</v>
      </c>
      <c r="CI20">
        <v>0</v>
      </c>
      <c r="CJ20">
        <v>0</v>
      </c>
      <c r="CK20">
        <v>0</v>
      </c>
      <c r="CL20">
        <v>0</v>
      </c>
      <c r="CM20">
        <v>0</v>
      </c>
      <c r="CR20" t="s">
        <v>2319</v>
      </c>
      <c r="CS20" s="1369" t="str">
        <f>INDEX([8]Sheet1!$H:$H,MATCH(CR:CR,[8]Sheet1!$AU:$AU,0))</f>
        <v>Mayor and Council</v>
      </c>
    </row>
    <row r="21" spans="1:97" x14ac:dyDescent="0.2">
      <c r="C21" t="s">
        <v>2408</v>
      </c>
      <c r="D21">
        <v>55188</v>
      </c>
      <c r="E21" t="s">
        <v>2409</v>
      </c>
      <c r="F21" t="s">
        <v>2364</v>
      </c>
      <c r="G21" t="s">
        <v>2364</v>
      </c>
      <c r="H21" t="s">
        <v>2365</v>
      </c>
      <c r="I21" t="s">
        <v>2365</v>
      </c>
      <c r="J21" t="s">
        <v>2365</v>
      </c>
      <c r="K21" t="s">
        <v>2365</v>
      </c>
      <c r="L21">
        <v>1200</v>
      </c>
      <c r="M21" t="s">
        <v>1480</v>
      </c>
      <c r="N21">
        <v>1204</v>
      </c>
      <c r="O21" t="s">
        <v>1487</v>
      </c>
      <c r="P21" t="s">
        <v>2366</v>
      </c>
      <c r="Q21" t="s">
        <v>2364</v>
      </c>
      <c r="R21" t="s">
        <v>2364</v>
      </c>
      <c r="S21" t="s">
        <v>553</v>
      </c>
      <c r="T21" t="s">
        <v>2367</v>
      </c>
      <c r="U21">
        <v>360</v>
      </c>
      <c r="V21" t="s">
        <v>2368</v>
      </c>
      <c r="W21">
        <v>360</v>
      </c>
      <c r="X21" t="s">
        <v>711</v>
      </c>
      <c r="Y21" t="s">
        <v>2365</v>
      </c>
      <c r="Z21" t="s">
        <v>2365</v>
      </c>
      <c r="AA21" t="s">
        <v>2365</v>
      </c>
      <c r="AB21" t="s">
        <v>2365</v>
      </c>
      <c r="AC21" s="813" t="s">
        <v>2365</v>
      </c>
      <c r="AD21" s="813" t="s">
        <v>2365</v>
      </c>
      <c r="AE21" s="813" t="s">
        <v>2365</v>
      </c>
      <c r="AF21" t="s">
        <v>2365</v>
      </c>
      <c r="AG21" t="s">
        <v>2365</v>
      </c>
      <c r="AH21" t="s">
        <v>2365</v>
      </c>
      <c r="AI21" t="s">
        <v>2365</v>
      </c>
      <c r="AJ21" t="s">
        <v>2365</v>
      </c>
      <c r="AK21">
        <v>363</v>
      </c>
      <c r="AL21" t="s">
        <v>748</v>
      </c>
      <c r="AM21">
        <v>363</v>
      </c>
      <c r="AN21" t="s">
        <v>748</v>
      </c>
      <c r="AR21" t="s">
        <v>2365</v>
      </c>
      <c r="AS21" t="s">
        <v>2365</v>
      </c>
      <c r="AT21" t="s">
        <v>2365</v>
      </c>
      <c r="AU21" t="s">
        <v>2365</v>
      </c>
      <c r="AV21" t="s">
        <v>2365</v>
      </c>
      <c r="AW21" t="s">
        <v>2365</v>
      </c>
      <c r="AX21" t="s">
        <v>2365</v>
      </c>
      <c r="AY21" t="s">
        <v>2365</v>
      </c>
      <c r="AZ21" t="s">
        <v>2365</v>
      </c>
      <c r="BA21" t="s">
        <v>2365</v>
      </c>
      <c r="BB21" t="s">
        <v>2365</v>
      </c>
      <c r="BC21" t="s">
        <v>2365</v>
      </c>
      <c r="BD21" t="s">
        <v>2366</v>
      </c>
      <c r="BE21" t="s">
        <v>2365</v>
      </c>
      <c r="BF21" t="s">
        <v>2365</v>
      </c>
      <c r="BG21" t="s">
        <v>2365</v>
      </c>
      <c r="BH21" t="s">
        <v>2365</v>
      </c>
      <c r="BI21" t="s">
        <v>2366</v>
      </c>
      <c r="BJ21" t="s">
        <v>2365</v>
      </c>
      <c r="BK21" t="s">
        <v>2365</v>
      </c>
      <c r="BL21" t="s">
        <v>2365</v>
      </c>
      <c r="BM21" t="s">
        <v>2365</v>
      </c>
      <c r="BO21">
        <v>1</v>
      </c>
      <c r="BP21">
        <v>11</v>
      </c>
      <c r="BQ21" t="s">
        <v>2369</v>
      </c>
      <c r="BR21" t="s">
        <v>1487</v>
      </c>
      <c r="BU21">
        <v>0</v>
      </c>
      <c r="BV21">
        <v>0</v>
      </c>
      <c r="BW21">
        <v>0</v>
      </c>
      <c r="BX21">
        <v>0</v>
      </c>
      <c r="BY21">
        <v>0</v>
      </c>
      <c r="BZ21">
        <v>0</v>
      </c>
      <c r="CA21">
        <v>0</v>
      </c>
      <c r="CB21">
        <v>0</v>
      </c>
      <c r="CC21">
        <v>0</v>
      </c>
      <c r="CD21">
        <v>0</v>
      </c>
      <c r="CE21">
        <v>0</v>
      </c>
      <c r="CF21">
        <v>0</v>
      </c>
      <c r="CG21">
        <v>0</v>
      </c>
      <c r="CH21">
        <v>0</v>
      </c>
      <c r="CI21">
        <v>0</v>
      </c>
      <c r="CJ21">
        <v>0</v>
      </c>
      <c r="CK21">
        <v>0</v>
      </c>
      <c r="CL21">
        <v>0</v>
      </c>
      <c r="CM21">
        <v>0</v>
      </c>
      <c r="CR21" t="s">
        <v>2319</v>
      </c>
      <c r="CS21" s="1369" t="str">
        <f>INDEX([8]Sheet1!$H:$H,MATCH(CR:CR,[8]Sheet1!$AU:$AU,0))</f>
        <v>Mayor and Council</v>
      </c>
    </row>
    <row r="22" spans="1:97" x14ac:dyDescent="0.2">
      <c r="C22" t="s">
        <v>2410</v>
      </c>
      <c r="D22">
        <v>55189</v>
      </c>
      <c r="E22" t="s">
        <v>2411</v>
      </c>
      <c r="F22" t="s">
        <v>2364</v>
      </c>
      <c r="G22" t="s">
        <v>2364</v>
      </c>
      <c r="H22" t="s">
        <v>2365</v>
      </c>
      <c r="I22" t="s">
        <v>2365</v>
      </c>
      <c r="J22" t="s">
        <v>2365</v>
      </c>
      <c r="K22" t="s">
        <v>2365</v>
      </c>
      <c r="L22">
        <v>1200</v>
      </c>
      <c r="M22" t="s">
        <v>1480</v>
      </c>
      <c r="N22">
        <v>1204</v>
      </c>
      <c r="O22" t="s">
        <v>1487</v>
      </c>
      <c r="P22" t="s">
        <v>2366</v>
      </c>
      <c r="Q22" t="s">
        <v>2364</v>
      </c>
      <c r="R22" t="s">
        <v>2364</v>
      </c>
      <c r="S22" t="s">
        <v>553</v>
      </c>
      <c r="T22" t="s">
        <v>2367</v>
      </c>
      <c r="U22">
        <v>360</v>
      </c>
      <c r="V22" t="s">
        <v>2368</v>
      </c>
      <c r="W22">
        <v>360</v>
      </c>
      <c r="X22" t="s">
        <v>711</v>
      </c>
      <c r="Y22" t="s">
        <v>2365</v>
      </c>
      <c r="Z22" t="s">
        <v>2365</v>
      </c>
      <c r="AA22" t="s">
        <v>2365</v>
      </c>
      <c r="AB22" t="s">
        <v>2365</v>
      </c>
      <c r="AC22" s="813" t="s">
        <v>2365</v>
      </c>
      <c r="AD22" s="813" t="s">
        <v>2365</v>
      </c>
      <c r="AE22" s="813" t="s">
        <v>2365</v>
      </c>
      <c r="AF22" t="s">
        <v>2365</v>
      </c>
      <c r="AG22" t="s">
        <v>2365</v>
      </c>
      <c r="AH22" t="s">
        <v>2365</v>
      </c>
      <c r="AI22" t="s">
        <v>2365</v>
      </c>
      <c r="AJ22" t="s">
        <v>2365</v>
      </c>
      <c r="AK22">
        <v>363</v>
      </c>
      <c r="AL22" t="s">
        <v>748</v>
      </c>
      <c r="AM22">
        <v>363</v>
      </c>
      <c r="AN22" t="s">
        <v>748</v>
      </c>
      <c r="AR22" t="s">
        <v>2365</v>
      </c>
      <c r="AS22" t="s">
        <v>2365</v>
      </c>
      <c r="AT22" t="s">
        <v>2365</v>
      </c>
      <c r="AU22" t="s">
        <v>2365</v>
      </c>
      <c r="AV22" t="s">
        <v>2365</v>
      </c>
      <c r="AW22" t="s">
        <v>2365</v>
      </c>
      <c r="AX22" t="s">
        <v>2365</v>
      </c>
      <c r="AY22" t="s">
        <v>2365</v>
      </c>
      <c r="AZ22" t="s">
        <v>2365</v>
      </c>
      <c r="BA22" t="s">
        <v>2365</v>
      </c>
      <c r="BB22" t="s">
        <v>2365</v>
      </c>
      <c r="BC22" t="s">
        <v>2365</v>
      </c>
      <c r="BD22" t="s">
        <v>2366</v>
      </c>
      <c r="BE22" t="s">
        <v>2365</v>
      </c>
      <c r="BF22" t="s">
        <v>2365</v>
      </c>
      <c r="BG22" t="s">
        <v>2365</v>
      </c>
      <c r="BH22" t="s">
        <v>2365</v>
      </c>
      <c r="BI22" t="s">
        <v>2366</v>
      </c>
      <c r="BJ22" t="s">
        <v>2365</v>
      </c>
      <c r="BK22" t="s">
        <v>2365</v>
      </c>
      <c r="BL22" t="s">
        <v>2365</v>
      </c>
      <c r="BM22" t="s">
        <v>2365</v>
      </c>
      <c r="BO22">
        <v>1</v>
      </c>
      <c r="BP22">
        <v>11</v>
      </c>
      <c r="BQ22" t="s">
        <v>2369</v>
      </c>
      <c r="BR22" t="s">
        <v>1487</v>
      </c>
      <c r="BU22">
        <v>0</v>
      </c>
      <c r="BV22">
        <v>0</v>
      </c>
      <c r="BW22">
        <v>0</v>
      </c>
      <c r="BX22">
        <v>0</v>
      </c>
      <c r="BY22">
        <v>0</v>
      </c>
      <c r="BZ22">
        <v>0</v>
      </c>
      <c r="CA22">
        <v>0</v>
      </c>
      <c r="CB22">
        <v>0</v>
      </c>
      <c r="CC22">
        <v>0</v>
      </c>
      <c r="CD22">
        <v>0</v>
      </c>
      <c r="CE22">
        <v>0</v>
      </c>
      <c r="CF22">
        <v>0</v>
      </c>
      <c r="CG22">
        <v>0</v>
      </c>
      <c r="CH22">
        <v>0</v>
      </c>
      <c r="CI22">
        <v>0</v>
      </c>
      <c r="CJ22">
        <v>0</v>
      </c>
      <c r="CK22">
        <v>0</v>
      </c>
      <c r="CL22">
        <v>0</v>
      </c>
      <c r="CM22">
        <v>0</v>
      </c>
      <c r="CR22" t="s">
        <v>2319</v>
      </c>
      <c r="CS22" s="1369" t="str">
        <f>INDEX([8]Sheet1!$H:$H,MATCH(CR:CR,[8]Sheet1!$AU:$AU,0))</f>
        <v>Mayor and Council</v>
      </c>
    </row>
    <row r="23" spans="1:97" x14ac:dyDescent="0.2">
      <c r="C23" t="s">
        <v>2412</v>
      </c>
      <c r="D23">
        <v>55190</v>
      </c>
      <c r="E23" t="s">
        <v>2413</v>
      </c>
      <c r="F23" t="s">
        <v>2364</v>
      </c>
      <c r="G23" t="s">
        <v>2364</v>
      </c>
      <c r="H23" t="s">
        <v>2365</v>
      </c>
      <c r="I23" t="s">
        <v>2365</v>
      </c>
      <c r="J23" t="s">
        <v>2365</v>
      </c>
      <c r="K23" t="s">
        <v>2365</v>
      </c>
      <c r="L23">
        <v>1200</v>
      </c>
      <c r="M23" t="s">
        <v>1480</v>
      </c>
      <c r="N23">
        <v>1204</v>
      </c>
      <c r="O23" t="s">
        <v>1487</v>
      </c>
      <c r="P23" t="s">
        <v>2366</v>
      </c>
      <c r="Q23" t="s">
        <v>2364</v>
      </c>
      <c r="R23" t="s">
        <v>2364</v>
      </c>
      <c r="S23" t="s">
        <v>553</v>
      </c>
      <c r="T23" t="s">
        <v>2367</v>
      </c>
      <c r="U23">
        <v>360</v>
      </c>
      <c r="V23" t="s">
        <v>2368</v>
      </c>
      <c r="W23">
        <v>360</v>
      </c>
      <c r="X23" t="s">
        <v>711</v>
      </c>
      <c r="Y23" t="s">
        <v>2365</v>
      </c>
      <c r="Z23" t="s">
        <v>2365</v>
      </c>
      <c r="AA23" t="s">
        <v>2365</v>
      </c>
      <c r="AB23" t="s">
        <v>2365</v>
      </c>
      <c r="AC23" s="813" t="s">
        <v>2365</v>
      </c>
      <c r="AD23" s="813" t="s">
        <v>2365</v>
      </c>
      <c r="AE23" s="813" t="s">
        <v>2365</v>
      </c>
      <c r="AF23" t="s">
        <v>2365</v>
      </c>
      <c r="AG23" t="s">
        <v>2365</v>
      </c>
      <c r="AH23" t="s">
        <v>2365</v>
      </c>
      <c r="AI23" t="s">
        <v>2365</v>
      </c>
      <c r="AJ23" t="s">
        <v>2365</v>
      </c>
      <c r="AK23">
        <v>363</v>
      </c>
      <c r="AL23" t="s">
        <v>748</v>
      </c>
      <c r="AM23">
        <v>363</v>
      </c>
      <c r="AN23" t="s">
        <v>748</v>
      </c>
      <c r="AR23" t="s">
        <v>2365</v>
      </c>
      <c r="AS23" t="s">
        <v>2365</v>
      </c>
      <c r="AT23" t="s">
        <v>2365</v>
      </c>
      <c r="AU23" t="s">
        <v>2365</v>
      </c>
      <c r="AV23" t="s">
        <v>2365</v>
      </c>
      <c r="AW23" t="s">
        <v>2365</v>
      </c>
      <c r="AX23" t="s">
        <v>2365</v>
      </c>
      <c r="AY23" t="s">
        <v>2365</v>
      </c>
      <c r="AZ23" t="s">
        <v>2365</v>
      </c>
      <c r="BA23" t="s">
        <v>2365</v>
      </c>
      <c r="BB23" t="s">
        <v>2365</v>
      </c>
      <c r="BC23" t="s">
        <v>2365</v>
      </c>
      <c r="BD23" t="s">
        <v>2366</v>
      </c>
      <c r="BE23" t="s">
        <v>2365</v>
      </c>
      <c r="BF23" t="s">
        <v>2365</v>
      </c>
      <c r="BG23" t="s">
        <v>2365</v>
      </c>
      <c r="BH23" t="s">
        <v>2365</v>
      </c>
      <c r="BI23" t="s">
        <v>2366</v>
      </c>
      <c r="BJ23" t="s">
        <v>2365</v>
      </c>
      <c r="BK23" t="s">
        <v>2365</v>
      </c>
      <c r="BL23" t="s">
        <v>2365</v>
      </c>
      <c r="BM23" t="s">
        <v>2365</v>
      </c>
      <c r="BO23">
        <v>1</v>
      </c>
      <c r="BP23">
        <v>11</v>
      </c>
      <c r="BQ23" t="s">
        <v>2369</v>
      </c>
      <c r="BR23" t="s">
        <v>1487</v>
      </c>
      <c r="BU23">
        <v>0</v>
      </c>
      <c r="BV23">
        <v>0</v>
      </c>
      <c r="BW23">
        <v>0</v>
      </c>
      <c r="BX23">
        <v>0</v>
      </c>
      <c r="BY23">
        <v>0</v>
      </c>
      <c r="BZ23">
        <v>0</v>
      </c>
      <c r="CA23">
        <v>0</v>
      </c>
      <c r="CB23">
        <v>0</v>
      </c>
      <c r="CC23">
        <v>0</v>
      </c>
      <c r="CD23">
        <v>0</v>
      </c>
      <c r="CE23">
        <v>0</v>
      </c>
      <c r="CF23">
        <v>0</v>
      </c>
      <c r="CG23">
        <v>0</v>
      </c>
      <c r="CH23">
        <v>0</v>
      </c>
      <c r="CI23">
        <v>0</v>
      </c>
      <c r="CJ23">
        <v>0</v>
      </c>
      <c r="CK23">
        <v>0</v>
      </c>
      <c r="CL23">
        <v>0</v>
      </c>
      <c r="CM23">
        <v>0</v>
      </c>
      <c r="CR23" t="s">
        <v>2319</v>
      </c>
      <c r="CS23" s="1369" t="str">
        <f>INDEX([8]Sheet1!$H:$H,MATCH(CR:CR,[8]Sheet1!$AU:$AU,0))</f>
        <v>Mayor and Council</v>
      </c>
    </row>
    <row r="24" spans="1:97" x14ac:dyDescent="0.2">
      <c r="C24" t="s">
        <v>2414</v>
      </c>
      <c r="D24">
        <v>55191</v>
      </c>
      <c r="E24" t="s">
        <v>2415</v>
      </c>
      <c r="F24" t="s">
        <v>2364</v>
      </c>
      <c r="G24" t="s">
        <v>2364</v>
      </c>
      <c r="H24" t="s">
        <v>2365</v>
      </c>
      <c r="I24" t="s">
        <v>2365</v>
      </c>
      <c r="J24" t="s">
        <v>2365</v>
      </c>
      <c r="K24" t="s">
        <v>2365</v>
      </c>
      <c r="L24">
        <v>1200</v>
      </c>
      <c r="M24" t="s">
        <v>1480</v>
      </c>
      <c r="N24">
        <v>1204</v>
      </c>
      <c r="O24" t="s">
        <v>1487</v>
      </c>
      <c r="P24" t="s">
        <v>2366</v>
      </c>
      <c r="Q24" t="s">
        <v>2364</v>
      </c>
      <c r="R24" t="s">
        <v>2364</v>
      </c>
      <c r="S24" t="s">
        <v>553</v>
      </c>
      <c r="T24" t="s">
        <v>2367</v>
      </c>
      <c r="U24">
        <v>360</v>
      </c>
      <c r="V24" t="s">
        <v>2368</v>
      </c>
      <c r="W24">
        <v>360</v>
      </c>
      <c r="X24" t="s">
        <v>711</v>
      </c>
      <c r="Y24" t="s">
        <v>2365</v>
      </c>
      <c r="Z24" t="s">
        <v>2365</v>
      </c>
      <c r="AA24" t="s">
        <v>2365</v>
      </c>
      <c r="AB24" t="s">
        <v>2365</v>
      </c>
      <c r="AC24" s="813" t="s">
        <v>2365</v>
      </c>
      <c r="AD24" s="813" t="s">
        <v>2365</v>
      </c>
      <c r="AE24" s="813" t="s">
        <v>2365</v>
      </c>
      <c r="AF24" t="s">
        <v>2365</v>
      </c>
      <c r="AG24" t="s">
        <v>2365</v>
      </c>
      <c r="AH24" t="s">
        <v>2365</v>
      </c>
      <c r="AI24" t="s">
        <v>2365</v>
      </c>
      <c r="AJ24" t="s">
        <v>2365</v>
      </c>
      <c r="AK24">
        <v>363</v>
      </c>
      <c r="AL24" t="s">
        <v>748</v>
      </c>
      <c r="AM24">
        <v>363</v>
      </c>
      <c r="AN24" t="s">
        <v>748</v>
      </c>
      <c r="AR24" t="s">
        <v>2365</v>
      </c>
      <c r="AS24" t="s">
        <v>2365</v>
      </c>
      <c r="AT24" t="s">
        <v>2365</v>
      </c>
      <c r="AU24" t="s">
        <v>2365</v>
      </c>
      <c r="AV24" t="s">
        <v>2365</v>
      </c>
      <c r="AW24" t="s">
        <v>2365</v>
      </c>
      <c r="AX24" t="s">
        <v>2365</v>
      </c>
      <c r="AY24" t="s">
        <v>2365</v>
      </c>
      <c r="AZ24" t="s">
        <v>2365</v>
      </c>
      <c r="BA24" t="s">
        <v>2365</v>
      </c>
      <c r="BB24" t="s">
        <v>2365</v>
      </c>
      <c r="BC24" t="s">
        <v>2365</v>
      </c>
      <c r="BD24" t="s">
        <v>2366</v>
      </c>
      <c r="BE24" t="s">
        <v>2365</v>
      </c>
      <c r="BF24" t="s">
        <v>2365</v>
      </c>
      <c r="BG24" t="s">
        <v>2365</v>
      </c>
      <c r="BH24" t="s">
        <v>2365</v>
      </c>
      <c r="BI24" t="s">
        <v>2366</v>
      </c>
      <c r="BJ24" t="s">
        <v>2365</v>
      </c>
      <c r="BK24" t="s">
        <v>2365</v>
      </c>
      <c r="BL24" t="s">
        <v>2365</v>
      </c>
      <c r="BM24" t="s">
        <v>2365</v>
      </c>
      <c r="BO24">
        <v>1</v>
      </c>
      <c r="BP24">
        <v>11</v>
      </c>
      <c r="BQ24" t="s">
        <v>2369</v>
      </c>
      <c r="BR24" t="s">
        <v>1487</v>
      </c>
      <c r="BU24">
        <v>0</v>
      </c>
      <c r="BV24">
        <v>0</v>
      </c>
      <c r="BW24">
        <v>0</v>
      </c>
      <c r="BX24">
        <v>0</v>
      </c>
      <c r="BY24">
        <v>0</v>
      </c>
      <c r="BZ24">
        <v>0</v>
      </c>
      <c r="CA24">
        <v>0</v>
      </c>
      <c r="CB24">
        <v>0</v>
      </c>
      <c r="CC24">
        <v>0</v>
      </c>
      <c r="CD24">
        <v>0</v>
      </c>
      <c r="CE24">
        <v>0</v>
      </c>
      <c r="CF24">
        <v>0</v>
      </c>
      <c r="CG24">
        <v>0</v>
      </c>
      <c r="CH24">
        <v>0</v>
      </c>
      <c r="CI24">
        <v>0</v>
      </c>
      <c r="CJ24">
        <v>0</v>
      </c>
      <c r="CK24">
        <v>0</v>
      </c>
      <c r="CL24">
        <v>0</v>
      </c>
      <c r="CM24">
        <v>0</v>
      </c>
      <c r="CR24" t="s">
        <v>2319</v>
      </c>
      <c r="CS24" s="1369" t="str">
        <f>INDEX([8]Sheet1!$H:$H,MATCH(CR:CR,[8]Sheet1!$AU:$AU,0))</f>
        <v>Mayor and Council</v>
      </c>
    </row>
    <row r="25" spans="1:97" x14ac:dyDescent="0.2">
      <c r="C25" t="s">
        <v>2416</v>
      </c>
      <c r="D25">
        <v>55192</v>
      </c>
      <c r="E25" t="s">
        <v>2417</v>
      </c>
      <c r="F25" t="s">
        <v>2364</v>
      </c>
      <c r="G25" t="s">
        <v>2364</v>
      </c>
      <c r="H25" t="s">
        <v>2365</v>
      </c>
      <c r="I25" t="s">
        <v>2365</v>
      </c>
      <c r="J25" t="s">
        <v>2365</v>
      </c>
      <c r="K25" t="s">
        <v>2365</v>
      </c>
      <c r="L25">
        <v>1200</v>
      </c>
      <c r="M25" t="s">
        <v>1480</v>
      </c>
      <c r="N25">
        <v>1204</v>
      </c>
      <c r="O25" t="s">
        <v>1487</v>
      </c>
      <c r="P25" t="s">
        <v>2366</v>
      </c>
      <c r="Q25" t="s">
        <v>2364</v>
      </c>
      <c r="R25" t="s">
        <v>2364</v>
      </c>
      <c r="S25" t="s">
        <v>553</v>
      </c>
      <c r="T25" t="s">
        <v>2367</v>
      </c>
      <c r="U25">
        <v>360</v>
      </c>
      <c r="V25" t="s">
        <v>2368</v>
      </c>
      <c r="W25">
        <v>360</v>
      </c>
      <c r="X25" t="s">
        <v>711</v>
      </c>
      <c r="Y25" t="s">
        <v>2365</v>
      </c>
      <c r="Z25" t="s">
        <v>2365</v>
      </c>
      <c r="AA25" t="s">
        <v>2365</v>
      </c>
      <c r="AB25" t="s">
        <v>2365</v>
      </c>
      <c r="AC25" s="813" t="s">
        <v>2365</v>
      </c>
      <c r="AD25" s="813" t="s">
        <v>2365</v>
      </c>
      <c r="AE25" s="813" t="s">
        <v>2365</v>
      </c>
      <c r="AF25" t="s">
        <v>2365</v>
      </c>
      <c r="AG25" t="s">
        <v>2365</v>
      </c>
      <c r="AH25" t="s">
        <v>2365</v>
      </c>
      <c r="AI25" t="s">
        <v>2365</v>
      </c>
      <c r="AJ25" t="s">
        <v>2365</v>
      </c>
      <c r="AK25">
        <v>362</v>
      </c>
      <c r="AL25" t="s">
        <v>1805</v>
      </c>
      <c r="AM25">
        <v>362</v>
      </c>
      <c r="AN25" t="s">
        <v>1805</v>
      </c>
      <c r="AR25" t="s">
        <v>2365</v>
      </c>
      <c r="AS25" t="s">
        <v>2365</v>
      </c>
      <c r="AT25" t="s">
        <v>2365</v>
      </c>
      <c r="AU25" t="s">
        <v>2365</v>
      </c>
      <c r="AV25" t="s">
        <v>2365</v>
      </c>
      <c r="AW25" t="s">
        <v>2365</v>
      </c>
      <c r="AX25" t="s">
        <v>2365</v>
      </c>
      <c r="AY25" t="s">
        <v>2365</v>
      </c>
      <c r="AZ25" t="s">
        <v>2365</v>
      </c>
      <c r="BA25" t="s">
        <v>2365</v>
      </c>
      <c r="BB25" t="s">
        <v>2365</v>
      </c>
      <c r="BC25" t="s">
        <v>2365</v>
      </c>
      <c r="BD25" t="s">
        <v>2366</v>
      </c>
      <c r="BE25" t="s">
        <v>2365</v>
      </c>
      <c r="BF25" t="s">
        <v>2365</v>
      </c>
      <c r="BG25" t="s">
        <v>2365</v>
      </c>
      <c r="BH25" t="s">
        <v>2365</v>
      </c>
      <c r="BI25" t="s">
        <v>2366</v>
      </c>
      <c r="BJ25" t="s">
        <v>2365</v>
      </c>
      <c r="BK25" t="s">
        <v>2365</v>
      </c>
      <c r="BL25" t="s">
        <v>2365</v>
      </c>
      <c r="BM25" t="s">
        <v>2365</v>
      </c>
      <c r="BO25">
        <v>1</v>
      </c>
      <c r="BP25">
        <v>11</v>
      </c>
      <c r="BQ25" t="s">
        <v>2369</v>
      </c>
      <c r="BR25" t="s">
        <v>1487</v>
      </c>
      <c r="BU25">
        <v>0</v>
      </c>
      <c r="BV25">
        <v>0</v>
      </c>
      <c r="BW25">
        <v>0</v>
      </c>
      <c r="BX25">
        <v>0</v>
      </c>
      <c r="BY25">
        <v>0</v>
      </c>
      <c r="BZ25">
        <v>0</v>
      </c>
      <c r="CA25">
        <v>0</v>
      </c>
      <c r="CB25">
        <v>0</v>
      </c>
      <c r="CC25">
        <v>0</v>
      </c>
      <c r="CD25">
        <v>0</v>
      </c>
      <c r="CE25">
        <v>0</v>
      </c>
      <c r="CF25">
        <v>0</v>
      </c>
      <c r="CG25">
        <v>0</v>
      </c>
      <c r="CH25">
        <v>0</v>
      </c>
      <c r="CI25">
        <v>0</v>
      </c>
      <c r="CJ25">
        <v>0</v>
      </c>
      <c r="CK25">
        <v>0</v>
      </c>
      <c r="CL25">
        <v>0</v>
      </c>
      <c r="CM25">
        <v>0</v>
      </c>
      <c r="CR25" t="s">
        <v>2319</v>
      </c>
      <c r="CS25" s="1369" t="str">
        <f>INDEX([8]Sheet1!$H:$H,MATCH(CR:CR,[8]Sheet1!$AU:$AU,0))</f>
        <v>Mayor and Council</v>
      </c>
    </row>
    <row r="26" spans="1:97" x14ac:dyDescent="0.2">
      <c r="C26" t="s">
        <v>2418</v>
      </c>
      <c r="D26">
        <v>55207</v>
      </c>
      <c r="E26" t="s">
        <v>2419</v>
      </c>
      <c r="F26" t="s">
        <v>2364</v>
      </c>
      <c r="G26" t="s">
        <v>2364</v>
      </c>
      <c r="H26" t="s">
        <v>2365</v>
      </c>
      <c r="I26" t="s">
        <v>2365</v>
      </c>
      <c r="J26" t="s">
        <v>2365</v>
      </c>
      <c r="K26" t="s">
        <v>2365</v>
      </c>
      <c r="L26">
        <v>1200</v>
      </c>
      <c r="M26" t="s">
        <v>1480</v>
      </c>
      <c r="N26">
        <v>1204</v>
      </c>
      <c r="O26" t="s">
        <v>1487</v>
      </c>
      <c r="P26" t="s">
        <v>2366</v>
      </c>
      <c r="Q26">
        <v>2010</v>
      </c>
      <c r="R26" t="s">
        <v>668</v>
      </c>
      <c r="S26" t="s">
        <v>552</v>
      </c>
      <c r="T26" t="s">
        <v>2175</v>
      </c>
      <c r="U26">
        <v>120</v>
      </c>
      <c r="V26" t="s">
        <v>691</v>
      </c>
      <c r="W26">
        <v>120</v>
      </c>
      <c r="X26" t="s">
        <v>691</v>
      </c>
      <c r="Y26" t="s">
        <v>2420</v>
      </c>
      <c r="Z26" t="s">
        <v>2421</v>
      </c>
      <c r="AA26" t="s">
        <v>2420</v>
      </c>
      <c r="AB26" t="s">
        <v>2421</v>
      </c>
      <c r="AC26" s="813">
        <v>310</v>
      </c>
      <c r="AD26" s="813" t="s">
        <v>2422</v>
      </c>
      <c r="AE26" s="813">
        <v>510</v>
      </c>
      <c r="AF26" t="s">
        <v>735</v>
      </c>
      <c r="AG26" t="s">
        <v>2365</v>
      </c>
      <c r="AH26" t="s">
        <v>2365</v>
      </c>
      <c r="AI26" t="s">
        <v>2365</v>
      </c>
      <c r="AJ26" t="s">
        <v>2365</v>
      </c>
      <c r="AK26" t="s">
        <v>2365</v>
      </c>
      <c r="AL26" t="s">
        <v>2365</v>
      </c>
      <c r="AM26" t="s">
        <v>2365</v>
      </c>
      <c r="AN26" t="s">
        <v>2365</v>
      </c>
      <c r="AQ26" t="s">
        <v>2423</v>
      </c>
      <c r="AR26" t="s">
        <v>2365</v>
      </c>
      <c r="AS26" t="s">
        <v>2365</v>
      </c>
      <c r="AT26" t="s">
        <v>2365</v>
      </c>
      <c r="AU26" t="s">
        <v>2365</v>
      </c>
      <c r="AV26" t="s">
        <v>2365</v>
      </c>
      <c r="AW26" t="s">
        <v>2365</v>
      </c>
      <c r="AX26" t="s">
        <v>2365</v>
      </c>
      <c r="AY26" t="s">
        <v>2365</v>
      </c>
      <c r="AZ26" t="s">
        <v>2365</v>
      </c>
      <c r="BA26" t="s">
        <v>2365</v>
      </c>
      <c r="BB26" t="s">
        <v>2365</v>
      </c>
      <c r="BC26" t="s">
        <v>2365</v>
      </c>
      <c r="BD26" t="s">
        <v>2366</v>
      </c>
      <c r="BE26" t="s">
        <v>2365</v>
      </c>
      <c r="BF26" t="s">
        <v>2365</v>
      </c>
      <c r="BG26" t="s">
        <v>2365</v>
      </c>
      <c r="BH26" t="s">
        <v>2365</v>
      </c>
      <c r="BI26" t="s">
        <v>2366</v>
      </c>
      <c r="BJ26">
        <v>120</v>
      </c>
      <c r="BK26" t="s">
        <v>1002</v>
      </c>
      <c r="BL26">
        <v>120</v>
      </c>
      <c r="BM26" t="s">
        <v>1002</v>
      </c>
      <c r="BO26">
        <v>1</v>
      </c>
      <c r="BP26">
        <v>11</v>
      </c>
      <c r="BQ26" t="s">
        <v>2369</v>
      </c>
      <c r="BR26" t="s">
        <v>1487</v>
      </c>
      <c r="BU26">
        <v>0</v>
      </c>
      <c r="BV26">
        <v>0</v>
      </c>
      <c r="BW26">
        <v>0</v>
      </c>
      <c r="BX26">
        <v>-22516910</v>
      </c>
      <c r="BY26">
        <v>-22516910</v>
      </c>
      <c r="BZ26">
        <v>-22516910</v>
      </c>
      <c r="CA26">
        <v>-22516910</v>
      </c>
      <c r="CB26">
        <v>0</v>
      </c>
      <c r="CC26">
        <v>0</v>
      </c>
      <c r="CD26">
        <v>0</v>
      </c>
      <c r="CE26">
        <v>0</v>
      </c>
      <c r="CF26">
        <v>0</v>
      </c>
      <c r="CG26">
        <v>0</v>
      </c>
      <c r="CH26">
        <v>0</v>
      </c>
      <c r="CI26">
        <v>0</v>
      </c>
      <c r="CJ26">
        <v>0</v>
      </c>
      <c r="CK26">
        <v>0</v>
      </c>
      <c r="CL26">
        <v>0</v>
      </c>
      <c r="CM26">
        <v>0</v>
      </c>
      <c r="CR26" t="s">
        <v>2319</v>
      </c>
      <c r="CS26" s="1369" t="str">
        <f>INDEX([8]Sheet1!$H:$H,MATCH(CR:CR,[8]Sheet1!$AU:$AU,0))</f>
        <v>Mayor and Council</v>
      </c>
    </row>
    <row r="27" spans="1:97" x14ac:dyDescent="0.2">
      <c r="A27" t="s">
        <v>2424</v>
      </c>
      <c r="B27">
        <v>75</v>
      </c>
      <c r="C27" t="s">
        <v>2424</v>
      </c>
      <c r="D27">
        <v>41481</v>
      </c>
      <c r="E27" t="s">
        <v>2425</v>
      </c>
      <c r="F27">
        <v>2900</v>
      </c>
      <c r="G27" t="s">
        <v>569</v>
      </c>
      <c r="H27" t="s">
        <v>2366</v>
      </c>
      <c r="I27" t="s">
        <v>2366</v>
      </c>
      <c r="J27">
        <v>2904</v>
      </c>
      <c r="K27" t="s">
        <v>1432</v>
      </c>
      <c r="L27">
        <v>2200</v>
      </c>
      <c r="M27" t="s">
        <v>619</v>
      </c>
      <c r="N27">
        <v>2205</v>
      </c>
      <c r="O27" t="s">
        <v>1517</v>
      </c>
      <c r="P27" t="s">
        <v>2366</v>
      </c>
      <c r="Q27" t="s">
        <v>2364</v>
      </c>
      <c r="R27" t="s">
        <v>2364</v>
      </c>
      <c r="S27" t="s">
        <v>1881</v>
      </c>
      <c r="T27" t="s">
        <v>1812</v>
      </c>
      <c r="U27" t="s">
        <v>2365</v>
      </c>
      <c r="V27" t="s">
        <v>2365</v>
      </c>
      <c r="W27" t="s">
        <v>2365</v>
      </c>
      <c r="X27" t="s">
        <v>2365</v>
      </c>
      <c r="Y27" t="s">
        <v>2365</v>
      </c>
      <c r="Z27" t="s">
        <v>2365</v>
      </c>
      <c r="AA27" t="s">
        <v>2365</v>
      </c>
      <c r="AB27" t="s">
        <v>2365</v>
      </c>
      <c r="AC27" s="813" t="s">
        <v>2365</v>
      </c>
      <c r="AD27" s="813" t="s">
        <v>2365</v>
      </c>
      <c r="AE27" s="813" t="s">
        <v>2365</v>
      </c>
      <c r="AF27" t="s">
        <v>2365</v>
      </c>
      <c r="AG27" t="s">
        <v>2365</v>
      </c>
      <c r="AH27" t="s">
        <v>2365</v>
      </c>
      <c r="AI27" t="s">
        <v>2365</v>
      </c>
      <c r="AJ27" t="s">
        <v>2365</v>
      </c>
      <c r="AK27" t="s">
        <v>2365</v>
      </c>
      <c r="AL27" t="s">
        <v>2365</v>
      </c>
      <c r="AM27" t="s">
        <v>2365</v>
      </c>
      <c r="AN27" t="s">
        <v>2365</v>
      </c>
      <c r="AR27" t="s">
        <v>2365</v>
      </c>
      <c r="AS27" t="s">
        <v>2365</v>
      </c>
      <c r="AT27" t="s">
        <v>2365</v>
      </c>
      <c r="AU27" t="s">
        <v>2365</v>
      </c>
      <c r="AV27" t="s">
        <v>2365</v>
      </c>
      <c r="AW27" t="s">
        <v>2365</v>
      </c>
      <c r="AX27" t="s">
        <v>2365</v>
      </c>
      <c r="AY27" t="s">
        <v>2365</v>
      </c>
      <c r="AZ27" t="s">
        <v>2365</v>
      </c>
      <c r="BA27" t="s">
        <v>2365</v>
      </c>
      <c r="BB27" t="s">
        <v>2365</v>
      </c>
      <c r="BC27" t="s">
        <v>2365</v>
      </c>
      <c r="BD27" t="s">
        <v>2366</v>
      </c>
      <c r="BE27" t="s">
        <v>2365</v>
      </c>
      <c r="BF27" t="s">
        <v>2365</v>
      </c>
      <c r="BG27" t="s">
        <v>2365</v>
      </c>
      <c r="BH27" t="s">
        <v>2365</v>
      </c>
      <c r="BI27" t="s">
        <v>2366</v>
      </c>
      <c r="BJ27" t="s">
        <v>2365</v>
      </c>
      <c r="BK27" t="s">
        <v>2365</v>
      </c>
      <c r="BL27" t="s">
        <v>2365</v>
      </c>
      <c r="BM27" t="s">
        <v>2365</v>
      </c>
      <c r="BO27">
        <v>9</v>
      </c>
      <c r="BP27">
        <v>91</v>
      </c>
      <c r="BQ27" t="s">
        <v>265</v>
      </c>
      <c r="BR27" t="s">
        <v>1517</v>
      </c>
      <c r="BU27">
        <v>0</v>
      </c>
      <c r="BV27">
        <v>0</v>
      </c>
      <c r="BW27">
        <v>0</v>
      </c>
      <c r="BX27">
        <v>0</v>
      </c>
      <c r="BY27">
        <v>0</v>
      </c>
      <c r="BZ27">
        <v>0</v>
      </c>
      <c r="CA27">
        <v>0</v>
      </c>
      <c r="CB27">
        <v>0</v>
      </c>
      <c r="CC27">
        <v>0</v>
      </c>
      <c r="CD27">
        <v>0</v>
      </c>
      <c r="CE27">
        <v>0</v>
      </c>
      <c r="CF27">
        <v>0</v>
      </c>
      <c r="CG27">
        <v>0</v>
      </c>
      <c r="CH27">
        <v>0</v>
      </c>
      <c r="CI27">
        <v>0</v>
      </c>
      <c r="CJ27">
        <v>0</v>
      </c>
      <c r="CK27">
        <v>0</v>
      </c>
      <c r="CL27">
        <v>0</v>
      </c>
      <c r="CM27">
        <v>0</v>
      </c>
      <c r="CR27" t="s">
        <v>2319</v>
      </c>
      <c r="CS27" s="1369" t="str">
        <f>INDEX([8]Sheet1!$H:$H,MATCH(CR:CR,[8]Sheet1!$AU:$AU,0))</f>
        <v>Mayor and Council</v>
      </c>
    </row>
    <row r="28" spans="1:97" x14ac:dyDescent="0.2">
      <c r="A28" t="s">
        <v>2426</v>
      </c>
      <c r="B28">
        <v>76</v>
      </c>
      <c r="C28" t="s">
        <v>2426</v>
      </c>
      <c r="D28">
        <v>41482</v>
      </c>
      <c r="E28" t="s">
        <v>2427</v>
      </c>
      <c r="F28">
        <v>2700</v>
      </c>
      <c r="G28" t="s">
        <v>656</v>
      </c>
      <c r="H28" t="s">
        <v>2428</v>
      </c>
      <c r="I28" t="s">
        <v>1800</v>
      </c>
      <c r="J28">
        <v>2701</v>
      </c>
      <c r="K28" t="s">
        <v>1800</v>
      </c>
      <c r="L28">
        <v>2200</v>
      </c>
      <c r="M28" t="s">
        <v>619</v>
      </c>
      <c r="N28">
        <v>2205</v>
      </c>
      <c r="O28" t="s">
        <v>1517</v>
      </c>
      <c r="P28" t="s">
        <v>2366</v>
      </c>
      <c r="Q28" t="s">
        <v>2364</v>
      </c>
      <c r="R28" t="s">
        <v>2364</v>
      </c>
      <c r="S28" t="s">
        <v>1881</v>
      </c>
      <c r="T28" t="s">
        <v>1812</v>
      </c>
      <c r="U28" t="s">
        <v>2365</v>
      </c>
      <c r="V28" t="s">
        <v>2365</v>
      </c>
      <c r="W28" t="s">
        <v>2365</v>
      </c>
      <c r="X28" t="s">
        <v>2365</v>
      </c>
      <c r="Y28" t="s">
        <v>2365</v>
      </c>
      <c r="Z28" t="s">
        <v>2365</v>
      </c>
      <c r="AA28" t="s">
        <v>2365</v>
      </c>
      <c r="AB28" t="s">
        <v>2365</v>
      </c>
      <c r="AC28" s="813" t="s">
        <v>2365</v>
      </c>
      <c r="AD28" s="813" t="s">
        <v>2365</v>
      </c>
      <c r="AE28" s="813" t="s">
        <v>2365</v>
      </c>
      <c r="AF28" t="s">
        <v>2365</v>
      </c>
      <c r="AG28" t="s">
        <v>2365</v>
      </c>
      <c r="AH28" t="s">
        <v>2365</v>
      </c>
      <c r="AI28" t="s">
        <v>2365</v>
      </c>
      <c r="AJ28" t="s">
        <v>2365</v>
      </c>
      <c r="AK28" t="s">
        <v>2365</v>
      </c>
      <c r="AL28" t="s">
        <v>2365</v>
      </c>
      <c r="AM28" t="s">
        <v>2365</v>
      </c>
      <c r="AN28" t="s">
        <v>2365</v>
      </c>
      <c r="AR28" t="s">
        <v>2365</v>
      </c>
      <c r="AS28" t="s">
        <v>2365</v>
      </c>
      <c r="AT28" t="s">
        <v>2365</v>
      </c>
      <c r="AU28" t="s">
        <v>2365</v>
      </c>
      <c r="AV28" t="s">
        <v>2365</v>
      </c>
      <c r="AW28" t="s">
        <v>2365</v>
      </c>
      <c r="AX28" t="s">
        <v>2365</v>
      </c>
      <c r="AY28" t="s">
        <v>2365</v>
      </c>
      <c r="AZ28" t="s">
        <v>2365</v>
      </c>
      <c r="BA28" t="s">
        <v>2365</v>
      </c>
      <c r="BB28" t="s">
        <v>2365</v>
      </c>
      <c r="BC28" t="s">
        <v>2365</v>
      </c>
      <c r="BD28" t="s">
        <v>2366</v>
      </c>
      <c r="BE28" t="s">
        <v>2365</v>
      </c>
      <c r="BF28" t="s">
        <v>2365</v>
      </c>
      <c r="BG28" t="s">
        <v>2365</v>
      </c>
      <c r="BH28" t="s">
        <v>2365</v>
      </c>
      <c r="BI28" t="s">
        <v>2366</v>
      </c>
      <c r="BJ28" t="s">
        <v>2365</v>
      </c>
      <c r="BK28" t="s">
        <v>2365</v>
      </c>
      <c r="BL28" t="s">
        <v>2365</v>
      </c>
      <c r="BM28" t="s">
        <v>2365</v>
      </c>
      <c r="BO28">
        <v>9</v>
      </c>
      <c r="BP28">
        <v>91</v>
      </c>
      <c r="BQ28" t="s">
        <v>265</v>
      </c>
      <c r="BR28" t="s">
        <v>1517</v>
      </c>
      <c r="BU28">
        <v>10000</v>
      </c>
      <c r="BV28">
        <v>0</v>
      </c>
      <c r="BW28">
        <v>10000</v>
      </c>
      <c r="BX28">
        <v>0</v>
      </c>
      <c r="BY28">
        <v>10000</v>
      </c>
      <c r="BZ28">
        <v>10600</v>
      </c>
      <c r="CA28">
        <v>11236</v>
      </c>
      <c r="CB28">
        <v>0</v>
      </c>
      <c r="CC28">
        <v>0</v>
      </c>
      <c r="CD28">
        <v>0</v>
      </c>
      <c r="CE28">
        <v>0</v>
      </c>
      <c r="CF28">
        <v>0</v>
      </c>
      <c r="CG28">
        <v>0</v>
      </c>
      <c r="CH28">
        <v>0</v>
      </c>
      <c r="CI28">
        <v>0</v>
      </c>
      <c r="CJ28">
        <v>0</v>
      </c>
      <c r="CK28">
        <v>0</v>
      </c>
      <c r="CL28">
        <v>0</v>
      </c>
      <c r="CM28">
        <v>0</v>
      </c>
      <c r="CR28" t="s">
        <v>2319</v>
      </c>
      <c r="CS28" s="1369" t="str">
        <f>INDEX([8]Sheet1!$H:$H,MATCH(CR:CR,[8]Sheet1!$AU:$AU,0))</f>
        <v>Mayor and Council</v>
      </c>
    </row>
    <row r="29" spans="1:97" x14ac:dyDescent="0.2">
      <c r="A29" t="s">
        <v>2429</v>
      </c>
      <c r="B29">
        <v>77</v>
      </c>
      <c r="C29" t="s">
        <v>2429</v>
      </c>
      <c r="D29">
        <v>41483</v>
      </c>
      <c r="E29" t="s">
        <v>2430</v>
      </c>
      <c r="F29">
        <v>2700</v>
      </c>
      <c r="G29" t="s">
        <v>656</v>
      </c>
      <c r="H29" t="s">
        <v>2428</v>
      </c>
      <c r="I29" t="s">
        <v>1800</v>
      </c>
      <c r="J29">
        <v>2701</v>
      </c>
      <c r="K29" t="s">
        <v>1800</v>
      </c>
      <c r="L29">
        <v>2200</v>
      </c>
      <c r="M29" t="s">
        <v>619</v>
      </c>
      <c r="N29">
        <v>2205</v>
      </c>
      <c r="O29" t="s">
        <v>1517</v>
      </c>
      <c r="P29" t="s">
        <v>2366</v>
      </c>
      <c r="Q29" t="s">
        <v>2364</v>
      </c>
      <c r="R29" t="s">
        <v>2364</v>
      </c>
      <c r="S29" t="s">
        <v>1881</v>
      </c>
      <c r="T29" t="s">
        <v>1812</v>
      </c>
      <c r="U29" t="s">
        <v>2365</v>
      </c>
      <c r="V29" t="s">
        <v>2365</v>
      </c>
      <c r="W29" t="s">
        <v>2365</v>
      </c>
      <c r="X29" t="s">
        <v>2365</v>
      </c>
      <c r="Y29" t="s">
        <v>2365</v>
      </c>
      <c r="Z29" t="s">
        <v>2365</v>
      </c>
      <c r="AA29" t="s">
        <v>2365</v>
      </c>
      <c r="AB29" t="s">
        <v>2365</v>
      </c>
      <c r="AC29" s="813" t="s">
        <v>2365</v>
      </c>
      <c r="AD29" s="813" t="s">
        <v>2365</v>
      </c>
      <c r="AE29" s="813" t="s">
        <v>2365</v>
      </c>
      <c r="AF29" t="s">
        <v>2365</v>
      </c>
      <c r="AG29" t="s">
        <v>2365</v>
      </c>
      <c r="AH29" t="s">
        <v>2365</v>
      </c>
      <c r="AI29" t="s">
        <v>2365</v>
      </c>
      <c r="AJ29" t="s">
        <v>2365</v>
      </c>
      <c r="AK29" t="s">
        <v>2365</v>
      </c>
      <c r="AL29" t="s">
        <v>2365</v>
      </c>
      <c r="AM29" t="s">
        <v>2365</v>
      </c>
      <c r="AN29" t="s">
        <v>2365</v>
      </c>
      <c r="AR29" t="s">
        <v>2365</v>
      </c>
      <c r="AS29" t="s">
        <v>2365</v>
      </c>
      <c r="AT29" t="s">
        <v>2365</v>
      </c>
      <c r="AU29" t="s">
        <v>2365</v>
      </c>
      <c r="AV29" t="s">
        <v>2365</v>
      </c>
      <c r="AW29" t="s">
        <v>2365</v>
      </c>
      <c r="AX29" t="s">
        <v>2365</v>
      </c>
      <c r="AY29" t="s">
        <v>2365</v>
      </c>
      <c r="AZ29" t="s">
        <v>2365</v>
      </c>
      <c r="BA29" t="s">
        <v>2365</v>
      </c>
      <c r="BB29" t="s">
        <v>2365</v>
      </c>
      <c r="BC29" t="s">
        <v>2365</v>
      </c>
      <c r="BD29" t="s">
        <v>2366</v>
      </c>
      <c r="BE29" t="s">
        <v>2365</v>
      </c>
      <c r="BF29" t="s">
        <v>2365</v>
      </c>
      <c r="BG29" t="s">
        <v>2365</v>
      </c>
      <c r="BH29" t="s">
        <v>2365</v>
      </c>
      <c r="BI29" t="s">
        <v>2366</v>
      </c>
      <c r="BJ29" t="s">
        <v>2365</v>
      </c>
      <c r="BK29" t="s">
        <v>2365</v>
      </c>
      <c r="BL29" t="s">
        <v>2365</v>
      </c>
      <c r="BM29" t="s">
        <v>2365</v>
      </c>
      <c r="BO29">
        <v>9</v>
      </c>
      <c r="BP29">
        <v>91</v>
      </c>
      <c r="BQ29" t="s">
        <v>265</v>
      </c>
      <c r="BR29" t="s">
        <v>1517</v>
      </c>
      <c r="BU29">
        <v>80000</v>
      </c>
      <c r="BV29">
        <v>0</v>
      </c>
      <c r="BW29">
        <v>80000</v>
      </c>
      <c r="BX29">
        <v>0</v>
      </c>
      <c r="BY29">
        <v>80000</v>
      </c>
      <c r="BZ29">
        <v>84800</v>
      </c>
      <c r="CA29">
        <v>89888</v>
      </c>
      <c r="CB29">
        <v>0</v>
      </c>
      <c r="CC29">
        <v>0</v>
      </c>
      <c r="CD29">
        <v>0</v>
      </c>
      <c r="CE29">
        <v>0</v>
      </c>
      <c r="CF29">
        <v>0</v>
      </c>
      <c r="CG29">
        <v>0</v>
      </c>
      <c r="CH29">
        <v>0</v>
      </c>
      <c r="CI29">
        <v>0</v>
      </c>
      <c r="CJ29">
        <v>0</v>
      </c>
      <c r="CK29">
        <v>0</v>
      </c>
      <c r="CL29">
        <v>0</v>
      </c>
      <c r="CM29">
        <v>0</v>
      </c>
      <c r="CR29" t="s">
        <v>2319</v>
      </c>
      <c r="CS29" s="1369" t="str">
        <f>INDEX([8]Sheet1!$H:$H,MATCH(CR:CR,[8]Sheet1!$AU:$AU,0))</f>
        <v>Mayor and Council</v>
      </c>
    </row>
    <row r="30" spans="1:97" x14ac:dyDescent="0.2">
      <c r="A30" t="s">
        <v>2431</v>
      </c>
      <c r="B30">
        <v>78</v>
      </c>
      <c r="C30" t="s">
        <v>2431</v>
      </c>
      <c r="D30">
        <v>41480</v>
      </c>
      <c r="E30" t="s">
        <v>2432</v>
      </c>
      <c r="F30">
        <v>2600</v>
      </c>
      <c r="G30" t="s">
        <v>655</v>
      </c>
      <c r="H30">
        <v>2600</v>
      </c>
      <c r="I30" t="s">
        <v>655</v>
      </c>
      <c r="J30" t="s">
        <v>2365</v>
      </c>
      <c r="K30" t="s">
        <v>2365</v>
      </c>
      <c r="L30">
        <v>2100</v>
      </c>
      <c r="M30" t="s">
        <v>618</v>
      </c>
      <c r="N30">
        <v>2109</v>
      </c>
      <c r="O30" t="s">
        <v>1502</v>
      </c>
      <c r="P30" t="s">
        <v>2366</v>
      </c>
      <c r="Q30" t="s">
        <v>2364</v>
      </c>
      <c r="R30" t="s">
        <v>2364</v>
      </c>
      <c r="S30" t="s">
        <v>1881</v>
      </c>
      <c r="T30" t="s">
        <v>1812</v>
      </c>
      <c r="U30" t="s">
        <v>2365</v>
      </c>
      <c r="V30" t="s">
        <v>2365</v>
      </c>
      <c r="W30" t="s">
        <v>2365</v>
      </c>
      <c r="X30" t="s">
        <v>2365</v>
      </c>
      <c r="Y30" t="s">
        <v>2365</v>
      </c>
      <c r="Z30" t="s">
        <v>2365</v>
      </c>
      <c r="AA30" t="s">
        <v>2365</v>
      </c>
      <c r="AB30" t="s">
        <v>2365</v>
      </c>
      <c r="AC30" s="813" t="s">
        <v>2365</v>
      </c>
      <c r="AD30" s="813" t="s">
        <v>2365</v>
      </c>
      <c r="AE30" s="813" t="s">
        <v>2365</v>
      </c>
      <c r="AF30" t="s">
        <v>2365</v>
      </c>
      <c r="AG30" t="s">
        <v>2365</v>
      </c>
      <c r="AH30" t="s">
        <v>2365</v>
      </c>
      <c r="AI30" t="s">
        <v>2365</v>
      </c>
      <c r="AJ30" t="s">
        <v>2365</v>
      </c>
      <c r="AK30" t="s">
        <v>2365</v>
      </c>
      <c r="AL30" t="s">
        <v>2365</v>
      </c>
      <c r="AM30" t="s">
        <v>2365</v>
      </c>
      <c r="AN30" t="s">
        <v>2365</v>
      </c>
      <c r="AR30" t="s">
        <v>2365</v>
      </c>
      <c r="AS30" t="s">
        <v>2365</v>
      </c>
      <c r="AT30" t="s">
        <v>2365</v>
      </c>
      <c r="AU30" t="s">
        <v>2365</v>
      </c>
      <c r="AV30" t="s">
        <v>2365</v>
      </c>
      <c r="AW30" t="s">
        <v>2365</v>
      </c>
      <c r="AX30" t="s">
        <v>2365</v>
      </c>
      <c r="AY30" t="s">
        <v>2365</v>
      </c>
      <c r="AZ30" t="s">
        <v>2365</v>
      </c>
      <c r="BA30" t="s">
        <v>2365</v>
      </c>
      <c r="BB30" t="s">
        <v>2365</v>
      </c>
      <c r="BC30" t="s">
        <v>2365</v>
      </c>
      <c r="BD30" t="s">
        <v>2366</v>
      </c>
      <c r="BE30" t="s">
        <v>2365</v>
      </c>
      <c r="BF30" t="s">
        <v>2365</v>
      </c>
      <c r="BG30" t="s">
        <v>2365</v>
      </c>
      <c r="BH30" t="s">
        <v>2365</v>
      </c>
      <c r="BI30" t="s">
        <v>2366</v>
      </c>
      <c r="BJ30" t="s">
        <v>2365</v>
      </c>
      <c r="BK30" t="s">
        <v>2365</v>
      </c>
      <c r="BL30" t="s">
        <v>2365</v>
      </c>
      <c r="BM30" t="s">
        <v>2365</v>
      </c>
      <c r="BO30">
        <v>4</v>
      </c>
      <c r="BP30">
        <v>41</v>
      </c>
      <c r="BQ30" t="s">
        <v>2433</v>
      </c>
      <c r="BR30" t="s">
        <v>1502</v>
      </c>
      <c r="BU30">
        <v>100000</v>
      </c>
      <c r="BV30">
        <v>0</v>
      </c>
      <c r="BW30">
        <v>100000</v>
      </c>
      <c r="BX30">
        <v>500000</v>
      </c>
      <c r="BY30">
        <v>600000</v>
      </c>
      <c r="BZ30">
        <v>106000</v>
      </c>
      <c r="CA30">
        <v>112360</v>
      </c>
      <c r="CB30">
        <v>9707.5</v>
      </c>
      <c r="CC30">
        <v>7958.3099999999995</v>
      </c>
      <c r="CD30">
        <v>16574.55</v>
      </c>
      <c r="CE30">
        <v>0</v>
      </c>
      <c r="CF30">
        <v>0</v>
      </c>
      <c r="CG30">
        <v>29000</v>
      </c>
      <c r="CH30">
        <v>22852</v>
      </c>
      <c r="CI30">
        <v>993.57</v>
      </c>
      <c r="CJ30">
        <v>0</v>
      </c>
      <c r="CK30">
        <v>0</v>
      </c>
      <c r="CL30">
        <v>0</v>
      </c>
      <c r="CM30">
        <v>0</v>
      </c>
      <c r="CR30" t="s">
        <v>2319</v>
      </c>
      <c r="CS30" s="1369" t="str">
        <f>INDEX([8]Sheet1!$H:$H,MATCH(CR:CR,[8]Sheet1!$AU:$AU,0))</f>
        <v>Mayor and Council</v>
      </c>
    </row>
    <row r="31" spans="1:97" x14ac:dyDescent="0.2">
      <c r="A31" t="s">
        <v>2434</v>
      </c>
      <c r="B31">
        <v>79</v>
      </c>
      <c r="C31" t="s">
        <v>2434</v>
      </c>
      <c r="D31">
        <v>41424</v>
      </c>
      <c r="E31" t="s">
        <v>2435</v>
      </c>
      <c r="F31">
        <v>3300</v>
      </c>
      <c r="G31" t="s">
        <v>1474</v>
      </c>
      <c r="H31">
        <v>3300</v>
      </c>
      <c r="I31" t="s">
        <v>1474</v>
      </c>
      <c r="J31" t="s">
        <v>2365</v>
      </c>
      <c r="K31" t="s">
        <v>2365</v>
      </c>
      <c r="L31">
        <v>1200</v>
      </c>
      <c r="M31" t="s">
        <v>1480</v>
      </c>
      <c r="N31">
        <v>1204</v>
      </c>
      <c r="O31" t="s">
        <v>1487</v>
      </c>
      <c r="P31" t="s">
        <v>2366</v>
      </c>
      <c r="Q31">
        <v>2010</v>
      </c>
      <c r="R31" t="s">
        <v>668</v>
      </c>
      <c r="S31" t="s">
        <v>553</v>
      </c>
      <c r="T31" t="s">
        <v>1811</v>
      </c>
      <c r="U31" t="s">
        <v>2365</v>
      </c>
      <c r="V31" t="s">
        <v>2365</v>
      </c>
      <c r="W31" t="s">
        <v>2365</v>
      </c>
      <c r="X31" t="s">
        <v>2365</v>
      </c>
      <c r="Y31" t="s">
        <v>2365</v>
      </c>
      <c r="Z31" t="s">
        <v>2365</v>
      </c>
      <c r="AA31" t="s">
        <v>2365</v>
      </c>
      <c r="AB31" t="s">
        <v>2365</v>
      </c>
      <c r="AC31" s="813" t="s">
        <v>2365</v>
      </c>
      <c r="AD31" s="813" t="s">
        <v>2365</v>
      </c>
      <c r="AE31" s="813" t="s">
        <v>2365</v>
      </c>
      <c r="AF31" t="s">
        <v>2365</v>
      </c>
      <c r="AG31" t="s">
        <v>2365</v>
      </c>
      <c r="AH31" t="s">
        <v>2365</v>
      </c>
      <c r="AI31" t="s">
        <v>2365</v>
      </c>
      <c r="AJ31" t="s">
        <v>2365</v>
      </c>
      <c r="AK31" t="s">
        <v>2365</v>
      </c>
      <c r="AL31" t="s">
        <v>2365</v>
      </c>
      <c r="AM31" t="s">
        <v>2365</v>
      </c>
      <c r="AN31" t="s">
        <v>2365</v>
      </c>
      <c r="AR31" t="s">
        <v>2365</v>
      </c>
      <c r="AS31" t="s">
        <v>2365</v>
      </c>
      <c r="AT31" t="s">
        <v>2365</v>
      </c>
      <c r="AU31" t="s">
        <v>2365</v>
      </c>
      <c r="AV31" t="s">
        <v>2365</v>
      </c>
      <c r="AW31" t="s">
        <v>2365</v>
      </c>
      <c r="AX31" t="s">
        <v>2365</v>
      </c>
      <c r="AY31" t="s">
        <v>2365</v>
      </c>
      <c r="AZ31" t="s">
        <v>2365</v>
      </c>
      <c r="BA31" t="s">
        <v>2365</v>
      </c>
      <c r="BB31" t="s">
        <v>2365</v>
      </c>
      <c r="BC31" t="s">
        <v>2365</v>
      </c>
      <c r="BD31" t="s">
        <v>2366</v>
      </c>
      <c r="BE31" t="s">
        <v>2365</v>
      </c>
      <c r="BF31" t="s">
        <v>2365</v>
      </c>
      <c r="BG31" t="s">
        <v>2365</v>
      </c>
      <c r="BH31" t="s">
        <v>2365</v>
      </c>
      <c r="BI31" t="s">
        <v>2366</v>
      </c>
      <c r="BJ31" t="s">
        <v>2365</v>
      </c>
      <c r="BK31" t="s">
        <v>2365</v>
      </c>
      <c r="BL31" t="s">
        <v>2365</v>
      </c>
      <c r="BM31" t="s">
        <v>2365</v>
      </c>
      <c r="BO31">
        <v>1</v>
      </c>
      <c r="BP31">
        <v>11</v>
      </c>
      <c r="BQ31" t="s">
        <v>2369</v>
      </c>
      <c r="BR31" t="s">
        <v>1487</v>
      </c>
      <c r="BU31">
        <v>-15996000</v>
      </c>
      <c r="BV31">
        <v>0</v>
      </c>
      <c r="BW31">
        <v>-15996000</v>
      </c>
      <c r="BX31">
        <v>-196000</v>
      </c>
      <c r="BY31">
        <v>-15800000</v>
      </c>
      <c r="BZ31">
        <v>-17027000</v>
      </c>
      <c r="CA31">
        <v>-17781000</v>
      </c>
      <c r="CB31">
        <v>-6445523.6600000001</v>
      </c>
      <c r="CC31">
        <v>-417061.12</v>
      </c>
      <c r="CD31">
        <v>-1490626.17</v>
      </c>
      <c r="CE31">
        <v>-1865917.12</v>
      </c>
      <c r="CF31">
        <v>-554650.44999999995</v>
      </c>
      <c r="CG31">
        <v>-333102.94</v>
      </c>
      <c r="CH31">
        <v>0</v>
      </c>
      <c r="CI31">
        <v>0</v>
      </c>
      <c r="CJ31">
        <v>0</v>
      </c>
      <c r="CK31">
        <v>0</v>
      </c>
      <c r="CL31">
        <v>0</v>
      </c>
      <c r="CM31">
        <v>0</v>
      </c>
      <c r="CR31" t="s">
        <v>2319</v>
      </c>
      <c r="CS31" s="1369" t="str">
        <f>INDEX([8]Sheet1!$H:$H,MATCH(CR:CR,[8]Sheet1!$AU:$AU,0))</f>
        <v>Mayor and Council</v>
      </c>
    </row>
    <row r="32" spans="1:97" x14ac:dyDescent="0.2">
      <c r="A32" t="s">
        <v>2436</v>
      </c>
      <c r="B32">
        <v>80</v>
      </c>
      <c r="C32" t="s">
        <v>2436</v>
      </c>
      <c r="D32">
        <v>41425</v>
      </c>
      <c r="E32" t="s">
        <v>2437</v>
      </c>
      <c r="F32" t="s">
        <v>2364</v>
      </c>
      <c r="G32" t="s">
        <v>2364</v>
      </c>
      <c r="H32" t="s">
        <v>2365</v>
      </c>
      <c r="I32" t="s">
        <v>2365</v>
      </c>
      <c r="J32" t="s">
        <v>2365</v>
      </c>
      <c r="K32" t="s">
        <v>2365</v>
      </c>
      <c r="L32">
        <v>2100</v>
      </c>
      <c r="M32" t="s">
        <v>618</v>
      </c>
      <c r="N32">
        <v>2106</v>
      </c>
      <c r="O32" t="s">
        <v>1499</v>
      </c>
      <c r="P32" t="s">
        <v>1846</v>
      </c>
      <c r="Q32">
        <v>2010</v>
      </c>
      <c r="R32" t="s">
        <v>668</v>
      </c>
      <c r="S32" t="s">
        <v>552</v>
      </c>
      <c r="T32" t="s">
        <v>2175</v>
      </c>
      <c r="U32">
        <v>240</v>
      </c>
      <c r="V32" t="s">
        <v>2389</v>
      </c>
      <c r="W32">
        <v>240</v>
      </c>
      <c r="X32" t="s">
        <v>701</v>
      </c>
      <c r="Y32" t="s">
        <v>2365</v>
      </c>
      <c r="Z32" t="s">
        <v>2365</v>
      </c>
      <c r="AA32" t="s">
        <v>2365</v>
      </c>
      <c r="AB32" t="s">
        <v>2365</v>
      </c>
      <c r="AC32" s="813" t="s">
        <v>2365</v>
      </c>
      <c r="AD32" s="813" t="s">
        <v>2365</v>
      </c>
      <c r="AE32" s="813" t="s">
        <v>2365</v>
      </c>
      <c r="AF32" t="s">
        <v>2365</v>
      </c>
      <c r="AG32" t="s">
        <v>2365</v>
      </c>
      <c r="AH32" t="s">
        <v>2365</v>
      </c>
      <c r="AI32" t="s">
        <v>2365</v>
      </c>
      <c r="AJ32" t="s">
        <v>2365</v>
      </c>
      <c r="AK32">
        <v>241</v>
      </c>
      <c r="AL32" t="s">
        <v>1203</v>
      </c>
      <c r="AM32">
        <v>241</v>
      </c>
      <c r="AN32" t="s">
        <v>1203</v>
      </c>
      <c r="AR32">
        <v>810</v>
      </c>
      <c r="AS32" t="s">
        <v>1624</v>
      </c>
      <c r="AT32">
        <v>810</v>
      </c>
      <c r="AU32" t="s">
        <v>1624</v>
      </c>
      <c r="AV32" t="s">
        <v>2365</v>
      </c>
      <c r="AW32" t="s">
        <v>2365</v>
      </c>
      <c r="AX32" t="s">
        <v>2365</v>
      </c>
      <c r="AY32" t="s">
        <v>2365</v>
      </c>
      <c r="AZ32" t="s">
        <v>2365</v>
      </c>
      <c r="BA32" t="s">
        <v>2365</v>
      </c>
      <c r="BB32" t="s">
        <v>2365</v>
      </c>
      <c r="BC32" t="s">
        <v>2365</v>
      </c>
      <c r="BD32" t="s">
        <v>2366</v>
      </c>
      <c r="BE32" t="s">
        <v>2365</v>
      </c>
      <c r="BF32" t="s">
        <v>2365</v>
      </c>
      <c r="BG32" t="s">
        <v>2365</v>
      </c>
      <c r="BH32" t="s">
        <v>2365</v>
      </c>
      <c r="BI32" t="s">
        <v>2366</v>
      </c>
      <c r="BJ32" t="s">
        <v>2365</v>
      </c>
      <c r="BK32" t="s">
        <v>2365</v>
      </c>
      <c r="BL32" t="s">
        <v>2365</v>
      </c>
      <c r="BM32" t="s">
        <v>2365</v>
      </c>
      <c r="BO32">
        <v>5</v>
      </c>
      <c r="BP32">
        <v>53</v>
      </c>
      <c r="BQ32" t="s">
        <v>2438</v>
      </c>
      <c r="BR32" t="s">
        <v>1499</v>
      </c>
      <c r="BU32">
        <v>0</v>
      </c>
      <c r="BV32">
        <v>0</v>
      </c>
      <c r="BW32">
        <v>0</v>
      </c>
      <c r="BX32">
        <v>0</v>
      </c>
      <c r="BY32">
        <v>0</v>
      </c>
      <c r="BZ32">
        <v>0</v>
      </c>
      <c r="CA32">
        <v>0</v>
      </c>
      <c r="CB32">
        <v>0</v>
      </c>
      <c r="CC32">
        <v>0</v>
      </c>
      <c r="CD32">
        <v>0</v>
      </c>
      <c r="CE32">
        <v>0</v>
      </c>
      <c r="CF32">
        <v>0</v>
      </c>
      <c r="CG32">
        <v>0</v>
      </c>
      <c r="CH32">
        <v>0</v>
      </c>
      <c r="CI32">
        <v>0</v>
      </c>
      <c r="CJ32">
        <v>0</v>
      </c>
      <c r="CK32">
        <v>0</v>
      </c>
      <c r="CL32">
        <v>0</v>
      </c>
      <c r="CM32">
        <v>0</v>
      </c>
      <c r="CR32" t="s">
        <v>2319</v>
      </c>
      <c r="CS32" s="1369" t="str">
        <f>INDEX([8]Sheet1!$H:$H,MATCH(CR:CR,[8]Sheet1!$AU:$AU,0))</f>
        <v>Mayor and Council</v>
      </c>
    </row>
    <row r="33" spans="1:97" x14ac:dyDescent="0.2">
      <c r="A33" t="s">
        <v>2439</v>
      </c>
      <c r="B33">
        <v>81</v>
      </c>
      <c r="C33" t="s">
        <v>2439</v>
      </c>
      <c r="D33">
        <v>41426</v>
      </c>
      <c r="E33" t="s">
        <v>2437</v>
      </c>
      <c r="F33" t="s">
        <v>2364</v>
      </c>
      <c r="G33" t="s">
        <v>2364</v>
      </c>
      <c r="H33" t="s">
        <v>2365</v>
      </c>
      <c r="I33" t="s">
        <v>2365</v>
      </c>
      <c r="J33" t="s">
        <v>2365</v>
      </c>
      <c r="K33" t="s">
        <v>2365</v>
      </c>
      <c r="L33">
        <v>2100</v>
      </c>
      <c r="M33" t="s">
        <v>618</v>
      </c>
      <c r="N33">
        <v>2106</v>
      </c>
      <c r="O33" t="s">
        <v>1499</v>
      </c>
      <c r="P33" t="s">
        <v>1846</v>
      </c>
      <c r="Q33">
        <v>2010</v>
      </c>
      <c r="R33" t="s">
        <v>668</v>
      </c>
      <c r="S33" t="s">
        <v>552</v>
      </c>
      <c r="T33" t="s">
        <v>2175</v>
      </c>
      <c r="U33">
        <v>240</v>
      </c>
      <c r="V33" t="s">
        <v>2389</v>
      </c>
      <c r="W33">
        <v>240</v>
      </c>
      <c r="X33" t="s">
        <v>701</v>
      </c>
      <c r="Y33" t="s">
        <v>2365</v>
      </c>
      <c r="Z33" t="s">
        <v>2365</v>
      </c>
      <c r="AA33" t="s">
        <v>2365</v>
      </c>
      <c r="AB33" t="s">
        <v>2365</v>
      </c>
      <c r="AC33" s="813" t="s">
        <v>2365</v>
      </c>
      <c r="AD33" s="813" t="s">
        <v>2365</v>
      </c>
      <c r="AE33" s="813" t="s">
        <v>2365</v>
      </c>
      <c r="AF33" t="s">
        <v>2365</v>
      </c>
      <c r="AG33" t="s">
        <v>2365</v>
      </c>
      <c r="AH33" t="s">
        <v>2365</v>
      </c>
      <c r="AI33" t="s">
        <v>2365</v>
      </c>
      <c r="AJ33" t="s">
        <v>2365</v>
      </c>
      <c r="AK33">
        <v>241</v>
      </c>
      <c r="AL33" t="s">
        <v>1203</v>
      </c>
      <c r="AM33">
        <v>241</v>
      </c>
      <c r="AN33" t="s">
        <v>1203</v>
      </c>
      <c r="AR33">
        <v>790</v>
      </c>
      <c r="AS33" t="s">
        <v>1622</v>
      </c>
      <c r="AT33">
        <v>790</v>
      </c>
      <c r="AU33" t="s">
        <v>1622</v>
      </c>
      <c r="AV33" t="s">
        <v>2365</v>
      </c>
      <c r="AW33" t="s">
        <v>2365</v>
      </c>
      <c r="AX33" t="s">
        <v>2365</v>
      </c>
      <c r="AY33" t="s">
        <v>2365</v>
      </c>
      <c r="AZ33" t="s">
        <v>2365</v>
      </c>
      <c r="BA33" t="s">
        <v>2365</v>
      </c>
      <c r="BB33" t="s">
        <v>2365</v>
      </c>
      <c r="BC33" t="s">
        <v>2365</v>
      </c>
      <c r="BD33" t="s">
        <v>2366</v>
      </c>
      <c r="BE33" t="s">
        <v>2365</v>
      </c>
      <c r="BF33" t="s">
        <v>2365</v>
      </c>
      <c r="BG33" t="s">
        <v>2365</v>
      </c>
      <c r="BH33" t="s">
        <v>2365</v>
      </c>
      <c r="BI33" t="s">
        <v>2366</v>
      </c>
      <c r="BJ33" t="s">
        <v>2365</v>
      </c>
      <c r="BK33" t="s">
        <v>2365</v>
      </c>
      <c r="BL33" t="s">
        <v>2365</v>
      </c>
      <c r="BM33" t="s">
        <v>2365</v>
      </c>
      <c r="BO33">
        <v>5</v>
      </c>
      <c r="BP33">
        <v>53</v>
      </c>
      <c r="BQ33" t="s">
        <v>2438</v>
      </c>
      <c r="BR33" t="s">
        <v>1499</v>
      </c>
      <c r="BU33">
        <v>0</v>
      </c>
      <c r="BV33">
        <v>0</v>
      </c>
      <c r="BW33">
        <v>0</v>
      </c>
      <c r="BX33">
        <v>0</v>
      </c>
      <c r="BY33">
        <v>0</v>
      </c>
      <c r="BZ33">
        <v>0</v>
      </c>
      <c r="CA33">
        <v>0</v>
      </c>
      <c r="CB33">
        <v>0</v>
      </c>
      <c r="CC33">
        <v>0</v>
      </c>
      <c r="CD33">
        <v>0</v>
      </c>
      <c r="CE33">
        <v>0</v>
      </c>
      <c r="CF33">
        <v>0</v>
      </c>
      <c r="CG33">
        <v>0</v>
      </c>
      <c r="CH33">
        <v>0</v>
      </c>
      <c r="CI33">
        <v>0</v>
      </c>
      <c r="CJ33">
        <v>0</v>
      </c>
      <c r="CK33">
        <v>0</v>
      </c>
      <c r="CL33">
        <v>0</v>
      </c>
      <c r="CM33">
        <v>0</v>
      </c>
      <c r="CR33" t="s">
        <v>2319</v>
      </c>
      <c r="CS33" s="1369" t="str">
        <f>INDEX([8]Sheet1!$H:$H,MATCH(CR:CR,[8]Sheet1!$AU:$AU,0))</f>
        <v>Mayor and Council</v>
      </c>
    </row>
    <row r="34" spans="1:97" x14ac:dyDescent="0.2">
      <c r="A34" t="s">
        <v>2440</v>
      </c>
      <c r="B34">
        <v>82</v>
      </c>
      <c r="C34" t="s">
        <v>2440</v>
      </c>
      <c r="D34">
        <v>41331</v>
      </c>
      <c r="E34" t="s">
        <v>2441</v>
      </c>
      <c r="F34">
        <v>1600</v>
      </c>
      <c r="G34" t="s">
        <v>650</v>
      </c>
      <c r="H34">
        <v>1600</v>
      </c>
      <c r="I34" t="s">
        <v>1799</v>
      </c>
      <c r="J34" t="s">
        <v>2365</v>
      </c>
      <c r="K34" t="s">
        <v>2365</v>
      </c>
      <c r="L34">
        <v>3100</v>
      </c>
      <c r="M34" t="s">
        <v>624</v>
      </c>
      <c r="N34">
        <v>3107</v>
      </c>
      <c r="O34" t="s">
        <v>1536</v>
      </c>
      <c r="P34" t="s">
        <v>2366</v>
      </c>
      <c r="Q34" t="s">
        <v>2364</v>
      </c>
      <c r="R34" t="s">
        <v>2364</v>
      </c>
      <c r="S34" t="s">
        <v>553</v>
      </c>
      <c r="T34" t="s">
        <v>1811</v>
      </c>
      <c r="U34" t="s">
        <v>2365</v>
      </c>
      <c r="V34" t="s">
        <v>2365</v>
      </c>
      <c r="W34" t="s">
        <v>2365</v>
      </c>
      <c r="X34" t="s">
        <v>2365</v>
      </c>
      <c r="Y34" t="s">
        <v>2365</v>
      </c>
      <c r="Z34" t="s">
        <v>2365</v>
      </c>
      <c r="AA34" t="s">
        <v>2365</v>
      </c>
      <c r="AB34" t="s">
        <v>2365</v>
      </c>
      <c r="AC34" s="813" t="s">
        <v>2365</v>
      </c>
      <c r="AD34" s="813" t="s">
        <v>2365</v>
      </c>
      <c r="AE34" s="813" t="s">
        <v>2365</v>
      </c>
      <c r="AF34" t="s">
        <v>2365</v>
      </c>
      <c r="AG34" t="s">
        <v>2365</v>
      </c>
      <c r="AH34" t="s">
        <v>2365</v>
      </c>
      <c r="AI34" t="s">
        <v>2365</v>
      </c>
      <c r="AJ34" t="s">
        <v>2365</v>
      </c>
      <c r="AK34" t="s">
        <v>2365</v>
      </c>
      <c r="AL34" t="s">
        <v>2365</v>
      </c>
      <c r="AM34" t="s">
        <v>2365</v>
      </c>
      <c r="AN34" t="s">
        <v>2365</v>
      </c>
      <c r="AR34" t="s">
        <v>2365</v>
      </c>
      <c r="AS34" t="s">
        <v>2365</v>
      </c>
      <c r="AT34" t="s">
        <v>2365</v>
      </c>
      <c r="AU34" t="s">
        <v>2365</v>
      </c>
      <c r="AV34" t="s">
        <v>2365</v>
      </c>
      <c r="AW34" t="s">
        <v>2365</v>
      </c>
      <c r="AX34" t="s">
        <v>2365</v>
      </c>
      <c r="AY34" t="s">
        <v>2365</v>
      </c>
      <c r="AZ34" t="s">
        <v>2365</v>
      </c>
      <c r="BA34" t="s">
        <v>2365</v>
      </c>
      <c r="BB34" t="s">
        <v>2365</v>
      </c>
      <c r="BC34" t="s">
        <v>2365</v>
      </c>
      <c r="BD34" t="s">
        <v>2366</v>
      </c>
      <c r="BE34" t="s">
        <v>2365</v>
      </c>
      <c r="BF34" t="s">
        <v>2365</v>
      </c>
      <c r="BG34" t="s">
        <v>2365</v>
      </c>
      <c r="BH34" t="s">
        <v>2365</v>
      </c>
      <c r="BI34" t="s">
        <v>2366</v>
      </c>
      <c r="BJ34" t="s">
        <v>2365</v>
      </c>
      <c r="BK34" t="s">
        <v>2365</v>
      </c>
      <c r="BL34" t="s">
        <v>2365</v>
      </c>
      <c r="BM34" t="s">
        <v>2365</v>
      </c>
      <c r="BO34">
        <v>8</v>
      </c>
      <c r="BP34">
        <v>81</v>
      </c>
      <c r="BQ34" t="s">
        <v>2442</v>
      </c>
      <c r="BR34" t="s">
        <v>1536</v>
      </c>
      <c r="BU34">
        <v>-900000</v>
      </c>
      <c r="BV34">
        <v>0</v>
      </c>
      <c r="BW34">
        <v>-900000</v>
      </c>
      <c r="BX34">
        <v>1526211</v>
      </c>
      <c r="BY34">
        <v>-2426211</v>
      </c>
      <c r="BZ34">
        <v>-945000</v>
      </c>
      <c r="CA34">
        <v>-992250</v>
      </c>
      <c r="CB34">
        <v>-39239.750000000007</v>
      </c>
      <c r="CC34">
        <v>-40690.729999999996</v>
      </c>
      <c r="CD34">
        <v>-16622.27</v>
      </c>
      <c r="CE34">
        <v>-780</v>
      </c>
      <c r="CF34">
        <v>-3210.87</v>
      </c>
      <c r="CG34">
        <v>-2254590.3200000003</v>
      </c>
      <c r="CH34">
        <v>-16297.48</v>
      </c>
      <c r="CI34">
        <v>0</v>
      </c>
      <c r="CJ34">
        <v>0</v>
      </c>
      <c r="CK34">
        <v>0</v>
      </c>
      <c r="CL34">
        <v>0</v>
      </c>
      <c r="CM34">
        <v>0</v>
      </c>
      <c r="CR34" t="s">
        <v>2319</v>
      </c>
      <c r="CS34" s="1369" t="str">
        <f>INDEX([8]Sheet1!$H:$H,MATCH(CR:CR,[8]Sheet1!$AU:$AU,0))</f>
        <v>Mayor and Council</v>
      </c>
    </row>
    <row r="35" spans="1:97" x14ac:dyDescent="0.2">
      <c r="A35" t="s">
        <v>2443</v>
      </c>
      <c r="B35">
        <v>83</v>
      </c>
      <c r="C35" t="s">
        <v>2443</v>
      </c>
      <c r="D35">
        <v>41332</v>
      </c>
      <c r="E35" t="s">
        <v>2444</v>
      </c>
      <c r="F35">
        <v>3300</v>
      </c>
      <c r="G35" t="s">
        <v>1474</v>
      </c>
      <c r="H35">
        <v>3300</v>
      </c>
      <c r="I35" t="s">
        <v>1474</v>
      </c>
      <c r="J35" t="s">
        <v>2365</v>
      </c>
      <c r="K35" t="s">
        <v>2365</v>
      </c>
      <c r="L35">
        <v>4100</v>
      </c>
      <c r="M35" t="s">
        <v>1482</v>
      </c>
      <c r="N35">
        <v>4101</v>
      </c>
      <c r="O35" t="s">
        <v>1550</v>
      </c>
      <c r="P35" t="s">
        <v>2366</v>
      </c>
      <c r="Q35">
        <v>2010</v>
      </c>
      <c r="R35" t="s">
        <v>668</v>
      </c>
      <c r="S35" t="s">
        <v>553</v>
      </c>
      <c r="T35" t="s">
        <v>1811</v>
      </c>
      <c r="U35" t="s">
        <v>2365</v>
      </c>
      <c r="V35" t="s">
        <v>2365</v>
      </c>
      <c r="W35" t="s">
        <v>2365</v>
      </c>
      <c r="X35" t="s">
        <v>2365</v>
      </c>
      <c r="Y35" t="s">
        <v>2365</v>
      </c>
      <c r="Z35" t="s">
        <v>2365</v>
      </c>
      <c r="AA35" t="s">
        <v>2365</v>
      </c>
      <c r="AB35" t="s">
        <v>2365</v>
      </c>
      <c r="AC35" s="813" t="s">
        <v>2365</v>
      </c>
      <c r="AD35" s="813" t="s">
        <v>2365</v>
      </c>
      <c r="AE35" s="813" t="s">
        <v>2365</v>
      </c>
      <c r="AF35" t="s">
        <v>2365</v>
      </c>
      <c r="AG35" t="s">
        <v>2365</v>
      </c>
      <c r="AH35" t="s">
        <v>2365</v>
      </c>
      <c r="AI35" t="s">
        <v>2365</v>
      </c>
      <c r="AJ35" t="s">
        <v>2365</v>
      </c>
      <c r="AK35" t="s">
        <v>2365</v>
      </c>
      <c r="AL35" t="s">
        <v>2365</v>
      </c>
      <c r="AM35" t="s">
        <v>2365</v>
      </c>
      <c r="AN35" t="s">
        <v>2365</v>
      </c>
      <c r="AR35" t="s">
        <v>2365</v>
      </c>
      <c r="AS35" t="s">
        <v>2365</v>
      </c>
      <c r="AT35" t="s">
        <v>2365</v>
      </c>
      <c r="AU35" t="s">
        <v>2365</v>
      </c>
      <c r="AV35" t="s">
        <v>2365</v>
      </c>
      <c r="AW35" t="s">
        <v>2365</v>
      </c>
      <c r="AX35" t="s">
        <v>2365</v>
      </c>
      <c r="AY35" t="s">
        <v>2365</v>
      </c>
      <c r="AZ35" t="s">
        <v>2365</v>
      </c>
      <c r="BA35" t="s">
        <v>2365</v>
      </c>
      <c r="BB35" t="s">
        <v>2365</v>
      </c>
      <c r="BC35" t="s">
        <v>2365</v>
      </c>
      <c r="BD35" t="s">
        <v>2366</v>
      </c>
      <c r="BE35" t="s">
        <v>2365</v>
      </c>
      <c r="BF35" t="s">
        <v>2365</v>
      </c>
      <c r="BG35" t="s">
        <v>2365</v>
      </c>
      <c r="BH35" t="s">
        <v>2365</v>
      </c>
      <c r="BI35" t="s">
        <v>2366</v>
      </c>
      <c r="BJ35" t="s">
        <v>2365</v>
      </c>
      <c r="BK35" t="s">
        <v>2365</v>
      </c>
      <c r="BL35" t="s">
        <v>2365</v>
      </c>
      <c r="BM35" t="s">
        <v>2365</v>
      </c>
      <c r="BO35">
        <v>6</v>
      </c>
      <c r="BP35">
        <v>61</v>
      </c>
      <c r="BQ35" t="s">
        <v>2445</v>
      </c>
      <c r="BR35" t="s">
        <v>628</v>
      </c>
      <c r="BU35">
        <v>0</v>
      </c>
      <c r="BV35">
        <v>0</v>
      </c>
      <c r="BW35">
        <v>0</v>
      </c>
      <c r="BX35">
        <v>0</v>
      </c>
      <c r="BY35">
        <v>0</v>
      </c>
      <c r="BZ35">
        <v>0</v>
      </c>
      <c r="CA35">
        <v>0</v>
      </c>
      <c r="CB35">
        <v>0</v>
      </c>
      <c r="CC35">
        <v>0</v>
      </c>
      <c r="CD35">
        <v>0</v>
      </c>
      <c r="CE35">
        <v>0</v>
      </c>
      <c r="CF35">
        <v>0</v>
      </c>
      <c r="CG35">
        <v>0</v>
      </c>
      <c r="CH35">
        <v>0</v>
      </c>
      <c r="CI35">
        <v>0</v>
      </c>
      <c r="CJ35">
        <v>0</v>
      </c>
      <c r="CK35">
        <v>0</v>
      </c>
      <c r="CL35">
        <v>0</v>
      </c>
      <c r="CM35">
        <v>0</v>
      </c>
      <c r="CR35" t="s">
        <v>2319</v>
      </c>
      <c r="CS35" s="1369" t="str">
        <f>INDEX([8]Sheet1!$H:$H,MATCH(CR:CR,[8]Sheet1!$AU:$AU,0))</f>
        <v>Mayor and Council</v>
      </c>
    </row>
    <row r="36" spans="1:97" x14ac:dyDescent="0.2">
      <c r="A36" t="s">
        <v>2446</v>
      </c>
      <c r="B36">
        <v>84</v>
      </c>
      <c r="C36" t="s">
        <v>2446</v>
      </c>
      <c r="D36">
        <v>41333</v>
      </c>
      <c r="E36" t="s">
        <v>2447</v>
      </c>
      <c r="F36">
        <v>1600</v>
      </c>
      <c r="G36" t="s">
        <v>650</v>
      </c>
      <c r="H36">
        <v>1600</v>
      </c>
      <c r="I36" t="s">
        <v>1799</v>
      </c>
      <c r="J36" t="s">
        <v>2365</v>
      </c>
      <c r="K36" t="s">
        <v>2365</v>
      </c>
      <c r="L36">
        <v>1200</v>
      </c>
      <c r="M36" t="s">
        <v>1480</v>
      </c>
      <c r="N36">
        <v>1204</v>
      </c>
      <c r="O36" t="s">
        <v>1487</v>
      </c>
      <c r="P36" t="s">
        <v>2366</v>
      </c>
      <c r="Q36" t="s">
        <v>2364</v>
      </c>
      <c r="R36" t="s">
        <v>2364</v>
      </c>
      <c r="S36" t="s">
        <v>553</v>
      </c>
      <c r="T36" t="s">
        <v>1811</v>
      </c>
      <c r="U36" t="s">
        <v>2365</v>
      </c>
      <c r="V36" t="s">
        <v>2365</v>
      </c>
      <c r="W36" t="s">
        <v>2365</v>
      </c>
      <c r="X36" t="s">
        <v>2365</v>
      </c>
      <c r="Y36" t="s">
        <v>2365</v>
      </c>
      <c r="Z36" t="s">
        <v>2365</v>
      </c>
      <c r="AA36" t="s">
        <v>2365</v>
      </c>
      <c r="AB36" t="s">
        <v>2365</v>
      </c>
      <c r="AC36" s="813" t="s">
        <v>2365</v>
      </c>
      <c r="AD36" s="813" t="s">
        <v>2365</v>
      </c>
      <c r="AE36" s="813" t="s">
        <v>2365</v>
      </c>
      <c r="AF36" t="s">
        <v>2365</v>
      </c>
      <c r="AG36" t="s">
        <v>2365</v>
      </c>
      <c r="AH36" t="s">
        <v>2365</v>
      </c>
      <c r="AI36" t="s">
        <v>2365</v>
      </c>
      <c r="AJ36" t="s">
        <v>2365</v>
      </c>
      <c r="AK36" t="s">
        <v>2365</v>
      </c>
      <c r="AL36" t="s">
        <v>2365</v>
      </c>
      <c r="AM36" t="s">
        <v>2365</v>
      </c>
      <c r="AN36" t="s">
        <v>2365</v>
      </c>
      <c r="AR36" t="s">
        <v>2365</v>
      </c>
      <c r="AS36" t="s">
        <v>2365</v>
      </c>
      <c r="AT36" t="s">
        <v>2365</v>
      </c>
      <c r="AU36" t="s">
        <v>2365</v>
      </c>
      <c r="AV36" t="s">
        <v>2365</v>
      </c>
      <c r="AW36" t="s">
        <v>2365</v>
      </c>
      <c r="AX36" t="s">
        <v>2365</v>
      </c>
      <c r="AY36" t="s">
        <v>2365</v>
      </c>
      <c r="AZ36" t="s">
        <v>2365</v>
      </c>
      <c r="BA36" t="s">
        <v>2365</v>
      </c>
      <c r="BB36" t="s">
        <v>2365</v>
      </c>
      <c r="BC36" t="s">
        <v>2365</v>
      </c>
      <c r="BD36" t="s">
        <v>2366</v>
      </c>
      <c r="BE36" t="s">
        <v>2365</v>
      </c>
      <c r="BF36" t="s">
        <v>2365</v>
      </c>
      <c r="BG36" t="s">
        <v>2365</v>
      </c>
      <c r="BH36" t="s">
        <v>2365</v>
      </c>
      <c r="BI36" t="s">
        <v>2366</v>
      </c>
      <c r="BJ36" t="s">
        <v>2365</v>
      </c>
      <c r="BK36" t="s">
        <v>2365</v>
      </c>
      <c r="BL36" t="s">
        <v>2365</v>
      </c>
      <c r="BM36" t="s">
        <v>2365</v>
      </c>
      <c r="BO36">
        <v>1</v>
      </c>
      <c r="BP36">
        <v>11</v>
      </c>
      <c r="BQ36" t="s">
        <v>2369</v>
      </c>
      <c r="BR36" t="s">
        <v>1487</v>
      </c>
      <c r="BU36">
        <v>-135000</v>
      </c>
      <c r="BV36">
        <v>0</v>
      </c>
      <c r="BW36">
        <v>-135000</v>
      </c>
      <c r="BX36">
        <v>0</v>
      </c>
      <c r="BY36">
        <v>-135000</v>
      </c>
      <c r="BZ36">
        <v>-141750</v>
      </c>
      <c r="CA36">
        <v>-148838</v>
      </c>
      <c r="CB36">
        <v>-9000.0199999999968</v>
      </c>
      <c r="CC36">
        <v>-11095.689999999995</v>
      </c>
      <c r="CD36">
        <v>-7556.54</v>
      </c>
      <c r="CE36">
        <v>0</v>
      </c>
      <c r="CF36">
        <v>-37170.359999999964</v>
      </c>
      <c r="CG36">
        <v>-26182.699999999983</v>
      </c>
      <c r="CH36">
        <v>-9756.5699999999943</v>
      </c>
      <c r="CI36">
        <v>-105298.62999999996</v>
      </c>
      <c r="CJ36">
        <v>0</v>
      </c>
      <c r="CK36">
        <v>0</v>
      </c>
      <c r="CL36">
        <v>0</v>
      </c>
      <c r="CM36">
        <v>0</v>
      </c>
      <c r="CR36" t="s">
        <v>2319</v>
      </c>
      <c r="CS36" s="1369" t="str">
        <f>INDEX([8]Sheet1!$H:$H,MATCH(CR:CR,[8]Sheet1!$AU:$AU,0))</f>
        <v>Mayor and Council</v>
      </c>
    </row>
    <row r="37" spans="1:97" x14ac:dyDescent="0.2">
      <c r="A37" t="s">
        <v>2448</v>
      </c>
      <c r="B37">
        <v>85</v>
      </c>
      <c r="C37" t="s">
        <v>2448</v>
      </c>
      <c r="D37">
        <v>41334</v>
      </c>
      <c r="E37" t="s">
        <v>2449</v>
      </c>
      <c r="F37">
        <v>1600</v>
      </c>
      <c r="G37" t="s">
        <v>650</v>
      </c>
      <c r="H37">
        <v>1600</v>
      </c>
      <c r="I37" t="s">
        <v>1799</v>
      </c>
      <c r="J37" t="s">
        <v>2365</v>
      </c>
      <c r="K37" t="s">
        <v>2365</v>
      </c>
      <c r="L37">
        <v>3100</v>
      </c>
      <c r="M37" t="s">
        <v>624</v>
      </c>
      <c r="N37">
        <v>3107</v>
      </c>
      <c r="O37" t="s">
        <v>1536</v>
      </c>
      <c r="P37" t="s">
        <v>2366</v>
      </c>
      <c r="Q37" t="s">
        <v>2364</v>
      </c>
      <c r="R37" t="s">
        <v>2364</v>
      </c>
      <c r="S37" t="s">
        <v>553</v>
      </c>
      <c r="T37" t="s">
        <v>1811</v>
      </c>
      <c r="U37" t="s">
        <v>2365</v>
      </c>
      <c r="V37" t="s">
        <v>2365</v>
      </c>
      <c r="W37" t="s">
        <v>2365</v>
      </c>
      <c r="X37" t="s">
        <v>2365</v>
      </c>
      <c r="Y37" t="s">
        <v>2365</v>
      </c>
      <c r="Z37" t="s">
        <v>2365</v>
      </c>
      <c r="AA37" t="s">
        <v>2365</v>
      </c>
      <c r="AB37" t="s">
        <v>2365</v>
      </c>
      <c r="AC37" s="813" t="s">
        <v>2365</v>
      </c>
      <c r="AD37" s="813" t="s">
        <v>2365</v>
      </c>
      <c r="AE37" s="813" t="s">
        <v>2365</v>
      </c>
      <c r="AF37" t="s">
        <v>2365</v>
      </c>
      <c r="AG37" t="s">
        <v>2365</v>
      </c>
      <c r="AH37" t="s">
        <v>2365</v>
      </c>
      <c r="AI37" t="s">
        <v>2365</v>
      </c>
      <c r="AJ37" t="s">
        <v>2365</v>
      </c>
      <c r="AK37" t="s">
        <v>2365</v>
      </c>
      <c r="AL37" t="s">
        <v>2365</v>
      </c>
      <c r="AM37" t="s">
        <v>2365</v>
      </c>
      <c r="AN37" t="s">
        <v>2365</v>
      </c>
      <c r="AR37" t="s">
        <v>2365</v>
      </c>
      <c r="AS37" t="s">
        <v>2365</v>
      </c>
      <c r="AT37" t="s">
        <v>2365</v>
      </c>
      <c r="AU37" t="s">
        <v>2365</v>
      </c>
      <c r="AV37" t="s">
        <v>2365</v>
      </c>
      <c r="AW37" t="s">
        <v>2365</v>
      </c>
      <c r="AX37" t="s">
        <v>2365</v>
      </c>
      <c r="AY37" t="s">
        <v>2365</v>
      </c>
      <c r="AZ37" t="s">
        <v>2365</v>
      </c>
      <c r="BA37" t="s">
        <v>2365</v>
      </c>
      <c r="BB37" t="s">
        <v>2365</v>
      </c>
      <c r="BC37" t="s">
        <v>2365</v>
      </c>
      <c r="BD37" t="s">
        <v>2366</v>
      </c>
      <c r="BE37" t="s">
        <v>2365</v>
      </c>
      <c r="BF37" t="s">
        <v>2365</v>
      </c>
      <c r="BG37" t="s">
        <v>2365</v>
      </c>
      <c r="BH37" t="s">
        <v>2365</v>
      </c>
      <c r="BI37" t="s">
        <v>2366</v>
      </c>
      <c r="BJ37" t="s">
        <v>2365</v>
      </c>
      <c r="BK37" t="s">
        <v>2365</v>
      </c>
      <c r="BL37" t="s">
        <v>2365</v>
      </c>
      <c r="BM37" t="s">
        <v>2365</v>
      </c>
      <c r="BO37">
        <v>8</v>
      </c>
      <c r="BP37">
        <v>81</v>
      </c>
      <c r="BQ37" t="s">
        <v>2442</v>
      </c>
      <c r="BR37" t="s">
        <v>1536</v>
      </c>
      <c r="BU37">
        <v>-38955</v>
      </c>
      <c r="BV37">
        <v>0</v>
      </c>
      <c r="BW37">
        <v>-38955</v>
      </c>
      <c r="BX37">
        <v>0</v>
      </c>
      <c r="BY37">
        <v>-38955</v>
      </c>
      <c r="BZ37">
        <v>-40903</v>
      </c>
      <c r="CA37">
        <v>-42948</v>
      </c>
      <c r="CB37">
        <v>0</v>
      </c>
      <c r="CC37">
        <v>-7845.66</v>
      </c>
      <c r="CD37">
        <v>0</v>
      </c>
      <c r="CE37">
        <v>0</v>
      </c>
      <c r="CF37">
        <v>-7845.66</v>
      </c>
      <c r="CG37">
        <v>0</v>
      </c>
      <c r="CH37">
        <v>0</v>
      </c>
      <c r="CI37">
        <v>0</v>
      </c>
      <c r="CJ37">
        <v>0</v>
      </c>
      <c r="CK37">
        <v>0</v>
      </c>
      <c r="CL37">
        <v>0</v>
      </c>
      <c r="CM37">
        <v>0</v>
      </c>
      <c r="CR37" t="s">
        <v>2320</v>
      </c>
      <c r="CS37" s="1369" t="str">
        <f>INDEX([8]Sheet1!$H:$H,MATCH(CR:CR,[8]Sheet1!$AU:$AU,0))</f>
        <v>Administrative and Corporate Support</v>
      </c>
    </row>
    <row r="38" spans="1:97" x14ac:dyDescent="0.2">
      <c r="A38" t="s">
        <v>2450</v>
      </c>
      <c r="B38">
        <v>86</v>
      </c>
      <c r="C38" t="s">
        <v>2450</v>
      </c>
      <c r="D38">
        <v>41492</v>
      </c>
      <c r="E38" t="s">
        <v>2451</v>
      </c>
      <c r="F38">
        <v>1500</v>
      </c>
      <c r="G38" t="s">
        <v>1477</v>
      </c>
      <c r="H38">
        <v>1500</v>
      </c>
      <c r="I38" t="s">
        <v>1477</v>
      </c>
      <c r="J38" t="s">
        <v>2365</v>
      </c>
      <c r="K38" t="s">
        <v>2365</v>
      </c>
      <c r="L38">
        <v>3100</v>
      </c>
      <c r="M38" t="s">
        <v>624</v>
      </c>
      <c r="N38">
        <v>3107</v>
      </c>
      <c r="O38" t="s">
        <v>1536</v>
      </c>
      <c r="P38" t="s">
        <v>2366</v>
      </c>
      <c r="Q38" t="s">
        <v>2364</v>
      </c>
      <c r="R38" t="s">
        <v>2364</v>
      </c>
      <c r="S38" t="s">
        <v>553</v>
      </c>
      <c r="T38" t="s">
        <v>1811</v>
      </c>
      <c r="U38" t="s">
        <v>2365</v>
      </c>
      <c r="V38" t="s">
        <v>2365</v>
      </c>
      <c r="W38" t="s">
        <v>2365</v>
      </c>
      <c r="X38" t="s">
        <v>2365</v>
      </c>
      <c r="Y38" t="s">
        <v>2365</v>
      </c>
      <c r="Z38" t="s">
        <v>2365</v>
      </c>
      <c r="AA38" t="s">
        <v>2365</v>
      </c>
      <c r="AB38" t="s">
        <v>2365</v>
      </c>
      <c r="AC38" s="813" t="s">
        <v>2365</v>
      </c>
      <c r="AD38" s="813" t="s">
        <v>2365</v>
      </c>
      <c r="AE38" s="813" t="s">
        <v>2365</v>
      </c>
      <c r="AF38" t="s">
        <v>2365</v>
      </c>
      <c r="AG38" t="s">
        <v>2365</v>
      </c>
      <c r="AH38" t="s">
        <v>2365</v>
      </c>
      <c r="AI38" t="s">
        <v>2365</v>
      </c>
      <c r="AJ38" t="s">
        <v>2365</v>
      </c>
      <c r="AK38" t="s">
        <v>2365</v>
      </c>
      <c r="AL38" t="s">
        <v>2365</v>
      </c>
      <c r="AM38" t="s">
        <v>2365</v>
      </c>
      <c r="AN38" t="s">
        <v>2365</v>
      </c>
      <c r="AR38" t="s">
        <v>2365</v>
      </c>
      <c r="AS38" t="s">
        <v>2365</v>
      </c>
      <c r="AT38" t="s">
        <v>2365</v>
      </c>
      <c r="AU38" t="s">
        <v>2365</v>
      </c>
      <c r="AV38" t="s">
        <v>2365</v>
      </c>
      <c r="AW38" t="s">
        <v>2365</v>
      </c>
      <c r="AX38" t="s">
        <v>2365</v>
      </c>
      <c r="AY38" t="s">
        <v>2365</v>
      </c>
      <c r="AZ38" t="s">
        <v>2365</v>
      </c>
      <c r="BA38" t="s">
        <v>2365</v>
      </c>
      <c r="BB38" t="s">
        <v>2365</v>
      </c>
      <c r="BC38" t="s">
        <v>2365</v>
      </c>
      <c r="BD38" t="s">
        <v>2366</v>
      </c>
      <c r="BE38" t="s">
        <v>2365</v>
      </c>
      <c r="BF38" t="s">
        <v>2365</v>
      </c>
      <c r="BG38" t="s">
        <v>2365</v>
      </c>
      <c r="BH38" t="s">
        <v>2365</v>
      </c>
      <c r="BI38" t="s">
        <v>2366</v>
      </c>
      <c r="BJ38" t="s">
        <v>2365</v>
      </c>
      <c r="BK38" t="s">
        <v>2365</v>
      </c>
      <c r="BL38" t="s">
        <v>2365</v>
      </c>
      <c r="BM38" t="s">
        <v>2365</v>
      </c>
      <c r="BO38">
        <v>8</v>
      </c>
      <c r="BP38">
        <v>81</v>
      </c>
      <c r="BQ38" t="s">
        <v>2442</v>
      </c>
      <c r="BR38" t="s">
        <v>1536</v>
      </c>
      <c r="BU38">
        <v>0</v>
      </c>
      <c r="BV38">
        <v>0</v>
      </c>
      <c r="BW38">
        <v>0</v>
      </c>
      <c r="BX38">
        <v>0</v>
      </c>
      <c r="BY38">
        <v>0</v>
      </c>
      <c r="BZ38">
        <v>0</v>
      </c>
      <c r="CA38">
        <v>0</v>
      </c>
      <c r="CB38">
        <v>0</v>
      </c>
      <c r="CC38">
        <v>0</v>
      </c>
      <c r="CD38">
        <v>0</v>
      </c>
      <c r="CE38">
        <v>0</v>
      </c>
      <c r="CF38">
        <v>0</v>
      </c>
      <c r="CG38">
        <v>0</v>
      </c>
      <c r="CH38">
        <v>0</v>
      </c>
      <c r="CI38">
        <v>0</v>
      </c>
      <c r="CJ38">
        <v>0</v>
      </c>
      <c r="CK38">
        <v>0</v>
      </c>
      <c r="CL38">
        <v>0</v>
      </c>
      <c r="CM38">
        <v>0</v>
      </c>
      <c r="CR38" t="s">
        <v>2320</v>
      </c>
      <c r="CS38" s="1369" t="str">
        <f>INDEX([8]Sheet1!$H:$H,MATCH(CR:CR,[8]Sheet1!$AU:$AU,0))</f>
        <v>Administrative and Corporate Support</v>
      </c>
    </row>
    <row r="39" spans="1:97" x14ac:dyDescent="0.2">
      <c r="A39" t="s">
        <v>2452</v>
      </c>
      <c r="B39">
        <v>87</v>
      </c>
      <c r="C39" t="s">
        <v>2452</v>
      </c>
      <c r="D39">
        <v>40971</v>
      </c>
      <c r="E39" t="s">
        <v>2453</v>
      </c>
      <c r="F39">
        <v>2900</v>
      </c>
      <c r="G39" t="s">
        <v>569</v>
      </c>
      <c r="H39" t="s">
        <v>2366</v>
      </c>
      <c r="I39" t="s">
        <v>2366</v>
      </c>
      <c r="J39">
        <v>2904</v>
      </c>
      <c r="K39" t="s">
        <v>1432</v>
      </c>
      <c r="L39">
        <v>2400</v>
      </c>
      <c r="M39" t="s">
        <v>621</v>
      </c>
      <c r="N39">
        <v>2401</v>
      </c>
      <c r="O39" t="s">
        <v>621</v>
      </c>
      <c r="P39" t="s">
        <v>2366</v>
      </c>
      <c r="Q39" t="s">
        <v>2364</v>
      </c>
      <c r="R39" t="s">
        <v>2364</v>
      </c>
      <c r="S39" t="s">
        <v>1881</v>
      </c>
      <c r="T39" t="s">
        <v>1812</v>
      </c>
      <c r="U39" t="s">
        <v>2365</v>
      </c>
      <c r="V39" t="s">
        <v>2365</v>
      </c>
      <c r="W39" t="s">
        <v>2365</v>
      </c>
      <c r="X39" t="s">
        <v>2365</v>
      </c>
      <c r="Y39" t="s">
        <v>2365</v>
      </c>
      <c r="Z39" t="s">
        <v>2365</v>
      </c>
      <c r="AA39" t="s">
        <v>2365</v>
      </c>
      <c r="AB39" t="s">
        <v>2365</v>
      </c>
      <c r="AC39" s="813" t="s">
        <v>2365</v>
      </c>
      <c r="AD39" s="813" t="s">
        <v>2365</v>
      </c>
      <c r="AE39" s="813" t="s">
        <v>2365</v>
      </c>
      <c r="AF39" t="s">
        <v>2365</v>
      </c>
      <c r="AG39" t="s">
        <v>2365</v>
      </c>
      <c r="AH39" t="s">
        <v>2365</v>
      </c>
      <c r="AI39" t="s">
        <v>2365</v>
      </c>
      <c r="AJ39" t="s">
        <v>2365</v>
      </c>
      <c r="AK39" t="s">
        <v>2365</v>
      </c>
      <c r="AL39" t="s">
        <v>2365</v>
      </c>
      <c r="AM39" t="s">
        <v>2365</v>
      </c>
      <c r="AN39" t="s">
        <v>2365</v>
      </c>
      <c r="AR39" t="s">
        <v>2365</v>
      </c>
      <c r="AS39" t="s">
        <v>2365</v>
      </c>
      <c r="AT39" t="s">
        <v>2365</v>
      </c>
      <c r="AU39" t="s">
        <v>2365</v>
      </c>
      <c r="AV39" t="s">
        <v>2365</v>
      </c>
      <c r="AW39" t="s">
        <v>2365</v>
      </c>
      <c r="AX39" t="s">
        <v>2365</v>
      </c>
      <c r="AY39" t="s">
        <v>2365</v>
      </c>
      <c r="AZ39" t="s">
        <v>2365</v>
      </c>
      <c r="BA39" t="s">
        <v>2365</v>
      </c>
      <c r="BB39" t="s">
        <v>2365</v>
      </c>
      <c r="BC39" t="s">
        <v>2365</v>
      </c>
      <c r="BD39" t="s">
        <v>2366</v>
      </c>
      <c r="BE39" t="s">
        <v>2365</v>
      </c>
      <c r="BF39" t="s">
        <v>2365</v>
      </c>
      <c r="BG39" t="s">
        <v>2365</v>
      </c>
      <c r="BH39" t="s">
        <v>2365</v>
      </c>
      <c r="BI39" t="s">
        <v>2366</v>
      </c>
      <c r="BJ39" t="s">
        <v>2365</v>
      </c>
      <c r="BK39" t="s">
        <v>2365</v>
      </c>
      <c r="BL39" t="s">
        <v>2365</v>
      </c>
      <c r="BM39" t="s">
        <v>2365</v>
      </c>
      <c r="BO39">
        <v>13</v>
      </c>
      <c r="BP39">
        <v>131</v>
      </c>
      <c r="BQ39" t="s">
        <v>621</v>
      </c>
      <c r="BR39" t="s">
        <v>621</v>
      </c>
      <c r="BU39">
        <v>0</v>
      </c>
      <c r="BV39">
        <v>0</v>
      </c>
      <c r="BW39">
        <v>0</v>
      </c>
      <c r="BX39">
        <v>0</v>
      </c>
      <c r="BY39">
        <v>0</v>
      </c>
      <c r="BZ39">
        <v>0</v>
      </c>
      <c r="CA39">
        <v>0</v>
      </c>
      <c r="CB39">
        <v>0</v>
      </c>
      <c r="CC39">
        <v>0</v>
      </c>
      <c r="CD39">
        <v>0</v>
      </c>
      <c r="CE39">
        <v>0</v>
      </c>
      <c r="CF39">
        <v>0</v>
      </c>
      <c r="CG39">
        <v>0</v>
      </c>
      <c r="CH39">
        <v>0</v>
      </c>
      <c r="CI39">
        <v>0</v>
      </c>
      <c r="CJ39">
        <v>0</v>
      </c>
      <c r="CK39">
        <v>0</v>
      </c>
      <c r="CL39">
        <v>0</v>
      </c>
      <c r="CM39">
        <v>0</v>
      </c>
      <c r="CR39" t="s">
        <v>2320</v>
      </c>
      <c r="CS39" s="1369" t="str">
        <f>INDEX([8]Sheet1!$H:$H,MATCH(CR:CR,[8]Sheet1!$AU:$AU,0))</f>
        <v>Administrative and Corporate Support</v>
      </c>
    </row>
    <row r="40" spans="1:97" x14ac:dyDescent="0.2">
      <c r="A40" t="s">
        <v>2454</v>
      </c>
      <c r="B40">
        <v>88</v>
      </c>
      <c r="C40" t="s">
        <v>2454</v>
      </c>
      <c r="D40">
        <v>40972</v>
      </c>
      <c r="E40" t="s">
        <v>2455</v>
      </c>
      <c r="F40">
        <v>2900</v>
      </c>
      <c r="G40" t="s">
        <v>569</v>
      </c>
      <c r="H40" t="s">
        <v>2366</v>
      </c>
      <c r="I40" t="s">
        <v>2366</v>
      </c>
      <c r="J40">
        <v>2904</v>
      </c>
      <c r="K40" t="s">
        <v>1432</v>
      </c>
      <c r="L40">
        <v>2400</v>
      </c>
      <c r="M40" t="s">
        <v>621</v>
      </c>
      <c r="N40">
        <v>2401</v>
      </c>
      <c r="O40" t="s">
        <v>621</v>
      </c>
      <c r="P40" t="s">
        <v>2366</v>
      </c>
      <c r="Q40" t="s">
        <v>2364</v>
      </c>
      <c r="R40" t="s">
        <v>2364</v>
      </c>
      <c r="S40" t="s">
        <v>1881</v>
      </c>
      <c r="T40" t="s">
        <v>1812</v>
      </c>
      <c r="U40" t="s">
        <v>2365</v>
      </c>
      <c r="V40" t="s">
        <v>2365</v>
      </c>
      <c r="W40" t="s">
        <v>2365</v>
      </c>
      <c r="X40" t="s">
        <v>2365</v>
      </c>
      <c r="Y40" t="s">
        <v>2365</v>
      </c>
      <c r="Z40" t="s">
        <v>2365</v>
      </c>
      <c r="AA40" t="s">
        <v>2365</v>
      </c>
      <c r="AB40" t="s">
        <v>2365</v>
      </c>
      <c r="AC40" s="813" t="s">
        <v>2365</v>
      </c>
      <c r="AD40" s="813" t="s">
        <v>2365</v>
      </c>
      <c r="AE40" s="813" t="s">
        <v>2365</v>
      </c>
      <c r="AF40" t="s">
        <v>2365</v>
      </c>
      <c r="AG40" t="s">
        <v>2365</v>
      </c>
      <c r="AH40" t="s">
        <v>2365</v>
      </c>
      <c r="AI40" t="s">
        <v>2365</v>
      </c>
      <c r="AJ40" t="s">
        <v>2365</v>
      </c>
      <c r="AK40" t="s">
        <v>2365</v>
      </c>
      <c r="AL40" t="s">
        <v>2365</v>
      </c>
      <c r="AM40" t="s">
        <v>2365</v>
      </c>
      <c r="AN40" t="s">
        <v>2365</v>
      </c>
      <c r="AR40" t="s">
        <v>2365</v>
      </c>
      <c r="AS40" t="s">
        <v>2365</v>
      </c>
      <c r="AT40" t="s">
        <v>2365</v>
      </c>
      <c r="AU40" t="s">
        <v>2365</v>
      </c>
      <c r="AV40" t="s">
        <v>2365</v>
      </c>
      <c r="AW40" t="s">
        <v>2365</v>
      </c>
      <c r="AX40" t="s">
        <v>2365</v>
      </c>
      <c r="AY40" t="s">
        <v>2365</v>
      </c>
      <c r="AZ40" t="s">
        <v>2365</v>
      </c>
      <c r="BA40" t="s">
        <v>2365</v>
      </c>
      <c r="BB40" t="s">
        <v>2365</v>
      </c>
      <c r="BC40" t="s">
        <v>2365</v>
      </c>
      <c r="BD40" t="s">
        <v>2366</v>
      </c>
      <c r="BE40" t="s">
        <v>2365</v>
      </c>
      <c r="BF40" t="s">
        <v>2365</v>
      </c>
      <c r="BG40" t="s">
        <v>2365</v>
      </c>
      <c r="BH40" t="s">
        <v>2365</v>
      </c>
      <c r="BI40" t="s">
        <v>2366</v>
      </c>
      <c r="BJ40" t="s">
        <v>2365</v>
      </c>
      <c r="BK40" t="s">
        <v>2365</v>
      </c>
      <c r="BL40" t="s">
        <v>2365</v>
      </c>
      <c r="BM40" t="s">
        <v>2365</v>
      </c>
      <c r="BO40">
        <v>13</v>
      </c>
      <c r="BP40">
        <v>131</v>
      </c>
      <c r="BQ40" t="s">
        <v>621</v>
      </c>
      <c r="BR40" t="s">
        <v>621</v>
      </c>
      <c r="BU40">
        <v>0</v>
      </c>
      <c r="BV40">
        <v>0</v>
      </c>
      <c r="BW40">
        <v>0</v>
      </c>
      <c r="BX40">
        <v>0</v>
      </c>
      <c r="BY40">
        <v>0</v>
      </c>
      <c r="BZ40">
        <v>0</v>
      </c>
      <c r="CA40">
        <v>0</v>
      </c>
      <c r="CB40">
        <v>0</v>
      </c>
      <c r="CC40">
        <v>0</v>
      </c>
      <c r="CD40">
        <v>0</v>
      </c>
      <c r="CE40">
        <v>0</v>
      </c>
      <c r="CF40">
        <v>0</v>
      </c>
      <c r="CG40">
        <v>0</v>
      </c>
      <c r="CH40">
        <v>0</v>
      </c>
      <c r="CI40">
        <v>0</v>
      </c>
      <c r="CJ40">
        <v>0</v>
      </c>
      <c r="CK40">
        <v>0</v>
      </c>
      <c r="CL40">
        <v>0</v>
      </c>
      <c r="CM40">
        <v>0</v>
      </c>
      <c r="CR40" t="s">
        <v>2320</v>
      </c>
      <c r="CS40" s="1369" t="str">
        <f>INDEX([8]Sheet1!$H:$H,MATCH(CR:CR,[8]Sheet1!$AU:$AU,0))</f>
        <v>Administrative and Corporate Support</v>
      </c>
    </row>
    <row r="41" spans="1:97" x14ac:dyDescent="0.2">
      <c r="A41" t="s">
        <v>2456</v>
      </c>
      <c r="B41">
        <v>89</v>
      </c>
      <c r="C41" t="s">
        <v>2456</v>
      </c>
      <c r="D41">
        <v>41326</v>
      </c>
      <c r="E41" t="s">
        <v>2457</v>
      </c>
      <c r="F41">
        <v>1500</v>
      </c>
      <c r="G41" t="s">
        <v>1477</v>
      </c>
      <c r="H41">
        <v>1500</v>
      </c>
      <c r="I41" t="s">
        <v>1477</v>
      </c>
      <c r="J41" t="s">
        <v>2365</v>
      </c>
      <c r="K41" t="s">
        <v>2365</v>
      </c>
      <c r="L41">
        <v>1200</v>
      </c>
      <c r="M41" t="s">
        <v>1480</v>
      </c>
      <c r="N41">
        <v>1204</v>
      </c>
      <c r="O41" t="s">
        <v>1487</v>
      </c>
      <c r="P41" t="s">
        <v>2366</v>
      </c>
      <c r="Q41" t="s">
        <v>2364</v>
      </c>
      <c r="R41" t="s">
        <v>2364</v>
      </c>
      <c r="S41" t="s">
        <v>553</v>
      </c>
      <c r="T41" t="s">
        <v>1811</v>
      </c>
      <c r="U41" t="s">
        <v>2365</v>
      </c>
      <c r="V41" t="s">
        <v>2365</v>
      </c>
      <c r="W41" t="s">
        <v>2365</v>
      </c>
      <c r="X41" t="s">
        <v>2365</v>
      </c>
      <c r="Y41" t="s">
        <v>2365</v>
      </c>
      <c r="Z41" t="s">
        <v>2365</v>
      </c>
      <c r="AA41" t="s">
        <v>2365</v>
      </c>
      <c r="AB41" t="s">
        <v>2365</v>
      </c>
      <c r="AC41" s="813" t="s">
        <v>2365</v>
      </c>
      <c r="AD41" s="813" t="s">
        <v>2365</v>
      </c>
      <c r="AE41" s="813" t="s">
        <v>2365</v>
      </c>
      <c r="AF41" t="s">
        <v>2365</v>
      </c>
      <c r="AG41" t="s">
        <v>2365</v>
      </c>
      <c r="AH41" t="s">
        <v>2365</v>
      </c>
      <c r="AI41" t="s">
        <v>2365</v>
      </c>
      <c r="AJ41" t="s">
        <v>2365</v>
      </c>
      <c r="AK41" t="s">
        <v>2365</v>
      </c>
      <c r="AL41" t="s">
        <v>2365</v>
      </c>
      <c r="AM41" t="s">
        <v>2365</v>
      </c>
      <c r="AN41" t="s">
        <v>2365</v>
      </c>
      <c r="AR41" t="s">
        <v>2365</v>
      </c>
      <c r="AS41" t="s">
        <v>2365</v>
      </c>
      <c r="AT41" t="s">
        <v>2365</v>
      </c>
      <c r="AU41" t="s">
        <v>2365</v>
      </c>
      <c r="AV41" t="s">
        <v>2365</v>
      </c>
      <c r="AW41" t="s">
        <v>2365</v>
      </c>
      <c r="AX41" t="s">
        <v>2365</v>
      </c>
      <c r="AY41" t="s">
        <v>2365</v>
      </c>
      <c r="AZ41" t="s">
        <v>2365</v>
      </c>
      <c r="BA41" t="s">
        <v>2365</v>
      </c>
      <c r="BB41" t="s">
        <v>2365</v>
      </c>
      <c r="BC41" t="s">
        <v>2365</v>
      </c>
      <c r="BD41" t="s">
        <v>2366</v>
      </c>
      <c r="BE41" t="s">
        <v>2365</v>
      </c>
      <c r="BF41" t="s">
        <v>2365</v>
      </c>
      <c r="BG41" t="s">
        <v>2365</v>
      </c>
      <c r="BH41" t="s">
        <v>2365</v>
      </c>
      <c r="BI41" t="s">
        <v>2366</v>
      </c>
      <c r="BJ41" t="s">
        <v>2365</v>
      </c>
      <c r="BK41" t="s">
        <v>2365</v>
      </c>
      <c r="BL41" t="s">
        <v>2365</v>
      </c>
      <c r="BM41" t="s">
        <v>2365</v>
      </c>
      <c r="BO41">
        <v>1</v>
      </c>
      <c r="BP41">
        <v>11</v>
      </c>
      <c r="BQ41" t="s">
        <v>2369</v>
      </c>
      <c r="BR41" t="s">
        <v>1487</v>
      </c>
      <c r="BU41">
        <v>-1143000</v>
      </c>
      <c r="BV41">
        <v>0</v>
      </c>
      <c r="BW41">
        <v>-1143000</v>
      </c>
      <c r="BX41">
        <v>0</v>
      </c>
      <c r="BY41">
        <v>-1143000</v>
      </c>
      <c r="BZ41">
        <v>0</v>
      </c>
      <c r="CA41">
        <v>0</v>
      </c>
      <c r="CB41">
        <v>0</v>
      </c>
      <c r="CC41">
        <v>-331179</v>
      </c>
      <c r="CD41">
        <v>-209019.5</v>
      </c>
      <c r="CE41">
        <v>-174553.25</v>
      </c>
      <c r="CF41">
        <v>-211729.25</v>
      </c>
      <c r="CG41">
        <v>-208000</v>
      </c>
      <c r="CH41">
        <v>-8519</v>
      </c>
      <c r="CI41">
        <v>0</v>
      </c>
      <c r="CJ41">
        <v>0</v>
      </c>
      <c r="CK41">
        <v>0</v>
      </c>
      <c r="CL41">
        <v>0</v>
      </c>
      <c r="CM41">
        <v>0</v>
      </c>
      <c r="CR41" t="s">
        <v>2320</v>
      </c>
      <c r="CS41" s="1369" t="str">
        <f>INDEX([8]Sheet1!$H:$H,MATCH(CR:CR,[8]Sheet1!$AU:$AU,0))</f>
        <v>Administrative and Corporate Support</v>
      </c>
    </row>
    <row r="42" spans="1:97" x14ac:dyDescent="0.2">
      <c r="A42" t="s">
        <v>2458</v>
      </c>
      <c r="B42">
        <v>90</v>
      </c>
      <c r="C42" t="s">
        <v>2458</v>
      </c>
      <c r="D42">
        <v>41327</v>
      </c>
      <c r="E42" t="s">
        <v>2459</v>
      </c>
      <c r="F42">
        <v>600</v>
      </c>
      <c r="G42" t="s">
        <v>1152</v>
      </c>
      <c r="H42">
        <v>600</v>
      </c>
      <c r="I42" t="s">
        <v>731</v>
      </c>
      <c r="J42" t="s">
        <v>2365</v>
      </c>
      <c r="K42" t="s">
        <v>2365</v>
      </c>
      <c r="L42">
        <v>4400</v>
      </c>
      <c r="M42" t="s">
        <v>631</v>
      </c>
      <c r="N42">
        <v>4403</v>
      </c>
      <c r="O42" t="s">
        <v>1557</v>
      </c>
      <c r="P42" t="s">
        <v>2366</v>
      </c>
      <c r="Q42" t="s">
        <v>2364</v>
      </c>
      <c r="R42" t="s">
        <v>2364</v>
      </c>
      <c r="S42" t="s">
        <v>553</v>
      </c>
      <c r="T42" t="s">
        <v>1811</v>
      </c>
      <c r="U42" t="s">
        <v>2365</v>
      </c>
      <c r="V42" t="s">
        <v>2365</v>
      </c>
      <c r="W42" t="s">
        <v>2365</v>
      </c>
      <c r="X42" t="s">
        <v>2365</v>
      </c>
      <c r="Y42" t="s">
        <v>2365</v>
      </c>
      <c r="Z42" t="s">
        <v>2365</v>
      </c>
      <c r="AA42" t="s">
        <v>2365</v>
      </c>
      <c r="AB42" t="s">
        <v>2365</v>
      </c>
      <c r="AC42" s="813" t="s">
        <v>2365</v>
      </c>
      <c r="AD42" s="813" t="s">
        <v>2365</v>
      </c>
      <c r="AE42" s="813" t="s">
        <v>2365</v>
      </c>
      <c r="AF42" t="s">
        <v>2365</v>
      </c>
      <c r="AG42" t="s">
        <v>2365</v>
      </c>
      <c r="AH42" t="s">
        <v>2365</v>
      </c>
      <c r="AI42" t="s">
        <v>2365</v>
      </c>
      <c r="AJ42" t="s">
        <v>2365</v>
      </c>
      <c r="AK42" t="s">
        <v>2365</v>
      </c>
      <c r="AL42" t="s">
        <v>2365</v>
      </c>
      <c r="AM42" t="s">
        <v>2365</v>
      </c>
      <c r="AN42" t="s">
        <v>2365</v>
      </c>
      <c r="AR42" t="s">
        <v>2365</v>
      </c>
      <c r="AS42" t="s">
        <v>2365</v>
      </c>
      <c r="AT42" t="s">
        <v>2365</v>
      </c>
      <c r="AU42" t="s">
        <v>2365</v>
      </c>
      <c r="AV42" t="s">
        <v>2365</v>
      </c>
      <c r="AW42" t="s">
        <v>2365</v>
      </c>
      <c r="AX42" t="s">
        <v>2365</v>
      </c>
      <c r="AY42" t="s">
        <v>2365</v>
      </c>
      <c r="AZ42" t="s">
        <v>2365</v>
      </c>
      <c r="BA42" t="s">
        <v>2365</v>
      </c>
      <c r="BB42" t="s">
        <v>2365</v>
      </c>
      <c r="BC42" t="s">
        <v>2365</v>
      </c>
      <c r="BD42" t="s">
        <v>2366</v>
      </c>
      <c r="BE42" t="s">
        <v>2365</v>
      </c>
      <c r="BF42" t="s">
        <v>2365</v>
      </c>
      <c r="BG42" t="s">
        <v>2365</v>
      </c>
      <c r="BH42" t="s">
        <v>2365</v>
      </c>
      <c r="BI42" t="s">
        <v>2366</v>
      </c>
      <c r="BJ42" t="s">
        <v>2365</v>
      </c>
      <c r="BK42" t="s">
        <v>2365</v>
      </c>
      <c r="BL42" t="s">
        <v>2365</v>
      </c>
      <c r="BM42" t="s">
        <v>2365</v>
      </c>
      <c r="BO42">
        <v>12</v>
      </c>
      <c r="BP42">
        <v>121</v>
      </c>
      <c r="BQ42" t="s">
        <v>1369</v>
      </c>
      <c r="BR42" t="s">
        <v>1557</v>
      </c>
      <c r="BU42">
        <v>-574287</v>
      </c>
      <c r="BV42">
        <v>0</v>
      </c>
      <c r="BW42">
        <v>-574287</v>
      </c>
      <c r="BX42">
        <v>0</v>
      </c>
      <c r="BY42">
        <v>-574287</v>
      </c>
      <c r="BZ42">
        <v>-608744</v>
      </c>
      <c r="CA42">
        <v>-645269</v>
      </c>
      <c r="CB42">
        <v>-44457.98</v>
      </c>
      <c r="CC42">
        <v>-44457.98</v>
      </c>
      <c r="CD42">
        <v>-44457.98</v>
      </c>
      <c r="CE42">
        <v>-44457.98</v>
      </c>
      <c r="CF42">
        <v>-44457.98</v>
      </c>
      <c r="CG42">
        <v>-44457.98</v>
      </c>
      <c r="CH42">
        <v>-44457.98</v>
      </c>
      <c r="CI42">
        <v>-44457.98</v>
      </c>
      <c r="CJ42">
        <v>0</v>
      </c>
      <c r="CK42">
        <v>0</v>
      </c>
      <c r="CL42">
        <v>0</v>
      </c>
      <c r="CM42">
        <v>0</v>
      </c>
      <c r="CR42" t="s">
        <v>2320</v>
      </c>
      <c r="CS42" s="1369" t="str">
        <f>INDEX([8]Sheet1!$H:$H,MATCH(CR:CR,[8]Sheet1!$AU:$AU,0))</f>
        <v>Administrative and Corporate Support</v>
      </c>
    </row>
    <row r="43" spans="1:97" x14ac:dyDescent="0.2">
      <c r="A43" t="s">
        <v>2460</v>
      </c>
      <c r="B43">
        <v>91</v>
      </c>
      <c r="C43" t="s">
        <v>2460</v>
      </c>
      <c r="D43">
        <v>40862</v>
      </c>
      <c r="E43" t="s">
        <v>2461</v>
      </c>
      <c r="F43">
        <v>2000</v>
      </c>
      <c r="G43" t="s">
        <v>652</v>
      </c>
      <c r="H43" t="s">
        <v>2462</v>
      </c>
      <c r="I43" t="s">
        <v>203</v>
      </c>
      <c r="J43">
        <v>2001</v>
      </c>
      <c r="K43" t="s">
        <v>203</v>
      </c>
      <c r="L43">
        <v>2100</v>
      </c>
      <c r="M43" t="s">
        <v>618</v>
      </c>
      <c r="N43">
        <v>2106</v>
      </c>
      <c r="O43" t="s">
        <v>1499</v>
      </c>
      <c r="P43" t="s">
        <v>2366</v>
      </c>
      <c r="Q43" t="s">
        <v>2364</v>
      </c>
      <c r="R43" t="s">
        <v>2364</v>
      </c>
      <c r="S43" t="s">
        <v>1881</v>
      </c>
      <c r="T43" t="s">
        <v>1812</v>
      </c>
      <c r="U43" t="s">
        <v>2365</v>
      </c>
      <c r="V43" t="s">
        <v>2365</v>
      </c>
      <c r="W43" t="s">
        <v>2365</v>
      </c>
      <c r="X43" t="s">
        <v>2365</v>
      </c>
      <c r="Y43" t="s">
        <v>2365</v>
      </c>
      <c r="Z43" t="s">
        <v>2365</v>
      </c>
      <c r="AA43" t="s">
        <v>2365</v>
      </c>
      <c r="AB43" t="s">
        <v>2365</v>
      </c>
      <c r="AC43" s="813" t="s">
        <v>2365</v>
      </c>
      <c r="AD43" s="813" t="s">
        <v>2365</v>
      </c>
      <c r="AE43" s="813" t="s">
        <v>2365</v>
      </c>
      <c r="AF43" t="s">
        <v>2365</v>
      </c>
      <c r="AG43" t="s">
        <v>2365</v>
      </c>
      <c r="AH43" t="s">
        <v>2365</v>
      </c>
      <c r="AI43" t="s">
        <v>2365</v>
      </c>
      <c r="AJ43" t="s">
        <v>2365</v>
      </c>
      <c r="AK43" t="s">
        <v>2365</v>
      </c>
      <c r="AL43" t="s">
        <v>2365</v>
      </c>
      <c r="AM43" t="s">
        <v>2365</v>
      </c>
      <c r="AN43" t="s">
        <v>2365</v>
      </c>
      <c r="AR43" t="s">
        <v>2365</v>
      </c>
      <c r="AS43" t="s">
        <v>2365</v>
      </c>
      <c r="AT43" t="s">
        <v>2365</v>
      </c>
      <c r="AU43" t="s">
        <v>2365</v>
      </c>
      <c r="AV43" t="s">
        <v>2365</v>
      </c>
      <c r="AW43" t="s">
        <v>2365</v>
      </c>
      <c r="AX43" t="s">
        <v>2365</v>
      </c>
      <c r="AY43" t="s">
        <v>2365</v>
      </c>
      <c r="AZ43" t="s">
        <v>2365</v>
      </c>
      <c r="BA43" t="s">
        <v>2365</v>
      </c>
      <c r="BB43" t="s">
        <v>2365</v>
      </c>
      <c r="BC43" t="s">
        <v>2365</v>
      </c>
      <c r="BD43" t="s">
        <v>2366</v>
      </c>
      <c r="BE43" t="s">
        <v>2365</v>
      </c>
      <c r="BF43" t="s">
        <v>2365</v>
      </c>
      <c r="BG43" t="s">
        <v>2365</v>
      </c>
      <c r="BH43" t="s">
        <v>2365</v>
      </c>
      <c r="BI43" t="s">
        <v>2366</v>
      </c>
      <c r="BJ43" t="s">
        <v>2365</v>
      </c>
      <c r="BK43" t="s">
        <v>2365</v>
      </c>
      <c r="BL43" t="s">
        <v>2365</v>
      </c>
      <c r="BM43" t="s">
        <v>2365</v>
      </c>
      <c r="BN43" t="s">
        <v>2177</v>
      </c>
      <c r="BO43">
        <v>5</v>
      </c>
      <c r="BP43">
        <v>53</v>
      </c>
      <c r="BQ43" t="s">
        <v>2438</v>
      </c>
      <c r="BR43" t="s">
        <v>1499</v>
      </c>
      <c r="BU43">
        <v>0</v>
      </c>
      <c r="BV43">
        <v>0</v>
      </c>
      <c r="BW43">
        <v>0</v>
      </c>
      <c r="BX43">
        <v>0</v>
      </c>
      <c r="BY43">
        <v>0</v>
      </c>
      <c r="BZ43">
        <v>0</v>
      </c>
      <c r="CA43">
        <v>0</v>
      </c>
      <c r="CB43">
        <v>0</v>
      </c>
      <c r="CC43">
        <v>0</v>
      </c>
      <c r="CD43">
        <v>0</v>
      </c>
      <c r="CE43">
        <v>0</v>
      </c>
      <c r="CF43">
        <v>0</v>
      </c>
      <c r="CG43">
        <v>0</v>
      </c>
      <c r="CH43">
        <v>0</v>
      </c>
      <c r="CI43">
        <v>0</v>
      </c>
      <c r="CJ43">
        <v>0</v>
      </c>
      <c r="CK43">
        <v>0</v>
      </c>
      <c r="CL43">
        <v>0</v>
      </c>
      <c r="CM43">
        <v>0</v>
      </c>
      <c r="CR43" t="s">
        <v>2320</v>
      </c>
      <c r="CS43" s="1369" t="str">
        <f>INDEX([8]Sheet1!$H:$H,MATCH(CR:CR,[8]Sheet1!$AU:$AU,0))</f>
        <v>Administrative and Corporate Support</v>
      </c>
    </row>
    <row r="44" spans="1:97" x14ac:dyDescent="0.2">
      <c r="A44" t="s">
        <v>2463</v>
      </c>
      <c r="B44">
        <v>92</v>
      </c>
      <c r="C44" t="s">
        <v>2463</v>
      </c>
      <c r="D44">
        <v>40863</v>
      </c>
      <c r="E44" t="s">
        <v>2464</v>
      </c>
      <c r="F44">
        <v>2900</v>
      </c>
      <c r="G44" t="s">
        <v>569</v>
      </c>
      <c r="H44" t="s">
        <v>2366</v>
      </c>
      <c r="I44" t="s">
        <v>2366</v>
      </c>
      <c r="J44">
        <v>2904</v>
      </c>
      <c r="K44" t="s">
        <v>1432</v>
      </c>
      <c r="L44">
        <v>2100</v>
      </c>
      <c r="M44" t="s">
        <v>618</v>
      </c>
      <c r="N44">
        <v>2106</v>
      </c>
      <c r="O44" t="s">
        <v>1499</v>
      </c>
      <c r="P44" t="s">
        <v>2366</v>
      </c>
      <c r="Q44" t="s">
        <v>2364</v>
      </c>
      <c r="R44" t="s">
        <v>2364</v>
      </c>
      <c r="S44" t="s">
        <v>1881</v>
      </c>
      <c r="T44" t="s">
        <v>1812</v>
      </c>
      <c r="U44" t="s">
        <v>2365</v>
      </c>
      <c r="V44" t="s">
        <v>2365</v>
      </c>
      <c r="W44" t="s">
        <v>2365</v>
      </c>
      <c r="X44" t="s">
        <v>2365</v>
      </c>
      <c r="Y44" t="s">
        <v>2365</v>
      </c>
      <c r="Z44" t="s">
        <v>2365</v>
      </c>
      <c r="AA44" t="s">
        <v>2365</v>
      </c>
      <c r="AB44" t="s">
        <v>2365</v>
      </c>
      <c r="AC44" s="813" t="s">
        <v>2365</v>
      </c>
      <c r="AD44" s="813" t="s">
        <v>2365</v>
      </c>
      <c r="AE44" s="813" t="s">
        <v>2365</v>
      </c>
      <c r="AF44" t="s">
        <v>2365</v>
      </c>
      <c r="AG44" t="s">
        <v>2365</v>
      </c>
      <c r="AH44" t="s">
        <v>2365</v>
      </c>
      <c r="AI44" t="s">
        <v>2365</v>
      </c>
      <c r="AJ44" t="s">
        <v>2365</v>
      </c>
      <c r="AK44" t="s">
        <v>2365</v>
      </c>
      <c r="AL44" t="s">
        <v>2365</v>
      </c>
      <c r="AM44" t="s">
        <v>2365</v>
      </c>
      <c r="AN44" t="s">
        <v>2365</v>
      </c>
      <c r="AR44" t="s">
        <v>2365</v>
      </c>
      <c r="AS44" t="s">
        <v>2365</v>
      </c>
      <c r="AT44" t="s">
        <v>2365</v>
      </c>
      <c r="AU44" t="s">
        <v>2365</v>
      </c>
      <c r="AV44" t="s">
        <v>2365</v>
      </c>
      <c r="AW44" t="s">
        <v>2365</v>
      </c>
      <c r="AX44" t="s">
        <v>2365</v>
      </c>
      <c r="AY44" t="s">
        <v>2365</v>
      </c>
      <c r="AZ44" t="s">
        <v>2365</v>
      </c>
      <c r="BA44" t="s">
        <v>2365</v>
      </c>
      <c r="BB44" t="s">
        <v>2365</v>
      </c>
      <c r="BC44" t="s">
        <v>2365</v>
      </c>
      <c r="BD44" t="s">
        <v>2366</v>
      </c>
      <c r="BE44" t="s">
        <v>2365</v>
      </c>
      <c r="BF44" t="s">
        <v>2365</v>
      </c>
      <c r="BG44" t="s">
        <v>2365</v>
      </c>
      <c r="BH44" t="s">
        <v>2365</v>
      </c>
      <c r="BI44" t="s">
        <v>2366</v>
      </c>
      <c r="BJ44" t="s">
        <v>2365</v>
      </c>
      <c r="BK44" t="s">
        <v>2365</v>
      </c>
      <c r="BL44" t="s">
        <v>2365</v>
      </c>
      <c r="BM44" t="s">
        <v>2365</v>
      </c>
      <c r="BO44">
        <v>5</v>
      </c>
      <c r="BP44">
        <v>53</v>
      </c>
      <c r="BQ44" t="s">
        <v>2438</v>
      </c>
      <c r="BR44" t="s">
        <v>1499</v>
      </c>
      <c r="BU44">
        <v>0</v>
      </c>
      <c r="BV44">
        <v>0</v>
      </c>
      <c r="BW44">
        <v>0</v>
      </c>
      <c r="BX44">
        <v>0</v>
      </c>
      <c r="BY44">
        <v>0</v>
      </c>
      <c r="BZ44">
        <v>0</v>
      </c>
      <c r="CA44">
        <v>0</v>
      </c>
      <c r="CB44">
        <v>0</v>
      </c>
      <c r="CC44">
        <v>0</v>
      </c>
      <c r="CD44">
        <v>0</v>
      </c>
      <c r="CE44">
        <v>0</v>
      </c>
      <c r="CF44">
        <v>0</v>
      </c>
      <c r="CG44">
        <v>0</v>
      </c>
      <c r="CH44">
        <v>0</v>
      </c>
      <c r="CI44">
        <v>0</v>
      </c>
      <c r="CJ44">
        <v>0</v>
      </c>
      <c r="CK44">
        <v>0</v>
      </c>
      <c r="CL44">
        <v>0</v>
      </c>
      <c r="CM44">
        <v>0</v>
      </c>
      <c r="CR44" t="s">
        <v>2320</v>
      </c>
      <c r="CS44" s="1369" t="str">
        <f>INDEX([8]Sheet1!$H:$H,MATCH(CR:CR,[8]Sheet1!$AU:$AU,0))</f>
        <v>Administrative and Corporate Support</v>
      </c>
    </row>
    <row r="45" spans="1:97" x14ac:dyDescent="0.2">
      <c r="A45" t="s">
        <v>2465</v>
      </c>
      <c r="B45">
        <v>93</v>
      </c>
      <c r="C45" t="s">
        <v>2465</v>
      </c>
      <c r="D45">
        <v>40864</v>
      </c>
      <c r="E45" t="s">
        <v>2432</v>
      </c>
      <c r="F45">
        <v>2600</v>
      </c>
      <c r="G45" t="s">
        <v>655</v>
      </c>
      <c r="H45">
        <v>2600</v>
      </c>
      <c r="I45" t="s">
        <v>655</v>
      </c>
      <c r="J45" t="s">
        <v>2365</v>
      </c>
      <c r="K45" t="s">
        <v>2365</v>
      </c>
      <c r="L45">
        <v>2100</v>
      </c>
      <c r="M45" t="s">
        <v>618</v>
      </c>
      <c r="N45">
        <v>2106</v>
      </c>
      <c r="O45" t="s">
        <v>1499</v>
      </c>
      <c r="P45" t="s">
        <v>2366</v>
      </c>
      <c r="Q45" t="s">
        <v>2364</v>
      </c>
      <c r="R45" t="s">
        <v>2364</v>
      </c>
      <c r="S45" t="s">
        <v>1881</v>
      </c>
      <c r="T45" t="s">
        <v>1812</v>
      </c>
      <c r="U45" t="s">
        <v>2365</v>
      </c>
      <c r="V45" t="s">
        <v>2365</v>
      </c>
      <c r="W45" t="s">
        <v>2365</v>
      </c>
      <c r="X45" t="s">
        <v>2365</v>
      </c>
      <c r="Y45" t="s">
        <v>2365</v>
      </c>
      <c r="Z45" t="s">
        <v>2365</v>
      </c>
      <c r="AA45" t="s">
        <v>2365</v>
      </c>
      <c r="AB45" t="s">
        <v>2365</v>
      </c>
      <c r="AC45" s="813" t="s">
        <v>2365</v>
      </c>
      <c r="AD45" s="813" t="s">
        <v>2365</v>
      </c>
      <c r="AE45" s="813" t="s">
        <v>2365</v>
      </c>
      <c r="AF45" t="s">
        <v>2365</v>
      </c>
      <c r="AG45" t="s">
        <v>2365</v>
      </c>
      <c r="AH45" t="s">
        <v>2365</v>
      </c>
      <c r="AI45" t="s">
        <v>2365</v>
      </c>
      <c r="AJ45" t="s">
        <v>2365</v>
      </c>
      <c r="AK45" t="s">
        <v>2365</v>
      </c>
      <c r="AL45" t="s">
        <v>2365</v>
      </c>
      <c r="AM45" t="s">
        <v>2365</v>
      </c>
      <c r="AN45" t="s">
        <v>2365</v>
      </c>
      <c r="AR45" t="s">
        <v>2365</v>
      </c>
      <c r="AS45" t="s">
        <v>2365</v>
      </c>
      <c r="AT45" t="s">
        <v>2365</v>
      </c>
      <c r="AU45" t="s">
        <v>2365</v>
      </c>
      <c r="AV45" t="s">
        <v>2365</v>
      </c>
      <c r="AW45" t="s">
        <v>2365</v>
      </c>
      <c r="AX45" t="s">
        <v>2365</v>
      </c>
      <c r="AY45" t="s">
        <v>2365</v>
      </c>
      <c r="AZ45" t="s">
        <v>2365</v>
      </c>
      <c r="BA45" t="s">
        <v>2365</v>
      </c>
      <c r="BB45" t="s">
        <v>2365</v>
      </c>
      <c r="BC45" t="s">
        <v>2365</v>
      </c>
      <c r="BD45" t="s">
        <v>2366</v>
      </c>
      <c r="BE45" t="s">
        <v>2365</v>
      </c>
      <c r="BF45" t="s">
        <v>2365</v>
      </c>
      <c r="BG45" t="s">
        <v>2365</v>
      </c>
      <c r="BH45" t="s">
        <v>2365</v>
      </c>
      <c r="BI45" t="s">
        <v>2366</v>
      </c>
      <c r="BJ45" t="s">
        <v>2365</v>
      </c>
      <c r="BK45" t="s">
        <v>2365</v>
      </c>
      <c r="BL45" t="s">
        <v>2365</v>
      </c>
      <c r="BM45" t="s">
        <v>2365</v>
      </c>
      <c r="BO45">
        <v>5</v>
      </c>
      <c r="BP45">
        <v>53</v>
      </c>
      <c r="BQ45" t="s">
        <v>2438</v>
      </c>
      <c r="BR45" t="s">
        <v>1499</v>
      </c>
      <c r="BU45">
        <v>0</v>
      </c>
      <c r="BV45">
        <v>0</v>
      </c>
      <c r="BW45">
        <v>0</v>
      </c>
      <c r="BX45">
        <v>0</v>
      </c>
      <c r="BY45">
        <v>0</v>
      </c>
      <c r="BZ45">
        <v>0</v>
      </c>
      <c r="CA45">
        <v>0</v>
      </c>
      <c r="CB45">
        <v>0</v>
      </c>
      <c r="CC45">
        <v>0</v>
      </c>
      <c r="CD45">
        <v>0</v>
      </c>
      <c r="CE45">
        <v>0</v>
      </c>
      <c r="CF45">
        <v>0</v>
      </c>
      <c r="CG45">
        <v>0</v>
      </c>
      <c r="CH45">
        <v>0</v>
      </c>
      <c r="CI45">
        <v>0</v>
      </c>
      <c r="CJ45">
        <v>0</v>
      </c>
      <c r="CK45">
        <v>0</v>
      </c>
      <c r="CL45">
        <v>0</v>
      </c>
      <c r="CM45">
        <v>0</v>
      </c>
      <c r="CR45" t="s">
        <v>2320</v>
      </c>
      <c r="CS45" s="1369" t="str">
        <f>INDEX([8]Sheet1!$H:$H,MATCH(CR:CR,[8]Sheet1!$AU:$AU,0))</f>
        <v>Administrative and Corporate Support</v>
      </c>
    </row>
    <row r="46" spans="1:97" x14ac:dyDescent="0.2">
      <c r="A46" t="s">
        <v>2466</v>
      </c>
      <c r="B46">
        <v>94</v>
      </c>
      <c r="C46" t="s">
        <v>2466</v>
      </c>
      <c r="D46">
        <v>41062</v>
      </c>
      <c r="E46" t="s">
        <v>2464</v>
      </c>
      <c r="F46">
        <v>2900</v>
      </c>
      <c r="G46" t="s">
        <v>569</v>
      </c>
      <c r="H46" t="s">
        <v>2366</v>
      </c>
      <c r="I46" t="s">
        <v>2366</v>
      </c>
      <c r="J46">
        <v>2904</v>
      </c>
      <c r="K46" t="s">
        <v>1432</v>
      </c>
      <c r="L46">
        <v>2100</v>
      </c>
      <c r="M46" t="s">
        <v>618</v>
      </c>
      <c r="N46">
        <v>2106</v>
      </c>
      <c r="O46" t="s">
        <v>1499</v>
      </c>
      <c r="P46" t="s">
        <v>2366</v>
      </c>
      <c r="Q46" t="s">
        <v>2364</v>
      </c>
      <c r="R46" t="s">
        <v>2364</v>
      </c>
      <c r="S46" t="s">
        <v>1881</v>
      </c>
      <c r="T46" t="s">
        <v>1812</v>
      </c>
      <c r="U46" t="s">
        <v>2365</v>
      </c>
      <c r="V46" t="s">
        <v>2365</v>
      </c>
      <c r="W46" t="s">
        <v>2365</v>
      </c>
      <c r="X46" t="s">
        <v>2365</v>
      </c>
      <c r="Y46" t="s">
        <v>2365</v>
      </c>
      <c r="Z46" t="s">
        <v>2365</v>
      </c>
      <c r="AA46" t="s">
        <v>2365</v>
      </c>
      <c r="AB46" t="s">
        <v>2365</v>
      </c>
      <c r="AC46" s="813" t="s">
        <v>2365</v>
      </c>
      <c r="AD46" s="813" t="s">
        <v>2365</v>
      </c>
      <c r="AE46" s="813" t="s">
        <v>2365</v>
      </c>
      <c r="AF46" t="s">
        <v>2365</v>
      </c>
      <c r="AG46" t="s">
        <v>2365</v>
      </c>
      <c r="AH46" t="s">
        <v>2365</v>
      </c>
      <c r="AI46" t="s">
        <v>2365</v>
      </c>
      <c r="AJ46" t="s">
        <v>2365</v>
      </c>
      <c r="AK46" t="s">
        <v>2365</v>
      </c>
      <c r="AL46" t="s">
        <v>2365</v>
      </c>
      <c r="AM46" t="s">
        <v>2365</v>
      </c>
      <c r="AN46" t="s">
        <v>2365</v>
      </c>
      <c r="AR46" t="s">
        <v>2365</v>
      </c>
      <c r="AS46" t="s">
        <v>2365</v>
      </c>
      <c r="AT46" t="s">
        <v>2365</v>
      </c>
      <c r="AU46" t="s">
        <v>2365</v>
      </c>
      <c r="AV46" t="s">
        <v>2365</v>
      </c>
      <c r="AW46" t="s">
        <v>2365</v>
      </c>
      <c r="AX46" t="s">
        <v>2365</v>
      </c>
      <c r="AY46" t="s">
        <v>2365</v>
      </c>
      <c r="AZ46" t="s">
        <v>2365</v>
      </c>
      <c r="BA46" t="s">
        <v>2365</v>
      </c>
      <c r="BB46" t="s">
        <v>2365</v>
      </c>
      <c r="BC46" t="s">
        <v>2365</v>
      </c>
      <c r="BD46" t="s">
        <v>2366</v>
      </c>
      <c r="BE46" t="s">
        <v>2365</v>
      </c>
      <c r="BF46" t="s">
        <v>2365</v>
      </c>
      <c r="BG46" t="s">
        <v>2365</v>
      </c>
      <c r="BH46" t="s">
        <v>2365</v>
      </c>
      <c r="BI46" t="s">
        <v>2366</v>
      </c>
      <c r="BJ46" t="s">
        <v>2365</v>
      </c>
      <c r="BK46" t="s">
        <v>2365</v>
      </c>
      <c r="BL46" t="s">
        <v>2365</v>
      </c>
      <c r="BM46" t="s">
        <v>2365</v>
      </c>
      <c r="BO46">
        <v>5</v>
      </c>
      <c r="BP46">
        <v>53</v>
      </c>
      <c r="BQ46" t="s">
        <v>2438</v>
      </c>
      <c r="BR46" t="s">
        <v>1499</v>
      </c>
      <c r="BU46">
        <v>0</v>
      </c>
      <c r="BV46">
        <v>0</v>
      </c>
      <c r="BW46">
        <v>0</v>
      </c>
      <c r="BX46">
        <v>0</v>
      </c>
      <c r="BY46">
        <v>0</v>
      </c>
      <c r="BZ46">
        <v>0</v>
      </c>
      <c r="CA46">
        <v>0</v>
      </c>
      <c r="CB46">
        <v>0</v>
      </c>
      <c r="CC46">
        <v>0</v>
      </c>
      <c r="CD46">
        <v>0</v>
      </c>
      <c r="CE46">
        <v>0</v>
      </c>
      <c r="CF46">
        <v>0</v>
      </c>
      <c r="CG46">
        <v>0</v>
      </c>
      <c r="CH46">
        <v>0</v>
      </c>
      <c r="CI46">
        <v>0</v>
      </c>
      <c r="CJ46">
        <v>0</v>
      </c>
      <c r="CK46">
        <v>0</v>
      </c>
      <c r="CL46">
        <v>0</v>
      </c>
      <c r="CM46">
        <v>0</v>
      </c>
      <c r="CR46" t="s">
        <v>2320</v>
      </c>
      <c r="CS46" s="1369" t="str">
        <f>INDEX([8]Sheet1!$H:$H,MATCH(CR:CR,[8]Sheet1!$AU:$AU,0))</f>
        <v>Administrative and Corporate Support</v>
      </c>
    </row>
    <row r="47" spans="1:97" x14ac:dyDescent="0.2">
      <c r="A47" t="s">
        <v>2467</v>
      </c>
      <c r="B47">
        <v>95</v>
      </c>
      <c r="C47" t="s">
        <v>2467</v>
      </c>
      <c r="D47">
        <v>41063</v>
      </c>
      <c r="E47" t="s">
        <v>2468</v>
      </c>
      <c r="F47">
        <v>2600</v>
      </c>
      <c r="G47" t="s">
        <v>655</v>
      </c>
      <c r="H47">
        <v>2600</v>
      </c>
      <c r="I47" t="s">
        <v>655</v>
      </c>
      <c r="J47" t="s">
        <v>2365</v>
      </c>
      <c r="K47" t="s">
        <v>2365</v>
      </c>
      <c r="L47">
        <v>2100</v>
      </c>
      <c r="M47" t="s">
        <v>618</v>
      </c>
      <c r="N47">
        <v>2106</v>
      </c>
      <c r="O47" t="s">
        <v>1499</v>
      </c>
      <c r="P47" t="s">
        <v>2366</v>
      </c>
      <c r="Q47" t="s">
        <v>2364</v>
      </c>
      <c r="R47" t="s">
        <v>2364</v>
      </c>
      <c r="S47" t="s">
        <v>1881</v>
      </c>
      <c r="T47" t="s">
        <v>1812</v>
      </c>
      <c r="U47" t="s">
        <v>2365</v>
      </c>
      <c r="V47" t="s">
        <v>2365</v>
      </c>
      <c r="W47" t="s">
        <v>2365</v>
      </c>
      <c r="X47" t="s">
        <v>2365</v>
      </c>
      <c r="Y47" t="s">
        <v>2365</v>
      </c>
      <c r="Z47" t="s">
        <v>2365</v>
      </c>
      <c r="AA47" t="s">
        <v>2365</v>
      </c>
      <c r="AB47" t="s">
        <v>2365</v>
      </c>
      <c r="AC47" s="813" t="s">
        <v>2365</v>
      </c>
      <c r="AD47" s="813" t="s">
        <v>2365</v>
      </c>
      <c r="AE47" s="813" t="s">
        <v>2365</v>
      </c>
      <c r="AF47" t="s">
        <v>2365</v>
      </c>
      <c r="AG47" t="s">
        <v>2365</v>
      </c>
      <c r="AH47" t="s">
        <v>2365</v>
      </c>
      <c r="AI47" t="s">
        <v>2365</v>
      </c>
      <c r="AJ47" t="s">
        <v>2365</v>
      </c>
      <c r="AK47" t="s">
        <v>2365</v>
      </c>
      <c r="AL47" t="s">
        <v>2365</v>
      </c>
      <c r="AM47" t="s">
        <v>2365</v>
      </c>
      <c r="AN47" t="s">
        <v>2365</v>
      </c>
      <c r="AR47" t="s">
        <v>2365</v>
      </c>
      <c r="AS47" t="s">
        <v>2365</v>
      </c>
      <c r="AT47" t="s">
        <v>2365</v>
      </c>
      <c r="AU47" t="s">
        <v>2365</v>
      </c>
      <c r="AV47" t="s">
        <v>2365</v>
      </c>
      <c r="AW47" t="s">
        <v>2365</v>
      </c>
      <c r="AX47" t="s">
        <v>2365</v>
      </c>
      <c r="AY47" t="s">
        <v>2365</v>
      </c>
      <c r="AZ47" t="s">
        <v>2365</v>
      </c>
      <c r="BA47" t="s">
        <v>2365</v>
      </c>
      <c r="BB47" t="s">
        <v>2365</v>
      </c>
      <c r="BC47" t="s">
        <v>2365</v>
      </c>
      <c r="BD47" t="s">
        <v>2366</v>
      </c>
      <c r="BE47" t="s">
        <v>2365</v>
      </c>
      <c r="BF47" t="s">
        <v>2365</v>
      </c>
      <c r="BG47" t="s">
        <v>2365</v>
      </c>
      <c r="BH47" t="s">
        <v>2365</v>
      </c>
      <c r="BI47" t="s">
        <v>2366</v>
      </c>
      <c r="BJ47" t="s">
        <v>2365</v>
      </c>
      <c r="BK47" t="s">
        <v>2365</v>
      </c>
      <c r="BL47" t="s">
        <v>2365</v>
      </c>
      <c r="BM47" t="s">
        <v>2365</v>
      </c>
      <c r="BO47">
        <v>5</v>
      </c>
      <c r="BP47">
        <v>53</v>
      </c>
      <c r="BQ47" t="s">
        <v>2438</v>
      </c>
      <c r="BR47" t="s">
        <v>1499</v>
      </c>
      <c r="BU47">
        <v>0</v>
      </c>
      <c r="BV47">
        <v>0</v>
      </c>
      <c r="BW47">
        <v>0</v>
      </c>
      <c r="BX47">
        <v>0</v>
      </c>
      <c r="BY47">
        <v>0</v>
      </c>
      <c r="BZ47">
        <v>0</v>
      </c>
      <c r="CA47">
        <v>0</v>
      </c>
      <c r="CB47">
        <v>0</v>
      </c>
      <c r="CC47">
        <v>0</v>
      </c>
      <c r="CD47">
        <v>0</v>
      </c>
      <c r="CE47">
        <v>0</v>
      </c>
      <c r="CF47">
        <v>0</v>
      </c>
      <c r="CG47">
        <v>0</v>
      </c>
      <c r="CH47">
        <v>0</v>
      </c>
      <c r="CI47">
        <v>0</v>
      </c>
      <c r="CJ47">
        <v>0</v>
      </c>
      <c r="CK47">
        <v>0</v>
      </c>
      <c r="CL47">
        <v>0</v>
      </c>
      <c r="CM47">
        <v>0</v>
      </c>
      <c r="CR47" t="s">
        <v>2320</v>
      </c>
      <c r="CS47" s="1369" t="str">
        <f>INDEX([8]Sheet1!$H:$H,MATCH(CR:CR,[8]Sheet1!$AU:$AU,0))</f>
        <v>Administrative and Corporate Support</v>
      </c>
    </row>
    <row r="48" spans="1:97" x14ac:dyDescent="0.2">
      <c r="A48" t="s">
        <v>2469</v>
      </c>
      <c r="B48">
        <v>96</v>
      </c>
      <c r="C48" t="s">
        <v>2469</v>
      </c>
      <c r="D48">
        <v>41064</v>
      </c>
      <c r="E48" t="s">
        <v>2432</v>
      </c>
      <c r="F48">
        <v>2600</v>
      </c>
      <c r="G48" t="s">
        <v>655</v>
      </c>
      <c r="H48">
        <v>2600</v>
      </c>
      <c r="I48" t="s">
        <v>655</v>
      </c>
      <c r="J48" t="s">
        <v>2365</v>
      </c>
      <c r="K48" t="s">
        <v>2365</v>
      </c>
      <c r="L48">
        <v>2100</v>
      </c>
      <c r="M48" t="s">
        <v>618</v>
      </c>
      <c r="N48">
        <v>2106</v>
      </c>
      <c r="O48" t="s">
        <v>1499</v>
      </c>
      <c r="P48" t="s">
        <v>2366</v>
      </c>
      <c r="Q48" t="s">
        <v>2364</v>
      </c>
      <c r="R48" t="s">
        <v>2364</v>
      </c>
      <c r="S48" t="s">
        <v>1881</v>
      </c>
      <c r="T48" t="s">
        <v>1812</v>
      </c>
      <c r="U48" t="s">
        <v>2365</v>
      </c>
      <c r="V48" t="s">
        <v>2365</v>
      </c>
      <c r="W48" t="s">
        <v>2365</v>
      </c>
      <c r="X48" t="s">
        <v>2365</v>
      </c>
      <c r="Y48" t="s">
        <v>2365</v>
      </c>
      <c r="Z48" t="s">
        <v>2365</v>
      </c>
      <c r="AA48" t="s">
        <v>2365</v>
      </c>
      <c r="AB48" t="s">
        <v>2365</v>
      </c>
      <c r="AC48" s="813" t="s">
        <v>2365</v>
      </c>
      <c r="AD48" s="813" t="s">
        <v>2365</v>
      </c>
      <c r="AE48" s="813" t="s">
        <v>2365</v>
      </c>
      <c r="AF48" t="s">
        <v>2365</v>
      </c>
      <c r="AG48" t="s">
        <v>2365</v>
      </c>
      <c r="AH48" t="s">
        <v>2365</v>
      </c>
      <c r="AI48" t="s">
        <v>2365</v>
      </c>
      <c r="AJ48" t="s">
        <v>2365</v>
      </c>
      <c r="AK48" t="s">
        <v>2365</v>
      </c>
      <c r="AL48" t="s">
        <v>2365</v>
      </c>
      <c r="AM48" t="s">
        <v>2365</v>
      </c>
      <c r="AN48" t="s">
        <v>2365</v>
      </c>
      <c r="AR48" t="s">
        <v>2365</v>
      </c>
      <c r="AS48" t="s">
        <v>2365</v>
      </c>
      <c r="AT48" t="s">
        <v>2365</v>
      </c>
      <c r="AU48" t="s">
        <v>2365</v>
      </c>
      <c r="AV48" t="s">
        <v>2365</v>
      </c>
      <c r="AW48" t="s">
        <v>2365</v>
      </c>
      <c r="AX48" t="s">
        <v>2365</v>
      </c>
      <c r="AY48" t="s">
        <v>2365</v>
      </c>
      <c r="AZ48" t="s">
        <v>2365</v>
      </c>
      <c r="BA48" t="s">
        <v>2365</v>
      </c>
      <c r="BB48" t="s">
        <v>2365</v>
      </c>
      <c r="BC48" t="s">
        <v>2365</v>
      </c>
      <c r="BD48" t="s">
        <v>2366</v>
      </c>
      <c r="BE48" t="s">
        <v>2365</v>
      </c>
      <c r="BF48" t="s">
        <v>2365</v>
      </c>
      <c r="BG48" t="s">
        <v>2365</v>
      </c>
      <c r="BH48" t="s">
        <v>2365</v>
      </c>
      <c r="BI48" t="s">
        <v>2366</v>
      </c>
      <c r="BJ48" t="s">
        <v>2365</v>
      </c>
      <c r="BK48" t="s">
        <v>2365</v>
      </c>
      <c r="BL48" t="s">
        <v>2365</v>
      </c>
      <c r="BM48" t="s">
        <v>2365</v>
      </c>
      <c r="BO48">
        <v>5</v>
      </c>
      <c r="BP48">
        <v>53</v>
      </c>
      <c r="BQ48" t="s">
        <v>2438</v>
      </c>
      <c r="BR48" t="s">
        <v>1499</v>
      </c>
      <c r="BU48">
        <v>0</v>
      </c>
      <c r="BV48">
        <v>0</v>
      </c>
      <c r="BW48">
        <v>0</v>
      </c>
      <c r="BX48">
        <v>0</v>
      </c>
      <c r="BY48">
        <v>0</v>
      </c>
      <c r="BZ48">
        <v>0</v>
      </c>
      <c r="CA48">
        <v>0</v>
      </c>
      <c r="CB48">
        <v>0</v>
      </c>
      <c r="CC48">
        <v>0</v>
      </c>
      <c r="CD48">
        <v>0</v>
      </c>
      <c r="CE48">
        <v>0</v>
      </c>
      <c r="CF48">
        <v>0</v>
      </c>
      <c r="CG48">
        <v>0</v>
      </c>
      <c r="CH48">
        <v>0</v>
      </c>
      <c r="CI48">
        <v>0</v>
      </c>
      <c r="CJ48">
        <v>0</v>
      </c>
      <c r="CK48">
        <v>0</v>
      </c>
      <c r="CL48">
        <v>0</v>
      </c>
      <c r="CM48">
        <v>0</v>
      </c>
      <c r="CR48" t="s">
        <v>2320</v>
      </c>
      <c r="CS48" s="1369" t="str">
        <f>INDEX([8]Sheet1!$H:$H,MATCH(CR:CR,[8]Sheet1!$AU:$AU,0))</f>
        <v>Administrative and Corporate Support</v>
      </c>
    </row>
    <row r="49" spans="1:97" x14ac:dyDescent="0.2">
      <c r="A49" t="s">
        <v>2470</v>
      </c>
      <c r="B49">
        <v>97</v>
      </c>
      <c r="C49" t="s">
        <v>2470</v>
      </c>
      <c r="D49">
        <v>41065</v>
      </c>
      <c r="E49" t="s">
        <v>2471</v>
      </c>
      <c r="F49">
        <v>2000</v>
      </c>
      <c r="G49" t="s">
        <v>652</v>
      </c>
      <c r="H49" t="s">
        <v>2472</v>
      </c>
      <c r="I49" t="s">
        <v>1375</v>
      </c>
      <c r="J49">
        <v>2002</v>
      </c>
      <c r="K49" t="s">
        <v>1375</v>
      </c>
      <c r="L49">
        <v>2100</v>
      </c>
      <c r="M49" t="s">
        <v>618</v>
      </c>
      <c r="N49">
        <v>2106</v>
      </c>
      <c r="O49" t="s">
        <v>1499</v>
      </c>
      <c r="P49" t="s">
        <v>2366</v>
      </c>
      <c r="Q49" t="s">
        <v>2364</v>
      </c>
      <c r="R49" t="s">
        <v>2364</v>
      </c>
      <c r="S49" t="s">
        <v>1881</v>
      </c>
      <c r="T49" t="s">
        <v>1812</v>
      </c>
      <c r="U49" t="s">
        <v>2365</v>
      </c>
      <c r="V49" t="s">
        <v>2365</v>
      </c>
      <c r="W49" t="s">
        <v>2365</v>
      </c>
      <c r="X49" t="s">
        <v>2365</v>
      </c>
      <c r="Y49" t="s">
        <v>2365</v>
      </c>
      <c r="Z49" t="s">
        <v>2365</v>
      </c>
      <c r="AA49" t="s">
        <v>2365</v>
      </c>
      <c r="AB49" t="s">
        <v>2365</v>
      </c>
      <c r="AC49" s="813" t="s">
        <v>2365</v>
      </c>
      <c r="AD49" s="813" t="s">
        <v>2365</v>
      </c>
      <c r="AE49" s="813" t="s">
        <v>2365</v>
      </c>
      <c r="AF49" t="s">
        <v>2365</v>
      </c>
      <c r="AG49" t="s">
        <v>2365</v>
      </c>
      <c r="AH49" t="s">
        <v>2365</v>
      </c>
      <c r="AI49" t="s">
        <v>2365</v>
      </c>
      <c r="AJ49" t="s">
        <v>2365</v>
      </c>
      <c r="AK49" t="s">
        <v>2365</v>
      </c>
      <c r="AL49" t="s">
        <v>2365</v>
      </c>
      <c r="AM49" t="s">
        <v>2365</v>
      </c>
      <c r="AN49" t="s">
        <v>2365</v>
      </c>
      <c r="AR49" t="s">
        <v>2365</v>
      </c>
      <c r="AS49" t="s">
        <v>2365</v>
      </c>
      <c r="AT49" t="s">
        <v>2365</v>
      </c>
      <c r="AU49" t="s">
        <v>2365</v>
      </c>
      <c r="AV49" t="s">
        <v>2365</v>
      </c>
      <c r="AW49" t="s">
        <v>2365</v>
      </c>
      <c r="AX49" t="s">
        <v>2365</v>
      </c>
      <c r="AY49" t="s">
        <v>2365</v>
      </c>
      <c r="AZ49" t="s">
        <v>2365</v>
      </c>
      <c r="BA49" t="s">
        <v>2365</v>
      </c>
      <c r="BB49" t="s">
        <v>2365</v>
      </c>
      <c r="BC49" t="s">
        <v>2365</v>
      </c>
      <c r="BD49" t="s">
        <v>2366</v>
      </c>
      <c r="BE49" t="s">
        <v>2365</v>
      </c>
      <c r="BF49" t="s">
        <v>2365</v>
      </c>
      <c r="BG49" t="s">
        <v>2365</v>
      </c>
      <c r="BH49" t="s">
        <v>2365</v>
      </c>
      <c r="BI49" t="s">
        <v>2366</v>
      </c>
      <c r="BJ49" t="s">
        <v>2365</v>
      </c>
      <c r="BK49" t="s">
        <v>2365</v>
      </c>
      <c r="BL49" t="s">
        <v>2365</v>
      </c>
      <c r="BM49" t="s">
        <v>2365</v>
      </c>
      <c r="BN49" t="s">
        <v>2177</v>
      </c>
      <c r="BO49">
        <v>5</v>
      </c>
      <c r="BP49">
        <v>53</v>
      </c>
      <c r="BQ49" t="s">
        <v>2438</v>
      </c>
      <c r="BR49" t="s">
        <v>1499</v>
      </c>
      <c r="BU49">
        <v>0</v>
      </c>
      <c r="BV49">
        <v>0</v>
      </c>
      <c r="BW49">
        <v>0</v>
      </c>
      <c r="BX49">
        <v>0</v>
      </c>
      <c r="BY49">
        <v>0</v>
      </c>
      <c r="BZ49">
        <v>0</v>
      </c>
      <c r="CA49">
        <v>0</v>
      </c>
      <c r="CB49">
        <v>0</v>
      </c>
      <c r="CC49">
        <v>0</v>
      </c>
      <c r="CD49">
        <v>0</v>
      </c>
      <c r="CE49">
        <v>0</v>
      </c>
      <c r="CF49">
        <v>0</v>
      </c>
      <c r="CG49">
        <v>0</v>
      </c>
      <c r="CH49">
        <v>0</v>
      </c>
      <c r="CI49">
        <v>0</v>
      </c>
      <c r="CJ49">
        <v>0</v>
      </c>
      <c r="CK49">
        <v>0</v>
      </c>
      <c r="CL49">
        <v>0</v>
      </c>
      <c r="CM49">
        <v>0</v>
      </c>
      <c r="CR49" t="s">
        <v>2320</v>
      </c>
      <c r="CS49" s="1369" t="str">
        <f>INDEX([8]Sheet1!$H:$H,MATCH(CR:CR,[8]Sheet1!$AU:$AU,0))</f>
        <v>Administrative and Corporate Support</v>
      </c>
    </row>
    <row r="50" spans="1:97" x14ac:dyDescent="0.2">
      <c r="A50" t="s">
        <v>2473</v>
      </c>
      <c r="B50">
        <v>98</v>
      </c>
      <c r="C50" t="s">
        <v>2473</v>
      </c>
      <c r="D50">
        <v>41066</v>
      </c>
      <c r="E50" t="s">
        <v>2461</v>
      </c>
      <c r="F50">
        <v>2000</v>
      </c>
      <c r="G50" t="s">
        <v>652</v>
      </c>
      <c r="H50" t="s">
        <v>2462</v>
      </c>
      <c r="I50" t="s">
        <v>203</v>
      </c>
      <c r="J50">
        <v>2001</v>
      </c>
      <c r="K50" t="s">
        <v>203</v>
      </c>
      <c r="L50">
        <v>2100</v>
      </c>
      <c r="M50" t="s">
        <v>618</v>
      </c>
      <c r="N50">
        <v>2106</v>
      </c>
      <c r="O50" t="s">
        <v>1499</v>
      </c>
      <c r="P50" t="s">
        <v>2366</v>
      </c>
      <c r="Q50" t="s">
        <v>2364</v>
      </c>
      <c r="R50" t="s">
        <v>2364</v>
      </c>
      <c r="S50" t="s">
        <v>1881</v>
      </c>
      <c r="T50" t="s">
        <v>1812</v>
      </c>
      <c r="U50" t="s">
        <v>2365</v>
      </c>
      <c r="V50" t="s">
        <v>2365</v>
      </c>
      <c r="W50" t="s">
        <v>2365</v>
      </c>
      <c r="X50" t="s">
        <v>2365</v>
      </c>
      <c r="Y50" t="s">
        <v>2365</v>
      </c>
      <c r="Z50" t="s">
        <v>2365</v>
      </c>
      <c r="AA50" t="s">
        <v>2365</v>
      </c>
      <c r="AB50" t="s">
        <v>2365</v>
      </c>
      <c r="AC50" s="813" t="s">
        <v>2365</v>
      </c>
      <c r="AD50" s="813" t="s">
        <v>2365</v>
      </c>
      <c r="AE50" s="813" t="s">
        <v>2365</v>
      </c>
      <c r="AF50" t="s">
        <v>2365</v>
      </c>
      <c r="AG50" t="s">
        <v>2365</v>
      </c>
      <c r="AH50" t="s">
        <v>2365</v>
      </c>
      <c r="AI50" t="s">
        <v>2365</v>
      </c>
      <c r="AJ50" t="s">
        <v>2365</v>
      </c>
      <c r="AK50" t="s">
        <v>2365</v>
      </c>
      <c r="AL50" t="s">
        <v>2365</v>
      </c>
      <c r="AM50" t="s">
        <v>2365</v>
      </c>
      <c r="AN50" t="s">
        <v>2365</v>
      </c>
      <c r="AR50" t="s">
        <v>2365</v>
      </c>
      <c r="AS50" t="s">
        <v>2365</v>
      </c>
      <c r="AT50" t="s">
        <v>2365</v>
      </c>
      <c r="AU50" t="s">
        <v>2365</v>
      </c>
      <c r="AV50" t="s">
        <v>2365</v>
      </c>
      <c r="AW50" t="s">
        <v>2365</v>
      </c>
      <c r="AX50" t="s">
        <v>2365</v>
      </c>
      <c r="AY50" t="s">
        <v>2365</v>
      </c>
      <c r="AZ50" t="s">
        <v>2365</v>
      </c>
      <c r="BA50" t="s">
        <v>2365</v>
      </c>
      <c r="BB50" t="s">
        <v>2365</v>
      </c>
      <c r="BC50" t="s">
        <v>2365</v>
      </c>
      <c r="BD50" t="s">
        <v>2366</v>
      </c>
      <c r="BE50" t="s">
        <v>2365</v>
      </c>
      <c r="BF50" t="s">
        <v>2365</v>
      </c>
      <c r="BG50" t="s">
        <v>2365</v>
      </c>
      <c r="BH50" t="s">
        <v>2365</v>
      </c>
      <c r="BI50" t="s">
        <v>2366</v>
      </c>
      <c r="BJ50" t="s">
        <v>2365</v>
      </c>
      <c r="BK50" t="s">
        <v>2365</v>
      </c>
      <c r="BL50" t="s">
        <v>2365</v>
      </c>
      <c r="BM50" t="s">
        <v>2365</v>
      </c>
      <c r="BN50" t="s">
        <v>2177</v>
      </c>
      <c r="BO50">
        <v>5</v>
      </c>
      <c r="BP50">
        <v>53</v>
      </c>
      <c r="BQ50" t="s">
        <v>2438</v>
      </c>
      <c r="BR50" t="s">
        <v>1499</v>
      </c>
      <c r="BU50">
        <v>0</v>
      </c>
      <c r="BV50">
        <v>0</v>
      </c>
      <c r="BW50">
        <v>0</v>
      </c>
      <c r="BX50">
        <v>0</v>
      </c>
      <c r="BY50">
        <v>0</v>
      </c>
      <c r="BZ50">
        <v>0</v>
      </c>
      <c r="CA50">
        <v>0</v>
      </c>
      <c r="CB50">
        <v>0</v>
      </c>
      <c r="CC50">
        <v>0</v>
      </c>
      <c r="CD50">
        <v>0</v>
      </c>
      <c r="CE50">
        <v>0</v>
      </c>
      <c r="CF50">
        <v>0</v>
      </c>
      <c r="CG50">
        <v>0</v>
      </c>
      <c r="CH50">
        <v>0</v>
      </c>
      <c r="CI50">
        <v>0</v>
      </c>
      <c r="CJ50">
        <v>0</v>
      </c>
      <c r="CK50">
        <v>0</v>
      </c>
      <c r="CL50">
        <v>0</v>
      </c>
      <c r="CM50">
        <v>0</v>
      </c>
      <c r="CR50" t="s">
        <v>2320</v>
      </c>
      <c r="CS50" s="1369" t="str">
        <f>INDEX([8]Sheet1!$H:$H,MATCH(CR:CR,[8]Sheet1!$AU:$AU,0))</f>
        <v>Administrative and Corporate Support</v>
      </c>
    </row>
    <row r="51" spans="1:97" x14ac:dyDescent="0.2">
      <c r="A51" t="s">
        <v>2474</v>
      </c>
      <c r="B51">
        <v>99</v>
      </c>
      <c r="C51" t="s">
        <v>2474</v>
      </c>
      <c r="D51">
        <v>40769</v>
      </c>
      <c r="E51" t="s">
        <v>2455</v>
      </c>
      <c r="F51">
        <v>2900</v>
      </c>
      <c r="G51" t="s">
        <v>569</v>
      </c>
      <c r="H51" t="s">
        <v>2366</v>
      </c>
      <c r="I51" t="s">
        <v>2366</v>
      </c>
      <c r="J51">
        <v>2904</v>
      </c>
      <c r="K51" t="s">
        <v>1432</v>
      </c>
      <c r="L51">
        <v>2100</v>
      </c>
      <c r="M51" t="s">
        <v>618</v>
      </c>
      <c r="N51">
        <v>2114</v>
      </c>
      <c r="O51" t="s">
        <v>999</v>
      </c>
      <c r="P51" t="s">
        <v>2366</v>
      </c>
      <c r="Q51" t="s">
        <v>2364</v>
      </c>
      <c r="R51" t="s">
        <v>2364</v>
      </c>
      <c r="S51" t="s">
        <v>1881</v>
      </c>
      <c r="T51" t="s">
        <v>1812</v>
      </c>
      <c r="U51" t="s">
        <v>2365</v>
      </c>
      <c r="V51" t="s">
        <v>2365</v>
      </c>
      <c r="W51" t="s">
        <v>2365</v>
      </c>
      <c r="X51" t="s">
        <v>2365</v>
      </c>
      <c r="Y51" t="s">
        <v>2365</v>
      </c>
      <c r="Z51" t="s">
        <v>2365</v>
      </c>
      <c r="AA51" t="s">
        <v>2365</v>
      </c>
      <c r="AB51" t="s">
        <v>2365</v>
      </c>
      <c r="AC51" s="813" t="s">
        <v>2365</v>
      </c>
      <c r="AD51" s="813" t="s">
        <v>2365</v>
      </c>
      <c r="AE51" s="813" t="s">
        <v>2365</v>
      </c>
      <c r="AF51" t="s">
        <v>2365</v>
      </c>
      <c r="AG51" t="s">
        <v>2365</v>
      </c>
      <c r="AH51" t="s">
        <v>2365</v>
      </c>
      <c r="AI51" t="s">
        <v>2365</v>
      </c>
      <c r="AJ51" t="s">
        <v>2365</v>
      </c>
      <c r="AK51" t="s">
        <v>2365</v>
      </c>
      <c r="AL51" t="s">
        <v>2365</v>
      </c>
      <c r="AM51" t="s">
        <v>2365</v>
      </c>
      <c r="AN51" t="s">
        <v>2365</v>
      </c>
      <c r="AR51" t="s">
        <v>2365</v>
      </c>
      <c r="AS51" t="s">
        <v>2365</v>
      </c>
      <c r="AT51" t="s">
        <v>2365</v>
      </c>
      <c r="AU51" t="s">
        <v>2365</v>
      </c>
      <c r="AV51" t="s">
        <v>2365</v>
      </c>
      <c r="AW51" t="s">
        <v>2365</v>
      </c>
      <c r="AX51" t="s">
        <v>2365</v>
      </c>
      <c r="AY51" t="s">
        <v>2365</v>
      </c>
      <c r="AZ51" t="s">
        <v>2365</v>
      </c>
      <c r="BA51" t="s">
        <v>2365</v>
      </c>
      <c r="BB51" t="s">
        <v>2365</v>
      </c>
      <c r="BC51" t="s">
        <v>2365</v>
      </c>
      <c r="BD51" t="s">
        <v>2366</v>
      </c>
      <c r="BE51" t="s">
        <v>2365</v>
      </c>
      <c r="BF51" t="s">
        <v>2365</v>
      </c>
      <c r="BG51" t="s">
        <v>2365</v>
      </c>
      <c r="BH51" t="s">
        <v>2365</v>
      </c>
      <c r="BI51" t="s">
        <v>2366</v>
      </c>
      <c r="BJ51" t="s">
        <v>2365</v>
      </c>
      <c r="BK51" t="s">
        <v>2365</v>
      </c>
      <c r="BL51" t="s">
        <v>2365</v>
      </c>
      <c r="BM51" t="s">
        <v>2365</v>
      </c>
      <c r="BO51">
        <v>4</v>
      </c>
      <c r="BP51">
        <v>42</v>
      </c>
      <c r="BQ51" t="s">
        <v>2433</v>
      </c>
      <c r="BR51" t="s">
        <v>999</v>
      </c>
      <c r="BU51">
        <v>0</v>
      </c>
      <c r="BV51">
        <v>0</v>
      </c>
      <c r="BW51">
        <v>0</v>
      </c>
      <c r="BX51">
        <v>0</v>
      </c>
      <c r="BY51">
        <v>0</v>
      </c>
      <c r="BZ51">
        <v>0</v>
      </c>
      <c r="CA51">
        <v>0</v>
      </c>
      <c r="CB51">
        <v>0</v>
      </c>
      <c r="CC51">
        <v>0</v>
      </c>
      <c r="CD51">
        <v>0</v>
      </c>
      <c r="CE51">
        <v>0</v>
      </c>
      <c r="CF51">
        <v>0</v>
      </c>
      <c r="CG51">
        <v>0</v>
      </c>
      <c r="CH51">
        <v>0</v>
      </c>
      <c r="CI51">
        <v>0</v>
      </c>
      <c r="CJ51">
        <v>0</v>
      </c>
      <c r="CK51">
        <v>0</v>
      </c>
      <c r="CL51">
        <v>0</v>
      </c>
      <c r="CM51">
        <v>0</v>
      </c>
      <c r="CR51" t="s">
        <v>2320</v>
      </c>
      <c r="CS51" s="1369" t="str">
        <f>INDEX([8]Sheet1!$H:$H,MATCH(CR:CR,[8]Sheet1!$AU:$AU,0))</f>
        <v>Administrative and Corporate Support</v>
      </c>
    </row>
    <row r="52" spans="1:97" x14ac:dyDescent="0.2">
      <c r="A52" t="s">
        <v>2475</v>
      </c>
      <c r="B52">
        <v>100</v>
      </c>
      <c r="C52" t="s">
        <v>2475</v>
      </c>
      <c r="D52">
        <v>40770</v>
      </c>
      <c r="E52" t="s">
        <v>2427</v>
      </c>
      <c r="F52">
        <v>2700</v>
      </c>
      <c r="G52" t="s">
        <v>656</v>
      </c>
      <c r="H52" t="s">
        <v>2428</v>
      </c>
      <c r="I52" t="s">
        <v>1800</v>
      </c>
      <c r="J52">
        <v>2701</v>
      </c>
      <c r="K52" t="s">
        <v>1800</v>
      </c>
      <c r="L52">
        <v>2100</v>
      </c>
      <c r="M52" t="s">
        <v>618</v>
      </c>
      <c r="N52">
        <v>2114</v>
      </c>
      <c r="O52" t="s">
        <v>999</v>
      </c>
      <c r="P52" t="s">
        <v>2366</v>
      </c>
      <c r="Q52" t="s">
        <v>2364</v>
      </c>
      <c r="R52" t="s">
        <v>2364</v>
      </c>
      <c r="S52" t="s">
        <v>1881</v>
      </c>
      <c r="T52" t="s">
        <v>1812</v>
      </c>
      <c r="U52" t="s">
        <v>2365</v>
      </c>
      <c r="V52" t="s">
        <v>2365</v>
      </c>
      <c r="W52" t="s">
        <v>2365</v>
      </c>
      <c r="X52" t="s">
        <v>2365</v>
      </c>
      <c r="Y52" t="s">
        <v>2365</v>
      </c>
      <c r="Z52" t="s">
        <v>2365</v>
      </c>
      <c r="AA52" t="s">
        <v>2365</v>
      </c>
      <c r="AB52" t="s">
        <v>2365</v>
      </c>
      <c r="AC52" s="813" t="s">
        <v>2365</v>
      </c>
      <c r="AD52" s="813" t="s">
        <v>2365</v>
      </c>
      <c r="AE52" s="813" t="s">
        <v>2365</v>
      </c>
      <c r="AF52" t="s">
        <v>2365</v>
      </c>
      <c r="AG52" t="s">
        <v>2365</v>
      </c>
      <c r="AH52" t="s">
        <v>2365</v>
      </c>
      <c r="AI52" t="s">
        <v>2365</v>
      </c>
      <c r="AJ52" t="s">
        <v>2365</v>
      </c>
      <c r="AK52" t="s">
        <v>2365</v>
      </c>
      <c r="AL52" t="s">
        <v>2365</v>
      </c>
      <c r="AM52" t="s">
        <v>2365</v>
      </c>
      <c r="AN52" t="s">
        <v>2365</v>
      </c>
      <c r="AR52" t="s">
        <v>2365</v>
      </c>
      <c r="AS52" t="s">
        <v>2365</v>
      </c>
      <c r="AT52" t="s">
        <v>2365</v>
      </c>
      <c r="AU52" t="s">
        <v>2365</v>
      </c>
      <c r="AV52" t="s">
        <v>2365</v>
      </c>
      <c r="AW52" t="s">
        <v>2365</v>
      </c>
      <c r="AX52" t="s">
        <v>2365</v>
      </c>
      <c r="AY52" t="s">
        <v>2365</v>
      </c>
      <c r="AZ52" t="s">
        <v>2365</v>
      </c>
      <c r="BA52" t="s">
        <v>2365</v>
      </c>
      <c r="BB52" t="s">
        <v>2365</v>
      </c>
      <c r="BC52" t="s">
        <v>2365</v>
      </c>
      <c r="BD52" t="s">
        <v>2366</v>
      </c>
      <c r="BE52" t="s">
        <v>2365</v>
      </c>
      <c r="BF52" t="s">
        <v>2365</v>
      </c>
      <c r="BG52" t="s">
        <v>2365</v>
      </c>
      <c r="BH52" t="s">
        <v>2365</v>
      </c>
      <c r="BI52" t="s">
        <v>2366</v>
      </c>
      <c r="BJ52" t="s">
        <v>2365</v>
      </c>
      <c r="BK52" t="s">
        <v>2365</v>
      </c>
      <c r="BL52" t="s">
        <v>2365</v>
      </c>
      <c r="BM52" t="s">
        <v>2365</v>
      </c>
      <c r="BO52">
        <v>4</v>
      </c>
      <c r="BP52">
        <v>42</v>
      </c>
      <c r="BQ52" t="s">
        <v>2433</v>
      </c>
      <c r="BR52" t="s">
        <v>999</v>
      </c>
      <c r="BU52">
        <v>0</v>
      </c>
      <c r="BV52">
        <v>0</v>
      </c>
      <c r="BW52">
        <v>0</v>
      </c>
      <c r="BX52">
        <v>0</v>
      </c>
      <c r="BY52">
        <v>0</v>
      </c>
      <c r="BZ52">
        <v>0</v>
      </c>
      <c r="CA52">
        <v>0</v>
      </c>
      <c r="CB52">
        <v>0</v>
      </c>
      <c r="CC52">
        <v>0</v>
      </c>
      <c r="CD52">
        <v>0</v>
      </c>
      <c r="CE52">
        <v>0</v>
      </c>
      <c r="CF52">
        <v>0</v>
      </c>
      <c r="CG52">
        <v>0</v>
      </c>
      <c r="CH52">
        <v>0</v>
      </c>
      <c r="CI52">
        <v>0</v>
      </c>
      <c r="CJ52">
        <v>0</v>
      </c>
      <c r="CK52">
        <v>0</v>
      </c>
      <c r="CL52">
        <v>0</v>
      </c>
      <c r="CM52">
        <v>0</v>
      </c>
      <c r="CR52" t="s">
        <v>2320</v>
      </c>
      <c r="CS52" s="1369" t="str">
        <f>INDEX([8]Sheet1!$H:$H,MATCH(CR:CR,[8]Sheet1!$AU:$AU,0))</f>
        <v>Administrative and Corporate Support</v>
      </c>
    </row>
    <row r="53" spans="1:97" x14ac:dyDescent="0.2">
      <c r="A53" t="s">
        <v>2476</v>
      </c>
      <c r="B53">
        <v>101</v>
      </c>
      <c r="C53" t="s">
        <v>2476</v>
      </c>
      <c r="D53">
        <v>40771</v>
      </c>
      <c r="E53" t="s">
        <v>2477</v>
      </c>
      <c r="F53">
        <v>2700</v>
      </c>
      <c r="G53" t="s">
        <v>656</v>
      </c>
      <c r="H53" t="s">
        <v>2478</v>
      </c>
      <c r="I53" t="s">
        <v>1802</v>
      </c>
      <c r="J53">
        <v>2703</v>
      </c>
      <c r="K53" t="s">
        <v>1802</v>
      </c>
      <c r="L53">
        <v>2100</v>
      </c>
      <c r="M53" t="s">
        <v>618</v>
      </c>
      <c r="N53">
        <v>2114</v>
      </c>
      <c r="O53" t="s">
        <v>999</v>
      </c>
      <c r="P53" t="s">
        <v>2366</v>
      </c>
      <c r="Q53" t="s">
        <v>2364</v>
      </c>
      <c r="R53" t="s">
        <v>2364</v>
      </c>
      <c r="S53" t="s">
        <v>1881</v>
      </c>
      <c r="T53" t="s">
        <v>1812</v>
      </c>
      <c r="U53" t="s">
        <v>2365</v>
      </c>
      <c r="V53" t="s">
        <v>2365</v>
      </c>
      <c r="W53" t="s">
        <v>2365</v>
      </c>
      <c r="X53" t="s">
        <v>2365</v>
      </c>
      <c r="Y53" t="s">
        <v>2365</v>
      </c>
      <c r="Z53" t="s">
        <v>2365</v>
      </c>
      <c r="AA53" t="s">
        <v>2365</v>
      </c>
      <c r="AB53" t="s">
        <v>2365</v>
      </c>
      <c r="AC53" s="813" t="s">
        <v>2365</v>
      </c>
      <c r="AD53" s="813" t="s">
        <v>2365</v>
      </c>
      <c r="AE53" s="813" t="s">
        <v>2365</v>
      </c>
      <c r="AF53" t="s">
        <v>2365</v>
      </c>
      <c r="AG53" t="s">
        <v>2365</v>
      </c>
      <c r="AH53" t="s">
        <v>2365</v>
      </c>
      <c r="AI53" t="s">
        <v>2365</v>
      </c>
      <c r="AJ53" t="s">
        <v>2365</v>
      </c>
      <c r="AK53" t="s">
        <v>2365</v>
      </c>
      <c r="AL53" t="s">
        <v>2365</v>
      </c>
      <c r="AM53" t="s">
        <v>2365</v>
      </c>
      <c r="AN53" t="s">
        <v>2365</v>
      </c>
      <c r="AR53" t="s">
        <v>2365</v>
      </c>
      <c r="AS53" t="s">
        <v>2365</v>
      </c>
      <c r="AT53" t="s">
        <v>2365</v>
      </c>
      <c r="AU53" t="s">
        <v>2365</v>
      </c>
      <c r="AV53" t="s">
        <v>2365</v>
      </c>
      <c r="AW53" t="s">
        <v>2365</v>
      </c>
      <c r="AX53" t="s">
        <v>2365</v>
      </c>
      <c r="AY53" t="s">
        <v>2365</v>
      </c>
      <c r="AZ53" t="s">
        <v>2365</v>
      </c>
      <c r="BA53" t="s">
        <v>2365</v>
      </c>
      <c r="BB53" t="s">
        <v>2365</v>
      </c>
      <c r="BC53" t="s">
        <v>2365</v>
      </c>
      <c r="BD53" t="s">
        <v>2366</v>
      </c>
      <c r="BE53" t="s">
        <v>2365</v>
      </c>
      <c r="BF53" t="s">
        <v>2365</v>
      </c>
      <c r="BG53" t="s">
        <v>2365</v>
      </c>
      <c r="BH53" t="s">
        <v>2365</v>
      </c>
      <c r="BI53" t="s">
        <v>2366</v>
      </c>
      <c r="BJ53" t="s">
        <v>2365</v>
      </c>
      <c r="BK53" t="s">
        <v>2365</v>
      </c>
      <c r="BL53" t="s">
        <v>2365</v>
      </c>
      <c r="BM53" t="s">
        <v>2365</v>
      </c>
      <c r="BO53">
        <v>4</v>
      </c>
      <c r="BP53">
        <v>42</v>
      </c>
      <c r="BQ53" t="s">
        <v>2433</v>
      </c>
      <c r="BR53" t="s">
        <v>999</v>
      </c>
      <c r="BU53">
        <v>0</v>
      </c>
      <c r="BV53">
        <v>0</v>
      </c>
      <c r="BW53">
        <v>0</v>
      </c>
      <c r="BX53">
        <v>0</v>
      </c>
      <c r="BY53">
        <v>0</v>
      </c>
      <c r="BZ53">
        <v>0</v>
      </c>
      <c r="CA53">
        <v>0</v>
      </c>
      <c r="CB53">
        <v>0</v>
      </c>
      <c r="CC53">
        <v>0</v>
      </c>
      <c r="CD53">
        <v>0</v>
      </c>
      <c r="CE53">
        <v>0</v>
      </c>
      <c r="CF53">
        <v>0</v>
      </c>
      <c r="CG53">
        <v>0</v>
      </c>
      <c r="CH53">
        <v>0</v>
      </c>
      <c r="CI53">
        <v>0</v>
      </c>
      <c r="CJ53">
        <v>0</v>
      </c>
      <c r="CK53">
        <v>0</v>
      </c>
      <c r="CL53">
        <v>0</v>
      </c>
      <c r="CM53">
        <v>0</v>
      </c>
      <c r="CR53" t="s">
        <v>2320</v>
      </c>
      <c r="CS53" s="1369" t="str">
        <f>INDEX([8]Sheet1!$H:$H,MATCH(CR:CR,[8]Sheet1!$AU:$AU,0))</f>
        <v>Administrative and Corporate Support</v>
      </c>
    </row>
    <row r="54" spans="1:97" x14ac:dyDescent="0.2">
      <c r="A54" t="s">
        <v>2479</v>
      </c>
      <c r="B54">
        <v>103</v>
      </c>
      <c r="C54" t="s">
        <v>2479</v>
      </c>
      <c r="D54">
        <v>40765</v>
      </c>
      <c r="E54" t="s">
        <v>2455</v>
      </c>
      <c r="F54">
        <v>2900</v>
      </c>
      <c r="G54" t="s">
        <v>569</v>
      </c>
      <c r="H54" t="s">
        <v>2366</v>
      </c>
      <c r="I54" t="s">
        <v>2366</v>
      </c>
      <c r="J54">
        <v>2904</v>
      </c>
      <c r="K54" t="s">
        <v>1432</v>
      </c>
      <c r="L54">
        <v>2100</v>
      </c>
      <c r="M54" t="s">
        <v>618</v>
      </c>
      <c r="N54">
        <v>2114</v>
      </c>
      <c r="O54" t="s">
        <v>999</v>
      </c>
      <c r="P54" t="s">
        <v>2366</v>
      </c>
      <c r="Q54" t="s">
        <v>2364</v>
      </c>
      <c r="R54" t="s">
        <v>2364</v>
      </c>
      <c r="S54" t="s">
        <v>1881</v>
      </c>
      <c r="T54" t="s">
        <v>1812</v>
      </c>
      <c r="U54" t="s">
        <v>2365</v>
      </c>
      <c r="V54" t="s">
        <v>2365</v>
      </c>
      <c r="W54" t="s">
        <v>2365</v>
      </c>
      <c r="X54" t="s">
        <v>2365</v>
      </c>
      <c r="Y54" t="s">
        <v>2365</v>
      </c>
      <c r="Z54" t="s">
        <v>2365</v>
      </c>
      <c r="AA54" t="s">
        <v>2365</v>
      </c>
      <c r="AB54" t="s">
        <v>2365</v>
      </c>
      <c r="AC54" s="813" t="s">
        <v>2365</v>
      </c>
      <c r="AD54" s="813" t="s">
        <v>2365</v>
      </c>
      <c r="AE54" s="813" t="s">
        <v>2365</v>
      </c>
      <c r="AF54" t="s">
        <v>2365</v>
      </c>
      <c r="AG54" t="s">
        <v>2365</v>
      </c>
      <c r="AH54" t="s">
        <v>2365</v>
      </c>
      <c r="AI54" t="s">
        <v>2365</v>
      </c>
      <c r="AJ54" t="s">
        <v>2365</v>
      </c>
      <c r="AK54" t="s">
        <v>2365</v>
      </c>
      <c r="AL54" t="s">
        <v>2365</v>
      </c>
      <c r="AM54" t="s">
        <v>2365</v>
      </c>
      <c r="AN54" t="s">
        <v>2365</v>
      </c>
      <c r="AR54" t="s">
        <v>2365</v>
      </c>
      <c r="AS54" t="s">
        <v>2365</v>
      </c>
      <c r="AT54" t="s">
        <v>2365</v>
      </c>
      <c r="AU54" t="s">
        <v>2365</v>
      </c>
      <c r="AV54" t="s">
        <v>2365</v>
      </c>
      <c r="AW54" t="s">
        <v>2365</v>
      </c>
      <c r="AX54" t="s">
        <v>2365</v>
      </c>
      <c r="AY54" t="s">
        <v>2365</v>
      </c>
      <c r="AZ54" t="s">
        <v>2365</v>
      </c>
      <c r="BA54" t="s">
        <v>2365</v>
      </c>
      <c r="BB54" t="s">
        <v>2365</v>
      </c>
      <c r="BC54" t="s">
        <v>2365</v>
      </c>
      <c r="BD54" t="s">
        <v>2366</v>
      </c>
      <c r="BE54" t="s">
        <v>2365</v>
      </c>
      <c r="BF54" t="s">
        <v>2365</v>
      </c>
      <c r="BG54" t="s">
        <v>2365</v>
      </c>
      <c r="BH54" t="s">
        <v>2365</v>
      </c>
      <c r="BI54" t="s">
        <v>2366</v>
      </c>
      <c r="BJ54" t="s">
        <v>2365</v>
      </c>
      <c r="BK54" t="s">
        <v>2365</v>
      </c>
      <c r="BL54" t="s">
        <v>2365</v>
      </c>
      <c r="BM54" t="s">
        <v>2365</v>
      </c>
      <c r="BO54">
        <v>4</v>
      </c>
      <c r="BP54">
        <v>42</v>
      </c>
      <c r="BQ54" t="s">
        <v>2433</v>
      </c>
      <c r="BR54" t="s">
        <v>999</v>
      </c>
      <c r="BU54">
        <v>56650</v>
      </c>
      <c r="BV54">
        <v>0</v>
      </c>
      <c r="BW54">
        <v>56650</v>
      </c>
      <c r="BX54">
        <v>0</v>
      </c>
      <c r="BY54">
        <v>56650</v>
      </c>
      <c r="BZ54">
        <v>60049</v>
      </c>
      <c r="CA54">
        <v>63652</v>
      </c>
      <c r="CB54">
        <v>0</v>
      </c>
      <c r="CC54">
        <v>0</v>
      </c>
      <c r="CD54">
        <v>0</v>
      </c>
      <c r="CE54">
        <v>0</v>
      </c>
      <c r="CF54">
        <v>0</v>
      </c>
      <c r="CG54">
        <v>0</v>
      </c>
      <c r="CH54">
        <v>0</v>
      </c>
      <c r="CI54">
        <v>0</v>
      </c>
      <c r="CJ54">
        <v>0</v>
      </c>
      <c r="CK54">
        <v>0</v>
      </c>
      <c r="CL54">
        <v>0</v>
      </c>
      <c r="CM54">
        <v>0</v>
      </c>
      <c r="CR54" t="s">
        <v>2320</v>
      </c>
      <c r="CS54" s="1369" t="str">
        <f>INDEX([8]Sheet1!$H:$H,MATCH(CR:CR,[8]Sheet1!$AU:$AU,0))</f>
        <v>Administrative and Corporate Support</v>
      </c>
    </row>
    <row r="55" spans="1:97" x14ac:dyDescent="0.2">
      <c r="A55" t="s">
        <v>2480</v>
      </c>
      <c r="B55">
        <v>104</v>
      </c>
      <c r="C55" t="s">
        <v>2480</v>
      </c>
      <c r="D55">
        <v>40766</v>
      </c>
      <c r="E55" t="s">
        <v>2481</v>
      </c>
      <c r="F55">
        <v>2700</v>
      </c>
      <c r="G55" t="s">
        <v>656</v>
      </c>
      <c r="H55" t="s">
        <v>2478</v>
      </c>
      <c r="I55" t="s">
        <v>1802</v>
      </c>
      <c r="J55">
        <v>2703</v>
      </c>
      <c r="K55" t="s">
        <v>1802</v>
      </c>
      <c r="L55">
        <v>2100</v>
      </c>
      <c r="M55" t="s">
        <v>618</v>
      </c>
      <c r="N55">
        <v>2114</v>
      </c>
      <c r="O55" t="s">
        <v>999</v>
      </c>
      <c r="P55" t="s">
        <v>2366</v>
      </c>
      <c r="Q55" t="s">
        <v>2364</v>
      </c>
      <c r="R55" t="s">
        <v>2364</v>
      </c>
      <c r="S55" t="s">
        <v>1881</v>
      </c>
      <c r="T55" t="s">
        <v>1812</v>
      </c>
      <c r="U55" t="s">
        <v>2365</v>
      </c>
      <c r="V55" t="s">
        <v>2365</v>
      </c>
      <c r="W55" t="s">
        <v>2365</v>
      </c>
      <c r="X55" t="s">
        <v>2365</v>
      </c>
      <c r="Y55" t="s">
        <v>2365</v>
      </c>
      <c r="Z55" t="s">
        <v>2365</v>
      </c>
      <c r="AA55" t="s">
        <v>2365</v>
      </c>
      <c r="AB55" t="s">
        <v>2365</v>
      </c>
      <c r="AC55" s="813" t="s">
        <v>2365</v>
      </c>
      <c r="AD55" s="813" t="s">
        <v>2365</v>
      </c>
      <c r="AE55" s="813" t="s">
        <v>2365</v>
      </c>
      <c r="AF55" t="s">
        <v>2365</v>
      </c>
      <c r="AG55" t="s">
        <v>2365</v>
      </c>
      <c r="AH55" t="s">
        <v>2365</v>
      </c>
      <c r="AI55" t="s">
        <v>2365</v>
      </c>
      <c r="AJ55" t="s">
        <v>2365</v>
      </c>
      <c r="AK55" t="s">
        <v>2365</v>
      </c>
      <c r="AL55" t="s">
        <v>2365</v>
      </c>
      <c r="AM55" t="s">
        <v>2365</v>
      </c>
      <c r="AN55" t="s">
        <v>2365</v>
      </c>
      <c r="AR55" t="s">
        <v>2365</v>
      </c>
      <c r="AS55" t="s">
        <v>2365</v>
      </c>
      <c r="AT55" t="s">
        <v>2365</v>
      </c>
      <c r="AU55" t="s">
        <v>2365</v>
      </c>
      <c r="AV55" t="s">
        <v>2365</v>
      </c>
      <c r="AW55" t="s">
        <v>2365</v>
      </c>
      <c r="AX55" t="s">
        <v>2365</v>
      </c>
      <c r="AY55" t="s">
        <v>2365</v>
      </c>
      <c r="AZ55" t="s">
        <v>2365</v>
      </c>
      <c r="BA55" t="s">
        <v>2365</v>
      </c>
      <c r="BB55" t="s">
        <v>2365</v>
      </c>
      <c r="BC55" t="s">
        <v>2365</v>
      </c>
      <c r="BD55" t="s">
        <v>2366</v>
      </c>
      <c r="BE55" t="s">
        <v>2365</v>
      </c>
      <c r="BF55" t="s">
        <v>2365</v>
      </c>
      <c r="BG55" t="s">
        <v>2365</v>
      </c>
      <c r="BH55" t="s">
        <v>2365</v>
      </c>
      <c r="BI55" t="s">
        <v>2366</v>
      </c>
      <c r="BJ55" t="s">
        <v>2365</v>
      </c>
      <c r="BK55" t="s">
        <v>2365</v>
      </c>
      <c r="BL55" t="s">
        <v>2365</v>
      </c>
      <c r="BM55" t="s">
        <v>2365</v>
      </c>
      <c r="BO55">
        <v>4</v>
      </c>
      <c r="BP55">
        <v>42</v>
      </c>
      <c r="BQ55" t="s">
        <v>2433</v>
      </c>
      <c r="BR55" t="s">
        <v>999</v>
      </c>
      <c r="BU55">
        <v>10600</v>
      </c>
      <c r="BV55">
        <v>0</v>
      </c>
      <c r="BW55">
        <v>10600</v>
      </c>
      <c r="BX55">
        <v>0</v>
      </c>
      <c r="BY55">
        <v>10600</v>
      </c>
      <c r="BZ55">
        <v>11236</v>
      </c>
      <c r="CA55">
        <v>11910</v>
      </c>
      <c r="CB55">
        <v>0</v>
      </c>
      <c r="CC55">
        <v>0</v>
      </c>
      <c r="CD55">
        <v>0</v>
      </c>
      <c r="CE55">
        <v>0</v>
      </c>
      <c r="CF55">
        <v>0</v>
      </c>
      <c r="CG55">
        <v>0</v>
      </c>
      <c r="CH55">
        <v>0</v>
      </c>
      <c r="CI55">
        <v>0</v>
      </c>
      <c r="CJ55">
        <v>0</v>
      </c>
      <c r="CK55">
        <v>0</v>
      </c>
      <c r="CL55">
        <v>0</v>
      </c>
      <c r="CM55">
        <v>0</v>
      </c>
      <c r="CR55" t="s">
        <v>2320</v>
      </c>
      <c r="CS55" s="1369" t="str">
        <f>INDEX([8]Sheet1!$H:$H,MATCH(CR:CR,[8]Sheet1!$AU:$AU,0))</f>
        <v>Administrative and Corporate Support</v>
      </c>
    </row>
    <row r="56" spans="1:97" x14ac:dyDescent="0.2">
      <c r="A56" t="s">
        <v>2482</v>
      </c>
      <c r="B56">
        <v>105</v>
      </c>
      <c r="C56" t="s">
        <v>2482</v>
      </c>
      <c r="D56">
        <v>40767</v>
      </c>
      <c r="E56" t="s">
        <v>2483</v>
      </c>
      <c r="F56">
        <v>2900</v>
      </c>
      <c r="G56" t="s">
        <v>569</v>
      </c>
      <c r="H56" t="s">
        <v>2366</v>
      </c>
      <c r="I56" t="s">
        <v>2366</v>
      </c>
      <c r="J56">
        <v>2904</v>
      </c>
      <c r="K56" t="s">
        <v>1432</v>
      </c>
      <c r="L56">
        <v>2100</v>
      </c>
      <c r="M56" t="s">
        <v>618</v>
      </c>
      <c r="N56">
        <v>2114</v>
      </c>
      <c r="O56" t="s">
        <v>999</v>
      </c>
      <c r="P56" t="s">
        <v>2366</v>
      </c>
      <c r="Q56" t="s">
        <v>2364</v>
      </c>
      <c r="R56" t="s">
        <v>2364</v>
      </c>
      <c r="S56" t="s">
        <v>1881</v>
      </c>
      <c r="T56" t="s">
        <v>1812</v>
      </c>
      <c r="U56" t="s">
        <v>2365</v>
      </c>
      <c r="V56" t="s">
        <v>2365</v>
      </c>
      <c r="W56" t="s">
        <v>2365</v>
      </c>
      <c r="X56" t="s">
        <v>2365</v>
      </c>
      <c r="Y56" t="s">
        <v>2365</v>
      </c>
      <c r="Z56" t="s">
        <v>2365</v>
      </c>
      <c r="AA56" t="s">
        <v>2365</v>
      </c>
      <c r="AB56" t="s">
        <v>2365</v>
      </c>
      <c r="AC56" s="813" t="s">
        <v>2365</v>
      </c>
      <c r="AD56" s="813" t="s">
        <v>2365</v>
      </c>
      <c r="AE56" s="813" t="s">
        <v>2365</v>
      </c>
      <c r="AF56" t="s">
        <v>2365</v>
      </c>
      <c r="AG56" t="s">
        <v>2365</v>
      </c>
      <c r="AH56" t="s">
        <v>2365</v>
      </c>
      <c r="AI56" t="s">
        <v>2365</v>
      </c>
      <c r="AJ56" t="s">
        <v>2365</v>
      </c>
      <c r="AK56" t="s">
        <v>2365</v>
      </c>
      <c r="AL56" t="s">
        <v>2365</v>
      </c>
      <c r="AM56" t="s">
        <v>2365</v>
      </c>
      <c r="AN56" t="s">
        <v>2365</v>
      </c>
      <c r="AR56" t="s">
        <v>2365</v>
      </c>
      <c r="AS56" t="s">
        <v>2365</v>
      </c>
      <c r="AT56" t="s">
        <v>2365</v>
      </c>
      <c r="AU56" t="s">
        <v>2365</v>
      </c>
      <c r="AV56" t="s">
        <v>2365</v>
      </c>
      <c r="AW56" t="s">
        <v>2365</v>
      </c>
      <c r="AX56" t="s">
        <v>2365</v>
      </c>
      <c r="AY56" t="s">
        <v>2365</v>
      </c>
      <c r="AZ56" t="s">
        <v>2365</v>
      </c>
      <c r="BA56" t="s">
        <v>2365</v>
      </c>
      <c r="BB56" t="s">
        <v>2365</v>
      </c>
      <c r="BC56" t="s">
        <v>2365</v>
      </c>
      <c r="BD56" t="s">
        <v>2366</v>
      </c>
      <c r="BE56" t="s">
        <v>2365</v>
      </c>
      <c r="BF56" t="s">
        <v>2365</v>
      </c>
      <c r="BG56" t="s">
        <v>2365</v>
      </c>
      <c r="BH56" t="s">
        <v>2365</v>
      </c>
      <c r="BI56" t="s">
        <v>2366</v>
      </c>
      <c r="BJ56" t="s">
        <v>2365</v>
      </c>
      <c r="BK56" t="s">
        <v>2365</v>
      </c>
      <c r="BL56" t="s">
        <v>2365</v>
      </c>
      <c r="BM56" t="s">
        <v>2365</v>
      </c>
      <c r="BO56">
        <v>4</v>
      </c>
      <c r="BP56">
        <v>42</v>
      </c>
      <c r="BQ56" t="s">
        <v>2433</v>
      </c>
      <c r="BR56" t="s">
        <v>999</v>
      </c>
      <c r="BU56">
        <v>17922</v>
      </c>
      <c r="BV56">
        <v>0</v>
      </c>
      <c r="BW56">
        <v>17922</v>
      </c>
      <c r="BX56">
        <v>0</v>
      </c>
      <c r="BY56">
        <v>17922</v>
      </c>
      <c r="BZ56">
        <v>18997</v>
      </c>
      <c r="CA56">
        <v>20137</v>
      </c>
      <c r="CB56">
        <v>0</v>
      </c>
      <c r="CC56">
        <v>0</v>
      </c>
      <c r="CD56">
        <v>0</v>
      </c>
      <c r="CE56">
        <v>0</v>
      </c>
      <c r="CF56">
        <v>0</v>
      </c>
      <c r="CG56">
        <v>0</v>
      </c>
      <c r="CH56">
        <v>0</v>
      </c>
      <c r="CI56">
        <v>0</v>
      </c>
      <c r="CJ56">
        <v>0</v>
      </c>
      <c r="CK56">
        <v>0</v>
      </c>
      <c r="CL56">
        <v>0</v>
      </c>
      <c r="CM56">
        <v>0</v>
      </c>
      <c r="CR56" t="s">
        <v>2320</v>
      </c>
      <c r="CS56" s="1369" t="str">
        <f>INDEX([8]Sheet1!$H:$H,MATCH(CR:CR,[8]Sheet1!$AU:$AU,0))</f>
        <v>Administrative and Corporate Support</v>
      </c>
    </row>
    <row r="57" spans="1:97" x14ac:dyDescent="0.2">
      <c r="A57" t="s">
        <v>2484</v>
      </c>
      <c r="B57">
        <v>106</v>
      </c>
      <c r="C57" t="s">
        <v>2484</v>
      </c>
      <c r="D57">
        <v>40768</v>
      </c>
      <c r="E57" t="s">
        <v>2477</v>
      </c>
      <c r="F57">
        <v>2700</v>
      </c>
      <c r="G57" t="s">
        <v>656</v>
      </c>
      <c r="H57" t="s">
        <v>2478</v>
      </c>
      <c r="I57" t="s">
        <v>1802</v>
      </c>
      <c r="J57">
        <v>2703</v>
      </c>
      <c r="K57" t="s">
        <v>1802</v>
      </c>
      <c r="L57">
        <v>2100</v>
      </c>
      <c r="M57" t="s">
        <v>618</v>
      </c>
      <c r="N57">
        <v>2114</v>
      </c>
      <c r="O57" t="s">
        <v>999</v>
      </c>
      <c r="P57" t="s">
        <v>2366</v>
      </c>
      <c r="Q57" t="s">
        <v>2364</v>
      </c>
      <c r="R57" t="s">
        <v>2364</v>
      </c>
      <c r="S57" t="s">
        <v>1881</v>
      </c>
      <c r="T57" t="s">
        <v>1812</v>
      </c>
      <c r="U57" t="s">
        <v>2365</v>
      </c>
      <c r="V57" t="s">
        <v>2365</v>
      </c>
      <c r="W57" t="s">
        <v>2365</v>
      </c>
      <c r="X57" t="s">
        <v>2365</v>
      </c>
      <c r="Y57" t="s">
        <v>2365</v>
      </c>
      <c r="Z57" t="s">
        <v>2365</v>
      </c>
      <c r="AA57" t="s">
        <v>2365</v>
      </c>
      <c r="AB57" t="s">
        <v>2365</v>
      </c>
      <c r="AC57" s="813" t="s">
        <v>2365</v>
      </c>
      <c r="AD57" s="813" t="s">
        <v>2365</v>
      </c>
      <c r="AE57" s="813" t="s">
        <v>2365</v>
      </c>
      <c r="AF57" t="s">
        <v>2365</v>
      </c>
      <c r="AG57" t="s">
        <v>2365</v>
      </c>
      <c r="AH57" t="s">
        <v>2365</v>
      </c>
      <c r="AI57" t="s">
        <v>2365</v>
      </c>
      <c r="AJ57" t="s">
        <v>2365</v>
      </c>
      <c r="AK57" t="s">
        <v>2365</v>
      </c>
      <c r="AL57" t="s">
        <v>2365</v>
      </c>
      <c r="AM57" t="s">
        <v>2365</v>
      </c>
      <c r="AN57" t="s">
        <v>2365</v>
      </c>
      <c r="AR57" t="s">
        <v>2365</v>
      </c>
      <c r="AS57" t="s">
        <v>2365</v>
      </c>
      <c r="AT57" t="s">
        <v>2365</v>
      </c>
      <c r="AU57" t="s">
        <v>2365</v>
      </c>
      <c r="AV57" t="s">
        <v>2365</v>
      </c>
      <c r="AW57" t="s">
        <v>2365</v>
      </c>
      <c r="AX57" t="s">
        <v>2365</v>
      </c>
      <c r="AY57" t="s">
        <v>2365</v>
      </c>
      <c r="AZ57" t="s">
        <v>2365</v>
      </c>
      <c r="BA57" t="s">
        <v>2365</v>
      </c>
      <c r="BB57" t="s">
        <v>2365</v>
      </c>
      <c r="BC57" t="s">
        <v>2365</v>
      </c>
      <c r="BD57" t="s">
        <v>2366</v>
      </c>
      <c r="BE57" t="s">
        <v>2365</v>
      </c>
      <c r="BF57" t="s">
        <v>2365</v>
      </c>
      <c r="BG57" t="s">
        <v>2365</v>
      </c>
      <c r="BH57" t="s">
        <v>2365</v>
      </c>
      <c r="BI57" t="s">
        <v>2366</v>
      </c>
      <c r="BJ57" t="s">
        <v>2365</v>
      </c>
      <c r="BK57" t="s">
        <v>2365</v>
      </c>
      <c r="BL57" t="s">
        <v>2365</v>
      </c>
      <c r="BM57" t="s">
        <v>2365</v>
      </c>
      <c r="BO57">
        <v>4</v>
      </c>
      <c r="BP57">
        <v>42</v>
      </c>
      <c r="BQ57" t="s">
        <v>2433</v>
      </c>
      <c r="BR57" t="s">
        <v>999</v>
      </c>
      <c r="BU57">
        <v>20350</v>
      </c>
      <c r="BV57">
        <v>0</v>
      </c>
      <c r="BW57">
        <v>20350</v>
      </c>
      <c r="BX57">
        <v>0</v>
      </c>
      <c r="BY57">
        <v>20350</v>
      </c>
      <c r="BZ57">
        <v>21571</v>
      </c>
      <c r="CA57">
        <v>22865</v>
      </c>
      <c r="CB57">
        <v>0</v>
      </c>
      <c r="CC57">
        <v>0</v>
      </c>
      <c r="CD57">
        <v>0</v>
      </c>
      <c r="CE57">
        <v>0</v>
      </c>
      <c r="CF57">
        <v>0</v>
      </c>
      <c r="CG57">
        <v>0</v>
      </c>
      <c r="CH57">
        <v>0</v>
      </c>
      <c r="CI57">
        <v>0</v>
      </c>
      <c r="CJ57">
        <v>0</v>
      </c>
      <c r="CK57">
        <v>0</v>
      </c>
      <c r="CL57">
        <v>0</v>
      </c>
      <c r="CM57">
        <v>0</v>
      </c>
      <c r="CR57" t="s">
        <v>2320</v>
      </c>
      <c r="CS57" s="1369" t="str">
        <f>INDEX([8]Sheet1!$H:$H,MATCH(CR:CR,[8]Sheet1!$AU:$AU,0))</f>
        <v>Administrative and Corporate Support</v>
      </c>
    </row>
    <row r="58" spans="1:97" x14ac:dyDescent="0.2">
      <c r="A58" t="s">
        <v>2485</v>
      </c>
      <c r="B58">
        <v>107</v>
      </c>
      <c r="C58" t="s">
        <v>2485</v>
      </c>
      <c r="D58">
        <v>41477</v>
      </c>
      <c r="E58" t="s">
        <v>2464</v>
      </c>
      <c r="F58">
        <v>2900</v>
      </c>
      <c r="G58" t="s">
        <v>569</v>
      </c>
      <c r="H58" t="s">
        <v>2366</v>
      </c>
      <c r="I58" t="s">
        <v>2366</v>
      </c>
      <c r="J58">
        <v>2904</v>
      </c>
      <c r="K58" t="s">
        <v>1432</v>
      </c>
      <c r="L58">
        <v>4400</v>
      </c>
      <c r="M58" t="s">
        <v>631</v>
      </c>
      <c r="N58">
        <v>4403</v>
      </c>
      <c r="O58" t="s">
        <v>1557</v>
      </c>
      <c r="P58" t="s">
        <v>2366</v>
      </c>
      <c r="Q58" t="s">
        <v>2364</v>
      </c>
      <c r="R58" t="s">
        <v>2364</v>
      </c>
      <c r="S58" t="s">
        <v>1881</v>
      </c>
      <c r="T58" t="s">
        <v>1812</v>
      </c>
      <c r="U58" t="s">
        <v>2365</v>
      </c>
      <c r="V58" t="s">
        <v>2365</v>
      </c>
      <c r="W58" t="s">
        <v>2365</v>
      </c>
      <c r="X58" t="s">
        <v>2365</v>
      </c>
      <c r="Y58" t="s">
        <v>2365</v>
      </c>
      <c r="Z58" t="s">
        <v>2365</v>
      </c>
      <c r="AA58" t="s">
        <v>2365</v>
      </c>
      <c r="AB58" t="s">
        <v>2365</v>
      </c>
      <c r="AC58" s="813" t="s">
        <v>2365</v>
      </c>
      <c r="AD58" s="813" t="s">
        <v>2365</v>
      </c>
      <c r="AE58" s="813" t="s">
        <v>2365</v>
      </c>
      <c r="AF58" t="s">
        <v>2365</v>
      </c>
      <c r="AG58" t="s">
        <v>2365</v>
      </c>
      <c r="AH58" t="s">
        <v>2365</v>
      </c>
      <c r="AI58" t="s">
        <v>2365</v>
      </c>
      <c r="AJ58" t="s">
        <v>2365</v>
      </c>
      <c r="AK58" t="s">
        <v>2365</v>
      </c>
      <c r="AL58" t="s">
        <v>2365</v>
      </c>
      <c r="AM58" t="s">
        <v>2365</v>
      </c>
      <c r="AN58" t="s">
        <v>2365</v>
      </c>
      <c r="AR58" t="s">
        <v>2365</v>
      </c>
      <c r="AS58" t="s">
        <v>2365</v>
      </c>
      <c r="AT58" t="s">
        <v>2365</v>
      </c>
      <c r="AU58" t="s">
        <v>2365</v>
      </c>
      <c r="AV58" t="s">
        <v>2365</v>
      </c>
      <c r="AW58" t="s">
        <v>2365</v>
      </c>
      <c r="AX58" t="s">
        <v>2365</v>
      </c>
      <c r="AY58" t="s">
        <v>2365</v>
      </c>
      <c r="AZ58" t="s">
        <v>2365</v>
      </c>
      <c r="BA58" t="s">
        <v>2365</v>
      </c>
      <c r="BB58" t="s">
        <v>2365</v>
      </c>
      <c r="BC58" t="s">
        <v>2365</v>
      </c>
      <c r="BD58" t="s">
        <v>2366</v>
      </c>
      <c r="BE58" t="s">
        <v>2365</v>
      </c>
      <c r="BF58" t="s">
        <v>2365</v>
      </c>
      <c r="BG58" t="s">
        <v>2365</v>
      </c>
      <c r="BH58" t="s">
        <v>2365</v>
      </c>
      <c r="BI58" t="s">
        <v>2366</v>
      </c>
      <c r="BJ58" t="s">
        <v>2365</v>
      </c>
      <c r="BK58" t="s">
        <v>2365</v>
      </c>
      <c r="BL58" t="s">
        <v>2365</v>
      </c>
      <c r="BM58" t="s">
        <v>2365</v>
      </c>
      <c r="BO58">
        <v>12</v>
      </c>
      <c r="BP58">
        <v>121</v>
      </c>
      <c r="BQ58" t="s">
        <v>1369</v>
      </c>
      <c r="BR58" t="s">
        <v>1557</v>
      </c>
      <c r="BU58">
        <v>0</v>
      </c>
      <c r="BV58">
        <v>0</v>
      </c>
      <c r="BW58">
        <v>0</v>
      </c>
      <c r="BX58">
        <v>0</v>
      </c>
      <c r="BY58">
        <v>0</v>
      </c>
      <c r="BZ58">
        <v>0</v>
      </c>
      <c r="CA58">
        <v>0</v>
      </c>
      <c r="CB58">
        <v>0</v>
      </c>
      <c r="CC58">
        <v>0</v>
      </c>
      <c r="CD58">
        <v>0</v>
      </c>
      <c r="CE58">
        <v>0</v>
      </c>
      <c r="CF58">
        <v>0</v>
      </c>
      <c r="CG58">
        <v>0</v>
      </c>
      <c r="CH58">
        <v>0</v>
      </c>
      <c r="CI58">
        <v>0</v>
      </c>
      <c r="CJ58">
        <v>0</v>
      </c>
      <c r="CK58">
        <v>0</v>
      </c>
      <c r="CL58">
        <v>0</v>
      </c>
      <c r="CM58">
        <v>0</v>
      </c>
      <c r="CR58" t="s">
        <v>2320</v>
      </c>
      <c r="CS58" s="1369" t="str">
        <f>INDEX([8]Sheet1!$H:$H,MATCH(CR:CR,[8]Sheet1!$AU:$AU,0))</f>
        <v>Administrative and Corporate Support</v>
      </c>
    </row>
    <row r="59" spans="1:97" x14ac:dyDescent="0.2">
      <c r="A59" t="s">
        <v>2486</v>
      </c>
      <c r="B59">
        <v>108</v>
      </c>
      <c r="C59" t="s">
        <v>2486</v>
      </c>
      <c r="D59">
        <v>41478</v>
      </c>
      <c r="E59" t="s">
        <v>2432</v>
      </c>
      <c r="F59">
        <v>2600</v>
      </c>
      <c r="G59" t="s">
        <v>655</v>
      </c>
      <c r="H59">
        <v>2600</v>
      </c>
      <c r="I59" t="s">
        <v>655</v>
      </c>
      <c r="J59" t="s">
        <v>2365</v>
      </c>
      <c r="K59" t="s">
        <v>2365</v>
      </c>
      <c r="L59">
        <v>4400</v>
      </c>
      <c r="M59" t="s">
        <v>631</v>
      </c>
      <c r="N59">
        <v>4403</v>
      </c>
      <c r="O59" t="s">
        <v>1557</v>
      </c>
      <c r="P59" t="s">
        <v>2366</v>
      </c>
      <c r="Q59" t="s">
        <v>2364</v>
      </c>
      <c r="R59" t="s">
        <v>2364</v>
      </c>
      <c r="S59" t="s">
        <v>1881</v>
      </c>
      <c r="T59" t="s">
        <v>1812</v>
      </c>
      <c r="U59" t="s">
        <v>2365</v>
      </c>
      <c r="V59" t="s">
        <v>2365</v>
      </c>
      <c r="W59" t="s">
        <v>2365</v>
      </c>
      <c r="X59" t="s">
        <v>2365</v>
      </c>
      <c r="Y59" t="s">
        <v>2365</v>
      </c>
      <c r="Z59" t="s">
        <v>2365</v>
      </c>
      <c r="AA59" t="s">
        <v>2365</v>
      </c>
      <c r="AB59" t="s">
        <v>2365</v>
      </c>
      <c r="AC59" s="813" t="s">
        <v>2365</v>
      </c>
      <c r="AD59" s="813" t="s">
        <v>2365</v>
      </c>
      <c r="AE59" s="813" t="s">
        <v>2365</v>
      </c>
      <c r="AF59" t="s">
        <v>2365</v>
      </c>
      <c r="AG59" t="s">
        <v>2365</v>
      </c>
      <c r="AH59" t="s">
        <v>2365</v>
      </c>
      <c r="AI59" t="s">
        <v>2365</v>
      </c>
      <c r="AJ59" t="s">
        <v>2365</v>
      </c>
      <c r="AK59" t="s">
        <v>2365</v>
      </c>
      <c r="AL59" t="s">
        <v>2365</v>
      </c>
      <c r="AM59" t="s">
        <v>2365</v>
      </c>
      <c r="AN59" t="s">
        <v>2365</v>
      </c>
      <c r="AR59" t="s">
        <v>2365</v>
      </c>
      <c r="AS59" t="s">
        <v>2365</v>
      </c>
      <c r="AT59" t="s">
        <v>2365</v>
      </c>
      <c r="AU59" t="s">
        <v>2365</v>
      </c>
      <c r="AV59" t="s">
        <v>2365</v>
      </c>
      <c r="AW59" t="s">
        <v>2365</v>
      </c>
      <c r="AX59" t="s">
        <v>2365</v>
      </c>
      <c r="AY59" t="s">
        <v>2365</v>
      </c>
      <c r="AZ59" t="s">
        <v>2365</v>
      </c>
      <c r="BA59" t="s">
        <v>2365</v>
      </c>
      <c r="BB59" t="s">
        <v>2365</v>
      </c>
      <c r="BC59" t="s">
        <v>2365</v>
      </c>
      <c r="BD59" t="s">
        <v>2366</v>
      </c>
      <c r="BE59" t="s">
        <v>2365</v>
      </c>
      <c r="BF59" t="s">
        <v>2365</v>
      </c>
      <c r="BG59" t="s">
        <v>2365</v>
      </c>
      <c r="BH59" t="s">
        <v>2365</v>
      </c>
      <c r="BI59" t="s">
        <v>2366</v>
      </c>
      <c r="BJ59" t="s">
        <v>2365</v>
      </c>
      <c r="BK59" t="s">
        <v>2365</v>
      </c>
      <c r="BL59" t="s">
        <v>2365</v>
      </c>
      <c r="BM59" t="s">
        <v>2365</v>
      </c>
      <c r="BO59">
        <v>12</v>
      </c>
      <c r="BP59">
        <v>121</v>
      </c>
      <c r="BQ59" t="s">
        <v>1369</v>
      </c>
      <c r="BR59" t="s">
        <v>1557</v>
      </c>
      <c r="BU59">
        <v>30000</v>
      </c>
      <c r="BV59">
        <v>0</v>
      </c>
      <c r="BW59">
        <v>30000</v>
      </c>
      <c r="BX59">
        <v>-10000</v>
      </c>
      <c r="BY59">
        <v>20000</v>
      </c>
      <c r="BZ59">
        <v>31800</v>
      </c>
      <c r="CA59">
        <v>33708</v>
      </c>
      <c r="CB59">
        <v>0</v>
      </c>
      <c r="CC59">
        <v>0</v>
      </c>
      <c r="CD59">
        <v>0</v>
      </c>
      <c r="CE59">
        <v>0</v>
      </c>
      <c r="CF59">
        <v>0</v>
      </c>
      <c r="CG59">
        <v>0</v>
      </c>
      <c r="CH59">
        <v>0</v>
      </c>
      <c r="CI59">
        <v>0</v>
      </c>
      <c r="CJ59">
        <v>0</v>
      </c>
      <c r="CK59">
        <v>0</v>
      </c>
      <c r="CL59">
        <v>0</v>
      </c>
      <c r="CM59">
        <v>0</v>
      </c>
      <c r="CR59" t="s">
        <v>2320</v>
      </c>
      <c r="CS59" s="1369" t="str">
        <f>INDEX([8]Sheet1!$H:$H,MATCH(CR:CR,[8]Sheet1!$AU:$AU,0))</f>
        <v>Administrative and Corporate Support</v>
      </c>
    </row>
    <row r="60" spans="1:97" x14ac:dyDescent="0.2">
      <c r="A60" t="s">
        <v>2487</v>
      </c>
      <c r="B60">
        <v>109</v>
      </c>
      <c r="C60" t="s">
        <v>2487</v>
      </c>
      <c r="D60">
        <v>41479</v>
      </c>
      <c r="E60" t="s">
        <v>2427</v>
      </c>
      <c r="F60">
        <v>2700</v>
      </c>
      <c r="G60" t="s">
        <v>656</v>
      </c>
      <c r="H60" t="s">
        <v>2428</v>
      </c>
      <c r="I60" t="s">
        <v>1800</v>
      </c>
      <c r="J60">
        <v>2701</v>
      </c>
      <c r="K60" t="s">
        <v>1800</v>
      </c>
      <c r="L60">
        <v>4400</v>
      </c>
      <c r="M60" t="s">
        <v>631</v>
      </c>
      <c r="N60">
        <v>4403</v>
      </c>
      <c r="O60" t="s">
        <v>1557</v>
      </c>
      <c r="P60" t="s">
        <v>2366</v>
      </c>
      <c r="Q60" t="s">
        <v>2364</v>
      </c>
      <c r="R60" t="s">
        <v>2364</v>
      </c>
      <c r="S60" t="s">
        <v>1881</v>
      </c>
      <c r="T60" t="s">
        <v>1812</v>
      </c>
      <c r="U60" t="s">
        <v>2365</v>
      </c>
      <c r="V60" t="s">
        <v>2365</v>
      </c>
      <c r="W60" t="s">
        <v>2365</v>
      </c>
      <c r="X60" t="s">
        <v>2365</v>
      </c>
      <c r="Y60" t="s">
        <v>2365</v>
      </c>
      <c r="Z60" t="s">
        <v>2365</v>
      </c>
      <c r="AA60" t="s">
        <v>2365</v>
      </c>
      <c r="AB60" t="s">
        <v>2365</v>
      </c>
      <c r="AC60" s="813" t="s">
        <v>2365</v>
      </c>
      <c r="AD60" s="813" t="s">
        <v>2365</v>
      </c>
      <c r="AE60" s="813" t="s">
        <v>2365</v>
      </c>
      <c r="AF60" t="s">
        <v>2365</v>
      </c>
      <c r="AG60" t="s">
        <v>2365</v>
      </c>
      <c r="AH60" t="s">
        <v>2365</v>
      </c>
      <c r="AI60" t="s">
        <v>2365</v>
      </c>
      <c r="AJ60" t="s">
        <v>2365</v>
      </c>
      <c r="AK60" t="s">
        <v>2365</v>
      </c>
      <c r="AL60" t="s">
        <v>2365</v>
      </c>
      <c r="AM60" t="s">
        <v>2365</v>
      </c>
      <c r="AN60" t="s">
        <v>2365</v>
      </c>
      <c r="AR60" t="s">
        <v>2365</v>
      </c>
      <c r="AS60" t="s">
        <v>2365</v>
      </c>
      <c r="AT60" t="s">
        <v>2365</v>
      </c>
      <c r="AU60" t="s">
        <v>2365</v>
      </c>
      <c r="AV60" t="s">
        <v>2365</v>
      </c>
      <c r="AW60" t="s">
        <v>2365</v>
      </c>
      <c r="AX60" t="s">
        <v>2365</v>
      </c>
      <c r="AY60" t="s">
        <v>2365</v>
      </c>
      <c r="AZ60" t="s">
        <v>2365</v>
      </c>
      <c r="BA60" t="s">
        <v>2365</v>
      </c>
      <c r="BB60" t="s">
        <v>2365</v>
      </c>
      <c r="BC60" t="s">
        <v>2365</v>
      </c>
      <c r="BD60" t="s">
        <v>2366</v>
      </c>
      <c r="BE60" t="s">
        <v>2365</v>
      </c>
      <c r="BF60" t="s">
        <v>2365</v>
      </c>
      <c r="BG60" t="s">
        <v>2365</v>
      </c>
      <c r="BH60" t="s">
        <v>2365</v>
      </c>
      <c r="BI60" t="s">
        <v>2366</v>
      </c>
      <c r="BJ60" t="s">
        <v>2365</v>
      </c>
      <c r="BK60" t="s">
        <v>2365</v>
      </c>
      <c r="BL60" t="s">
        <v>2365</v>
      </c>
      <c r="BM60" t="s">
        <v>2365</v>
      </c>
      <c r="BO60">
        <v>12</v>
      </c>
      <c r="BP60">
        <v>121</v>
      </c>
      <c r="BQ60" t="s">
        <v>1369</v>
      </c>
      <c r="BR60" t="s">
        <v>1557</v>
      </c>
      <c r="BU60">
        <v>5000</v>
      </c>
      <c r="BV60">
        <v>0</v>
      </c>
      <c r="BW60">
        <v>5000</v>
      </c>
      <c r="BX60">
        <v>0</v>
      </c>
      <c r="BY60">
        <v>5000</v>
      </c>
      <c r="BZ60">
        <v>5300</v>
      </c>
      <c r="CA60">
        <v>5618</v>
      </c>
      <c r="CB60">
        <v>0</v>
      </c>
      <c r="CC60">
        <v>0</v>
      </c>
      <c r="CD60">
        <v>0</v>
      </c>
      <c r="CE60">
        <v>0</v>
      </c>
      <c r="CF60">
        <v>0</v>
      </c>
      <c r="CG60">
        <v>0</v>
      </c>
      <c r="CH60">
        <v>200</v>
      </c>
      <c r="CI60">
        <v>0</v>
      </c>
      <c r="CJ60">
        <v>0</v>
      </c>
      <c r="CK60">
        <v>0</v>
      </c>
      <c r="CL60">
        <v>0</v>
      </c>
      <c r="CM60">
        <v>0</v>
      </c>
      <c r="CR60" t="s">
        <v>2320</v>
      </c>
      <c r="CS60" s="1369" t="str">
        <f>INDEX([8]Sheet1!$H:$H,MATCH(CR:CR,[8]Sheet1!$AU:$AU,0))</f>
        <v>Administrative and Corporate Support</v>
      </c>
    </row>
    <row r="61" spans="1:97" x14ac:dyDescent="0.2">
      <c r="A61" t="s">
        <v>2488</v>
      </c>
      <c r="B61">
        <v>110</v>
      </c>
      <c r="C61" t="s">
        <v>2488</v>
      </c>
      <c r="D61">
        <v>41025</v>
      </c>
      <c r="E61" t="s">
        <v>2432</v>
      </c>
      <c r="F61">
        <v>2600</v>
      </c>
      <c r="G61" t="s">
        <v>655</v>
      </c>
      <c r="H61">
        <v>2600</v>
      </c>
      <c r="I61" t="s">
        <v>655</v>
      </c>
      <c r="J61" t="s">
        <v>2365</v>
      </c>
      <c r="K61" t="s">
        <v>2365</v>
      </c>
      <c r="L61">
        <v>2100</v>
      </c>
      <c r="M61" t="s">
        <v>618</v>
      </c>
      <c r="N61">
        <v>2118</v>
      </c>
      <c r="O61" t="s">
        <v>1509</v>
      </c>
      <c r="P61" t="s">
        <v>2366</v>
      </c>
      <c r="Q61" t="s">
        <v>2364</v>
      </c>
      <c r="R61" t="s">
        <v>2364</v>
      </c>
      <c r="S61" t="s">
        <v>1881</v>
      </c>
      <c r="T61" t="s">
        <v>1812</v>
      </c>
      <c r="U61" t="s">
        <v>2365</v>
      </c>
      <c r="V61" t="s">
        <v>2365</v>
      </c>
      <c r="W61" t="s">
        <v>2365</v>
      </c>
      <c r="X61" t="s">
        <v>2365</v>
      </c>
      <c r="Y61" t="s">
        <v>2365</v>
      </c>
      <c r="Z61" t="s">
        <v>2365</v>
      </c>
      <c r="AA61" t="s">
        <v>2365</v>
      </c>
      <c r="AB61" t="s">
        <v>2365</v>
      </c>
      <c r="AC61" s="813" t="s">
        <v>2365</v>
      </c>
      <c r="AD61" s="813" t="s">
        <v>2365</v>
      </c>
      <c r="AE61" s="813" t="s">
        <v>2365</v>
      </c>
      <c r="AF61" t="s">
        <v>2365</v>
      </c>
      <c r="AG61" t="s">
        <v>2365</v>
      </c>
      <c r="AH61" t="s">
        <v>2365</v>
      </c>
      <c r="AI61" t="s">
        <v>2365</v>
      </c>
      <c r="AJ61" t="s">
        <v>2365</v>
      </c>
      <c r="AK61" t="s">
        <v>2365</v>
      </c>
      <c r="AL61" t="s">
        <v>2365</v>
      </c>
      <c r="AM61" t="s">
        <v>2365</v>
      </c>
      <c r="AN61" t="s">
        <v>2365</v>
      </c>
      <c r="AR61" t="s">
        <v>2365</v>
      </c>
      <c r="AS61" t="s">
        <v>2365</v>
      </c>
      <c r="AT61" t="s">
        <v>2365</v>
      </c>
      <c r="AU61" t="s">
        <v>2365</v>
      </c>
      <c r="AV61" t="s">
        <v>2365</v>
      </c>
      <c r="AW61" t="s">
        <v>2365</v>
      </c>
      <c r="AX61" t="s">
        <v>2365</v>
      </c>
      <c r="AY61" t="s">
        <v>2365</v>
      </c>
      <c r="AZ61" t="s">
        <v>2365</v>
      </c>
      <c r="BA61" t="s">
        <v>2365</v>
      </c>
      <c r="BB61" t="s">
        <v>2365</v>
      </c>
      <c r="BC61" t="s">
        <v>2365</v>
      </c>
      <c r="BD61" t="s">
        <v>2366</v>
      </c>
      <c r="BE61" t="s">
        <v>2365</v>
      </c>
      <c r="BF61" t="s">
        <v>2365</v>
      </c>
      <c r="BG61" t="s">
        <v>2365</v>
      </c>
      <c r="BH61" t="s">
        <v>2365</v>
      </c>
      <c r="BI61" t="s">
        <v>2366</v>
      </c>
      <c r="BJ61" t="s">
        <v>2365</v>
      </c>
      <c r="BK61" t="s">
        <v>2365</v>
      </c>
      <c r="BL61" t="s">
        <v>2365</v>
      </c>
      <c r="BM61" t="s">
        <v>2365</v>
      </c>
      <c r="BO61">
        <v>4</v>
      </c>
      <c r="BP61">
        <v>43</v>
      </c>
      <c r="BQ61" t="s">
        <v>2433</v>
      </c>
      <c r="BR61" t="s">
        <v>1509</v>
      </c>
      <c r="BU61">
        <v>0</v>
      </c>
      <c r="BV61">
        <v>0</v>
      </c>
      <c r="BW61">
        <v>0</v>
      </c>
      <c r="BX61">
        <v>0</v>
      </c>
      <c r="BY61">
        <v>0</v>
      </c>
      <c r="BZ61">
        <v>0</v>
      </c>
      <c r="CA61">
        <v>0</v>
      </c>
      <c r="CB61">
        <v>0</v>
      </c>
      <c r="CC61">
        <v>0</v>
      </c>
      <c r="CD61">
        <v>0</v>
      </c>
      <c r="CE61">
        <v>0</v>
      </c>
      <c r="CF61">
        <v>0</v>
      </c>
      <c r="CG61">
        <v>0</v>
      </c>
      <c r="CH61">
        <v>0</v>
      </c>
      <c r="CI61">
        <v>0</v>
      </c>
      <c r="CJ61">
        <v>0</v>
      </c>
      <c r="CK61">
        <v>0</v>
      </c>
      <c r="CL61">
        <v>0</v>
      </c>
      <c r="CM61">
        <v>0</v>
      </c>
      <c r="CR61" t="s">
        <v>2321</v>
      </c>
      <c r="CS61" s="1369" t="str">
        <f>INDEX([8]Sheet1!$H:$H,MATCH(CR:CR,[8]Sheet1!$AU:$AU,0))</f>
        <v>Marketing, Customer Relations, Publicity and Media Co-ordination</v>
      </c>
    </row>
    <row r="62" spans="1:97" x14ac:dyDescent="0.2">
      <c r="A62" t="s">
        <v>2489</v>
      </c>
      <c r="B62">
        <v>111</v>
      </c>
      <c r="C62" t="s">
        <v>2489</v>
      </c>
      <c r="D62">
        <v>41026</v>
      </c>
      <c r="E62" t="s">
        <v>2427</v>
      </c>
      <c r="F62">
        <v>2700</v>
      </c>
      <c r="G62" t="s">
        <v>656</v>
      </c>
      <c r="H62" t="s">
        <v>2428</v>
      </c>
      <c r="I62" t="s">
        <v>1800</v>
      </c>
      <c r="J62">
        <v>2701</v>
      </c>
      <c r="K62" t="s">
        <v>1800</v>
      </c>
      <c r="L62">
        <v>2100</v>
      </c>
      <c r="M62" t="s">
        <v>618</v>
      </c>
      <c r="N62">
        <v>2118</v>
      </c>
      <c r="O62" t="s">
        <v>1509</v>
      </c>
      <c r="P62" t="s">
        <v>2366</v>
      </c>
      <c r="Q62" t="s">
        <v>2364</v>
      </c>
      <c r="R62" t="s">
        <v>2364</v>
      </c>
      <c r="S62" t="s">
        <v>1881</v>
      </c>
      <c r="T62" t="s">
        <v>1812</v>
      </c>
      <c r="U62" t="s">
        <v>2365</v>
      </c>
      <c r="V62" t="s">
        <v>2365</v>
      </c>
      <c r="W62" t="s">
        <v>2365</v>
      </c>
      <c r="X62" t="s">
        <v>2365</v>
      </c>
      <c r="Y62" t="s">
        <v>2365</v>
      </c>
      <c r="Z62" t="s">
        <v>2365</v>
      </c>
      <c r="AA62" t="s">
        <v>2365</v>
      </c>
      <c r="AB62" t="s">
        <v>2365</v>
      </c>
      <c r="AC62" s="813" t="s">
        <v>2365</v>
      </c>
      <c r="AD62" s="813" t="s">
        <v>2365</v>
      </c>
      <c r="AE62" s="813" t="s">
        <v>2365</v>
      </c>
      <c r="AF62" t="s">
        <v>2365</v>
      </c>
      <c r="AG62" t="s">
        <v>2365</v>
      </c>
      <c r="AH62" t="s">
        <v>2365</v>
      </c>
      <c r="AI62" t="s">
        <v>2365</v>
      </c>
      <c r="AJ62" t="s">
        <v>2365</v>
      </c>
      <c r="AK62" t="s">
        <v>2365</v>
      </c>
      <c r="AL62" t="s">
        <v>2365</v>
      </c>
      <c r="AM62" t="s">
        <v>2365</v>
      </c>
      <c r="AN62" t="s">
        <v>2365</v>
      </c>
      <c r="AR62" t="s">
        <v>2365</v>
      </c>
      <c r="AS62" t="s">
        <v>2365</v>
      </c>
      <c r="AT62" t="s">
        <v>2365</v>
      </c>
      <c r="AU62" t="s">
        <v>2365</v>
      </c>
      <c r="AV62" t="s">
        <v>2365</v>
      </c>
      <c r="AW62" t="s">
        <v>2365</v>
      </c>
      <c r="AX62" t="s">
        <v>2365</v>
      </c>
      <c r="AY62" t="s">
        <v>2365</v>
      </c>
      <c r="AZ62" t="s">
        <v>2365</v>
      </c>
      <c r="BA62" t="s">
        <v>2365</v>
      </c>
      <c r="BB62" t="s">
        <v>2365</v>
      </c>
      <c r="BC62" t="s">
        <v>2365</v>
      </c>
      <c r="BD62" t="s">
        <v>2366</v>
      </c>
      <c r="BE62" t="s">
        <v>2365</v>
      </c>
      <c r="BF62" t="s">
        <v>2365</v>
      </c>
      <c r="BG62" t="s">
        <v>2365</v>
      </c>
      <c r="BH62" t="s">
        <v>2365</v>
      </c>
      <c r="BI62" t="s">
        <v>2366</v>
      </c>
      <c r="BJ62" t="s">
        <v>2365</v>
      </c>
      <c r="BK62" t="s">
        <v>2365</v>
      </c>
      <c r="BL62" t="s">
        <v>2365</v>
      </c>
      <c r="BM62" t="s">
        <v>2365</v>
      </c>
      <c r="BO62">
        <v>4</v>
      </c>
      <c r="BP62">
        <v>43</v>
      </c>
      <c r="BQ62" t="s">
        <v>2433</v>
      </c>
      <c r="BR62" t="s">
        <v>1509</v>
      </c>
      <c r="BU62">
        <v>0</v>
      </c>
      <c r="BV62">
        <v>0</v>
      </c>
      <c r="BW62">
        <v>0</v>
      </c>
      <c r="BX62">
        <v>0</v>
      </c>
      <c r="BY62">
        <v>0</v>
      </c>
      <c r="BZ62">
        <v>0</v>
      </c>
      <c r="CA62">
        <v>0</v>
      </c>
      <c r="CB62">
        <v>0</v>
      </c>
      <c r="CC62">
        <v>0</v>
      </c>
      <c r="CD62">
        <v>0</v>
      </c>
      <c r="CE62">
        <v>0</v>
      </c>
      <c r="CF62">
        <v>0</v>
      </c>
      <c r="CG62">
        <v>0</v>
      </c>
      <c r="CH62">
        <v>0</v>
      </c>
      <c r="CI62">
        <v>0</v>
      </c>
      <c r="CJ62">
        <v>0</v>
      </c>
      <c r="CK62">
        <v>0</v>
      </c>
      <c r="CL62">
        <v>0</v>
      </c>
      <c r="CM62">
        <v>0</v>
      </c>
      <c r="CR62" t="s">
        <v>2322</v>
      </c>
      <c r="CS62" s="1369" t="str">
        <f>INDEX([8]Sheet1!$H:$H,MATCH(CR:CR,[8]Sheet1!$AU:$AU,0))</f>
        <v>Human Resources</v>
      </c>
    </row>
    <row r="63" spans="1:97" x14ac:dyDescent="0.2">
      <c r="A63" t="s">
        <v>2490</v>
      </c>
      <c r="B63">
        <v>112</v>
      </c>
      <c r="C63" t="s">
        <v>2490</v>
      </c>
      <c r="D63">
        <v>41027</v>
      </c>
      <c r="E63" t="s">
        <v>2430</v>
      </c>
      <c r="F63">
        <v>2700</v>
      </c>
      <c r="G63" t="s">
        <v>656</v>
      </c>
      <c r="H63" t="s">
        <v>2428</v>
      </c>
      <c r="I63" t="s">
        <v>1800</v>
      </c>
      <c r="J63">
        <v>2701</v>
      </c>
      <c r="K63" t="s">
        <v>1800</v>
      </c>
      <c r="L63">
        <v>2100</v>
      </c>
      <c r="M63" t="s">
        <v>618</v>
      </c>
      <c r="N63">
        <v>2118</v>
      </c>
      <c r="O63" t="s">
        <v>1509</v>
      </c>
      <c r="P63" t="s">
        <v>2366</v>
      </c>
      <c r="Q63" t="s">
        <v>2364</v>
      </c>
      <c r="R63" t="s">
        <v>2364</v>
      </c>
      <c r="S63" t="s">
        <v>1881</v>
      </c>
      <c r="T63" t="s">
        <v>1812</v>
      </c>
      <c r="U63" t="s">
        <v>2365</v>
      </c>
      <c r="V63" t="s">
        <v>2365</v>
      </c>
      <c r="W63" t="s">
        <v>2365</v>
      </c>
      <c r="X63" t="s">
        <v>2365</v>
      </c>
      <c r="Y63" t="s">
        <v>2365</v>
      </c>
      <c r="Z63" t="s">
        <v>2365</v>
      </c>
      <c r="AA63" t="s">
        <v>2365</v>
      </c>
      <c r="AB63" t="s">
        <v>2365</v>
      </c>
      <c r="AC63" s="813" t="s">
        <v>2365</v>
      </c>
      <c r="AD63" s="813" t="s">
        <v>2365</v>
      </c>
      <c r="AE63" s="813" t="s">
        <v>2365</v>
      </c>
      <c r="AF63" t="s">
        <v>2365</v>
      </c>
      <c r="AG63" t="s">
        <v>2365</v>
      </c>
      <c r="AH63" t="s">
        <v>2365</v>
      </c>
      <c r="AI63" t="s">
        <v>2365</v>
      </c>
      <c r="AJ63" t="s">
        <v>2365</v>
      </c>
      <c r="AK63" t="s">
        <v>2365</v>
      </c>
      <c r="AL63" t="s">
        <v>2365</v>
      </c>
      <c r="AM63" t="s">
        <v>2365</v>
      </c>
      <c r="AN63" t="s">
        <v>2365</v>
      </c>
      <c r="AR63" t="s">
        <v>2365</v>
      </c>
      <c r="AS63" t="s">
        <v>2365</v>
      </c>
      <c r="AT63" t="s">
        <v>2365</v>
      </c>
      <c r="AU63" t="s">
        <v>2365</v>
      </c>
      <c r="AV63" t="s">
        <v>2365</v>
      </c>
      <c r="AW63" t="s">
        <v>2365</v>
      </c>
      <c r="AX63" t="s">
        <v>2365</v>
      </c>
      <c r="AY63" t="s">
        <v>2365</v>
      </c>
      <c r="AZ63" t="s">
        <v>2365</v>
      </c>
      <c r="BA63" t="s">
        <v>2365</v>
      </c>
      <c r="BB63" t="s">
        <v>2365</v>
      </c>
      <c r="BC63" t="s">
        <v>2365</v>
      </c>
      <c r="BD63" t="s">
        <v>2366</v>
      </c>
      <c r="BE63" t="s">
        <v>2365</v>
      </c>
      <c r="BF63" t="s">
        <v>2365</v>
      </c>
      <c r="BG63" t="s">
        <v>2365</v>
      </c>
      <c r="BH63" t="s">
        <v>2365</v>
      </c>
      <c r="BI63" t="s">
        <v>2366</v>
      </c>
      <c r="BJ63" t="s">
        <v>2365</v>
      </c>
      <c r="BK63" t="s">
        <v>2365</v>
      </c>
      <c r="BL63" t="s">
        <v>2365</v>
      </c>
      <c r="BM63" t="s">
        <v>2365</v>
      </c>
      <c r="BO63">
        <v>4</v>
      </c>
      <c r="BP63">
        <v>43</v>
      </c>
      <c r="BQ63" t="s">
        <v>2433</v>
      </c>
      <c r="BR63" t="s">
        <v>1509</v>
      </c>
      <c r="BU63">
        <v>0</v>
      </c>
      <c r="BV63">
        <v>0</v>
      </c>
      <c r="BW63">
        <v>0</v>
      </c>
      <c r="BX63">
        <v>0</v>
      </c>
      <c r="BY63">
        <v>0</v>
      </c>
      <c r="BZ63">
        <v>0</v>
      </c>
      <c r="CA63">
        <v>0</v>
      </c>
      <c r="CB63">
        <v>0</v>
      </c>
      <c r="CC63">
        <v>0</v>
      </c>
      <c r="CD63">
        <v>0</v>
      </c>
      <c r="CE63">
        <v>0</v>
      </c>
      <c r="CF63">
        <v>0</v>
      </c>
      <c r="CG63">
        <v>0</v>
      </c>
      <c r="CH63">
        <v>0</v>
      </c>
      <c r="CI63">
        <v>0</v>
      </c>
      <c r="CJ63">
        <v>0</v>
      </c>
      <c r="CK63">
        <v>0</v>
      </c>
      <c r="CL63">
        <v>0</v>
      </c>
      <c r="CM63">
        <v>0</v>
      </c>
      <c r="CR63" t="s">
        <v>2323</v>
      </c>
      <c r="CS63" s="1369" t="str">
        <f>INDEX([8]Sheet1!$H:$H,MATCH(CR:CR,[8]Sheet1!$AU:$AU,0))</f>
        <v>Information Technology</v>
      </c>
    </row>
    <row r="64" spans="1:97" x14ac:dyDescent="0.2">
      <c r="A64" t="s">
        <v>2491</v>
      </c>
      <c r="B64">
        <v>113</v>
      </c>
      <c r="C64" t="s">
        <v>2491</v>
      </c>
      <c r="D64">
        <v>40762</v>
      </c>
      <c r="E64" t="s">
        <v>2468</v>
      </c>
      <c r="F64">
        <v>2600</v>
      </c>
      <c r="G64" t="s">
        <v>655</v>
      </c>
      <c r="H64">
        <v>2600</v>
      </c>
      <c r="I64" t="s">
        <v>655</v>
      </c>
      <c r="J64" t="s">
        <v>2365</v>
      </c>
      <c r="K64" t="s">
        <v>2365</v>
      </c>
      <c r="L64">
        <v>2100</v>
      </c>
      <c r="M64" t="s">
        <v>618</v>
      </c>
      <c r="N64">
        <v>2108</v>
      </c>
      <c r="O64" t="s">
        <v>1501</v>
      </c>
      <c r="P64" t="s">
        <v>2366</v>
      </c>
      <c r="Q64" t="s">
        <v>2364</v>
      </c>
      <c r="R64" t="s">
        <v>2364</v>
      </c>
      <c r="S64" t="s">
        <v>1881</v>
      </c>
      <c r="T64" t="s">
        <v>1812</v>
      </c>
      <c r="U64" t="s">
        <v>2365</v>
      </c>
      <c r="V64" t="s">
        <v>2365</v>
      </c>
      <c r="W64" t="s">
        <v>2365</v>
      </c>
      <c r="X64" t="s">
        <v>2365</v>
      </c>
      <c r="Y64" t="s">
        <v>2365</v>
      </c>
      <c r="Z64" t="s">
        <v>2365</v>
      </c>
      <c r="AA64" t="s">
        <v>2365</v>
      </c>
      <c r="AB64" t="s">
        <v>2365</v>
      </c>
      <c r="AC64" s="813" t="s">
        <v>2365</v>
      </c>
      <c r="AD64" s="813" t="s">
        <v>2365</v>
      </c>
      <c r="AE64" s="813" t="s">
        <v>2365</v>
      </c>
      <c r="AF64" t="s">
        <v>2365</v>
      </c>
      <c r="AG64" t="s">
        <v>2365</v>
      </c>
      <c r="AH64" t="s">
        <v>2365</v>
      </c>
      <c r="AI64" t="s">
        <v>2365</v>
      </c>
      <c r="AJ64" t="s">
        <v>2365</v>
      </c>
      <c r="AK64" t="s">
        <v>2365</v>
      </c>
      <c r="AL64" t="s">
        <v>2365</v>
      </c>
      <c r="AM64" t="s">
        <v>2365</v>
      </c>
      <c r="AN64" t="s">
        <v>2365</v>
      </c>
      <c r="AR64" t="s">
        <v>2365</v>
      </c>
      <c r="AS64" t="s">
        <v>2365</v>
      </c>
      <c r="AT64" t="s">
        <v>2365</v>
      </c>
      <c r="AU64" t="s">
        <v>2365</v>
      </c>
      <c r="AV64" t="s">
        <v>2365</v>
      </c>
      <c r="AW64" t="s">
        <v>2365</v>
      </c>
      <c r="AX64" t="s">
        <v>2365</v>
      </c>
      <c r="AY64" t="s">
        <v>2365</v>
      </c>
      <c r="AZ64" t="s">
        <v>2365</v>
      </c>
      <c r="BA64" t="s">
        <v>2365</v>
      </c>
      <c r="BB64" t="s">
        <v>2365</v>
      </c>
      <c r="BC64" t="s">
        <v>2365</v>
      </c>
      <c r="BD64" t="s">
        <v>2366</v>
      </c>
      <c r="BE64" t="s">
        <v>2365</v>
      </c>
      <c r="BF64" t="s">
        <v>2365</v>
      </c>
      <c r="BG64" t="s">
        <v>2365</v>
      </c>
      <c r="BH64" t="s">
        <v>2365</v>
      </c>
      <c r="BI64" t="s">
        <v>2366</v>
      </c>
      <c r="BJ64" t="s">
        <v>2365</v>
      </c>
      <c r="BK64" t="s">
        <v>2365</v>
      </c>
      <c r="BL64" t="s">
        <v>2365</v>
      </c>
      <c r="BM64" t="s">
        <v>2365</v>
      </c>
      <c r="BO64">
        <v>4</v>
      </c>
      <c r="BP64">
        <v>44</v>
      </c>
      <c r="BQ64" t="s">
        <v>2433</v>
      </c>
      <c r="BR64" t="s">
        <v>1501</v>
      </c>
      <c r="BU64">
        <v>0</v>
      </c>
      <c r="BV64">
        <v>0</v>
      </c>
      <c r="BW64">
        <v>0</v>
      </c>
      <c r="BX64">
        <v>0</v>
      </c>
      <c r="BY64">
        <v>0</v>
      </c>
      <c r="BZ64">
        <v>0</v>
      </c>
      <c r="CA64">
        <v>0</v>
      </c>
      <c r="CB64">
        <v>0</v>
      </c>
      <c r="CC64">
        <v>0</v>
      </c>
      <c r="CD64">
        <v>0</v>
      </c>
      <c r="CE64">
        <v>0</v>
      </c>
      <c r="CF64">
        <v>0</v>
      </c>
      <c r="CG64">
        <v>0</v>
      </c>
      <c r="CH64">
        <v>0</v>
      </c>
      <c r="CI64">
        <v>0</v>
      </c>
      <c r="CJ64">
        <v>0</v>
      </c>
      <c r="CK64">
        <v>0</v>
      </c>
      <c r="CL64">
        <v>0</v>
      </c>
      <c r="CM64">
        <v>0</v>
      </c>
      <c r="CR64" t="s">
        <v>2321</v>
      </c>
      <c r="CS64" s="1369" t="str">
        <f>INDEX([8]Sheet1!$H:$H,MATCH(CR:CR,[8]Sheet1!$AU:$AU,0))</f>
        <v>Marketing, Customer Relations, Publicity and Media Co-ordination</v>
      </c>
    </row>
    <row r="65" spans="1:97" x14ac:dyDescent="0.2">
      <c r="A65" t="s">
        <v>2492</v>
      </c>
      <c r="B65">
        <v>114</v>
      </c>
      <c r="C65" t="s">
        <v>2492</v>
      </c>
      <c r="D65">
        <v>40758</v>
      </c>
      <c r="E65" t="s">
        <v>2493</v>
      </c>
      <c r="F65">
        <v>2900</v>
      </c>
      <c r="G65" t="s">
        <v>569</v>
      </c>
      <c r="H65" t="s">
        <v>2366</v>
      </c>
      <c r="I65" t="s">
        <v>2366</v>
      </c>
      <c r="J65">
        <v>2904</v>
      </c>
      <c r="K65" t="s">
        <v>1432</v>
      </c>
      <c r="L65">
        <v>2100</v>
      </c>
      <c r="M65" t="s">
        <v>618</v>
      </c>
      <c r="N65">
        <v>2108</v>
      </c>
      <c r="O65" t="s">
        <v>1501</v>
      </c>
      <c r="P65" t="s">
        <v>2366</v>
      </c>
      <c r="Q65" t="s">
        <v>2364</v>
      </c>
      <c r="R65" t="s">
        <v>2364</v>
      </c>
      <c r="S65" t="s">
        <v>1881</v>
      </c>
      <c r="T65" t="s">
        <v>1812</v>
      </c>
      <c r="U65" t="s">
        <v>2365</v>
      </c>
      <c r="V65" t="s">
        <v>2365</v>
      </c>
      <c r="W65" t="s">
        <v>2365</v>
      </c>
      <c r="X65" t="s">
        <v>2365</v>
      </c>
      <c r="Y65" t="s">
        <v>2365</v>
      </c>
      <c r="Z65" t="s">
        <v>2365</v>
      </c>
      <c r="AA65" t="s">
        <v>2365</v>
      </c>
      <c r="AB65" t="s">
        <v>2365</v>
      </c>
      <c r="AC65" s="813" t="s">
        <v>2365</v>
      </c>
      <c r="AD65" s="813" t="s">
        <v>2365</v>
      </c>
      <c r="AE65" s="813" t="s">
        <v>2365</v>
      </c>
      <c r="AF65" t="s">
        <v>2365</v>
      </c>
      <c r="AG65" t="s">
        <v>2365</v>
      </c>
      <c r="AH65" t="s">
        <v>2365</v>
      </c>
      <c r="AI65" t="s">
        <v>2365</v>
      </c>
      <c r="AJ65" t="s">
        <v>2365</v>
      </c>
      <c r="AK65" t="s">
        <v>2365</v>
      </c>
      <c r="AL65" t="s">
        <v>2365</v>
      </c>
      <c r="AM65" t="s">
        <v>2365</v>
      </c>
      <c r="AN65" t="s">
        <v>2365</v>
      </c>
      <c r="AR65" t="s">
        <v>2365</v>
      </c>
      <c r="AS65" t="s">
        <v>2365</v>
      </c>
      <c r="AT65" t="s">
        <v>2365</v>
      </c>
      <c r="AU65" t="s">
        <v>2365</v>
      </c>
      <c r="AV65" t="s">
        <v>2365</v>
      </c>
      <c r="AW65" t="s">
        <v>2365</v>
      </c>
      <c r="AX65" t="s">
        <v>2365</v>
      </c>
      <c r="AY65" t="s">
        <v>2365</v>
      </c>
      <c r="AZ65" t="s">
        <v>2365</v>
      </c>
      <c r="BA65" t="s">
        <v>2365</v>
      </c>
      <c r="BB65" t="s">
        <v>2365</v>
      </c>
      <c r="BC65" t="s">
        <v>2365</v>
      </c>
      <c r="BD65" t="s">
        <v>2366</v>
      </c>
      <c r="BE65" t="s">
        <v>2365</v>
      </c>
      <c r="BF65" t="s">
        <v>2365</v>
      </c>
      <c r="BG65" t="s">
        <v>2365</v>
      </c>
      <c r="BH65" t="s">
        <v>2365</v>
      </c>
      <c r="BI65" t="s">
        <v>2366</v>
      </c>
      <c r="BJ65" t="s">
        <v>2365</v>
      </c>
      <c r="BK65" t="s">
        <v>2365</v>
      </c>
      <c r="BL65" t="s">
        <v>2365</v>
      </c>
      <c r="BM65" t="s">
        <v>2365</v>
      </c>
      <c r="BO65">
        <v>4</v>
      </c>
      <c r="BP65">
        <v>44</v>
      </c>
      <c r="BQ65" t="s">
        <v>2433</v>
      </c>
      <c r="BR65" t="s">
        <v>1501</v>
      </c>
      <c r="BU65">
        <v>0</v>
      </c>
      <c r="BV65">
        <v>0</v>
      </c>
      <c r="BW65">
        <v>0</v>
      </c>
      <c r="BX65">
        <v>0</v>
      </c>
      <c r="BY65">
        <v>0</v>
      </c>
      <c r="BZ65">
        <v>0</v>
      </c>
      <c r="CA65">
        <v>0</v>
      </c>
      <c r="CB65">
        <v>0</v>
      </c>
      <c r="CC65">
        <v>0</v>
      </c>
      <c r="CD65">
        <v>0</v>
      </c>
      <c r="CE65">
        <v>0</v>
      </c>
      <c r="CF65">
        <v>0</v>
      </c>
      <c r="CG65">
        <v>0</v>
      </c>
      <c r="CH65">
        <v>0</v>
      </c>
      <c r="CI65">
        <v>0</v>
      </c>
      <c r="CJ65">
        <v>0</v>
      </c>
      <c r="CK65">
        <v>0</v>
      </c>
      <c r="CL65">
        <v>0</v>
      </c>
      <c r="CM65">
        <v>0</v>
      </c>
      <c r="CR65" t="s">
        <v>2322</v>
      </c>
      <c r="CS65" s="1369" t="str">
        <f>INDEX([8]Sheet1!$H:$H,MATCH(CR:CR,[8]Sheet1!$AU:$AU,0))</f>
        <v>Human Resources</v>
      </c>
    </row>
    <row r="66" spans="1:97" x14ac:dyDescent="0.2">
      <c r="A66" t="s">
        <v>2494</v>
      </c>
      <c r="B66">
        <v>115</v>
      </c>
      <c r="C66" t="s">
        <v>2494</v>
      </c>
      <c r="D66">
        <v>40759</v>
      </c>
      <c r="E66" t="s">
        <v>2455</v>
      </c>
      <c r="F66">
        <v>2900</v>
      </c>
      <c r="G66" t="s">
        <v>569</v>
      </c>
      <c r="H66" t="s">
        <v>2366</v>
      </c>
      <c r="I66" t="s">
        <v>2366</v>
      </c>
      <c r="J66">
        <v>2904</v>
      </c>
      <c r="K66" t="s">
        <v>1432</v>
      </c>
      <c r="L66">
        <v>2100</v>
      </c>
      <c r="M66" t="s">
        <v>618</v>
      </c>
      <c r="N66">
        <v>2108</v>
      </c>
      <c r="O66" t="s">
        <v>1501</v>
      </c>
      <c r="P66" t="s">
        <v>2366</v>
      </c>
      <c r="Q66" t="s">
        <v>2364</v>
      </c>
      <c r="R66" t="s">
        <v>2364</v>
      </c>
      <c r="S66" t="s">
        <v>1881</v>
      </c>
      <c r="T66" t="s">
        <v>1812</v>
      </c>
      <c r="U66" t="s">
        <v>2365</v>
      </c>
      <c r="V66" t="s">
        <v>2365</v>
      </c>
      <c r="W66" t="s">
        <v>2365</v>
      </c>
      <c r="X66" t="s">
        <v>2365</v>
      </c>
      <c r="Y66" t="s">
        <v>2365</v>
      </c>
      <c r="Z66" t="s">
        <v>2365</v>
      </c>
      <c r="AA66" t="s">
        <v>2365</v>
      </c>
      <c r="AB66" t="s">
        <v>2365</v>
      </c>
      <c r="AC66" s="813" t="s">
        <v>2365</v>
      </c>
      <c r="AD66" s="813" t="s">
        <v>2365</v>
      </c>
      <c r="AE66" s="813" t="s">
        <v>2365</v>
      </c>
      <c r="AF66" t="s">
        <v>2365</v>
      </c>
      <c r="AG66" t="s">
        <v>2365</v>
      </c>
      <c r="AH66" t="s">
        <v>2365</v>
      </c>
      <c r="AI66" t="s">
        <v>2365</v>
      </c>
      <c r="AJ66" t="s">
        <v>2365</v>
      </c>
      <c r="AK66" t="s">
        <v>2365</v>
      </c>
      <c r="AL66" t="s">
        <v>2365</v>
      </c>
      <c r="AM66" t="s">
        <v>2365</v>
      </c>
      <c r="AN66" t="s">
        <v>2365</v>
      </c>
      <c r="AR66" t="s">
        <v>2365</v>
      </c>
      <c r="AS66" t="s">
        <v>2365</v>
      </c>
      <c r="AT66" t="s">
        <v>2365</v>
      </c>
      <c r="AU66" t="s">
        <v>2365</v>
      </c>
      <c r="AV66" t="s">
        <v>2365</v>
      </c>
      <c r="AW66" t="s">
        <v>2365</v>
      </c>
      <c r="AX66" t="s">
        <v>2365</v>
      </c>
      <c r="AY66" t="s">
        <v>2365</v>
      </c>
      <c r="AZ66" t="s">
        <v>2365</v>
      </c>
      <c r="BA66" t="s">
        <v>2365</v>
      </c>
      <c r="BB66" t="s">
        <v>2365</v>
      </c>
      <c r="BC66" t="s">
        <v>2365</v>
      </c>
      <c r="BD66" t="s">
        <v>2366</v>
      </c>
      <c r="BE66" t="s">
        <v>2365</v>
      </c>
      <c r="BF66" t="s">
        <v>2365</v>
      </c>
      <c r="BG66" t="s">
        <v>2365</v>
      </c>
      <c r="BH66" t="s">
        <v>2365</v>
      </c>
      <c r="BI66" t="s">
        <v>2366</v>
      </c>
      <c r="BJ66" t="s">
        <v>2365</v>
      </c>
      <c r="BK66" t="s">
        <v>2365</v>
      </c>
      <c r="BL66" t="s">
        <v>2365</v>
      </c>
      <c r="BM66" t="s">
        <v>2365</v>
      </c>
      <c r="BO66">
        <v>4</v>
      </c>
      <c r="BP66">
        <v>44</v>
      </c>
      <c r="BQ66" t="s">
        <v>2433</v>
      </c>
      <c r="BR66" t="s">
        <v>1501</v>
      </c>
      <c r="BU66">
        <v>0</v>
      </c>
      <c r="BV66">
        <v>0</v>
      </c>
      <c r="BW66">
        <v>0</v>
      </c>
      <c r="BX66">
        <v>0</v>
      </c>
      <c r="BY66">
        <v>0</v>
      </c>
      <c r="BZ66">
        <v>0</v>
      </c>
      <c r="CA66">
        <v>0</v>
      </c>
      <c r="CB66">
        <v>0</v>
      </c>
      <c r="CC66">
        <v>0</v>
      </c>
      <c r="CD66">
        <v>0</v>
      </c>
      <c r="CE66">
        <v>0</v>
      </c>
      <c r="CF66">
        <v>82871</v>
      </c>
      <c r="CG66">
        <v>-82871</v>
      </c>
      <c r="CH66">
        <v>0</v>
      </c>
      <c r="CI66">
        <v>0</v>
      </c>
      <c r="CJ66">
        <v>0</v>
      </c>
      <c r="CK66">
        <v>0</v>
      </c>
      <c r="CL66">
        <v>0</v>
      </c>
      <c r="CM66">
        <v>0</v>
      </c>
      <c r="CR66" t="s">
        <v>2323</v>
      </c>
      <c r="CS66" s="1369" t="str">
        <f>INDEX([8]Sheet1!$H:$H,MATCH(CR:CR,[8]Sheet1!$AU:$AU,0))</f>
        <v>Information Technology</v>
      </c>
    </row>
    <row r="67" spans="1:97" x14ac:dyDescent="0.2">
      <c r="A67" t="s">
        <v>2495</v>
      </c>
      <c r="B67">
        <v>116</v>
      </c>
      <c r="C67" t="s">
        <v>2495</v>
      </c>
      <c r="D67">
        <v>40760</v>
      </c>
      <c r="E67" t="s">
        <v>2481</v>
      </c>
      <c r="F67">
        <v>2700</v>
      </c>
      <c r="G67" t="s">
        <v>656</v>
      </c>
      <c r="H67" t="s">
        <v>2478</v>
      </c>
      <c r="I67" t="s">
        <v>1802</v>
      </c>
      <c r="J67">
        <v>2703</v>
      </c>
      <c r="K67" t="s">
        <v>1802</v>
      </c>
      <c r="L67">
        <v>2100</v>
      </c>
      <c r="M67" t="s">
        <v>618</v>
      </c>
      <c r="N67">
        <v>2108</v>
      </c>
      <c r="O67" t="s">
        <v>1501</v>
      </c>
      <c r="P67" t="s">
        <v>2366</v>
      </c>
      <c r="Q67" t="s">
        <v>2364</v>
      </c>
      <c r="R67" t="s">
        <v>2364</v>
      </c>
      <c r="S67" t="s">
        <v>1881</v>
      </c>
      <c r="T67" t="s">
        <v>1812</v>
      </c>
      <c r="U67" t="s">
        <v>2365</v>
      </c>
      <c r="V67" t="s">
        <v>2365</v>
      </c>
      <c r="W67" t="s">
        <v>2365</v>
      </c>
      <c r="X67" t="s">
        <v>2365</v>
      </c>
      <c r="Y67" t="s">
        <v>2365</v>
      </c>
      <c r="Z67" t="s">
        <v>2365</v>
      </c>
      <c r="AA67" t="s">
        <v>2365</v>
      </c>
      <c r="AB67" t="s">
        <v>2365</v>
      </c>
      <c r="AC67" s="813" t="s">
        <v>2365</v>
      </c>
      <c r="AD67" s="813" t="s">
        <v>2365</v>
      </c>
      <c r="AE67" s="813" t="s">
        <v>2365</v>
      </c>
      <c r="AF67" t="s">
        <v>2365</v>
      </c>
      <c r="AG67" t="s">
        <v>2365</v>
      </c>
      <c r="AH67" t="s">
        <v>2365</v>
      </c>
      <c r="AI67" t="s">
        <v>2365</v>
      </c>
      <c r="AJ67" t="s">
        <v>2365</v>
      </c>
      <c r="AK67" t="s">
        <v>2365</v>
      </c>
      <c r="AL67" t="s">
        <v>2365</v>
      </c>
      <c r="AM67" t="s">
        <v>2365</v>
      </c>
      <c r="AN67" t="s">
        <v>2365</v>
      </c>
      <c r="AR67" t="s">
        <v>2365</v>
      </c>
      <c r="AS67" t="s">
        <v>2365</v>
      </c>
      <c r="AT67" t="s">
        <v>2365</v>
      </c>
      <c r="AU67" t="s">
        <v>2365</v>
      </c>
      <c r="AV67" t="s">
        <v>2365</v>
      </c>
      <c r="AW67" t="s">
        <v>2365</v>
      </c>
      <c r="AX67" t="s">
        <v>2365</v>
      </c>
      <c r="AY67" t="s">
        <v>2365</v>
      </c>
      <c r="AZ67" t="s">
        <v>2365</v>
      </c>
      <c r="BA67" t="s">
        <v>2365</v>
      </c>
      <c r="BB67" t="s">
        <v>2365</v>
      </c>
      <c r="BC67" t="s">
        <v>2365</v>
      </c>
      <c r="BD67" t="s">
        <v>2366</v>
      </c>
      <c r="BE67" t="s">
        <v>2365</v>
      </c>
      <c r="BF67" t="s">
        <v>2365</v>
      </c>
      <c r="BG67" t="s">
        <v>2365</v>
      </c>
      <c r="BH67" t="s">
        <v>2365</v>
      </c>
      <c r="BI67" t="s">
        <v>2366</v>
      </c>
      <c r="BJ67" t="s">
        <v>2365</v>
      </c>
      <c r="BK67" t="s">
        <v>2365</v>
      </c>
      <c r="BL67" t="s">
        <v>2365</v>
      </c>
      <c r="BM67" t="s">
        <v>2365</v>
      </c>
      <c r="BO67">
        <v>4</v>
      </c>
      <c r="BP67">
        <v>44</v>
      </c>
      <c r="BQ67" t="s">
        <v>2433</v>
      </c>
      <c r="BR67" t="s">
        <v>1501</v>
      </c>
      <c r="BU67">
        <v>0</v>
      </c>
      <c r="BV67">
        <v>0</v>
      </c>
      <c r="BW67">
        <v>0</v>
      </c>
      <c r="BX67">
        <v>0</v>
      </c>
      <c r="BY67">
        <v>0</v>
      </c>
      <c r="BZ67">
        <v>0</v>
      </c>
      <c r="CA67">
        <v>0</v>
      </c>
      <c r="CB67">
        <v>0</v>
      </c>
      <c r="CC67">
        <v>0</v>
      </c>
      <c r="CD67">
        <v>0</v>
      </c>
      <c r="CE67">
        <v>0</v>
      </c>
      <c r="CF67">
        <v>0</v>
      </c>
      <c r="CG67">
        <v>0</v>
      </c>
      <c r="CH67">
        <v>0</v>
      </c>
      <c r="CI67">
        <v>0</v>
      </c>
      <c r="CJ67">
        <v>0</v>
      </c>
      <c r="CK67">
        <v>0</v>
      </c>
      <c r="CL67">
        <v>0</v>
      </c>
      <c r="CM67">
        <v>0</v>
      </c>
      <c r="CR67" t="s">
        <v>2321</v>
      </c>
      <c r="CS67" s="1369" t="str">
        <f>INDEX([8]Sheet1!$H:$H,MATCH(CR:CR,[8]Sheet1!$AU:$AU,0))</f>
        <v>Marketing, Customer Relations, Publicity and Media Co-ordination</v>
      </c>
    </row>
    <row r="68" spans="1:97" x14ac:dyDescent="0.2">
      <c r="A68" t="s">
        <v>2496</v>
      </c>
      <c r="B68">
        <v>117</v>
      </c>
      <c r="C68" t="s">
        <v>2496</v>
      </c>
      <c r="D68">
        <v>40761</v>
      </c>
      <c r="E68" t="s">
        <v>2477</v>
      </c>
      <c r="F68">
        <v>2700</v>
      </c>
      <c r="G68" t="s">
        <v>656</v>
      </c>
      <c r="H68" t="s">
        <v>2478</v>
      </c>
      <c r="I68" t="s">
        <v>1802</v>
      </c>
      <c r="J68">
        <v>2703</v>
      </c>
      <c r="K68" t="s">
        <v>1802</v>
      </c>
      <c r="L68">
        <v>2100</v>
      </c>
      <c r="M68" t="s">
        <v>618</v>
      </c>
      <c r="N68">
        <v>2108</v>
      </c>
      <c r="O68" t="s">
        <v>1501</v>
      </c>
      <c r="P68" t="s">
        <v>2366</v>
      </c>
      <c r="Q68" t="s">
        <v>2364</v>
      </c>
      <c r="R68" t="s">
        <v>2364</v>
      </c>
      <c r="S68" t="s">
        <v>1881</v>
      </c>
      <c r="T68" t="s">
        <v>1812</v>
      </c>
      <c r="U68" t="s">
        <v>2365</v>
      </c>
      <c r="V68" t="s">
        <v>2365</v>
      </c>
      <c r="W68" t="s">
        <v>2365</v>
      </c>
      <c r="X68" t="s">
        <v>2365</v>
      </c>
      <c r="Y68" t="s">
        <v>2365</v>
      </c>
      <c r="Z68" t="s">
        <v>2365</v>
      </c>
      <c r="AA68" t="s">
        <v>2365</v>
      </c>
      <c r="AB68" t="s">
        <v>2365</v>
      </c>
      <c r="AC68" s="813" t="s">
        <v>2365</v>
      </c>
      <c r="AD68" s="813" t="s">
        <v>2365</v>
      </c>
      <c r="AE68" s="813" t="s">
        <v>2365</v>
      </c>
      <c r="AF68" t="s">
        <v>2365</v>
      </c>
      <c r="AG68" t="s">
        <v>2365</v>
      </c>
      <c r="AH68" t="s">
        <v>2365</v>
      </c>
      <c r="AI68" t="s">
        <v>2365</v>
      </c>
      <c r="AJ68" t="s">
        <v>2365</v>
      </c>
      <c r="AK68" t="s">
        <v>2365</v>
      </c>
      <c r="AL68" t="s">
        <v>2365</v>
      </c>
      <c r="AM68" t="s">
        <v>2365</v>
      </c>
      <c r="AN68" t="s">
        <v>2365</v>
      </c>
      <c r="AR68" t="s">
        <v>2365</v>
      </c>
      <c r="AS68" t="s">
        <v>2365</v>
      </c>
      <c r="AT68" t="s">
        <v>2365</v>
      </c>
      <c r="AU68" t="s">
        <v>2365</v>
      </c>
      <c r="AV68" t="s">
        <v>2365</v>
      </c>
      <c r="AW68" t="s">
        <v>2365</v>
      </c>
      <c r="AX68" t="s">
        <v>2365</v>
      </c>
      <c r="AY68" t="s">
        <v>2365</v>
      </c>
      <c r="AZ68" t="s">
        <v>2365</v>
      </c>
      <c r="BA68" t="s">
        <v>2365</v>
      </c>
      <c r="BB68" t="s">
        <v>2365</v>
      </c>
      <c r="BC68" t="s">
        <v>2365</v>
      </c>
      <c r="BD68" t="s">
        <v>2366</v>
      </c>
      <c r="BE68" t="s">
        <v>2365</v>
      </c>
      <c r="BF68" t="s">
        <v>2365</v>
      </c>
      <c r="BG68" t="s">
        <v>2365</v>
      </c>
      <c r="BH68" t="s">
        <v>2365</v>
      </c>
      <c r="BI68" t="s">
        <v>2366</v>
      </c>
      <c r="BJ68" t="s">
        <v>2365</v>
      </c>
      <c r="BK68" t="s">
        <v>2365</v>
      </c>
      <c r="BL68" t="s">
        <v>2365</v>
      </c>
      <c r="BM68" t="s">
        <v>2365</v>
      </c>
      <c r="BO68">
        <v>4</v>
      </c>
      <c r="BP68">
        <v>44</v>
      </c>
      <c r="BQ68" t="s">
        <v>2433</v>
      </c>
      <c r="BR68" t="s">
        <v>1501</v>
      </c>
      <c r="BU68">
        <v>0</v>
      </c>
      <c r="BV68">
        <v>0</v>
      </c>
      <c r="BW68">
        <v>0</v>
      </c>
      <c r="BX68">
        <v>0</v>
      </c>
      <c r="BY68">
        <v>0</v>
      </c>
      <c r="BZ68">
        <v>0</v>
      </c>
      <c r="CA68">
        <v>0</v>
      </c>
      <c r="CB68">
        <v>0</v>
      </c>
      <c r="CC68">
        <v>0</v>
      </c>
      <c r="CD68">
        <v>0</v>
      </c>
      <c r="CE68">
        <v>0</v>
      </c>
      <c r="CF68">
        <v>0</v>
      </c>
      <c r="CG68">
        <v>12000</v>
      </c>
      <c r="CH68">
        <v>0</v>
      </c>
      <c r="CI68">
        <v>0</v>
      </c>
      <c r="CJ68">
        <v>0</v>
      </c>
      <c r="CK68">
        <v>0</v>
      </c>
      <c r="CL68">
        <v>0</v>
      </c>
      <c r="CM68">
        <v>0</v>
      </c>
      <c r="CR68" t="s">
        <v>2322</v>
      </c>
      <c r="CS68" s="1369" t="str">
        <f>INDEX([8]Sheet1!$H:$H,MATCH(CR:CR,[8]Sheet1!$AU:$AU,0))</f>
        <v>Human Resources</v>
      </c>
    </row>
    <row r="69" spans="1:97" x14ac:dyDescent="0.2">
      <c r="A69" t="s">
        <v>2497</v>
      </c>
      <c r="B69">
        <v>118</v>
      </c>
      <c r="C69" t="s">
        <v>2497</v>
      </c>
      <c r="D69">
        <v>40753</v>
      </c>
      <c r="E69" t="s">
        <v>2425</v>
      </c>
      <c r="F69">
        <v>2900</v>
      </c>
      <c r="G69" t="s">
        <v>569</v>
      </c>
      <c r="H69" t="s">
        <v>2366</v>
      </c>
      <c r="I69" t="s">
        <v>2366</v>
      </c>
      <c r="J69">
        <v>2904</v>
      </c>
      <c r="K69" t="s">
        <v>1432</v>
      </c>
      <c r="L69">
        <v>2100</v>
      </c>
      <c r="M69" t="s">
        <v>618</v>
      </c>
      <c r="N69">
        <v>2108</v>
      </c>
      <c r="O69" t="s">
        <v>1501</v>
      </c>
      <c r="P69" t="s">
        <v>2366</v>
      </c>
      <c r="Q69" t="s">
        <v>2364</v>
      </c>
      <c r="R69" t="s">
        <v>2364</v>
      </c>
      <c r="S69" t="s">
        <v>1881</v>
      </c>
      <c r="T69" t="s">
        <v>1812</v>
      </c>
      <c r="U69" t="s">
        <v>2365</v>
      </c>
      <c r="V69" t="s">
        <v>2365</v>
      </c>
      <c r="W69" t="s">
        <v>2365</v>
      </c>
      <c r="X69" t="s">
        <v>2365</v>
      </c>
      <c r="Y69" t="s">
        <v>2365</v>
      </c>
      <c r="Z69" t="s">
        <v>2365</v>
      </c>
      <c r="AA69" t="s">
        <v>2365</v>
      </c>
      <c r="AB69" t="s">
        <v>2365</v>
      </c>
      <c r="AC69" s="813" t="s">
        <v>2365</v>
      </c>
      <c r="AD69" s="813" t="s">
        <v>2365</v>
      </c>
      <c r="AE69" s="813" t="s">
        <v>2365</v>
      </c>
      <c r="AF69" t="s">
        <v>2365</v>
      </c>
      <c r="AG69" t="s">
        <v>2365</v>
      </c>
      <c r="AH69" t="s">
        <v>2365</v>
      </c>
      <c r="AI69" t="s">
        <v>2365</v>
      </c>
      <c r="AJ69" t="s">
        <v>2365</v>
      </c>
      <c r="AK69" t="s">
        <v>2365</v>
      </c>
      <c r="AL69" t="s">
        <v>2365</v>
      </c>
      <c r="AM69" t="s">
        <v>2365</v>
      </c>
      <c r="AN69" t="s">
        <v>2365</v>
      </c>
      <c r="AR69" t="s">
        <v>2365</v>
      </c>
      <c r="AS69" t="s">
        <v>2365</v>
      </c>
      <c r="AT69" t="s">
        <v>2365</v>
      </c>
      <c r="AU69" t="s">
        <v>2365</v>
      </c>
      <c r="AV69" t="s">
        <v>2365</v>
      </c>
      <c r="AW69" t="s">
        <v>2365</v>
      </c>
      <c r="AX69" t="s">
        <v>2365</v>
      </c>
      <c r="AY69" t="s">
        <v>2365</v>
      </c>
      <c r="AZ69" t="s">
        <v>2365</v>
      </c>
      <c r="BA69" t="s">
        <v>2365</v>
      </c>
      <c r="BB69" t="s">
        <v>2365</v>
      </c>
      <c r="BC69" t="s">
        <v>2365</v>
      </c>
      <c r="BD69" t="s">
        <v>2366</v>
      </c>
      <c r="BE69" t="s">
        <v>2365</v>
      </c>
      <c r="BF69" t="s">
        <v>2365</v>
      </c>
      <c r="BG69" t="s">
        <v>2365</v>
      </c>
      <c r="BH69" t="s">
        <v>2365</v>
      </c>
      <c r="BI69" t="s">
        <v>2366</v>
      </c>
      <c r="BJ69" t="s">
        <v>2365</v>
      </c>
      <c r="BK69" t="s">
        <v>2365</v>
      </c>
      <c r="BL69" t="s">
        <v>2365</v>
      </c>
      <c r="BM69" t="s">
        <v>2365</v>
      </c>
      <c r="BO69">
        <v>4</v>
      </c>
      <c r="BP69">
        <v>44</v>
      </c>
      <c r="BQ69" t="s">
        <v>2433</v>
      </c>
      <c r="BR69" t="s">
        <v>1501</v>
      </c>
      <c r="BU69">
        <v>320000</v>
      </c>
      <c r="BV69">
        <v>0</v>
      </c>
      <c r="BW69">
        <v>320000</v>
      </c>
      <c r="BX69">
        <v>-120000</v>
      </c>
      <c r="BY69">
        <v>200000</v>
      </c>
      <c r="BZ69">
        <v>339200</v>
      </c>
      <c r="CA69">
        <v>359552</v>
      </c>
      <c r="CB69">
        <v>0</v>
      </c>
      <c r="CC69">
        <v>0</v>
      </c>
      <c r="CD69">
        <v>0</v>
      </c>
      <c r="CE69">
        <v>12900</v>
      </c>
      <c r="CF69">
        <v>18225</v>
      </c>
      <c r="CG69">
        <v>164773.43</v>
      </c>
      <c r="CH69">
        <v>0</v>
      </c>
      <c r="CI69">
        <v>95558.1</v>
      </c>
      <c r="CJ69">
        <v>0</v>
      </c>
      <c r="CK69">
        <v>0</v>
      </c>
      <c r="CL69">
        <v>0</v>
      </c>
      <c r="CM69">
        <v>0</v>
      </c>
      <c r="CR69" t="s">
        <v>2323</v>
      </c>
      <c r="CS69" s="1369" t="str">
        <f>INDEX([8]Sheet1!$H:$H,MATCH(CR:CR,[8]Sheet1!$AU:$AU,0))</f>
        <v>Information Technology</v>
      </c>
    </row>
    <row r="70" spans="1:97" x14ac:dyDescent="0.2">
      <c r="A70" t="s">
        <v>2498</v>
      </c>
      <c r="B70">
        <v>119</v>
      </c>
      <c r="C70" t="s">
        <v>2498</v>
      </c>
      <c r="D70">
        <v>40754</v>
      </c>
      <c r="E70" t="s">
        <v>2499</v>
      </c>
      <c r="F70">
        <v>2900</v>
      </c>
      <c r="G70" t="s">
        <v>569</v>
      </c>
      <c r="H70" t="s">
        <v>2366</v>
      </c>
      <c r="I70" t="s">
        <v>2366</v>
      </c>
      <c r="J70">
        <v>2904</v>
      </c>
      <c r="K70" t="s">
        <v>1432</v>
      </c>
      <c r="L70">
        <v>2100</v>
      </c>
      <c r="M70" t="s">
        <v>618</v>
      </c>
      <c r="N70">
        <v>2108</v>
      </c>
      <c r="O70" t="s">
        <v>1501</v>
      </c>
      <c r="P70" t="s">
        <v>2366</v>
      </c>
      <c r="Q70" t="s">
        <v>2364</v>
      </c>
      <c r="R70" t="s">
        <v>2364</v>
      </c>
      <c r="S70" t="s">
        <v>1881</v>
      </c>
      <c r="T70" t="s">
        <v>1812</v>
      </c>
      <c r="U70" t="s">
        <v>2365</v>
      </c>
      <c r="V70" t="s">
        <v>2365</v>
      </c>
      <c r="W70" t="s">
        <v>2365</v>
      </c>
      <c r="X70" t="s">
        <v>2365</v>
      </c>
      <c r="Y70" t="s">
        <v>2365</v>
      </c>
      <c r="Z70" t="s">
        <v>2365</v>
      </c>
      <c r="AA70" t="s">
        <v>2365</v>
      </c>
      <c r="AB70" t="s">
        <v>2365</v>
      </c>
      <c r="AC70" s="813" t="s">
        <v>2365</v>
      </c>
      <c r="AD70" s="813" t="s">
        <v>2365</v>
      </c>
      <c r="AE70" s="813" t="s">
        <v>2365</v>
      </c>
      <c r="AF70" t="s">
        <v>2365</v>
      </c>
      <c r="AG70" t="s">
        <v>2365</v>
      </c>
      <c r="AH70" t="s">
        <v>2365</v>
      </c>
      <c r="AI70" t="s">
        <v>2365</v>
      </c>
      <c r="AJ70" t="s">
        <v>2365</v>
      </c>
      <c r="AK70" t="s">
        <v>2365</v>
      </c>
      <c r="AL70" t="s">
        <v>2365</v>
      </c>
      <c r="AM70" t="s">
        <v>2365</v>
      </c>
      <c r="AN70" t="s">
        <v>2365</v>
      </c>
      <c r="AR70" t="s">
        <v>2365</v>
      </c>
      <c r="AS70" t="s">
        <v>2365</v>
      </c>
      <c r="AT70" t="s">
        <v>2365</v>
      </c>
      <c r="AU70" t="s">
        <v>2365</v>
      </c>
      <c r="AV70" t="s">
        <v>2365</v>
      </c>
      <c r="AW70" t="s">
        <v>2365</v>
      </c>
      <c r="AX70" t="s">
        <v>2365</v>
      </c>
      <c r="AY70" t="s">
        <v>2365</v>
      </c>
      <c r="AZ70" t="s">
        <v>2365</v>
      </c>
      <c r="BA70" t="s">
        <v>2365</v>
      </c>
      <c r="BB70" t="s">
        <v>2365</v>
      </c>
      <c r="BC70" t="s">
        <v>2365</v>
      </c>
      <c r="BD70" t="s">
        <v>2366</v>
      </c>
      <c r="BE70" t="s">
        <v>2365</v>
      </c>
      <c r="BF70" t="s">
        <v>2365</v>
      </c>
      <c r="BG70" t="s">
        <v>2365</v>
      </c>
      <c r="BH70" t="s">
        <v>2365</v>
      </c>
      <c r="BI70" t="s">
        <v>2366</v>
      </c>
      <c r="BJ70" t="s">
        <v>2365</v>
      </c>
      <c r="BK70" t="s">
        <v>2365</v>
      </c>
      <c r="BL70" t="s">
        <v>2365</v>
      </c>
      <c r="BM70" t="s">
        <v>2365</v>
      </c>
      <c r="BO70">
        <v>4</v>
      </c>
      <c r="BP70">
        <v>44</v>
      </c>
      <c r="BQ70" t="s">
        <v>2433</v>
      </c>
      <c r="BR70" t="s">
        <v>1501</v>
      </c>
      <c r="BU70">
        <v>50000</v>
      </c>
      <c r="BV70">
        <v>0</v>
      </c>
      <c r="BW70">
        <v>50000</v>
      </c>
      <c r="BX70">
        <v>150000</v>
      </c>
      <c r="BY70">
        <v>200000</v>
      </c>
      <c r="BZ70">
        <v>53000</v>
      </c>
      <c r="CA70">
        <v>56180</v>
      </c>
      <c r="CB70">
        <v>0</v>
      </c>
      <c r="CC70">
        <v>0</v>
      </c>
      <c r="CD70">
        <v>0</v>
      </c>
      <c r="CE70">
        <v>0</v>
      </c>
      <c r="CF70">
        <v>23500</v>
      </c>
      <c r="CG70">
        <v>176081</v>
      </c>
      <c r="CH70">
        <v>290</v>
      </c>
      <c r="CI70">
        <v>0</v>
      </c>
      <c r="CJ70">
        <v>0</v>
      </c>
      <c r="CK70">
        <v>0</v>
      </c>
      <c r="CL70">
        <v>0</v>
      </c>
      <c r="CM70">
        <v>0</v>
      </c>
      <c r="CR70" t="s">
        <v>2323</v>
      </c>
      <c r="CS70" s="1369" t="str">
        <f>INDEX([8]Sheet1!$H:$H,MATCH(CR:CR,[8]Sheet1!$AU:$AU,0))</f>
        <v>Information Technology</v>
      </c>
    </row>
    <row r="71" spans="1:97" x14ac:dyDescent="0.2">
      <c r="A71" t="s">
        <v>2500</v>
      </c>
      <c r="B71">
        <v>120</v>
      </c>
      <c r="C71" t="s">
        <v>2500</v>
      </c>
      <c r="D71">
        <v>40755</v>
      </c>
      <c r="E71" t="s">
        <v>2493</v>
      </c>
      <c r="F71">
        <v>2900</v>
      </c>
      <c r="G71" t="s">
        <v>569</v>
      </c>
      <c r="H71" t="s">
        <v>2366</v>
      </c>
      <c r="I71" t="s">
        <v>2366</v>
      </c>
      <c r="J71">
        <v>2904</v>
      </c>
      <c r="K71" t="s">
        <v>1432</v>
      </c>
      <c r="L71">
        <v>2100</v>
      </c>
      <c r="M71" t="s">
        <v>618</v>
      </c>
      <c r="N71">
        <v>2108</v>
      </c>
      <c r="O71" t="s">
        <v>1501</v>
      </c>
      <c r="P71" t="s">
        <v>2366</v>
      </c>
      <c r="Q71" t="s">
        <v>2364</v>
      </c>
      <c r="R71" t="s">
        <v>2364</v>
      </c>
      <c r="S71" t="s">
        <v>1881</v>
      </c>
      <c r="T71" t="s">
        <v>1812</v>
      </c>
      <c r="U71" t="s">
        <v>2365</v>
      </c>
      <c r="V71" t="s">
        <v>2365</v>
      </c>
      <c r="W71" t="s">
        <v>2365</v>
      </c>
      <c r="X71" t="s">
        <v>2365</v>
      </c>
      <c r="Y71" t="s">
        <v>2365</v>
      </c>
      <c r="Z71" t="s">
        <v>2365</v>
      </c>
      <c r="AA71" t="s">
        <v>2365</v>
      </c>
      <c r="AB71" t="s">
        <v>2365</v>
      </c>
      <c r="AC71" s="813" t="s">
        <v>2365</v>
      </c>
      <c r="AD71" s="813" t="s">
        <v>2365</v>
      </c>
      <c r="AE71" s="813" t="s">
        <v>2365</v>
      </c>
      <c r="AF71" t="s">
        <v>2365</v>
      </c>
      <c r="AG71" t="s">
        <v>2365</v>
      </c>
      <c r="AH71" t="s">
        <v>2365</v>
      </c>
      <c r="AI71" t="s">
        <v>2365</v>
      </c>
      <c r="AJ71" t="s">
        <v>2365</v>
      </c>
      <c r="AK71" t="s">
        <v>2365</v>
      </c>
      <c r="AL71" t="s">
        <v>2365</v>
      </c>
      <c r="AM71" t="s">
        <v>2365</v>
      </c>
      <c r="AN71" t="s">
        <v>2365</v>
      </c>
      <c r="AR71" t="s">
        <v>2365</v>
      </c>
      <c r="AS71" t="s">
        <v>2365</v>
      </c>
      <c r="AT71" t="s">
        <v>2365</v>
      </c>
      <c r="AU71" t="s">
        <v>2365</v>
      </c>
      <c r="AV71" t="s">
        <v>2365</v>
      </c>
      <c r="AW71" t="s">
        <v>2365</v>
      </c>
      <c r="AX71" t="s">
        <v>2365</v>
      </c>
      <c r="AY71" t="s">
        <v>2365</v>
      </c>
      <c r="AZ71" t="s">
        <v>2365</v>
      </c>
      <c r="BA71" t="s">
        <v>2365</v>
      </c>
      <c r="BB71" t="s">
        <v>2365</v>
      </c>
      <c r="BC71" t="s">
        <v>2365</v>
      </c>
      <c r="BD71" t="s">
        <v>2366</v>
      </c>
      <c r="BE71" t="s">
        <v>2365</v>
      </c>
      <c r="BF71" t="s">
        <v>2365</v>
      </c>
      <c r="BG71" t="s">
        <v>2365</v>
      </c>
      <c r="BH71" t="s">
        <v>2365</v>
      </c>
      <c r="BI71" t="s">
        <v>2366</v>
      </c>
      <c r="BJ71" t="s">
        <v>2365</v>
      </c>
      <c r="BK71" t="s">
        <v>2365</v>
      </c>
      <c r="BL71" t="s">
        <v>2365</v>
      </c>
      <c r="BM71" t="s">
        <v>2365</v>
      </c>
      <c r="BO71">
        <v>4</v>
      </c>
      <c r="BP71">
        <v>44</v>
      </c>
      <c r="BQ71" t="s">
        <v>2433</v>
      </c>
      <c r="BR71" t="s">
        <v>1501</v>
      </c>
      <c r="BU71">
        <v>0</v>
      </c>
      <c r="BV71">
        <v>0</v>
      </c>
      <c r="BW71">
        <v>0</v>
      </c>
      <c r="BX71">
        <v>0</v>
      </c>
      <c r="BY71">
        <v>0</v>
      </c>
      <c r="BZ71">
        <v>0</v>
      </c>
      <c r="CA71">
        <v>0</v>
      </c>
      <c r="CB71">
        <v>0</v>
      </c>
      <c r="CC71">
        <v>0</v>
      </c>
      <c r="CD71">
        <v>0</v>
      </c>
      <c r="CE71">
        <v>0</v>
      </c>
      <c r="CF71">
        <v>0</v>
      </c>
      <c r="CG71">
        <v>0</v>
      </c>
      <c r="CH71">
        <v>0</v>
      </c>
      <c r="CI71">
        <v>0</v>
      </c>
      <c r="CJ71">
        <v>0</v>
      </c>
      <c r="CK71">
        <v>0</v>
      </c>
      <c r="CL71">
        <v>0</v>
      </c>
      <c r="CM71">
        <v>0</v>
      </c>
      <c r="CR71" t="s">
        <v>2322</v>
      </c>
      <c r="CS71" s="1369" t="str">
        <f>INDEX([8]Sheet1!$H:$H,MATCH(CR:CR,[8]Sheet1!$AU:$AU,0))</f>
        <v>Human Resources</v>
      </c>
    </row>
    <row r="72" spans="1:97" x14ac:dyDescent="0.2">
      <c r="A72" t="s">
        <v>2501</v>
      </c>
      <c r="B72">
        <v>121</v>
      </c>
      <c r="C72" t="s">
        <v>2501</v>
      </c>
      <c r="D72">
        <v>40756</v>
      </c>
      <c r="E72" t="s">
        <v>2427</v>
      </c>
      <c r="F72">
        <v>2700</v>
      </c>
      <c r="G72" t="s">
        <v>656</v>
      </c>
      <c r="H72" t="s">
        <v>2428</v>
      </c>
      <c r="I72" t="s">
        <v>1800</v>
      </c>
      <c r="J72">
        <v>2701</v>
      </c>
      <c r="K72" t="s">
        <v>1800</v>
      </c>
      <c r="L72">
        <v>2100</v>
      </c>
      <c r="M72" t="s">
        <v>618</v>
      </c>
      <c r="N72">
        <v>2108</v>
      </c>
      <c r="O72" t="s">
        <v>1501</v>
      </c>
      <c r="P72" t="s">
        <v>2366</v>
      </c>
      <c r="Q72" t="s">
        <v>2364</v>
      </c>
      <c r="R72" t="s">
        <v>2364</v>
      </c>
      <c r="S72" t="s">
        <v>1881</v>
      </c>
      <c r="T72" t="s">
        <v>1812</v>
      </c>
      <c r="U72" t="s">
        <v>2365</v>
      </c>
      <c r="V72" t="s">
        <v>2365</v>
      </c>
      <c r="W72" t="s">
        <v>2365</v>
      </c>
      <c r="X72" t="s">
        <v>2365</v>
      </c>
      <c r="Y72" t="s">
        <v>2365</v>
      </c>
      <c r="Z72" t="s">
        <v>2365</v>
      </c>
      <c r="AA72" t="s">
        <v>2365</v>
      </c>
      <c r="AB72" t="s">
        <v>2365</v>
      </c>
      <c r="AC72" s="813" t="s">
        <v>2365</v>
      </c>
      <c r="AD72" s="813" t="s">
        <v>2365</v>
      </c>
      <c r="AE72" s="813" t="s">
        <v>2365</v>
      </c>
      <c r="AF72" t="s">
        <v>2365</v>
      </c>
      <c r="AG72" t="s">
        <v>2365</v>
      </c>
      <c r="AH72" t="s">
        <v>2365</v>
      </c>
      <c r="AI72" t="s">
        <v>2365</v>
      </c>
      <c r="AJ72" t="s">
        <v>2365</v>
      </c>
      <c r="AK72" t="s">
        <v>2365</v>
      </c>
      <c r="AL72" t="s">
        <v>2365</v>
      </c>
      <c r="AM72" t="s">
        <v>2365</v>
      </c>
      <c r="AN72" t="s">
        <v>2365</v>
      </c>
      <c r="AR72" t="s">
        <v>2365</v>
      </c>
      <c r="AS72" t="s">
        <v>2365</v>
      </c>
      <c r="AT72" t="s">
        <v>2365</v>
      </c>
      <c r="AU72" t="s">
        <v>2365</v>
      </c>
      <c r="AV72" t="s">
        <v>2365</v>
      </c>
      <c r="AW72" t="s">
        <v>2365</v>
      </c>
      <c r="AX72" t="s">
        <v>2365</v>
      </c>
      <c r="AY72" t="s">
        <v>2365</v>
      </c>
      <c r="AZ72" t="s">
        <v>2365</v>
      </c>
      <c r="BA72" t="s">
        <v>2365</v>
      </c>
      <c r="BB72" t="s">
        <v>2365</v>
      </c>
      <c r="BC72" t="s">
        <v>2365</v>
      </c>
      <c r="BD72" t="s">
        <v>2366</v>
      </c>
      <c r="BE72" t="s">
        <v>2365</v>
      </c>
      <c r="BF72" t="s">
        <v>2365</v>
      </c>
      <c r="BG72" t="s">
        <v>2365</v>
      </c>
      <c r="BH72" t="s">
        <v>2365</v>
      </c>
      <c r="BI72" t="s">
        <v>2366</v>
      </c>
      <c r="BJ72" t="s">
        <v>2365</v>
      </c>
      <c r="BK72" t="s">
        <v>2365</v>
      </c>
      <c r="BL72" t="s">
        <v>2365</v>
      </c>
      <c r="BM72" t="s">
        <v>2365</v>
      </c>
      <c r="BO72">
        <v>4</v>
      </c>
      <c r="BP72">
        <v>44</v>
      </c>
      <c r="BQ72" t="s">
        <v>2433</v>
      </c>
      <c r="BR72" t="s">
        <v>1501</v>
      </c>
      <c r="BU72">
        <v>150000</v>
      </c>
      <c r="BV72">
        <v>0</v>
      </c>
      <c r="BW72">
        <v>150000</v>
      </c>
      <c r="BX72">
        <v>22000</v>
      </c>
      <c r="BY72">
        <v>172000</v>
      </c>
      <c r="BZ72">
        <v>159000</v>
      </c>
      <c r="CA72">
        <v>168540</v>
      </c>
      <c r="CB72">
        <v>0</v>
      </c>
      <c r="CC72">
        <v>0</v>
      </c>
      <c r="CD72">
        <v>0</v>
      </c>
      <c r="CE72">
        <v>0</v>
      </c>
      <c r="CF72">
        <v>150030</v>
      </c>
      <c r="CG72">
        <v>21428.57</v>
      </c>
      <c r="CH72">
        <v>0</v>
      </c>
      <c r="CI72">
        <v>0</v>
      </c>
      <c r="CJ72">
        <v>0</v>
      </c>
      <c r="CK72">
        <v>0</v>
      </c>
      <c r="CL72">
        <v>0</v>
      </c>
      <c r="CM72">
        <v>0</v>
      </c>
      <c r="CR72" t="s">
        <v>2321</v>
      </c>
      <c r="CS72" s="1369" t="str">
        <f>INDEX([8]Sheet1!$H:$H,MATCH(CR:CR,[8]Sheet1!$AU:$AU,0))</f>
        <v>Marketing, Customer Relations, Publicity and Media Co-ordination</v>
      </c>
    </row>
    <row r="73" spans="1:97" x14ac:dyDescent="0.2">
      <c r="A73" t="s">
        <v>2502</v>
      </c>
      <c r="B73">
        <v>122</v>
      </c>
      <c r="C73" t="s">
        <v>2502</v>
      </c>
      <c r="D73">
        <v>40757</v>
      </c>
      <c r="E73" t="s">
        <v>2477</v>
      </c>
      <c r="F73">
        <v>2700</v>
      </c>
      <c r="G73" t="s">
        <v>656</v>
      </c>
      <c r="H73" t="s">
        <v>2478</v>
      </c>
      <c r="I73" t="s">
        <v>1802</v>
      </c>
      <c r="J73">
        <v>2703</v>
      </c>
      <c r="K73" t="s">
        <v>1802</v>
      </c>
      <c r="L73">
        <v>2100</v>
      </c>
      <c r="M73" t="s">
        <v>618</v>
      </c>
      <c r="N73">
        <v>2108</v>
      </c>
      <c r="O73" t="s">
        <v>1501</v>
      </c>
      <c r="P73" t="s">
        <v>2366</v>
      </c>
      <c r="Q73" t="s">
        <v>2364</v>
      </c>
      <c r="R73" t="s">
        <v>2364</v>
      </c>
      <c r="S73" t="s">
        <v>1881</v>
      </c>
      <c r="T73" t="s">
        <v>1812</v>
      </c>
      <c r="U73" t="s">
        <v>2365</v>
      </c>
      <c r="V73" t="s">
        <v>2365</v>
      </c>
      <c r="W73" t="s">
        <v>2365</v>
      </c>
      <c r="X73" t="s">
        <v>2365</v>
      </c>
      <c r="Y73" t="s">
        <v>2365</v>
      </c>
      <c r="Z73" t="s">
        <v>2365</v>
      </c>
      <c r="AA73" t="s">
        <v>2365</v>
      </c>
      <c r="AB73" t="s">
        <v>2365</v>
      </c>
      <c r="AC73" s="813" t="s">
        <v>2365</v>
      </c>
      <c r="AD73" s="813" t="s">
        <v>2365</v>
      </c>
      <c r="AE73" s="813" t="s">
        <v>2365</v>
      </c>
      <c r="AF73" t="s">
        <v>2365</v>
      </c>
      <c r="AG73" t="s">
        <v>2365</v>
      </c>
      <c r="AH73" t="s">
        <v>2365</v>
      </c>
      <c r="AI73" t="s">
        <v>2365</v>
      </c>
      <c r="AJ73" t="s">
        <v>2365</v>
      </c>
      <c r="AK73" t="s">
        <v>2365</v>
      </c>
      <c r="AL73" t="s">
        <v>2365</v>
      </c>
      <c r="AM73" t="s">
        <v>2365</v>
      </c>
      <c r="AN73" t="s">
        <v>2365</v>
      </c>
      <c r="AR73" t="s">
        <v>2365</v>
      </c>
      <c r="AS73" t="s">
        <v>2365</v>
      </c>
      <c r="AT73" t="s">
        <v>2365</v>
      </c>
      <c r="AU73" t="s">
        <v>2365</v>
      </c>
      <c r="AV73" t="s">
        <v>2365</v>
      </c>
      <c r="AW73" t="s">
        <v>2365</v>
      </c>
      <c r="AX73" t="s">
        <v>2365</v>
      </c>
      <c r="AY73" t="s">
        <v>2365</v>
      </c>
      <c r="AZ73" t="s">
        <v>2365</v>
      </c>
      <c r="BA73" t="s">
        <v>2365</v>
      </c>
      <c r="BB73" t="s">
        <v>2365</v>
      </c>
      <c r="BC73" t="s">
        <v>2365</v>
      </c>
      <c r="BD73" t="s">
        <v>2366</v>
      </c>
      <c r="BE73" t="s">
        <v>2365</v>
      </c>
      <c r="BF73" t="s">
        <v>2365</v>
      </c>
      <c r="BG73" t="s">
        <v>2365</v>
      </c>
      <c r="BH73" t="s">
        <v>2365</v>
      </c>
      <c r="BI73" t="s">
        <v>2366</v>
      </c>
      <c r="BJ73" t="s">
        <v>2365</v>
      </c>
      <c r="BK73" t="s">
        <v>2365</v>
      </c>
      <c r="BL73" t="s">
        <v>2365</v>
      </c>
      <c r="BM73" t="s">
        <v>2365</v>
      </c>
      <c r="BO73">
        <v>4</v>
      </c>
      <c r="BP73">
        <v>44</v>
      </c>
      <c r="BQ73" t="s">
        <v>2433</v>
      </c>
      <c r="BR73" t="s">
        <v>1501</v>
      </c>
      <c r="BU73">
        <v>0</v>
      </c>
      <c r="BV73">
        <v>0</v>
      </c>
      <c r="BW73">
        <v>0</v>
      </c>
      <c r="BX73">
        <v>30000</v>
      </c>
      <c r="BY73">
        <v>30000</v>
      </c>
      <c r="BZ73">
        <v>0</v>
      </c>
      <c r="CA73">
        <v>0</v>
      </c>
      <c r="CB73">
        <v>0</v>
      </c>
      <c r="CC73">
        <v>0</v>
      </c>
      <c r="CD73">
        <v>0</v>
      </c>
      <c r="CE73">
        <v>0</v>
      </c>
      <c r="CF73">
        <v>16000</v>
      </c>
      <c r="CG73">
        <v>12000</v>
      </c>
      <c r="CH73">
        <v>0</v>
      </c>
      <c r="CI73">
        <v>0</v>
      </c>
      <c r="CJ73">
        <v>0</v>
      </c>
      <c r="CK73">
        <v>0</v>
      </c>
      <c r="CL73">
        <v>0</v>
      </c>
      <c r="CM73">
        <v>0</v>
      </c>
      <c r="CR73" t="s">
        <v>2321</v>
      </c>
      <c r="CS73" s="1369" t="str">
        <f>INDEX([8]Sheet1!$H:$H,MATCH(CR:CR,[8]Sheet1!$AU:$AU,0))</f>
        <v>Marketing, Customer Relations, Publicity and Media Co-ordination</v>
      </c>
    </row>
    <row r="74" spans="1:97" x14ac:dyDescent="0.2">
      <c r="A74" t="s">
        <v>2503</v>
      </c>
      <c r="B74">
        <v>123</v>
      </c>
      <c r="C74" t="s">
        <v>2503</v>
      </c>
      <c r="D74">
        <v>40748</v>
      </c>
      <c r="E74" t="s">
        <v>2504</v>
      </c>
      <c r="F74">
        <v>2900</v>
      </c>
      <c r="G74" t="s">
        <v>569</v>
      </c>
      <c r="H74" t="s">
        <v>2366</v>
      </c>
      <c r="I74" t="s">
        <v>2366</v>
      </c>
      <c r="J74">
        <v>2904</v>
      </c>
      <c r="K74" t="s">
        <v>1432</v>
      </c>
      <c r="L74">
        <v>2100</v>
      </c>
      <c r="M74" t="s">
        <v>618</v>
      </c>
      <c r="N74">
        <v>2111</v>
      </c>
      <c r="O74" t="s">
        <v>1503</v>
      </c>
      <c r="P74" t="s">
        <v>2366</v>
      </c>
      <c r="Q74" t="s">
        <v>2364</v>
      </c>
      <c r="R74" t="s">
        <v>2364</v>
      </c>
      <c r="S74" t="s">
        <v>1881</v>
      </c>
      <c r="T74" t="s">
        <v>1812</v>
      </c>
      <c r="U74" t="s">
        <v>2365</v>
      </c>
      <c r="V74" t="s">
        <v>2365</v>
      </c>
      <c r="W74" t="s">
        <v>2365</v>
      </c>
      <c r="X74" t="s">
        <v>2365</v>
      </c>
      <c r="Y74" t="s">
        <v>2365</v>
      </c>
      <c r="Z74" t="s">
        <v>2365</v>
      </c>
      <c r="AA74" t="s">
        <v>2365</v>
      </c>
      <c r="AB74" t="s">
        <v>2365</v>
      </c>
      <c r="AC74" s="813" t="s">
        <v>2365</v>
      </c>
      <c r="AD74" s="813" t="s">
        <v>2365</v>
      </c>
      <c r="AE74" s="813" t="s">
        <v>2365</v>
      </c>
      <c r="AF74" t="s">
        <v>2365</v>
      </c>
      <c r="AG74" t="s">
        <v>2365</v>
      </c>
      <c r="AH74" t="s">
        <v>2365</v>
      </c>
      <c r="AI74" t="s">
        <v>2365</v>
      </c>
      <c r="AJ74" t="s">
        <v>2365</v>
      </c>
      <c r="AK74" t="s">
        <v>2365</v>
      </c>
      <c r="AL74" t="s">
        <v>2365</v>
      </c>
      <c r="AM74" t="s">
        <v>2365</v>
      </c>
      <c r="AN74" t="s">
        <v>2365</v>
      </c>
      <c r="AR74" t="s">
        <v>2365</v>
      </c>
      <c r="AS74" t="s">
        <v>2365</v>
      </c>
      <c r="AT74" t="s">
        <v>2365</v>
      </c>
      <c r="AU74" t="s">
        <v>2365</v>
      </c>
      <c r="AV74" t="s">
        <v>2365</v>
      </c>
      <c r="AW74" t="s">
        <v>2365</v>
      </c>
      <c r="AX74" t="s">
        <v>2365</v>
      </c>
      <c r="AY74" t="s">
        <v>2365</v>
      </c>
      <c r="AZ74" t="s">
        <v>2365</v>
      </c>
      <c r="BA74" t="s">
        <v>2365</v>
      </c>
      <c r="BB74" t="s">
        <v>2365</v>
      </c>
      <c r="BC74" t="s">
        <v>2365</v>
      </c>
      <c r="BD74" t="s">
        <v>2366</v>
      </c>
      <c r="BE74" t="s">
        <v>2365</v>
      </c>
      <c r="BF74" t="s">
        <v>2365</v>
      </c>
      <c r="BG74" t="s">
        <v>2365</v>
      </c>
      <c r="BH74" t="s">
        <v>2365</v>
      </c>
      <c r="BI74" t="s">
        <v>2366</v>
      </c>
      <c r="BJ74" t="s">
        <v>2365</v>
      </c>
      <c r="BK74" t="s">
        <v>2365</v>
      </c>
      <c r="BL74" t="s">
        <v>2365</v>
      </c>
      <c r="BM74" t="s">
        <v>2365</v>
      </c>
      <c r="BO74">
        <v>4</v>
      </c>
      <c r="BP74">
        <v>45</v>
      </c>
      <c r="BQ74" t="s">
        <v>2433</v>
      </c>
      <c r="BR74" t="s">
        <v>1503</v>
      </c>
      <c r="BU74">
        <v>0</v>
      </c>
      <c r="BV74">
        <v>0</v>
      </c>
      <c r="BW74">
        <v>0</v>
      </c>
      <c r="BX74">
        <v>0</v>
      </c>
      <c r="BY74">
        <v>0</v>
      </c>
      <c r="BZ74">
        <v>0</v>
      </c>
      <c r="CA74">
        <v>0</v>
      </c>
      <c r="CB74">
        <v>0</v>
      </c>
      <c r="CC74">
        <v>0</v>
      </c>
      <c r="CD74">
        <v>0</v>
      </c>
      <c r="CE74">
        <v>0</v>
      </c>
      <c r="CF74">
        <v>0</v>
      </c>
      <c r="CG74">
        <v>0</v>
      </c>
      <c r="CH74">
        <v>0</v>
      </c>
      <c r="CI74">
        <v>0</v>
      </c>
      <c r="CJ74">
        <v>0</v>
      </c>
      <c r="CK74">
        <v>0</v>
      </c>
      <c r="CL74">
        <v>0</v>
      </c>
      <c r="CM74">
        <v>0</v>
      </c>
      <c r="CR74" t="s">
        <v>2322</v>
      </c>
      <c r="CS74" s="1369" t="str">
        <f>INDEX([8]Sheet1!$H:$H,MATCH(CR:CR,[8]Sheet1!$AU:$AU,0))</f>
        <v>Human Resources</v>
      </c>
    </row>
    <row r="75" spans="1:97" x14ac:dyDescent="0.2">
      <c r="A75" t="s">
        <v>2505</v>
      </c>
      <c r="B75">
        <v>124</v>
      </c>
      <c r="C75" t="s">
        <v>2505</v>
      </c>
      <c r="D75">
        <v>40749</v>
      </c>
      <c r="E75" t="s">
        <v>2506</v>
      </c>
      <c r="F75">
        <v>2900</v>
      </c>
      <c r="G75" t="s">
        <v>569</v>
      </c>
      <c r="H75" t="s">
        <v>2366</v>
      </c>
      <c r="I75" t="s">
        <v>2366</v>
      </c>
      <c r="J75">
        <v>2904</v>
      </c>
      <c r="K75" t="s">
        <v>1432</v>
      </c>
      <c r="L75">
        <v>2100</v>
      </c>
      <c r="M75" t="s">
        <v>618</v>
      </c>
      <c r="N75">
        <v>2111</v>
      </c>
      <c r="O75" t="s">
        <v>1503</v>
      </c>
      <c r="P75" t="s">
        <v>2366</v>
      </c>
      <c r="Q75" t="s">
        <v>2364</v>
      </c>
      <c r="R75" t="s">
        <v>2364</v>
      </c>
      <c r="S75" t="s">
        <v>1881</v>
      </c>
      <c r="T75" t="s">
        <v>1812</v>
      </c>
      <c r="U75" t="s">
        <v>2365</v>
      </c>
      <c r="V75" t="s">
        <v>2365</v>
      </c>
      <c r="W75" t="s">
        <v>2365</v>
      </c>
      <c r="X75" t="s">
        <v>2365</v>
      </c>
      <c r="Y75" t="s">
        <v>2365</v>
      </c>
      <c r="Z75" t="s">
        <v>2365</v>
      </c>
      <c r="AA75" t="s">
        <v>2365</v>
      </c>
      <c r="AB75" t="s">
        <v>2365</v>
      </c>
      <c r="AC75" s="813" t="s">
        <v>2365</v>
      </c>
      <c r="AD75" s="813" t="s">
        <v>2365</v>
      </c>
      <c r="AE75" s="813" t="s">
        <v>2365</v>
      </c>
      <c r="AF75" t="s">
        <v>2365</v>
      </c>
      <c r="AG75" t="s">
        <v>2365</v>
      </c>
      <c r="AH75" t="s">
        <v>2365</v>
      </c>
      <c r="AI75" t="s">
        <v>2365</v>
      </c>
      <c r="AJ75" t="s">
        <v>2365</v>
      </c>
      <c r="AK75" t="s">
        <v>2365</v>
      </c>
      <c r="AL75" t="s">
        <v>2365</v>
      </c>
      <c r="AM75" t="s">
        <v>2365</v>
      </c>
      <c r="AN75" t="s">
        <v>2365</v>
      </c>
      <c r="AR75" t="s">
        <v>2365</v>
      </c>
      <c r="AS75" t="s">
        <v>2365</v>
      </c>
      <c r="AT75" t="s">
        <v>2365</v>
      </c>
      <c r="AU75" t="s">
        <v>2365</v>
      </c>
      <c r="AV75" t="s">
        <v>2365</v>
      </c>
      <c r="AW75" t="s">
        <v>2365</v>
      </c>
      <c r="AX75" t="s">
        <v>2365</v>
      </c>
      <c r="AY75" t="s">
        <v>2365</v>
      </c>
      <c r="AZ75" t="s">
        <v>2365</v>
      </c>
      <c r="BA75" t="s">
        <v>2365</v>
      </c>
      <c r="BB75" t="s">
        <v>2365</v>
      </c>
      <c r="BC75" t="s">
        <v>2365</v>
      </c>
      <c r="BD75" t="s">
        <v>2366</v>
      </c>
      <c r="BE75" t="s">
        <v>2365</v>
      </c>
      <c r="BF75" t="s">
        <v>2365</v>
      </c>
      <c r="BG75" t="s">
        <v>2365</v>
      </c>
      <c r="BH75" t="s">
        <v>2365</v>
      </c>
      <c r="BI75" t="s">
        <v>2366</v>
      </c>
      <c r="BJ75" t="s">
        <v>2365</v>
      </c>
      <c r="BK75" t="s">
        <v>2365</v>
      </c>
      <c r="BL75" t="s">
        <v>2365</v>
      </c>
      <c r="BM75" t="s">
        <v>2365</v>
      </c>
      <c r="BO75">
        <v>4</v>
      </c>
      <c r="BP75">
        <v>45</v>
      </c>
      <c r="BQ75" t="s">
        <v>2433</v>
      </c>
      <c r="BR75" t="s">
        <v>1503</v>
      </c>
      <c r="BU75">
        <v>60000</v>
      </c>
      <c r="BV75">
        <v>0</v>
      </c>
      <c r="BW75">
        <v>60000</v>
      </c>
      <c r="BX75">
        <v>-60000</v>
      </c>
      <c r="BY75">
        <v>0</v>
      </c>
      <c r="BZ75">
        <v>63600</v>
      </c>
      <c r="CA75">
        <v>67416</v>
      </c>
      <c r="CB75">
        <v>0</v>
      </c>
      <c r="CC75">
        <v>0</v>
      </c>
      <c r="CD75">
        <v>0</v>
      </c>
      <c r="CE75">
        <v>0</v>
      </c>
      <c r="CF75">
        <v>0</v>
      </c>
      <c r="CG75">
        <v>0</v>
      </c>
      <c r="CH75">
        <v>0</v>
      </c>
      <c r="CI75">
        <v>0</v>
      </c>
      <c r="CJ75">
        <v>0</v>
      </c>
      <c r="CK75">
        <v>0</v>
      </c>
      <c r="CL75">
        <v>0</v>
      </c>
      <c r="CM75">
        <v>0</v>
      </c>
      <c r="CR75" t="s">
        <v>2323</v>
      </c>
      <c r="CS75" s="1369" t="str">
        <f>INDEX([8]Sheet1!$H:$H,MATCH(CR:CR,[8]Sheet1!$AU:$AU,0))</f>
        <v>Information Technology</v>
      </c>
    </row>
    <row r="76" spans="1:97" x14ac:dyDescent="0.2">
      <c r="A76" t="s">
        <v>2507</v>
      </c>
      <c r="B76">
        <v>125</v>
      </c>
      <c r="C76" t="s">
        <v>2507</v>
      </c>
      <c r="D76">
        <v>40750</v>
      </c>
      <c r="E76" t="s">
        <v>2508</v>
      </c>
      <c r="F76">
        <v>2900</v>
      </c>
      <c r="G76" t="s">
        <v>569</v>
      </c>
      <c r="H76" t="s">
        <v>2366</v>
      </c>
      <c r="I76" t="s">
        <v>2366</v>
      </c>
      <c r="J76">
        <v>2904</v>
      </c>
      <c r="K76" t="s">
        <v>1432</v>
      </c>
      <c r="L76">
        <v>2100</v>
      </c>
      <c r="M76" t="s">
        <v>618</v>
      </c>
      <c r="N76">
        <v>2111</v>
      </c>
      <c r="O76" t="s">
        <v>1503</v>
      </c>
      <c r="P76" t="s">
        <v>2366</v>
      </c>
      <c r="Q76" t="s">
        <v>2364</v>
      </c>
      <c r="R76" t="s">
        <v>2364</v>
      </c>
      <c r="S76" t="s">
        <v>1881</v>
      </c>
      <c r="T76" t="s">
        <v>1812</v>
      </c>
      <c r="U76" t="s">
        <v>2365</v>
      </c>
      <c r="V76" t="s">
        <v>2365</v>
      </c>
      <c r="W76" t="s">
        <v>2365</v>
      </c>
      <c r="X76" t="s">
        <v>2365</v>
      </c>
      <c r="Y76" t="s">
        <v>2365</v>
      </c>
      <c r="Z76" t="s">
        <v>2365</v>
      </c>
      <c r="AA76" t="s">
        <v>2365</v>
      </c>
      <c r="AB76" t="s">
        <v>2365</v>
      </c>
      <c r="AC76" s="813" t="s">
        <v>2365</v>
      </c>
      <c r="AD76" s="813" t="s">
        <v>2365</v>
      </c>
      <c r="AE76" s="813" t="s">
        <v>2365</v>
      </c>
      <c r="AF76" t="s">
        <v>2365</v>
      </c>
      <c r="AG76" t="s">
        <v>2365</v>
      </c>
      <c r="AH76" t="s">
        <v>2365</v>
      </c>
      <c r="AI76" t="s">
        <v>2365</v>
      </c>
      <c r="AJ76" t="s">
        <v>2365</v>
      </c>
      <c r="AK76" t="s">
        <v>2365</v>
      </c>
      <c r="AL76" t="s">
        <v>2365</v>
      </c>
      <c r="AM76" t="s">
        <v>2365</v>
      </c>
      <c r="AN76" t="s">
        <v>2365</v>
      </c>
      <c r="AR76" t="s">
        <v>2365</v>
      </c>
      <c r="AS76" t="s">
        <v>2365</v>
      </c>
      <c r="AT76" t="s">
        <v>2365</v>
      </c>
      <c r="AU76" t="s">
        <v>2365</v>
      </c>
      <c r="AV76" t="s">
        <v>2365</v>
      </c>
      <c r="AW76" t="s">
        <v>2365</v>
      </c>
      <c r="AX76" t="s">
        <v>2365</v>
      </c>
      <c r="AY76" t="s">
        <v>2365</v>
      </c>
      <c r="AZ76" t="s">
        <v>2365</v>
      </c>
      <c r="BA76" t="s">
        <v>2365</v>
      </c>
      <c r="BB76" t="s">
        <v>2365</v>
      </c>
      <c r="BC76" t="s">
        <v>2365</v>
      </c>
      <c r="BD76" t="s">
        <v>2366</v>
      </c>
      <c r="BE76" t="s">
        <v>2365</v>
      </c>
      <c r="BF76" t="s">
        <v>2365</v>
      </c>
      <c r="BG76" t="s">
        <v>2365</v>
      </c>
      <c r="BH76" t="s">
        <v>2365</v>
      </c>
      <c r="BI76" t="s">
        <v>2366</v>
      </c>
      <c r="BJ76" t="s">
        <v>2365</v>
      </c>
      <c r="BK76" t="s">
        <v>2365</v>
      </c>
      <c r="BL76" t="s">
        <v>2365</v>
      </c>
      <c r="BM76" t="s">
        <v>2365</v>
      </c>
      <c r="BO76">
        <v>4</v>
      </c>
      <c r="BP76">
        <v>45</v>
      </c>
      <c r="BQ76" t="s">
        <v>2433</v>
      </c>
      <c r="BR76" t="s">
        <v>1503</v>
      </c>
      <c r="BU76">
        <v>90000</v>
      </c>
      <c r="BV76">
        <v>0</v>
      </c>
      <c r="BW76">
        <v>90000</v>
      </c>
      <c r="BX76">
        <v>-90000</v>
      </c>
      <c r="BY76">
        <v>0</v>
      </c>
      <c r="BZ76">
        <v>95400</v>
      </c>
      <c r="CA76">
        <v>101124</v>
      </c>
      <c r="CB76">
        <v>0</v>
      </c>
      <c r="CC76">
        <v>0</v>
      </c>
      <c r="CD76">
        <v>0</v>
      </c>
      <c r="CE76">
        <v>0</v>
      </c>
      <c r="CF76">
        <v>0</v>
      </c>
      <c r="CG76">
        <v>0</v>
      </c>
      <c r="CH76">
        <v>0</v>
      </c>
      <c r="CI76">
        <v>0</v>
      </c>
      <c r="CJ76">
        <v>0</v>
      </c>
      <c r="CK76">
        <v>0</v>
      </c>
      <c r="CL76">
        <v>0</v>
      </c>
      <c r="CM76">
        <v>0</v>
      </c>
      <c r="CR76" t="s">
        <v>2321</v>
      </c>
      <c r="CS76" s="1369" t="str">
        <f>INDEX([8]Sheet1!$H:$H,MATCH(CR:CR,[8]Sheet1!$AU:$AU,0))</f>
        <v>Marketing, Customer Relations, Publicity and Media Co-ordination</v>
      </c>
    </row>
    <row r="77" spans="1:97" x14ac:dyDescent="0.2">
      <c r="A77" t="s">
        <v>2509</v>
      </c>
      <c r="B77">
        <v>126</v>
      </c>
      <c r="C77" t="s">
        <v>2509</v>
      </c>
      <c r="D77">
        <v>40751</v>
      </c>
      <c r="E77" t="s">
        <v>2510</v>
      </c>
      <c r="F77">
        <v>2900</v>
      </c>
      <c r="G77" t="s">
        <v>569</v>
      </c>
      <c r="H77" t="s">
        <v>2366</v>
      </c>
      <c r="I77" t="s">
        <v>2366</v>
      </c>
      <c r="J77">
        <v>2904</v>
      </c>
      <c r="K77" t="s">
        <v>1432</v>
      </c>
      <c r="L77">
        <v>2100</v>
      </c>
      <c r="M77" t="s">
        <v>618</v>
      </c>
      <c r="N77">
        <v>2111</v>
      </c>
      <c r="O77" t="s">
        <v>1503</v>
      </c>
      <c r="P77" t="s">
        <v>2366</v>
      </c>
      <c r="Q77" t="s">
        <v>2364</v>
      </c>
      <c r="R77" t="s">
        <v>2364</v>
      </c>
      <c r="S77" t="s">
        <v>1881</v>
      </c>
      <c r="T77" t="s">
        <v>1812</v>
      </c>
      <c r="U77" t="s">
        <v>2365</v>
      </c>
      <c r="V77" t="s">
        <v>2365</v>
      </c>
      <c r="W77" t="s">
        <v>2365</v>
      </c>
      <c r="X77" t="s">
        <v>2365</v>
      </c>
      <c r="Y77" t="s">
        <v>2365</v>
      </c>
      <c r="Z77" t="s">
        <v>2365</v>
      </c>
      <c r="AA77" t="s">
        <v>2365</v>
      </c>
      <c r="AB77" t="s">
        <v>2365</v>
      </c>
      <c r="AC77" s="813" t="s">
        <v>2365</v>
      </c>
      <c r="AD77" s="813" t="s">
        <v>2365</v>
      </c>
      <c r="AE77" s="813" t="s">
        <v>2365</v>
      </c>
      <c r="AF77" t="s">
        <v>2365</v>
      </c>
      <c r="AG77" t="s">
        <v>2365</v>
      </c>
      <c r="AH77" t="s">
        <v>2365</v>
      </c>
      <c r="AI77" t="s">
        <v>2365</v>
      </c>
      <c r="AJ77" t="s">
        <v>2365</v>
      </c>
      <c r="AK77" t="s">
        <v>2365</v>
      </c>
      <c r="AL77" t="s">
        <v>2365</v>
      </c>
      <c r="AM77" t="s">
        <v>2365</v>
      </c>
      <c r="AN77" t="s">
        <v>2365</v>
      </c>
      <c r="AR77" t="s">
        <v>2365</v>
      </c>
      <c r="AS77" t="s">
        <v>2365</v>
      </c>
      <c r="AT77" t="s">
        <v>2365</v>
      </c>
      <c r="AU77" t="s">
        <v>2365</v>
      </c>
      <c r="AV77" t="s">
        <v>2365</v>
      </c>
      <c r="AW77" t="s">
        <v>2365</v>
      </c>
      <c r="AX77" t="s">
        <v>2365</v>
      </c>
      <c r="AY77" t="s">
        <v>2365</v>
      </c>
      <c r="AZ77" t="s">
        <v>2365</v>
      </c>
      <c r="BA77" t="s">
        <v>2365</v>
      </c>
      <c r="BB77" t="s">
        <v>2365</v>
      </c>
      <c r="BC77" t="s">
        <v>2365</v>
      </c>
      <c r="BD77" t="s">
        <v>2366</v>
      </c>
      <c r="BE77" t="s">
        <v>2365</v>
      </c>
      <c r="BF77" t="s">
        <v>2365</v>
      </c>
      <c r="BG77" t="s">
        <v>2365</v>
      </c>
      <c r="BH77" t="s">
        <v>2365</v>
      </c>
      <c r="BI77" t="s">
        <v>2366</v>
      </c>
      <c r="BJ77" t="s">
        <v>2365</v>
      </c>
      <c r="BK77" t="s">
        <v>2365</v>
      </c>
      <c r="BL77" t="s">
        <v>2365</v>
      </c>
      <c r="BM77" t="s">
        <v>2365</v>
      </c>
      <c r="BO77">
        <v>4</v>
      </c>
      <c r="BP77">
        <v>45</v>
      </c>
      <c r="BQ77" t="s">
        <v>2433</v>
      </c>
      <c r="BR77" t="s">
        <v>1503</v>
      </c>
      <c r="BU77">
        <v>0</v>
      </c>
      <c r="BV77">
        <v>0</v>
      </c>
      <c r="BW77">
        <v>0</v>
      </c>
      <c r="BX77">
        <v>0</v>
      </c>
      <c r="BY77">
        <v>0</v>
      </c>
      <c r="BZ77">
        <v>0</v>
      </c>
      <c r="CA77">
        <v>0</v>
      </c>
      <c r="CB77">
        <v>0</v>
      </c>
      <c r="CC77">
        <v>0</v>
      </c>
      <c r="CD77">
        <v>0</v>
      </c>
      <c r="CE77">
        <v>0</v>
      </c>
      <c r="CF77">
        <v>0</v>
      </c>
      <c r="CG77">
        <v>0</v>
      </c>
      <c r="CH77">
        <v>0</v>
      </c>
      <c r="CI77">
        <v>0</v>
      </c>
      <c r="CJ77">
        <v>0</v>
      </c>
      <c r="CK77">
        <v>0</v>
      </c>
      <c r="CL77">
        <v>0</v>
      </c>
      <c r="CM77">
        <v>0</v>
      </c>
      <c r="CR77" t="s">
        <v>2322</v>
      </c>
      <c r="CS77" s="1369" t="str">
        <f>INDEX([8]Sheet1!$H:$H,MATCH(CR:CR,[8]Sheet1!$AU:$AU,0))</f>
        <v>Human Resources</v>
      </c>
    </row>
    <row r="78" spans="1:97" x14ac:dyDescent="0.2">
      <c r="A78" t="s">
        <v>2511</v>
      </c>
      <c r="B78">
        <v>127</v>
      </c>
      <c r="C78" t="s">
        <v>2511</v>
      </c>
      <c r="D78">
        <v>40752</v>
      </c>
      <c r="E78" t="s">
        <v>2512</v>
      </c>
      <c r="F78">
        <v>2900</v>
      </c>
      <c r="G78" t="s">
        <v>569</v>
      </c>
      <c r="H78" t="s">
        <v>2366</v>
      </c>
      <c r="I78" t="s">
        <v>2366</v>
      </c>
      <c r="J78">
        <v>2904</v>
      </c>
      <c r="K78" t="s">
        <v>1432</v>
      </c>
      <c r="L78">
        <v>2100</v>
      </c>
      <c r="M78" t="s">
        <v>618</v>
      </c>
      <c r="N78">
        <v>2111</v>
      </c>
      <c r="O78" t="s">
        <v>1503</v>
      </c>
      <c r="P78" t="s">
        <v>2366</v>
      </c>
      <c r="Q78" t="s">
        <v>2364</v>
      </c>
      <c r="R78" t="s">
        <v>2364</v>
      </c>
      <c r="S78" t="s">
        <v>1881</v>
      </c>
      <c r="T78" t="s">
        <v>1812</v>
      </c>
      <c r="U78" t="s">
        <v>2365</v>
      </c>
      <c r="V78" t="s">
        <v>2365</v>
      </c>
      <c r="W78" t="s">
        <v>2365</v>
      </c>
      <c r="X78" t="s">
        <v>2365</v>
      </c>
      <c r="Y78" t="s">
        <v>2365</v>
      </c>
      <c r="Z78" t="s">
        <v>2365</v>
      </c>
      <c r="AA78" t="s">
        <v>2365</v>
      </c>
      <c r="AB78" t="s">
        <v>2365</v>
      </c>
      <c r="AC78" s="813" t="s">
        <v>2365</v>
      </c>
      <c r="AD78" s="813" t="s">
        <v>2365</v>
      </c>
      <c r="AE78" s="813" t="s">
        <v>2365</v>
      </c>
      <c r="AF78" t="s">
        <v>2365</v>
      </c>
      <c r="AG78" t="s">
        <v>2365</v>
      </c>
      <c r="AH78" t="s">
        <v>2365</v>
      </c>
      <c r="AI78" t="s">
        <v>2365</v>
      </c>
      <c r="AJ78" t="s">
        <v>2365</v>
      </c>
      <c r="AK78" t="s">
        <v>2365</v>
      </c>
      <c r="AL78" t="s">
        <v>2365</v>
      </c>
      <c r="AM78" t="s">
        <v>2365</v>
      </c>
      <c r="AN78" t="s">
        <v>2365</v>
      </c>
      <c r="AR78" t="s">
        <v>2365</v>
      </c>
      <c r="AS78" t="s">
        <v>2365</v>
      </c>
      <c r="AT78" t="s">
        <v>2365</v>
      </c>
      <c r="AU78" t="s">
        <v>2365</v>
      </c>
      <c r="AV78" t="s">
        <v>2365</v>
      </c>
      <c r="AW78" t="s">
        <v>2365</v>
      </c>
      <c r="AX78" t="s">
        <v>2365</v>
      </c>
      <c r="AY78" t="s">
        <v>2365</v>
      </c>
      <c r="AZ78" t="s">
        <v>2365</v>
      </c>
      <c r="BA78" t="s">
        <v>2365</v>
      </c>
      <c r="BB78" t="s">
        <v>2365</v>
      </c>
      <c r="BC78" t="s">
        <v>2365</v>
      </c>
      <c r="BD78" t="s">
        <v>2366</v>
      </c>
      <c r="BE78" t="s">
        <v>2365</v>
      </c>
      <c r="BF78" t="s">
        <v>2365</v>
      </c>
      <c r="BG78" t="s">
        <v>2365</v>
      </c>
      <c r="BH78" t="s">
        <v>2365</v>
      </c>
      <c r="BI78" t="s">
        <v>2366</v>
      </c>
      <c r="BJ78" t="s">
        <v>2365</v>
      </c>
      <c r="BK78" t="s">
        <v>2365</v>
      </c>
      <c r="BL78" t="s">
        <v>2365</v>
      </c>
      <c r="BM78" t="s">
        <v>2365</v>
      </c>
      <c r="BO78">
        <v>4</v>
      </c>
      <c r="BP78">
        <v>45</v>
      </c>
      <c r="BQ78" t="s">
        <v>2433</v>
      </c>
      <c r="BR78" t="s">
        <v>1503</v>
      </c>
      <c r="BU78">
        <v>1500</v>
      </c>
      <c r="BV78">
        <v>0</v>
      </c>
      <c r="BW78">
        <v>1500</v>
      </c>
      <c r="BX78">
        <v>-1500</v>
      </c>
      <c r="BY78">
        <v>0</v>
      </c>
      <c r="BZ78">
        <v>1590</v>
      </c>
      <c r="CA78">
        <v>1685</v>
      </c>
      <c r="CB78">
        <v>0</v>
      </c>
      <c r="CC78">
        <v>0</v>
      </c>
      <c r="CD78">
        <v>0</v>
      </c>
      <c r="CE78">
        <v>0</v>
      </c>
      <c r="CF78">
        <v>0</v>
      </c>
      <c r="CG78">
        <v>0</v>
      </c>
      <c r="CH78">
        <v>0</v>
      </c>
      <c r="CI78">
        <v>0</v>
      </c>
      <c r="CJ78">
        <v>0</v>
      </c>
      <c r="CK78">
        <v>0</v>
      </c>
      <c r="CL78">
        <v>0</v>
      </c>
      <c r="CM78">
        <v>0</v>
      </c>
      <c r="CR78" t="s">
        <v>2323</v>
      </c>
      <c r="CS78" s="1369" t="str">
        <f>INDEX([8]Sheet1!$H:$H,MATCH(CR:CR,[8]Sheet1!$AU:$AU,0))</f>
        <v>Information Technology</v>
      </c>
    </row>
    <row r="79" spans="1:97" x14ac:dyDescent="0.2">
      <c r="A79" t="s">
        <v>2513</v>
      </c>
      <c r="B79">
        <v>128</v>
      </c>
      <c r="C79" t="s">
        <v>2513</v>
      </c>
      <c r="D79">
        <v>40746</v>
      </c>
      <c r="E79" t="s">
        <v>2499</v>
      </c>
      <c r="F79">
        <v>2900</v>
      </c>
      <c r="G79" t="s">
        <v>569</v>
      </c>
      <c r="H79" t="s">
        <v>2366</v>
      </c>
      <c r="I79" t="s">
        <v>2366</v>
      </c>
      <c r="J79">
        <v>2904</v>
      </c>
      <c r="K79" t="s">
        <v>1432</v>
      </c>
      <c r="L79">
        <v>2100</v>
      </c>
      <c r="M79" t="s">
        <v>618</v>
      </c>
      <c r="N79">
        <v>2112</v>
      </c>
      <c r="O79" t="s">
        <v>1504</v>
      </c>
      <c r="P79" t="s">
        <v>2366</v>
      </c>
      <c r="Q79" t="s">
        <v>2364</v>
      </c>
      <c r="R79" t="s">
        <v>2364</v>
      </c>
      <c r="S79" t="s">
        <v>1881</v>
      </c>
      <c r="T79" t="s">
        <v>1812</v>
      </c>
      <c r="U79" t="s">
        <v>2365</v>
      </c>
      <c r="V79" t="s">
        <v>2365</v>
      </c>
      <c r="W79" t="s">
        <v>2365</v>
      </c>
      <c r="X79" t="s">
        <v>2365</v>
      </c>
      <c r="Y79" t="s">
        <v>2365</v>
      </c>
      <c r="Z79" t="s">
        <v>2365</v>
      </c>
      <c r="AA79" t="s">
        <v>2365</v>
      </c>
      <c r="AB79" t="s">
        <v>2365</v>
      </c>
      <c r="AC79" s="813" t="s">
        <v>2365</v>
      </c>
      <c r="AD79" s="813" t="s">
        <v>2365</v>
      </c>
      <c r="AE79" s="813" t="s">
        <v>2365</v>
      </c>
      <c r="AF79" t="s">
        <v>2365</v>
      </c>
      <c r="AG79" t="s">
        <v>2365</v>
      </c>
      <c r="AH79" t="s">
        <v>2365</v>
      </c>
      <c r="AI79" t="s">
        <v>2365</v>
      </c>
      <c r="AJ79" t="s">
        <v>2365</v>
      </c>
      <c r="AK79" t="s">
        <v>2365</v>
      </c>
      <c r="AL79" t="s">
        <v>2365</v>
      </c>
      <c r="AM79" t="s">
        <v>2365</v>
      </c>
      <c r="AN79" t="s">
        <v>2365</v>
      </c>
      <c r="AR79" t="s">
        <v>2365</v>
      </c>
      <c r="AS79" t="s">
        <v>2365</v>
      </c>
      <c r="AT79" t="s">
        <v>2365</v>
      </c>
      <c r="AU79" t="s">
        <v>2365</v>
      </c>
      <c r="AV79" t="s">
        <v>2365</v>
      </c>
      <c r="AW79" t="s">
        <v>2365</v>
      </c>
      <c r="AX79" t="s">
        <v>2365</v>
      </c>
      <c r="AY79" t="s">
        <v>2365</v>
      </c>
      <c r="AZ79" t="s">
        <v>2365</v>
      </c>
      <c r="BA79" t="s">
        <v>2365</v>
      </c>
      <c r="BB79" t="s">
        <v>2365</v>
      </c>
      <c r="BC79" t="s">
        <v>2365</v>
      </c>
      <c r="BD79" t="s">
        <v>2366</v>
      </c>
      <c r="BE79" t="s">
        <v>2365</v>
      </c>
      <c r="BF79" t="s">
        <v>2365</v>
      </c>
      <c r="BG79" t="s">
        <v>2365</v>
      </c>
      <c r="BH79" t="s">
        <v>2365</v>
      </c>
      <c r="BI79" t="s">
        <v>2366</v>
      </c>
      <c r="BJ79" t="s">
        <v>2365</v>
      </c>
      <c r="BK79" t="s">
        <v>2365</v>
      </c>
      <c r="BL79" t="s">
        <v>2365</v>
      </c>
      <c r="BM79" t="s">
        <v>2365</v>
      </c>
      <c r="BO79">
        <v>4</v>
      </c>
      <c r="BP79">
        <v>46</v>
      </c>
      <c r="BQ79" t="s">
        <v>2433</v>
      </c>
      <c r="BR79" t="s">
        <v>1504</v>
      </c>
      <c r="BU79">
        <v>160000</v>
      </c>
      <c r="BV79">
        <v>0</v>
      </c>
      <c r="BW79">
        <v>160000</v>
      </c>
      <c r="BX79">
        <v>0</v>
      </c>
      <c r="BY79">
        <v>160000</v>
      </c>
      <c r="BZ79">
        <v>169600</v>
      </c>
      <c r="CA79">
        <v>179776</v>
      </c>
      <c r="CB79">
        <v>0</v>
      </c>
      <c r="CC79">
        <v>0</v>
      </c>
      <c r="CD79">
        <v>0</v>
      </c>
      <c r="CE79">
        <v>0</v>
      </c>
      <c r="CF79">
        <v>0</v>
      </c>
      <c r="CG79">
        <v>0</v>
      </c>
      <c r="CH79">
        <v>0</v>
      </c>
      <c r="CI79">
        <v>0</v>
      </c>
      <c r="CJ79">
        <v>0</v>
      </c>
      <c r="CK79">
        <v>0</v>
      </c>
      <c r="CL79">
        <v>0</v>
      </c>
      <c r="CM79">
        <v>0</v>
      </c>
      <c r="CR79" t="s">
        <v>2321</v>
      </c>
      <c r="CS79" s="1369" t="str">
        <f>INDEX([8]Sheet1!$H:$H,MATCH(CR:CR,[8]Sheet1!$AU:$AU,0))</f>
        <v>Marketing, Customer Relations, Publicity and Media Co-ordination</v>
      </c>
    </row>
    <row r="80" spans="1:97" x14ac:dyDescent="0.2">
      <c r="A80" t="s">
        <v>2514</v>
      </c>
      <c r="B80">
        <v>129</v>
      </c>
      <c r="C80" t="s">
        <v>2514</v>
      </c>
      <c r="D80">
        <v>40747</v>
      </c>
      <c r="E80" t="s">
        <v>2477</v>
      </c>
      <c r="F80">
        <v>2700</v>
      </c>
      <c r="G80" t="s">
        <v>656</v>
      </c>
      <c r="H80" t="s">
        <v>2478</v>
      </c>
      <c r="I80" t="s">
        <v>1802</v>
      </c>
      <c r="J80">
        <v>2703</v>
      </c>
      <c r="K80" t="s">
        <v>1802</v>
      </c>
      <c r="L80">
        <v>2100</v>
      </c>
      <c r="M80" t="s">
        <v>618</v>
      </c>
      <c r="N80">
        <v>2112</v>
      </c>
      <c r="O80" t="s">
        <v>1504</v>
      </c>
      <c r="P80" t="s">
        <v>2366</v>
      </c>
      <c r="Q80" t="s">
        <v>2364</v>
      </c>
      <c r="R80" t="s">
        <v>2364</v>
      </c>
      <c r="S80" t="s">
        <v>1881</v>
      </c>
      <c r="T80" t="s">
        <v>1812</v>
      </c>
      <c r="U80" t="s">
        <v>2365</v>
      </c>
      <c r="V80" t="s">
        <v>2365</v>
      </c>
      <c r="W80" t="s">
        <v>2365</v>
      </c>
      <c r="X80" t="s">
        <v>2365</v>
      </c>
      <c r="Y80" t="s">
        <v>2365</v>
      </c>
      <c r="Z80" t="s">
        <v>2365</v>
      </c>
      <c r="AA80" t="s">
        <v>2365</v>
      </c>
      <c r="AB80" t="s">
        <v>2365</v>
      </c>
      <c r="AC80" s="813" t="s">
        <v>2365</v>
      </c>
      <c r="AD80" s="813" t="s">
        <v>2365</v>
      </c>
      <c r="AE80" s="813" t="s">
        <v>2365</v>
      </c>
      <c r="AF80" t="s">
        <v>2365</v>
      </c>
      <c r="AG80" t="s">
        <v>2365</v>
      </c>
      <c r="AH80" t="s">
        <v>2365</v>
      </c>
      <c r="AI80" t="s">
        <v>2365</v>
      </c>
      <c r="AJ80" t="s">
        <v>2365</v>
      </c>
      <c r="AK80" t="s">
        <v>2365</v>
      </c>
      <c r="AL80" t="s">
        <v>2365</v>
      </c>
      <c r="AM80" t="s">
        <v>2365</v>
      </c>
      <c r="AN80" t="s">
        <v>2365</v>
      </c>
      <c r="AR80" t="s">
        <v>2365</v>
      </c>
      <c r="AS80" t="s">
        <v>2365</v>
      </c>
      <c r="AT80" t="s">
        <v>2365</v>
      </c>
      <c r="AU80" t="s">
        <v>2365</v>
      </c>
      <c r="AV80" t="s">
        <v>2365</v>
      </c>
      <c r="AW80" t="s">
        <v>2365</v>
      </c>
      <c r="AX80" t="s">
        <v>2365</v>
      </c>
      <c r="AY80" t="s">
        <v>2365</v>
      </c>
      <c r="AZ80" t="s">
        <v>2365</v>
      </c>
      <c r="BA80" t="s">
        <v>2365</v>
      </c>
      <c r="BB80" t="s">
        <v>2365</v>
      </c>
      <c r="BC80" t="s">
        <v>2365</v>
      </c>
      <c r="BD80" t="s">
        <v>2366</v>
      </c>
      <c r="BE80" t="s">
        <v>2365</v>
      </c>
      <c r="BF80" t="s">
        <v>2365</v>
      </c>
      <c r="BG80" t="s">
        <v>2365</v>
      </c>
      <c r="BH80" t="s">
        <v>2365</v>
      </c>
      <c r="BI80" t="s">
        <v>2366</v>
      </c>
      <c r="BJ80" t="s">
        <v>2365</v>
      </c>
      <c r="BK80" t="s">
        <v>2365</v>
      </c>
      <c r="BL80" t="s">
        <v>2365</v>
      </c>
      <c r="BM80" t="s">
        <v>2365</v>
      </c>
      <c r="BO80">
        <v>4</v>
      </c>
      <c r="BP80">
        <v>46</v>
      </c>
      <c r="BQ80" t="s">
        <v>2433</v>
      </c>
      <c r="BR80" t="s">
        <v>1504</v>
      </c>
      <c r="BU80">
        <v>0</v>
      </c>
      <c r="BV80">
        <v>0</v>
      </c>
      <c r="BW80">
        <v>0</v>
      </c>
      <c r="BX80">
        <v>0</v>
      </c>
      <c r="BY80">
        <v>0</v>
      </c>
      <c r="BZ80">
        <v>0</v>
      </c>
      <c r="CA80">
        <v>0</v>
      </c>
      <c r="CB80">
        <v>0</v>
      </c>
      <c r="CC80">
        <v>0</v>
      </c>
      <c r="CD80">
        <v>0</v>
      </c>
      <c r="CE80">
        <v>0</v>
      </c>
      <c r="CF80">
        <v>0</v>
      </c>
      <c r="CG80">
        <v>0</v>
      </c>
      <c r="CH80">
        <v>0</v>
      </c>
      <c r="CI80">
        <v>0</v>
      </c>
      <c r="CJ80">
        <v>0</v>
      </c>
      <c r="CK80">
        <v>0</v>
      </c>
      <c r="CL80">
        <v>0</v>
      </c>
      <c r="CM80">
        <v>0</v>
      </c>
      <c r="CR80" t="s">
        <v>2322</v>
      </c>
      <c r="CS80" s="1369" t="str">
        <f>INDEX([8]Sheet1!$H:$H,MATCH(CR:CR,[8]Sheet1!$AU:$AU,0))</f>
        <v>Human Resources</v>
      </c>
    </row>
    <row r="81" spans="1:97" x14ac:dyDescent="0.2">
      <c r="A81" t="s">
        <v>2515</v>
      </c>
      <c r="B81">
        <v>130</v>
      </c>
      <c r="C81" t="s">
        <v>2515</v>
      </c>
      <c r="D81">
        <v>41475</v>
      </c>
      <c r="E81" t="s">
        <v>2516</v>
      </c>
      <c r="F81">
        <v>2900</v>
      </c>
      <c r="G81" t="s">
        <v>569</v>
      </c>
      <c r="H81" t="s">
        <v>2366</v>
      </c>
      <c r="I81" t="s">
        <v>2366</v>
      </c>
      <c r="J81">
        <v>2904</v>
      </c>
      <c r="K81" t="s">
        <v>1432</v>
      </c>
      <c r="L81">
        <v>2100</v>
      </c>
      <c r="M81" t="s">
        <v>618</v>
      </c>
      <c r="N81">
        <v>2112</v>
      </c>
      <c r="O81" t="s">
        <v>1504</v>
      </c>
      <c r="P81" t="s">
        <v>2366</v>
      </c>
      <c r="Q81" t="s">
        <v>2364</v>
      </c>
      <c r="R81" t="s">
        <v>2364</v>
      </c>
      <c r="S81" t="s">
        <v>1881</v>
      </c>
      <c r="T81" t="s">
        <v>1812</v>
      </c>
      <c r="U81" t="s">
        <v>2365</v>
      </c>
      <c r="V81" t="s">
        <v>2365</v>
      </c>
      <c r="W81" t="s">
        <v>2365</v>
      </c>
      <c r="X81" t="s">
        <v>2365</v>
      </c>
      <c r="Y81" t="s">
        <v>2365</v>
      </c>
      <c r="Z81" t="s">
        <v>2365</v>
      </c>
      <c r="AA81" t="s">
        <v>2365</v>
      </c>
      <c r="AB81" t="s">
        <v>2365</v>
      </c>
      <c r="AC81" s="813" t="s">
        <v>2365</v>
      </c>
      <c r="AD81" s="813" t="s">
        <v>2365</v>
      </c>
      <c r="AE81" s="813" t="s">
        <v>2365</v>
      </c>
      <c r="AF81" t="s">
        <v>2365</v>
      </c>
      <c r="AG81" t="s">
        <v>2365</v>
      </c>
      <c r="AH81" t="s">
        <v>2365</v>
      </c>
      <c r="AI81" t="s">
        <v>2365</v>
      </c>
      <c r="AJ81" t="s">
        <v>2365</v>
      </c>
      <c r="AK81" t="s">
        <v>2365</v>
      </c>
      <c r="AL81" t="s">
        <v>2365</v>
      </c>
      <c r="AM81" t="s">
        <v>2365</v>
      </c>
      <c r="AN81" t="s">
        <v>2365</v>
      </c>
      <c r="AR81" t="s">
        <v>2365</v>
      </c>
      <c r="AS81" t="s">
        <v>2365</v>
      </c>
      <c r="AT81" t="s">
        <v>2365</v>
      </c>
      <c r="AU81" t="s">
        <v>2365</v>
      </c>
      <c r="AV81" t="s">
        <v>2365</v>
      </c>
      <c r="AW81" t="s">
        <v>2365</v>
      </c>
      <c r="AX81" t="s">
        <v>2365</v>
      </c>
      <c r="AY81" t="s">
        <v>2365</v>
      </c>
      <c r="AZ81" t="s">
        <v>2365</v>
      </c>
      <c r="BA81" t="s">
        <v>2365</v>
      </c>
      <c r="BB81" t="s">
        <v>2365</v>
      </c>
      <c r="BC81" t="s">
        <v>2365</v>
      </c>
      <c r="BD81" t="s">
        <v>2366</v>
      </c>
      <c r="BE81" t="s">
        <v>2365</v>
      </c>
      <c r="BF81" t="s">
        <v>2365</v>
      </c>
      <c r="BG81" t="s">
        <v>2365</v>
      </c>
      <c r="BH81" t="s">
        <v>2365</v>
      </c>
      <c r="BI81" t="s">
        <v>2366</v>
      </c>
      <c r="BJ81" t="s">
        <v>2365</v>
      </c>
      <c r="BK81" t="s">
        <v>2365</v>
      </c>
      <c r="BL81" t="s">
        <v>2365</v>
      </c>
      <c r="BM81" t="s">
        <v>2365</v>
      </c>
      <c r="BO81">
        <v>4</v>
      </c>
      <c r="BP81">
        <v>46</v>
      </c>
      <c r="BQ81" t="s">
        <v>2433</v>
      </c>
      <c r="BR81" t="s">
        <v>1504</v>
      </c>
      <c r="BU81">
        <v>0</v>
      </c>
      <c r="BV81">
        <v>0</v>
      </c>
      <c r="BW81">
        <v>0</v>
      </c>
      <c r="BX81">
        <v>0</v>
      </c>
      <c r="BY81">
        <v>0</v>
      </c>
      <c r="BZ81">
        <v>0</v>
      </c>
      <c r="CA81">
        <v>0</v>
      </c>
      <c r="CB81">
        <v>0</v>
      </c>
      <c r="CC81">
        <v>0</v>
      </c>
      <c r="CD81">
        <v>0</v>
      </c>
      <c r="CE81">
        <v>0</v>
      </c>
      <c r="CF81">
        <v>0</v>
      </c>
      <c r="CG81">
        <v>0</v>
      </c>
      <c r="CH81">
        <v>0</v>
      </c>
      <c r="CI81">
        <v>0</v>
      </c>
      <c r="CJ81">
        <v>0</v>
      </c>
      <c r="CK81">
        <v>0</v>
      </c>
      <c r="CL81">
        <v>0</v>
      </c>
      <c r="CM81">
        <v>0</v>
      </c>
      <c r="CR81" t="s">
        <v>2323</v>
      </c>
      <c r="CS81" s="1369" t="str">
        <f>INDEX([8]Sheet1!$H:$H,MATCH(CR:CR,[8]Sheet1!$AU:$AU,0))</f>
        <v>Information Technology</v>
      </c>
    </row>
    <row r="82" spans="1:97" x14ac:dyDescent="0.2">
      <c r="A82" t="s">
        <v>2517</v>
      </c>
      <c r="B82">
        <v>131</v>
      </c>
      <c r="C82" t="s">
        <v>2517</v>
      </c>
      <c r="D82">
        <v>41476</v>
      </c>
      <c r="E82" t="s">
        <v>2518</v>
      </c>
      <c r="F82">
        <v>2900</v>
      </c>
      <c r="G82" t="s">
        <v>569</v>
      </c>
      <c r="H82" t="s">
        <v>2366</v>
      </c>
      <c r="I82" t="s">
        <v>2366</v>
      </c>
      <c r="J82">
        <v>2904</v>
      </c>
      <c r="K82" t="s">
        <v>1432</v>
      </c>
      <c r="L82">
        <v>2100</v>
      </c>
      <c r="M82" t="s">
        <v>618</v>
      </c>
      <c r="N82">
        <v>2112</v>
      </c>
      <c r="O82" t="s">
        <v>1504</v>
      </c>
      <c r="P82" t="s">
        <v>2366</v>
      </c>
      <c r="Q82" t="s">
        <v>2364</v>
      </c>
      <c r="R82" t="s">
        <v>2364</v>
      </c>
      <c r="S82" t="s">
        <v>1881</v>
      </c>
      <c r="T82" t="s">
        <v>1812</v>
      </c>
      <c r="U82" t="s">
        <v>2365</v>
      </c>
      <c r="V82" t="s">
        <v>2365</v>
      </c>
      <c r="W82" t="s">
        <v>2365</v>
      </c>
      <c r="X82" t="s">
        <v>2365</v>
      </c>
      <c r="Y82" t="s">
        <v>2365</v>
      </c>
      <c r="Z82" t="s">
        <v>2365</v>
      </c>
      <c r="AA82" t="s">
        <v>2365</v>
      </c>
      <c r="AB82" t="s">
        <v>2365</v>
      </c>
      <c r="AC82" s="813" t="s">
        <v>2365</v>
      </c>
      <c r="AD82" s="813" t="s">
        <v>2365</v>
      </c>
      <c r="AE82" s="813" t="s">
        <v>2365</v>
      </c>
      <c r="AF82" t="s">
        <v>2365</v>
      </c>
      <c r="AG82" t="s">
        <v>2365</v>
      </c>
      <c r="AH82" t="s">
        <v>2365</v>
      </c>
      <c r="AI82" t="s">
        <v>2365</v>
      </c>
      <c r="AJ82" t="s">
        <v>2365</v>
      </c>
      <c r="AK82" t="s">
        <v>2365</v>
      </c>
      <c r="AL82" t="s">
        <v>2365</v>
      </c>
      <c r="AM82" t="s">
        <v>2365</v>
      </c>
      <c r="AN82" t="s">
        <v>2365</v>
      </c>
      <c r="AR82" t="s">
        <v>2365</v>
      </c>
      <c r="AS82" t="s">
        <v>2365</v>
      </c>
      <c r="AT82" t="s">
        <v>2365</v>
      </c>
      <c r="AU82" t="s">
        <v>2365</v>
      </c>
      <c r="AV82" t="s">
        <v>2365</v>
      </c>
      <c r="AW82" t="s">
        <v>2365</v>
      </c>
      <c r="AX82" t="s">
        <v>2365</v>
      </c>
      <c r="AY82" t="s">
        <v>2365</v>
      </c>
      <c r="AZ82" t="s">
        <v>2365</v>
      </c>
      <c r="BA82" t="s">
        <v>2365</v>
      </c>
      <c r="BB82" t="s">
        <v>2365</v>
      </c>
      <c r="BC82" t="s">
        <v>2365</v>
      </c>
      <c r="BD82" t="s">
        <v>2366</v>
      </c>
      <c r="BE82" t="s">
        <v>2365</v>
      </c>
      <c r="BF82" t="s">
        <v>2365</v>
      </c>
      <c r="BG82" t="s">
        <v>2365</v>
      </c>
      <c r="BH82" t="s">
        <v>2365</v>
      </c>
      <c r="BI82" t="s">
        <v>2366</v>
      </c>
      <c r="BJ82" t="s">
        <v>2365</v>
      </c>
      <c r="BK82" t="s">
        <v>2365</v>
      </c>
      <c r="BL82" t="s">
        <v>2365</v>
      </c>
      <c r="BM82" t="s">
        <v>2365</v>
      </c>
      <c r="BO82">
        <v>4</v>
      </c>
      <c r="BP82">
        <v>46</v>
      </c>
      <c r="BQ82" t="s">
        <v>2433</v>
      </c>
      <c r="BR82" t="s">
        <v>1504</v>
      </c>
      <c r="BU82">
        <v>0</v>
      </c>
      <c r="BV82">
        <v>0</v>
      </c>
      <c r="BW82">
        <v>0</v>
      </c>
      <c r="BX82">
        <v>0</v>
      </c>
      <c r="BY82">
        <v>0</v>
      </c>
      <c r="BZ82">
        <v>0</v>
      </c>
      <c r="CA82">
        <v>0</v>
      </c>
      <c r="CB82">
        <v>0</v>
      </c>
      <c r="CC82">
        <v>0</v>
      </c>
      <c r="CD82">
        <v>0</v>
      </c>
      <c r="CE82">
        <v>0</v>
      </c>
      <c r="CF82">
        <v>0</v>
      </c>
      <c r="CG82">
        <v>0</v>
      </c>
      <c r="CH82">
        <v>0</v>
      </c>
      <c r="CI82">
        <v>0</v>
      </c>
      <c r="CJ82">
        <v>0</v>
      </c>
      <c r="CK82">
        <v>0</v>
      </c>
      <c r="CL82">
        <v>0</v>
      </c>
      <c r="CM82">
        <v>0</v>
      </c>
      <c r="CR82" t="s">
        <v>2321</v>
      </c>
      <c r="CS82" s="1369" t="str">
        <f>INDEX([8]Sheet1!$H:$H,MATCH(CR:CR,[8]Sheet1!$AU:$AU,0))</f>
        <v>Marketing, Customer Relations, Publicity and Media Co-ordination</v>
      </c>
    </row>
    <row r="83" spans="1:97" x14ac:dyDescent="0.2">
      <c r="A83" t="s">
        <v>2519</v>
      </c>
      <c r="B83">
        <v>135</v>
      </c>
      <c r="C83" t="s">
        <v>2519</v>
      </c>
      <c r="D83">
        <v>40744</v>
      </c>
      <c r="E83" t="s">
        <v>2455</v>
      </c>
      <c r="F83">
        <v>2900</v>
      </c>
      <c r="G83" t="s">
        <v>569</v>
      </c>
      <c r="H83" t="s">
        <v>2366</v>
      </c>
      <c r="I83" t="s">
        <v>2366</v>
      </c>
      <c r="J83">
        <v>2904</v>
      </c>
      <c r="K83" t="s">
        <v>1432</v>
      </c>
      <c r="L83">
        <v>3100</v>
      </c>
      <c r="M83" t="s">
        <v>624</v>
      </c>
      <c r="N83">
        <v>3104</v>
      </c>
      <c r="O83" t="s">
        <v>1533</v>
      </c>
      <c r="P83" t="s">
        <v>2366</v>
      </c>
      <c r="Q83" t="s">
        <v>2364</v>
      </c>
      <c r="R83" t="s">
        <v>2364</v>
      </c>
      <c r="S83" t="s">
        <v>1881</v>
      </c>
      <c r="T83" t="s">
        <v>1812</v>
      </c>
      <c r="U83" t="s">
        <v>2365</v>
      </c>
      <c r="V83" t="s">
        <v>2365</v>
      </c>
      <c r="W83" t="s">
        <v>2365</v>
      </c>
      <c r="X83" t="s">
        <v>2365</v>
      </c>
      <c r="Y83" t="s">
        <v>2365</v>
      </c>
      <c r="Z83" t="s">
        <v>2365</v>
      </c>
      <c r="AA83" t="s">
        <v>2365</v>
      </c>
      <c r="AB83" t="s">
        <v>2365</v>
      </c>
      <c r="AC83" s="813" t="s">
        <v>2365</v>
      </c>
      <c r="AD83" s="813" t="s">
        <v>2365</v>
      </c>
      <c r="AE83" s="813" t="s">
        <v>2365</v>
      </c>
      <c r="AF83" t="s">
        <v>2365</v>
      </c>
      <c r="AG83" t="s">
        <v>2365</v>
      </c>
      <c r="AH83" t="s">
        <v>2365</v>
      </c>
      <c r="AI83" t="s">
        <v>2365</v>
      </c>
      <c r="AJ83" t="s">
        <v>2365</v>
      </c>
      <c r="AK83" t="s">
        <v>2365</v>
      </c>
      <c r="AL83" t="s">
        <v>2365</v>
      </c>
      <c r="AM83" t="s">
        <v>2365</v>
      </c>
      <c r="AN83" t="s">
        <v>2365</v>
      </c>
      <c r="AR83" t="s">
        <v>2365</v>
      </c>
      <c r="AS83" t="s">
        <v>2365</v>
      </c>
      <c r="AT83" t="s">
        <v>2365</v>
      </c>
      <c r="AU83" t="s">
        <v>2365</v>
      </c>
      <c r="AV83" t="s">
        <v>2365</v>
      </c>
      <c r="AW83" t="s">
        <v>2365</v>
      </c>
      <c r="AX83" t="s">
        <v>2365</v>
      </c>
      <c r="AY83" t="s">
        <v>2365</v>
      </c>
      <c r="AZ83" t="s">
        <v>2365</v>
      </c>
      <c r="BA83" t="s">
        <v>2365</v>
      </c>
      <c r="BB83" t="s">
        <v>2365</v>
      </c>
      <c r="BC83" t="s">
        <v>2365</v>
      </c>
      <c r="BD83" t="s">
        <v>2366</v>
      </c>
      <c r="BE83" t="s">
        <v>2365</v>
      </c>
      <c r="BF83" t="s">
        <v>2365</v>
      </c>
      <c r="BG83" t="s">
        <v>2365</v>
      </c>
      <c r="BH83" t="s">
        <v>2365</v>
      </c>
      <c r="BI83" t="s">
        <v>2366</v>
      </c>
      <c r="BJ83" t="s">
        <v>2365</v>
      </c>
      <c r="BK83" t="s">
        <v>2365</v>
      </c>
      <c r="BL83" t="s">
        <v>2365</v>
      </c>
      <c r="BM83" t="s">
        <v>2365</v>
      </c>
      <c r="BO83">
        <v>8</v>
      </c>
      <c r="BP83">
        <v>82</v>
      </c>
      <c r="BQ83" t="s">
        <v>2442</v>
      </c>
      <c r="BR83" t="s">
        <v>1533</v>
      </c>
      <c r="BU83">
        <v>0</v>
      </c>
      <c r="BV83">
        <v>0</v>
      </c>
      <c r="BW83">
        <v>0</v>
      </c>
      <c r="BX83">
        <v>0</v>
      </c>
      <c r="BY83">
        <v>0</v>
      </c>
      <c r="BZ83">
        <v>0</v>
      </c>
      <c r="CA83">
        <v>0</v>
      </c>
      <c r="CB83">
        <v>0</v>
      </c>
      <c r="CC83">
        <v>0</v>
      </c>
      <c r="CD83">
        <v>0</v>
      </c>
      <c r="CE83">
        <v>0</v>
      </c>
      <c r="CF83">
        <v>0</v>
      </c>
      <c r="CG83">
        <v>0</v>
      </c>
      <c r="CH83">
        <v>0</v>
      </c>
      <c r="CI83">
        <v>0</v>
      </c>
      <c r="CJ83">
        <v>0</v>
      </c>
      <c r="CK83">
        <v>0</v>
      </c>
      <c r="CL83">
        <v>0</v>
      </c>
      <c r="CM83">
        <v>0</v>
      </c>
      <c r="CR83" t="s">
        <v>2322</v>
      </c>
      <c r="CS83" s="1369" t="str">
        <f>INDEX([8]Sheet1!$H:$H,MATCH(CR:CR,[8]Sheet1!$AU:$AU,0))</f>
        <v>Human Resources</v>
      </c>
    </row>
    <row r="84" spans="1:97" x14ac:dyDescent="0.2">
      <c r="A84" t="s">
        <v>2520</v>
      </c>
      <c r="B84">
        <v>136</v>
      </c>
      <c r="C84" t="s">
        <v>2520</v>
      </c>
      <c r="D84">
        <v>40745</v>
      </c>
      <c r="E84" t="s">
        <v>2477</v>
      </c>
      <c r="F84">
        <v>2700</v>
      </c>
      <c r="G84" t="s">
        <v>656</v>
      </c>
      <c r="H84" t="s">
        <v>2478</v>
      </c>
      <c r="I84" t="s">
        <v>1802</v>
      </c>
      <c r="J84">
        <v>2703</v>
      </c>
      <c r="K84" t="s">
        <v>1802</v>
      </c>
      <c r="L84">
        <v>3100</v>
      </c>
      <c r="M84" t="s">
        <v>624</v>
      </c>
      <c r="N84">
        <v>3104</v>
      </c>
      <c r="O84" t="s">
        <v>1533</v>
      </c>
      <c r="P84" t="s">
        <v>2366</v>
      </c>
      <c r="Q84" t="s">
        <v>2364</v>
      </c>
      <c r="R84" t="s">
        <v>2364</v>
      </c>
      <c r="S84" t="s">
        <v>1881</v>
      </c>
      <c r="T84" t="s">
        <v>1812</v>
      </c>
      <c r="U84" t="s">
        <v>2365</v>
      </c>
      <c r="V84" t="s">
        <v>2365</v>
      </c>
      <c r="W84" t="s">
        <v>2365</v>
      </c>
      <c r="X84" t="s">
        <v>2365</v>
      </c>
      <c r="Y84" t="s">
        <v>2365</v>
      </c>
      <c r="Z84" t="s">
        <v>2365</v>
      </c>
      <c r="AA84" t="s">
        <v>2365</v>
      </c>
      <c r="AB84" t="s">
        <v>2365</v>
      </c>
      <c r="AC84" s="813" t="s">
        <v>2365</v>
      </c>
      <c r="AD84" s="813" t="s">
        <v>2365</v>
      </c>
      <c r="AE84" s="813" t="s">
        <v>2365</v>
      </c>
      <c r="AF84" t="s">
        <v>2365</v>
      </c>
      <c r="AG84" t="s">
        <v>2365</v>
      </c>
      <c r="AH84" t="s">
        <v>2365</v>
      </c>
      <c r="AI84" t="s">
        <v>2365</v>
      </c>
      <c r="AJ84" t="s">
        <v>2365</v>
      </c>
      <c r="AK84" t="s">
        <v>2365</v>
      </c>
      <c r="AL84" t="s">
        <v>2365</v>
      </c>
      <c r="AM84" t="s">
        <v>2365</v>
      </c>
      <c r="AN84" t="s">
        <v>2365</v>
      </c>
      <c r="AR84" t="s">
        <v>2365</v>
      </c>
      <c r="AS84" t="s">
        <v>2365</v>
      </c>
      <c r="AT84" t="s">
        <v>2365</v>
      </c>
      <c r="AU84" t="s">
        <v>2365</v>
      </c>
      <c r="AV84" t="s">
        <v>2365</v>
      </c>
      <c r="AW84" t="s">
        <v>2365</v>
      </c>
      <c r="AX84" t="s">
        <v>2365</v>
      </c>
      <c r="AY84" t="s">
        <v>2365</v>
      </c>
      <c r="AZ84" t="s">
        <v>2365</v>
      </c>
      <c r="BA84" t="s">
        <v>2365</v>
      </c>
      <c r="BB84" t="s">
        <v>2365</v>
      </c>
      <c r="BC84" t="s">
        <v>2365</v>
      </c>
      <c r="BD84" t="s">
        <v>2366</v>
      </c>
      <c r="BE84" t="s">
        <v>2365</v>
      </c>
      <c r="BF84" t="s">
        <v>2365</v>
      </c>
      <c r="BG84" t="s">
        <v>2365</v>
      </c>
      <c r="BH84" t="s">
        <v>2365</v>
      </c>
      <c r="BI84" t="s">
        <v>2366</v>
      </c>
      <c r="BJ84" t="s">
        <v>2365</v>
      </c>
      <c r="BK84" t="s">
        <v>2365</v>
      </c>
      <c r="BL84" t="s">
        <v>2365</v>
      </c>
      <c r="BM84" t="s">
        <v>2365</v>
      </c>
      <c r="BO84">
        <v>8</v>
      </c>
      <c r="BP84">
        <v>82</v>
      </c>
      <c r="BQ84" t="s">
        <v>2442</v>
      </c>
      <c r="BR84" t="s">
        <v>1533</v>
      </c>
      <c r="BU84">
        <v>0</v>
      </c>
      <c r="BV84">
        <v>0</v>
      </c>
      <c r="BW84">
        <v>0</v>
      </c>
      <c r="BX84">
        <v>0</v>
      </c>
      <c r="BY84">
        <v>0</v>
      </c>
      <c r="BZ84">
        <v>0</v>
      </c>
      <c r="CA84">
        <v>0</v>
      </c>
      <c r="CB84">
        <v>0</v>
      </c>
      <c r="CC84">
        <v>0</v>
      </c>
      <c r="CD84">
        <v>0</v>
      </c>
      <c r="CE84">
        <v>0</v>
      </c>
      <c r="CF84">
        <v>0</v>
      </c>
      <c r="CG84">
        <v>0</v>
      </c>
      <c r="CH84">
        <v>0</v>
      </c>
      <c r="CI84">
        <v>0</v>
      </c>
      <c r="CJ84">
        <v>0</v>
      </c>
      <c r="CK84">
        <v>0</v>
      </c>
      <c r="CL84">
        <v>0</v>
      </c>
      <c r="CM84">
        <v>0</v>
      </c>
      <c r="CR84" t="s">
        <v>2323</v>
      </c>
      <c r="CS84" s="1369" t="str">
        <f>INDEX([8]Sheet1!$H:$H,MATCH(CR:CR,[8]Sheet1!$AU:$AU,0))</f>
        <v>Information Technology</v>
      </c>
    </row>
    <row r="85" spans="1:97" x14ac:dyDescent="0.2">
      <c r="A85" t="s">
        <v>2521</v>
      </c>
      <c r="B85">
        <v>137</v>
      </c>
      <c r="C85" t="s">
        <v>2521</v>
      </c>
      <c r="D85">
        <v>41059</v>
      </c>
      <c r="E85" t="s">
        <v>2427</v>
      </c>
      <c r="F85">
        <v>2700</v>
      </c>
      <c r="G85" t="s">
        <v>656</v>
      </c>
      <c r="H85" t="s">
        <v>2428</v>
      </c>
      <c r="I85" t="s">
        <v>1800</v>
      </c>
      <c r="J85">
        <v>2701</v>
      </c>
      <c r="K85" t="s">
        <v>1800</v>
      </c>
      <c r="L85">
        <v>3100</v>
      </c>
      <c r="M85" t="s">
        <v>624</v>
      </c>
      <c r="N85">
        <v>3104</v>
      </c>
      <c r="O85" t="s">
        <v>1533</v>
      </c>
      <c r="P85" t="s">
        <v>2366</v>
      </c>
      <c r="Q85" t="s">
        <v>2364</v>
      </c>
      <c r="R85" t="s">
        <v>2364</v>
      </c>
      <c r="S85" t="s">
        <v>1881</v>
      </c>
      <c r="T85" t="s">
        <v>1812</v>
      </c>
      <c r="U85" t="s">
        <v>2365</v>
      </c>
      <c r="V85" t="s">
        <v>2365</v>
      </c>
      <c r="W85" t="s">
        <v>2365</v>
      </c>
      <c r="X85" t="s">
        <v>2365</v>
      </c>
      <c r="Y85" t="s">
        <v>2365</v>
      </c>
      <c r="Z85" t="s">
        <v>2365</v>
      </c>
      <c r="AA85" t="s">
        <v>2365</v>
      </c>
      <c r="AB85" t="s">
        <v>2365</v>
      </c>
      <c r="AC85" s="813" t="s">
        <v>2365</v>
      </c>
      <c r="AD85" s="813" t="s">
        <v>2365</v>
      </c>
      <c r="AE85" s="813" t="s">
        <v>2365</v>
      </c>
      <c r="AF85" t="s">
        <v>2365</v>
      </c>
      <c r="AG85" t="s">
        <v>2365</v>
      </c>
      <c r="AH85" t="s">
        <v>2365</v>
      </c>
      <c r="AI85" t="s">
        <v>2365</v>
      </c>
      <c r="AJ85" t="s">
        <v>2365</v>
      </c>
      <c r="AK85" t="s">
        <v>2365</v>
      </c>
      <c r="AL85" t="s">
        <v>2365</v>
      </c>
      <c r="AM85" t="s">
        <v>2365</v>
      </c>
      <c r="AN85" t="s">
        <v>2365</v>
      </c>
      <c r="AR85" t="s">
        <v>2365</v>
      </c>
      <c r="AS85" t="s">
        <v>2365</v>
      </c>
      <c r="AT85" t="s">
        <v>2365</v>
      </c>
      <c r="AU85" t="s">
        <v>2365</v>
      </c>
      <c r="AV85" t="s">
        <v>2365</v>
      </c>
      <c r="AW85" t="s">
        <v>2365</v>
      </c>
      <c r="AX85" t="s">
        <v>2365</v>
      </c>
      <c r="AY85" t="s">
        <v>2365</v>
      </c>
      <c r="AZ85" t="s">
        <v>2365</v>
      </c>
      <c r="BA85" t="s">
        <v>2365</v>
      </c>
      <c r="BB85" t="s">
        <v>2365</v>
      </c>
      <c r="BC85" t="s">
        <v>2365</v>
      </c>
      <c r="BD85" t="s">
        <v>2366</v>
      </c>
      <c r="BE85" t="s">
        <v>2365</v>
      </c>
      <c r="BF85" t="s">
        <v>2365</v>
      </c>
      <c r="BG85" t="s">
        <v>2365</v>
      </c>
      <c r="BH85" t="s">
        <v>2365</v>
      </c>
      <c r="BI85" t="s">
        <v>2366</v>
      </c>
      <c r="BJ85" t="s">
        <v>2365</v>
      </c>
      <c r="BK85" t="s">
        <v>2365</v>
      </c>
      <c r="BL85" t="s">
        <v>2365</v>
      </c>
      <c r="BM85" t="s">
        <v>2365</v>
      </c>
      <c r="BO85">
        <v>8</v>
      </c>
      <c r="BP85">
        <v>82</v>
      </c>
      <c r="BQ85" t="s">
        <v>2442</v>
      </c>
      <c r="BR85" t="s">
        <v>1533</v>
      </c>
      <c r="BU85">
        <v>0</v>
      </c>
      <c r="BV85">
        <v>0</v>
      </c>
      <c r="BW85">
        <v>0</v>
      </c>
      <c r="BX85">
        <v>0</v>
      </c>
      <c r="BY85">
        <v>0</v>
      </c>
      <c r="BZ85">
        <v>0</v>
      </c>
      <c r="CA85">
        <v>0</v>
      </c>
      <c r="CB85">
        <v>0</v>
      </c>
      <c r="CC85">
        <v>0</v>
      </c>
      <c r="CD85">
        <v>0</v>
      </c>
      <c r="CE85">
        <v>0</v>
      </c>
      <c r="CF85">
        <v>0</v>
      </c>
      <c r="CG85">
        <v>0</v>
      </c>
      <c r="CH85">
        <v>0</v>
      </c>
      <c r="CI85">
        <v>0</v>
      </c>
      <c r="CJ85">
        <v>0</v>
      </c>
      <c r="CK85">
        <v>0</v>
      </c>
      <c r="CL85">
        <v>0</v>
      </c>
      <c r="CM85">
        <v>0</v>
      </c>
      <c r="CR85" t="s">
        <v>2322</v>
      </c>
      <c r="CS85" s="1369" t="str">
        <f>INDEX([8]Sheet1!$H:$H,MATCH(CR:CR,[8]Sheet1!$AU:$AU,0))</f>
        <v>Human Resources</v>
      </c>
    </row>
    <row r="86" spans="1:97" x14ac:dyDescent="0.2">
      <c r="A86" t="s">
        <v>2522</v>
      </c>
      <c r="B86">
        <v>138</v>
      </c>
      <c r="C86" t="s">
        <v>2522</v>
      </c>
      <c r="D86">
        <v>40739</v>
      </c>
      <c r="E86" t="s">
        <v>2455</v>
      </c>
      <c r="F86">
        <v>2900</v>
      </c>
      <c r="G86" t="s">
        <v>569</v>
      </c>
      <c r="H86" t="s">
        <v>2366</v>
      </c>
      <c r="I86" t="s">
        <v>2366</v>
      </c>
      <c r="J86">
        <v>2904</v>
      </c>
      <c r="K86" t="s">
        <v>1432</v>
      </c>
      <c r="L86">
        <v>3100</v>
      </c>
      <c r="M86" t="s">
        <v>624</v>
      </c>
      <c r="N86">
        <v>3105</v>
      </c>
      <c r="O86" t="s">
        <v>1534</v>
      </c>
      <c r="P86" t="s">
        <v>2366</v>
      </c>
      <c r="Q86" t="s">
        <v>2364</v>
      </c>
      <c r="R86" t="s">
        <v>2364</v>
      </c>
      <c r="S86" t="s">
        <v>1881</v>
      </c>
      <c r="T86" t="s">
        <v>1812</v>
      </c>
      <c r="U86" t="s">
        <v>2365</v>
      </c>
      <c r="V86" t="s">
        <v>2365</v>
      </c>
      <c r="W86" t="s">
        <v>2365</v>
      </c>
      <c r="X86" t="s">
        <v>2365</v>
      </c>
      <c r="Y86" t="s">
        <v>2365</v>
      </c>
      <c r="Z86" t="s">
        <v>2365</v>
      </c>
      <c r="AA86" t="s">
        <v>2365</v>
      </c>
      <c r="AB86" t="s">
        <v>2365</v>
      </c>
      <c r="AC86" s="813" t="s">
        <v>2365</v>
      </c>
      <c r="AD86" s="813" t="s">
        <v>2365</v>
      </c>
      <c r="AE86" s="813" t="s">
        <v>2365</v>
      </c>
      <c r="AF86" t="s">
        <v>2365</v>
      </c>
      <c r="AG86" t="s">
        <v>2365</v>
      </c>
      <c r="AH86" t="s">
        <v>2365</v>
      </c>
      <c r="AI86" t="s">
        <v>2365</v>
      </c>
      <c r="AJ86" t="s">
        <v>2365</v>
      </c>
      <c r="AK86" t="s">
        <v>2365</v>
      </c>
      <c r="AL86" t="s">
        <v>2365</v>
      </c>
      <c r="AM86" t="s">
        <v>2365</v>
      </c>
      <c r="AN86" t="s">
        <v>2365</v>
      </c>
      <c r="AR86" t="s">
        <v>2365</v>
      </c>
      <c r="AS86" t="s">
        <v>2365</v>
      </c>
      <c r="AT86" t="s">
        <v>2365</v>
      </c>
      <c r="AU86" t="s">
        <v>2365</v>
      </c>
      <c r="AV86" t="s">
        <v>2365</v>
      </c>
      <c r="AW86" t="s">
        <v>2365</v>
      </c>
      <c r="AX86" t="s">
        <v>2365</v>
      </c>
      <c r="AY86" t="s">
        <v>2365</v>
      </c>
      <c r="AZ86" t="s">
        <v>2365</v>
      </c>
      <c r="BA86" t="s">
        <v>2365</v>
      </c>
      <c r="BB86" t="s">
        <v>2365</v>
      </c>
      <c r="BC86" t="s">
        <v>2365</v>
      </c>
      <c r="BD86" t="s">
        <v>2366</v>
      </c>
      <c r="BE86" t="s">
        <v>2365</v>
      </c>
      <c r="BF86" t="s">
        <v>2365</v>
      </c>
      <c r="BG86" t="s">
        <v>2365</v>
      </c>
      <c r="BH86" t="s">
        <v>2365</v>
      </c>
      <c r="BI86" t="s">
        <v>2366</v>
      </c>
      <c r="BJ86" t="s">
        <v>2365</v>
      </c>
      <c r="BK86" t="s">
        <v>2365</v>
      </c>
      <c r="BL86" t="s">
        <v>2365</v>
      </c>
      <c r="BM86" t="s">
        <v>2365</v>
      </c>
      <c r="BO86">
        <v>8</v>
      </c>
      <c r="BP86">
        <v>83</v>
      </c>
      <c r="BQ86" t="s">
        <v>2442</v>
      </c>
      <c r="BR86" t="s">
        <v>1534</v>
      </c>
      <c r="BU86">
        <v>0</v>
      </c>
      <c r="BV86">
        <v>0</v>
      </c>
      <c r="BW86">
        <v>0</v>
      </c>
      <c r="BX86">
        <v>0</v>
      </c>
      <c r="BY86">
        <v>0</v>
      </c>
      <c r="BZ86">
        <v>0</v>
      </c>
      <c r="CA86">
        <v>0</v>
      </c>
      <c r="CB86">
        <v>0</v>
      </c>
      <c r="CC86">
        <v>0</v>
      </c>
      <c r="CD86">
        <v>0</v>
      </c>
      <c r="CE86">
        <v>0</v>
      </c>
      <c r="CF86">
        <v>0</v>
      </c>
      <c r="CG86">
        <v>0</v>
      </c>
      <c r="CH86">
        <v>0</v>
      </c>
      <c r="CI86">
        <v>0</v>
      </c>
      <c r="CJ86">
        <v>0</v>
      </c>
      <c r="CK86">
        <v>0</v>
      </c>
      <c r="CL86">
        <v>0</v>
      </c>
      <c r="CM86">
        <v>0</v>
      </c>
      <c r="CR86" t="s">
        <v>2322</v>
      </c>
      <c r="CS86" s="1369" t="str">
        <f>INDEX([8]Sheet1!$H:$H,MATCH(CR:CR,[8]Sheet1!$AU:$AU,0))</f>
        <v>Human Resources</v>
      </c>
    </row>
    <row r="87" spans="1:97" x14ac:dyDescent="0.2">
      <c r="A87" t="s">
        <v>2523</v>
      </c>
      <c r="B87">
        <v>139</v>
      </c>
      <c r="C87" t="s">
        <v>2523</v>
      </c>
      <c r="D87">
        <v>40740</v>
      </c>
      <c r="E87" t="s">
        <v>2477</v>
      </c>
      <c r="F87">
        <v>2700</v>
      </c>
      <c r="G87" t="s">
        <v>656</v>
      </c>
      <c r="H87" t="s">
        <v>2478</v>
      </c>
      <c r="I87" t="s">
        <v>1802</v>
      </c>
      <c r="J87">
        <v>2703</v>
      </c>
      <c r="K87" t="s">
        <v>1802</v>
      </c>
      <c r="L87">
        <v>3100</v>
      </c>
      <c r="M87" t="s">
        <v>624</v>
      </c>
      <c r="N87">
        <v>3105</v>
      </c>
      <c r="O87" t="s">
        <v>1534</v>
      </c>
      <c r="P87" t="s">
        <v>2366</v>
      </c>
      <c r="Q87" t="s">
        <v>2364</v>
      </c>
      <c r="R87" t="s">
        <v>2364</v>
      </c>
      <c r="S87" t="s">
        <v>1881</v>
      </c>
      <c r="T87" t="s">
        <v>1812</v>
      </c>
      <c r="U87" t="s">
        <v>2365</v>
      </c>
      <c r="V87" t="s">
        <v>2365</v>
      </c>
      <c r="W87" t="s">
        <v>2365</v>
      </c>
      <c r="X87" t="s">
        <v>2365</v>
      </c>
      <c r="Y87" t="s">
        <v>2365</v>
      </c>
      <c r="Z87" t="s">
        <v>2365</v>
      </c>
      <c r="AA87" t="s">
        <v>2365</v>
      </c>
      <c r="AB87" t="s">
        <v>2365</v>
      </c>
      <c r="AC87" s="813" t="s">
        <v>2365</v>
      </c>
      <c r="AD87" s="813" t="s">
        <v>2365</v>
      </c>
      <c r="AE87" s="813" t="s">
        <v>2365</v>
      </c>
      <c r="AF87" t="s">
        <v>2365</v>
      </c>
      <c r="AG87" t="s">
        <v>2365</v>
      </c>
      <c r="AH87" t="s">
        <v>2365</v>
      </c>
      <c r="AI87" t="s">
        <v>2365</v>
      </c>
      <c r="AJ87" t="s">
        <v>2365</v>
      </c>
      <c r="AK87" t="s">
        <v>2365</v>
      </c>
      <c r="AL87" t="s">
        <v>2365</v>
      </c>
      <c r="AM87" t="s">
        <v>2365</v>
      </c>
      <c r="AN87" t="s">
        <v>2365</v>
      </c>
      <c r="AR87" t="s">
        <v>2365</v>
      </c>
      <c r="AS87" t="s">
        <v>2365</v>
      </c>
      <c r="AT87" t="s">
        <v>2365</v>
      </c>
      <c r="AU87" t="s">
        <v>2365</v>
      </c>
      <c r="AV87" t="s">
        <v>2365</v>
      </c>
      <c r="AW87" t="s">
        <v>2365</v>
      </c>
      <c r="AX87" t="s">
        <v>2365</v>
      </c>
      <c r="AY87" t="s">
        <v>2365</v>
      </c>
      <c r="AZ87" t="s">
        <v>2365</v>
      </c>
      <c r="BA87" t="s">
        <v>2365</v>
      </c>
      <c r="BB87" t="s">
        <v>2365</v>
      </c>
      <c r="BC87" t="s">
        <v>2365</v>
      </c>
      <c r="BD87" t="s">
        <v>2366</v>
      </c>
      <c r="BE87" t="s">
        <v>2365</v>
      </c>
      <c r="BF87" t="s">
        <v>2365</v>
      </c>
      <c r="BG87" t="s">
        <v>2365</v>
      </c>
      <c r="BH87" t="s">
        <v>2365</v>
      </c>
      <c r="BI87" t="s">
        <v>2366</v>
      </c>
      <c r="BJ87" t="s">
        <v>2365</v>
      </c>
      <c r="BK87" t="s">
        <v>2365</v>
      </c>
      <c r="BL87" t="s">
        <v>2365</v>
      </c>
      <c r="BM87" t="s">
        <v>2365</v>
      </c>
      <c r="BO87">
        <v>8</v>
      </c>
      <c r="BP87">
        <v>83</v>
      </c>
      <c r="BQ87" t="s">
        <v>2442</v>
      </c>
      <c r="BR87" t="s">
        <v>1534</v>
      </c>
      <c r="BU87">
        <v>0</v>
      </c>
      <c r="BV87">
        <v>0</v>
      </c>
      <c r="BW87">
        <v>0</v>
      </c>
      <c r="BX87">
        <v>0</v>
      </c>
      <c r="BY87">
        <v>0</v>
      </c>
      <c r="BZ87">
        <v>0</v>
      </c>
      <c r="CA87">
        <v>0</v>
      </c>
      <c r="CB87">
        <v>0</v>
      </c>
      <c r="CC87">
        <v>0</v>
      </c>
      <c r="CD87">
        <v>0</v>
      </c>
      <c r="CE87">
        <v>0</v>
      </c>
      <c r="CF87">
        <v>0</v>
      </c>
      <c r="CG87">
        <v>0</v>
      </c>
      <c r="CH87">
        <v>0</v>
      </c>
      <c r="CI87">
        <v>0</v>
      </c>
      <c r="CJ87">
        <v>0</v>
      </c>
      <c r="CK87">
        <v>0</v>
      </c>
      <c r="CL87">
        <v>0</v>
      </c>
      <c r="CM87">
        <v>0</v>
      </c>
      <c r="CR87" t="s">
        <v>2323</v>
      </c>
      <c r="CS87" s="1369" t="str">
        <f>INDEX([8]Sheet1!$H:$H,MATCH(CR:CR,[8]Sheet1!$AU:$AU,0))</f>
        <v>Information Technology</v>
      </c>
    </row>
    <row r="88" spans="1:97" x14ac:dyDescent="0.2">
      <c r="A88" t="s">
        <v>2524</v>
      </c>
      <c r="B88">
        <v>140</v>
      </c>
      <c r="C88" t="s">
        <v>2524</v>
      </c>
      <c r="D88">
        <v>40763</v>
      </c>
      <c r="E88" t="s">
        <v>2468</v>
      </c>
      <c r="F88">
        <v>2600</v>
      </c>
      <c r="G88" t="s">
        <v>655</v>
      </c>
      <c r="H88">
        <v>2600</v>
      </c>
      <c r="I88" t="s">
        <v>655</v>
      </c>
      <c r="J88" t="s">
        <v>2365</v>
      </c>
      <c r="K88" t="s">
        <v>2365</v>
      </c>
      <c r="L88">
        <v>2100</v>
      </c>
      <c r="M88" t="s">
        <v>618</v>
      </c>
      <c r="N88">
        <v>2102</v>
      </c>
      <c r="O88" t="s">
        <v>702</v>
      </c>
      <c r="P88" t="s">
        <v>2366</v>
      </c>
      <c r="Q88" t="s">
        <v>2364</v>
      </c>
      <c r="R88" t="s">
        <v>2364</v>
      </c>
      <c r="S88" t="s">
        <v>1881</v>
      </c>
      <c r="T88" t="s">
        <v>1812</v>
      </c>
      <c r="U88" t="s">
        <v>2365</v>
      </c>
      <c r="V88" t="s">
        <v>2365</v>
      </c>
      <c r="W88" t="s">
        <v>2365</v>
      </c>
      <c r="X88" t="s">
        <v>2365</v>
      </c>
      <c r="Y88" t="s">
        <v>2365</v>
      </c>
      <c r="Z88" t="s">
        <v>2365</v>
      </c>
      <c r="AA88" t="s">
        <v>2365</v>
      </c>
      <c r="AB88" t="s">
        <v>2365</v>
      </c>
      <c r="AC88" s="813" t="s">
        <v>2365</v>
      </c>
      <c r="AD88" s="813" t="s">
        <v>2365</v>
      </c>
      <c r="AE88" s="813" t="s">
        <v>2365</v>
      </c>
      <c r="AF88" t="s">
        <v>2365</v>
      </c>
      <c r="AG88" t="s">
        <v>2365</v>
      </c>
      <c r="AH88" t="s">
        <v>2365</v>
      </c>
      <c r="AI88" t="s">
        <v>2365</v>
      </c>
      <c r="AJ88" t="s">
        <v>2365</v>
      </c>
      <c r="AK88" t="s">
        <v>2365</v>
      </c>
      <c r="AL88" t="s">
        <v>2365</v>
      </c>
      <c r="AM88" t="s">
        <v>2365</v>
      </c>
      <c r="AN88" t="s">
        <v>2365</v>
      </c>
      <c r="AR88" t="s">
        <v>2365</v>
      </c>
      <c r="AS88" t="s">
        <v>2365</v>
      </c>
      <c r="AT88" t="s">
        <v>2365</v>
      </c>
      <c r="AU88" t="s">
        <v>2365</v>
      </c>
      <c r="AV88" t="s">
        <v>2365</v>
      </c>
      <c r="AW88" t="s">
        <v>2365</v>
      </c>
      <c r="AX88" t="s">
        <v>2365</v>
      </c>
      <c r="AY88" t="s">
        <v>2365</v>
      </c>
      <c r="AZ88" t="s">
        <v>2365</v>
      </c>
      <c r="BA88" t="s">
        <v>2365</v>
      </c>
      <c r="BB88" t="s">
        <v>2365</v>
      </c>
      <c r="BC88" t="s">
        <v>2365</v>
      </c>
      <c r="BD88" t="s">
        <v>2366</v>
      </c>
      <c r="BE88" t="s">
        <v>2365</v>
      </c>
      <c r="BF88" t="s">
        <v>2365</v>
      </c>
      <c r="BG88" t="s">
        <v>2365</v>
      </c>
      <c r="BH88" t="s">
        <v>2365</v>
      </c>
      <c r="BI88" t="s">
        <v>2366</v>
      </c>
      <c r="BJ88" t="s">
        <v>2365</v>
      </c>
      <c r="BK88" t="s">
        <v>2365</v>
      </c>
      <c r="BL88" t="s">
        <v>2365</v>
      </c>
      <c r="BM88" t="s">
        <v>2365</v>
      </c>
      <c r="BO88">
        <v>4</v>
      </c>
      <c r="BP88">
        <v>47</v>
      </c>
      <c r="BQ88" t="s">
        <v>2433</v>
      </c>
      <c r="BR88" t="s">
        <v>702</v>
      </c>
      <c r="BU88">
        <v>150000</v>
      </c>
      <c r="BV88">
        <v>0</v>
      </c>
      <c r="BW88">
        <v>150000</v>
      </c>
      <c r="BX88">
        <v>0</v>
      </c>
      <c r="BY88">
        <v>150000</v>
      </c>
      <c r="BZ88">
        <v>159000</v>
      </c>
      <c r="CA88">
        <v>168540</v>
      </c>
      <c r="CB88">
        <v>0</v>
      </c>
      <c r="CC88">
        <v>0</v>
      </c>
      <c r="CD88">
        <v>0</v>
      </c>
      <c r="CE88">
        <v>0</v>
      </c>
      <c r="CF88">
        <v>0</v>
      </c>
      <c r="CG88">
        <v>0</v>
      </c>
      <c r="CH88">
        <v>0</v>
      </c>
      <c r="CI88">
        <v>0</v>
      </c>
      <c r="CJ88">
        <v>0</v>
      </c>
      <c r="CK88">
        <v>0</v>
      </c>
      <c r="CL88">
        <v>0</v>
      </c>
      <c r="CM88">
        <v>0</v>
      </c>
      <c r="CR88" t="s">
        <v>2321</v>
      </c>
      <c r="CS88" s="1369" t="str">
        <f>INDEX([8]Sheet1!$H:$H,MATCH(CR:CR,[8]Sheet1!$AU:$AU,0))</f>
        <v>Marketing, Customer Relations, Publicity and Media Co-ordination</v>
      </c>
    </row>
    <row r="89" spans="1:97" x14ac:dyDescent="0.2">
      <c r="A89" t="s">
        <v>2525</v>
      </c>
      <c r="B89">
        <v>141</v>
      </c>
      <c r="C89" t="s">
        <v>2525</v>
      </c>
      <c r="D89">
        <v>40975</v>
      </c>
      <c r="E89" t="s">
        <v>2526</v>
      </c>
      <c r="F89">
        <v>2900</v>
      </c>
      <c r="G89" t="s">
        <v>569</v>
      </c>
      <c r="H89" t="s">
        <v>2366</v>
      </c>
      <c r="I89" t="s">
        <v>2366</v>
      </c>
      <c r="J89">
        <v>2904</v>
      </c>
      <c r="K89" t="s">
        <v>1432</v>
      </c>
      <c r="L89">
        <v>2100</v>
      </c>
      <c r="M89" t="s">
        <v>618</v>
      </c>
      <c r="N89">
        <v>2106</v>
      </c>
      <c r="O89" t="s">
        <v>1499</v>
      </c>
      <c r="P89" t="s">
        <v>2366</v>
      </c>
      <c r="Q89" t="s">
        <v>2364</v>
      </c>
      <c r="R89" t="s">
        <v>2364</v>
      </c>
      <c r="S89" t="s">
        <v>1881</v>
      </c>
      <c r="T89" t="s">
        <v>1812</v>
      </c>
      <c r="U89" t="s">
        <v>2365</v>
      </c>
      <c r="V89" t="s">
        <v>2365</v>
      </c>
      <c r="W89" t="s">
        <v>2365</v>
      </c>
      <c r="X89" t="s">
        <v>2365</v>
      </c>
      <c r="Y89" t="s">
        <v>2365</v>
      </c>
      <c r="Z89" t="s">
        <v>2365</v>
      </c>
      <c r="AA89" t="s">
        <v>2365</v>
      </c>
      <c r="AB89" t="s">
        <v>2365</v>
      </c>
      <c r="AC89" s="813" t="s">
        <v>2365</v>
      </c>
      <c r="AD89" s="813" t="s">
        <v>2365</v>
      </c>
      <c r="AE89" s="813" t="s">
        <v>2365</v>
      </c>
      <c r="AF89" t="s">
        <v>2365</v>
      </c>
      <c r="AG89" t="s">
        <v>2365</v>
      </c>
      <c r="AH89" t="s">
        <v>2365</v>
      </c>
      <c r="AI89" t="s">
        <v>2365</v>
      </c>
      <c r="AJ89" t="s">
        <v>2365</v>
      </c>
      <c r="AK89" t="s">
        <v>2365</v>
      </c>
      <c r="AL89" t="s">
        <v>2365</v>
      </c>
      <c r="AM89" t="s">
        <v>2365</v>
      </c>
      <c r="AN89" t="s">
        <v>2365</v>
      </c>
      <c r="AR89" t="s">
        <v>2365</v>
      </c>
      <c r="AS89" t="s">
        <v>2365</v>
      </c>
      <c r="AT89" t="s">
        <v>2365</v>
      </c>
      <c r="AU89" t="s">
        <v>2365</v>
      </c>
      <c r="AV89" t="s">
        <v>2365</v>
      </c>
      <c r="AW89" t="s">
        <v>2365</v>
      </c>
      <c r="AX89" t="s">
        <v>2365</v>
      </c>
      <c r="AY89" t="s">
        <v>2365</v>
      </c>
      <c r="AZ89" t="s">
        <v>2365</v>
      </c>
      <c r="BA89" t="s">
        <v>2365</v>
      </c>
      <c r="BB89" t="s">
        <v>2365</v>
      </c>
      <c r="BC89" t="s">
        <v>2365</v>
      </c>
      <c r="BD89" t="s">
        <v>2366</v>
      </c>
      <c r="BE89" t="s">
        <v>2365</v>
      </c>
      <c r="BF89" t="s">
        <v>2365</v>
      </c>
      <c r="BG89" t="s">
        <v>2365</v>
      </c>
      <c r="BH89" t="s">
        <v>2365</v>
      </c>
      <c r="BI89" t="s">
        <v>2366</v>
      </c>
      <c r="BJ89" t="s">
        <v>2365</v>
      </c>
      <c r="BK89" t="s">
        <v>2365</v>
      </c>
      <c r="BL89" t="s">
        <v>2365</v>
      </c>
      <c r="BM89" t="s">
        <v>2365</v>
      </c>
      <c r="BO89">
        <v>5</v>
      </c>
      <c r="BP89">
        <v>53</v>
      </c>
      <c r="BQ89" t="s">
        <v>2438</v>
      </c>
      <c r="BR89" t="s">
        <v>1499</v>
      </c>
      <c r="BU89">
        <v>0</v>
      </c>
      <c r="BV89">
        <v>0</v>
      </c>
      <c r="BW89">
        <v>0</v>
      </c>
      <c r="BX89">
        <v>0</v>
      </c>
      <c r="BY89">
        <v>0</v>
      </c>
      <c r="BZ89">
        <v>0</v>
      </c>
      <c r="CA89">
        <v>0</v>
      </c>
      <c r="CB89">
        <v>0</v>
      </c>
      <c r="CC89">
        <v>0</v>
      </c>
      <c r="CD89">
        <v>0</v>
      </c>
      <c r="CE89">
        <v>0</v>
      </c>
      <c r="CF89">
        <v>0</v>
      </c>
      <c r="CG89">
        <v>0</v>
      </c>
      <c r="CH89">
        <v>0</v>
      </c>
      <c r="CI89">
        <v>0</v>
      </c>
      <c r="CJ89">
        <v>0</v>
      </c>
      <c r="CK89">
        <v>0</v>
      </c>
      <c r="CL89">
        <v>0</v>
      </c>
      <c r="CM89">
        <v>0</v>
      </c>
      <c r="CR89" t="s">
        <v>2322</v>
      </c>
      <c r="CS89" s="1369" t="str">
        <f>INDEX([8]Sheet1!$H:$H,MATCH(CR:CR,[8]Sheet1!$AU:$AU,0))</f>
        <v>Human Resources</v>
      </c>
    </row>
    <row r="90" spans="1:97" x14ac:dyDescent="0.2">
      <c r="A90" t="s">
        <v>2527</v>
      </c>
      <c r="B90">
        <v>142</v>
      </c>
      <c r="C90" t="s">
        <v>2527</v>
      </c>
      <c r="D90">
        <v>40976</v>
      </c>
      <c r="E90" t="s">
        <v>2528</v>
      </c>
      <c r="F90">
        <v>2900</v>
      </c>
      <c r="G90" t="s">
        <v>569</v>
      </c>
      <c r="H90" t="s">
        <v>2366</v>
      </c>
      <c r="I90" t="s">
        <v>2366</v>
      </c>
      <c r="J90">
        <v>2904</v>
      </c>
      <c r="K90" t="s">
        <v>1432</v>
      </c>
      <c r="L90">
        <v>2100</v>
      </c>
      <c r="M90" t="s">
        <v>618</v>
      </c>
      <c r="N90">
        <v>2106</v>
      </c>
      <c r="O90" t="s">
        <v>1499</v>
      </c>
      <c r="P90" t="s">
        <v>2366</v>
      </c>
      <c r="Q90" t="s">
        <v>2364</v>
      </c>
      <c r="R90" t="s">
        <v>2364</v>
      </c>
      <c r="S90" t="s">
        <v>1881</v>
      </c>
      <c r="T90" t="s">
        <v>1812</v>
      </c>
      <c r="U90" t="s">
        <v>2365</v>
      </c>
      <c r="V90" t="s">
        <v>2365</v>
      </c>
      <c r="W90" t="s">
        <v>2365</v>
      </c>
      <c r="X90" t="s">
        <v>2365</v>
      </c>
      <c r="Y90" t="s">
        <v>2365</v>
      </c>
      <c r="Z90" t="s">
        <v>2365</v>
      </c>
      <c r="AA90" t="s">
        <v>2365</v>
      </c>
      <c r="AB90" t="s">
        <v>2365</v>
      </c>
      <c r="AC90" s="813" t="s">
        <v>2365</v>
      </c>
      <c r="AD90" s="813" t="s">
        <v>2365</v>
      </c>
      <c r="AE90" s="813" t="s">
        <v>2365</v>
      </c>
      <c r="AF90" t="s">
        <v>2365</v>
      </c>
      <c r="AG90" t="s">
        <v>2365</v>
      </c>
      <c r="AH90" t="s">
        <v>2365</v>
      </c>
      <c r="AI90" t="s">
        <v>2365</v>
      </c>
      <c r="AJ90" t="s">
        <v>2365</v>
      </c>
      <c r="AK90" t="s">
        <v>2365</v>
      </c>
      <c r="AL90" t="s">
        <v>2365</v>
      </c>
      <c r="AM90" t="s">
        <v>2365</v>
      </c>
      <c r="AN90" t="s">
        <v>2365</v>
      </c>
      <c r="AR90" t="s">
        <v>2365</v>
      </c>
      <c r="AS90" t="s">
        <v>2365</v>
      </c>
      <c r="AT90" t="s">
        <v>2365</v>
      </c>
      <c r="AU90" t="s">
        <v>2365</v>
      </c>
      <c r="AV90" t="s">
        <v>2365</v>
      </c>
      <c r="AW90" t="s">
        <v>2365</v>
      </c>
      <c r="AX90" t="s">
        <v>2365</v>
      </c>
      <c r="AY90" t="s">
        <v>2365</v>
      </c>
      <c r="AZ90" t="s">
        <v>2365</v>
      </c>
      <c r="BA90" t="s">
        <v>2365</v>
      </c>
      <c r="BB90" t="s">
        <v>2365</v>
      </c>
      <c r="BC90" t="s">
        <v>2365</v>
      </c>
      <c r="BD90" t="s">
        <v>2366</v>
      </c>
      <c r="BE90" t="s">
        <v>2365</v>
      </c>
      <c r="BF90" t="s">
        <v>2365</v>
      </c>
      <c r="BG90" t="s">
        <v>2365</v>
      </c>
      <c r="BH90" t="s">
        <v>2365</v>
      </c>
      <c r="BI90" t="s">
        <v>2366</v>
      </c>
      <c r="BJ90" t="s">
        <v>2365</v>
      </c>
      <c r="BK90" t="s">
        <v>2365</v>
      </c>
      <c r="BL90" t="s">
        <v>2365</v>
      </c>
      <c r="BM90" t="s">
        <v>2365</v>
      </c>
      <c r="BO90">
        <v>5</v>
      </c>
      <c r="BP90">
        <v>53</v>
      </c>
      <c r="BQ90" t="s">
        <v>2438</v>
      </c>
      <c r="BR90" t="s">
        <v>1499</v>
      </c>
      <c r="BU90">
        <v>0</v>
      </c>
      <c r="BV90">
        <v>0</v>
      </c>
      <c r="BW90">
        <v>0</v>
      </c>
      <c r="BX90">
        <v>0</v>
      </c>
      <c r="BY90">
        <v>0</v>
      </c>
      <c r="BZ90">
        <v>0</v>
      </c>
      <c r="CA90">
        <v>0</v>
      </c>
      <c r="CB90">
        <v>0</v>
      </c>
      <c r="CC90">
        <v>7249.75</v>
      </c>
      <c r="CD90">
        <v>4726.7500000000009</v>
      </c>
      <c r="CE90">
        <v>4735.07</v>
      </c>
      <c r="CF90">
        <v>4881.9400000000005</v>
      </c>
      <c r="CG90">
        <v>5281.4800000000005</v>
      </c>
      <c r="CH90">
        <v>5547.12</v>
      </c>
      <c r="CI90">
        <v>0</v>
      </c>
      <c r="CJ90">
        <v>0</v>
      </c>
      <c r="CK90">
        <v>0</v>
      </c>
      <c r="CL90">
        <v>0</v>
      </c>
      <c r="CM90">
        <v>0</v>
      </c>
      <c r="CR90" t="s">
        <v>2321</v>
      </c>
      <c r="CS90" s="1369" t="str">
        <f>INDEX([8]Sheet1!$H:$H,MATCH(CR:CR,[8]Sheet1!$AU:$AU,0))</f>
        <v>Marketing, Customer Relations, Publicity and Media Co-ordination</v>
      </c>
    </row>
    <row r="91" spans="1:97" x14ac:dyDescent="0.2">
      <c r="A91" t="s">
        <v>2529</v>
      </c>
      <c r="B91">
        <v>143</v>
      </c>
      <c r="C91" t="s">
        <v>2529</v>
      </c>
      <c r="D91">
        <v>40977</v>
      </c>
      <c r="E91" t="s">
        <v>2530</v>
      </c>
      <c r="F91">
        <v>2000</v>
      </c>
      <c r="G91" t="s">
        <v>652</v>
      </c>
      <c r="H91" t="s">
        <v>2531</v>
      </c>
      <c r="I91" t="s">
        <v>1185</v>
      </c>
      <c r="J91">
        <v>2009</v>
      </c>
      <c r="K91" t="s">
        <v>1185</v>
      </c>
      <c r="L91">
        <v>2100</v>
      </c>
      <c r="M91" t="s">
        <v>618</v>
      </c>
      <c r="N91">
        <v>2106</v>
      </c>
      <c r="O91" t="s">
        <v>1499</v>
      </c>
      <c r="P91" t="s">
        <v>2366</v>
      </c>
      <c r="Q91" t="s">
        <v>2364</v>
      </c>
      <c r="R91" t="s">
        <v>2364</v>
      </c>
      <c r="S91" t="s">
        <v>1881</v>
      </c>
      <c r="T91" t="s">
        <v>1812</v>
      </c>
      <c r="U91" t="s">
        <v>2365</v>
      </c>
      <c r="V91" t="s">
        <v>2365</v>
      </c>
      <c r="W91" t="s">
        <v>2365</v>
      </c>
      <c r="X91" t="s">
        <v>2365</v>
      </c>
      <c r="Y91" t="s">
        <v>2365</v>
      </c>
      <c r="Z91" t="s">
        <v>2365</v>
      </c>
      <c r="AA91" t="s">
        <v>2365</v>
      </c>
      <c r="AB91" t="s">
        <v>2365</v>
      </c>
      <c r="AC91" s="813" t="s">
        <v>2365</v>
      </c>
      <c r="AD91" s="813" t="s">
        <v>2365</v>
      </c>
      <c r="AE91" s="813" t="s">
        <v>2365</v>
      </c>
      <c r="AF91" t="s">
        <v>2365</v>
      </c>
      <c r="AG91" t="s">
        <v>2365</v>
      </c>
      <c r="AH91" t="s">
        <v>2365</v>
      </c>
      <c r="AI91" t="s">
        <v>2365</v>
      </c>
      <c r="AJ91" t="s">
        <v>2365</v>
      </c>
      <c r="AK91" t="s">
        <v>2365</v>
      </c>
      <c r="AL91" t="s">
        <v>2365</v>
      </c>
      <c r="AM91" t="s">
        <v>2365</v>
      </c>
      <c r="AN91" t="s">
        <v>2365</v>
      </c>
      <c r="AR91" t="s">
        <v>2365</v>
      </c>
      <c r="AS91" t="s">
        <v>2365</v>
      </c>
      <c r="AT91" t="s">
        <v>2365</v>
      </c>
      <c r="AU91" t="s">
        <v>2365</v>
      </c>
      <c r="AV91" t="s">
        <v>2365</v>
      </c>
      <c r="AW91" t="s">
        <v>2365</v>
      </c>
      <c r="AX91" t="s">
        <v>2365</v>
      </c>
      <c r="AY91" t="s">
        <v>2365</v>
      </c>
      <c r="AZ91" t="s">
        <v>2365</v>
      </c>
      <c r="BA91" t="s">
        <v>2365</v>
      </c>
      <c r="BB91" t="s">
        <v>2365</v>
      </c>
      <c r="BC91" t="s">
        <v>2365</v>
      </c>
      <c r="BD91" t="s">
        <v>2366</v>
      </c>
      <c r="BE91" t="s">
        <v>2365</v>
      </c>
      <c r="BF91" t="s">
        <v>2365</v>
      </c>
      <c r="BG91" t="s">
        <v>2365</v>
      </c>
      <c r="BH91" t="s">
        <v>2365</v>
      </c>
      <c r="BI91" t="s">
        <v>2366</v>
      </c>
      <c r="BJ91" t="s">
        <v>2365</v>
      </c>
      <c r="BK91" t="s">
        <v>2365</v>
      </c>
      <c r="BL91" t="s">
        <v>2365</v>
      </c>
      <c r="BM91" t="s">
        <v>2365</v>
      </c>
      <c r="BN91" t="s">
        <v>2177</v>
      </c>
      <c r="BO91">
        <v>5</v>
      </c>
      <c r="BP91">
        <v>53</v>
      </c>
      <c r="BQ91" t="s">
        <v>2438</v>
      </c>
      <c r="BR91" t="s">
        <v>1499</v>
      </c>
      <c r="BU91">
        <v>1785</v>
      </c>
      <c r="BV91">
        <v>0</v>
      </c>
      <c r="BW91">
        <v>1785</v>
      </c>
      <c r="BX91">
        <v>0</v>
      </c>
      <c r="BY91">
        <v>1785</v>
      </c>
      <c r="BZ91">
        <v>1856</v>
      </c>
      <c r="CA91">
        <v>1931</v>
      </c>
      <c r="CB91">
        <v>7657.46</v>
      </c>
      <c r="CC91">
        <v>880.52</v>
      </c>
      <c r="CD91">
        <v>316.8</v>
      </c>
      <c r="CE91">
        <v>316.8</v>
      </c>
      <c r="CF91">
        <v>326.7</v>
      </c>
      <c r="CG91">
        <v>316.8</v>
      </c>
      <c r="CH91">
        <v>376.2</v>
      </c>
      <c r="CI91">
        <v>0</v>
      </c>
      <c r="CJ91">
        <v>0</v>
      </c>
      <c r="CK91">
        <v>0</v>
      </c>
      <c r="CL91">
        <v>0</v>
      </c>
      <c r="CM91">
        <v>0</v>
      </c>
      <c r="CR91" t="s">
        <v>2321</v>
      </c>
      <c r="CS91" s="1369" t="str">
        <f>INDEX([8]Sheet1!$H:$H,MATCH(CR:CR,[8]Sheet1!$AU:$AU,0))</f>
        <v>Marketing, Customer Relations, Publicity and Media Co-ordination</v>
      </c>
    </row>
    <row r="92" spans="1:97" x14ac:dyDescent="0.2">
      <c r="A92" t="s">
        <v>2532</v>
      </c>
      <c r="B92">
        <v>144</v>
      </c>
      <c r="C92" t="s">
        <v>2532</v>
      </c>
      <c r="D92">
        <v>40978</v>
      </c>
      <c r="E92" t="s">
        <v>2533</v>
      </c>
      <c r="F92">
        <v>2000</v>
      </c>
      <c r="G92" t="s">
        <v>652</v>
      </c>
      <c r="H92" t="s">
        <v>2534</v>
      </c>
      <c r="I92" t="s">
        <v>196</v>
      </c>
      <c r="J92">
        <v>2003</v>
      </c>
      <c r="K92" t="s">
        <v>196</v>
      </c>
      <c r="L92">
        <v>2100</v>
      </c>
      <c r="M92" t="s">
        <v>618</v>
      </c>
      <c r="N92">
        <v>2106</v>
      </c>
      <c r="O92" t="s">
        <v>1499</v>
      </c>
      <c r="P92" t="s">
        <v>2366</v>
      </c>
      <c r="Q92" t="s">
        <v>2364</v>
      </c>
      <c r="R92" t="s">
        <v>2364</v>
      </c>
      <c r="S92" t="s">
        <v>1881</v>
      </c>
      <c r="T92" t="s">
        <v>1812</v>
      </c>
      <c r="U92" t="s">
        <v>2365</v>
      </c>
      <c r="V92" t="s">
        <v>2365</v>
      </c>
      <c r="W92" t="s">
        <v>2365</v>
      </c>
      <c r="X92" t="s">
        <v>2365</v>
      </c>
      <c r="Y92" t="s">
        <v>2365</v>
      </c>
      <c r="Z92" t="s">
        <v>2365</v>
      </c>
      <c r="AA92" t="s">
        <v>2365</v>
      </c>
      <c r="AB92" t="s">
        <v>2365</v>
      </c>
      <c r="AC92" s="813" t="s">
        <v>2365</v>
      </c>
      <c r="AD92" s="813" t="s">
        <v>2365</v>
      </c>
      <c r="AE92" s="813" t="s">
        <v>2365</v>
      </c>
      <c r="AF92" t="s">
        <v>2365</v>
      </c>
      <c r="AG92" t="s">
        <v>2365</v>
      </c>
      <c r="AH92" t="s">
        <v>2365</v>
      </c>
      <c r="AI92" t="s">
        <v>2365</v>
      </c>
      <c r="AJ92" t="s">
        <v>2365</v>
      </c>
      <c r="AK92" t="s">
        <v>2365</v>
      </c>
      <c r="AL92" t="s">
        <v>2365</v>
      </c>
      <c r="AM92" t="s">
        <v>2365</v>
      </c>
      <c r="AN92" t="s">
        <v>2365</v>
      </c>
      <c r="AR92" t="s">
        <v>2365</v>
      </c>
      <c r="AS92" t="s">
        <v>2365</v>
      </c>
      <c r="AT92" t="s">
        <v>2365</v>
      </c>
      <c r="AU92" t="s">
        <v>2365</v>
      </c>
      <c r="AV92" t="s">
        <v>2365</v>
      </c>
      <c r="AW92" t="s">
        <v>2365</v>
      </c>
      <c r="AX92" t="s">
        <v>2365</v>
      </c>
      <c r="AY92" t="s">
        <v>2365</v>
      </c>
      <c r="AZ92" t="s">
        <v>2365</v>
      </c>
      <c r="BA92" t="s">
        <v>2365</v>
      </c>
      <c r="BB92" t="s">
        <v>2365</v>
      </c>
      <c r="BC92" t="s">
        <v>2365</v>
      </c>
      <c r="BD92" t="s">
        <v>2366</v>
      </c>
      <c r="BE92" t="s">
        <v>2365</v>
      </c>
      <c r="BF92" t="s">
        <v>2365</v>
      </c>
      <c r="BG92" t="s">
        <v>2365</v>
      </c>
      <c r="BH92" t="s">
        <v>2365</v>
      </c>
      <c r="BI92" t="s">
        <v>2366</v>
      </c>
      <c r="BJ92" t="s">
        <v>2365</v>
      </c>
      <c r="BK92" t="s">
        <v>2365</v>
      </c>
      <c r="BL92" t="s">
        <v>2365</v>
      </c>
      <c r="BM92" t="s">
        <v>2365</v>
      </c>
      <c r="BN92" t="s">
        <v>2177</v>
      </c>
      <c r="BO92">
        <v>5</v>
      </c>
      <c r="BP92">
        <v>53</v>
      </c>
      <c r="BQ92" t="s">
        <v>2438</v>
      </c>
      <c r="BR92" t="s">
        <v>1499</v>
      </c>
      <c r="BU92">
        <v>361765</v>
      </c>
      <c r="BV92">
        <v>0</v>
      </c>
      <c r="BW92">
        <v>361765</v>
      </c>
      <c r="BX92">
        <v>0</v>
      </c>
      <c r="BY92">
        <v>361765</v>
      </c>
      <c r="BZ92">
        <v>376235</v>
      </c>
      <c r="CA92">
        <v>391285</v>
      </c>
      <c r="CB92">
        <v>48017.48</v>
      </c>
      <c r="CC92">
        <v>119524.64</v>
      </c>
      <c r="CD92">
        <v>47653.360000000008</v>
      </c>
      <c r="CE92">
        <v>48582.16</v>
      </c>
      <c r="CF92">
        <v>46724.560000000005</v>
      </c>
      <c r="CG92">
        <v>47653.360000000008</v>
      </c>
      <c r="CH92">
        <v>48209.08</v>
      </c>
      <c r="CI92">
        <v>0</v>
      </c>
      <c r="CJ92">
        <v>0</v>
      </c>
      <c r="CK92">
        <v>0</v>
      </c>
      <c r="CL92">
        <v>0</v>
      </c>
      <c r="CM92">
        <v>0</v>
      </c>
      <c r="CR92" t="s">
        <v>2323</v>
      </c>
      <c r="CS92" s="1369" t="str">
        <f>INDEX([8]Sheet1!$H:$H,MATCH(CR:CR,[8]Sheet1!$AU:$AU,0))</f>
        <v>Information Technology</v>
      </c>
    </row>
    <row r="93" spans="1:97" x14ac:dyDescent="0.2">
      <c r="A93" t="s">
        <v>2535</v>
      </c>
      <c r="B93">
        <v>145</v>
      </c>
      <c r="C93" t="s">
        <v>2535</v>
      </c>
      <c r="D93">
        <v>40979</v>
      </c>
      <c r="E93" t="s">
        <v>2536</v>
      </c>
      <c r="F93">
        <v>2000</v>
      </c>
      <c r="G93" t="s">
        <v>652</v>
      </c>
      <c r="H93" t="s">
        <v>2472</v>
      </c>
      <c r="I93" t="s">
        <v>1375</v>
      </c>
      <c r="J93">
        <v>2002</v>
      </c>
      <c r="K93" t="s">
        <v>1375</v>
      </c>
      <c r="L93">
        <v>2100</v>
      </c>
      <c r="M93" t="s">
        <v>618</v>
      </c>
      <c r="N93">
        <v>2106</v>
      </c>
      <c r="O93" t="s">
        <v>1499</v>
      </c>
      <c r="P93" t="s">
        <v>2366</v>
      </c>
      <c r="Q93" t="s">
        <v>2364</v>
      </c>
      <c r="R93" t="s">
        <v>2364</v>
      </c>
      <c r="S93" t="s">
        <v>1881</v>
      </c>
      <c r="T93" t="s">
        <v>1812</v>
      </c>
      <c r="U93" t="s">
        <v>2365</v>
      </c>
      <c r="V93" t="s">
        <v>2365</v>
      </c>
      <c r="W93" t="s">
        <v>2365</v>
      </c>
      <c r="X93" t="s">
        <v>2365</v>
      </c>
      <c r="Y93" t="s">
        <v>2365</v>
      </c>
      <c r="Z93" t="s">
        <v>2365</v>
      </c>
      <c r="AA93" t="s">
        <v>2365</v>
      </c>
      <c r="AB93" t="s">
        <v>2365</v>
      </c>
      <c r="AC93" s="813" t="s">
        <v>2365</v>
      </c>
      <c r="AD93" s="813" t="s">
        <v>2365</v>
      </c>
      <c r="AE93" s="813" t="s">
        <v>2365</v>
      </c>
      <c r="AF93" t="s">
        <v>2365</v>
      </c>
      <c r="AG93" t="s">
        <v>2365</v>
      </c>
      <c r="AH93" t="s">
        <v>2365</v>
      </c>
      <c r="AI93" t="s">
        <v>2365</v>
      </c>
      <c r="AJ93" t="s">
        <v>2365</v>
      </c>
      <c r="AK93" t="s">
        <v>2365</v>
      </c>
      <c r="AL93" t="s">
        <v>2365</v>
      </c>
      <c r="AM93" t="s">
        <v>2365</v>
      </c>
      <c r="AN93" t="s">
        <v>2365</v>
      </c>
      <c r="AR93" t="s">
        <v>2365</v>
      </c>
      <c r="AS93" t="s">
        <v>2365</v>
      </c>
      <c r="AT93" t="s">
        <v>2365</v>
      </c>
      <c r="AU93" t="s">
        <v>2365</v>
      </c>
      <c r="AV93" t="s">
        <v>2365</v>
      </c>
      <c r="AW93" t="s">
        <v>2365</v>
      </c>
      <c r="AX93" t="s">
        <v>2365</v>
      </c>
      <c r="AY93" t="s">
        <v>2365</v>
      </c>
      <c r="AZ93" t="s">
        <v>2365</v>
      </c>
      <c r="BA93" t="s">
        <v>2365</v>
      </c>
      <c r="BB93" t="s">
        <v>2365</v>
      </c>
      <c r="BC93" t="s">
        <v>2365</v>
      </c>
      <c r="BD93" t="s">
        <v>2366</v>
      </c>
      <c r="BE93" t="s">
        <v>2365</v>
      </c>
      <c r="BF93" t="s">
        <v>2365</v>
      </c>
      <c r="BG93" t="s">
        <v>2365</v>
      </c>
      <c r="BH93" t="s">
        <v>2365</v>
      </c>
      <c r="BI93" t="s">
        <v>2366</v>
      </c>
      <c r="BJ93" t="s">
        <v>2365</v>
      </c>
      <c r="BK93" t="s">
        <v>2365</v>
      </c>
      <c r="BL93" t="s">
        <v>2365</v>
      </c>
      <c r="BM93" t="s">
        <v>2365</v>
      </c>
      <c r="BN93" t="s">
        <v>2177</v>
      </c>
      <c r="BO93">
        <v>5</v>
      </c>
      <c r="BP93">
        <v>53</v>
      </c>
      <c r="BQ93" t="s">
        <v>2438</v>
      </c>
      <c r="BR93" t="s">
        <v>1499</v>
      </c>
      <c r="BU93">
        <v>813971</v>
      </c>
      <c r="BV93">
        <v>0</v>
      </c>
      <c r="BW93">
        <v>813971</v>
      </c>
      <c r="BX93">
        <v>0</v>
      </c>
      <c r="BY93">
        <v>813971</v>
      </c>
      <c r="BZ93">
        <v>846530</v>
      </c>
      <c r="CA93">
        <v>880391</v>
      </c>
      <c r="CB93">
        <v>130105.48999999999</v>
      </c>
      <c r="CC93">
        <v>246968.71</v>
      </c>
      <c r="CD93">
        <v>124677.51000000001</v>
      </c>
      <c r="CE93">
        <v>124858.04000000001</v>
      </c>
      <c r="CF93">
        <v>129454.83999999998</v>
      </c>
      <c r="CG93">
        <v>135302.94</v>
      </c>
      <c r="CH93">
        <v>137688.75</v>
      </c>
      <c r="CI93">
        <v>0</v>
      </c>
      <c r="CJ93">
        <v>0</v>
      </c>
      <c r="CK93">
        <v>0</v>
      </c>
      <c r="CL93">
        <v>0</v>
      </c>
      <c r="CM93">
        <v>0</v>
      </c>
      <c r="CR93" t="s">
        <v>2321</v>
      </c>
      <c r="CS93" s="1369" t="str">
        <f>INDEX([8]Sheet1!$H:$H,MATCH(CR:CR,[8]Sheet1!$AU:$AU,0))</f>
        <v>Marketing, Customer Relations, Publicity and Media Co-ordination</v>
      </c>
    </row>
    <row r="94" spans="1:97" x14ac:dyDescent="0.2">
      <c r="A94" t="s">
        <v>2537</v>
      </c>
      <c r="B94">
        <v>146</v>
      </c>
      <c r="C94" t="s">
        <v>2537</v>
      </c>
      <c r="D94">
        <v>40980</v>
      </c>
      <c r="E94" t="s">
        <v>2471</v>
      </c>
      <c r="F94">
        <v>2000</v>
      </c>
      <c r="G94" t="s">
        <v>652</v>
      </c>
      <c r="H94" t="s">
        <v>2472</v>
      </c>
      <c r="I94" t="s">
        <v>1375</v>
      </c>
      <c r="J94">
        <v>2002</v>
      </c>
      <c r="K94" t="s">
        <v>1375</v>
      </c>
      <c r="L94">
        <v>2100</v>
      </c>
      <c r="M94" t="s">
        <v>618</v>
      </c>
      <c r="N94">
        <v>2106</v>
      </c>
      <c r="O94" t="s">
        <v>1499</v>
      </c>
      <c r="P94" t="s">
        <v>2366</v>
      </c>
      <c r="Q94" t="s">
        <v>2364</v>
      </c>
      <c r="R94" t="s">
        <v>2364</v>
      </c>
      <c r="S94" t="s">
        <v>1881</v>
      </c>
      <c r="T94" t="s">
        <v>1812</v>
      </c>
      <c r="U94" t="s">
        <v>2365</v>
      </c>
      <c r="V94" t="s">
        <v>2365</v>
      </c>
      <c r="W94" t="s">
        <v>2365</v>
      </c>
      <c r="X94" t="s">
        <v>2365</v>
      </c>
      <c r="Y94" t="s">
        <v>2365</v>
      </c>
      <c r="Z94" t="s">
        <v>2365</v>
      </c>
      <c r="AA94" t="s">
        <v>2365</v>
      </c>
      <c r="AB94" t="s">
        <v>2365</v>
      </c>
      <c r="AC94" s="813" t="s">
        <v>2365</v>
      </c>
      <c r="AD94" s="813" t="s">
        <v>2365</v>
      </c>
      <c r="AE94" s="813" t="s">
        <v>2365</v>
      </c>
      <c r="AF94" t="s">
        <v>2365</v>
      </c>
      <c r="AG94" t="s">
        <v>2365</v>
      </c>
      <c r="AH94" t="s">
        <v>2365</v>
      </c>
      <c r="AI94" t="s">
        <v>2365</v>
      </c>
      <c r="AJ94" t="s">
        <v>2365</v>
      </c>
      <c r="AK94" t="s">
        <v>2365</v>
      </c>
      <c r="AL94" t="s">
        <v>2365</v>
      </c>
      <c r="AM94" t="s">
        <v>2365</v>
      </c>
      <c r="AN94" t="s">
        <v>2365</v>
      </c>
      <c r="AR94" t="s">
        <v>2365</v>
      </c>
      <c r="AS94" t="s">
        <v>2365</v>
      </c>
      <c r="AT94" t="s">
        <v>2365</v>
      </c>
      <c r="AU94" t="s">
        <v>2365</v>
      </c>
      <c r="AV94" t="s">
        <v>2365</v>
      </c>
      <c r="AW94" t="s">
        <v>2365</v>
      </c>
      <c r="AX94" t="s">
        <v>2365</v>
      </c>
      <c r="AY94" t="s">
        <v>2365</v>
      </c>
      <c r="AZ94" t="s">
        <v>2365</v>
      </c>
      <c r="BA94" t="s">
        <v>2365</v>
      </c>
      <c r="BB94" t="s">
        <v>2365</v>
      </c>
      <c r="BC94" t="s">
        <v>2365</v>
      </c>
      <c r="BD94" t="s">
        <v>2366</v>
      </c>
      <c r="BE94" t="s">
        <v>2365</v>
      </c>
      <c r="BF94" t="s">
        <v>2365</v>
      </c>
      <c r="BG94" t="s">
        <v>2365</v>
      </c>
      <c r="BH94" t="s">
        <v>2365</v>
      </c>
      <c r="BI94" t="s">
        <v>2366</v>
      </c>
      <c r="BJ94" t="s">
        <v>2365</v>
      </c>
      <c r="BK94" t="s">
        <v>2365</v>
      </c>
      <c r="BL94" t="s">
        <v>2365</v>
      </c>
      <c r="BM94" t="s">
        <v>2365</v>
      </c>
      <c r="BN94" t="s">
        <v>2177</v>
      </c>
      <c r="BO94">
        <v>5</v>
      </c>
      <c r="BP94">
        <v>53</v>
      </c>
      <c r="BQ94" t="s">
        <v>2438</v>
      </c>
      <c r="BR94" t="s">
        <v>1499</v>
      </c>
      <c r="BU94">
        <v>45221</v>
      </c>
      <c r="BV94">
        <v>0</v>
      </c>
      <c r="BW94">
        <v>45221</v>
      </c>
      <c r="BX94">
        <v>0</v>
      </c>
      <c r="BY94">
        <v>45221</v>
      </c>
      <c r="BZ94">
        <v>47029</v>
      </c>
      <c r="CA94">
        <v>48911</v>
      </c>
      <c r="CB94">
        <v>5287.06</v>
      </c>
      <c r="CC94">
        <v>5082.33</v>
      </c>
      <c r="CD94">
        <v>0</v>
      </c>
      <c r="CE94">
        <v>0</v>
      </c>
      <c r="CF94">
        <v>0</v>
      </c>
      <c r="CG94">
        <v>0</v>
      </c>
      <c r="CH94">
        <v>0</v>
      </c>
      <c r="CI94">
        <v>0</v>
      </c>
      <c r="CJ94">
        <v>0</v>
      </c>
      <c r="CK94">
        <v>0</v>
      </c>
      <c r="CL94">
        <v>0</v>
      </c>
      <c r="CM94">
        <v>0</v>
      </c>
      <c r="CR94" t="s">
        <v>2322</v>
      </c>
      <c r="CS94" s="1369" t="str">
        <f>INDEX([8]Sheet1!$H:$H,MATCH(CR:CR,[8]Sheet1!$AU:$AU,0))</f>
        <v>Human Resources</v>
      </c>
    </row>
    <row r="95" spans="1:97" x14ac:dyDescent="0.2">
      <c r="A95" t="s">
        <v>2538</v>
      </c>
      <c r="B95">
        <v>147</v>
      </c>
      <c r="C95" t="s">
        <v>2538</v>
      </c>
      <c r="D95">
        <v>40981</v>
      </c>
      <c r="E95" t="s">
        <v>2539</v>
      </c>
      <c r="F95">
        <v>2000</v>
      </c>
      <c r="G95" t="s">
        <v>652</v>
      </c>
      <c r="H95" s="1373" t="s">
        <v>2540</v>
      </c>
      <c r="I95" t="s">
        <v>1157</v>
      </c>
      <c r="J95">
        <v>2009</v>
      </c>
      <c r="K95" t="s">
        <v>1185</v>
      </c>
      <c r="L95" s="1373">
        <v>2100</v>
      </c>
      <c r="M95" t="s">
        <v>618</v>
      </c>
      <c r="N95">
        <v>2106</v>
      </c>
      <c r="O95" t="s">
        <v>1499</v>
      </c>
      <c r="P95" t="s">
        <v>2366</v>
      </c>
      <c r="Q95" t="s">
        <v>2364</v>
      </c>
      <c r="R95" t="s">
        <v>2364</v>
      </c>
      <c r="S95" t="s">
        <v>1881</v>
      </c>
      <c r="T95" t="s">
        <v>1812</v>
      </c>
      <c r="U95" t="s">
        <v>2365</v>
      </c>
      <c r="V95" t="s">
        <v>2365</v>
      </c>
      <c r="W95" t="s">
        <v>2365</v>
      </c>
      <c r="X95" t="s">
        <v>2365</v>
      </c>
      <c r="Y95" t="s">
        <v>2365</v>
      </c>
      <c r="Z95" t="s">
        <v>2365</v>
      </c>
      <c r="AA95" t="s">
        <v>2365</v>
      </c>
      <c r="AB95" t="s">
        <v>2365</v>
      </c>
      <c r="AC95" s="813" t="s">
        <v>2365</v>
      </c>
      <c r="AD95" s="813" t="s">
        <v>2365</v>
      </c>
      <c r="AE95" s="813" t="s">
        <v>2365</v>
      </c>
      <c r="AF95" t="s">
        <v>2365</v>
      </c>
      <c r="AG95" t="s">
        <v>2365</v>
      </c>
      <c r="AH95" t="s">
        <v>2365</v>
      </c>
      <c r="AI95" t="s">
        <v>2365</v>
      </c>
      <c r="AJ95" t="s">
        <v>2365</v>
      </c>
      <c r="AK95" t="s">
        <v>2365</v>
      </c>
      <c r="AL95" t="s">
        <v>2365</v>
      </c>
      <c r="AM95" t="s">
        <v>2365</v>
      </c>
      <c r="AN95" t="s">
        <v>2365</v>
      </c>
      <c r="AR95" t="s">
        <v>2365</v>
      </c>
      <c r="AS95" t="s">
        <v>2365</v>
      </c>
      <c r="AT95" t="s">
        <v>2365</v>
      </c>
      <c r="AU95" t="s">
        <v>2365</v>
      </c>
      <c r="AV95" t="s">
        <v>2365</v>
      </c>
      <c r="AW95" t="s">
        <v>2365</v>
      </c>
      <c r="AX95" t="s">
        <v>2365</v>
      </c>
      <c r="AY95" t="s">
        <v>2365</v>
      </c>
      <c r="AZ95" t="s">
        <v>2365</v>
      </c>
      <c r="BA95" t="s">
        <v>2365</v>
      </c>
      <c r="BB95" t="s">
        <v>2365</v>
      </c>
      <c r="BC95" t="s">
        <v>2365</v>
      </c>
      <c r="BD95" t="s">
        <v>2366</v>
      </c>
      <c r="BE95" t="s">
        <v>2365</v>
      </c>
      <c r="BF95" t="s">
        <v>2365</v>
      </c>
      <c r="BG95" t="s">
        <v>2365</v>
      </c>
      <c r="BH95" t="s">
        <v>2365</v>
      </c>
      <c r="BI95" t="s">
        <v>2366</v>
      </c>
      <c r="BJ95" t="s">
        <v>2365</v>
      </c>
      <c r="BK95" t="s">
        <v>2365</v>
      </c>
      <c r="BL95" t="s">
        <v>2365</v>
      </c>
      <c r="BM95" t="s">
        <v>2365</v>
      </c>
      <c r="BN95" t="s">
        <v>2177</v>
      </c>
      <c r="BO95">
        <v>5</v>
      </c>
      <c r="BP95">
        <v>53</v>
      </c>
      <c r="BQ95" t="s">
        <v>2438</v>
      </c>
      <c r="BR95" t="s">
        <v>1499</v>
      </c>
      <c r="BU95" s="1371">
        <v>0</v>
      </c>
      <c r="BV95" s="1371">
        <v>0</v>
      </c>
      <c r="BW95" s="1371">
        <v>0</v>
      </c>
      <c r="BX95" s="1371">
        <v>0</v>
      </c>
      <c r="BY95" s="1371">
        <v>0</v>
      </c>
      <c r="BZ95">
        <v>0</v>
      </c>
      <c r="CA95">
        <v>0</v>
      </c>
      <c r="CB95">
        <v>0</v>
      </c>
      <c r="CC95">
        <v>14684.81</v>
      </c>
      <c r="CD95">
        <v>2544.3700000000008</v>
      </c>
      <c r="CE95">
        <v>3524.34</v>
      </c>
      <c r="CF95">
        <v>9044.9900000000016</v>
      </c>
      <c r="CG95">
        <v>2616.14</v>
      </c>
      <c r="CH95">
        <v>26178.75</v>
      </c>
      <c r="CI95">
        <v>0</v>
      </c>
      <c r="CJ95">
        <v>0</v>
      </c>
      <c r="CK95">
        <v>0</v>
      </c>
      <c r="CL95">
        <v>0</v>
      </c>
      <c r="CM95">
        <v>0</v>
      </c>
      <c r="CR95" t="s">
        <v>2322</v>
      </c>
      <c r="CS95" s="1369" t="str">
        <f>INDEX([8]Sheet1!$H:$H,MATCH(CR:CR,[8]Sheet1!$AU:$AU,0))</f>
        <v>Human Resources</v>
      </c>
    </row>
    <row r="96" spans="1:97" x14ac:dyDescent="0.2">
      <c r="A96" t="s">
        <v>2541</v>
      </c>
      <c r="B96">
        <v>148</v>
      </c>
      <c r="C96" t="s">
        <v>2541</v>
      </c>
      <c r="D96">
        <v>40982</v>
      </c>
      <c r="E96" t="s">
        <v>2542</v>
      </c>
      <c r="F96">
        <v>2000</v>
      </c>
      <c r="G96" t="s">
        <v>652</v>
      </c>
      <c r="H96" s="1373" t="s">
        <v>2540</v>
      </c>
      <c r="I96" t="s">
        <v>1157</v>
      </c>
      <c r="J96">
        <v>2009</v>
      </c>
      <c r="K96" t="s">
        <v>1185</v>
      </c>
      <c r="L96" s="1373">
        <v>2100</v>
      </c>
      <c r="M96" t="s">
        <v>618</v>
      </c>
      <c r="N96">
        <v>2106</v>
      </c>
      <c r="O96" t="s">
        <v>1499</v>
      </c>
      <c r="P96" t="s">
        <v>2366</v>
      </c>
      <c r="Q96" t="s">
        <v>2364</v>
      </c>
      <c r="R96" t="s">
        <v>2364</v>
      </c>
      <c r="S96" t="s">
        <v>1881</v>
      </c>
      <c r="T96" t="s">
        <v>1812</v>
      </c>
      <c r="U96" t="s">
        <v>2365</v>
      </c>
      <c r="V96" t="s">
        <v>2365</v>
      </c>
      <c r="W96" t="s">
        <v>2365</v>
      </c>
      <c r="X96" t="s">
        <v>2365</v>
      </c>
      <c r="Y96" t="s">
        <v>2365</v>
      </c>
      <c r="Z96" t="s">
        <v>2365</v>
      </c>
      <c r="AA96" t="s">
        <v>2365</v>
      </c>
      <c r="AB96" t="s">
        <v>2365</v>
      </c>
      <c r="AC96" s="813" t="s">
        <v>2365</v>
      </c>
      <c r="AD96" s="813" t="s">
        <v>2365</v>
      </c>
      <c r="AE96" s="813" t="s">
        <v>2365</v>
      </c>
      <c r="AF96" t="s">
        <v>2365</v>
      </c>
      <c r="AG96" t="s">
        <v>2365</v>
      </c>
      <c r="AH96" t="s">
        <v>2365</v>
      </c>
      <c r="AI96" t="s">
        <v>2365</v>
      </c>
      <c r="AJ96" t="s">
        <v>2365</v>
      </c>
      <c r="AK96" t="s">
        <v>2365</v>
      </c>
      <c r="AL96" t="s">
        <v>2365</v>
      </c>
      <c r="AM96" t="s">
        <v>2365</v>
      </c>
      <c r="AN96" t="s">
        <v>2365</v>
      </c>
      <c r="AR96" t="s">
        <v>2365</v>
      </c>
      <c r="AS96" t="s">
        <v>2365</v>
      </c>
      <c r="AT96" t="s">
        <v>2365</v>
      </c>
      <c r="AU96" t="s">
        <v>2365</v>
      </c>
      <c r="AV96" t="s">
        <v>2365</v>
      </c>
      <c r="AW96" t="s">
        <v>2365</v>
      </c>
      <c r="AX96" t="s">
        <v>2365</v>
      </c>
      <c r="AY96" t="s">
        <v>2365</v>
      </c>
      <c r="AZ96" t="s">
        <v>2365</v>
      </c>
      <c r="BA96" t="s">
        <v>2365</v>
      </c>
      <c r="BB96" t="s">
        <v>2365</v>
      </c>
      <c r="BC96" t="s">
        <v>2365</v>
      </c>
      <c r="BD96" t="s">
        <v>2366</v>
      </c>
      <c r="BE96" t="s">
        <v>2365</v>
      </c>
      <c r="BF96" t="s">
        <v>2365</v>
      </c>
      <c r="BG96" t="s">
        <v>2365</v>
      </c>
      <c r="BH96" t="s">
        <v>2365</v>
      </c>
      <c r="BI96" t="s">
        <v>2366</v>
      </c>
      <c r="BJ96" t="s">
        <v>2365</v>
      </c>
      <c r="BK96" t="s">
        <v>2365</v>
      </c>
      <c r="BL96" t="s">
        <v>2365</v>
      </c>
      <c r="BM96" t="s">
        <v>2365</v>
      </c>
      <c r="BN96" t="s">
        <v>2177</v>
      </c>
      <c r="BO96">
        <v>5</v>
      </c>
      <c r="BP96">
        <v>53</v>
      </c>
      <c r="BQ96" t="s">
        <v>2438</v>
      </c>
      <c r="BR96" t="s">
        <v>1499</v>
      </c>
      <c r="BU96" s="1371">
        <v>150347</v>
      </c>
      <c r="BV96" s="1371">
        <v>0</v>
      </c>
      <c r="BW96" s="1371">
        <v>150347</v>
      </c>
      <c r="BX96" s="1371">
        <v>0</v>
      </c>
      <c r="BY96" s="1371">
        <v>150347</v>
      </c>
      <c r="BZ96">
        <v>156360</v>
      </c>
      <c r="CA96">
        <v>162615</v>
      </c>
      <c r="CB96">
        <v>1586.88</v>
      </c>
      <c r="CC96">
        <v>0</v>
      </c>
      <c r="CD96">
        <v>0</v>
      </c>
      <c r="CE96">
        <v>0</v>
      </c>
      <c r="CF96">
        <v>0</v>
      </c>
      <c r="CG96">
        <v>0</v>
      </c>
      <c r="CH96">
        <v>0</v>
      </c>
      <c r="CI96">
        <v>0</v>
      </c>
      <c r="CJ96">
        <v>0</v>
      </c>
      <c r="CK96">
        <v>0</v>
      </c>
      <c r="CL96">
        <v>0</v>
      </c>
      <c r="CM96">
        <v>0</v>
      </c>
      <c r="CR96" t="s">
        <v>2321</v>
      </c>
      <c r="CS96" s="1369" t="str">
        <f>INDEX([8]Sheet1!$H:$H,MATCH(CR:CR,[8]Sheet1!$AU:$AU,0))</f>
        <v>Marketing, Customer Relations, Publicity and Media Co-ordination</v>
      </c>
    </row>
    <row r="97" spans="1:97" x14ac:dyDescent="0.2">
      <c r="A97" t="s">
        <v>2543</v>
      </c>
      <c r="B97">
        <v>149</v>
      </c>
      <c r="C97" t="s">
        <v>2543</v>
      </c>
      <c r="D97">
        <v>40983</v>
      </c>
      <c r="E97" t="s">
        <v>2544</v>
      </c>
      <c r="F97">
        <v>2000</v>
      </c>
      <c r="G97" t="s">
        <v>652</v>
      </c>
      <c r="H97" s="1373" t="s">
        <v>2531</v>
      </c>
      <c r="I97" t="s">
        <v>1185</v>
      </c>
      <c r="J97">
        <v>2001</v>
      </c>
      <c r="K97" t="s">
        <v>203</v>
      </c>
      <c r="L97" s="1373">
        <v>2100</v>
      </c>
      <c r="M97" t="s">
        <v>618</v>
      </c>
      <c r="N97">
        <v>2106</v>
      </c>
      <c r="O97" t="s">
        <v>1499</v>
      </c>
      <c r="P97" t="s">
        <v>2366</v>
      </c>
      <c r="Q97" t="s">
        <v>2364</v>
      </c>
      <c r="R97" t="s">
        <v>2364</v>
      </c>
      <c r="S97" t="s">
        <v>1881</v>
      </c>
      <c r="T97" t="s">
        <v>1812</v>
      </c>
      <c r="U97" t="s">
        <v>2365</v>
      </c>
      <c r="V97" t="s">
        <v>2365</v>
      </c>
      <c r="W97" t="s">
        <v>2365</v>
      </c>
      <c r="X97" t="s">
        <v>2365</v>
      </c>
      <c r="Y97" t="s">
        <v>2365</v>
      </c>
      <c r="Z97" t="s">
        <v>2365</v>
      </c>
      <c r="AA97" t="s">
        <v>2365</v>
      </c>
      <c r="AB97" t="s">
        <v>2365</v>
      </c>
      <c r="AC97" s="813" t="s">
        <v>2365</v>
      </c>
      <c r="AD97" s="813" t="s">
        <v>2365</v>
      </c>
      <c r="AE97" s="813" t="s">
        <v>2365</v>
      </c>
      <c r="AF97" t="s">
        <v>2365</v>
      </c>
      <c r="AG97" t="s">
        <v>2365</v>
      </c>
      <c r="AH97" t="s">
        <v>2365</v>
      </c>
      <c r="AI97" t="s">
        <v>2365</v>
      </c>
      <c r="AJ97" t="s">
        <v>2365</v>
      </c>
      <c r="AK97" t="s">
        <v>2365</v>
      </c>
      <c r="AL97" t="s">
        <v>2365</v>
      </c>
      <c r="AM97" t="s">
        <v>2365</v>
      </c>
      <c r="AN97" t="s">
        <v>2365</v>
      </c>
      <c r="AR97" t="s">
        <v>2365</v>
      </c>
      <c r="AS97" t="s">
        <v>2365</v>
      </c>
      <c r="AT97" t="s">
        <v>2365</v>
      </c>
      <c r="AU97" t="s">
        <v>2365</v>
      </c>
      <c r="AV97" t="s">
        <v>2365</v>
      </c>
      <c r="AW97" t="s">
        <v>2365</v>
      </c>
      <c r="AX97" t="s">
        <v>2365</v>
      </c>
      <c r="AY97" t="s">
        <v>2365</v>
      </c>
      <c r="AZ97" t="s">
        <v>2365</v>
      </c>
      <c r="BA97" t="s">
        <v>2365</v>
      </c>
      <c r="BB97" t="s">
        <v>2365</v>
      </c>
      <c r="BC97" t="s">
        <v>2365</v>
      </c>
      <c r="BD97" t="s">
        <v>2366</v>
      </c>
      <c r="BE97" t="s">
        <v>2365</v>
      </c>
      <c r="BF97" t="s">
        <v>2365</v>
      </c>
      <c r="BG97" t="s">
        <v>2365</v>
      </c>
      <c r="BH97" t="s">
        <v>2365</v>
      </c>
      <c r="BI97" t="s">
        <v>2366</v>
      </c>
      <c r="BJ97" t="s">
        <v>2365</v>
      </c>
      <c r="BK97" t="s">
        <v>2365</v>
      </c>
      <c r="BL97" t="s">
        <v>2365</v>
      </c>
      <c r="BM97" t="s">
        <v>2365</v>
      </c>
      <c r="BN97" t="s">
        <v>2177</v>
      </c>
      <c r="BO97">
        <v>5</v>
      </c>
      <c r="BP97">
        <v>53</v>
      </c>
      <c r="BQ97" t="s">
        <v>2438</v>
      </c>
      <c r="BR97" t="s">
        <v>1499</v>
      </c>
      <c r="BU97" s="1371">
        <v>0</v>
      </c>
      <c r="BV97" s="1371">
        <v>0</v>
      </c>
      <c r="BW97" s="1371">
        <v>0</v>
      </c>
      <c r="BX97" s="1371">
        <v>0</v>
      </c>
      <c r="BY97" s="1371">
        <v>0</v>
      </c>
      <c r="BZ97">
        <v>0</v>
      </c>
      <c r="CA97">
        <v>0</v>
      </c>
      <c r="CB97">
        <v>0</v>
      </c>
      <c r="CC97">
        <v>0</v>
      </c>
      <c r="CD97">
        <v>0</v>
      </c>
      <c r="CE97">
        <v>0</v>
      </c>
      <c r="CF97">
        <v>0</v>
      </c>
      <c r="CG97">
        <v>24698.880000000001</v>
      </c>
      <c r="CH97">
        <v>0</v>
      </c>
      <c r="CI97">
        <v>0</v>
      </c>
      <c r="CJ97">
        <v>0</v>
      </c>
      <c r="CK97">
        <v>0</v>
      </c>
      <c r="CL97">
        <v>0</v>
      </c>
      <c r="CM97">
        <v>0</v>
      </c>
      <c r="CR97" t="s">
        <v>2323</v>
      </c>
      <c r="CS97" s="1369" t="str">
        <f>INDEX([8]Sheet1!$H:$H,MATCH(CR:CR,[8]Sheet1!$AU:$AU,0))</f>
        <v>Information Technology</v>
      </c>
    </row>
    <row r="98" spans="1:97" x14ac:dyDescent="0.2">
      <c r="A98" t="s">
        <v>2545</v>
      </c>
      <c r="B98">
        <v>150</v>
      </c>
      <c r="C98" t="s">
        <v>2545</v>
      </c>
      <c r="D98">
        <v>40984</v>
      </c>
      <c r="E98" t="s">
        <v>2546</v>
      </c>
      <c r="F98">
        <v>2000</v>
      </c>
      <c r="G98" t="s">
        <v>652</v>
      </c>
      <c r="H98" t="s">
        <v>2547</v>
      </c>
      <c r="I98" t="s">
        <v>200</v>
      </c>
      <c r="J98">
        <v>2005</v>
      </c>
      <c r="K98" t="s">
        <v>200</v>
      </c>
      <c r="L98">
        <v>2100</v>
      </c>
      <c r="M98" t="s">
        <v>618</v>
      </c>
      <c r="N98">
        <v>2106</v>
      </c>
      <c r="O98" t="s">
        <v>1499</v>
      </c>
      <c r="P98" t="s">
        <v>2366</v>
      </c>
      <c r="Q98" t="s">
        <v>2364</v>
      </c>
      <c r="R98" t="s">
        <v>2364</v>
      </c>
      <c r="S98" t="s">
        <v>1881</v>
      </c>
      <c r="T98" t="s">
        <v>1812</v>
      </c>
      <c r="U98" t="s">
        <v>2365</v>
      </c>
      <c r="V98" t="s">
        <v>2365</v>
      </c>
      <c r="W98" t="s">
        <v>2365</v>
      </c>
      <c r="X98" t="s">
        <v>2365</v>
      </c>
      <c r="Y98" t="s">
        <v>2365</v>
      </c>
      <c r="Z98" t="s">
        <v>2365</v>
      </c>
      <c r="AA98" t="s">
        <v>2365</v>
      </c>
      <c r="AB98" t="s">
        <v>2365</v>
      </c>
      <c r="AC98" s="813" t="s">
        <v>2365</v>
      </c>
      <c r="AD98" s="813" t="s">
        <v>2365</v>
      </c>
      <c r="AE98" s="813" t="s">
        <v>2365</v>
      </c>
      <c r="AF98" t="s">
        <v>2365</v>
      </c>
      <c r="AG98" t="s">
        <v>2365</v>
      </c>
      <c r="AH98" t="s">
        <v>2365</v>
      </c>
      <c r="AI98" t="s">
        <v>2365</v>
      </c>
      <c r="AJ98" t="s">
        <v>2365</v>
      </c>
      <c r="AK98" t="s">
        <v>2365</v>
      </c>
      <c r="AL98" t="s">
        <v>2365</v>
      </c>
      <c r="AM98" t="s">
        <v>2365</v>
      </c>
      <c r="AN98" t="s">
        <v>2365</v>
      </c>
      <c r="AR98" t="s">
        <v>2365</v>
      </c>
      <c r="AS98" t="s">
        <v>2365</v>
      </c>
      <c r="AT98" t="s">
        <v>2365</v>
      </c>
      <c r="AU98" t="s">
        <v>2365</v>
      </c>
      <c r="AV98" t="s">
        <v>2365</v>
      </c>
      <c r="AW98" t="s">
        <v>2365</v>
      </c>
      <c r="AX98" t="s">
        <v>2365</v>
      </c>
      <c r="AY98" t="s">
        <v>2365</v>
      </c>
      <c r="AZ98" t="s">
        <v>2365</v>
      </c>
      <c r="BA98" t="s">
        <v>2365</v>
      </c>
      <c r="BB98" t="s">
        <v>2365</v>
      </c>
      <c r="BC98" t="s">
        <v>2365</v>
      </c>
      <c r="BD98" t="s">
        <v>2366</v>
      </c>
      <c r="BE98" t="s">
        <v>2365</v>
      </c>
      <c r="BF98" t="s">
        <v>2365</v>
      </c>
      <c r="BG98" t="s">
        <v>2365</v>
      </c>
      <c r="BH98" t="s">
        <v>2365</v>
      </c>
      <c r="BI98" t="s">
        <v>2366</v>
      </c>
      <c r="BJ98" t="s">
        <v>2365</v>
      </c>
      <c r="BK98" t="s">
        <v>2365</v>
      </c>
      <c r="BL98" t="s">
        <v>2365</v>
      </c>
      <c r="BM98" t="s">
        <v>2365</v>
      </c>
      <c r="BN98" t="s">
        <v>2177</v>
      </c>
      <c r="BO98">
        <v>5</v>
      </c>
      <c r="BP98">
        <v>53</v>
      </c>
      <c r="BQ98" t="s">
        <v>2438</v>
      </c>
      <c r="BR98" t="s">
        <v>1499</v>
      </c>
      <c r="BU98">
        <v>447745</v>
      </c>
      <c r="BV98">
        <v>0</v>
      </c>
      <c r="BW98">
        <v>447745</v>
      </c>
      <c r="BX98">
        <v>0</v>
      </c>
      <c r="BY98">
        <v>447745</v>
      </c>
      <c r="BZ98">
        <v>465655</v>
      </c>
      <c r="CA98">
        <v>484281</v>
      </c>
      <c r="CB98">
        <v>0</v>
      </c>
      <c r="CC98">
        <v>70331.399999999994</v>
      </c>
      <c r="CD98">
        <v>0</v>
      </c>
      <c r="CE98">
        <v>0</v>
      </c>
      <c r="CF98">
        <v>0</v>
      </c>
      <c r="CG98">
        <v>560929.46000000008</v>
      </c>
      <c r="CH98">
        <v>0</v>
      </c>
      <c r="CI98">
        <v>0</v>
      </c>
      <c r="CJ98">
        <v>0</v>
      </c>
      <c r="CK98">
        <v>0</v>
      </c>
      <c r="CL98">
        <v>0</v>
      </c>
      <c r="CM98">
        <v>0</v>
      </c>
      <c r="CR98" t="s">
        <v>2323</v>
      </c>
      <c r="CS98" s="1369" t="str">
        <f>INDEX([8]Sheet1!$H:$H,MATCH(CR:CR,[8]Sheet1!$AU:$AU,0))</f>
        <v>Information Technology</v>
      </c>
    </row>
    <row r="99" spans="1:97" x14ac:dyDescent="0.2">
      <c r="A99" t="s">
        <v>2548</v>
      </c>
      <c r="B99">
        <v>151</v>
      </c>
      <c r="C99" t="s">
        <v>2548</v>
      </c>
      <c r="D99">
        <v>40985</v>
      </c>
      <c r="E99" t="s">
        <v>2549</v>
      </c>
      <c r="F99">
        <v>2000</v>
      </c>
      <c r="G99" t="s">
        <v>652</v>
      </c>
      <c r="H99" t="s">
        <v>2550</v>
      </c>
      <c r="I99" t="s">
        <v>1159</v>
      </c>
      <c r="J99">
        <v>2010</v>
      </c>
      <c r="K99" t="s">
        <v>1159</v>
      </c>
      <c r="L99">
        <v>2100</v>
      </c>
      <c r="M99" t="s">
        <v>618</v>
      </c>
      <c r="N99">
        <v>2106</v>
      </c>
      <c r="O99" t="s">
        <v>1499</v>
      </c>
      <c r="P99" t="s">
        <v>2366</v>
      </c>
      <c r="Q99" t="s">
        <v>2364</v>
      </c>
      <c r="R99" t="s">
        <v>2364</v>
      </c>
      <c r="S99" t="s">
        <v>1881</v>
      </c>
      <c r="T99" t="s">
        <v>1812</v>
      </c>
      <c r="U99" t="s">
        <v>2365</v>
      </c>
      <c r="V99" t="s">
        <v>2365</v>
      </c>
      <c r="W99" t="s">
        <v>2365</v>
      </c>
      <c r="X99" t="s">
        <v>2365</v>
      </c>
      <c r="Y99" t="s">
        <v>2365</v>
      </c>
      <c r="Z99" t="s">
        <v>2365</v>
      </c>
      <c r="AA99" t="s">
        <v>2365</v>
      </c>
      <c r="AB99" t="s">
        <v>2365</v>
      </c>
      <c r="AC99" s="813" t="s">
        <v>2365</v>
      </c>
      <c r="AD99" s="813" t="s">
        <v>2365</v>
      </c>
      <c r="AE99" s="813" t="s">
        <v>2365</v>
      </c>
      <c r="AF99" t="s">
        <v>2365</v>
      </c>
      <c r="AG99" t="s">
        <v>2365</v>
      </c>
      <c r="AH99" t="s">
        <v>2365</v>
      </c>
      <c r="AI99" t="s">
        <v>2365</v>
      </c>
      <c r="AJ99" t="s">
        <v>2365</v>
      </c>
      <c r="AK99" t="s">
        <v>2365</v>
      </c>
      <c r="AL99" t="s">
        <v>2365</v>
      </c>
      <c r="AM99" t="s">
        <v>2365</v>
      </c>
      <c r="AN99" t="s">
        <v>2365</v>
      </c>
      <c r="AR99" t="s">
        <v>2365</v>
      </c>
      <c r="AS99" t="s">
        <v>2365</v>
      </c>
      <c r="AT99" t="s">
        <v>2365</v>
      </c>
      <c r="AU99" t="s">
        <v>2365</v>
      </c>
      <c r="AV99" t="s">
        <v>2365</v>
      </c>
      <c r="AW99" t="s">
        <v>2365</v>
      </c>
      <c r="AX99" t="s">
        <v>2365</v>
      </c>
      <c r="AY99" t="s">
        <v>2365</v>
      </c>
      <c r="AZ99" t="s">
        <v>2365</v>
      </c>
      <c r="BA99" t="s">
        <v>2365</v>
      </c>
      <c r="BB99" t="s">
        <v>2365</v>
      </c>
      <c r="BC99" t="s">
        <v>2365</v>
      </c>
      <c r="BD99" t="s">
        <v>2366</v>
      </c>
      <c r="BE99" t="s">
        <v>2365</v>
      </c>
      <c r="BF99" t="s">
        <v>2365</v>
      </c>
      <c r="BG99" t="s">
        <v>2365</v>
      </c>
      <c r="BH99" t="s">
        <v>2365</v>
      </c>
      <c r="BI99" t="s">
        <v>2366</v>
      </c>
      <c r="BJ99" t="s">
        <v>2365</v>
      </c>
      <c r="BK99" t="s">
        <v>2365</v>
      </c>
      <c r="BL99" t="s">
        <v>2365</v>
      </c>
      <c r="BM99" t="s">
        <v>2365</v>
      </c>
      <c r="BN99" t="s">
        <v>2177</v>
      </c>
      <c r="BO99">
        <v>5</v>
      </c>
      <c r="BP99">
        <v>53</v>
      </c>
      <c r="BQ99" t="s">
        <v>2438</v>
      </c>
      <c r="BR99" t="s">
        <v>1499</v>
      </c>
      <c r="BU99">
        <v>324503</v>
      </c>
      <c r="BV99">
        <v>0</v>
      </c>
      <c r="BW99">
        <v>324503</v>
      </c>
      <c r="BX99">
        <v>0</v>
      </c>
      <c r="BY99">
        <v>324503</v>
      </c>
      <c r="BZ99">
        <v>337484</v>
      </c>
      <c r="CA99">
        <v>350983</v>
      </c>
      <c r="CB99">
        <v>0</v>
      </c>
      <c r="CC99">
        <v>0</v>
      </c>
      <c r="CD99">
        <v>0</v>
      </c>
      <c r="CE99">
        <v>0</v>
      </c>
      <c r="CF99">
        <v>0</v>
      </c>
      <c r="CG99">
        <v>0</v>
      </c>
      <c r="CH99">
        <v>0</v>
      </c>
      <c r="CI99">
        <v>0</v>
      </c>
      <c r="CJ99">
        <v>0</v>
      </c>
      <c r="CK99">
        <v>0</v>
      </c>
      <c r="CL99">
        <v>0</v>
      </c>
      <c r="CM99">
        <v>0</v>
      </c>
      <c r="CR99" t="s">
        <v>2323</v>
      </c>
      <c r="CS99" s="1369" t="str">
        <f>INDEX([8]Sheet1!$H:$H,MATCH(CR:CR,[8]Sheet1!$AU:$AU,0))</f>
        <v>Information Technology</v>
      </c>
    </row>
    <row r="100" spans="1:97" x14ac:dyDescent="0.2">
      <c r="A100" t="s">
        <v>2551</v>
      </c>
      <c r="B100">
        <v>152</v>
      </c>
      <c r="C100" t="s">
        <v>2551</v>
      </c>
      <c r="D100">
        <v>40986</v>
      </c>
      <c r="E100" t="s">
        <v>2552</v>
      </c>
      <c r="F100">
        <v>2000</v>
      </c>
      <c r="G100" t="s">
        <v>652</v>
      </c>
      <c r="H100" t="s">
        <v>2553</v>
      </c>
      <c r="I100" t="s">
        <v>1378</v>
      </c>
      <c r="J100">
        <v>2008</v>
      </c>
      <c r="K100" t="s">
        <v>1378</v>
      </c>
      <c r="L100">
        <v>2100</v>
      </c>
      <c r="M100" t="s">
        <v>618</v>
      </c>
      <c r="N100">
        <v>2106</v>
      </c>
      <c r="O100" t="s">
        <v>1499</v>
      </c>
      <c r="P100" t="s">
        <v>2366</v>
      </c>
      <c r="Q100" t="s">
        <v>2364</v>
      </c>
      <c r="R100" t="s">
        <v>2364</v>
      </c>
      <c r="S100" t="s">
        <v>1881</v>
      </c>
      <c r="T100" t="s">
        <v>1812</v>
      </c>
      <c r="U100" t="s">
        <v>2365</v>
      </c>
      <c r="V100" t="s">
        <v>2365</v>
      </c>
      <c r="W100" t="s">
        <v>2365</v>
      </c>
      <c r="X100" t="s">
        <v>2365</v>
      </c>
      <c r="Y100" t="s">
        <v>2365</v>
      </c>
      <c r="Z100" t="s">
        <v>2365</v>
      </c>
      <c r="AA100" t="s">
        <v>2365</v>
      </c>
      <c r="AB100" t="s">
        <v>2365</v>
      </c>
      <c r="AC100" s="813" t="s">
        <v>2365</v>
      </c>
      <c r="AD100" s="813" t="s">
        <v>2365</v>
      </c>
      <c r="AE100" s="813" t="s">
        <v>2365</v>
      </c>
      <c r="AF100" t="s">
        <v>2365</v>
      </c>
      <c r="AG100" t="s">
        <v>2365</v>
      </c>
      <c r="AH100" t="s">
        <v>2365</v>
      </c>
      <c r="AI100" t="s">
        <v>2365</v>
      </c>
      <c r="AJ100" t="s">
        <v>2365</v>
      </c>
      <c r="AK100" t="s">
        <v>2365</v>
      </c>
      <c r="AL100" t="s">
        <v>2365</v>
      </c>
      <c r="AM100" t="s">
        <v>2365</v>
      </c>
      <c r="AN100" t="s">
        <v>2365</v>
      </c>
      <c r="AR100" t="s">
        <v>2365</v>
      </c>
      <c r="AS100" t="s">
        <v>2365</v>
      </c>
      <c r="AT100" t="s">
        <v>2365</v>
      </c>
      <c r="AU100" t="s">
        <v>2365</v>
      </c>
      <c r="AV100" t="s">
        <v>2365</v>
      </c>
      <c r="AW100" t="s">
        <v>2365</v>
      </c>
      <c r="AX100" t="s">
        <v>2365</v>
      </c>
      <c r="AY100" t="s">
        <v>2365</v>
      </c>
      <c r="AZ100" t="s">
        <v>2365</v>
      </c>
      <c r="BA100" t="s">
        <v>2365</v>
      </c>
      <c r="BB100" t="s">
        <v>2365</v>
      </c>
      <c r="BC100" t="s">
        <v>2365</v>
      </c>
      <c r="BD100" t="s">
        <v>2366</v>
      </c>
      <c r="BE100" t="s">
        <v>2365</v>
      </c>
      <c r="BF100" t="s">
        <v>2365</v>
      </c>
      <c r="BG100" t="s">
        <v>2365</v>
      </c>
      <c r="BH100" t="s">
        <v>2365</v>
      </c>
      <c r="BI100" t="s">
        <v>2366</v>
      </c>
      <c r="BJ100" t="s">
        <v>2365</v>
      </c>
      <c r="BK100" t="s">
        <v>2365</v>
      </c>
      <c r="BL100" t="s">
        <v>2365</v>
      </c>
      <c r="BM100" t="s">
        <v>2365</v>
      </c>
      <c r="BN100" t="s">
        <v>2177</v>
      </c>
      <c r="BO100">
        <v>5</v>
      </c>
      <c r="BP100">
        <v>53</v>
      </c>
      <c r="BQ100" t="s">
        <v>2438</v>
      </c>
      <c r="BR100" t="s">
        <v>1499</v>
      </c>
      <c r="BU100">
        <v>118800</v>
      </c>
      <c r="BV100">
        <v>0</v>
      </c>
      <c r="BW100">
        <v>118800</v>
      </c>
      <c r="BX100">
        <v>0</v>
      </c>
      <c r="BY100">
        <v>118800</v>
      </c>
      <c r="BZ100">
        <v>123552</v>
      </c>
      <c r="CA100">
        <v>128494</v>
      </c>
      <c r="CB100">
        <v>0</v>
      </c>
      <c r="CC100">
        <v>2893.53</v>
      </c>
      <c r="CD100">
        <v>1929.02</v>
      </c>
      <c r="CE100">
        <v>10025.33</v>
      </c>
      <c r="CF100">
        <v>2893.53</v>
      </c>
      <c r="CG100">
        <v>2893.53</v>
      </c>
      <c r="CH100">
        <v>2893.53</v>
      </c>
      <c r="CI100">
        <v>0</v>
      </c>
      <c r="CJ100">
        <v>0</v>
      </c>
      <c r="CK100">
        <v>0</v>
      </c>
      <c r="CL100">
        <v>0</v>
      </c>
      <c r="CM100">
        <v>0</v>
      </c>
      <c r="CR100" t="s">
        <v>2324</v>
      </c>
      <c r="CS100" s="1369" t="str">
        <f>INDEX([8]Sheet1!$H:$H,MATCH(CR:CR,[8]Sheet1!$AU:$AU,0))</f>
        <v>Finance</v>
      </c>
    </row>
    <row r="101" spans="1:97" x14ac:dyDescent="0.2">
      <c r="A101" t="s">
        <v>2554</v>
      </c>
      <c r="B101">
        <v>153</v>
      </c>
      <c r="C101" t="s">
        <v>2554</v>
      </c>
      <c r="D101">
        <v>40987</v>
      </c>
      <c r="E101" t="s">
        <v>2555</v>
      </c>
      <c r="F101">
        <v>2000</v>
      </c>
      <c r="G101" t="s">
        <v>652</v>
      </c>
      <c r="H101" t="s">
        <v>2556</v>
      </c>
      <c r="I101" t="s">
        <v>1377</v>
      </c>
      <c r="J101">
        <v>2007</v>
      </c>
      <c r="K101" t="s">
        <v>1377</v>
      </c>
      <c r="L101">
        <v>2100</v>
      </c>
      <c r="M101" t="s">
        <v>618</v>
      </c>
      <c r="N101">
        <v>2106</v>
      </c>
      <c r="O101" t="s">
        <v>1499</v>
      </c>
      <c r="P101" t="s">
        <v>2366</v>
      </c>
      <c r="Q101" t="s">
        <v>2364</v>
      </c>
      <c r="R101" t="s">
        <v>2364</v>
      </c>
      <c r="S101" t="s">
        <v>1881</v>
      </c>
      <c r="T101" t="s">
        <v>1812</v>
      </c>
      <c r="U101" t="s">
        <v>2365</v>
      </c>
      <c r="V101" t="s">
        <v>2365</v>
      </c>
      <c r="W101" t="s">
        <v>2365</v>
      </c>
      <c r="X101" t="s">
        <v>2365</v>
      </c>
      <c r="Y101" t="s">
        <v>2365</v>
      </c>
      <c r="Z101" t="s">
        <v>2365</v>
      </c>
      <c r="AA101" t="s">
        <v>2365</v>
      </c>
      <c r="AB101" t="s">
        <v>2365</v>
      </c>
      <c r="AC101" s="813" t="s">
        <v>2365</v>
      </c>
      <c r="AD101" s="813" t="s">
        <v>2365</v>
      </c>
      <c r="AE101" s="813" t="s">
        <v>2365</v>
      </c>
      <c r="AF101" t="s">
        <v>2365</v>
      </c>
      <c r="AG101" t="s">
        <v>2365</v>
      </c>
      <c r="AH101" t="s">
        <v>2365</v>
      </c>
      <c r="AI101" t="s">
        <v>2365</v>
      </c>
      <c r="AJ101" t="s">
        <v>2365</v>
      </c>
      <c r="AK101" t="s">
        <v>2365</v>
      </c>
      <c r="AL101" t="s">
        <v>2365</v>
      </c>
      <c r="AM101" t="s">
        <v>2365</v>
      </c>
      <c r="AN101" t="s">
        <v>2365</v>
      </c>
      <c r="AR101" t="s">
        <v>2365</v>
      </c>
      <c r="AS101" t="s">
        <v>2365</v>
      </c>
      <c r="AT101" t="s">
        <v>2365</v>
      </c>
      <c r="AU101" t="s">
        <v>2365</v>
      </c>
      <c r="AV101" t="s">
        <v>2365</v>
      </c>
      <c r="AW101" t="s">
        <v>2365</v>
      </c>
      <c r="AX101" t="s">
        <v>2365</v>
      </c>
      <c r="AY101" t="s">
        <v>2365</v>
      </c>
      <c r="AZ101" t="s">
        <v>2365</v>
      </c>
      <c r="BA101" t="s">
        <v>2365</v>
      </c>
      <c r="BB101" t="s">
        <v>2365</v>
      </c>
      <c r="BC101" t="s">
        <v>2365</v>
      </c>
      <c r="BD101" t="s">
        <v>2366</v>
      </c>
      <c r="BE101" t="s">
        <v>2365</v>
      </c>
      <c r="BF101" t="s">
        <v>2365</v>
      </c>
      <c r="BG101" t="s">
        <v>2365</v>
      </c>
      <c r="BH101" t="s">
        <v>2365</v>
      </c>
      <c r="BI101" t="s">
        <v>2366</v>
      </c>
      <c r="BJ101" t="s">
        <v>2365</v>
      </c>
      <c r="BK101" t="s">
        <v>2365</v>
      </c>
      <c r="BL101" t="s">
        <v>2365</v>
      </c>
      <c r="BM101" t="s">
        <v>2365</v>
      </c>
      <c r="BN101" t="s">
        <v>2177</v>
      </c>
      <c r="BO101">
        <v>5</v>
      </c>
      <c r="BP101">
        <v>53</v>
      </c>
      <c r="BQ101" t="s">
        <v>2438</v>
      </c>
      <c r="BR101" t="s">
        <v>1499</v>
      </c>
      <c r="BU101">
        <v>12000</v>
      </c>
      <c r="BV101">
        <v>0</v>
      </c>
      <c r="BW101">
        <v>12000</v>
      </c>
      <c r="BX101">
        <v>0</v>
      </c>
      <c r="BY101">
        <v>12000</v>
      </c>
      <c r="BZ101">
        <v>12480</v>
      </c>
      <c r="CA101">
        <v>12979</v>
      </c>
      <c r="CB101">
        <v>1840</v>
      </c>
      <c r="CC101">
        <v>3470</v>
      </c>
      <c r="CD101">
        <v>0</v>
      </c>
      <c r="CE101">
        <v>7131.8</v>
      </c>
      <c r="CF101">
        <v>7131.8</v>
      </c>
      <c r="CG101">
        <v>0</v>
      </c>
      <c r="CH101">
        <v>0</v>
      </c>
      <c r="CI101">
        <v>0</v>
      </c>
      <c r="CJ101">
        <v>0</v>
      </c>
      <c r="CK101">
        <v>0</v>
      </c>
      <c r="CL101">
        <v>0</v>
      </c>
      <c r="CM101">
        <v>0</v>
      </c>
      <c r="CR101" t="s">
        <v>2324</v>
      </c>
      <c r="CS101" s="1369" t="str">
        <f>INDEX([8]Sheet1!$H:$H,MATCH(CR:CR,[8]Sheet1!$AU:$AU,0))</f>
        <v>Finance</v>
      </c>
    </row>
    <row r="102" spans="1:97" x14ac:dyDescent="0.2">
      <c r="A102" t="s">
        <v>2557</v>
      </c>
      <c r="B102">
        <v>154</v>
      </c>
      <c r="C102" t="s">
        <v>2557</v>
      </c>
      <c r="D102">
        <v>40988</v>
      </c>
      <c r="E102" t="s">
        <v>2558</v>
      </c>
      <c r="F102">
        <v>2000</v>
      </c>
      <c r="G102" t="s">
        <v>652</v>
      </c>
      <c r="H102" t="s">
        <v>2559</v>
      </c>
      <c r="I102" t="s">
        <v>1376</v>
      </c>
      <c r="J102">
        <v>2006</v>
      </c>
      <c r="K102" t="s">
        <v>1376</v>
      </c>
      <c r="L102">
        <v>2100</v>
      </c>
      <c r="M102" t="s">
        <v>618</v>
      </c>
      <c r="N102">
        <v>2106</v>
      </c>
      <c r="O102" t="s">
        <v>1499</v>
      </c>
      <c r="P102" t="s">
        <v>2366</v>
      </c>
      <c r="Q102" t="s">
        <v>2364</v>
      </c>
      <c r="R102" t="s">
        <v>2364</v>
      </c>
      <c r="S102" t="s">
        <v>1881</v>
      </c>
      <c r="T102" t="s">
        <v>1812</v>
      </c>
      <c r="U102" t="s">
        <v>2365</v>
      </c>
      <c r="V102" t="s">
        <v>2365</v>
      </c>
      <c r="W102" t="s">
        <v>2365</v>
      </c>
      <c r="X102" t="s">
        <v>2365</v>
      </c>
      <c r="Y102" t="s">
        <v>2365</v>
      </c>
      <c r="Z102" t="s">
        <v>2365</v>
      </c>
      <c r="AA102" t="s">
        <v>2365</v>
      </c>
      <c r="AB102" t="s">
        <v>2365</v>
      </c>
      <c r="AC102" s="813" t="s">
        <v>2365</v>
      </c>
      <c r="AD102" s="813" t="s">
        <v>2365</v>
      </c>
      <c r="AE102" s="813" t="s">
        <v>2365</v>
      </c>
      <c r="AF102" t="s">
        <v>2365</v>
      </c>
      <c r="AG102" t="s">
        <v>2365</v>
      </c>
      <c r="AH102" t="s">
        <v>2365</v>
      </c>
      <c r="AI102" t="s">
        <v>2365</v>
      </c>
      <c r="AJ102" t="s">
        <v>2365</v>
      </c>
      <c r="AK102" t="s">
        <v>2365</v>
      </c>
      <c r="AL102" t="s">
        <v>2365</v>
      </c>
      <c r="AM102" t="s">
        <v>2365</v>
      </c>
      <c r="AN102" t="s">
        <v>2365</v>
      </c>
      <c r="AR102" t="s">
        <v>2365</v>
      </c>
      <c r="AS102" t="s">
        <v>2365</v>
      </c>
      <c r="AT102" t="s">
        <v>2365</v>
      </c>
      <c r="AU102" t="s">
        <v>2365</v>
      </c>
      <c r="AV102" t="s">
        <v>2365</v>
      </c>
      <c r="AW102" t="s">
        <v>2365</v>
      </c>
      <c r="AX102" t="s">
        <v>2365</v>
      </c>
      <c r="AY102" t="s">
        <v>2365</v>
      </c>
      <c r="AZ102" t="s">
        <v>2365</v>
      </c>
      <c r="BA102" t="s">
        <v>2365</v>
      </c>
      <c r="BB102" t="s">
        <v>2365</v>
      </c>
      <c r="BC102" t="s">
        <v>2365</v>
      </c>
      <c r="BD102" t="s">
        <v>2366</v>
      </c>
      <c r="BE102" t="s">
        <v>2365</v>
      </c>
      <c r="BF102" t="s">
        <v>2365</v>
      </c>
      <c r="BG102" t="s">
        <v>2365</v>
      </c>
      <c r="BH102" t="s">
        <v>2365</v>
      </c>
      <c r="BI102" t="s">
        <v>2366</v>
      </c>
      <c r="BJ102" t="s">
        <v>2365</v>
      </c>
      <c r="BK102" t="s">
        <v>2365</v>
      </c>
      <c r="BL102" t="s">
        <v>2365</v>
      </c>
      <c r="BM102" t="s">
        <v>2365</v>
      </c>
      <c r="BN102" t="s">
        <v>2177</v>
      </c>
      <c r="BO102">
        <v>5</v>
      </c>
      <c r="BP102">
        <v>53</v>
      </c>
      <c r="BQ102" t="s">
        <v>2438</v>
      </c>
      <c r="BR102" t="s">
        <v>1499</v>
      </c>
      <c r="BU102">
        <v>0</v>
      </c>
      <c r="BV102">
        <v>0</v>
      </c>
      <c r="BW102">
        <v>0</v>
      </c>
      <c r="BX102">
        <v>0</v>
      </c>
      <c r="BY102">
        <v>0</v>
      </c>
      <c r="BZ102">
        <v>0</v>
      </c>
      <c r="CA102">
        <v>0</v>
      </c>
      <c r="CB102">
        <v>0</v>
      </c>
      <c r="CC102">
        <v>13000</v>
      </c>
      <c r="CD102">
        <v>13610</v>
      </c>
      <c r="CE102">
        <v>13610</v>
      </c>
      <c r="CF102">
        <v>13610</v>
      </c>
      <c r="CG102">
        <v>13610</v>
      </c>
      <c r="CH102">
        <v>13610</v>
      </c>
      <c r="CI102">
        <v>0</v>
      </c>
      <c r="CJ102">
        <v>0</v>
      </c>
      <c r="CK102">
        <v>0</v>
      </c>
      <c r="CL102">
        <v>0</v>
      </c>
      <c r="CM102">
        <v>0</v>
      </c>
      <c r="CR102" t="s">
        <v>2324</v>
      </c>
      <c r="CS102" s="1369" t="str">
        <f>INDEX([8]Sheet1!$H:$H,MATCH(CR:CR,[8]Sheet1!$AU:$AU,0))</f>
        <v>Finance</v>
      </c>
    </row>
    <row r="103" spans="1:97" x14ac:dyDescent="0.2">
      <c r="A103" t="s">
        <v>2560</v>
      </c>
      <c r="B103">
        <v>155</v>
      </c>
      <c r="C103" t="s">
        <v>2560</v>
      </c>
      <c r="D103">
        <v>40989</v>
      </c>
      <c r="E103" t="s">
        <v>2461</v>
      </c>
      <c r="F103">
        <v>2000</v>
      </c>
      <c r="G103" t="s">
        <v>652</v>
      </c>
      <c r="H103" t="s">
        <v>2462</v>
      </c>
      <c r="I103" t="s">
        <v>203</v>
      </c>
      <c r="J103">
        <v>2001</v>
      </c>
      <c r="K103" t="s">
        <v>203</v>
      </c>
      <c r="L103">
        <v>2100</v>
      </c>
      <c r="M103" t="s">
        <v>618</v>
      </c>
      <c r="N103">
        <v>2106</v>
      </c>
      <c r="O103" t="s">
        <v>1499</v>
      </c>
      <c r="P103" t="s">
        <v>2366</v>
      </c>
      <c r="Q103" t="s">
        <v>2364</v>
      </c>
      <c r="R103" t="s">
        <v>2364</v>
      </c>
      <c r="S103" t="s">
        <v>1881</v>
      </c>
      <c r="T103" t="s">
        <v>1812</v>
      </c>
      <c r="U103" t="s">
        <v>2365</v>
      </c>
      <c r="V103" t="s">
        <v>2365</v>
      </c>
      <c r="W103" t="s">
        <v>2365</v>
      </c>
      <c r="X103" t="s">
        <v>2365</v>
      </c>
      <c r="Y103" t="s">
        <v>2365</v>
      </c>
      <c r="Z103" t="s">
        <v>2365</v>
      </c>
      <c r="AA103" t="s">
        <v>2365</v>
      </c>
      <c r="AB103" t="s">
        <v>2365</v>
      </c>
      <c r="AC103" s="813" t="s">
        <v>2365</v>
      </c>
      <c r="AD103" s="813" t="s">
        <v>2365</v>
      </c>
      <c r="AE103" s="813" t="s">
        <v>2365</v>
      </c>
      <c r="AF103" t="s">
        <v>2365</v>
      </c>
      <c r="AG103" t="s">
        <v>2365</v>
      </c>
      <c r="AH103" t="s">
        <v>2365</v>
      </c>
      <c r="AI103" t="s">
        <v>2365</v>
      </c>
      <c r="AJ103" t="s">
        <v>2365</v>
      </c>
      <c r="AK103" t="s">
        <v>2365</v>
      </c>
      <c r="AL103" t="s">
        <v>2365</v>
      </c>
      <c r="AM103" t="s">
        <v>2365</v>
      </c>
      <c r="AN103" t="s">
        <v>2365</v>
      </c>
      <c r="AR103" t="s">
        <v>2365</v>
      </c>
      <c r="AS103" t="s">
        <v>2365</v>
      </c>
      <c r="AT103" t="s">
        <v>2365</v>
      </c>
      <c r="AU103" t="s">
        <v>2365</v>
      </c>
      <c r="AV103" t="s">
        <v>2365</v>
      </c>
      <c r="AW103" t="s">
        <v>2365</v>
      </c>
      <c r="AX103" t="s">
        <v>2365</v>
      </c>
      <c r="AY103" t="s">
        <v>2365</v>
      </c>
      <c r="AZ103" t="s">
        <v>2365</v>
      </c>
      <c r="BA103" t="s">
        <v>2365</v>
      </c>
      <c r="BB103" t="s">
        <v>2365</v>
      </c>
      <c r="BC103" t="s">
        <v>2365</v>
      </c>
      <c r="BD103" t="s">
        <v>2366</v>
      </c>
      <c r="BE103" t="s">
        <v>2365</v>
      </c>
      <c r="BF103" t="s">
        <v>2365</v>
      </c>
      <c r="BG103" t="s">
        <v>2365</v>
      </c>
      <c r="BH103" t="s">
        <v>2365</v>
      </c>
      <c r="BI103" t="s">
        <v>2366</v>
      </c>
      <c r="BJ103" t="s">
        <v>2365</v>
      </c>
      <c r="BK103" t="s">
        <v>2365</v>
      </c>
      <c r="BL103" t="s">
        <v>2365</v>
      </c>
      <c r="BM103" t="s">
        <v>2365</v>
      </c>
      <c r="BN103" t="s">
        <v>2177</v>
      </c>
      <c r="BO103">
        <v>5</v>
      </c>
      <c r="BP103">
        <v>53</v>
      </c>
      <c r="BQ103" t="s">
        <v>2438</v>
      </c>
      <c r="BR103" t="s">
        <v>1499</v>
      </c>
      <c r="BU103">
        <v>4522059</v>
      </c>
      <c r="BV103">
        <v>0</v>
      </c>
      <c r="BW103">
        <v>4522059</v>
      </c>
      <c r="BX103">
        <v>0</v>
      </c>
      <c r="BY103">
        <v>4522059</v>
      </c>
      <c r="BZ103">
        <v>4702942</v>
      </c>
      <c r="CA103">
        <v>4891059</v>
      </c>
      <c r="CB103">
        <v>757446</v>
      </c>
      <c r="CC103">
        <v>642588.64</v>
      </c>
      <c r="CD103">
        <v>571862.91000000015</v>
      </c>
      <c r="CE103">
        <v>572776.47</v>
      </c>
      <c r="CF103">
        <v>602354.76</v>
      </c>
      <c r="CG103">
        <v>602354.76</v>
      </c>
      <c r="CH103">
        <v>657580.61</v>
      </c>
      <c r="CI103">
        <v>0</v>
      </c>
      <c r="CJ103">
        <v>0</v>
      </c>
      <c r="CK103">
        <v>0</v>
      </c>
      <c r="CL103">
        <v>0</v>
      </c>
      <c r="CM103">
        <v>0</v>
      </c>
      <c r="CR103" t="s">
        <v>2324</v>
      </c>
      <c r="CS103" s="1369" t="str">
        <f>INDEX([8]Sheet1!$H:$H,MATCH(CR:CR,[8]Sheet1!$AU:$AU,0))</f>
        <v>Finance</v>
      </c>
    </row>
    <row r="104" spans="1:97" x14ac:dyDescent="0.2">
      <c r="A104" t="s">
        <v>2561</v>
      </c>
      <c r="B104">
        <v>156</v>
      </c>
      <c r="C104" t="s">
        <v>2561</v>
      </c>
      <c r="D104">
        <v>40990</v>
      </c>
      <c r="E104" t="s">
        <v>2562</v>
      </c>
      <c r="F104">
        <v>2000</v>
      </c>
      <c r="G104" t="s">
        <v>652</v>
      </c>
      <c r="H104" t="s">
        <v>2563</v>
      </c>
      <c r="I104" t="s">
        <v>1160</v>
      </c>
      <c r="J104">
        <v>2012</v>
      </c>
      <c r="K104" t="s">
        <v>1160</v>
      </c>
      <c r="L104">
        <v>2100</v>
      </c>
      <c r="M104" t="s">
        <v>618</v>
      </c>
      <c r="N104">
        <v>2106</v>
      </c>
      <c r="O104" t="s">
        <v>1499</v>
      </c>
      <c r="P104" t="s">
        <v>2366</v>
      </c>
      <c r="Q104" t="s">
        <v>2364</v>
      </c>
      <c r="R104" t="s">
        <v>2364</v>
      </c>
      <c r="S104" t="s">
        <v>1881</v>
      </c>
      <c r="T104" t="s">
        <v>1812</v>
      </c>
      <c r="U104" t="s">
        <v>2365</v>
      </c>
      <c r="V104" t="s">
        <v>2365</v>
      </c>
      <c r="W104" t="s">
        <v>2365</v>
      </c>
      <c r="X104" t="s">
        <v>2365</v>
      </c>
      <c r="Y104" t="s">
        <v>2365</v>
      </c>
      <c r="Z104" t="s">
        <v>2365</v>
      </c>
      <c r="AA104" t="s">
        <v>2365</v>
      </c>
      <c r="AB104" t="s">
        <v>2365</v>
      </c>
      <c r="AC104" s="813" t="s">
        <v>2365</v>
      </c>
      <c r="AD104" s="813" t="s">
        <v>2365</v>
      </c>
      <c r="AE104" s="813" t="s">
        <v>2365</v>
      </c>
      <c r="AF104" t="s">
        <v>2365</v>
      </c>
      <c r="AG104" t="s">
        <v>2365</v>
      </c>
      <c r="AH104" t="s">
        <v>2365</v>
      </c>
      <c r="AI104" t="s">
        <v>2365</v>
      </c>
      <c r="AJ104" t="s">
        <v>2365</v>
      </c>
      <c r="AK104" t="s">
        <v>2365</v>
      </c>
      <c r="AL104" t="s">
        <v>2365</v>
      </c>
      <c r="AM104" t="s">
        <v>2365</v>
      </c>
      <c r="AN104" t="s">
        <v>2365</v>
      </c>
      <c r="AR104" t="s">
        <v>2365</v>
      </c>
      <c r="AS104" t="s">
        <v>2365</v>
      </c>
      <c r="AT104" t="s">
        <v>2365</v>
      </c>
      <c r="AU104" t="s">
        <v>2365</v>
      </c>
      <c r="AV104" t="s">
        <v>2365</v>
      </c>
      <c r="AW104" t="s">
        <v>2365</v>
      </c>
      <c r="AX104" t="s">
        <v>2365</v>
      </c>
      <c r="AY104" t="s">
        <v>2365</v>
      </c>
      <c r="AZ104" t="s">
        <v>2365</v>
      </c>
      <c r="BA104" t="s">
        <v>2365</v>
      </c>
      <c r="BB104" t="s">
        <v>2365</v>
      </c>
      <c r="BC104" t="s">
        <v>2365</v>
      </c>
      <c r="BD104" t="s">
        <v>2366</v>
      </c>
      <c r="BE104" t="s">
        <v>2365</v>
      </c>
      <c r="BF104" t="s">
        <v>2365</v>
      </c>
      <c r="BG104" t="s">
        <v>2365</v>
      </c>
      <c r="BH104" t="s">
        <v>2365</v>
      </c>
      <c r="BI104" t="s">
        <v>2366</v>
      </c>
      <c r="BJ104" t="s">
        <v>2365</v>
      </c>
      <c r="BK104" t="s">
        <v>2365</v>
      </c>
      <c r="BL104" t="s">
        <v>2365</v>
      </c>
      <c r="BM104" t="s">
        <v>2365</v>
      </c>
      <c r="BN104" t="s">
        <v>2177</v>
      </c>
      <c r="BO104">
        <v>5</v>
      </c>
      <c r="BP104">
        <v>53</v>
      </c>
      <c r="BQ104" t="s">
        <v>2438</v>
      </c>
      <c r="BR104" t="s">
        <v>1499</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R104" t="s">
        <v>2324</v>
      </c>
      <c r="CS104" s="1369" t="str">
        <f>INDEX([8]Sheet1!$H:$H,MATCH(CR:CR,[8]Sheet1!$AU:$AU,0))</f>
        <v>Finance</v>
      </c>
    </row>
    <row r="105" spans="1:97" x14ac:dyDescent="0.2">
      <c r="A105" t="s">
        <v>2564</v>
      </c>
      <c r="B105">
        <v>157</v>
      </c>
      <c r="C105" t="s">
        <v>2564</v>
      </c>
      <c r="D105">
        <v>41503</v>
      </c>
      <c r="E105" t="s">
        <v>2565</v>
      </c>
      <c r="F105">
        <v>2000</v>
      </c>
      <c r="G105" t="s">
        <v>652</v>
      </c>
      <c r="H105" t="s">
        <v>2531</v>
      </c>
      <c r="I105" t="s">
        <v>1185</v>
      </c>
      <c r="J105">
        <v>2001</v>
      </c>
      <c r="K105" t="s">
        <v>203</v>
      </c>
      <c r="L105">
        <v>2100</v>
      </c>
      <c r="M105" t="s">
        <v>618</v>
      </c>
      <c r="N105">
        <v>2106</v>
      </c>
      <c r="O105" t="s">
        <v>1499</v>
      </c>
      <c r="P105" t="s">
        <v>2366</v>
      </c>
      <c r="Q105" t="s">
        <v>2364</v>
      </c>
      <c r="R105" t="s">
        <v>2364</v>
      </c>
      <c r="S105" t="s">
        <v>1881</v>
      </c>
      <c r="T105" t="s">
        <v>1812</v>
      </c>
      <c r="U105" t="s">
        <v>2365</v>
      </c>
      <c r="V105" t="s">
        <v>2365</v>
      </c>
      <c r="W105" t="s">
        <v>2365</v>
      </c>
      <c r="X105" t="s">
        <v>2365</v>
      </c>
      <c r="Y105" t="s">
        <v>2365</v>
      </c>
      <c r="Z105" t="s">
        <v>2365</v>
      </c>
      <c r="AA105" t="s">
        <v>2365</v>
      </c>
      <c r="AB105" t="s">
        <v>2365</v>
      </c>
      <c r="AC105" s="813" t="s">
        <v>2365</v>
      </c>
      <c r="AD105" s="813" t="s">
        <v>2365</v>
      </c>
      <c r="AE105" s="813" t="s">
        <v>2365</v>
      </c>
      <c r="AF105" t="s">
        <v>2365</v>
      </c>
      <c r="AG105" t="s">
        <v>2365</v>
      </c>
      <c r="AH105" t="s">
        <v>2365</v>
      </c>
      <c r="AI105" t="s">
        <v>2365</v>
      </c>
      <c r="AJ105" t="s">
        <v>2365</v>
      </c>
      <c r="AK105" t="s">
        <v>2365</v>
      </c>
      <c r="AL105" t="s">
        <v>2365</v>
      </c>
      <c r="AM105" t="s">
        <v>2365</v>
      </c>
      <c r="AN105" t="s">
        <v>2365</v>
      </c>
      <c r="AR105" t="s">
        <v>2365</v>
      </c>
      <c r="AS105" t="s">
        <v>2365</v>
      </c>
      <c r="AT105" t="s">
        <v>2365</v>
      </c>
      <c r="AU105" t="s">
        <v>2365</v>
      </c>
      <c r="AV105" t="s">
        <v>2365</v>
      </c>
      <c r="AW105" t="s">
        <v>2365</v>
      </c>
      <c r="AX105" t="s">
        <v>2365</v>
      </c>
      <c r="AY105" t="s">
        <v>2365</v>
      </c>
      <c r="AZ105" t="s">
        <v>2365</v>
      </c>
      <c r="BA105" t="s">
        <v>2365</v>
      </c>
      <c r="BB105" t="s">
        <v>2365</v>
      </c>
      <c r="BC105" t="s">
        <v>2365</v>
      </c>
      <c r="BD105" t="s">
        <v>2366</v>
      </c>
      <c r="BE105" t="s">
        <v>2365</v>
      </c>
      <c r="BF105" t="s">
        <v>2365</v>
      </c>
      <c r="BG105" t="s">
        <v>2365</v>
      </c>
      <c r="BH105" t="s">
        <v>2365</v>
      </c>
      <c r="BI105" t="s">
        <v>2366</v>
      </c>
      <c r="BJ105" t="s">
        <v>2365</v>
      </c>
      <c r="BK105" t="s">
        <v>2365</v>
      </c>
      <c r="BL105" t="s">
        <v>2365</v>
      </c>
      <c r="BM105" t="s">
        <v>2365</v>
      </c>
      <c r="BN105" t="s">
        <v>2176</v>
      </c>
      <c r="BO105">
        <v>5</v>
      </c>
      <c r="BP105">
        <v>53</v>
      </c>
      <c r="BQ105" t="s">
        <v>2438</v>
      </c>
      <c r="BR105" t="s">
        <v>1499</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R105" t="s">
        <v>2324</v>
      </c>
      <c r="CS105" s="1369" t="str">
        <f>INDEX([8]Sheet1!$H:$H,MATCH(CR:CR,[8]Sheet1!$AU:$AU,0))</f>
        <v>Finance</v>
      </c>
    </row>
    <row r="106" spans="1:97" x14ac:dyDescent="0.2">
      <c r="A106" t="s">
        <v>2566</v>
      </c>
      <c r="B106">
        <v>158</v>
      </c>
      <c r="C106" t="s">
        <v>2566</v>
      </c>
      <c r="D106">
        <v>41504</v>
      </c>
      <c r="E106" t="s">
        <v>2567</v>
      </c>
      <c r="F106">
        <v>2000</v>
      </c>
      <c r="G106" t="s">
        <v>652</v>
      </c>
      <c r="H106" t="s">
        <v>2550</v>
      </c>
      <c r="I106" t="s">
        <v>1159</v>
      </c>
      <c r="J106">
        <v>2010</v>
      </c>
      <c r="K106" t="s">
        <v>1159</v>
      </c>
      <c r="L106">
        <v>2100</v>
      </c>
      <c r="M106" t="s">
        <v>618</v>
      </c>
      <c r="N106">
        <v>2106</v>
      </c>
      <c r="O106" t="s">
        <v>1499</v>
      </c>
      <c r="P106" t="s">
        <v>2366</v>
      </c>
      <c r="Q106" t="s">
        <v>2364</v>
      </c>
      <c r="R106" t="s">
        <v>2364</v>
      </c>
      <c r="S106" t="s">
        <v>1881</v>
      </c>
      <c r="T106" t="s">
        <v>1812</v>
      </c>
      <c r="U106" t="s">
        <v>2365</v>
      </c>
      <c r="V106" t="s">
        <v>2365</v>
      </c>
      <c r="W106" t="s">
        <v>2365</v>
      </c>
      <c r="X106" t="s">
        <v>2365</v>
      </c>
      <c r="Y106" t="s">
        <v>2365</v>
      </c>
      <c r="Z106" t="s">
        <v>2365</v>
      </c>
      <c r="AA106" t="s">
        <v>2365</v>
      </c>
      <c r="AB106" t="s">
        <v>2365</v>
      </c>
      <c r="AC106" s="813" t="s">
        <v>2365</v>
      </c>
      <c r="AD106" s="813" t="s">
        <v>2365</v>
      </c>
      <c r="AE106" s="813" t="s">
        <v>2365</v>
      </c>
      <c r="AF106" t="s">
        <v>2365</v>
      </c>
      <c r="AG106" t="s">
        <v>2365</v>
      </c>
      <c r="AH106" t="s">
        <v>2365</v>
      </c>
      <c r="AI106" t="s">
        <v>2365</v>
      </c>
      <c r="AJ106" t="s">
        <v>2365</v>
      </c>
      <c r="AK106" t="s">
        <v>2365</v>
      </c>
      <c r="AL106" t="s">
        <v>2365</v>
      </c>
      <c r="AM106" t="s">
        <v>2365</v>
      </c>
      <c r="AN106" t="s">
        <v>2365</v>
      </c>
      <c r="AR106" t="s">
        <v>2365</v>
      </c>
      <c r="AS106" t="s">
        <v>2365</v>
      </c>
      <c r="AT106" t="s">
        <v>2365</v>
      </c>
      <c r="AU106" t="s">
        <v>2365</v>
      </c>
      <c r="AV106" t="s">
        <v>2365</v>
      </c>
      <c r="AW106" t="s">
        <v>2365</v>
      </c>
      <c r="AX106" t="s">
        <v>2365</v>
      </c>
      <c r="AY106" t="s">
        <v>2365</v>
      </c>
      <c r="AZ106" t="s">
        <v>2365</v>
      </c>
      <c r="BA106" t="s">
        <v>2365</v>
      </c>
      <c r="BB106" t="s">
        <v>2365</v>
      </c>
      <c r="BC106" t="s">
        <v>2365</v>
      </c>
      <c r="BD106" t="s">
        <v>2366</v>
      </c>
      <c r="BE106" t="s">
        <v>2365</v>
      </c>
      <c r="BF106" t="s">
        <v>2365</v>
      </c>
      <c r="BG106" t="s">
        <v>2365</v>
      </c>
      <c r="BH106" t="s">
        <v>2365</v>
      </c>
      <c r="BI106" t="s">
        <v>2366</v>
      </c>
      <c r="BJ106" t="s">
        <v>2365</v>
      </c>
      <c r="BK106" t="s">
        <v>2365</v>
      </c>
      <c r="BL106" t="s">
        <v>2365</v>
      </c>
      <c r="BM106" t="s">
        <v>2365</v>
      </c>
      <c r="BN106" t="s">
        <v>2176</v>
      </c>
      <c r="BO106">
        <v>5</v>
      </c>
      <c r="BP106">
        <v>53</v>
      </c>
      <c r="BQ106" t="s">
        <v>2438</v>
      </c>
      <c r="BR106" t="s">
        <v>1499</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R106" t="s">
        <v>2324</v>
      </c>
      <c r="CS106" s="1369" t="str">
        <f>INDEX([8]Sheet1!$H:$H,MATCH(CR:CR,[8]Sheet1!$AU:$AU,0))</f>
        <v>Finance</v>
      </c>
    </row>
    <row r="107" spans="1:97" x14ac:dyDescent="0.2">
      <c r="A107" t="s">
        <v>2568</v>
      </c>
      <c r="B107">
        <v>159</v>
      </c>
      <c r="C107" t="s">
        <v>2568</v>
      </c>
      <c r="D107">
        <v>41505</v>
      </c>
      <c r="E107" t="s">
        <v>2569</v>
      </c>
      <c r="F107">
        <v>2000</v>
      </c>
      <c r="G107" t="s">
        <v>652</v>
      </c>
      <c r="H107" t="s">
        <v>2556</v>
      </c>
      <c r="I107" t="s">
        <v>1377</v>
      </c>
      <c r="J107">
        <v>2007</v>
      </c>
      <c r="K107" t="s">
        <v>1377</v>
      </c>
      <c r="L107">
        <v>2100</v>
      </c>
      <c r="M107" t="s">
        <v>618</v>
      </c>
      <c r="N107">
        <v>2106</v>
      </c>
      <c r="O107" t="s">
        <v>1499</v>
      </c>
      <c r="P107" t="s">
        <v>2366</v>
      </c>
      <c r="Q107" t="s">
        <v>2364</v>
      </c>
      <c r="R107" t="s">
        <v>2364</v>
      </c>
      <c r="S107" t="s">
        <v>1881</v>
      </c>
      <c r="T107" t="s">
        <v>1812</v>
      </c>
      <c r="U107" t="s">
        <v>2365</v>
      </c>
      <c r="V107" t="s">
        <v>2365</v>
      </c>
      <c r="W107" t="s">
        <v>2365</v>
      </c>
      <c r="X107" t="s">
        <v>2365</v>
      </c>
      <c r="Y107" t="s">
        <v>2365</v>
      </c>
      <c r="Z107" t="s">
        <v>2365</v>
      </c>
      <c r="AA107" t="s">
        <v>2365</v>
      </c>
      <c r="AB107" t="s">
        <v>2365</v>
      </c>
      <c r="AC107" s="813" t="s">
        <v>2365</v>
      </c>
      <c r="AD107" s="813" t="s">
        <v>2365</v>
      </c>
      <c r="AE107" s="813" t="s">
        <v>2365</v>
      </c>
      <c r="AF107" t="s">
        <v>2365</v>
      </c>
      <c r="AG107" t="s">
        <v>2365</v>
      </c>
      <c r="AH107" t="s">
        <v>2365</v>
      </c>
      <c r="AI107" t="s">
        <v>2365</v>
      </c>
      <c r="AJ107" t="s">
        <v>2365</v>
      </c>
      <c r="AK107" t="s">
        <v>2365</v>
      </c>
      <c r="AL107" t="s">
        <v>2365</v>
      </c>
      <c r="AM107" t="s">
        <v>2365</v>
      </c>
      <c r="AN107" t="s">
        <v>2365</v>
      </c>
      <c r="AR107" t="s">
        <v>2365</v>
      </c>
      <c r="AS107" t="s">
        <v>2365</v>
      </c>
      <c r="AT107" t="s">
        <v>2365</v>
      </c>
      <c r="AU107" t="s">
        <v>2365</v>
      </c>
      <c r="AV107" t="s">
        <v>2365</v>
      </c>
      <c r="AW107" t="s">
        <v>2365</v>
      </c>
      <c r="AX107" t="s">
        <v>2365</v>
      </c>
      <c r="AY107" t="s">
        <v>2365</v>
      </c>
      <c r="AZ107" t="s">
        <v>2365</v>
      </c>
      <c r="BA107" t="s">
        <v>2365</v>
      </c>
      <c r="BB107" t="s">
        <v>2365</v>
      </c>
      <c r="BC107" t="s">
        <v>2365</v>
      </c>
      <c r="BD107" t="s">
        <v>2366</v>
      </c>
      <c r="BE107" t="s">
        <v>2365</v>
      </c>
      <c r="BF107" t="s">
        <v>2365</v>
      </c>
      <c r="BG107" t="s">
        <v>2365</v>
      </c>
      <c r="BH107" t="s">
        <v>2365</v>
      </c>
      <c r="BI107" t="s">
        <v>2366</v>
      </c>
      <c r="BJ107" t="s">
        <v>2365</v>
      </c>
      <c r="BK107" t="s">
        <v>2365</v>
      </c>
      <c r="BL107" t="s">
        <v>2365</v>
      </c>
      <c r="BM107" t="s">
        <v>2365</v>
      </c>
      <c r="BN107" t="s">
        <v>2176</v>
      </c>
      <c r="BO107">
        <v>5</v>
      </c>
      <c r="BP107">
        <v>53</v>
      </c>
      <c r="BQ107" t="s">
        <v>2438</v>
      </c>
      <c r="BR107" t="s">
        <v>1499</v>
      </c>
      <c r="BU107">
        <v>18000</v>
      </c>
      <c r="BV107">
        <v>0</v>
      </c>
      <c r="BW107">
        <v>18000</v>
      </c>
      <c r="BX107">
        <v>0</v>
      </c>
      <c r="BY107">
        <v>18000</v>
      </c>
      <c r="BZ107">
        <v>18720</v>
      </c>
      <c r="CA107">
        <v>19469</v>
      </c>
      <c r="CB107">
        <v>0</v>
      </c>
      <c r="CC107">
        <v>0</v>
      </c>
      <c r="CD107">
        <v>2860</v>
      </c>
      <c r="CE107">
        <v>2860</v>
      </c>
      <c r="CF107">
        <v>2860</v>
      </c>
      <c r="CG107">
        <v>2860</v>
      </c>
      <c r="CH107">
        <v>2860</v>
      </c>
      <c r="CI107">
        <v>0</v>
      </c>
      <c r="CJ107">
        <v>0</v>
      </c>
      <c r="CK107">
        <v>0</v>
      </c>
      <c r="CL107">
        <v>0</v>
      </c>
      <c r="CM107">
        <v>0</v>
      </c>
      <c r="CR107" t="s">
        <v>2324</v>
      </c>
      <c r="CS107" s="1369" t="str">
        <f>INDEX([8]Sheet1!$H:$H,MATCH(CR:CR,[8]Sheet1!$AU:$AU,0))</f>
        <v>Finance</v>
      </c>
    </row>
    <row r="108" spans="1:97" x14ac:dyDescent="0.2">
      <c r="A108" t="s">
        <v>2570</v>
      </c>
      <c r="B108">
        <v>160</v>
      </c>
      <c r="C108" t="s">
        <v>2570</v>
      </c>
      <c r="D108">
        <v>41506</v>
      </c>
      <c r="E108" t="s">
        <v>2571</v>
      </c>
      <c r="F108">
        <v>2000</v>
      </c>
      <c r="G108" t="s">
        <v>652</v>
      </c>
      <c r="H108" t="s">
        <v>2462</v>
      </c>
      <c r="I108" t="s">
        <v>203</v>
      </c>
      <c r="J108">
        <v>2001</v>
      </c>
      <c r="K108" t="s">
        <v>203</v>
      </c>
      <c r="L108">
        <v>2100</v>
      </c>
      <c r="M108" t="s">
        <v>618</v>
      </c>
      <c r="N108">
        <v>2106</v>
      </c>
      <c r="O108" t="s">
        <v>1499</v>
      </c>
      <c r="P108" t="s">
        <v>2366</v>
      </c>
      <c r="Q108" t="s">
        <v>2364</v>
      </c>
      <c r="R108" t="s">
        <v>2364</v>
      </c>
      <c r="S108" t="s">
        <v>1881</v>
      </c>
      <c r="T108" t="s">
        <v>1812</v>
      </c>
      <c r="U108" t="s">
        <v>2365</v>
      </c>
      <c r="V108" t="s">
        <v>2365</v>
      </c>
      <c r="W108" t="s">
        <v>2365</v>
      </c>
      <c r="X108" t="s">
        <v>2365</v>
      </c>
      <c r="Y108" t="s">
        <v>2365</v>
      </c>
      <c r="Z108" t="s">
        <v>2365</v>
      </c>
      <c r="AA108" t="s">
        <v>2365</v>
      </c>
      <c r="AB108" t="s">
        <v>2365</v>
      </c>
      <c r="AC108" s="813" t="s">
        <v>2365</v>
      </c>
      <c r="AD108" s="813" t="s">
        <v>2365</v>
      </c>
      <c r="AE108" s="813" t="s">
        <v>2365</v>
      </c>
      <c r="AF108" t="s">
        <v>2365</v>
      </c>
      <c r="AG108" t="s">
        <v>2365</v>
      </c>
      <c r="AH108" t="s">
        <v>2365</v>
      </c>
      <c r="AI108" t="s">
        <v>2365</v>
      </c>
      <c r="AJ108" t="s">
        <v>2365</v>
      </c>
      <c r="AK108" t="s">
        <v>2365</v>
      </c>
      <c r="AL108" t="s">
        <v>2365</v>
      </c>
      <c r="AM108" t="s">
        <v>2365</v>
      </c>
      <c r="AN108" t="s">
        <v>2365</v>
      </c>
      <c r="AR108" t="s">
        <v>2365</v>
      </c>
      <c r="AS108" t="s">
        <v>2365</v>
      </c>
      <c r="AT108" t="s">
        <v>2365</v>
      </c>
      <c r="AU108" t="s">
        <v>2365</v>
      </c>
      <c r="AV108" t="s">
        <v>2365</v>
      </c>
      <c r="AW108" t="s">
        <v>2365</v>
      </c>
      <c r="AX108" t="s">
        <v>2365</v>
      </c>
      <c r="AY108" t="s">
        <v>2365</v>
      </c>
      <c r="AZ108" t="s">
        <v>2365</v>
      </c>
      <c r="BA108" t="s">
        <v>2365</v>
      </c>
      <c r="BB108" t="s">
        <v>2365</v>
      </c>
      <c r="BC108" t="s">
        <v>2365</v>
      </c>
      <c r="BD108" t="s">
        <v>2366</v>
      </c>
      <c r="BE108" t="s">
        <v>2365</v>
      </c>
      <c r="BF108" t="s">
        <v>2365</v>
      </c>
      <c r="BG108" t="s">
        <v>2365</v>
      </c>
      <c r="BH108" t="s">
        <v>2365</v>
      </c>
      <c r="BI108" t="s">
        <v>2366</v>
      </c>
      <c r="BJ108" t="s">
        <v>2365</v>
      </c>
      <c r="BK108" t="s">
        <v>2365</v>
      </c>
      <c r="BL108" t="s">
        <v>2365</v>
      </c>
      <c r="BM108" t="s">
        <v>2365</v>
      </c>
      <c r="BN108" t="s">
        <v>2176</v>
      </c>
      <c r="BO108">
        <v>5</v>
      </c>
      <c r="BP108">
        <v>53</v>
      </c>
      <c r="BQ108" t="s">
        <v>2438</v>
      </c>
      <c r="BR108" t="s">
        <v>1499</v>
      </c>
      <c r="BU108">
        <v>886332</v>
      </c>
      <c r="BV108">
        <v>0</v>
      </c>
      <c r="BW108">
        <v>886332</v>
      </c>
      <c r="BX108">
        <v>0</v>
      </c>
      <c r="BY108">
        <v>886332</v>
      </c>
      <c r="BZ108">
        <v>921785</v>
      </c>
      <c r="CA108">
        <v>958657</v>
      </c>
      <c r="CB108">
        <v>0</v>
      </c>
      <c r="CC108">
        <v>0</v>
      </c>
      <c r="CD108">
        <v>53561.919999999998</v>
      </c>
      <c r="CE108">
        <v>53561.919999999998</v>
      </c>
      <c r="CF108">
        <v>53561.919999999998</v>
      </c>
      <c r="CG108">
        <v>53561.919999999998</v>
      </c>
      <c r="CH108">
        <v>53561.919999999998</v>
      </c>
      <c r="CI108">
        <v>0</v>
      </c>
      <c r="CJ108">
        <v>0</v>
      </c>
      <c r="CK108">
        <v>0</v>
      </c>
      <c r="CL108">
        <v>0</v>
      </c>
      <c r="CM108">
        <v>0</v>
      </c>
      <c r="CR108" t="s">
        <v>2324</v>
      </c>
      <c r="CS108" s="1369" t="str">
        <f>INDEX([8]Sheet1!$H:$H,MATCH(CR:CR,[8]Sheet1!$AU:$AU,0))</f>
        <v>Finance</v>
      </c>
    </row>
    <row r="109" spans="1:97" x14ac:dyDescent="0.2">
      <c r="A109" t="s">
        <v>2572</v>
      </c>
      <c r="B109">
        <v>161</v>
      </c>
      <c r="C109" t="s">
        <v>2572</v>
      </c>
      <c r="D109">
        <v>41507</v>
      </c>
      <c r="E109" t="s">
        <v>2573</v>
      </c>
      <c r="F109">
        <v>2000</v>
      </c>
      <c r="G109" t="s">
        <v>652</v>
      </c>
      <c r="H109" t="s">
        <v>2547</v>
      </c>
      <c r="I109" t="s">
        <v>200</v>
      </c>
      <c r="J109">
        <v>2005</v>
      </c>
      <c r="K109" t="s">
        <v>200</v>
      </c>
      <c r="L109">
        <v>2100</v>
      </c>
      <c r="M109" t="s">
        <v>618</v>
      </c>
      <c r="N109">
        <v>2106</v>
      </c>
      <c r="O109" t="s">
        <v>1499</v>
      </c>
      <c r="P109" t="s">
        <v>2366</v>
      </c>
      <c r="Q109" t="s">
        <v>2364</v>
      </c>
      <c r="R109" t="s">
        <v>2364</v>
      </c>
      <c r="S109" t="s">
        <v>1881</v>
      </c>
      <c r="T109" t="s">
        <v>1812</v>
      </c>
      <c r="U109" t="s">
        <v>2365</v>
      </c>
      <c r="V109" t="s">
        <v>2365</v>
      </c>
      <c r="W109" t="s">
        <v>2365</v>
      </c>
      <c r="X109" t="s">
        <v>2365</v>
      </c>
      <c r="Y109" t="s">
        <v>2365</v>
      </c>
      <c r="Z109" t="s">
        <v>2365</v>
      </c>
      <c r="AA109" t="s">
        <v>2365</v>
      </c>
      <c r="AB109" t="s">
        <v>2365</v>
      </c>
      <c r="AC109" s="813" t="s">
        <v>2365</v>
      </c>
      <c r="AD109" s="813" t="s">
        <v>2365</v>
      </c>
      <c r="AE109" s="813" t="s">
        <v>2365</v>
      </c>
      <c r="AF109" t="s">
        <v>2365</v>
      </c>
      <c r="AG109" t="s">
        <v>2365</v>
      </c>
      <c r="AH109" t="s">
        <v>2365</v>
      </c>
      <c r="AI109" t="s">
        <v>2365</v>
      </c>
      <c r="AJ109" t="s">
        <v>2365</v>
      </c>
      <c r="AK109" t="s">
        <v>2365</v>
      </c>
      <c r="AL109" t="s">
        <v>2365</v>
      </c>
      <c r="AM109" t="s">
        <v>2365</v>
      </c>
      <c r="AN109" t="s">
        <v>2365</v>
      </c>
      <c r="AR109" t="s">
        <v>2365</v>
      </c>
      <c r="AS109" t="s">
        <v>2365</v>
      </c>
      <c r="AT109" t="s">
        <v>2365</v>
      </c>
      <c r="AU109" t="s">
        <v>2365</v>
      </c>
      <c r="AV109" t="s">
        <v>2365</v>
      </c>
      <c r="AW109" t="s">
        <v>2365</v>
      </c>
      <c r="AX109" t="s">
        <v>2365</v>
      </c>
      <c r="AY109" t="s">
        <v>2365</v>
      </c>
      <c r="AZ109" t="s">
        <v>2365</v>
      </c>
      <c r="BA109" t="s">
        <v>2365</v>
      </c>
      <c r="BB109" t="s">
        <v>2365</v>
      </c>
      <c r="BC109" t="s">
        <v>2365</v>
      </c>
      <c r="BD109" t="s">
        <v>2366</v>
      </c>
      <c r="BE109" t="s">
        <v>2365</v>
      </c>
      <c r="BF109" t="s">
        <v>2365</v>
      </c>
      <c r="BG109" t="s">
        <v>2365</v>
      </c>
      <c r="BH109" t="s">
        <v>2365</v>
      </c>
      <c r="BI109" t="s">
        <v>2366</v>
      </c>
      <c r="BJ109" t="s">
        <v>2365</v>
      </c>
      <c r="BK109" t="s">
        <v>2365</v>
      </c>
      <c r="BL109" t="s">
        <v>2365</v>
      </c>
      <c r="BM109" t="s">
        <v>2365</v>
      </c>
      <c r="BN109" t="s">
        <v>2176</v>
      </c>
      <c r="BO109">
        <v>5</v>
      </c>
      <c r="BP109">
        <v>53</v>
      </c>
      <c r="BQ109" t="s">
        <v>2438</v>
      </c>
      <c r="BR109" t="s">
        <v>1499</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R109" t="s">
        <v>2324</v>
      </c>
      <c r="CS109" s="1369" t="str">
        <f>INDEX([8]Sheet1!$H:$H,MATCH(CR:CR,[8]Sheet1!$AU:$AU,0))</f>
        <v>Finance</v>
      </c>
    </row>
    <row r="110" spans="1:97" x14ac:dyDescent="0.2">
      <c r="A110" t="s">
        <v>2574</v>
      </c>
      <c r="B110">
        <v>162</v>
      </c>
      <c r="C110" t="s">
        <v>2574</v>
      </c>
      <c r="D110">
        <v>41508</v>
      </c>
      <c r="E110" t="s">
        <v>2575</v>
      </c>
      <c r="F110">
        <v>2000</v>
      </c>
      <c r="G110" t="s">
        <v>652</v>
      </c>
      <c r="H110" t="s">
        <v>2531</v>
      </c>
      <c r="I110" t="s">
        <v>1185</v>
      </c>
      <c r="J110">
        <v>2009</v>
      </c>
      <c r="K110" t="s">
        <v>1185</v>
      </c>
      <c r="L110">
        <v>2100</v>
      </c>
      <c r="M110" t="s">
        <v>618</v>
      </c>
      <c r="N110">
        <v>2106</v>
      </c>
      <c r="O110" t="s">
        <v>1499</v>
      </c>
      <c r="P110" t="s">
        <v>2366</v>
      </c>
      <c r="Q110" t="s">
        <v>2364</v>
      </c>
      <c r="R110" t="s">
        <v>2364</v>
      </c>
      <c r="S110" t="s">
        <v>1881</v>
      </c>
      <c r="T110" t="s">
        <v>1812</v>
      </c>
      <c r="U110" t="s">
        <v>2365</v>
      </c>
      <c r="V110" t="s">
        <v>2365</v>
      </c>
      <c r="W110" t="s">
        <v>2365</v>
      </c>
      <c r="X110" t="s">
        <v>2365</v>
      </c>
      <c r="Y110" t="s">
        <v>2365</v>
      </c>
      <c r="Z110" t="s">
        <v>2365</v>
      </c>
      <c r="AA110" t="s">
        <v>2365</v>
      </c>
      <c r="AB110" t="s">
        <v>2365</v>
      </c>
      <c r="AC110" s="813" t="s">
        <v>2365</v>
      </c>
      <c r="AD110" s="813" t="s">
        <v>2365</v>
      </c>
      <c r="AE110" s="813" t="s">
        <v>2365</v>
      </c>
      <c r="AF110" t="s">
        <v>2365</v>
      </c>
      <c r="AG110" t="s">
        <v>2365</v>
      </c>
      <c r="AH110" t="s">
        <v>2365</v>
      </c>
      <c r="AI110" t="s">
        <v>2365</v>
      </c>
      <c r="AJ110" t="s">
        <v>2365</v>
      </c>
      <c r="AK110" t="s">
        <v>2365</v>
      </c>
      <c r="AL110" t="s">
        <v>2365</v>
      </c>
      <c r="AM110" t="s">
        <v>2365</v>
      </c>
      <c r="AN110" t="s">
        <v>2365</v>
      </c>
      <c r="AR110" t="s">
        <v>2365</v>
      </c>
      <c r="AS110" t="s">
        <v>2365</v>
      </c>
      <c r="AT110" t="s">
        <v>2365</v>
      </c>
      <c r="AU110" t="s">
        <v>2365</v>
      </c>
      <c r="AV110" t="s">
        <v>2365</v>
      </c>
      <c r="AW110" t="s">
        <v>2365</v>
      </c>
      <c r="AX110" t="s">
        <v>2365</v>
      </c>
      <c r="AY110" t="s">
        <v>2365</v>
      </c>
      <c r="AZ110" t="s">
        <v>2365</v>
      </c>
      <c r="BA110" t="s">
        <v>2365</v>
      </c>
      <c r="BB110" t="s">
        <v>2365</v>
      </c>
      <c r="BC110" t="s">
        <v>2365</v>
      </c>
      <c r="BD110" t="s">
        <v>2366</v>
      </c>
      <c r="BE110" t="s">
        <v>2365</v>
      </c>
      <c r="BF110" t="s">
        <v>2365</v>
      </c>
      <c r="BG110" t="s">
        <v>2365</v>
      </c>
      <c r="BH110" t="s">
        <v>2365</v>
      </c>
      <c r="BI110" t="s">
        <v>2366</v>
      </c>
      <c r="BJ110" t="s">
        <v>2365</v>
      </c>
      <c r="BK110" t="s">
        <v>2365</v>
      </c>
      <c r="BL110" t="s">
        <v>2365</v>
      </c>
      <c r="BM110" t="s">
        <v>2365</v>
      </c>
      <c r="BN110" t="s">
        <v>2176</v>
      </c>
      <c r="BO110">
        <v>5</v>
      </c>
      <c r="BP110">
        <v>53</v>
      </c>
      <c r="BQ110" t="s">
        <v>2438</v>
      </c>
      <c r="BR110" t="s">
        <v>1499</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R110" t="s">
        <v>2324</v>
      </c>
      <c r="CS110" s="1369" t="str">
        <f>INDEX([8]Sheet1!$H:$H,MATCH(CR:CR,[8]Sheet1!$AU:$AU,0))</f>
        <v>Finance</v>
      </c>
    </row>
    <row r="111" spans="1:97" x14ac:dyDescent="0.2">
      <c r="A111" t="s">
        <v>2576</v>
      </c>
      <c r="B111">
        <v>163</v>
      </c>
      <c r="C111" t="s">
        <v>2576</v>
      </c>
      <c r="D111">
        <v>41509</v>
      </c>
      <c r="E111" t="s">
        <v>2577</v>
      </c>
      <c r="F111">
        <v>2000</v>
      </c>
      <c r="G111" t="s">
        <v>652</v>
      </c>
      <c r="H111" t="s">
        <v>2534</v>
      </c>
      <c r="I111" t="s">
        <v>196</v>
      </c>
      <c r="J111">
        <v>2003</v>
      </c>
      <c r="K111" t="s">
        <v>196</v>
      </c>
      <c r="L111">
        <v>2100</v>
      </c>
      <c r="M111" t="s">
        <v>618</v>
      </c>
      <c r="N111">
        <v>2106</v>
      </c>
      <c r="O111" t="s">
        <v>1499</v>
      </c>
      <c r="P111" t="s">
        <v>2366</v>
      </c>
      <c r="Q111" t="s">
        <v>2364</v>
      </c>
      <c r="R111" t="s">
        <v>2364</v>
      </c>
      <c r="S111" t="s">
        <v>1881</v>
      </c>
      <c r="T111" t="s">
        <v>1812</v>
      </c>
      <c r="U111" t="s">
        <v>2365</v>
      </c>
      <c r="V111" t="s">
        <v>2365</v>
      </c>
      <c r="W111" t="s">
        <v>2365</v>
      </c>
      <c r="X111" t="s">
        <v>2365</v>
      </c>
      <c r="Y111" t="s">
        <v>2365</v>
      </c>
      <c r="Z111" t="s">
        <v>2365</v>
      </c>
      <c r="AA111" t="s">
        <v>2365</v>
      </c>
      <c r="AB111" t="s">
        <v>2365</v>
      </c>
      <c r="AC111" s="813" t="s">
        <v>2365</v>
      </c>
      <c r="AD111" s="813" t="s">
        <v>2365</v>
      </c>
      <c r="AE111" s="813" t="s">
        <v>2365</v>
      </c>
      <c r="AF111" t="s">
        <v>2365</v>
      </c>
      <c r="AG111" t="s">
        <v>2365</v>
      </c>
      <c r="AH111" t="s">
        <v>2365</v>
      </c>
      <c r="AI111" t="s">
        <v>2365</v>
      </c>
      <c r="AJ111" t="s">
        <v>2365</v>
      </c>
      <c r="AK111" t="s">
        <v>2365</v>
      </c>
      <c r="AL111" t="s">
        <v>2365</v>
      </c>
      <c r="AM111" t="s">
        <v>2365</v>
      </c>
      <c r="AN111" t="s">
        <v>2365</v>
      </c>
      <c r="AR111" t="s">
        <v>2365</v>
      </c>
      <c r="AS111" t="s">
        <v>2365</v>
      </c>
      <c r="AT111" t="s">
        <v>2365</v>
      </c>
      <c r="AU111" t="s">
        <v>2365</v>
      </c>
      <c r="AV111" t="s">
        <v>2365</v>
      </c>
      <c r="AW111" t="s">
        <v>2365</v>
      </c>
      <c r="AX111" t="s">
        <v>2365</v>
      </c>
      <c r="AY111" t="s">
        <v>2365</v>
      </c>
      <c r="AZ111" t="s">
        <v>2365</v>
      </c>
      <c r="BA111" t="s">
        <v>2365</v>
      </c>
      <c r="BB111" t="s">
        <v>2365</v>
      </c>
      <c r="BC111" t="s">
        <v>2365</v>
      </c>
      <c r="BD111" t="s">
        <v>2366</v>
      </c>
      <c r="BE111" t="s">
        <v>2365</v>
      </c>
      <c r="BF111" t="s">
        <v>2365</v>
      </c>
      <c r="BG111" t="s">
        <v>2365</v>
      </c>
      <c r="BH111" t="s">
        <v>2365</v>
      </c>
      <c r="BI111" t="s">
        <v>2366</v>
      </c>
      <c r="BJ111" t="s">
        <v>2365</v>
      </c>
      <c r="BK111" t="s">
        <v>2365</v>
      </c>
      <c r="BL111" t="s">
        <v>2365</v>
      </c>
      <c r="BM111" t="s">
        <v>2365</v>
      </c>
      <c r="BN111" t="s">
        <v>2176</v>
      </c>
      <c r="BO111">
        <v>5</v>
      </c>
      <c r="BP111">
        <v>53</v>
      </c>
      <c r="BQ111" t="s">
        <v>2438</v>
      </c>
      <c r="BR111" t="s">
        <v>1499</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R111" t="s">
        <v>2324</v>
      </c>
      <c r="CS111" s="1369" t="str">
        <f>INDEX([8]Sheet1!$H:$H,MATCH(CR:CR,[8]Sheet1!$AU:$AU,0))</f>
        <v>Finance</v>
      </c>
    </row>
    <row r="112" spans="1:97" x14ac:dyDescent="0.2">
      <c r="A112" t="s">
        <v>2578</v>
      </c>
      <c r="B112">
        <v>164</v>
      </c>
      <c r="C112" t="s">
        <v>2578</v>
      </c>
      <c r="D112">
        <v>41510</v>
      </c>
      <c r="E112" t="s">
        <v>2579</v>
      </c>
      <c r="F112">
        <v>2000</v>
      </c>
      <c r="G112" t="s">
        <v>652</v>
      </c>
      <c r="H112" t="s">
        <v>2472</v>
      </c>
      <c r="I112" t="s">
        <v>1375</v>
      </c>
      <c r="J112">
        <v>2002</v>
      </c>
      <c r="K112" t="s">
        <v>1375</v>
      </c>
      <c r="L112">
        <v>2100</v>
      </c>
      <c r="M112" t="s">
        <v>618</v>
      </c>
      <c r="N112">
        <v>2106</v>
      </c>
      <c r="O112" t="s">
        <v>1499</v>
      </c>
      <c r="P112" t="s">
        <v>2366</v>
      </c>
      <c r="Q112" t="s">
        <v>2364</v>
      </c>
      <c r="R112" t="s">
        <v>2364</v>
      </c>
      <c r="S112" t="s">
        <v>1881</v>
      </c>
      <c r="T112" t="s">
        <v>1812</v>
      </c>
      <c r="U112" t="s">
        <v>2365</v>
      </c>
      <c r="V112" t="s">
        <v>2365</v>
      </c>
      <c r="W112" t="s">
        <v>2365</v>
      </c>
      <c r="X112" t="s">
        <v>2365</v>
      </c>
      <c r="Y112" t="s">
        <v>2365</v>
      </c>
      <c r="Z112" t="s">
        <v>2365</v>
      </c>
      <c r="AA112" t="s">
        <v>2365</v>
      </c>
      <c r="AB112" t="s">
        <v>2365</v>
      </c>
      <c r="AC112" s="813" t="s">
        <v>2365</v>
      </c>
      <c r="AD112" s="813" t="s">
        <v>2365</v>
      </c>
      <c r="AE112" s="813" t="s">
        <v>2365</v>
      </c>
      <c r="AF112" t="s">
        <v>2365</v>
      </c>
      <c r="AG112" t="s">
        <v>2365</v>
      </c>
      <c r="AH112" t="s">
        <v>2365</v>
      </c>
      <c r="AI112" t="s">
        <v>2365</v>
      </c>
      <c r="AJ112" t="s">
        <v>2365</v>
      </c>
      <c r="AK112" t="s">
        <v>2365</v>
      </c>
      <c r="AL112" t="s">
        <v>2365</v>
      </c>
      <c r="AM112" t="s">
        <v>2365</v>
      </c>
      <c r="AN112" t="s">
        <v>2365</v>
      </c>
      <c r="AR112" t="s">
        <v>2365</v>
      </c>
      <c r="AS112" t="s">
        <v>2365</v>
      </c>
      <c r="AT112" t="s">
        <v>2365</v>
      </c>
      <c r="AU112" t="s">
        <v>2365</v>
      </c>
      <c r="AV112" t="s">
        <v>2365</v>
      </c>
      <c r="AW112" t="s">
        <v>2365</v>
      </c>
      <c r="AX112" t="s">
        <v>2365</v>
      </c>
      <c r="AY112" t="s">
        <v>2365</v>
      </c>
      <c r="AZ112" t="s">
        <v>2365</v>
      </c>
      <c r="BA112" t="s">
        <v>2365</v>
      </c>
      <c r="BB112" t="s">
        <v>2365</v>
      </c>
      <c r="BC112" t="s">
        <v>2365</v>
      </c>
      <c r="BD112" t="s">
        <v>2366</v>
      </c>
      <c r="BE112" t="s">
        <v>2365</v>
      </c>
      <c r="BF112" t="s">
        <v>2365</v>
      </c>
      <c r="BG112" t="s">
        <v>2365</v>
      </c>
      <c r="BH112" t="s">
        <v>2365</v>
      </c>
      <c r="BI112" t="s">
        <v>2366</v>
      </c>
      <c r="BJ112" t="s">
        <v>2365</v>
      </c>
      <c r="BK112" t="s">
        <v>2365</v>
      </c>
      <c r="BL112" t="s">
        <v>2365</v>
      </c>
      <c r="BM112" t="s">
        <v>2365</v>
      </c>
      <c r="BN112" t="s">
        <v>2176</v>
      </c>
      <c r="BO112">
        <v>5</v>
      </c>
      <c r="BP112">
        <v>53</v>
      </c>
      <c r="BQ112" t="s">
        <v>2438</v>
      </c>
      <c r="BR112" t="s">
        <v>1499</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R112" t="s">
        <v>2324</v>
      </c>
      <c r="CS112" s="1369" t="str">
        <f>INDEX([8]Sheet1!$H:$H,MATCH(CR:CR,[8]Sheet1!$AU:$AU,0))</f>
        <v>Finance</v>
      </c>
    </row>
    <row r="113" spans="1:97" x14ac:dyDescent="0.2">
      <c r="A113" t="s">
        <v>2580</v>
      </c>
      <c r="B113">
        <v>165</v>
      </c>
      <c r="C113" t="s">
        <v>2580</v>
      </c>
      <c r="D113">
        <v>41511</v>
      </c>
      <c r="E113" t="s">
        <v>2581</v>
      </c>
      <c r="F113">
        <v>2000</v>
      </c>
      <c r="G113" t="s">
        <v>652</v>
      </c>
      <c r="H113" t="s">
        <v>2472</v>
      </c>
      <c r="I113" t="s">
        <v>1375</v>
      </c>
      <c r="J113">
        <v>2002</v>
      </c>
      <c r="K113" t="s">
        <v>1375</v>
      </c>
      <c r="L113">
        <v>2100</v>
      </c>
      <c r="M113" t="s">
        <v>618</v>
      </c>
      <c r="N113">
        <v>2106</v>
      </c>
      <c r="O113" t="s">
        <v>1499</v>
      </c>
      <c r="P113" t="s">
        <v>2366</v>
      </c>
      <c r="Q113" t="s">
        <v>2364</v>
      </c>
      <c r="R113" t="s">
        <v>2364</v>
      </c>
      <c r="S113" t="s">
        <v>1881</v>
      </c>
      <c r="T113" t="s">
        <v>1812</v>
      </c>
      <c r="U113" t="s">
        <v>2365</v>
      </c>
      <c r="V113" t="s">
        <v>2365</v>
      </c>
      <c r="W113" t="s">
        <v>2365</v>
      </c>
      <c r="X113" t="s">
        <v>2365</v>
      </c>
      <c r="Y113" t="s">
        <v>2365</v>
      </c>
      <c r="Z113" t="s">
        <v>2365</v>
      </c>
      <c r="AA113" t="s">
        <v>2365</v>
      </c>
      <c r="AB113" t="s">
        <v>2365</v>
      </c>
      <c r="AC113" s="813" t="s">
        <v>2365</v>
      </c>
      <c r="AD113" s="813" t="s">
        <v>2365</v>
      </c>
      <c r="AE113" s="813" t="s">
        <v>2365</v>
      </c>
      <c r="AF113" t="s">
        <v>2365</v>
      </c>
      <c r="AG113" t="s">
        <v>2365</v>
      </c>
      <c r="AH113" t="s">
        <v>2365</v>
      </c>
      <c r="AI113" t="s">
        <v>2365</v>
      </c>
      <c r="AJ113" t="s">
        <v>2365</v>
      </c>
      <c r="AK113" t="s">
        <v>2365</v>
      </c>
      <c r="AL113" t="s">
        <v>2365</v>
      </c>
      <c r="AM113" t="s">
        <v>2365</v>
      </c>
      <c r="AN113" t="s">
        <v>2365</v>
      </c>
      <c r="AR113" t="s">
        <v>2365</v>
      </c>
      <c r="AS113" t="s">
        <v>2365</v>
      </c>
      <c r="AT113" t="s">
        <v>2365</v>
      </c>
      <c r="AU113" t="s">
        <v>2365</v>
      </c>
      <c r="AV113" t="s">
        <v>2365</v>
      </c>
      <c r="AW113" t="s">
        <v>2365</v>
      </c>
      <c r="AX113" t="s">
        <v>2365</v>
      </c>
      <c r="AY113" t="s">
        <v>2365</v>
      </c>
      <c r="AZ113" t="s">
        <v>2365</v>
      </c>
      <c r="BA113" t="s">
        <v>2365</v>
      </c>
      <c r="BB113" t="s">
        <v>2365</v>
      </c>
      <c r="BC113" t="s">
        <v>2365</v>
      </c>
      <c r="BD113" t="s">
        <v>2366</v>
      </c>
      <c r="BE113" t="s">
        <v>2365</v>
      </c>
      <c r="BF113" t="s">
        <v>2365</v>
      </c>
      <c r="BG113" t="s">
        <v>2365</v>
      </c>
      <c r="BH113" t="s">
        <v>2365</v>
      </c>
      <c r="BI113" t="s">
        <v>2366</v>
      </c>
      <c r="BJ113" t="s">
        <v>2365</v>
      </c>
      <c r="BK113" t="s">
        <v>2365</v>
      </c>
      <c r="BL113" t="s">
        <v>2365</v>
      </c>
      <c r="BM113" t="s">
        <v>2365</v>
      </c>
      <c r="BN113" t="s">
        <v>2176</v>
      </c>
      <c r="BO113">
        <v>5</v>
      </c>
      <c r="BP113">
        <v>53</v>
      </c>
      <c r="BQ113" t="s">
        <v>2438</v>
      </c>
      <c r="BR113" t="s">
        <v>1499</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R113" t="s">
        <v>2324</v>
      </c>
      <c r="CS113" s="1369" t="str">
        <f>INDEX([8]Sheet1!$H:$H,MATCH(CR:CR,[8]Sheet1!$AU:$AU,0))</f>
        <v>Finance</v>
      </c>
    </row>
    <row r="114" spans="1:97" x14ac:dyDescent="0.2">
      <c r="A114" t="s">
        <v>2582</v>
      </c>
      <c r="B114">
        <v>166</v>
      </c>
      <c r="C114" t="s">
        <v>2582</v>
      </c>
      <c r="D114">
        <v>40999</v>
      </c>
      <c r="E114" t="s">
        <v>2432</v>
      </c>
      <c r="F114">
        <v>2600</v>
      </c>
      <c r="G114" t="s">
        <v>655</v>
      </c>
      <c r="H114">
        <v>2600</v>
      </c>
      <c r="I114" t="s">
        <v>655</v>
      </c>
      <c r="J114" t="s">
        <v>2365</v>
      </c>
      <c r="K114" t="s">
        <v>2365</v>
      </c>
      <c r="L114">
        <v>4400</v>
      </c>
      <c r="M114" t="s">
        <v>631</v>
      </c>
      <c r="N114">
        <v>4404</v>
      </c>
      <c r="O114" t="s">
        <v>1558</v>
      </c>
      <c r="P114" t="s">
        <v>2366</v>
      </c>
      <c r="Q114" t="s">
        <v>2364</v>
      </c>
      <c r="R114" t="s">
        <v>2364</v>
      </c>
      <c r="S114" t="s">
        <v>1881</v>
      </c>
      <c r="T114" t="s">
        <v>1812</v>
      </c>
      <c r="U114" t="s">
        <v>2365</v>
      </c>
      <c r="V114" t="s">
        <v>2365</v>
      </c>
      <c r="W114" t="s">
        <v>2365</v>
      </c>
      <c r="X114" t="s">
        <v>2365</v>
      </c>
      <c r="Y114" t="s">
        <v>2365</v>
      </c>
      <c r="Z114" t="s">
        <v>2365</v>
      </c>
      <c r="AA114" t="s">
        <v>2365</v>
      </c>
      <c r="AB114" t="s">
        <v>2365</v>
      </c>
      <c r="AC114" s="813" t="s">
        <v>2365</v>
      </c>
      <c r="AD114" s="813" t="s">
        <v>2365</v>
      </c>
      <c r="AE114" s="813" t="s">
        <v>2365</v>
      </c>
      <c r="AF114" t="s">
        <v>2365</v>
      </c>
      <c r="AG114" t="s">
        <v>2365</v>
      </c>
      <c r="AH114" t="s">
        <v>2365</v>
      </c>
      <c r="AI114" t="s">
        <v>2365</v>
      </c>
      <c r="AJ114" t="s">
        <v>2365</v>
      </c>
      <c r="AK114" t="s">
        <v>2365</v>
      </c>
      <c r="AL114" t="s">
        <v>2365</v>
      </c>
      <c r="AM114" t="s">
        <v>2365</v>
      </c>
      <c r="AN114" t="s">
        <v>2365</v>
      </c>
      <c r="AR114" t="s">
        <v>2365</v>
      </c>
      <c r="AS114" t="s">
        <v>2365</v>
      </c>
      <c r="AT114" t="s">
        <v>2365</v>
      </c>
      <c r="AU114" t="s">
        <v>2365</v>
      </c>
      <c r="AV114" t="s">
        <v>2365</v>
      </c>
      <c r="AW114" t="s">
        <v>2365</v>
      </c>
      <c r="AX114" t="s">
        <v>2365</v>
      </c>
      <c r="AY114" t="s">
        <v>2365</v>
      </c>
      <c r="AZ114" t="s">
        <v>2365</v>
      </c>
      <c r="BA114" t="s">
        <v>2365</v>
      </c>
      <c r="BB114" t="s">
        <v>2365</v>
      </c>
      <c r="BC114" t="s">
        <v>2365</v>
      </c>
      <c r="BD114" t="s">
        <v>2366</v>
      </c>
      <c r="BE114" t="s">
        <v>2365</v>
      </c>
      <c r="BF114" t="s">
        <v>2365</v>
      </c>
      <c r="BG114" t="s">
        <v>2365</v>
      </c>
      <c r="BH114" t="s">
        <v>2365</v>
      </c>
      <c r="BI114" t="s">
        <v>2366</v>
      </c>
      <c r="BJ114" t="s">
        <v>2365</v>
      </c>
      <c r="BK114" t="s">
        <v>2365</v>
      </c>
      <c r="BL114" t="s">
        <v>2365</v>
      </c>
      <c r="BM114" t="s">
        <v>2365</v>
      </c>
      <c r="BO114">
        <v>12</v>
      </c>
      <c r="BP114">
        <v>122</v>
      </c>
      <c r="BQ114" t="s">
        <v>1369</v>
      </c>
      <c r="BR114" t="s">
        <v>1558</v>
      </c>
      <c r="BU114">
        <v>40000</v>
      </c>
      <c r="BV114">
        <v>0</v>
      </c>
      <c r="BW114">
        <v>40000</v>
      </c>
      <c r="BX114">
        <v>0</v>
      </c>
      <c r="BY114">
        <v>40000</v>
      </c>
      <c r="BZ114">
        <v>42400</v>
      </c>
      <c r="CA114">
        <v>44944</v>
      </c>
      <c r="CB114">
        <v>0</v>
      </c>
      <c r="CC114">
        <v>31564.799999999999</v>
      </c>
      <c r="CD114">
        <v>0</v>
      </c>
      <c r="CE114">
        <v>0</v>
      </c>
      <c r="CF114">
        <v>0</v>
      </c>
      <c r="CG114">
        <v>0</v>
      </c>
      <c r="CH114">
        <v>0</v>
      </c>
      <c r="CI114">
        <v>0</v>
      </c>
      <c r="CJ114">
        <v>0</v>
      </c>
      <c r="CK114">
        <v>0</v>
      </c>
      <c r="CL114">
        <v>0</v>
      </c>
      <c r="CM114">
        <v>0</v>
      </c>
      <c r="CR114" t="s">
        <v>2324</v>
      </c>
      <c r="CS114" s="1369" t="str">
        <f>INDEX([8]Sheet1!$H:$H,MATCH(CR:CR,[8]Sheet1!$AU:$AU,0))</f>
        <v>Finance</v>
      </c>
    </row>
    <row r="115" spans="1:97" x14ac:dyDescent="0.2">
      <c r="A115" t="s">
        <v>2583</v>
      </c>
      <c r="B115">
        <v>167</v>
      </c>
      <c r="C115" t="s">
        <v>2583</v>
      </c>
      <c r="D115">
        <v>41000</v>
      </c>
      <c r="E115" t="s">
        <v>2432</v>
      </c>
      <c r="F115">
        <v>2600</v>
      </c>
      <c r="G115" t="s">
        <v>655</v>
      </c>
      <c r="H115">
        <v>2600</v>
      </c>
      <c r="I115" t="s">
        <v>655</v>
      </c>
      <c r="J115" t="s">
        <v>2365</v>
      </c>
      <c r="K115" t="s">
        <v>2365</v>
      </c>
      <c r="L115">
        <v>4400</v>
      </c>
      <c r="M115" t="s">
        <v>631</v>
      </c>
      <c r="N115">
        <v>4403</v>
      </c>
      <c r="O115" t="s">
        <v>1557</v>
      </c>
      <c r="P115" t="s">
        <v>2366</v>
      </c>
      <c r="Q115" t="s">
        <v>2364</v>
      </c>
      <c r="R115" t="s">
        <v>2364</v>
      </c>
      <c r="S115" t="s">
        <v>1881</v>
      </c>
      <c r="T115" t="s">
        <v>1812</v>
      </c>
      <c r="U115" t="s">
        <v>2365</v>
      </c>
      <c r="V115" t="s">
        <v>2365</v>
      </c>
      <c r="W115" t="s">
        <v>2365</v>
      </c>
      <c r="X115" t="s">
        <v>2365</v>
      </c>
      <c r="Y115" t="s">
        <v>2365</v>
      </c>
      <c r="Z115" t="s">
        <v>2365</v>
      </c>
      <c r="AA115" t="s">
        <v>2365</v>
      </c>
      <c r="AB115" t="s">
        <v>2365</v>
      </c>
      <c r="AC115" s="813" t="s">
        <v>2365</v>
      </c>
      <c r="AD115" s="813" t="s">
        <v>2365</v>
      </c>
      <c r="AE115" s="813" t="s">
        <v>2365</v>
      </c>
      <c r="AF115" t="s">
        <v>2365</v>
      </c>
      <c r="AG115" t="s">
        <v>2365</v>
      </c>
      <c r="AH115" t="s">
        <v>2365</v>
      </c>
      <c r="AI115" t="s">
        <v>2365</v>
      </c>
      <c r="AJ115" t="s">
        <v>2365</v>
      </c>
      <c r="AK115" t="s">
        <v>2365</v>
      </c>
      <c r="AL115" t="s">
        <v>2365</v>
      </c>
      <c r="AM115" t="s">
        <v>2365</v>
      </c>
      <c r="AN115" t="s">
        <v>2365</v>
      </c>
      <c r="AR115" t="s">
        <v>2365</v>
      </c>
      <c r="AS115" t="s">
        <v>2365</v>
      </c>
      <c r="AT115" t="s">
        <v>2365</v>
      </c>
      <c r="AU115" t="s">
        <v>2365</v>
      </c>
      <c r="AV115" t="s">
        <v>2365</v>
      </c>
      <c r="AW115" t="s">
        <v>2365</v>
      </c>
      <c r="AX115" t="s">
        <v>2365</v>
      </c>
      <c r="AY115" t="s">
        <v>2365</v>
      </c>
      <c r="AZ115" t="s">
        <v>2365</v>
      </c>
      <c r="BA115" t="s">
        <v>2365</v>
      </c>
      <c r="BB115" t="s">
        <v>2365</v>
      </c>
      <c r="BC115" t="s">
        <v>2365</v>
      </c>
      <c r="BD115" t="s">
        <v>2366</v>
      </c>
      <c r="BE115" t="s">
        <v>2365</v>
      </c>
      <c r="BF115" t="s">
        <v>2365</v>
      </c>
      <c r="BG115" t="s">
        <v>2365</v>
      </c>
      <c r="BH115" t="s">
        <v>2365</v>
      </c>
      <c r="BI115" t="s">
        <v>2366</v>
      </c>
      <c r="BJ115" t="s">
        <v>2365</v>
      </c>
      <c r="BK115" t="s">
        <v>2365</v>
      </c>
      <c r="BL115" t="s">
        <v>2365</v>
      </c>
      <c r="BM115" t="s">
        <v>2365</v>
      </c>
      <c r="BO115">
        <v>12</v>
      </c>
      <c r="BP115">
        <v>121</v>
      </c>
      <c r="BQ115" t="s">
        <v>1369</v>
      </c>
      <c r="BR115" t="s">
        <v>1557</v>
      </c>
      <c r="BU115">
        <v>60000</v>
      </c>
      <c r="BV115">
        <v>0</v>
      </c>
      <c r="BW115">
        <v>60000</v>
      </c>
      <c r="BX115">
        <v>0</v>
      </c>
      <c r="BY115">
        <v>60000</v>
      </c>
      <c r="BZ115">
        <v>63600</v>
      </c>
      <c r="CA115">
        <v>67416</v>
      </c>
      <c r="CB115">
        <v>0</v>
      </c>
      <c r="CC115">
        <v>0</v>
      </c>
      <c r="CD115">
        <v>2933.48</v>
      </c>
      <c r="CE115">
        <v>180</v>
      </c>
      <c r="CF115">
        <v>0</v>
      </c>
      <c r="CG115">
        <v>0</v>
      </c>
      <c r="CH115">
        <v>0</v>
      </c>
      <c r="CI115">
        <v>0</v>
      </c>
      <c r="CJ115">
        <v>108745</v>
      </c>
      <c r="CK115">
        <v>0</v>
      </c>
      <c r="CL115">
        <v>0</v>
      </c>
      <c r="CM115">
        <v>0</v>
      </c>
      <c r="CR115" t="s">
        <v>2324</v>
      </c>
      <c r="CS115" s="1369" t="str">
        <f>INDEX([8]Sheet1!$H:$H,MATCH(CR:CR,[8]Sheet1!$AU:$AU,0))</f>
        <v>Finance</v>
      </c>
    </row>
    <row r="116" spans="1:97" x14ac:dyDescent="0.2">
      <c r="A116" t="s">
        <v>2584</v>
      </c>
      <c r="B116">
        <v>168</v>
      </c>
      <c r="C116" t="s">
        <v>2584</v>
      </c>
      <c r="D116">
        <v>41001</v>
      </c>
      <c r="E116" t="s">
        <v>2464</v>
      </c>
      <c r="F116">
        <v>2900</v>
      </c>
      <c r="G116" t="s">
        <v>569</v>
      </c>
      <c r="H116" t="s">
        <v>2366</v>
      </c>
      <c r="I116" t="s">
        <v>2366</v>
      </c>
      <c r="J116">
        <v>2904</v>
      </c>
      <c r="K116" t="s">
        <v>1432</v>
      </c>
      <c r="L116">
        <v>4400</v>
      </c>
      <c r="M116" t="s">
        <v>631</v>
      </c>
      <c r="N116">
        <v>4404</v>
      </c>
      <c r="O116" t="s">
        <v>1558</v>
      </c>
      <c r="P116" t="s">
        <v>2366</v>
      </c>
      <c r="Q116" t="s">
        <v>2364</v>
      </c>
      <c r="R116" t="s">
        <v>2364</v>
      </c>
      <c r="S116" t="s">
        <v>1881</v>
      </c>
      <c r="T116" t="s">
        <v>1812</v>
      </c>
      <c r="U116" t="s">
        <v>2365</v>
      </c>
      <c r="V116" t="s">
        <v>2365</v>
      </c>
      <c r="W116" t="s">
        <v>2365</v>
      </c>
      <c r="X116" t="s">
        <v>2365</v>
      </c>
      <c r="Y116" t="s">
        <v>2365</v>
      </c>
      <c r="Z116" t="s">
        <v>2365</v>
      </c>
      <c r="AA116" t="s">
        <v>2365</v>
      </c>
      <c r="AB116" t="s">
        <v>2365</v>
      </c>
      <c r="AC116" s="813" t="s">
        <v>2365</v>
      </c>
      <c r="AD116" s="813" t="s">
        <v>2365</v>
      </c>
      <c r="AE116" s="813" t="s">
        <v>2365</v>
      </c>
      <c r="AF116" t="s">
        <v>2365</v>
      </c>
      <c r="AG116" t="s">
        <v>2365</v>
      </c>
      <c r="AH116" t="s">
        <v>2365</v>
      </c>
      <c r="AI116" t="s">
        <v>2365</v>
      </c>
      <c r="AJ116" t="s">
        <v>2365</v>
      </c>
      <c r="AK116" t="s">
        <v>2365</v>
      </c>
      <c r="AL116" t="s">
        <v>2365</v>
      </c>
      <c r="AM116" t="s">
        <v>2365</v>
      </c>
      <c r="AN116" t="s">
        <v>2365</v>
      </c>
      <c r="AR116" t="s">
        <v>2365</v>
      </c>
      <c r="AS116" t="s">
        <v>2365</v>
      </c>
      <c r="AT116" t="s">
        <v>2365</v>
      </c>
      <c r="AU116" t="s">
        <v>2365</v>
      </c>
      <c r="AV116" t="s">
        <v>2365</v>
      </c>
      <c r="AW116" t="s">
        <v>2365</v>
      </c>
      <c r="AX116" t="s">
        <v>2365</v>
      </c>
      <c r="AY116" t="s">
        <v>2365</v>
      </c>
      <c r="AZ116" t="s">
        <v>2365</v>
      </c>
      <c r="BA116" t="s">
        <v>2365</v>
      </c>
      <c r="BB116" t="s">
        <v>2365</v>
      </c>
      <c r="BC116" t="s">
        <v>2365</v>
      </c>
      <c r="BD116" t="s">
        <v>2366</v>
      </c>
      <c r="BE116" t="s">
        <v>2365</v>
      </c>
      <c r="BF116" t="s">
        <v>2365</v>
      </c>
      <c r="BG116" t="s">
        <v>2365</v>
      </c>
      <c r="BH116" t="s">
        <v>2365</v>
      </c>
      <c r="BI116" t="s">
        <v>2366</v>
      </c>
      <c r="BJ116" t="s">
        <v>2365</v>
      </c>
      <c r="BK116" t="s">
        <v>2365</v>
      </c>
      <c r="BL116" t="s">
        <v>2365</v>
      </c>
      <c r="BM116" t="s">
        <v>2365</v>
      </c>
      <c r="BO116">
        <v>12</v>
      </c>
      <c r="BP116">
        <v>122</v>
      </c>
      <c r="BQ116" t="s">
        <v>1369</v>
      </c>
      <c r="BR116" t="s">
        <v>1558</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R116" t="s">
        <v>2324</v>
      </c>
      <c r="CS116" s="1369" t="str">
        <f>INDEX([8]Sheet1!$H:$H,MATCH(CR:CR,[8]Sheet1!$AU:$AU,0))</f>
        <v>Finance</v>
      </c>
    </row>
    <row r="117" spans="1:97" x14ac:dyDescent="0.2">
      <c r="A117" t="s">
        <v>2585</v>
      </c>
      <c r="B117">
        <v>169</v>
      </c>
      <c r="C117" t="s">
        <v>2585</v>
      </c>
      <c r="D117">
        <v>41002</v>
      </c>
      <c r="E117" t="s">
        <v>2464</v>
      </c>
      <c r="F117">
        <v>2900</v>
      </c>
      <c r="G117" t="s">
        <v>569</v>
      </c>
      <c r="H117" t="s">
        <v>2366</v>
      </c>
      <c r="I117" t="s">
        <v>2366</v>
      </c>
      <c r="J117">
        <v>2904</v>
      </c>
      <c r="K117" t="s">
        <v>1432</v>
      </c>
      <c r="L117">
        <v>4400</v>
      </c>
      <c r="M117" t="s">
        <v>631</v>
      </c>
      <c r="N117">
        <v>4403</v>
      </c>
      <c r="O117" t="s">
        <v>1557</v>
      </c>
      <c r="P117" t="s">
        <v>2366</v>
      </c>
      <c r="Q117" t="s">
        <v>2364</v>
      </c>
      <c r="R117" t="s">
        <v>2364</v>
      </c>
      <c r="S117" t="s">
        <v>1881</v>
      </c>
      <c r="T117" t="s">
        <v>1812</v>
      </c>
      <c r="U117" t="s">
        <v>2365</v>
      </c>
      <c r="V117" t="s">
        <v>2365</v>
      </c>
      <c r="W117" t="s">
        <v>2365</v>
      </c>
      <c r="X117" t="s">
        <v>2365</v>
      </c>
      <c r="Y117" t="s">
        <v>2365</v>
      </c>
      <c r="Z117" t="s">
        <v>2365</v>
      </c>
      <c r="AA117" t="s">
        <v>2365</v>
      </c>
      <c r="AB117" t="s">
        <v>2365</v>
      </c>
      <c r="AC117" s="813" t="s">
        <v>2365</v>
      </c>
      <c r="AD117" s="813" t="s">
        <v>2365</v>
      </c>
      <c r="AE117" s="813" t="s">
        <v>2365</v>
      </c>
      <c r="AF117" t="s">
        <v>2365</v>
      </c>
      <c r="AG117" t="s">
        <v>2365</v>
      </c>
      <c r="AH117" t="s">
        <v>2365</v>
      </c>
      <c r="AI117" t="s">
        <v>2365</v>
      </c>
      <c r="AJ117" t="s">
        <v>2365</v>
      </c>
      <c r="AK117" t="s">
        <v>2365</v>
      </c>
      <c r="AL117" t="s">
        <v>2365</v>
      </c>
      <c r="AM117" t="s">
        <v>2365</v>
      </c>
      <c r="AN117" t="s">
        <v>2365</v>
      </c>
      <c r="AR117" t="s">
        <v>2365</v>
      </c>
      <c r="AS117" t="s">
        <v>2365</v>
      </c>
      <c r="AT117" t="s">
        <v>2365</v>
      </c>
      <c r="AU117" t="s">
        <v>2365</v>
      </c>
      <c r="AV117" t="s">
        <v>2365</v>
      </c>
      <c r="AW117" t="s">
        <v>2365</v>
      </c>
      <c r="AX117" t="s">
        <v>2365</v>
      </c>
      <c r="AY117" t="s">
        <v>2365</v>
      </c>
      <c r="AZ117" t="s">
        <v>2365</v>
      </c>
      <c r="BA117" t="s">
        <v>2365</v>
      </c>
      <c r="BB117" t="s">
        <v>2365</v>
      </c>
      <c r="BC117" t="s">
        <v>2365</v>
      </c>
      <c r="BD117" t="s">
        <v>2366</v>
      </c>
      <c r="BE117" t="s">
        <v>2365</v>
      </c>
      <c r="BF117" t="s">
        <v>2365</v>
      </c>
      <c r="BG117" t="s">
        <v>2365</v>
      </c>
      <c r="BH117" t="s">
        <v>2365</v>
      </c>
      <c r="BI117" t="s">
        <v>2366</v>
      </c>
      <c r="BJ117" t="s">
        <v>2365</v>
      </c>
      <c r="BK117" t="s">
        <v>2365</v>
      </c>
      <c r="BL117" t="s">
        <v>2365</v>
      </c>
      <c r="BM117" t="s">
        <v>2365</v>
      </c>
      <c r="BO117">
        <v>12</v>
      </c>
      <c r="BP117">
        <v>121</v>
      </c>
      <c r="BQ117" t="s">
        <v>1369</v>
      </c>
      <c r="BR117" t="s">
        <v>1557</v>
      </c>
      <c r="BU117">
        <v>0</v>
      </c>
      <c r="BV117">
        <v>0</v>
      </c>
      <c r="BW117">
        <v>0</v>
      </c>
      <c r="BX117">
        <v>0</v>
      </c>
      <c r="BY117">
        <v>0</v>
      </c>
      <c r="BZ117">
        <v>0</v>
      </c>
      <c r="CA117">
        <v>0</v>
      </c>
      <c r="CB117">
        <v>0</v>
      </c>
      <c r="CC117">
        <v>0</v>
      </c>
      <c r="CD117">
        <v>0</v>
      </c>
      <c r="CE117">
        <v>0</v>
      </c>
      <c r="CF117">
        <v>0</v>
      </c>
      <c r="CG117">
        <v>0</v>
      </c>
      <c r="CH117">
        <v>553.51</v>
      </c>
      <c r="CI117">
        <v>0</v>
      </c>
      <c r="CJ117">
        <v>0</v>
      </c>
      <c r="CK117">
        <v>0</v>
      </c>
      <c r="CL117">
        <v>0</v>
      </c>
      <c r="CM117">
        <v>0</v>
      </c>
      <c r="CR117" t="s">
        <v>2324</v>
      </c>
      <c r="CS117" s="1369" t="str">
        <f>INDEX([8]Sheet1!$H:$H,MATCH(CR:CR,[8]Sheet1!$AU:$AU,0))</f>
        <v>Finance</v>
      </c>
    </row>
    <row r="118" spans="1:97" x14ac:dyDescent="0.2">
      <c r="A118" t="s">
        <v>2586</v>
      </c>
      <c r="B118">
        <v>170</v>
      </c>
      <c r="C118" t="s">
        <v>2586</v>
      </c>
      <c r="D118">
        <v>40732</v>
      </c>
      <c r="E118" t="s">
        <v>2493</v>
      </c>
      <c r="F118">
        <v>2900</v>
      </c>
      <c r="G118" t="s">
        <v>569</v>
      </c>
      <c r="H118" t="s">
        <v>2366</v>
      </c>
      <c r="I118" t="s">
        <v>2366</v>
      </c>
      <c r="J118">
        <v>2904</v>
      </c>
      <c r="K118" t="s">
        <v>1432</v>
      </c>
      <c r="L118">
        <v>3100</v>
      </c>
      <c r="M118" t="s">
        <v>624</v>
      </c>
      <c r="N118">
        <v>3105</v>
      </c>
      <c r="O118" t="s">
        <v>1534</v>
      </c>
      <c r="P118" t="s">
        <v>2366</v>
      </c>
      <c r="Q118" t="s">
        <v>2364</v>
      </c>
      <c r="R118" t="s">
        <v>2364</v>
      </c>
      <c r="S118" t="s">
        <v>1881</v>
      </c>
      <c r="T118" t="s">
        <v>1812</v>
      </c>
      <c r="U118" t="s">
        <v>2365</v>
      </c>
      <c r="V118" t="s">
        <v>2365</v>
      </c>
      <c r="W118" t="s">
        <v>2365</v>
      </c>
      <c r="X118" t="s">
        <v>2365</v>
      </c>
      <c r="Y118" t="s">
        <v>2365</v>
      </c>
      <c r="Z118" t="s">
        <v>2365</v>
      </c>
      <c r="AA118" t="s">
        <v>2365</v>
      </c>
      <c r="AB118" t="s">
        <v>2365</v>
      </c>
      <c r="AC118" s="813" t="s">
        <v>2365</v>
      </c>
      <c r="AD118" s="813" t="s">
        <v>2365</v>
      </c>
      <c r="AE118" s="813" t="s">
        <v>2365</v>
      </c>
      <c r="AF118" t="s">
        <v>2365</v>
      </c>
      <c r="AG118" t="s">
        <v>2365</v>
      </c>
      <c r="AH118" t="s">
        <v>2365</v>
      </c>
      <c r="AI118" t="s">
        <v>2365</v>
      </c>
      <c r="AJ118" t="s">
        <v>2365</v>
      </c>
      <c r="AK118" t="s">
        <v>2365</v>
      </c>
      <c r="AL118" t="s">
        <v>2365</v>
      </c>
      <c r="AM118" t="s">
        <v>2365</v>
      </c>
      <c r="AN118" t="s">
        <v>2365</v>
      </c>
      <c r="AR118" t="s">
        <v>2365</v>
      </c>
      <c r="AS118" t="s">
        <v>2365</v>
      </c>
      <c r="AT118" t="s">
        <v>2365</v>
      </c>
      <c r="AU118" t="s">
        <v>2365</v>
      </c>
      <c r="AV118" t="s">
        <v>2365</v>
      </c>
      <c r="AW118" t="s">
        <v>2365</v>
      </c>
      <c r="AX118" t="s">
        <v>2365</v>
      </c>
      <c r="AY118" t="s">
        <v>2365</v>
      </c>
      <c r="AZ118" t="s">
        <v>2365</v>
      </c>
      <c r="BA118" t="s">
        <v>2365</v>
      </c>
      <c r="BB118" t="s">
        <v>2365</v>
      </c>
      <c r="BC118" t="s">
        <v>2365</v>
      </c>
      <c r="BD118" t="s">
        <v>2366</v>
      </c>
      <c r="BE118" t="s">
        <v>2365</v>
      </c>
      <c r="BF118" t="s">
        <v>2365</v>
      </c>
      <c r="BG118" t="s">
        <v>2365</v>
      </c>
      <c r="BH118" t="s">
        <v>2365</v>
      </c>
      <c r="BI118" t="s">
        <v>2366</v>
      </c>
      <c r="BJ118" t="s">
        <v>2365</v>
      </c>
      <c r="BK118" t="s">
        <v>2365</v>
      </c>
      <c r="BL118" t="s">
        <v>2365</v>
      </c>
      <c r="BM118" t="s">
        <v>2365</v>
      </c>
      <c r="BO118">
        <v>8</v>
      </c>
      <c r="BP118">
        <v>83</v>
      </c>
      <c r="BQ118" t="s">
        <v>2442</v>
      </c>
      <c r="BR118" t="s">
        <v>1534</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R118" t="s">
        <v>2324</v>
      </c>
      <c r="CS118" s="1369" t="str">
        <f>INDEX([8]Sheet1!$H:$H,MATCH(CR:CR,[8]Sheet1!$AU:$AU,0))</f>
        <v>Finance</v>
      </c>
    </row>
    <row r="119" spans="1:97" x14ac:dyDescent="0.2">
      <c r="A119" t="s">
        <v>2587</v>
      </c>
      <c r="B119">
        <v>171</v>
      </c>
      <c r="C119" t="s">
        <v>2587</v>
      </c>
      <c r="D119">
        <v>40733</v>
      </c>
      <c r="E119" t="s">
        <v>2455</v>
      </c>
      <c r="F119">
        <v>2900</v>
      </c>
      <c r="G119" t="s">
        <v>569</v>
      </c>
      <c r="H119" t="s">
        <v>2366</v>
      </c>
      <c r="I119" t="s">
        <v>2366</v>
      </c>
      <c r="J119">
        <v>2904</v>
      </c>
      <c r="K119" t="s">
        <v>1432</v>
      </c>
      <c r="L119">
        <v>3100</v>
      </c>
      <c r="M119" t="s">
        <v>624</v>
      </c>
      <c r="N119">
        <v>3105</v>
      </c>
      <c r="O119" t="s">
        <v>1534</v>
      </c>
      <c r="P119" t="s">
        <v>2366</v>
      </c>
      <c r="Q119" t="s">
        <v>2364</v>
      </c>
      <c r="R119" t="s">
        <v>2364</v>
      </c>
      <c r="S119" t="s">
        <v>1881</v>
      </c>
      <c r="T119" t="s">
        <v>1812</v>
      </c>
      <c r="U119" t="s">
        <v>2365</v>
      </c>
      <c r="V119" t="s">
        <v>2365</v>
      </c>
      <c r="W119" t="s">
        <v>2365</v>
      </c>
      <c r="X119" t="s">
        <v>2365</v>
      </c>
      <c r="Y119" t="s">
        <v>2365</v>
      </c>
      <c r="Z119" t="s">
        <v>2365</v>
      </c>
      <c r="AA119" t="s">
        <v>2365</v>
      </c>
      <c r="AB119" t="s">
        <v>2365</v>
      </c>
      <c r="AC119" s="813" t="s">
        <v>2365</v>
      </c>
      <c r="AD119" s="813" t="s">
        <v>2365</v>
      </c>
      <c r="AE119" s="813" t="s">
        <v>2365</v>
      </c>
      <c r="AF119" t="s">
        <v>2365</v>
      </c>
      <c r="AG119" t="s">
        <v>2365</v>
      </c>
      <c r="AH119" t="s">
        <v>2365</v>
      </c>
      <c r="AI119" t="s">
        <v>2365</v>
      </c>
      <c r="AJ119" t="s">
        <v>2365</v>
      </c>
      <c r="AK119" t="s">
        <v>2365</v>
      </c>
      <c r="AL119" t="s">
        <v>2365</v>
      </c>
      <c r="AM119" t="s">
        <v>2365</v>
      </c>
      <c r="AN119" t="s">
        <v>2365</v>
      </c>
      <c r="AR119" t="s">
        <v>2365</v>
      </c>
      <c r="AS119" t="s">
        <v>2365</v>
      </c>
      <c r="AT119" t="s">
        <v>2365</v>
      </c>
      <c r="AU119" t="s">
        <v>2365</v>
      </c>
      <c r="AV119" t="s">
        <v>2365</v>
      </c>
      <c r="AW119" t="s">
        <v>2365</v>
      </c>
      <c r="AX119" t="s">
        <v>2365</v>
      </c>
      <c r="AY119" t="s">
        <v>2365</v>
      </c>
      <c r="AZ119" t="s">
        <v>2365</v>
      </c>
      <c r="BA119" t="s">
        <v>2365</v>
      </c>
      <c r="BB119" t="s">
        <v>2365</v>
      </c>
      <c r="BC119" t="s">
        <v>2365</v>
      </c>
      <c r="BD119" t="s">
        <v>2366</v>
      </c>
      <c r="BE119" t="s">
        <v>2365</v>
      </c>
      <c r="BF119" t="s">
        <v>2365</v>
      </c>
      <c r="BG119" t="s">
        <v>2365</v>
      </c>
      <c r="BH119" t="s">
        <v>2365</v>
      </c>
      <c r="BI119" t="s">
        <v>2366</v>
      </c>
      <c r="BJ119" t="s">
        <v>2365</v>
      </c>
      <c r="BK119" t="s">
        <v>2365</v>
      </c>
      <c r="BL119" t="s">
        <v>2365</v>
      </c>
      <c r="BM119" t="s">
        <v>2365</v>
      </c>
      <c r="BO119">
        <v>8</v>
      </c>
      <c r="BP119">
        <v>83</v>
      </c>
      <c r="BQ119" t="s">
        <v>2442</v>
      </c>
      <c r="BR119" t="s">
        <v>1534</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R119" t="s">
        <v>2324</v>
      </c>
      <c r="CS119" s="1369" t="str">
        <f>INDEX([8]Sheet1!$H:$H,MATCH(CR:CR,[8]Sheet1!$AU:$AU,0))</f>
        <v>Finance</v>
      </c>
    </row>
    <row r="120" spans="1:97" x14ac:dyDescent="0.2">
      <c r="A120" t="s">
        <v>2588</v>
      </c>
      <c r="B120">
        <v>172</v>
      </c>
      <c r="C120" t="s">
        <v>2588</v>
      </c>
      <c r="D120">
        <v>40734</v>
      </c>
      <c r="E120" t="s">
        <v>2481</v>
      </c>
      <c r="F120">
        <v>2700</v>
      </c>
      <c r="G120" t="s">
        <v>656</v>
      </c>
      <c r="H120" t="s">
        <v>2478</v>
      </c>
      <c r="I120" t="s">
        <v>1802</v>
      </c>
      <c r="J120">
        <v>2703</v>
      </c>
      <c r="K120" t="s">
        <v>1802</v>
      </c>
      <c r="L120">
        <v>3100</v>
      </c>
      <c r="M120" t="s">
        <v>624</v>
      </c>
      <c r="N120">
        <v>3105</v>
      </c>
      <c r="O120" t="s">
        <v>1534</v>
      </c>
      <c r="P120" t="s">
        <v>2366</v>
      </c>
      <c r="Q120" t="s">
        <v>2364</v>
      </c>
      <c r="R120" t="s">
        <v>2364</v>
      </c>
      <c r="S120" t="s">
        <v>1881</v>
      </c>
      <c r="T120" t="s">
        <v>1812</v>
      </c>
      <c r="U120" t="s">
        <v>2365</v>
      </c>
      <c r="V120" t="s">
        <v>2365</v>
      </c>
      <c r="W120" t="s">
        <v>2365</v>
      </c>
      <c r="X120" t="s">
        <v>2365</v>
      </c>
      <c r="Y120" t="s">
        <v>2365</v>
      </c>
      <c r="Z120" t="s">
        <v>2365</v>
      </c>
      <c r="AA120" t="s">
        <v>2365</v>
      </c>
      <c r="AB120" t="s">
        <v>2365</v>
      </c>
      <c r="AC120" s="813" t="s">
        <v>2365</v>
      </c>
      <c r="AD120" s="813" t="s">
        <v>2365</v>
      </c>
      <c r="AE120" s="813" t="s">
        <v>2365</v>
      </c>
      <c r="AF120" t="s">
        <v>2365</v>
      </c>
      <c r="AG120" t="s">
        <v>2365</v>
      </c>
      <c r="AH120" t="s">
        <v>2365</v>
      </c>
      <c r="AI120" t="s">
        <v>2365</v>
      </c>
      <c r="AJ120" t="s">
        <v>2365</v>
      </c>
      <c r="AK120" t="s">
        <v>2365</v>
      </c>
      <c r="AL120" t="s">
        <v>2365</v>
      </c>
      <c r="AM120" t="s">
        <v>2365</v>
      </c>
      <c r="AN120" t="s">
        <v>2365</v>
      </c>
      <c r="AR120" t="s">
        <v>2365</v>
      </c>
      <c r="AS120" t="s">
        <v>2365</v>
      </c>
      <c r="AT120" t="s">
        <v>2365</v>
      </c>
      <c r="AU120" t="s">
        <v>2365</v>
      </c>
      <c r="AV120" t="s">
        <v>2365</v>
      </c>
      <c r="AW120" t="s">
        <v>2365</v>
      </c>
      <c r="AX120" t="s">
        <v>2365</v>
      </c>
      <c r="AY120" t="s">
        <v>2365</v>
      </c>
      <c r="AZ120" t="s">
        <v>2365</v>
      </c>
      <c r="BA120" t="s">
        <v>2365</v>
      </c>
      <c r="BB120" t="s">
        <v>2365</v>
      </c>
      <c r="BC120" t="s">
        <v>2365</v>
      </c>
      <c r="BD120" t="s">
        <v>2366</v>
      </c>
      <c r="BE120" t="s">
        <v>2365</v>
      </c>
      <c r="BF120" t="s">
        <v>2365</v>
      </c>
      <c r="BG120" t="s">
        <v>2365</v>
      </c>
      <c r="BH120" t="s">
        <v>2365</v>
      </c>
      <c r="BI120" t="s">
        <v>2366</v>
      </c>
      <c r="BJ120" t="s">
        <v>2365</v>
      </c>
      <c r="BK120" t="s">
        <v>2365</v>
      </c>
      <c r="BL120" t="s">
        <v>2365</v>
      </c>
      <c r="BM120" t="s">
        <v>2365</v>
      </c>
      <c r="BO120">
        <v>8</v>
      </c>
      <c r="BP120">
        <v>83</v>
      </c>
      <c r="BQ120" t="s">
        <v>2442</v>
      </c>
      <c r="BR120" t="s">
        <v>1534</v>
      </c>
      <c r="BU120">
        <v>35000</v>
      </c>
      <c r="BV120">
        <v>0</v>
      </c>
      <c r="BW120">
        <v>35000</v>
      </c>
      <c r="BX120">
        <v>-9780</v>
      </c>
      <c r="BY120">
        <v>25220</v>
      </c>
      <c r="BZ120">
        <v>37100</v>
      </c>
      <c r="CA120">
        <v>39326</v>
      </c>
      <c r="CB120">
        <v>0</v>
      </c>
      <c r="CC120">
        <v>0</v>
      </c>
      <c r="CD120">
        <v>0</v>
      </c>
      <c r="CE120">
        <v>0</v>
      </c>
      <c r="CF120">
        <v>9780</v>
      </c>
      <c r="CG120">
        <v>0</v>
      </c>
      <c r="CH120">
        <v>0</v>
      </c>
      <c r="CI120">
        <v>0</v>
      </c>
      <c r="CJ120">
        <v>0</v>
      </c>
      <c r="CK120">
        <v>0</v>
      </c>
      <c r="CL120">
        <v>0</v>
      </c>
      <c r="CM120">
        <v>0</v>
      </c>
      <c r="CR120" t="s">
        <v>2324</v>
      </c>
      <c r="CS120" s="1369" t="str">
        <f>INDEX([8]Sheet1!$H:$H,MATCH(CR:CR,[8]Sheet1!$AU:$AU,0))</f>
        <v>Finance</v>
      </c>
    </row>
    <row r="121" spans="1:97" x14ac:dyDescent="0.2">
      <c r="A121" t="s">
        <v>2589</v>
      </c>
      <c r="B121">
        <v>173</v>
      </c>
      <c r="C121" t="s">
        <v>2589</v>
      </c>
      <c r="D121">
        <v>40735</v>
      </c>
      <c r="E121" t="s">
        <v>2430</v>
      </c>
      <c r="F121">
        <v>2700</v>
      </c>
      <c r="G121" t="s">
        <v>656</v>
      </c>
      <c r="H121" t="s">
        <v>2428</v>
      </c>
      <c r="I121" t="s">
        <v>1800</v>
      </c>
      <c r="J121">
        <v>2701</v>
      </c>
      <c r="K121" t="s">
        <v>1800</v>
      </c>
      <c r="L121">
        <v>3100</v>
      </c>
      <c r="M121" t="s">
        <v>624</v>
      </c>
      <c r="N121">
        <v>3105</v>
      </c>
      <c r="O121" t="s">
        <v>1534</v>
      </c>
      <c r="P121" t="s">
        <v>2366</v>
      </c>
      <c r="Q121" t="s">
        <v>2364</v>
      </c>
      <c r="R121" t="s">
        <v>2364</v>
      </c>
      <c r="S121" t="s">
        <v>1881</v>
      </c>
      <c r="T121" t="s">
        <v>1812</v>
      </c>
      <c r="U121" t="s">
        <v>2365</v>
      </c>
      <c r="V121" t="s">
        <v>2365</v>
      </c>
      <c r="W121" t="s">
        <v>2365</v>
      </c>
      <c r="X121" t="s">
        <v>2365</v>
      </c>
      <c r="Y121" t="s">
        <v>2365</v>
      </c>
      <c r="Z121" t="s">
        <v>2365</v>
      </c>
      <c r="AA121" t="s">
        <v>2365</v>
      </c>
      <c r="AB121" t="s">
        <v>2365</v>
      </c>
      <c r="AC121" s="813" t="s">
        <v>2365</v>
      </c>
      <c r="AD121" s="813" t="s">
        <v>2365</v>
      </c>
      <c r="AE121" s="813" t="s">
        <v>2365</v>
      </c>
      <c r="AF121" t="s">
        <v>2365</v>
      </c>
      <c r="AG121" t="s">
        <v>2365</v>
      </c>
      <c r="AH121" t="s">
        <v>2365</v>
      </c>
      <c r="AI121" t="s">
        <v>2365</v>
      </c>
      <c r="AJ121" t="s">
        <v>2365</v>
      </c>
      <c r="AK121" t="s">
        <v>2365</v>
      </c>
      <c r="AL121" t="s">
        <v>2365</v>
      </c>
      <c r="AM121" t="s">
        <v>2365</v>
      </c>
      <c r="AN121" t="s">
        <v>2365</v>
      </c>
      <c r="AR121" t="s">
        <v>2365</v>
      </c>
      <c r="AS121" t="s">
        <v>2365</v>
      </c>
      <c r="AT121" t="s">
        <v>2365</v>
      </c>
      <c r="AU121" t="s">
        <v>2365</v>
      </c>
      <c r="AV121" t="s">
        <v>2365</v>
      </c>
      <c r="AW121" t="s">
        <v>2365</v>
      </c>
      <c r="AX121" t="s">
        <v>2365</v>
      </c>
      <c r="AY121" t="s">
        <v>2365</v>
      </c>
      <c r="AZ121" t="s">
        <v>2365</v>
      </c>
      <c r="BA121" t="s">
        <v>2365</v>
      </c>
      <c r="BB121" t="s">
        <v>2365</v>
      </c>
      <c r="BC121" t="s">
        <v>2365</v>
      </c>
      <c r="BD121" t="s">
        <v>2366</v>
      </c>
      <c r="BE121" t="s">
        <v>2365</v>
      </c>
      <c r="BF121" t="s">
        <v>2365</v>
      </c>
      <c r="BG121" t="s">
        <v>2365</v>
      </c>
      <c r="BH121" t="s">
        <v>2365</v>
      </c>
      <c r="BI121" t="s">
        <v>2366</v>
      </c>
      <c r="BJ121" t="s">
        <v>2365</v>
      </c>
      <c r="BK121" t="s">
        <v>2365</v>
      </c>
      <c r="BL121" t="s">
        <v>2365</v>
      </c>
      <c r="BM121" t="s">
        <v>2365</v>
      </c>
      <c r="BO121">
        <v>8</v>
      </c>
      <c r="BP121">
        <v>83</v>
      </c>
      <c r="BQ121" t="s">
        <v>2442</v>
      </c>
      <c r="BR121" t="s">
        <v>1534</v>
      </c>
      <c r="BU121">
        <v>45000</v>
      </c>
      <c r="BV121">
        <v>0</v>
      </c>
      <c r="BW121">
        <v>45000</v>
      </c>
      <c r="BX121">
        <v>-25000</v>
      </c>
      <c r="BY121">
        <v>20000</v>
      </c>
      <c r="BZ121">
        <v>47700</v>
      </c>
      <c r="CA121">
        <v>50562</v>
      </c>
      <c r="CB121">
        <v>0</v>
      </c>
      <c r="CC121">
        <v>0</v>
      </c>
      <c r="CD121">
        <v>0</v>
      </c>
      <c r="CE121">
        <v>0</v>
      </c>
      <c r="CF121">
        <v>0</v>
      </c>
      <c r="CG121">
        <v>0</v>
      </c>
      <c r="CH121">
        <v>0</v>
      </c>
      <c r="CI121">
        <v>0</v>
      </c>
      <c r="CJ121">
        <v>0</v>
      </c>
      <c r="CK121">
        <v>0</v>
      </c>
      <c r="CL121">
        <v>0</v>
      </c>
      <c r="CM121">
        <v>0</v>
      </c>
      <c r="CR121" t="s">
        <v>2324</v>
      </c>
      <c r="CS121" s="1369" t="str">
        <f>INDEX([8]Sheet1!$H:$H,MATCH(CR:CR,[8]Sheet1!$AU:$AU,0))</f>
        <v>Finance</v>
      </c>
    </row>
    <row r="122" spans="1:97" x14ac:dyDescent="0.2">
      <c r="A122" t="s">
        <v>2590</v>
      </c>
      <c r="B122">
        <v>174</v>
      </c>
      <c r="C122" t="s">
        <v>2590</v>
      </c>
      <c r="D122">
        <v>40736</v>
      </c>
      <c r="E122" t="s">
        <v>2499</v>
      </c>
      <c r="F122">
        <v>2900</v>
      </c>
      <c r="G122" t="s">
        <v>569</v>
      </c>
      <c r="H122" t="s">
        <v>2366</v>
      </c>
      <c r="I122" t="s">
        <v>2366</v>
      </c>
      <c r="J122">
        <v>2904</v>
      </c>
      <c r="K122" t="s">
        <v>1432</v>
      </c>
      <c r="L122">
        <v>3100</v>
      </c>
      <c r="M122" t="s">
        <v>624</v>
      </c>
      <c r="N122">
        <v>3105</v>
      </c>
      <c r="O122" t="s">
        <v>1534</v>
      </c>
      <c r="P122" t="s">
        <v>2366</v>
      </c>
      <c r="Q122" t="s">
        <v>2364</v>
      </c>
      <c r="R122" t="s">
        <v>2364</v>
      </c>
      <c r="S122" t="s">
        <v>1881</v>
      </c>
      <c r="T122" t="s">
        <v>1812</v>
      </c>
      <c r="U122" t="s">
        <v>2365</v>
      </c>
      <c r="V122" t="s">
        <v>2365</v>
      </c>
      <c r="W122" t="s">
        <v>2365</v>
      </c>
      <c r="X122" t="s">
        <v>2365</v>
      </c>
      <c r="Y122" t="s">
        <v>2365</v>
      </c>
      <c r="Z122" t="s">
        <v>2365</v>
      </c>
      <c r="AA122" t="s">
        <v>2365</v>
      </c>
      <c r="AB122" t="s">
        <v>2365</v>
      </c>
      <c r="AC122" s="813" t="s">
        <v>2365</v>
      </c>
      <c r="AD122" s="813" t="s">
        <v>2365</v>
      </c>
      <c r="AE122" s="813" t="s">
        <v>2365</v>
      </c>
      <c r="AF122" t="s">
        <v>2365</v>
      </c>
      <c r="AG122" t="s">
        <v>2365</v>
      </c>
      <c r="AH122" t="s">
        <v>2365</v>
      </c>
      <c r="AI122" t="s">
        <v>2365</v>
      </c>
      <c r="AJ122" t="s">
        <v>2365</v>
      </c>
      <c r="AK122" t="s">
        <v>2365</v>
      </c>
      <c r="AL122" t="s">
        <v>2365</v>
      </c>
      <c r="AM122" t="s">
        <v>2365</v>
      </c>
      <c r="AN122" t="s">
        <v>2365</v>
      </c>
      <c r="AR122" t="s">
        <v>2365</v>
      </c>
      <c r="AS122" t="s">
        <v>2365</v>
      </c>
      <c r="AT122" t="s">
        <v>2365</v>
      </c>
      <c r="AU122" t="s">
        <v>2365</v>
      </c>
      <c r="AV122" t="s">
        <v>2365</v>
      </c>
      <c r="AW122" t="s">
        <v>2365</v>
      </c>
      <c r="AX122" t="s">
        <v>2365</v>
      </c>
      <c r="AY122" t="s">
        <v>2365</v>
      </c>
      <c r="AZ122" t="s">
        <v>2365</v>
      </c>
      <c r="BA122" t="s">
        <v>2365</v>
      </c>
      <c r="BB122" t="s">
        <v>2365</v>
      </c>
      <c r="BC122" t="s">
        <v>2365</v>
      </c>
      <c r="BD122" t="s">
        <v>2366</v>
      </c>
      <c r="BE122" t="s">
        <v>2365</v>
      </c>
      <c r="BF122" t="s">
        <v>2365</v>
      </c>
      <c r="BG122" t="s">
        <v>2365</v>
      </c>
      <c r="BH122" t="s">
        <v>2365</v>
      </c>
      <c r="BI122" t="s">
        <v>2366</v>
      </c>
      <c r="BJ122" t="s">
        <v>2365</v>
      </c>
      <c r="BK122" t="s">
        <v>2365</v>
      </c>
      <c r="BL122" t="s">
        <v>2365</v>
      </c>
      <c r="BM122" t="s">
        <v>2365</v>
      </c>
      <c r="BO122">
        <v>8</v>
      </c>
      <c r="BP122">
        <v>83</v>
      </c>
      <c r="BQ122" t="s">
        <v>2442</v>
      </c>
      <c r="BR122" t="s">
        <v>1534</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R122" t="s">
        <v>2324</v>
      </c>
      <c r="CS122" s="1369" t="str">
        <f>INDEX([8]Sheet1!$H:$H,MATCH(CR:CR,[8]Sheet1!$AU:$AU,0))</f>
        <v>Finance</v>
      </c>
    </row>
    <row r="123" spans="1:97" x14ac:dyDescent="0.2">
      <c r="A123" t="s">
        <v>2591</v>
      </c>
      <c r="B123">
        <v>175</v>
      </c>
      <c r="C123" t="s">
        <v>2591</v>
      </c>
      <c r="D123">
        <v>40731</v>
      </c>
      <c r="E123" t="s">
        <v>2516</v>
      </c>
      <c r="F123">
        <v>2900</v>
      </c>
      <c r="G123" t="s">
        <v>569</v>
      </c>
      <c r="H123" t="s">
        <v>2366</v>
      </c>
      <c r="I123" t="s">
        <v>2366</v>
      </c>
      <c r="J123">
        <v>2904</v>
      </c>
      <c r="K123" t="s">
        <v>1432</v>
      </c>
      <c r="L123">
        <v>2500</v>
      </c>
      <c r="M123" t="s">
        <v>622</v>
      </c>
      <c r="N123">
        <v>2502</v>
      </c>
      <c r="O123" t="s">
        <v>1524</v>
      </c>
      <c r="P123" t="s">
        <v>2366</v>
      </c>
      <c r="Q123" t="s">
        <v>2364</v>
      </c>
      <c r="R123" t="s">
        <v>2364</v>
      </c>
      <c r="S123" t="s">
        <v>1881</v>
      </c>
      <c r="T123" t="s">
        <v>1812</v>
      </c>
      <c r="U123" t="s">
        <v>2365</v>
      </c>
      <c r="V123" t="s">
        <v>2365</v>
      </c>
      <c r="W123" t="s">
        <v>2365</v>
      </c>
      <c r="X123" t="s">
        <v>2365</v>
      </c>
      <c r="Y123" t="s">
        <v>2365</v>
      </c>
      <c r="Z123" t="s">
        <v>2365</v>
      </c>
      <c r="AA123" t="s">
        <v>2365</v>
      </c>
      <c r="AB123" t="s">
        <v>2365</v>
      </c>
      <c r="AC123" s="813" t="s">
        <v>2365</v>
      </c>
      <c r="AD123" s="813" t="s">
        <v>2365</v>
      </c>
      <c r="AE123" s="813" t="s">
        <v>2365</v>
      </c>
      <c r="AF123" t="s">
        <v>2365</v>
      </c>
      <c r="AG123" t="s">
        <v>2365</v>
      </c>
      <c r="AH123" t="s">
        <v>2365</v>
      </c>
      <c r="AI123" t="s">
        <v>2365</v>
      </c>
      <c r="AJ123" t="s">
        <v>2365</v>
      </c>
      <c r="AK123" t="s">
        <v>2365</v>
      </c>
      <c r="AL123" t="s">
        <v>2365</v>
      </c>
      <c r="AM123" t="s">
        <v>2365</v>
      </c>
      <c r="AN123" t="s">
        <v>2365</v>
      </c>
      <c r="AR123" t="s">
        <v>2365</v>
      </c>
      <c r="AS123" t="s">
        <v>2365</v>
      </c>
      <c r="AT123" t="s">
        <v>2365</v>
      </c>
      <c r="AU123" t="s">
        <v>2365</v>
      </c>
      <c r="AV123" t="s">
        <v>2365</v>
      </c>
      <c r="AW123" t="s">
        <v>2365</v>
      </c>
      <c r="AX123" t="s">
        <v>2365</v>
      </c>
      <c r="AY123" t="s">
        <v>2365</v>
      </c>
      <c r="AZ123" t="s">
        <v>2365</v>
      </c>
      <c r="BA123" t="s">
        <v>2365</v>
      </c>
      <c r="BB123" t="s">
        <v>2365</v>
      </c>
      <c r="BC123" t="s">
        <v>2365</v>
      </c>
      <c r="BD123" t="s">
        <v>2366</v>
      </c>
      <c r="BE123" t="s">
        <v>2365</v>
      </c>
      <c r="BF123" t="s">
        <v>2365</v>
      </c>
      <c r="BG123" t="s">
        <v>2365</v>
      </c>
      <c r="BH123" t="s">
        <v>2365</v>
      </c>
      <c r="BI123" t="s">
        <v>2366</v>
      </c>
      <c r="BJ123" t="s">
        <v>2365</v>
      </c>
      <c r="BK123" t="s">
        <v>2365</v>
      </c>
      <c r="BL123" t="s">
        <v>2365</v>
      </c>
      <c r="BM123" t="s">
        <v>2365</v>
      </c>
      <c r="BO123">
        <v>15</v>
      </c>
      <c r="BP123">
        <v>151</v>
      </c>
      <c r="BQ123" t="s">
        <v>622</v>
      </c>
      <c r="BR123" t="s">
        <v>1524</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R123" t="s">
        <v>2324</v>
      </c>
      <c r="CS123" s="1369" t="str">
        <f>INDEX([8]Sheet1!$H:$H,MATCH(CR:CR,[8]Sheet1!$AU:$AU,0))</f>
        <v>Finance</v>
      </c>
    </row>
    <row r="124" spans="1:97" x14ac:dyDescent="0.2">
      <c r="A124" t="s">
        <v>2592</v>
      </c>
      <c r="B124">
        <v>176</v>
      </c>
      <c r="C124" t="s">
        <v>2592</v>
      </c>
      <c r="D124">
        <v>40730</v>
      </c>
      <c r="E124" t="s">
        <v>2499</v>
      </c>
      <c r="F124">
        <v>2900</v>
      </c>
      <c r="G124" t="s">
        <v>569</v>
      </c>
      <c r="H124" t="s">
        <v>2366</v>
      </c>
      <c r="I124" t="s">
        <v>2366</v>
      </c>
      <c r="J124">
        <v>2904</v>
      </c>
      <c r="K124" t="s">
        <v>1432</v>
      </c>
      <c r="L124">
        <v>2500</v>
      </c>
      <c r="M124" t="s">
        <v>622</v>
      </c>
      <c r="N124">
        <v>2502</v>
      </c>
      <c r="O124" t="s">
        <v>1524</v>
      </c>
      <c r="P124" t="s">
        <v>2366</v>
      </c>
      <c r="Q124" t="s">
        <v>2364</v>
      </c>
      <c r="R124" t="s">
        <v>2364</v>
      </c>
      <c r="S124" t="s">
        <v>1881</v>
      </c>
      <c r="T124" t="s">
        <v>1812</v>
      </c>
      <c r="U124" t="s">
        <v>2365</v>
      </c>
      <c r="V124" t="s">
        <v>2365</v>
      </c>
      <c r="W124" t="s">
        <v>2365</v>
      </c>
      <c r="X124" t="s">
        <v>2365</v>
      </c>
      <c r="Y124" t="s">
        <v>2365</v>
      </c>
      <c r="Z124" t="s">
        <v>2365</v>
      </c>
      <c r="AA124" t="s">
        <v>2365</v>
      </c>
      <c r="AB124" t="s">
        <v>2365</v>
      </c>
      <c r="AC124" s="813" t="s">
        <v>2365</v>
      </c>
      <c r="AD124" s="813" t="s">
        <v>2365</v>
      </c>
      <c r="AE124" s="813" t="s">
        <v>2365</v>
      </c>
      <c r="AF124" t="s">
        <v>2365</v>
      </c>
      <c r="AG124" t="s">
        <v>2365</v>
      </c>
      <c r="AH124" t="s">
        <v>2365</v>
      </c>
      <c r="AI124" t="s">
        <v>2365</v>
      </c>
      <c r="AJ124" t="s">
        <v>2365</v>
      </c>
      <c r="AK124" t="s">
        <v>2365</v>
      </c>
      <c r="AL124" t="s">
        <v>2365</v>
      </c>
      <c r="AM124" t="s">
        <v>2365</v>
      </c>
      <c r="AN124" t="s">
        <v>2365</v>
      </c>
      <c r="AR124" t="s">
        <v>2365</v>
      </c>
      <c r="AS124" t="s">
        <v>2365</v>
      </c>
      <c r="AT124" t="s">
        <v>2365</v>
      </c>
      <c r="AU124" t="s">
        <v>2365</v>
      </c>
      <c r="AV124" t="s">
        <v>2365</v>
      </c>
      <c r="AW124" t="s">
        <v>2365</v>
      </c>
      <c r="AX124" t="s">
        <v>2365</v>
      </c>
      <c r="AY124" t="s">
        <v>2365</v>
      </c>
      <c r="AZ124" t="s">
        <v>2365</v>
      </c>
      <c r="BA124" t="s">
        <v>2365</v>
      </c>
      <c r="BB124" t="s">
        <v>2365</v>
      </c>
      <c r="BC124" t="s">
        <v>2365</v>
      </c>
      <c r="BD124" t="s">
        <v>2366</v>
      </c>
      <c r="BE124" t="s">
        <v>2365</v>
      </c>
      <c r="BF124" t="s">
        <v>2365</v>
      </c>
      <c r="BG124" t="s">
        <v>2365</v>
      </c>
      <c r="BH124" t="s">
        <v>2365</v>
      </c>
      <c r="BI124" t="s">
        <v>2366</v>
      </c>
      <c r="BJ124" t="s">
        <v>2365</v>
      </c>
      <c r="BK124" t="s">
        <v>2365</v>
      </c>
      <c r="BL124" t="s">
        <v>2365</v>
      </c>
      <c r="BM124" t="s">
        <v>2365</v>
      </c>
      <c r="BO124">
        <v>15</v>
      </c>
      <c r="BP124">
        <v>151</v>
      </c>
      <c r="BQ124" t="s">
        <v>622</v>
      </c>
      <c r="BR124" t="s">
        <v>1524</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R124" t="s">
        <v>2324</v>
      </c>
      <c r="CS124" s="1369" t="str">
        <f>INDEX([8]Sheet1!$H:$H,MATCH(CR:CR,[8]Sheet1!$AU:$AU,0))</f>
        <v>Finance</v>
      </c>
    </row>
    <row r="125" spans="1:97" x14ac:dyDescent="0.2">
      <c r="A125" t="s">
        <v>2593</v>
      </c>
      <c r="B125">
        <v>177</v>
      </c>
      <c r="C125" t="s">
        <v>2593</v>
      </c>
      <c r="D125">
        <v>40727</v>
      </c>
      <c r="E125" t="s">
        <v>2430</v>
      </c>
      <c r="F125">
        <v>2700</v>
      </c>
      <c r="G125" t="s">
        <v>656</v>
      </c>
      <c r="H125" t="s">
        <v>2428</v>
      </c>
      <c r="I125" t="s">
        <v>1800</v>
      </c>
      <c r="J125">
        <v>2701</v>
      </c>
      <c r="K125" t="s">
        <v>1800</v>
      </c>
      <c r="L125">
        <v>2500</v>
      </c>
      <c r="M125" t="s">
        <v>622</v>
      </c>
      <c r="N125">
        <v>2502</v>
      </c>
      <c r="O125" t="s">
        <v>1524</v>
      </c>
      <c r="P125" t="s">
        <v>2366</v>
      </c>
      <c r="Q125" t="s">
        <v>2364</v>
      </c>
      <c r="R125" t="s">
        <v>2364</v>
      </c>
      <c r="S125" t="s">
        <v>1881</v>
      </c>
      <c r="T125" t="s">
        <v>1812</v>
      </c>
      <c r="U125" t="s">
        <v>2365</v>
      </c>
      <c r="V125" t="s">
        <v>2365</v>
      </c>
      <c r="W125" t="s">
        <v>2365</v>
      </c>
      <c r="X125" t="s">
        <v>2365</v>
      </c>
      <c r="Y125" t="s">
        <v>2365</v>
      </c>
      <c r="Z125" t="s">
        <v>2365</v>
      </c>
      <c r="AA125" t="s">
        <v>2365</v>
      </c>
      <c r="AB125" t="s">
        <v>2365</v>
      </c>
      <c r="AC125" s="813" t="s">
        <v>2365</v>
      </c>
      <c r="AD125" s="813" t="s">
        <v>2365</v>
      </c>
      <c r="AE125" s="813" t="s">
        <v>2365</v>
      </c>
      <c r="AF125" t="s">
        <v>2365</v>
      </c>
      <c r="AG125" t="s">
        <v>2365</v>
      </c>
      <c r="AH125" t="s">
        <v>2365</v>
      </c>
      <c r="AI125" t="s">
        <v>2365</v>
      </c>
      <c r="AJ125" t="s">
        <v>2365</v>
      </c>
      <c r="AK125" t="s">
        <v>2365</v>
      </c>
      <c r="AL125" t="s">
        <v>2365</v>
      </c>
      <c r="AM125" t="s">
        <v>2365</v>
      </c>
      <c r="AN125" t="s">
        <v>2365</v>
      </c>
      <c r="AR125" t="s">
        <v>2365</v>
      </c>
      <c r="AS125" t="s">
        <v>2365</v>
      </c>
      <c r="AT125" t="s">
        <v>2365</v>
      </c>
      <c r="AU125" t="s">
        <v>2365</v>
      </c>
      <c r="AV125" t="s">
        <v>2365</v>
      </c>
      <c r="AW125" t="s">
        <v>2365</v>
      </c>
      <c r="AX125" t="s">
        <v>2365</v>
      </c>
      <c r="AY125" t="s">
        <v>2365</v>
      </c>
      <c r="AZ125" t="s">
        <v>2365</v>
      </c>
      <c r="BA125" t="s">
        <v>2365</v>
      </c>
      <c r="BB125" t="s">
        <v>2365</v>
      </c>
      <c r="BC125" t="s">
        <v>2365</v>
      </c>
      <c r="BD125" t="s">
        <v>2366</v>
      </c>
      <c r="BE125" t="s">
        <v>2365</v>
      </c>
      <c r="BF125" t="s">
        <v>2365</v>
      </c>
      <c r="BG125" t="s">
        <v>2365</v>
      </c>
      <c r="BH125" t="s">
        <v>2365</v>
      </c>
      <c r="BI125" t="s">
        <v>2366</v>
      </c>
      <c r="BJ125" t="s">
        <v>2365</v>
      </c>
      <c r="BK125" t="s">
        <v>2365</v>
      </c>
      <c r="BL125" t="s">
        <v>2365</v>
      </c>
      <c r="BM125" t="s">
        <v>2365</v>
      </c>
      <c r="BO125">
        <v>15</v>
      </c>
      <c r="BP125">
        <v>151</v>
      </c>
      <c r="BQ125" t="s">
        <v>622</v>
      </c>
      <c r="BR125" t="s">
        <v>1524</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R125" t="s">
        <v>2325</v>
      </c>
      <c r="CS125" s="1369" t="str">
        <f>INDEX([8]Sheet1!$H:$H,MATCH(CR:CR,[8]Sheet1!$AU:$AU,0))</f>
        <v>Asset Management</v>
      </c>
    </row>
    <row r="126" spans="1:97" x14ac:dyDescent="0.2">
      <c r="A126" t="s">
        <v>2594</v>
      </c>
      <c r="B126">
        <v>178</v>
      </c>
      <c r="C126" t="s">
        <v>2594</v>
      </c>
      <c r="D126">
        <v>40728</v>
      </c>
      <c r="E126" t="s">
        <v>2427</v>
      </c>
      <c r="F126">
        <v>2700</v>
      </c>
      <c r="G126" t="s">
        <v>656</v>
      </c>
      <c r="H126" t="s">
        <v>2428</v>
      </c>
      <c r="I126" t="s">
        <v>1800</v>
      </c>
      <c r="J126">
        <v>2701</v>
      </c>
      <c r="K126" t="s">
        <v>1800</v>
      </c>
      <c r="L126">
        <v>2500</v>
      </c>
      <c r="M126" t="s">
        <v>622</v>
      </c>
      <c r="N126">
        <v>2502</v>
      </c>
      <c r="O126" t="s">
        <v>1524</v>
      </c>
      <c r="P126" t="s">
        <v>2366</v>
      </c>
      <c r="Q126" t="s">
        <v>2364</v>
      </c>
      <c r="R126" t="s">
        <v>2364</v>
      </c>
      <c r="S126" t="s">
        <v>1881</v>
      </c>
      <c r="T126" t="s">
        <v>1812</v>
      </c>
      <c r="U126" t="s">
        <v>2365</v>
      </c>
      <c r="V126" t="s">
        <v>2365</v>
      </c>
      <c r="W126" t="s">
        <v>2365</v>
      </c>
      <c r="X126" t="s">
        <v>2365</v>
      </c>
      <c r="Y126" t="s">
        <v>2365</v>
      </c>
      <c r="Z126" t="s">
        <v>2365</v>
      </c>
      <c r="AA126" t="s">
        <v>2365</v>
      </c>
      <c r="AB126" t="s">
        <v>2365</v>
      </c>
      <c r="AC126" s="813" t="s">
        <v>2365</v>
      </c>
      <c r="AD126" s="813" t="s">
        <v>2365</v>
      </c>
      <c r="AE126" s="813" t="s">
        <v>2365</v>
      </c>
      <c r="AF126" t="s">
        <v>2365</v>
      </c>
      <c r="AG126" t="s">
        <v>2365</v>
      </c>
      <c r="AH126" t="s">
        <v>2365</v>
      </c>
      <c r="AI126" t="s">
        <v>2365</v>
      </c>
      <c r="AJ126" t="s">
        <v>2365</v>
      </c>
      <c r="AK126" t="s">
        <v>2365</v>
      </c>
      <c r="AL126" t="s">
        <v>2365</v>
      </c>
      <c r="AM126" t="s">
        <v>2365</v>
      </c>
      <c r="AN126" t="s">
        <v>2365</v>
      </c>
      <c r="AR126" t="s">
        <v>2365</v>
      </c>
      <c r="AS126" t="s">
        <v>2365</v>
      </c>
      <c r="AT126" t="s">
        <v>2365</v>
      </c>
      <c r="AU126" t="s">
        <v>2365</v>
      </c>
      <c r="AV126" t="s">
        <v>2365</v>
      </c>
      <c r="AW126" t="s">
        <v>2365</v>
      </c>
      <c r="AX126" t="s">
        <v>2365</v>
      </c>
      <c r="AY126" t="s">
        <v>2365</v>
      </c>
      <c r="AZ126" t="s">
        <v>2365</v>
      </c>
      <c r="BA126" t="s">
        <v>2365</v>
      </c>
      <c r="BB126" t="s">
        <v>2365</v>
      </c>
      <c r="BC126" t="s">
        <v>2365</v>
      </c>
      <c r="BD126" t="s">
        <v>2366</v>
      </c>
      <c r="BE126" t="s">
        <v>2365</v>
      </c>
      <c r="BF126" t="s">
        <v>2365</v>
      </c>
      <c r="BG126" t="s">
        <v>2365</v>
      </c>
      <c r="BH126" t="s">
        <v>2365</v>
      </c>
      <c r="BI126" t="s">
        <v>2366</v>
      </c>
      <c r="BJ126" t="s">
        <v>2365</v>
      </c>
      <c r="BK126" t="s">
        <v>2365</v>
      </c>
      <c r="BL126" t="s">
        <v>2365</v>
      </c>
      <c r="BM126" t="s">
        <v>2365</v>
      </c>
      <c r="BO126">
        <v>15</v>
      </c>
      <c r="BP126">
        <v>151</v>
      </c>
      <c r="BQ126" t="s">
        <v>622</v>
      </c>
      <c r="BR126" t="s">
        <v>1524</v>
      </c>
      <c r="BU126">
        <v>30000</v>
      </c>
      <c r="BV126">
        <v>0</v>
      </c>
      <c r="BW126">
        <v>30000</v>
      </c>
      <c r="BX126">
        <v>-17520</v>
      </c>
      <c r="BY126">
        <v>12480</v>
      </c>
      <c r="BZ126">
        <v>31800</v>
      </c>
      <c r="CA126">
        <v>33708</v>
      </c>
      <c r="CB126">
        <v>0</v>
      </c>
      <c r="CC126">
        <v>0</v>
      </c>
      <c r="CD126">
        <v>0</v>
      </c>
      <c r="CE126">
        <v>480.2</v>
      </c>
      <c r="CF126">
        <v>0</v>
      </c>
      <c r="CG126">
        <v>42000</v>
      </c>
      <c r="CH126">
        <v>0</v>
      </c>
      <c r="CI126">
        <v>0</v>
      </c>
      <c r="CJ126">
        <v>0</v>
      </c>
      <c r="CK126">
        <v>0</v>
      </c>
      <c r="CL126">
        <v>0</v>
      </c>
      <c r="CM126">
        <v>0</v>
      </c>
      <c r="CR126" t="s">
        <v>2326</v>
      </c>
      <c r="CS126" s="1369" t="str">
        <f>INDEX([8]Sheet1!$H:$H,MATCH(CR:CR,[8]Sheet1!$AU:$AU,0))</f>
        <v>Supply Chain Management</v>
      </c>
    </row>
    <row r="127" spans="1:97" x14ac:dyDescent="0.2">
      <c r="A127" t="s">
        <v>2595</v>
      </c>
      <c r="B127">
        <v>179</v>
      </c>
      <c r="C127" t="s">
        <v>2595</v>
      </c>
      <c r="D127">
        <v>40729</v>
      </c>
      <c r="E127" t="s">
        <v>2596</v>
      </c>
      <c r="F127">
        <v>2900</v>
      </c>
      <c r="G127" t="s">
        <v>569</v>
      </c>
      <c r="H127" t="s">
        <v>2366</v>
      </c>
      <c r="I127" t="s">
        <v>2366</v>
      </c>
      <c r="J127">
        <v>2904</v>
      </c>
      <c r="K127" t="s">
        <v>1432</v>
      </c>
      <c r="L127">
        <v>2500</v>
      </c>
      <c r="M127" t="s">
        <v>622</v>
      </c>
      <c r="N127">
        <v>2502</v>
      </c>
      <c r="O127" t="s">
        <v>1524</v>
      </c>
      <c r="P127" t="s">
        <v>2366</v>
      </c>
      <c r="Q127" t="s">
        <v>2364</v>
      </c>
      <c r="R127" t="s">
        <v>2364</v>
      </c>
      <c r="S127" t="s">
        <v>1881</v>
      </c>
      <c r="T127" t="s">
        <v>1812</v>
      </c>
      <c r="U127" t="s">
        <v>2365</v>
      </c>
      <c r="V127" t="s">
        <v>2365</v>
      </c>
      <c r="W127" t="s">
        <v>2365</v>
      </c>
      <c r="X127" t="s">
        <v>2365</v>
      </c>
      <c r="Y127" t="s">
        <v>2365</v>
      </c>
      <c r="Z127" t="s">
        <v>2365</v>
      </c>
      <c r="AA127" t="s">
        <v>2365</v>
      </c>
      <c r="AB127" t="s">
        <v>2365</v>
      </c>
      <c r="AC127" s="813" t="s">
        <v>2365</v>
      </c>
      <c r="AD127" s="813" t="s">
        <v>2365</v>
      </c>
      <c r="AE127" s="813" t="s">
        <v>2365</v>
      </c>
      <c r="AF127" t="s">
        <v>2365</v>
      </c>
      <c r="AG127" t="s">
        <v>2365</v>
      </c>
      <c r="AH127" t="s">
        <v>2365</v>
      </c>
      <c r="AI127" t="s">
        <v>2365</v>
      </c>
      <c r="AJ127" t="s">
        <v>2365</v>
      </c>
      <c r="AK127" t="s">
        <v>2365</v>
      </c>
      <c r="AL127" t="s">
        <v>2365</v>
      </c>
      <c r="AM127" t="s">
        <v>2365</v>
      </c>
      <c r="AN127" t="s">
        <v>2365</v>
      </c>
      <c r="AR127" t="s">
        <v>2365</v>
      </c>
      <c r="AS127" t="s">
        <v>2365</v>
      </c>
      <c r="AT127" t="s">
        <v>2365</v>
      </c>
      <c r="AU127" t="s">
        <v>2365</v>
      </c>
      <c r="AV127" t="s">
        <v>2365</v>
      </c>
      <c r="AW127" t="s">
        <v>2365</v>
      </c>
      <c r="AX127" t="s">
        <v>2365</v>
      </c>
      <c r="AY127" t="s">
        <v>2365</v>
      </c>
      <c r="AZ127" t="s">
        <v>2365</v>
      </c>
      <c r="BA127" t="s">
        <v>2365</v>
      </c>
      <c r="BB127" t="s">
        <v>2365</v>
      </c>
      <c r="BC127" t="s">
        <v>2365</v>
      </c>
      <c r="BD127" t="s">
        <v>2366</v>
      </c>
      <c r="BE127" t="s">
        <v>2365</v>
      </c>
      <c r="BF127" t="s">
        <v>2365</v>
      </c>
      <c r="BG127" t="s">
        <v>2365</v>
      </c>
      <c r="BH127" t="s">
        <v>2365</v>
      </c>
      <c r="BI127" t="s">
        <v>2366</v>
      </c>
      <c r="BJ127" t="s">
        <v>2365</v>
      </c>
      <c r="BK127" t="s">
        <v>2365</v>
      </c>
      <c r="BL127" t="s">
        <v>2365</v>
      </c>
      <c r="BM127" t="s">
        <v>2365</v>
      </c>
      <c r="BO127">
        <v>15</v>
      </c>
      <c r="BP127">
        <v>151</v>
      </c>
      <c r="BQ127" t="s">
        <v>622</v>
      </c>
      <c r="BR127" t="s">
        <v>1524</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R127" t="s">
        <v>2325</v>
      </c>
      <c r="CS127" s="1369" t="str">
        <f>INDEX([8]Sheet1!$H:$H,MATCH(CR:CR,[8]Sheet1!$AU:$AU,0))</f>
        <v>Asset Management</v>
      </c>
    </row>
    <row r="128" spans="1:97" x14ac:dyDescent="0.2">
      <c r="A128" t="s">
        <v>2597</v>
      </c>
      <c r="B128">
        <v>180</v>
      </c>
      <c r="C128" t="s">
        <v>2597</v>
      </c>
      <c r="D128">
        <v>40726</v>
      </c>
      <c r="E128" t="s">
        <v>2516</v>
      </c>
      <c r="F128">
        <v>2900</v>
      </c>
      <c r="G128" t="s">
        <v>569</v>
      </c>
      <c r="H128" t="s">
        <v>2366</v>
      </c>
      <c r="I128" t="s">
        <v>2366</v>
      </c>
      <c r="J128">
        <v>2904</v>
      </c>
      <c r="K128" t="s">
        <v>1432</v>
      </c>
      <c r="L128">
        <v>2500</v>
      </c>
      <c r="M128" t="s">
        <v>622</v>
      </c>
      <c r="N128">
        <v>2502</v>
      </c>
      <c r="O128" t="s">
        <v>1524</v>
      </c>
      <c r="P128" t="s">
        <v>2366</v>
      </c>
      <c r="Q128" t="s">
        <v>2364</v>
      </c>
      <c r="R128" t="s">
        <v>2364</v>
      </c>
      <c r="S128" t="s">
        <v>1881</v>
      </c>
      <c r="T128" t="s">
        <v>1812</v>
      </c>
      <c r="U128" t="s">
        <v>2365</v>
      </c>
      <c r="V128" t="s">
        <v>2365</v>
      </c>
      <c r="W128" t="s">
        <v>2365</v>
      </c>
      <c r="X128" t="s">
        <v>2365</v>
      </c>
      <c r="Y128" t="s">
        <v>2365</v>
      </c>
      <c r="Z128" t="s">
        <v>2365</v>
      </c>
      <c r="AA128" t="s">
        <v>2365</v>
      </c>
      <c r="AB128" t="s">
        <v>2365</v>
      </c>
      <c r="AC128" s="813" t="s">
        <v>2365</v>
      </c>
      <c r="AD128" s="813" t="s">
        <v>2365</v>
      </c>
      <c r="AE128" s="813" t="s">
        <v>2365</v>
      </c>
      <c r="AF128" t="s">
        <v>2365</v>
      </c>
      <c r="AG128" t="s">
        <v>2365</v>
      </c>
      <c r="AH128" t="s">
        <v>2365</v>
      </c>
      <c r="AI128" t="s">
        <v>2365</v>
      </c>
      <c r="AJ128" t="s">
        <v>2365</v>
      </c>
      <c r="AK128" t="s">
        <v>2365</v>
      </c>
      <c r="AL128" t="s">
        <v>2365</v>
      </c>
      <c r="AM128" t="s">
        <v>2365</v>
      </c>
      <c r="AN128" t="s">
        <v>2365</v>
      </c>
      <c r="AR128" t="s">
        <v>2365</v>
      </c>
      <c r="AS128" t="s">
        <v>2365</v>
      </c>
      <c r="AT128" t="s">
        <v>2365</v>
      </c>
      <c r="AU128" t="s">
        <v>2365</v>
      </c>
      <c r="AV128" t="s">
        <v>2365</v>
      </c>
      <c r="AW128" t="s">
        <v>2365</v>
      </c>
      <c r="AX128" t="s">
        <v>2365</v>
      </c>
      <c r="AY128" t="s">
        <v>2365</v>
      </c>
      <c r="AZ128" t="s">
        <v>2365</v>
      </c>
      <c r="BA128" t="s">
        <v>2365</v>
      </c>
      <c r="BB128" t="s">
        <v>2365</v>
      </c>
      <c r="BC128" t="s">
        <v>2365</v>
      </c>
      <c r="BD128" t="s">
        <v>2366</v>
      </c>
      <c r="BE128" t="s">
        <v>2365</v>
      </c>
      <c r="BF128" t="s">
        <v>2365</v>
      </c>
      <c r="BG128" t="s">
        <v>2365</v>
      </c>
      <c r="BH128" t="s">
        <v>2365</v>
      </c>
      <c r="BI128" t="s">
        <v>2366</v>
      </c>
      <c r="BJ128" t="s">
        <v>2365</v>
      </c>
      <c r="BK128" t="s">
        <v>2365</v>
      </c>
      <c r="BL128" t="s">
        <v>2365</v>
      </c>
      <c r="BM128" t="s">
        <v>2365</v>
      </c>
      <c r="BO128">
        <v>15</v>
      </c>
      <c r="BP128">
        <v>151</v>
      </c>
      <c r="BQ128" t="s">
        <v>622</v>
      </c>
      <c r="BR128" t="s">
        <v>1524</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R128" t="s">
        <v>2325</v>
      </c>
      <c r="CS128" s="1369" t="str">
        <f>INDEX([8]Sheet1!$H:$H,MATCH(CR:CR,[8]Sheet1!$AU:$AU,0))</f>
        <v>Asset Management</v>
      </c>
    </row>
    <row r="129" spans="1:97" x14ac:dyDescent="0.2">
      <c r="A129" t="s">
        <v>2598</v>
      </c>
      <c r="B129">
        <v>181</v>
      </c>
      <c r="C129" t="s">
        <v>2598</v>
      </c>
      <c r="D129">
        <v>40721</v>
      </c>
      <c r="E129" t="s">
        <v>2493</v>
      </c>
      <c r="F129">
        <v>2900</v>
      </c>
      <c r="G129" t="s">
        <v>569</v>
      </c>
      <c r="H129" t="s">
        <v>2366</v>
      </c>
      <c r="I129" t="s">
        <v>2366</v>
      </c>
      <c r="J129">
        <v>2904</v>
      </c>
      <c r="K129" t="s">
        <v>1432</v>
      </c>
      <c r="L129">
        <v>2500</v>
      </c>
      <c r="M129" t="s">
        <v>622</v>
      </c>
      <c r="N129">
        <v>2502</v>
      </c>
      <c r="O129" t="s">
        <v>1524</v>
      </c>
      <c r="P129" t="s">
        <v>2366</v>
      </c>
      <c r="Q129" t="s">
        <v>2364</v>
      </c>
      <c r="R129" t="s">
        <v>2364</v>
      </c>
      <c r="S129" t="s">
        <v>1881</v>
      </c>
      <c r="T129" t="s">
        <v>1812</v>
      </c>
      <c r="U129" t="s">
        <v>2365</v>
      </c>
      <c r="V129" t="s">
        <v>2365</v>
      </c>
      <c r="W129" t="s">
        <v>2365</v>
      </c>
      <c r="X129" t="s">
        <v>2365</v>
      </c>
      <c r="Y129" t="s">
        <v>2365</v>
      </c>
      <c r="Z129" t="s">
        <v>2365</v>
      </c>
      <c r="AA129" t="s">
        <v>2365</v>
      </c>
      <c r="AB129" t="s">
        <v>2365</v>
      </c>
      <c r="AC129" s="813" t="s">
        <v>2365</v>
      </c>
      <c r="AD129" s="813" t="s">
        <v>2365</v>
      </c>
      <c r="AE129" s="813" t="s">
        <v>2365</v>
      </c>
      <c r="AF129" t="s">
        <v>2365</v>
      </c>
      <c r="AG129" t="s">
        <v>2365</v>
      </c>
      <c r="AH129" t="s">
        <v>2365</v>
      </c>
      <c r="AI129" t="s">
        <v>2365</v>
      </c>
      <c r="AJ129" t="s">
        <v>2365</v>
      </c>
      <c r="AK129" t="s">
        <v>2365</v>
      </c>
      <c r="AL129" t="s">
        <v>2365</v>
      </c>
      <c r="AM129" t="s">
        <v>2365</v>
      </c>
      <c r="AN129" t="s">
        <v>2365</v>
      </c>
      <c r="AR129" t="s">
        <v>2365</v>
      </c>
      <c r="AS129" t="s">
        <v>2365</v>
      </c>
      <c r="AT129" t="s">
        <v>2365</v>
      </c>
      <c r="AU129" t="s">
        <v>2365</v>
      </c>
      <c r="AV129" t="s">
        <v>2365</v>
      </c>
      <c r="AW129" t="s">
        <v>2365</v>
      </c>
      <c r="AX129" t="s">
        <v>2365</v>
      </c>
      <c r="AY129" t="s">
        <v>2365</v>
      </c>
      <c r="AZ129" t="s">
        <v>2365</v>
      </c>
      <c r="BA129" t="s">
        <v>2365</v>
      </c>
      <c r="BB129" t="s">
        <v>2365</v>
      </c>
      <c r="BC129" t="s">
        <v>2365</v>
      </c>
      <c r="BD129" t="s">
        <v>2366</v>
      </c>
      <c r="BE129" t="s">
        <v>2365</v>
      </c>
      <c r="BF129" t="s">
        <v>2365</v>
      </c>
      <c r="BG129" t="s">
        <v>2365</v>
      </c>
      <c r="BH129" t="s">
        <v>2365</v>
      </c>
      <c r="BI129" t="s">
        <v>2366</v>
      </c>
      <c r="BJ129" t="s">
        <v>2365</v>
      </c>
      <c r="BK129" t="s">
        <v>2365</v>
      </c>
      <c r="BL129" t="s">
        <v>2365</v>
      </c>
      <c r="BM129" t="s">
        <v>2365</v>
      </c>
      <c r="BO129">
        <v>15</v>
      </c>
      <c r="BP129">
        <v>151</v>
      </c>
      <c r="BQ129" t="s">
        <v>622</v>
      </c>
      <c r="BR129" t="s">
        <v>1524</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R129" t="s">
        <v>2326</v>
      </c>
      <c r="CS129" s="1369" t="str">
        <f>INDEX([8]Sheet1!$H:$H,MATCH(CR:CR,[8]Sheet1!$AU:$AU,0))</f>
        <v>Supply Chain Management</v>
      </c>
    </row>
    <row r="130" spans="1:97" x14ac:dyDescent="0.2">
      <c r="A130" t="s">
        <v>2599</v>
      </c>
      <c r="B130">
        <v>182</v>
      </c>
      <c r="C130" t="s">
        <v>2599</v>
      </c>
      <c r="D130">
        <v>40722</v>
      </c>
      <c r="E130" t="s">
        <v>2600</v>
      </c>
      <c r="F130">
        <v>2900</v>
      </c>
      <c r="G130" t="s">
        <v>569</v>
      </c>
      <c r="H130" t="s">
        <v>2366</v>
      </c>
      <c r="I130" t="s">
        <v>2366</v>
      </c>
      <c r="J130">
        <v>2904</v>
      </c>
      <c r="K130" t="s">
        <v>1432</v>
      </c>
      <c r="L130">
        <v>2500</v>
      </c>
      <c r="M130" t="s">
        <v>622</v>
      </c>
      <c r="N130">
        <v>2502</v>
      </c>
      <c r="O130" t="s">
        <v>1524</v>
      </c>
      <c r="P130" t="s">
        <v>2366</v>
      </c>
      <c r="Q130" t="s">
        <v>2364</v>
      </c>
      <c r="R130" t="s">
        <v>2364</v>
      </c>
      <c r="S130" t="s">
        <v>1881</v>
      </c>
      <c r="T130" t="s">
        <v>1812</v>
      </c>
      <c r="U130" t="s">
        <v>2365</v>
      </c>
      <c r="V130" t="s">
        <v>2365</v>
      </c>
      <c r="W130" t="s">
        <v>2365</v>
      </c>
      <c r="X130" t="s">
        <v>2365</v>
      </c>
      <c r="Y130" t="s">
        <v>2365</v>
      </c>
      <c r="Z130" t="s">
        <v>2365</v>
      </c>
      <c r="AA130" t="s">
        <v>2365</v>
      </c>
      <c r="AB130" t="s">
        <v>2365</v>
      </c>
      <c r="AC130" s="813" t="s">
        <v>2365</v>
      </c>
      <c r="AD130" s="813" t="s">
        <v>2365</v>
      </c>
      <c r="AE130" s="813" t="s">
        <v>2365</v>
      </c>
      <c r="AF130" t="s">
        <v>2365</v>
      </c>
      <c r="AG130" t="s">
        <v>2365</v>
      </c>
      <c r="AH130" t="s">
        <v>2365</v>
      </c>
      <c r="AI130" t="s">
        <v>2365</v>
      </c>
      <c r="AJ130" t="s">
        <v>2365</v>
      </c>
      <c r="AK130" t="s">
        <v>2365</v>
      </c>
      <c r="AL130" t="s">
        <v>2365</v>
      </c>
      <c r="AM130" t="s">
        <v>2365</v>
      </c>
      <c r="AN130" t="s">
        <v>2365</v>
      </c>
      <c r="AR130" t="s">
        <v>2365</v>
      </c>
      <c r="AS130" t="s">
        <v>2365</v>
      </c>
      <c r="AT130" t="s">
        <v>2365</v>
      </c>
      <c r="AU130" t="s">
        <v>2365</v>
      </c>
      <c r="AV130" t="s">
        <v>2365</v>
      </c>
      <c r="AW130" t="s">
        <v>2365</v>
      </c>
      <c r="AX130" t="s">
        <v>2365</v>
      </c>
      <c r="AY130" t="s">
        <v>2365</v>
      </c>
      <c r="AZ130" t="s">
        <v>2365</v>
      </c>
      <c r="BA130" t="s">
        <v>2365</v>
      </c>
      <c r="BB130" t="s">
        <v>2365</v>
      </c>
      <c r="BC130" t="s">
        <v>2365</v>
      </c>
      <c r="BD130" t="s">
        <v>2366</v>
      </c>
      <c r="BE130" t="s">
        <v>2365</v>
      </c>
      <c r="BF130" t="s">
        <v>2365</v>
      </c>
      <c r="BG130" t="s">
        <v>2365</v>
      </c>
      <c r="BH130" t="s">
        <v>2365</v>
      </c>
      <c r="BI130" t="s">
        <v>2366</v>
      </c>
      <c r="BJ130" t="s">
        <v>2365</v>
      </c>
      <c r="BK130" t="s">
        <v>2365</v>
      </c>
      <c r="BL130" t="s">
        <v>2365</v>
      </c>
      <c r="BM130" t="s">
        <v>2365</v>
      </c>
      <c r="BO130">
        <v>15</v>
      </c>
      <c r="BP130">
        <v>151</v>
      </c>
      <c r="BQ130" t="s">
        <v>622</v>
      </c>
      <c r="BR130" t="s">
        <v>1524</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R130" t="s">
        <v>2326</v>
      </c>
      <c r="CS130" s="1369" t="str">
        <f>INDEX([8]Sheet1!$H:$H,MATCH(CR:CR,[8]Sheet1!$AU:$AU,0))</f>
        <v>Supply Chain Management</v>
      </c>
    </row>
    <row r="131" spans="1:97" x14ac:dyDescent="0.2">
      <c r="A131" t="s">
        <v>2601</v>
      </c>
      <c r="B131">
        <v>183</v>
      </c>
      <c r="C131" t="s">
        <v>2601</v>
      </c>
      <c r="D131">
        <v>40723</v>
      </c>
      <c r="E131" t="s">
        <v>2432</v>
      </c>
      <c r="F131">
        <v>2600</v>
      </c>
      <c r="G131" t="s">
        <v>655</v>
      </c>
      <c r="H131">
        <v>2600</v>
      </c>
      <c r="I131" t="s">
        <v>655</v>
      </c>
      <c r="J131" t="s">
        <v>2365</v>
      </c>
      <c r="K131" t="s">
        <v>2365</v>
      </c>
      <c r="L131">
        <v>2500</v>
      </c>
      <c r="M131" t="s">
        <v>622</v>
      </c>
      <c r="N131">
        <v>2502</v>
      </c>
      <c r="O131" t="s">
        <v>1524</v>
      </c>
      <c r="P131" t="s">
        <v>2366</v>
      </c>
      <c r="Q131" t="s">
        <v>2364</v>
      </c>
      <c r="R131" t="s">
        <v>2364</v>
      </c>
      <c r="S131" t="s">
        <v>1881</v>
      </c>
      <c r="T131" t="s">
        <v>1812</v>
      </c>
      <c r="U131" t="s">
        <v>2365</v>
      </c>
      <c r="V131" t="s">
        <v>2365</v>
      </c>
      <c r="W131" t="s">
        <v>2365</v>
      </c>
      <c r="X131" t="s">
        <v>2365</v>
      </c>
      <c r="Y131" t="s">
        <v>2365</v>
      </c>
      <c r="Z131" t="s">
        <v>2365</v>
      </c>
      <c r="AA131" t="s">
        <v>2365</v>
      </c>
      <c r="AB131" t="s">
        <v>2365</v>
      </c>
      <c r="AC131" s="813" t="s">
        <v>2365</v>
      </c>
      <c r="AD131" s="813" t="s">
        <v>2365</v>
      </c>
      <c r="AE131" s="813" t="s">
        <v>2365</v>
      </c>
      <c r="AF131" t="s">
        <v>2365</v>
      </c>
      <c r="AG131" t="s">
        <v>2365</v>
      </c>
      <c r="AH131" t="s">
        <v>2365</v>
      </c>
      <c r="AI131" t="s">
        <v>2365</v>
      </c>
      <c r="AJ131" t="s">
        <v>2365</v>
      </c>
      <c r="AK131" t="s">
        <v>2365</v>
      </c>
      <c r="AL131" t="s">
        <v>2365</v>
      </c>
      <c r="AM131" t="s">
        <v>2365</v>
      </c>
      <c r="AN131" t="s">
        <v>2365</v>
      </c>
      <c r="AR131" t="s">
        <v>2365</v>
      </c>
      <c r="AS131" t="s">
        <v>2365</v>
      </c>
      <c r="AT131" t="s">
        <v>2365</v>
      </c>
      <c r="AU131" t="s">
        <v>2365</v>
      </c>
      <c r="AV131" t="s">
        <v>2365</v>
      </c>
      <c r="AW131" t="s">
        <v>2365</v>
      </c>
      <c r="AX131" t="s">
        <v>2365</v>
      </c>
      <c r="AY131" t="s">
        <v>2365</v>
      </c>
      <c r="AZ131" t="s">
        <v>2365</v>
      </c>
      <c r="BA131" t="s">
        <v>2365</v>
      </c>
      <c r="BB131" t="s">
        <v>2365</v>
      </c>
      <c r="BC131" t="s">
        <v>2365</v>
      </c>
      <c r="BD131" t="s">
        <v>2366</v>
      </c>
      <c r="BE131" t="s">
        <v>2365</v>
      </c>
      <c r="BF131" t="s">
        <v>2365</v>
      </c>
      <c r="BG131" t="s">
        <v>2365</v>
      </c>
      <c r="BH131" t="s">
        <v>2365</v>
      </c>
      <c r="BI131" t="s">
        <v>2366</v>
      </c>
      <c r="BJ131" t="s">
        <v>2365</v>
      </c>
      <c r="BK131" t="s">
        <v>2365</v>
      </c>
      <c r="BL131" t="s">
        <v>2365</v>
      </c>
      <c r="BM131" t="s">
        <v>2365</v>
      </c>
      <c r="BO131">
        <v>15</v>
      </c>
      <c r="BP131">
        <v>151</v>
      </c>
      <c r="BQ131" t="s">
        <v>622</v>
      </c>
      <c r="BR131" t="s">
        <v>1524</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R131" t="s">
        <v>2326</v>
      </c>
      <c r="CS131" s="1369" t="str">
        <f>INDEX([8]Sheet1!$H:$H,MATCH(CR:CR,[8]Sheet1!$AU:$AU,0))</f>
        <v>Supply Chain Management</v>
      </c>
    </row>
    <row r="132" spans="1:97" x14ac:dyDescent="0.2">
      <c r="A132" t="s">
        <v>2602</v>
      </c>
      <c r="B132">
        <v>184</v>
      </c>
      <c r="C132" t="s">
        <v>2602</v>
      </c>
      <c r="D132">
        <v>40724</v>
      </c>
      <c r="E132" t="s">
        <v>2481</v>
      </c>
      <c r="F132">
        <v>2700</v>
      </c>
      <c r="G132" t="s">
        <v>656</v>
      </c>
      <c r="H132" t="s">
        <v>2478</v>
      </c>
      <c r="I132" t="s">
        <v>1802</v>
      </c>
      <c r="J132">
        <v>2703</v>
      </c>
      <c r="K132" t="s">
        <v>1802</v>
      </c>
      <c r="L132">
        <v>2500</v>
      </c>
      <c r="M132" t="s">
        <v>622</v>
      </c>
      <c r="N132">
        <v>2502</v>
      </c>
      <c r="O132" t="s">
        <v>1524</v>
      </c>
      <c r="P132" t="s">
        <v>2366</v>
      </c>
      <c r="Q132" t="s">
        <v>2364</v>
      </c>
      <c r="R132" t="s">
        <v>2364</v>
      </c>
      <c r="S132" t="s">
        <v>1881</v>
      </c>
      <c r="T132" t="s">
        <v>1812</v>
      </c>
      <c r="U132" t="s">
        <v>2365</v>
      </c>
      <c r="V132" t="s">
        <v>2365</v>
      </c>
      <c r="W132" t="s">
        <v>2365</v>
      </c>
      <c r="X132" t="s">
        <v>2365</v>
      </c>
      <c r="Y132" t="s">
        <v>2365</v>
      </c>
      <c r="Z132" t="s">
        <v>2365</v>
      </c>
      <c r="AA132" t="s">
        <v>2365</v>
      </c>
      <c r="AB132" t="s">
        <v>2365</v>
      </c>
      <c r="AC132" s="813" t="s">
        <v>2365</v>
      </c>
      <c r="AD132" s="813" t="s">
        <v>2365</v>
      </c>
      <c r="AE132" s="813" t="s">
        <v>2365</v>
      </c>
      <c r="AF132" t="s">
        <v>2365</v>
      </c>
      <c r="AG132" t="s">
        <v>2365</v>
      </c>
      <c r="AH132" t="s">
        <v>2365</v>
      </c>
      <c r="AI132" t="s">
        <v>2365</v>
      </c>
      <c r="AJ132" t="s">
        <v>2365</v>
      </c>
      <c r="AK132" t="s">
        <v>2365</v>
      </c>
      <c r="AL132" t="s">
        <v>2365</v>
      </c>
      <c r="AM132" t="s">
        <v>2365</v>
      </c>
      <c r="AN132" t="s">
        <v>2365</v>
      </c>
      <c r="AR132" t="s">
        <v>2365</v>
      </c>
      <c r="AS132" t="s">
        <v>2365</v>
      </c>
      <c r="AT132" t="s">
        <v>2365</v>
      </c>
      <c r="AU132" t="s">
        <v>2365</v>
      </c>
      <c r="AV132" t="s">
        <v>2365</v>
      </c>
      <c r="AW132" t="s">
        <v>2365</v>
      </c>
      <c r="AX132" t="s">
        <v>2365</v>
      </c>
      <c r="AY132" t="s">
        <v>2365</v>
      </c>
      <c r="AZ132" t="s">
        <v>2365</v>
      </c>
      <c r="BA132" t="s">
        <v>2365</v>
      </c>
      <c r="BB132" t="s">
        <v>2365</v>
      </c>
      <c r="BC132" t="s">
        <v>2365</v>
      </c>
      <c r="BD132" t="s">
        <v>2366</v>
      </c>
      <c r="BE132" t="s">
        <v>2365</v>
      </c>
      <c r="BF132" t="s">
        <v>2365</v>
      </c>
      <c r="BG132" t="s">
        <v>2365</v>
      </c>
      <c r="BH132" t="s">
        <v>2365</v>
      </c>
      <c r="BI132" t="s">
        <v>2366</v>
      </c>
      <c r="BJ132" t="s">
        <v>2365</v>
      </c>
      <c r="BK132" t="s">
        <v>2365</v>
      </c>
      <c r="BL132" t="s">
        <v>2365</v>
      </c>
      <c r="BM132" t="s">
        <v>2365</v>
      </c>
      <c r="BO132">
        <v>15</v>
      </c>
      <c r="BP132">
        <v>151</v>
      </c>
      <c r="BQ132" t="s">
        <v>622</v>
      </c>
      <c r="BR132" t="s">
        <v>1524</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R132" t="s">
        <v>2325</v>
      </c>
      <c r="CS132" s="1369" t="str">
        <f>INDEX([8]Sheet1!$H:$H,MATCH(CR:CR,[8]Sheet1!$AU:$AU,0))</f>
        <v>Asset Management</v>
      </c>
    </row>
    <row r="133" spans="1:97" x14ac:dyDescent="0.2">
      <c r="A133" t="s">
        <v>2603</v>
      </c>
      <c r="B133">
        <v>185</v>
      </c>
      <c r="C133" t="s">
        <v>2603</v>
      </c>
      <c r="D133">
        <v>40725</v>
      </c>
      <c r="E133" t="s">
        <v>2477</v>
      </c>
      <c r="F133">
        <v>2700</v>
      </c>
      <c r="G133" t="s">
        <v>656</v>
      </c>
      <c r="H133" t="s">
        <v>2478</v>
      </c>
      <c r="I133" t="s">
        <v>1802</v>
      </c>
      <c r="J133">
        <v>2703</v>
      </c>
      <c r="K133" t="s">
        <v>1802</v>
      </c>
      <c r="L133">
        <v>2500</v>
      </c>
      <c r="M133" t="s">
        <v>622</v>
      </c>
      <c r="N133">
        <v>2502</v>
      </c>
      <c r="O133" t="s">
        <v>1524</v>
      </c>
      <c r="P133" t="s">
        <v>2366</v>
      </c>
      <c r="Q133" t="s">
        <v>2364</v>
      </c>
      <c r="R133" t="s">
        <v>2364</v>
      </c>
      <c r="S133" t="s">
        <v>1881</v>
      </c>
      <c r="T133" t="s">
        <v>1812</v>
      </c>
      <c r="U133" t="s">
        <v>2365</v>
      </c>
      <c r="V133" t="s">
        <v>2365</v>
      </c>
      <c r="W133" t="s">
        <v>2365</v>
      </c>
      <c r="X133" t="s">
        <v>2365</v>
      </c>
      <c r="Y133" t="s">
        <v>2365</v>
      </c>
      <c r="Z133" t="s">
        <v>2365</v>
      </c>
      <c r="AA133" t="s">
        <v>2365</v>
      </c>
      <c r="AB133" t="s">
        <v>2365</v>
      </c>
      <c r="AC133" s="813" t="s">
        <v>2365</v>
      </c>
      <c r="AD133" s="813" t="s">
        <v>2365</v>
      </c>
      <c r="AE133" s="813" t="s">
        <v>2365</v>
      </c>
      <c r="AF133" t="s">
        <v>2365</v>
      </c>
      <c r="AG133" t="s">
        <v>2365</v>
      </c>
      <c r="AH133" t="s">
        <v>2365</v>
      </c>
      <c r="AI133" t="s">
        <v>2365</v>
      </c>
      <c r="AJ133" t="s">
        <v>2365</v>
      </c>
      <c r="AK133" t="s">
        <v>2365</v>
      </c>
      <c r="AL133" t="s">
        <v>2365</v>
      </c>
      <c r="AM133" t="s">
        <v>2365</v>
      </c>
      <c r="AN133" t="s">
        <v>2365</v>
      </c>
      <c r="AR133" t="s">
        <v>2365</v>
      </c>
      <c r="AS133" t="s">
        <v>2365</v>
      </c>
      <c r="AT133" t="s">
        <v>2365</v>
      </c>
      <c r="AU133" t="s">
        <v>2365</v>
      </c>
      <c r="AV133" t="s">
        <v>2365</v>
      </c>
      <c r="AW133" t="s">
        <v>2365</v>
      </c>
      <c r="AX133" t="s">
        <v>2365</v>
      </c>
      <c r="AY133" t="s">
        <v>2365</v>
      </c>
      <c r="AZ133" t="s">
        <v>2365</v>
      </c>
      <c r="BA133" t="s">
        <v>2365</v>
      </c>
      <c r="BB133" t="s">
        <v>2365</v>
      </c>
      <c r="BC133" t="s">
        <v>2365</v>
      </c>
      <c r="BD133" t="s">
        <v>2366</v>
      </c>
      <c r="BE133" t="s">
        <v>2365</v>
      </c>
      <c r="BF133" t="s">
        <v>2365</v>
      </c>
      <c r="BG133" t="s">
        <v>2365</v>
      </c>
      <c r="BH133" t="s">
        <v>2365</v>
      </c>
      <c r="BI133" t="s">
        <v>2366</v>
      </c>
      <c r="BJ133" t="s">
        <v>2365</v>
      </c>
      <c r="BK133" t="s">
        <v>2365</v>
      </c>
      <c r="BL133" t="s">
        <v>2365</v>
      </c>
      <c r="BM133" t="s">
        <v>2365</v>
      </c>
      <c r="BO133">
        <v>15</v>
      </c>
      <c r="BP133">
        <v>151</v>
      </c>
      <c r="BQ133" t="s">
        <v>622</v>
      </c>
      <c r="BR133" t="s">
        <v>1524</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R133" t="s">
        <v>2325</v>
      </c>
      <c r="CS133" s="1369" t="str">
        <f>INDEX([8]Sheet1!$H:$H,MATCH(CR:CR,[8]Sheet1!$AU:$AU,0))</f>
        <v>Asset Management</v>
      </c>
    </row>
    <row r="134" spans="1:97" x14ac:dyDescent="0.2">
      <c r="A134" t="s">
        <v>2604</v>
      </c>
      <c r="B134">
        <v>186</v>
      </c>
      <c r="C134" t="s">
        <v>2604</v>
      </c>
      <c r="D134">
        <v>41060</v>
      </c>
      <c r="E134" t="s">
        <v>2427</v>
      </c>
      <c r="F134">
        <v>2700</v>
      </c>
      <c r="G134" t="s">
        <v>656</v>
      </c>
      <c r="H134" t="s">
        <v>2428</v>
      </c>
      <c r="I134" t="s">
        <v>1800</v>
      </c>
      <c r="J134">
        <v>2701</v>
      </c>
      <c r="K134" t="s">
        <v>1800</v>
      </c>
      <c r="L134">
        <v>2200</v>
      </c>
      <c r="M134" t="s">
        <v>619</v>
      </c>
      <c r="N134">
        <v>2205</v>
      </c>
      <c r="O134" t="s">
        <v>1517</v>
      </c>
      <c r="P134" t="s">
        <v>2366</v>
      </c>
      <c r="Q134" t="s">
        <v>2364</v>
      </c>
      <c r="R134" t="s">
        <v>2364</v>
      </c>
      <c r="S134" t="s">
        <v>1881</v>
      </c>
      <c r="T134" t="s">
        <v>1812</v>
      </c>
      <c r="U134" t="s">
        <v>2365</v>
      </c>
      <c r="V134" t="s">
        <v>2365</v>
      </c>
      <c r="W134" t="s">
        <v>2365</v>
      </c>
      <c r="X134" t="s">
        <v>2365</v>
      </c>
      <c r="Y134" t="s">
        <v>2365</v>
      </c>
      <c r="Z134" t="s">
        <v>2365</v>
      </c>
      <c r="AA134" t="s">
        <v>2365</v>
      </c>
      <c r="AB134" t="s">
        <v>2365</v>
      </c>
      <c r="AC134" s="813" t="s">
        <v>2365</v>
      </c>
      <c r="AD134" s="813" t="s">
        <v>2365</v>
      </c>
      <c r="AE134" s="813" t="s">
        <v>2365</v>
      </c>
      <c r="AF134" t="s">
        <v>2365</v>
      </c>
      <c r="AG134" t="s">
        <v>2365</v>
      </c>
      <c r="AH134" t="s">
        <v>2365</v>
      </c>
      <c r="AI134" t="s">
        <v>2365</v>
      </c>
      <c r="AJ134" t="s">
        <v>2365</v>
      </c>
      <c r="AK134" t="s">
        <v>2365</v>
      </c>
      <c r="AL134" t="s">
        <v>2365</v>
      </c>
      <c r="AM134" t="s">
        <v>2365</v>
      </c>
      <c r="AN134" t="s">
        <v>2365</v>
      </c>
      <c r="AR134" t="s">
        <v>2365</v>
      </c>
      <c r="AS134" t="s">
        <v>2365</v>
      </c>
      <c r="AT134" t="s">
        <v>2365</v>
      </c>
      <c r="AU134" t="s">
        <v>2365</v>
      </c>
      <c r="AV134" t="s">
        <v>2365</v>
      </c>
      <c r="AW134" t="s">
        <v>2365</v>
      </c>
      <c r="AX134" t="s">
        <v>2365</v>
      </c>
      <c r="AY134" t="s">
        <v>2365</v>
      </c>
      <c r="AZ134" t="s">
        <v>2365</v>
      </c>
      <c r="BA134" t="s">
        <v>2365</v>
      </c>
      <c r="BB134" t="s">
        <v>2365</v>
      </c>
      <c r="BC134" t="s">
        <v>2365</v>
      </c>
      <c r="BD134" t="s">
        <v>2366</v>
      </c>
      <c r="BE134" t="s">
        <v>2365</v>
      </c>
      <c r="BF134" t="s">
        <v>2365</v>
      </c>
      <c r="BG134" t="s">
        <v>2365</v>
      </c>
      <c r="BH134" t="s">
        <v>2365</v>
      </c>
      <c r="BI134" t="s">
        <v>2366</v>
      </c>
      <c r="BJ134" t="s">
        <v>2365</v>
      </c>
      <c r="BK134" t="s">
        <v>2365</v>
      </c>
      <c r="BL134" t="s">
        <v>2365</v>
      </c>
      <c r="BM134" t="s">
        <v>2365</v>
      </c>
      <c r="BO134">
        <v>9</v>
      </c>
      <c r="BP134">
        <v>91</v>
      </c>
      <c r="BQ134" t="s">
        <v>265</v>
      </c>
      <c r="BR134" t="s">
        <v>1517</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R134" t="s">
        <v>2326</v>
      </c>
      <c r="CS134" s="1369" t="str">
        <f>INDEX([8]Sheet1!$H:$H,MATCH(CR:CR,[8]Sheet1!$AU:$AU,0))</f>
        <v>Supply Chain Management</v>
      </c>
    </row>
    <row r="135" spans="1:97" x14ac:dyDescent="0.2">
      <c r="A135" t="s">
        <v>2605</v>
      </c>
      <c r="B135">
        <v>187</v>
      </c>
      <c r="C135" t="s">
        <v>2605</v>
      </c>
      <c r="D135">
        <v>41061</v>
      </c>
      <c r="E135" t="s">
        <v>2430</v>
      </c>
      <c r="F135">
        <v>2700</v>
      </c>
      <c r="G135" t="s">
        <v>656</v>
      </c>
      <c r="H135" t="s">
        <v>2428</v>
      </c>
      <c r="I135" t="s">
        <v>1800</v>
      </c>
      <c r="J135">
        <v>2701</v>
      </c>
      <c r="K135" t="s">
        <v>1800</v>
      </c>
      <c r="L135">
        <v>2200</v>
      </c>
      <c r="M135" t="s">
        <v>619</v>
      </c>
      <c r="N135">
        <v>2205</v>
      </c>
      <c r="O135" t="s">
        <v>1517</v>
      </c>
      <c r="P135" t="s">
        <v>2366</v>
      </c>
      <c r="Q135" t="s">
        <v>2364</v>
      </c>
      <c r="R135" t="s">
        <v>2364</v>
      </c>
      <c r="S135" t="s">
        <v>1881</v>
      </c>
      <c r="T135" t="s">
        <v>1812</v>
      </c>
      <c r="U135" t="s">
        <v>2365</v>
      </c>
      <c r="V135" t="s">
        <v>2365</v>
      </c>
      <c r="W135" t="s">
        <v>2365</v>
      </c>
      <c r="X135" t="s">
        <v>2365</v>
      </c>
      <c r="Y135" t="s">
        <v>2365</v>
      </c>
      <c r="Z135" t="s">
        <v>2365</v>
      </c>
      <c r="AA135" t="s">
        <v>2365</v>
      </c>
      <c r="AB135" t="s">
        <v>2365</v>
      </c>
      <c r="AC135" s="813" t="s">
        <v>2365</v>
      </c>
      <c r="AD135" s="813" t="s">
        <v>2365</v>
      </c>
      <c r="AE135" s="813" t="s">
        <v>2365</v>
      </c>
      <c r="AF135" t="s">
        <v>2365</v>
      </c>
      <c r="AG135" t="s">
        <v>2365</v>
      </c>
      <c r="AH135" t="s">
        <v>2365</v>
      </c>
      <c r="AI135" t="s">
        <v>2365</v>
      </c>
      <c r="AJ135" t="s">
        <v>2365</v>
      </c>
      <c r="AK135" t="s">
        <v>2365</v>
      </c>
      <c r="AL135" t="s">
        <v>2365</v>
      </c>
      <c r="AM135" t="s">
        <v>2365</v>
      </c>
      <c r="AN135" t="s">
        <v>2365</v>
      </c>
      <c r="AR135" t="s">
        <v>2365</v>
      </c>
      <c r="AS135" t="s">
        <v>2365</v>
      </c>
      <c r="AT135" t="s">
        <v>2365</v>
      </c>
      <c r="AU135" t="s">
        <v>2365</v>
      </c>
      <c r="AV135" t="s">
        <v>2365</v>
      </c>
      <c r="AW135" t="s">
        <v>2365</v>
      </c>
      <c r="AX135" t="s">
        <v>2365</v>
      </c>
      <c r="AY135" t="s">
        <v>2365</v>
      </c>
      <c r="AZ135" t="s">
        <v>2365</v>
      </c>
      <c r="BA135" t="s">
        <v>2365</v>
      </c>
      <c r="BB135" t="s">
        <v>2365</v>
      </c>
      <c r="BC135" t="s">
        <v>2365</v>
      </c>
      <c r="BD135" t="s">
        <v>2366</v>
      </c>
      <c r="BE135" t="s">
        <v>2365</v>
      </c>
      <c r="BF135" t="s">
        <v>2365</v>
      </c>
      <c r="BG135" t="s">
        <v>2365</v>
      </c>
      <c r="BH135" t="s">
        <v>2365</v>
      </c>
      <c r="BI135" t="s">
        <v>2366</v>
      </c>
      <c r="BJ135" t="s">
        <v>2365</v>
      </c>
      <c r="BK135" t="s">
        <v>2365</v>
      </c>
      <c r="BL135" t="s">
        <v>2365</v>
      </c>
      <c r="BM135" t="s">
        <v>2365</v>
      </c>
      <c r="BO135">
        <v>9</v>
      </c>
      <c r="BP135">
        <v>91</v>
      </c>
      <c r="BQ135" t="s">
        <v>265</v>
      </c>
      <c r="BR135" t="s">
        <v>1517</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R135" t="s">
        <v>2325</v>
      </c>
      <c r="CS135" s="1369" t="str">
        <f>INDEX([8]Sheet1!$H:$H,MATCH(CR:CR,[8]Sheet1!$AU:$AU,0))</f>
        <v>Asset Management</v>
      </c>
    </row>
    <row r="136" spans="1:97" x14ac:dyDescent="0.2">
      <c r="A136" t="s">
        <v>2606</v>
      </c>
      <c r="B136">
        <v>188</v>
      </c>
      <c r="C136" t="s">
        <v>2606</v>
      </c>
      <c r="D136">
        <v>40900</v>
      </c>
      <c r="E136" t="s">
        <v>2504</v>
      </c>
      <c r="F136">
        <v>2900</v>
      </c>
      <c r="G136" t="s">
        <v>569</v>
      </c>
      <c r="H136" t="s">
        <v>2366</v>
      </c>
      <c r="I136" t="s">
        <v>2366</v>
      </c>
      <c r="J136">
        <v>2904</v>
      </c>
      <c r="K136" t="s">
        <v>1432</v>
      </c>
      <c r="L136">
        <v>2200</v>
      </c>
      <c r="M136" t="s">
        <v>619</v>
      </c>
      <c r="N136">
        <v>2205</v>
      </c>
      <c r="O136" t="s">
        <v>1517</v>
      </c>
      <c r="P136" t="s">
        <v>2366</v>
      </c>
      <c r="Q136" t="s">
        <v>2364</v>
      </c>
      <c r="R136" t="s">
        <v>2364</v>
      </c>
      <c r="S136" t="s">
        <v>1881</v>
      </c>
      <c r="T136" t="s">
        <v>1812</v>
      </c>
      <c r="U136" t="s">
        <v>2365</v>
      </c>
      <c r="V136" t="s">
        <v>2365</v>
      </c>
      <c r="W136" t="s">
        <v>2365</v>
      </c>
      <c r="X136" t="s">
        <v>2365</v>
      </c>
      <c r="Y136" t="s">
        <v>2365</v>
      </c>
      <c r="Z136" t="s">
        <v>2365</v>
      </c>
      <c r="AA136" t="s">
        <v>2365</v>
      </c>
      <c r="AB136" t="s">
        <v>2365</v>
      </c>
      <c r="AC136" s="813" t="s">
        <v>2365</v>
      </c>
      <c r="AD136" s="813" t="s">
        <v>2365</v>
      </c>
      <c r="AE136" s="813" t="s">
        <v>2365</v>
      </c>
      <c r="AF136" t="s">
        <v>2365</v>
      </c>
      <c r="AG136" t="s">
        <v>2365</v>
      </c>
      <c r="AH136" t="s">
        <v>2365</v>
      </c>
      <c r="AI136" t="s">
        <v>2365</v>
      </c>
      <c r="AJ136" t="s">
        <v>2365</v>
      </c>
      <c r="AK136" t="s">
        <v>2365</v>
      </c>
      <c r="AL136" t="s">
        <v>2365</v>
      </c>
      <c r="AM136" t="s">
        <v>2365</v>
      </c>
      <c r="AN136" t="s">
        <v>2365</v>
      </c>
      <c r="AR136" t="s">
        <v>2365</v>
      </c>
      <c r="AS136" t="s">
        <v>2365</v>
      </c>
      <c r="AT136" t="s">
        <v>2365</v>
      </c>
      <c r="AU136" t="s">
        <v>2365</v>
      </c>
      <c r="AV136" t="s">
        <v>2365</v>
      </c>
      <c r="AW136" t="s">
        <v>2365</v>
      </c>
      <c r="AX136" t="s">
        <v>2365</v>
      </c>
      <c r="AY136" t="s">
        <v>2365</v>
      </c>
      <c r="AZ136" t="s">
        <v>2365</v>
      </c>
      <c r="BA136" t="s">
        <v>2365</v>
      </c>
      <c r="BB136" t="s">
        <v>2365</v>
      </c>
      <c r="BC136" t="s">
        <v>2365</v>
      </c>
      <c r="BD136" t="s">
        <v>2366</v>
      </c>
      <c r="BE136" t="s">
        <v>2365</v>
      </c>
      <c r="BF136" t="s">
        <v>2365</v>
      </c>
      <c r="BG136" t="s">
        <v>2365</v>
      </c>
      <c r="BH136" t="s">
        <v>2365</v>
      </c>
      <c r="BI136" t="s">
        <v>2366</v>
      </c>
      <c r="BJ136" t="s">
        <v>2365</v>
      </c>
      <c r="BK136" t="s">
        <v>2365</v>
      </c>
      <c r="BL136" t="s">
        <v>2365</v>
      </c>
      <c r="BM136" t="s">
        <v>2365</v>
      </c>
      <c r="BO136">
        <v>9</v>
      </c>
      <c r="BP136">
        <v>91</v>
      </c>
      <c r="BQ136" t="s">
        <v>265</v>
      </c>
      <c r="BR136" t="s">
        <v>1517</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R136" t="s">
        <v>2326</v>
      </c>
      <c r="CS136" s="1369" t="str">
        <f>INDEX([8]Sheet1!$H:$H,MATCH(CR:CR,[8]Sheet1!$AU:$AU,0))</f>
        <v>Supply Chain Management</v>
      </c>
    </row>
    <row r="137" spans="1:97" x14ac:dyDescent="0.2">
      <c r="A137" t="s">
        <v>2607</v>
      </c>
      <c r="B137">
        <v>189</v>
      </c>
      <c r="C137" t="s">
        <v>2607</v>
      </c>
      <c r="D137">
        <v>40901</v>
      </c>
      <c r="E137" t="s">
        <v>2508</v>
      </c>
      <c r="F137">
        <v>2900</v>
      </c>
      <c r="G137" t="s">
        <v>569</v>
      </c>
      <c r="H137" t="s">
        <v>2366</v>
      </c>
      <c r="I137" t="s">
        <v>2366</v>
      </c>
      <c r="J137">
        <v>2904</v>
      </c>
      <c r="K137" t="s">
        <v>1432</v>
      </c>
      <c r="L137">
        <v>2200</v>
      </c>
      <c r="M137" t="s">
        <v>619</v>
      </c>
      <c r="N137">
        <v>2205</v>
      </c>
      <c r="O137" t="s">
        <v>1517</v>
      </c>
      <c r="P137" t="s">
        <v>2366</v>
      </c>
      <c r="Q137" t="s">
        <v>2364</v>
      </c>
      <c r="R137" t="s">
        <v>2364</v>
      </c>
      <c r="S137" t="s">
        <v>1881</v>
      </c>
      <c r="T137" t="s">
        <v>1812</v>
      </c>
      <c r="U137" t="s">
        <v>2365</v>
      </c>
      <c r="V137" t="s">
        <v>2365</v>
      </c>
      <c r="W137" t="s">
        <v>2365</v>
      </c>
      <c r="X137" t="s">
        <v>2365</v>
      </c>
      <c r="Y137" t="s">
        <v>2365</v>
      </c>
      <c r="Z137" t="s">
        <v>2365</v>
      </c>
      <c r="AA137" t="s">
        <v>2365</v>
      </c>
      <c r="AB137" t="s">
        <v>2365</v>
      </c>
      <c r="AC137" s="813" t="s">
        <v>2365</v>
      </c>
      <c r="AD137" s="813" t="s">
        <v>2365</v>
      </c>
      <c r="AE137" s="813" t="s">
        <v>2365</v>
      </c>
      <c r="AF137" t="s">
        <v>2365</v>
      </c>
      <c r="AG137" t="s">
        <v>2365</v>
      </c>
      <c r="AH137" t="s">
        <v>2365</v>
      </c>
      <c r="AI137" t="s">
        <v>2365</v>
      </c>
      <c r="AJ137" t="s">
        <v>2365</v>
      </c>
      <c r="AK137" t="s">
        <v>2365</v>
      </c>
      <c r="AL137" t="s">
        <v>2365</v>
      </c>
      <c r="AM137" t="s">
        <v>2365</v>
      </c>
      <c r="AN137" t="s">
        <v>2365</v>
      </c>
      <c r="AR137" t="s">
        <v>2365</v>
      </c>
      <c r="AS137" t="s">
        <v>2365</v>
      </c>
      <c r="AT137" t="s">
        <v>2365</v>
      </c>
      <c r="AU137" t="s">
        <v>2365</v>
      </c>
      <c r="AV137" t="s">
        <v>2365</v>
      </c>
      <c r="AW137" t="s">
        <v>2365</v>
      </c>
      <c r="AX137" t="s">
        <v>2365</v>
      </c>
      <c r="AY137" t="s">
        <v>2365</v>
      </c>
      <c r="AZ137" t="s">
        <v>2365</v>
      </c>
      <c r="BA137" t="s">
        <v>2365</v>
      </c>
      <c r="BB137" t="s">
        <v>2365</v>
      </c>
      <c r="BC137" t="s">
        <v>2365</v>
      </c>
      <c r="BD137" t="s">
        <v>2366</v>
      </c>
      <c r="BE137" t="s">
        <v>2365</v>
      </c>
      <c r="BF137" t="s">
        <v>2365</v>
      </c>
      <c r="BG137" t="s">
        <v>2365</v>
      </c>
      <c r="BH137" t="s">
        <v>2365</v>
      </c>
      <c r="BI137" t="s">
        <v>2366</v>
      </c>
      <c r="BJ137" t="s">
        <v>2365</v>
      </c>
      <c r="BK137" t="s">
        <v>2365</v>
      </c>
      <c r="BL137" t="s">
        <v>2365</v>
      </c>
      <c r="BM137" t="s">
        <v>2365</v>
      </c>
      <c r="BO137">
        <v>9</v>
      </c>
      <c r="BP137">
        <v>91</v>
      </c>
      <c r="BQ137" t="s">
        <v>265</v>
      </c>
      <c r="BR137" t="s">
        <v>1517</v>
      </c>
      <c r="BU137">
        <v>120000</v>
      </c>
      <c r="BV137">
        <v>0</v>
      </c>
      <c r="BW137">
        <v>120000</v>
      </c>
      <c r="BX137">
        <v>-120000</v>
      </c>
      <c r="BY137">
        <v>0</v>
      </c>
      <c r="BZ137">
        <v>127200</v>
      </c>
      <c r="CA137">
        <v>134832</v>
      </c>
      <c r="CB137">
        <v>0</v>
      </c>
      <c r="CC137">
        <v>0</v>
      </c>
      <c r="CD137">
        <v>0</v>
      </c>
      <c r="CE137">
        <v>0</v>
      </c>
      <c r="CF137">
        <v>0</v>
      </c>
      <c r="CG137">
        <v>0</v>
      </c>
      <c r="CH137">
        <v>0</v>
      </c>
      <c r="CI137">
        <v>0</v>
      </c>
      <c r="CJ137">
        <v>0</v>
      </c>
      <c r="CK137">
        <v>0</v>
      </c>
      <c r="CL137">
        <v>0</v>
      </c>
      <c r="CM137">
        <v>0</v>
      </c>
      <c r="CR137" t="s">
        <v>2325</v>
      </c>
      <c r="CS137" s="1369" t="str">
        <f>INDEX([8]Sheet1!$H:$H,MATCH(CR:CR,[8]Sheet1!$AU:$AU,0))</f>
        <v>Asset Management</v>
      </c>
    </row>
    <row r="138" spans="1:97" x14ac:dyDescent="0.2">
      <c r="A138" t="s">
        <v>2608</v>
      </c>
      <c r="B138">
        <v>190</v>
      </c>
      <c r="C138" t="s">
        <v>2608</v>
      </c>
      <c r="D138">
        <v>40902</v>
      </c>
      <c r="E138" t="s">
        <v>2510</v>
      </c>
      <c r="F138">
        <v>2900</v>
      </c>
      <c r="G138" t="s">
        <v>569</v>
      </c>
      <c r="H138" t="s">
        <v>2366</v>
      </c>
      <c r="I138" t="s">
        <v>2366</v>
      </c>
      <c r="J138">
        <v>2904</v>
      </c>
      <c r="K138" t="s">
        <v>1432</v>
      </c>
      <c r="L138">
        <v>2200</v>
      </c>
      <c r="M138" t="s">
        <v>619</v>
      </c>
      <c r="N138">
        <v>2205</v>
      </c>
      <c r="O138" t="s">
        <v>1517</v>
      </c>
      <c r="P138" t="s">
        <v>2366</v>
      </c>
      <c r="Q138" t="s">
        <v>2364</v>
      </c>
      <c r="R138" t="s">
        <v>2364</v>
      </c>
      <c r="S138" t="s">
        <v>1881</v>
      </c>
      <c r="T138" t="s">
        <v>1812</v>
      </c>
      <c r="U138" t="s">
        <v>2365</v>
      </c>
      <c r="V138" t="s">
        <v>2365</v>
      </c>
      <c r="W138" t="s">
        <v>2365</v>
      </c>
      <c r="X138" t="s">
        <v>2365</v>
      </c>
      <c r="Y138" t="s">
        <v>2365</v>
      </c>
      <c r="Z138" t="s">
        <v>2365</v>
      </c>
      <c r="AA138" t="s">
        <v>2365</v>
      </c>
      <c r="AB138" t="s">
        <v>2365</v>
      </c>
      <c r="AC138" s="813" t="s">
        <v>2365</v>
      </c>
      <c r="AD138" s="813" t="s">
        <v>2365</v>
      </c>
      <c r="AE138" s="813" t="s">
        <v>2365</v>
      </c>
      <c r="AF138" t="s">
        <v>2365</v>
      </c>
      <c r="AG138" t="s">
        <v>2365</v>
      </c>
      <c r="AH138" t="s">
        <v>2365</v>
      </c>
      <c r="AI138" t="s">
        <v>2365</v>
      </c>
      <c r="AJ138" t="s">
        <v>2365</v>
      </c>
      <c r="AK138" t="s">
        <v>2365</v>
      </c>
      <c r="AL138" t="s">
        <v>2365</v>
      </c>
      <c r="AM138" t="s">
        <v>2365</v>
      </c>
      <c r="AN138" t="s">
        <v>2365</v>
      </c>
      <c r="AR138" t="s">
        <v>2365</v>
      </c>
      <c r="AS138" t="s">
        <v>2365</v>
      </c>
      <c r="AT138" t="s">
        <v>2365</v>
      </c>
      <c r="AU138" t="s">
        <v>2365</v>
      </c>
      <c r="AV138" t="s">
        <v>2365</v>
      </c>
      <c r="AW138" t="s">
        <v>2365</v>
      </c>
      <c r="AX138" t="s">
        <v>2365</v>
      </c>
      <c r="AY138" t="s">
        <v>2365</v>
      </c>
      <c r="AZ138" t="s">
        <v>2365</v>
      </c>
      <c r="BA138" t="s">
        <v>2365</v>
      </c>
      <c r="BB138" t="s">
        <v>2365</v>
      </c>
      <c r="BC138" t="s">
        <v>2365</v>
      </c>
      <c r="BD138" t="s">
        <v>2366</v>
      </c>
      <c r="BE138" t="s">
        <v>2365</v>
      </c>
      <c r="BF138" t="s">
        <v>2365</v>
      </c>
      <c r="BG138" t="s">
        <v>2365</v>
      </c>
      <c r="BH138" t="s">
        <v>2365</v>
      </c>
      <c r="BI138" t="s">
        <v>2366</v>
      </c>
      <c r="BJ138" t="s">
        <v>2365</v>
      </c>
      <c r="BK138" t="s">
        <v>2365</v>
      </c>
      <c r="BL138" t="s">
        <v>2365</v>
      </c>
      <c r="BM138" t="s">
        <v>2365</v>
      </c>
      <c r="BO138">
        <v>9</v>
      </c>
      <c r="BP138">
        <v>91</v>
      </c>
      <c r="BQ138" t="s">
        <v>265</v>
      </c>
      <c r="BR138" t="s">
        <v>1517</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R138" t="s">
        <v>2326</v>
      </c>
      <c r="CS138" s="1369" t="str">
        <f>INDEX([8]Sheet1!$H:$H,MATCH(CR:CR,[8]Sheet1!$AU:$AU,0))</f>
        <v>Supply Chain Management</v>
      </c>
    </row>
    <row r="139" spans="1:97" x14ac:dyDescent="0.2">
      <c r="A139" t="s">
        <v>2609</v>
      </c>
      <c r="B139">
        <v>191</v>
      </c>
      <c r="C139" t="s">
        <v>2609</v>
      </c>
      <c r="D139">
        <v>40903</v>
      </c>
      <c r="E139" t="s">
        <v>2610</v>
      </c>
      <c r="F139">
        <v>2900</v>
      </c>
      <c r="G139" t="s">
        <v>569</v>
      </c>
      <c r="H139" t="s">
        <v>2366</v>
      </c>
      <c r="I139" t="s">
        <v>2366</v>
      </c>
      <c r="J139">
        <v>2904</v>
      </c>
      <c r="K139" t="s">
        <v>1432</v>
      </c>
      <c r="L139">
        <v>2200</v>
      </c>
      <c r="M139" t="s">
        <v>619</v>
      </c>
      <c r="N139">
        <v>2205</v>
      </c>
      <c r="O139" t="s">
        <v>1517</v>
      </c>
      <c r="P139" t="s">
        <v>2366</v>
      </c>
      <c r="Q139" t="s">
        <v>2364</v>
      </c>
      <c r="R139" t="s">
        <v>2364</v>
      </c>
      <c r="S139" t="s">
        <v>1881</v>
      </c>
      <c r="T139" t="s">
        <v>1812</v>
      </c>
      <c r="U139" t="s">
        <v>2365</v>
      </c>
      <c r="V139" t="s">
        <v>2365</v>
      </c>
      <c r="W139" t="s">
        <v>2365</v>
      </c>
      <c r="X139" t="s">
        <v>2365</v>
      </c>
      <c r="Y139" t="s">
        <v>2365</v>
      </c>
      <c r="Z139" t="s">
        <v>2365</v>
      </c>
      <c r="AA139" t="s">
        <v>2365</v>
      </c>
      <c r="AB139" t="s">
        <v>2365</v>
      </c>
      <c r="AC139" s="813" t="s">
        <v>2365</v>
      </c>
      <c r="AD139" s="813" t="s">
        <v>2365</v>
      </c>
      <c r="AE139" s="813" t="s">
        <v>2365</v>
      </c>
      <c r="AF139" t="s">
        <v>2365</v>
      </c>
      <c r="AG139" t="s">
        <v>2365</v>
      </c>
      <c r="AH139" t="s">
        <v>2365</v>
      </c>
      <c r="AI139" t="s">
        <v>2365</v>
      </c>
      <c r="AJ139" t="s">
        <v>2365</v>
      </c>
      <c r="AK139" t="s">
        <v>2365</v>
      </c>
      <c r="AL139" t="s">
        <v>2365</v>
      </c>
      <c r="AM139" t="s">
        <v>2365</v>
      </c>
      <c r="AN139" t="s">
        <v>2365</v>
      </c>
      <c r="AR139" t="s">
        <v>2365</v>
      </c>
      <c r="AS139" t="s">
        <v>2365</v>
      </c>
      <c r="AT139" t="s">
        <v>2365</v>
      </c>
      <c r="AU139" t="s">
        <v>2365</v>
      </c>
      <c r="AV139" t="s">
        <v>2365</v>
      </c>
      <c r="AW139" t="s">
        <v>2365</v>
      </c>
      <c r="AX139" t="s">
        <v>2365</v>
      </c>
      <c r="AY139" t="s">
        <v>2365</v>
      </c>
      <c r="AZ139" t="s">
        <v>2365</v>
      </c>
      <c r="BA139" t="s">
        <v>2365</v>
      </c>
      <c r="BB139" t="s">
        <v>2365</v>
      </c>
      <c r="BC139" t="s">
        <v>2365</v>
      </c>
      <c r="BD139" t="s">
        <v>2366</v>
      </c>
      <c r="BE139" t="s">
        <v>2365</v>
      </c>
      <c r="BF139" t="s">
        <v>2365</v>
      </c>
      <c r="BG139" t="s">
        <v>2365</v>
      </c>
      <c r="BH139" t="s">
        <v>2365</v>
      </c>
      <c r="BI139" t="s">
        <v>2366</v>
      </c>
      <c r="BJ139" t="s">
        <v>2365</v>
      </c>
      <c r="BK139" t="s">
        <v>2365</v>
      </c>
      <c r="BL139" t="s">
        <v>2365</v>
      </c>
      <c r="BM139" t="s">
        <v>2365</v>
      </c>
      <c r="BO139">
        <v>9</v>
      </c>
      <c r="BP139">
        <v>91</v>
      </c>
      <c r="BQ139" t="s">
        <v>265</v>
      </c>
      <c r="BR139" t="s">
        <v>1517</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R139" t="s">
        <v>2325</v>
      </c>
      <c r="CS139" s="1369" t="str">
        <f>INDEX([8]Sheet1!$H:$H,MATCH(CR:CR,[8]Sheet1!$AU:$AU,0))</f>
        <v>Asset Management</v>
      </c>
    </row>
    <row r="140" spans="1:97" x14ac:dyDescent="0.2">
      <c r="A140" t="s">
        <v>2611</v>
      </c>
      <c r="B140">
        <v>192</v>
      </c>
      <c r="C140" t="s">
        <v>2611</v>
      </c>
      <c r="D140">
        <v>40904</v>
      </c>
      <c r="E140" t="s">
        <v>2425</v>
      </c>
      <c r="F140">
        <v>2900</v>
      </c>
      <c r="G140" t="s">
        <v>569</v>
      </c>
      <c r="H140" t="s">
        <v>2366</v>
      </c>
      <c r="I140" t="s">
        <v>2366</v>
      </c>
      <c r="J140">
        <v>2904</v>
      </c>
      <c r="K140" t="s">
        <v>1432</v>
      </c>
      <c r="L140">
        <v>2200</v>
      </c>
      <c r="M140" t="s">
        <v>619</v>
      </c>
      <c r="N140">
        <v>2205</v>
      </c>
      <c r="O140" t="s">
        <v>1517</v>
      </c>
      <c r="P140" t="s">
        <v>2366</v>
      </c>
      <c r="Q140" t="s">
        <v>2364</v>
      </c>
      <c r="R140" t="s">
        <v>2364</v>
      </c>
      <c r="S140" t="s">
        <v>1881</v>
      </c>
      <c r="T140" t="s">
        <v>1812</v>
      </c>
      <c r="U140" t="s">
        <v>2365</v>
      </c>
      <c r="V140" t="s">
        <v>2365</v>
      </c>
      <c r="W140" t="s">
        <v>2365</v>
      </c>
      <c r="X140" t="s">
        <v>2365</v>
      </c>
      <c r="Y140" t="s">
        <v>2365</v>
      </c>
      <c r="Z140" t="s">
        <v>2365</v>
      </c>
      <c r="AA140" t="s">
        <v>2365</v>
      </c>
      <c r="AB140" t="s">
        <v>2365</v>
      </c>
      <c r="AC140" s="813" t="s">
        <v>2365</v>
      </c>
      <c r="AD140" s="813" t="s">
        <v>2365</v>
      </c>
      <c r="AE140" s="813" t="s">
        <v>2365</v>
      </c>
      <c r="AF140" t="s">
        <v>2365</v>
      </c>
      <c r="AG140" t="s">
        <v>2365</v>
      </c>
      <c r="AH140" t="s">
        <v>2365</v>
      </c>
      <c r="AI140" t="s">
        <v>2365</v>
      </c>
      <c r="AJ140" t="s">
        <v>2365</v>
      </c>
      <c r="AK140" t="s">
        <v>2365</v>
      </c>
      <c r="AL140" t="s">
        <v>2365</v>
      </c>
      <c r="AM140" t="s">
        <v>2365</v>
      </c>
      <c r="AN140" t="s">
        <v>2365</v>
      </c>
      <c r="AR140" t="s">
        <v>2365</v>
      </c>
      <c r="AS140" t="s">
        <v>2365</v>
      </c>
      <c r="AT140" t="s">
        <v>2365</v>
      </c>
      <c r="AU140" t="s">
        <v>2365</v>
      </c>
      <c r="AV140" t="s">
        <v>2365</v>
      </c>
      <c r="AW140" t="s">
        <v>2365</v>
      </c>
      <c r="AX140" t="s">
        <v>2365</v>
      </c>
      <c r="AY140" t="s">
        <v>2365</v>
      </c>
      <c r="AZ140" t="s">
        <v>2365</v>
      </c>
      <c r="BA140" t="s">
        <v>2365</v>
      </c>
      <c r="BB140" t="s">
        <v>2365</v>
      </c>
      <c r="BC140" t="s">
        <v>2365</v>
      </c>
      <c r="BD140" t="s">
        <v>2366</v>
      </c>
      <c r="BE140" t="s">
        <v>2365</v>
      </c>
      <c r="BF140" t="s">
        <v>2365</v>
      </c>
      <c r="BG140" t="s">
        <v>2365</v>
      </c>
      <c r="BH140" t="s">
        <v>2365</v>
      </c>
      <c r="BI140" t="s">
        <v>2366</v>
      </c>
      <c r="BJ140" t="s">
        <v>2365</v>
      </c>
      <c r="BK140" t="s">
        <v>2365</v>
      </c>
      <c r="BL140" t="s">
        <v>2365</v>
      </c>
      <c r="BM140" t="s">
        <v>2365</v>
      </c>
      <c r="BO140">
        <v>9</v>
      </c>
      <c r="BP140">
        <v>91</v>
      </c>
      <c r="BQ140" t="s">
        <v>265</v>
      </c>
      <c r="BR140" t="s">
        <v>1517</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R140" t="s">
        <v>2326</v>
      </c>
      <c r="CS140" s="1369" t="str">
        <f>INDEX([8]Sheet1!$H:$H,MATCH(CR:CR,[8]Sheet1!$AU:$AU,0))</f>
        <v>Supply Chain Management</v>
      </c>
    </row>
    <row r="141" spans="1:97" x14ac:dyDescent="0.2">
      <c r="A141" t="s">
        <v>2612</v>
      </c>
      <c r="B141">
        <v>193</v>
      </c>
      <c r="C141" t="s">
        <v>2612</v>
      </c>
      <c r="D141">
        <v>40905</v>
      </c>
      <c r="E141" t="s">
        <v>2427</v>
      </c>
      <c r="F141">
        <v>2700</v>
      </c>
      <c r="G141" t="s">
        <v>656</v>
      </c>
      <c r="H141" t="s">
        <v>2428</v>
      </c>
      <c r="I141" t="s">
        <v>1800</v>
      </c>
      <c r="J141">
        <v>2701</v>
      </c>
      <c r="K141" t="s">
        <v>1800</v>
      </c>
      <c r="L141">
        <v>2200</v>
      </c>
      <c r="M141" t="s">
        <v>619</v>
      </c>
      <c r="N141">
        <v>2205</v>
      </c>
      <c r="O141" t="s">
        <v>1517</v>
      </c>
      <c r="P141" t="s">
        <v>2366</v>
      </c>
      <c r="Q141" t="s">
        <v>2364</v>
      </c>
      <c r="R141" t="s">
        <v>2364</v>
      </c>
      <c r="S141" t="s">
        <v>1881</v>
      </c>
      <c r="T141" t="s">
        <v>1812</v>
      </c>
      <c r="U141" t="s">
        <v>2365</v>
      </c>
      <c r="V141" t="s">
        <v>2365</v>
      </c>
      <c r="W141" t="s">
        <v>2365</v>
      </c>
      <c r="X141" t="s">
        <v>2365</v>
      </c>
      <c r="Y141" t="s">
        <v>2365</v>
      </c>
      <c r="Z141" t="s">
        <v>2365</v>
      </c>
      <c r="AA141" t="s">
        <v>2365</v>
      </c>
      <c r="AB141" t="s">
        <v>2365</v>
      </c>
      <c r="AC141" s="813" t="s">
        <v>2365</v>
      </c>
      <c r="AD141" s="813" t="s">
        <v>2365</v>
      </c>
      <c r="AE141" s="813" t="s">
        <v>2365</v>
      </c>
      <c r="AF141" t="s">
        <v>2365</v>
      </c>
      <c r="AG141" t="s">
        <v>2365</v>
      </c>
      <c r="AH141" t="s">
        <v>2365</v>
      </c>
      <c r="AI141" t="s">
        <v>2365</v>
      </c>
      <c r="AJ141" t="s">
        <v>2365</v>
      </c>
      <c r="AK141" t="s">
        <v>2365</v>
      </c>
      <c r="AL141" t="s">
        <v>2365</v>
      </c>
      <c r="AM141" t="s">
        <v>2365</v>
      </c>
      <c r="AN141" t="s">
        <v>2365</v>
      </c>
      <c r="AR141" t="s">
        <v>2365</v>
      </c>
      <c r="AS141" t="s">
        <v>2365</v>
      </c>
      <c r="AT141" t="s">
        <v>2365</v>
      </c>
      <c r="AU141" t="s">
        <v>2365</v>
      </c>
      <c r="AV141" t="s">
        <v>2365</v>
      </c>
      <c r="AW141" t="s">
        <v>2365</v>
      </c>
      <c r="AX141" t="s">
        <v>2365</v>
      </c>
      <c r="AY141" t="s">
        <v>2365</v>
      </c>
      <c r="AZ141" t="s">
        <v>2365</v>
      </c>
      <c r="BA141" t="s">
        <v>2365</v>
      </c>
      <c r="BB141" t="s">
        <v>2365</v>
      </c>
      <c r="BC141" t="s">
        <v>2365</v>
      </c>
      <c r="BD141" t="s">
        <v>2366</v>
      </c>
      <c r="BE141" t="s">
        <v>2365</v>
      </c>
      <c r="BF141" t="s">
        <v>2365</v>
      </c>
      <c r="BG141" t="s">
        <v>2365</v>
      </c>
      <c r="BH141" t="s">
        <v>2365</v>
      </c>
      <c r="BI141" t="s">
        <v>2366</v>
      </c>
      <c r="BJ141" t="s">
        <v>2365</v>
      </c>
      <c r="BK141" t="s">
        <v>2365</v>
      </c>
      <c r="BL141" t="s">
        <v>2365</v>
      </c>
      <c r="BM141" t="s">
        <v>2365</v>
      </c>
      <c r="BO141">
        <v>9</v>
      </c>
      <c r="BP141">
        <v>91</v>
      </c>
      <c r="BQ141" t="s">
        <v>265</v>
      </c>
      <c r="BR141" t="s">
        <v>1517</v>
      </c>
      <c r="BU141">
        <v>130000</v>
      </c>
      <c r="BV141">
        <v>0</v>
      </c>
      <c r="BW141">
        <v>130000</v>
      </c>
      <c r="BX141">
        <v>-130000</v>
      </c>
      <c r="BY141">
        <v>0</v>
      </c>
      <c r="BZ141">
        <v>137800</v>
      </c>
      <c r="CA141">
        <v>146068</v>
      </c>
      <c r="CB141">
        <v>0</v>
      </c>
      <c r="CC141">
        <v>0</v>
      </c>
      <c r="CD141">
        <v>0</v>
      </c>
      <c r="CE141">
        <v>0</v>
      </c>
      <c r="CF141">
        <v>0</v>
      </c>
      <c r="CG141">
        <v>0</v>
      </c>
      <c r="CH141">
        <v>0</v>
      </c>
      <c r="CI141">
        <v>0</v>
      </c>
      <c r="CJ141">
        <v>0</v>
      </c>
      <c r="CK141">
        <v>0</v>
      </c>
      <c r="CL141">
        <v>0</v>
      </c>
      <c r="CM141">
        <v>0</v>
      </c>
      <c r="CR141" t="s">
        <v>2325</v>
      </c>
      <c r="CS141" s="1369" t="str">
        <f>INDEX([8]Sheet1!$H:$H,MATCH(CR:CR,[8]Sheet1!$AU:$AU,0))</f>
        <v>Asset Management</v>
      </c>
    </row>
    <row r="142" spans="1:97" x14ac:dyDescent="0.2">
      <c r="A142" t="s">
        <v>2613</v>
      </c>
      <c r="B142">
        <v>194</v>
      </c>
      <c r="C142" t="s">
        <v>2613</v>
      </c>
      <c r="D142">
        <v>40906</v>
      </c>
      <c r="E142" t="s">
        <v>2430</v>
      </c>
      <c r="F142">
        <v>2700</v>
      </c>
      <c r="G142" t="s">
        <v>656</v>
      </c>
      <c r="H142" t="s">
        <v>2428</v>
      </c>
      <c r="I142" t="s">
        <v>1800</v>
      </c>
      <c r="J142">
        <v>2701</v>
      </c>
      <c r="K142" t="s">
        <v>1800</v>
      </c>
      <c r="L142">
        <v>2200</v>
      </c>
      <c r="M142" t="s">
        <v>619</v>
      </c>
      <c r="N142">
        <v>2205</v>
      </c>
      <c r="O142" t="s">
        <v>1517</v>
      </c>
      <c r="P142" t="s">
        <v>2366</v>
      </c>
      <c r="Q142" t="s">
        <v>2364</v>
      </c>
      <c r="R142" t="s">
        <v>2364</v>
      </c>
      <c r="S142" t="s">
        <v>1881</v>
      </c>
      <c r="T142" t="s">
        <v>1812</v>
      </c>
      <c r="U142" t="s">
        <v>2365</v>
      </c>
      <c r="V142" t="s">
        <v>2365</v>
      </c>
      <c r="W142" t="s">
        <v>2365</v>
      </c>
      <c r="X142" t="s">
        <v>2365</v>
      </c>
      <c r="Y142" t="s">
        <v>2365</v>
      </c>
      <c r="Z142" t="s">
        <v>2365</v>
      </c>
      <c r="AA142" t="s">
        <v>2365</v>
      </c>
      <c r="AB142" t="s">
        <v>2365</v>
      </c>
      <c r="AC142" s="813" t="s">
        <v>2365</v>
      </c>
      <c r="AD142" s="813" t="s">
        <v>2365</v>
      </c>
      <c r="AE142" s="813" t="s">
        <v>2365</v>
      </c>
      <c r="AF142" t="s">
        <v>2365</v>
      </c>
      <c r="AG142" t="s">
        <v>2365</v>
      </c>
      <c r="AH142" t="s">
        <v>2365</v>
      </c>
      <c r="AI142" t="s">
        <v>2365</v>
      </c>
      <c r="AJ142" t="s">
        <v>2365</v>
      </c>
      <c r="AK142" t="s">
        <v>2365</v>
      </c>
      <c r="AL142" t="s">
        <v>2365</v>
      </c>
      <c r="AM142" t="s">
        <v>2365</v>
      </c>
      <c r="AN142" t="s">
        <v>2365</v>
      </c>
      <c r="AR142" t="s">
        <v>2365</v>
      </c>
      <c r="AS142" t="s">
        <v>2365</v>
      </c>
      <c r="AT142" t="s">
        <v>2365</v>
      </c>
      <c r="AU142" t="s">
        <v>2365</v>
      </c>
      <c r="AV142" t="s">
        <v>2365</v>
      </c>
      <c r="AW142" t="s">
        <v>2365</v>
      </c>
      <c r="AX142" t="s">
        <v>2365</v>
      </c>
      <c r="AY142" t="s">
        <v>2365</v>
      </c>
      <c r="AZ142" t="s">
        <v>2365</v>
      </c>
      <c r="BA142" t="s">
        <v>2365</v>
      </c>
      <c r="BB142" t="s">
        <v>2365</v>
      </c>
      <c r="BC142" t="s">
        <v>2365</v>
      </c>
      <c r="BD142" t="s">
        <v>2366</v>
      </c>
      <c r="BE142" t="s">
        <v>2365</v>
      </c>
      <c r="BF142" t="s">
        <v>2365</v>
      </c>
      <c r="BG142" t="s">
        <v>2365</v>
      </c>
      <c r="BH142" t="s">
        <v>2365</v>
      </c>
      <c r="BI142" t="s">
        <v>2366</v>
      </c>
      <c r="BJ142" t="s">
        <v>2365</v>
      </c>
      <c r="BK142" t="s">
        <v>2365</v>
      </c>
      <c r="BL142" t="s">
        <v>2365</v>
      </c>
      <c r="BM142" t="s">
        <v>2365</v>
      </c>
      <c r="BO142">
        <v>9</v>
      </c>
      <c r="BP142">
        <v>91</v>
      </c>
      <c r="BQ142" t="s">
        <v>265</v>
      </c>
      <c r="BR142" t="s">
        <v>1517</v>
      </c>
      <c r="BU142">
        <v>120000</v>
      </c>
      <c r="BV142">
        <v>0</v>
      </c>
      <c r="BW142">
        <v>120000</v>
      </c>
      <c r="BX142">
        <v>-120000</v>
      </c>
      <c r="BY142">
        <v>0</v>
      </c>
      <c r="BZ142">
        <v>127200</v>
      </c>
      <c r="CA142">
        <v>134832</v>
      </c>
      <c r="CB142">
        <v>0</v>
      </c>
      <c r="CC142">
        <v>0</v>
      </c>
      <c r="CD142">
        <v>0</v>
      </c>
      <c r="CE142">
        <v>0</v>
      </c>
      <c r="CF142">
        <v>0</v>
      </c>
      <c r="CG142">
        <v>0</v>
      </c>
      <c r="CH142">
        <v>0</v>
      </c>
      <c r="CI142">
        <v>0</v>
      </c>
      <c r="CJ142">
        <v>0</v>
      </c>
      <c r="CK142">
        <v>0</v>
      </c>
      <c r="CL142">
        <v>0</v>
      </c>
      <c r="CM142">
        <v>0</v>
      </c>
      <c r="CR142" t="s">
        <v>2325</v>
      </c>
      <c r="CS142" s="1369" t="str">
        <f>INDEX([8]Sheet1!$H:$H,MATCH(CR:CR,[8]Sheet1!$AU:$AU,0))</f>
        <v>Asset Management</v>
      </c>
    </row>
    <row r="143" spans="1:97" x14ac:dyDescent="0.2">
      <c r="A143" t="s">
        <v>2614</v>
      </c>
      <c r="B143">
        <v>195</v>
      </c>
      <c r="C143" t="s">
        <v>2614</v>
      </c>
      <c r="D143">
        <v>40907</v>
      </c>
      <c r="E143" t="s">
        <v>2615</v>
      </c>
      <c r="F143">
        <v>2700</v>
      </c>
      <c r="G143" t="s">
        <v>656</v>
      </c>
      <c r="H143" t="s">
        <v>2478</v>
      </c>
      <c r="I143" t="s">
        <v>1802</v>
      </c>
      <c r="J143">
        <v>2703</v>
      </c>
      <c r="K143" t="s">
        <v>1802</v>
      </c>
      <c r="L143">
        <v>2200</v>
      </c>
      <c r="M143" t="s">
        <v>619</v>
      </c>
      <c r="N143">
        <v>2205</v>
      </c>
      <c r="O143" t="s">
        <v>1517</v>
      </c>
      <c r="P143" t="s">
        <v>2366</v>
      </c>
      <c r="Q143" t="s">
        <v>2364</v>
      </c>
      <c r="R143" t="s">
        <v>2364</v>
      </c>
      <c r="S143" t="s">
        <v>1881</v>
      </c>
      <c r="T143" t="s">
        <v>1812</v>
      </c>
      <c r="U143" t="s">
        <v>2365</v>
      </c>
      <c r="V143" t="s">
        <v>2365</v>
      </c>
      <c r="W143" t="s">
        <v>2365</v>
      </c>
      <c r="X143" t="s">
        <v>2365</v>
      </c>
      <c r="Y143" t="s">
        <v>2365</v>
      </c>
      <c r="Z143" t="s">
        <v>2365</v>
      </c>
      <c r="AA143" t="s">
        <v>2365</v>
      </c>
      <c r="AB143" t="s">
        <v>2365</v>
      </c>
      <c r="AC143" s="813" t="s">
        <v>2365</v>
      </c>
      <c r="AD143" s="813" t="s">
        <v>2365</v>
      </c>
      <c r="AE143" s="813" t="s">
        <v>2365</v>
      </c>
      <c r="AF143" t="s">
        <v>2365</v>
      </c>
      <c r="AG143" t="s">
        <v>2365</v>
      </c>
      <c r="AH143" t="s">
        <v>2365</v>
      </c>
      <c r="AI143" t="s">
        <v>2365</v>
      </c>
      <c r="AJ143" t="s">
        <v>2365</v>
      </c>
      <c r="AK143" t="s">
        <v>2365</v>
      </c>
      <c r="AL143" t="s">
        <v>2365</v>
      </c>
      <c r="AM143" t="s">
        <v>2365</v>
      </c>
      <c r="AN143" t="s">
        <v>2365</v>
      </c>
      <c r="AR143" t="s">
        <v>2365</v>
      </c>
      <c r="AS143" t="s">
        <v>2365</v>
      </c>
      <c r="AT143" t="s">
        <v>2365</v>
      </c>
      <c r="AU143" t="s">
        <v>2365</v>
      </c>
      <c r="AV143" t="s">
        <v>2365</v>
      </c>
      <c r="AW143" t="s">
        <v>2365</v>
      </c>
      <c r="AX143" t="s">
        <v>2365</v>
      </c>
      <c r="AY143" t="s">
        <v>2365</v>
      </c>
      <c r="AZ143" t="s">
        <v>2365</v>
      </c>
      <c r="BA143" t="s">
        <v>2365</v>
      </c>
      <c r="BB143" t="s">
        <v>2365</v>
      </c>
      <c r="BC143" t="s">
        <v>2365</v>
      </c>
      <c r="BD143" t="s">
        <v>2366</v>
      </c>
      <c r="BE143" t="s">
        <v>2365</v>
      </c>
      <c r="BF143" t="s">
        <v>2365</v>
      </c>
      <c r="BG143" t="s">
        <v>2365</v>
      </c>
      <c r="BH143" t="s">
        <v>2365</v>
      </c>
      <c r="BI143" t="s">
        <v>2366</v>
      </c>
      <c r="BJ143" t="s">
        <v>2365</v>
      </c>
      <c r="BK143" t="s">
        <v>2365</v>
      </c>
      <c r="BL143" t="s">
        <v>2365</v>
      </c>
      <c r="BM143" t="s">
        <v>2365</v>
      </c>
      <c r="BO143">
        <v>9</v>
      </c>
      <c r="BP143">
        <v>91</v>
      </c>
      <c r="BQ143" t="s">
        <v>265</v>
      </c>
      <c r="BR143" t="s">
        <v>1517</v>
      </c>
      <c r="BU143">
        <v>5000</v>
      </c>
      <c r="BV143">
        <v>0</v>
      </c>
      <c r="BW143">
        <v>5000</v>
      </c>
      <c r="BX143">
        <v>-5000</v>
      </c>
      <c r="BY143">
        <v>0</v>
      </c>
      <c r="BZ143">
        <v>5300</v>
      </c>
      <c r="CA143">
        <v>5618</v>
      </c>
      <c r="CB143">
        <v>0</v>
      </c>
      <c r="CC143">
        <v>0</v>
      </c>
      <c r="CD143">
        <v>0</v>
      </c>
      <c r="CE143">
        <v>0</v>
      </c>
      <c r="CF143">
        <v>0</v>
      </c>
      <c r="CG143">
        <v>0</v>
      </c>
      <c r="CH143">
        <v>0</v>
      </c>
      <c r="CI143">
        <v>0</v>
      </c>
      <c r="CJ143">
        <v>0</v>
      </c>
      <c r="CK143">
        <v>0</v>
      </c>
      <c r="CL143">
        <v>0</v>
      </c>
      <c r="CM143">
        <v>0</v>
      </c>
      <c r="CR143" t="s">
        <v>2326</v>
      </c>
      <c r="CS143" s="1369" t="str">
        <f>INDEX([8]Sheet1!$H:$H,MATCH(CR:CR,[8]Sheet1!$AU:$AU,0))</f>
        <v>Supply Chain Management</v>
      </c>
    </row>
    <row r="144" spans="1:97" x14ac:dyDescent="0.2">
      <c r="A144" t="s">
        <v>2616</v>
      </c>
      <c r="B144">
        <v>196</v>
      </c>
      <c r="C144" t="s">
        <v>2616</v>
      </c>
      <c r="D144">
        <v>40908</v>
      </c>
      <c r="E144" t="s">
        <v>2617</v>
      </c>
      <c r="F144">
        <v>2700</v>
      </c>
      <c r="G144" t="s">
        <v>656</v>
      </c>
      <c r="H144" t="s">
        <v>2478</v>
      </c>
      <c r="I144" t="s">
        <v>1802</v>
      </c>
      <c r="J144">
        <v>2703</v>
      </c>
      <c r="K144" t="s">
        <v>1802</v>
      </c>
      <c r="L144">
        <v>2200</v>
      </c>
      <c r="M144" t="s">
        <v>619</v>
      </c>
      <c r="N144">
        <v>2205</v>
      </c>
      <c r="O144" t="s">
        <v>1517</v>
      </c>
      <c r="P144" t="s">
        <v>2366</v>
      </c>
      <c r="Q144" t="s">
        <v>2364</v>
      </c>
      <c r="R144" t="s">
        <v>2364</v>
      </c>
      <c r="S144" t="s">
        <v>1881</v>
      </c>
      <c r="T144" t="s">
        <v>1812</v>
      </c>
      <c r="U144" t="s">
        <v>2365</v>
      </c>
      <c r="V144" t="s">
        <v>2365</v>
      </c>
      <c r="W144" t="s">
        <v>2365</v>
      </c>
      <c r="X144" t="s">
        <v>2365</v>
      </c>
      <c r="Y144" t="s">
        <v>2365</v>
      </c>
      <c r="Z144" t="s">
        <v>2365</v>
      </c>
      <c r="AA144" t="s">
        <v>2365</v>
      </c>
      <c r="AB144" t="s">
        <v>2365</v>
      </c>
      <c r="AC144" s="813" t="s">
        <v>2365</v>
      </c>
      <c r="AD144" s="813" t="s">
        <v>2365</v>
      </c>
      <c r="AE144" s="813" t="s">
        <v>2365</v>
      </c>
      <c r="AF144" t="s">
        <v>2365</v>
      </c>
      <c r="AG144" t="s">
        <v>2365</v>
      </c>
      <c r="AH144" t="s">
        <v>2365</v>
      </c>
      <c r="AI144" t="s">
        <v>2365</v>
      </c>
      <c r="AJ144" t="s">
        <v>2365</v>
      </c>
      <c r="AK144" t="s">
        <v>2365</v>
      </c>
      <c r="AL144" t="s">
        <v>2365</v>
      </c>
      <c r="AM144" t="s">
        <v>2365</v>
      </c>
      <c r="AN144" t="s">
        <v>2365</v>
      </c>
      <c r="AR144" t="s">
        <v>2365</v>
      </c>
      <c r="AS144" t="s">
        <v>2365</v>
      </c>
      <c r="AT144" t="s">
        <v>2365</v>
      </c>
      <c r="AU144" t="s">
        <v>2365</v>
      </c>
      <c r="AV144" t="s">
        <v>2365</v>
      </c>
      <c r="AW144" t="s">
        <v>2365</v>
      </c>
      <c r="AX144" t="s">
        <v>2365</v>
      </c>
      <c r="AY144" t="s">
        <v>2365</v>
      </c>
      <c r="AZ144" t="s">
        <v>2365</v>
      </c>
      <c r="BA144" t="s">
        <v>2365</v>
      </c>
      <c r="BB144" t="s">
        <v>2365</v>
      </c>
      <c r="BC144" t="s">
        <v>2365</v>
      </c>
      <c r="BD144" t="s">
        <v>2366</v>
      </c>
      <c r="BE144" t="s">
        <v>2365</v>
      </c>
      <c r="BF144" t="s">
        <v>2365</v>
      </c>
      <c r="BG144" t="s">
        <v>2365</v>
      </c>
      <c r="BH144" t="s">
        <v>2365</v>
      </c>
      <c r="BI144" t="s">
        <v>2366</v>
      </c>
      <c r="BJ144" t="s">
        <v>2365</v>
      </c>
      <c r="BK144" t="s">
        <v>2365</v>
      </c>
      <c r="BL144" t="s">
        <v>2365</v>
      </c>
      <c r="BM144" t="s">
        <v>2365</v>
      </c>
      <c r="BO144">
        <v>9</v>
      </c>
      <c r="BP144">
        <v>91</v>
      </c>
      <c r="BQ144" t="s">
        <v>265</v>
      </c>
      <c r="BR144" t="s">
        <v>1517</v>
      </c>
      <c r="BU144">
        <v>250000</v>
      </c>
      <c r="BV144">
        <v>0</v>
      </c>
      <c r="BW144">
        <v>250000</v>
      </c>
      <c r="BX144">
        <v>-250000</v>
      </c>
      <c r="BY144">
        <v>0</v>
      </c>
      <c r="BZ144">
        <v>265000</v>
      </c>
      <c r="CA144">
        <v>280900</v>
      </c>
      <c r="CB144">
        <v>0</v>
      </c>
      <c r="CC144">
        <v>0</v>
      </c>
      <c r="CD144">
        <v>0</v>
      </c>
      <c r="CE144">
        <v>0</v>
      </c>
      <c r="CF144">
        <v>0</v>
      </c>
      <c r="CG144">
        <v>173413.52</v>
      </c>
      <c r="CH144">
        <v>0</v>
      </c>
      <c r="CI144">
        <v>0</v>
      </c>
      <c r="CJ144">
        <v>0</v>
      </c>
      <c r="CK144">
        <v>0</v>
      </c>
      <c r="CL144">
        <v>0</v>
      </c>
      <c r="CM144">
        <v>0</v>
      </c>
      <c r="CR144" t="s">
        <v>2325</v>
      </c>
      <c r="CS144" s="1369" t="str">
        <f>INDEX([8]Sheet1!$H:$H,MATCH(CR:CR,[8]Sheet1!$AU:$AU,0))</f>
        <v>Asset Management</v>
      </c>
    </row>
    <row r="145" spans="1:97" x14ac:dyDescent="0.2">
      <c r="A145" t="s">
        <v>2618</v>
      </c>
      <c r="B145">
        <v>197</v>
      </c>
      <c r="C145" t="s">
        <v>2618</v>
      </c>
      <c r="D145">
        <v>40891</v>
      </c>
      <c r="E145" t="s">
        <v>2504</v>
      </c>
      <c r="F145">
        <v>2900</v>
      </c>
      <c r="G145" t="s">
        <v>569</v>
      </c>
      <c r="H145" t="s">
        <v>2366</v>
      </c>
      <c r="I145" t="s">
        <v>2366</v>
      </c>
      <c r="J145">
        <v>2904</v>
      </c>
      <c r="K145" t="s">
        <v>1432</v>
      </c>
      <c r="L145">
        <v>2200</v>
      </c>
      <c r="M145" t="s">
        <v>619</v>
      </c>
      <c r="N145">
        <v>2205</v>
      </c>
      <c r="O145" t="s">
        <v>1517</v>
      </c>
      <c r="P145" t="s">
        <v>2366</v>
      </c>
      <c r="Q145" t="s">
        <v>2364</v>
      </c>
      <c r="R145" t="s">
        <v>2364</v>
      </c>
      <c r="S145" t="s">
        <v>1881</v>
      </c>
      <c r="T145" t="s">
        <v>1812</v>
      </c>
      <c r="U145" t="s">
        <v>2365</v>
      </c>
      <c r="V145" t="s">
        <v>2365</v>
      </c>
      <c r="W145" t="s">
        <v>2365</v>
      </c>
      <c r="X145" t="s">
        <v>2365</v>
      </c>
      <c r="Y145" t="s">
        <v>2365</v>
      </c>
      <c r="Z145" t="s">
        <v>2365</v>
      </c>
      <c r="AA145" t="s">
        <v>2365</v>
      </c>
      <c r="AB145" t="s">
        <v>2365</v>
      </c>
      <c r="AC145" s="813" t="s">
        <v>2365</v>
      </c>
      <c r="AD145" s="813" t="s">
        <v>2365</v>
      </c>
      <c r="AE145" s="813" t="s">
        <v>2365</v>
      </c>
      <c r="AF145" t="s">
        <v>2365</v>
      </c>
      <c r="AG145" t="s">
        <v>2365</v>
      </c>
      <c r="AH145" t="s">
        <v>2365</v>
      </c>
      <c r="AI145" t="s">
        <v>2365</v>
      </c>
      <c r="AJ145" t="s">
        <v>2365</v>
      </c>
      <c r="AK145" t="s">
        <v>2365</v>
      </c>
      <c r="AL145" t="s">
        <v>2365</v>
      </c>
      <c r="AM145" t="s">
        <v>2365</v>
      </c>
      <c r="AN145" t="s">
        <v>2365</v>
      </c>
      <c r="AR145" t="s">
        <v>2365</v>
      </c>
      <c r="AS145" t="s">
        <v>2365</v>
      </c>
      <c r="AT145" t="s">
        <v>2365</v>
      </c>
      <c r="AU145" t="s">
        <v>2365</v>
      </c>
      <c r="AV145" t="s">
        <v>2365</v>
      </c>
      <c r="AW145" t="s">
        <v>2365</v>
      </c>
      <c r="AX145" t="s">
        <v>2365</v>
      </c>
      <c r="AY145" t="s">
        <v>2365</v>
      </c>
      <c r="AZ145" t="s">
        <v>2365</v>
      </c>
      <c r="BA145" t="s">
        <v>2365</v>
      </c>
      <c r="BB145" t="s">
        <v>2365</v>
      </c>
      <c r="BC145" t="s">
        <v>2365</v>
      </c>
      <c r="BD145" t="s">
        <v>2366</v>
      </c>
      <c r="BE145" t="s">
        <v>2365</v>
      </c>
      <c r="BF145" t="s">
        <v>2365</v>
      </c>
      <c r="BG145" t="s">
        <v>2365</v>
      </c>
      <c r="BH145" t="s">
        <v>2365</v>
      </c>
      <c r="BI145" t="s">
        <v>2366</v>
      </c>
      <c r="BJ145" t="s">
        <v>2365</v>
      </c>
      <c r="BK145" t="s">
        <v>2365</v>
      </c>
      <c r="BL145" t="s">
        <v>2365</v>
      </c>
      <c r="BM145" t="s">
        <v>2365</v>
      </c>
      <c r="BO145">
        <v>9</v>
      </c>
      <c r="BP145">
        <v>91</v>
      </c>
      <c r="BQ145" t="s">
        <v>265</v>
      </c>
      <c r="BR145" t="s">
        <v>1517</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R145" t="s">
        <v>2326</v>
      </c>
      <c r="CS145" s="1369" t="str">
        <f>INDEX([8]Sheet1!$H:$H,MATCH(CR:CR,[8]Sheet1!$AU:$AU,0))</f>
        <v>Supply Chain Management</v>
      </c>
    </row>
    <row r="146" spans="1:97" x14ac:dyDescent="0.2">
      <c r="A146" t="s">
        <v>2619</v>
      </c>
      <c r="B146">
        <v>198</v>
      </c>
      <c r="C146" t="s">
        <v>2619</v>
      </c>
      <c r="D146">
        <v>40892</v>
      </c>
      <c r="E146" t="s">
        <v>2508</v>
      </c>
      <c r="F146">
        <v>2900</v>
      </c>
      <c r="G146" t="s">
        <v>569</v>
      </c>
      <c r="H146" t="s">
        <v>2366</v>
      </c>
      <c r="I146" t="s">
        <v>2366</v>
      </c>
      <c r="J146">
        <v>2904</v>
      </c>
      <c r="K146" t="s">
        <v>1432</v>
      </c>
      <c r="L146">
        <v>2200</v>
      </c>
      <c r="M146" t="s">
        <v>619</v>
      </c>
      <c r="N146">
        <v>2205</v>
      </c>
      <c r="O146" t="s">
        <v>1517</v>
      </c>
      <c r="P146" t="s">
        <v>2366</v>
      </c>
      <c r="Q146" t="s">
        <v>2364</v>
      </c>
      <c r="R146" t="s">
        <v>2364</v>
      </c>
      <c r="S146" t="s">
        <v>1881</v>
      </c>
      <c r="T146" t="s">
        <v>1812</v>
      </c>
      <c r="U146" t="s">
        <v>2365</v>
      </c>
      <c r="V146" t="s">
        <v>2365</v>
      </c>
      <c r="W146" t="s">
        <v>2365</v>
      </c>
      <c r="X146" t="s">
        <v>2365</v>
      </c>
      <c r="Y146" t="s">
        <v>2365</v>
      </c>
      <c r="Z146" t="s">
        <v>2365</v>
      </c>
      <c r="AA146" t="s">
        <v>2365</v>
      </c>
      <c r="AB146" t="s">
        <v>2365</v>
      </c>
      <c r="AC146" s="813" t="s">
        <v>2365</v>
      </c>
      <c r="AD146" s="813" t="s">
        <v>2365</v>
      </c>
      <c r="AE146" s="813" t="s">
        <v>2365</v>
      </c>
      <c r="AF146" t="s">
        <v>2365</v>
      </c>
      <c r="AG146" t="s">
        <v>2365</v>
      </c>
      <c r="AH146" t="s">
        <v>2365</v>
      </c>
      <c r="AI146" t="s">
        <v>2365</v>
      </c>
      <c r="AJ146" t="s">
        <v>2365</v>
      </c>
      <c r="AK146" t="s">
        <v>2365</v>
      </c>
      <c r="AL146" t="s">
        <v>2365</v>
      </c>
      <c r="AM146" t="s">
        <v>2365</v>
      </c>
      <c r="AN146" t="s">
        <v>2365</v>
      </c>
      <c r="AR146" t="s">
        <v>2365</v>
      </c>
      <c r="AS146" t="s">
        <v>2365</v>
      </c>
      <c r="AT146" t="s">
        <v>2365</v>
      </c>
      <c r="AU146" t="s">
        <v>2365</v>
      </c>
      <c r="AV146" t="s">
        <v>2365</v>
      </c>
      <c r="AW146" t="s">
        <v>2365</v>
      </c>
      <c r="AX146" t="s">
        <v>2365</v>
      </c>
      <c r="AY146" t="s">
        <v>2365</v>
      </c>
      <c r="AZ146" t="s">
        <v>2365</v>
      </c>
      <c r="BA146" t="s">
        <v>2365</v>
      </c>
      <c r="BB146" t="s">
        <v>2365</v>
      </c>
      <c r="BC146" t="s">
        <v>2365</v>
      </c>
      <c r="BD146" t="s">
        <v>2366</v>
      </c>
      <c r="BE146" t="s">
        <v>2365</v>
      </c>
      <c r="BF146" t="s">
        <v>2365</v>
      </c>
      <c r="BG146" t="s">
        <v>2365</v>
      </c>
      <c r="BH146" t="s">
        <v>2365</v>
      </c>
      <c r="BI146" t="s">
        <v>2366</v>
      </c>
      <c r="BJ146" t="s">
        <v>2365</v>
      </c>
      <c r="BK146" t="s">
        <v>2365</v>
      </c>
      <c r="BL146" t="s">
        <v>2365</v>
      </c>
      <c r="BM146" t="s">
        <v>2365</v>
      </c>
      <c r="BO146">
        <v>9</v>
      </c>
      <c r="BP146">
        <v>91</v>
      </c>
      <c r="BQ146" t="s">
        <v>265</v>
      </c>
      <c r="BR146" t="s">
        <v>1517</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R146" t="s">
        <v>2325</v>
      </c>
      <c r="CS146" s="1369" t="str">
        <f>INDEX([8]Sheet1!$H:$H,MATCH(CR:CR,[8]Sheet1!$AU:$AU,0))</f>
        <v>Asset Management</v>
      </c>
    </row>
    <row r="147" spans="1:97" x14ac:dyDescent="0.2">
      <c r="A147" t="s">
        <v>2620</v>
      </c>
      <c r="B147">
        <v>199</v>
      </c>
      <c r="C147" t="s">
        <v>2620</v>
      </c>
      <c r="D147">
        <v>40893</v>
      </c>
      <c r="E147" t="s">
        <v>2510</v>
      </c>
      <c r="F147">
        <v>2900</v>
      </c>
      <c r="G147" t="s">
        <v>569</v>
      </c>
      <c r="H147" t="s">
        <v>2366</v>
      </c>
      <c r="I147" t="s">
        <v>2366</v>
      </c>
      <c r="J147">
        <v>2904</v>
      </c>
      <c r="K147" t="s">
        <v>1432</v>
      </c>
      <c r="L147">
        <v>2200</v>
      </c>
      <c r="M147" t="s">
        <v>619</v>
      </c>
      <c r="N147">
        <v>2205</v>
      </c>
      <c r="O147" t="s">
        <v>1517</v>
      </c>
      <c r="P147" t="s">
        <v>2366</v>
      </c>
      <c r="Q147" t="s">
        <v>2364</v>
      </c>
      <c r="R147" t="s">
        <v>2364</v>
      </c>
      <c r="S147" t="s">
        <v>1881</v>
      </c>
      <c r="T147" t="s">
        <v>1812</v>
      </c>
      <c r="U147" t="s">
        <v>2365</v>
      </c>
      <c r="V147" t="s">
        <v>2365</v>
      </c>
      <c r="W147" t="s">
        <v>2365</v>
      </c>
      <c r="X147" t="s">
        <v>2365</v>
      </c>
      <c r="Y147" t="s">
        <v>2365</v>
      </c>
      <c r="Z147" t="s">
        <v>2365</v>
      </c>
      <c r="AA147" t="s">
        <v>2365</v>
      </c>
      <c r="AB147" t="s">
        <v>2365</v>
      </c>
      <c r="AC147" s="813" t="s">
        <v>2365</v>
      </c>
      <c r="AD147" s="813" t="s">
        <v>2365</v>
      </c>
      <c r="AE147" s="813" t="s">
        <v>2365</v>
      </c>
      <c r="AF147" t="s">
        <v>2365</v>
      </c>
      <c r="AG147" t="s">
        <v>2365</v>
      </c>
      <c r="AH147" t="s">
        <v>2365</v>
      </c>
      <c r="AI147" t="s">
        <v>2365</v>
      </c>
      <c r="AJ147" t="s">
        <v>2365</v>
      </c>
      <c r="AK147" t="s">
        <v>2365</v>
      </c>
      <c r="AL147" t="s">
        <v>2365</v>
      </c>
      <c r="AM147" t="s">
        <v>2365</v>
      </c>
      <c r="AN147" t="s">
        <v>2365</v>
      </c>
      <c r="AR147" t="s">
        <v>2365</v>
      </c>
      <c r="AS147" t="s">
        <v>2365</v>
      </c>
      <c r="AT147" t="s">
        <v>2365</v>
      </c>
      <c r="AU147" t="s">
        <v>2365</v>
      </c>
      <c r="AV147" t="s">
        <v>2365</v>
      </c>
      <c r="AW147" t="s">
        <v>2365</v>
      </c>
      <c r="AX147" t="s">
        <v>2365</v>
      </c>
      <c r="AY147" t="s">
        <v>2365</v>
      </c>
      <c r="AZ147" t="s">
        <v>2365</v>
      </c>
      <c r="BA147" t="s">
        <v>2365</v>
      </c>
      <c r="BB147" t="s">
        <v>2365</v>
      </c>
      <c r="BC147" t="s">
        <v>2365</v>
      </c>
      <c r="BD147" t="s">
        <v>2366</v>
      </c>
      <c r="BE147" t="s">
        <v>2365</v>
      </c>
      <c r="BF147" t="s">
        <v>2365</v>
      </c>
      <c r="BG147" t="s">
        <v>2365</v>
      </c>
      <c r="BH147" t="s">
        <v>2365</v>
      </c>
      <c r="BI147" t="s">
        <v>2366</v>
      </c>
      <c r="BJ147" t="s">
        <v>2365</v>
      </c>
      <c r="BK147" t="s">
        <v>2365</v>
      </c>
      <c r="BL147" t="s">
        <v>2365</v>
      </c>
      <c r="BM147" t="s">
        <v>2365</v>
      </c>
      <c r="BO147">
        <v>9</v>
      </c>
      <c r="BP147">
        <v>91</v>
      </c>
      <c r="BQ147" t="s">
        <v>265</v>
      </c>
      <c r="BR147" t="s">
        <v>1517</v>
      </c>
      <c r="BU147">
        <v>30000</v>
      </c>
      <c r="BV147">
        <v>0</v>
      </c>
      <c r="BW147">
        <v>30000</v>
      </c>
      <c r="BX147">
        <v>0</v>
      </c>
      <c r="BY147">
        <v>30000</v>
      </c>
      <c r="BZ147">
        <v>31800</v>
      </c>
      <c r="CA147">
        <v>33708</v>
      </c>
      <c r="CB147">
        <v>0</v>
      </c>
      <c r="CC147">
        <v>0</v>
      </c>
      <c r="CD147">
        <v>0</v>
      </c>
      <c r="CE147">
        <v>0</v>
      </c>
      <c r="CF147">
        <v>0</v>
      </c>
      <c r="CG147">
        <v>0</v>
      </c>
      <c r="CH147">
        <v>0</v>
      </c>
      <c r="CI147">
        <v>0</v>
      </c>
      <c r="CJ147">
        <v>0</v>
      </c>
      <c r="CK147">
        <v>0</v>
      </c>
      <c r="CL147">
        <v>0</v>
      </c>
      <c r="CM147">
        <v>0</v>
      </c>
      <c r="CR147" t="s">
        <v>2326</v>
      </c>
      <c r="CS147" s="1369" t="str">
        <f>INDEX([8]Sheet1!$H:$H,MATCH(CR:CR,[8]Sheet1!$AU:$AU,0))</f>
        <v>Supply Chain Management</v>
      </c>
    </row>
    <row r="148" spans="1:97" x14ac:dyDescent="0.2">
      <c r="A148" t="s">
        <v>2621</v>
      </c>
      <c r="B148">
        <v>200</v>
      </c>
      <c r="C148" t="s">
        <v>2621</v>
      </c>
      <c r="D148">
        <v>40894</v>
      </c>
      <c r="E148" t="s">
        <v>2610</v>
      </c>
      <c r="F148">
        <v>2900</v>
      </c>
      <c r="G148" t="s">
        <v>569</v>
      </c>
      <c r="H148" t="s">
        <v>2366</v>
      </c>
      <c r="I148" t="s">
        <v>2366</v>
      </c>
      <c r="J148">
        <v>2904</v>
      </c>
      <c r="K148" t="s">
        <v>1432</v>
      </c>
      <c r="L148">
        <v>2200</v>
      </c>
      <c r="M148" t="s">
        <v>619</v>
      </c>
      <c r="N148">
        <v>2205</v>
      </c>
      <c r="O148" t="s">
        <v>1517</v>
      </c>
      <c r="P148" t="s">
        <v>2366</v>
      </c>
      <c r="Q148" t="s">
        <v>2364</v>
      </c>
      <c r="R148" t="s">
        <v>2364</v>
      </c>
      <c r="S148" t="s">
        <v>1881</v>
      </c>
      <c r="T148" t="s">
        <v>1812</v>
      </c>
      <c r="U148" t="s">
        <v>2365</v>
      </c>
      <c r="V148" t="s">
        <v>2365</v>
      </c>
      <c r="W148" t="s">
        <v>2365</v>
      </c>
      <c r="X148" t="s">
        <v>2365</v>
      </c>
      <c r="Y148" t="s">
        <v>2365</v>
      </c>
      <c r="Z148" t="s">
        <v>2365</v>
      </c>
      <c r="AA148" t="s">
        <v>2365</v>
      </c>
      <c r="AB148" t="s">
        <v>2365</v>
      </c>
      <c r="AC148" s="813" t="s">
        <v>2365</v>
      </c>
      <c r="AD148" s="813" t="s">
        <v>2365</v>
      </c>
      <c r="AE148" s="813" t="s">
        <v>2365</v>
      </c>
      <c r="AF148" t="s">
        <v>2365</v>
      </c>
      <c r="AG148" t="s">
        <v>2365</v>
      </c>
      <c r="AH148" t="s">
        <v>2365</v>
      </c>
      <c r="AI148" t="s">
        <v>2365</v>
      </c>
      <c r="AJ148" t="s">
        <v>2365</v>
      </c>
      <c r="AK148" t="s">
        <v>2365</v>
      </c>
      <c r="AL148" t="s">
        <v>2365</v>
      </c>
      <c r="AM148" t="s">
        <v>2365</v>
      </c>
      <c r="AN148" t="s">
        <v>2365</v>
      </c>
      <c r="AR148" t="s">
        <v>2365</v>
      </c>
      <c r="AS148" t="s">
        <v>2365</v>
      </c>
      <c r="AT148" t="s">
        <v>2365</v>
      </c>
      <c r="AU148" t="s">
        <v>2365</v>
      </c>
      <c r="AV148" t="s">
        <v>2365</v>
      </c>
      <c r="AW148" t="s">
        <v>2365</v>
      </c>
      <c r="AX148" t="s">
        <v>2365</v>
      </c>
      <c r="AY148" t="s">
        <v>2365</v>
      </c>
      <c r="AZ148" t="s">
        <v>2365</v>
      </c>
      <c r="BA148" t="s">
        <v>2365</v>
      </c>
      <c r="BB148" t="s">
        <v>2365</v>
      </c>
      <c r="BC148" t="s">
        <v>2365</v>
      </c>
      <c r="BD148" t="s">
        <v>2366</v>
      </c>
      <c r="BE148" t="s">
        <v>2365</v>
      </c>
      <c r="BF148" t="s">
        <v>2365</v>
      </c>
      <c r="BG148" t="s">
        <v>2365</v>
      </c>
      <c r="BH148" t="s">
        <v>2365</v>
      </c>
      <c r="BI148" t="s">
        <v>2366</v>
      </c>
      <c r="BJ148" t="s">
        <v>2365</v>
      </c>
      <c r="BK148" t="s">
        <v>2365</v>
      </c>
      <c r="BL148" t="s">
        <v>2365</v>
      </c>
      <c r="BM148" t="s">
        <v>2365</v>
      </c>
      <c r="BO148">
        <v>9</v>
      </c>
      <c r="BP148">
        <v>91</v>
      </c>
      <c r="BQ148" t="s">
        <v>265</v>
      </c>
      <c r="BR148" t="s">
        <v>1517</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R148" t="s">
        <v>2326</v>
      </c>
      <c r="CS148" s="1369" t="str">
        <f>INDEX([8]Sheet1!$H:$H,MATCH(CR:CR,[8]Sheet1!$AU:$AU,0))</f>
        <v>Supply Chain Management</v>
      </c>
    </row>
    <row r="149" spans="1:97" x14ac:dyDescent="0.2">
      <c r="A149" t="s">
        <v>2622</v>
      </c>
      <c r="B149">
        <v>201</v>
      </c>
      <c r="C149" t="s">
        <v>2622</v>
      </c>
      <c r="D149">
        <v>40895</v>
      </c>
      <c r="E149" t="s">
        <v>2600</v>
      </c>
      <c r="F149">
        <v>2900</v>
      </c>
      <c r="G149" t="s">
        <v>569</v>
      </c>
      <c r="H149" t="s">
        <v>2366</v>
      </c>
      <c r="I149" t="s">
        <v>2366</v>
      </c>
      <c r="J149">
        <v>2904</v>
      </c>
      <c r="K149" t="s">
        <v>1432</v>
      </c>
      <c r="L149">
        <v>2200</v>
      </c>
      <c r="M149" t="s">
        <v>619</v>
      </c>
      <c r="N149">
        <v>2205</v>
      </c>
      <c r="O149" t="s">
        <v>1517</v>
      </c>
      <c r="P149" t="s">
        <v>2366</v>
      </c>
      <c r="Q149" t="s">
        <v>2364</v>
      </c>
      <c r="R149" t="s">
        <v>2364</v>
      </c>
      <c r="S149" t="s">
        <v>1881</v>
      </c>
      <c r="T149" t="s">
        <v>1812</v>
      </c>
      <c r="U149" t="s">
        <v>2365</v>
      </c>
      <c r="V149" t="s">
        <v>2365</v>
      </c>
      <c r="W149" t="s">
        <v>2365</v>
      </c>
      <c r="X149" t="s">
        <v>2365</v>
      </c>
      <c r="Y149" t="s">
        <v>2365</v>
      </c>
      <c r="Z149" t="s">
        <v>2365</v>
      </c>
      <c r="AA149" t="s">
        <v>2365</v>
      </c>
      <c r="AB149" t="s">
        <v>2365</v>
      </c>
      <c r="AC149" s="813" t="s">
        <v>2365</v>
      </c>
      <c r="AD149" s="813" t="s">
        <v>2365</v>
      </c>
      <c r="AE149" s="813" t="s">
        <v>2365</v>
      </c>
      <c r="AF149" t="s">
        <v>2365</v>
      </c>
      <c r="AG149" t="s">
        <v>2365</v>
      </c>
      <c r="AH149" t="s">
        <v>2365</v>
      </c>
      <c r="AI149" t="s">
        <v>2365</v>
      </c>
      <c r="AJ149" t="s">
        <v>2365</v>
      </c>
      <c r="AK149" t="s">
        <v>2365</v>
      </c>
      <c r="AL149" t="s">
        <v>2365</v>
      </c>
      <c r="AM149" t="s">
        <v>2365</v>
      </c>
      <c r="AN149" t="s">
        <v>2365</v>
      </c>
      <c r="AR149" t="s">
        <v>2365</v>
      </c>
      <c r="AS149" t="s">
        <v>2365</v>
      </c>
      <c r="AT149" t="s">
        <v>2365</v>
      </c>
      <c r="AU149" t="s">
        <v>2365</v>
      </c>
      <c r="AV149" t="s">
        <v>2365</v>
      </c>
      <c r="AW149" t="s">
        <v>2365</v>
      </c>
      <c r="AX149" t="s">
        <v>2365</v>
      </c>
      <c r="AY149" t="s">
        <v>2365</v>
      </c>
      <c r="AZ149" t="s">
        <v>2365</v>
      </c>
      <c r="BA149" t="s">
        <v>2365</v>
      </c>
      <c r="BB149" t="s">
        <v>2365</v>
      </c>
      <c r="BC149" t="s">
        <v>2365</v>
      </c>
      <c r="BD149" t="s">
        <v>2366</v>
      </c>
      <c r="BE149" t="s">
        <v>2365</v>
      </c>
      <c r="BF149" t="s">
        <v>2365</v>
      </c>
      <c r="BG149" t="s">
        <v>2365</v>
      </c>
      <c r="BH149" t="s">
        <v>2365</v>
      </c>
      <c r="BI149" t="s">
        <v>2366</v>
      </c>
      <c r="BJ149" t="s">
        <v>2365</v>
      </c>
      <c r="BK149" t="s">
        <v>2365</v>
      </c>
      <c r="BL149" t="s">
        <v>2365</v>
      </c>
      <c r="BM149" t="s">
        <v>2365</v>
      </c>
      <c r="BO149">
        <v>9</v>
      </c>
      <c r="BP149">
        <v>91</v>
      </c>
      <c r="BQ149" t="s">
        <v>265</v>
      </c>
      <c r="BR149" t="s">
        <v>1517</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R149" t="s">
        <v>2326</v>
      </c>
      <c r="CS149" s="1369" t="str">
        <f>INDEX([8]Sheet1!$H:$H,MATCH(CR:CR,[8]Sheet1!$AU:$AU,0))</f>
        <v>Supply Chain Management</v>
      </c>
    </row>
    <row r="150" spans="1:97" x14ac:dyDescent="0.2">
      <c r="A150" t="s">
        <v>2623</v>
      </c>
      <c r="B150">
        <v>202</v>
      </c>
      <c r="C150" t="s">
        <v>2623</v>
      </c>
      <c r="D150">
        <v>40896</v>
      </c>
      <c r="E150" t="s">
        <v>2427</v>
      </c>
      <c r="F150">
        <v>2700</v>
      </c>
      <c r="G150" t="s">
        <v>656</v>
      </c>
      <c r="H150" t="s">
        <v>2428</v>
      </c>
      <c r="I150" t="s">
        <v>1800</v>
      </c>
      <c r="J150">
        <v>2701</v>
      </c>
      <c r="K150" t="s">
        <v>1800</v>
      </c>
      <c r="L150">
        <v>2200</v>
      </c>
      <c r="M150" t="s">
        <v>619</v>
      </c>
      <c r="N150">
        <v>2205</v>
      </c>
      <c r="O150" t="s">
        <v>1517</v>
      </c>
      <c r="P150" t="s">
        <v>2366</v>
      </c>
      <c r="Q150" t="s">
        <v>2364</v>
      </c>
      <c r="R150" t="s">
        <v>2364</v>
      </c>
      <c r="S150" t="s">
        <v>1881</v>
      </c>
      <c r="T150" t="s">
        <v>1812</v>
      </c>
      <c r="U150" t="s">
        <v>2365</v>
      </c>
      <c r="V150" t="s">
        <v>2365</v>
      </c>
      <c r="W150" t="s">
        <v>2365</v>
      </c>
      <c r="X150" t="s">
        <v>2365</v>
      </c>
      <c r="Y150" t="s">
        <v>2365</v>
      </c>
      <c r="Z150" t="s">
        <v>2365</v>
      </c>
      <c r="AA150" t="s">
        <v>2365</v>
      </c>
      <c r="AB150" t="s">
        <v>2365</v>
      </c>
      <c r="AC150" s="813" t="s">
        <v>2365</v>
      </c>
      <c r="AD150" s="813" t="s">
        <v>2365</v>
      </c>
      <c r="AE150" s="813" t="s">
        <v>2365</v>
      </c>
      <c r="AF150" t="s">
        <v>2365</v>
      </c>
      <c r="AG150" t="s">
        <v>2365</v>
      </c>
      <c r="AH150" t="s">
        <v>2365</v>
      </c>
      <c r="AI150" t="s">
        <v>2365</v>
      </c>
      <c r="AJ150" t="s">
        <v>2365</v>
      </c>
      <c r="AK150" t="s">
        <v>2365</v>
      </c>
      <c r="AL150" t="s">
        <v>2365</v>
      </c>
      <c r="AM150" t="s">
        <v>2365</v>
      </c>
      <c r="AN150" t="s">
        <v>2365</v>
      </c>
      <c r="AR150" t="s">
        <v>2365</v>
      </c>
      <c r="AS150" t="s">
        <v>2365</v>
      </c>
      <c r="AT150" t="s">
        <v>2365</v>
      </c>
      <c r="AU150" t="s">
        <v>2365</v>
      </c>
      <c r="AV150" t="s">
        <v>2365</v>
      </c>
      <c r="AW150" t="s">
        <v>2365</v>
      </c>
      <c r="AX150" t="s">
        <v>2365</v>
      </c>
      <c r="AY150" t="s">
        <v>2365</v>
      </c>
      <c r="AZ150" t="s">
        <v>2365</v>
      </c>
      <c r="BA150" t="s">
        <v>2365</v>
      </c>
      <c r="BB150" t="s">
        <v>2365</v>
      </c>
      <c r="BC150" t="s">
        <v>2365</v>
      </c>
      <c r="BD150" t="s">
        <v>2366</v>
      </c>
      <c r="BE150" t="s">
        <v>2365</v>
      </c>
      <c r="BF150" t="s">
        <v>2365</v>
      </c>
      <c r="BG150" t="s">
        <v>2365</v>
      </c>
      <c r="BH150" t="s">
        <v>2365</v>
      </c>
      <c r="BI150" t="s">
        <v>2366</v>
      </c>
      <c r="BJ150" t="s">
        <v>2365</v>
      </c>
      <c r="BK150" t="s">
        <v>2365</v>
      </c>
      <c r="BL150" t="s">
        <v>2365</v>
      </c>
      <c r="BM150" t="s">
        <v>2365</v>
      </c>
      <c r="BO150">
        <v>9</v>
      </c>
      <c r="BP150">
        <v>91</v>
      </c>
      <c r="BQ150" t="s">
        <v>265</v>
      </c>
      <c r="BR150" t="s">
        <v>1517</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R150" t="s">
        <v>2326</v>
      </c>
      <c r="CS150" s="1369" t="str">
        <f>INDEX([8]Sheet1!$H:$H,MATCH(CR:CR,[8]Sheet1!$AU:$AU,0))</f>
        <v>Supply Chain Management</v>
      </c>
    </row>
    <row r="151" spans="1:97" x14ac:dyDescent="0.2">
      <c r="A151" t="s">
        <v>2624</v>
      </c>
      <c r="B151">
        <v>203</v>
      </c>
      <c r="C151" t="s">
        <v>2624</v>
      </c>
      <c r="D151">
        <v>40897</v>
      </c>
      <c r="E151" t="s">
        <v>2430</v>
      </c>
      <c r="F151">
        <v>2700</v>
      </c>
      <c r="G151" t="s">
        <v>656</v>
      </c>
      <c r="H151" t="s">
        <v>2428</v>
      </c>
      <c r="I151" t="s">
        <v>1800</v>
      </c>
      <c r="J151">
        <v>2701</v>
      </c>
      <c r="K151" t="s">
        <v>1800</v>
      </c>
      <c r="L151">
        <v>2200</v>
      </c>
      <c r="M151" t="s">
        <v>619</v>
      </c>
      <c r="N151">
        <v>2205</v>
      </c>
      <c r="O151" t="s">
        <v>1517</v>
      </c>
      <c r="P151" t="s">
        <v>2366</v>
      </c>
      <c r="Q151" t="s">
        <v>2364</v>
      </c>
      <c r="R151" t="s">
        <v>2364</v>
      </c>
      <c r="S151" t="s">
        <v>1881</v>
      </c>
      <c r="T151" t="s">
        <v>1812</v>
      </c>
      <c r="U151" t="s">
        <v>2365</v>
      </c>
      <c r="V151" t="s">
        <v>2365</v>
      </c>
      <c r="W151" t="s">
        <v>2365</v>
      </c>
      <c r="X151" t="s">
        <v>2365</v>
      </c>
      <c r="Y151" t="s">
        <v>2365</v>
      </c>
      <c r="Z151" t="s">
        <v>2365</v>
      </c>
      <c r="AA151" t="s">
        <v>2365</v>
      </c>
      <c r="AB151" t="s">
        <v>2365</v>
      </c>
      <c r="AC151" s="813" t="s">
        <v>2365</v>
      </c>
      <c r="AD151" s="813" t="s">
        <v>2365</v>
      </c>
      <c r="AE151" s="813" t="s">
        <v>2365</v>
      </c>
      <c r="AF151" t="s">
        <v>2365</v>
      </c>
      <c r="AG151" t="s">
        <v>2365</v>
      </c>
      <c r="AH151" t="s">
        <v>2365</v>
      </c>
      <c r="AI151" t="s">
        <v>2365</v>
      </c>
      <c r="AJ151" t="s">
        <v>2365</v>
      </c>
      <c r="AK151" t="s">
        <v>2365</v>
      </c>
      <c r="AL151" t="s">
        <v>2365</v>
      </c>
      <c r="AM151" t="s">
        <v>2365</v>
      </c>
      <c r="AN151" t="s">
        <v>2365</v>
      </c>
      <c r="AR151" t="s">
        <v>2365</v>
      </c>
      <c r="AS151" t="s">
        <v>2365</v>
      </c>
      <c r="AT151" t="s">
        <v>2365</v>
      </c>
      <c r="AU151" t="s">
        <v>2365</v>
      </c>
      <c r="AV151" t="s">
        <v>2365</v>
      </c>
      <c r="AW151" t="s">
        <v>2365</v>
      </c>
      <c r="AX151" t="s">
        <v>2365</v>
      </c>
      <c r="AY151" t="s">
        <v>2365</v>
      </c>
      <c r="AZ151" t="s">
        <v>2365</v>
      </c>
      <c r="BA151" t="s">
        <v>2365</v>
      </c>
      <c r="BB151" t="s">
        <v>2365</v>
      </c>
      <c r="BC151" t="s">
        <v>2365</v>
      </c>
      <c r="BD151" t="s">
        <v>2366</v>
      </c>
      <c r="BE151" t="s">
        <v>2365</v>
      </c>
      <c r="BF151" t="s">
        <v>2365</v>
      </c>
      <c r="BG151" t="s">
        <v>2365</v>
      </c>
      <c r="BH151" t="s">
        <v>2365</v>
      </c>
      <c r="BI151" t="s">
        <v>2366</v>
      </c>
      <c r="BJ151" t="s">
        <v>2365</v>
      </c>
      <c r="BK151" t="s">
        <v>2365</v>
      </c>
      <c r="BL151" t="s">
        <v>2365</v>
      </c>
      <c r="BM151" t="s">
        <v>2365</v>
      </c>
      <c r="BO151">
        <v>9</v>
      </c>
      <c r="BP151">
        <v>91</v>
      </c>
      <c r="BQ151" t="s">
        <v>265</v>
      </c>
      <c r="BR151" t="s">
        <v>1517</v>
      </c>
      <c r="BU151">
        <v>20000</v>
      </c>
      <c r="BV151">
        <v>0</v>
      </c>
      <c r="BW151">
        <v>20000</v>
      </c>
      <c r="BX151">
        <v>0</v>
      </c>
      <c r="BY151">
        <v>20000</v>
      </c>
      <c r="BZ151">
        <v>21200</v>
      </c>
      <c r="CA151">
        <v>22472</v>
      </c>
      <c r="CB151">
        <v>0</v>
      </c>
      <c r="CC151">
        <v>0</v>
      </c>
      <c r="CD151">
        <v>0</v>
      </c>
      <c r="CE151">
        <v>0</v>
      </c>
      <c r="CF151">
        <v>0</v>
      </c>
      <c r="CG151">
        <v>0</v>
      </c>
      <c r="CH151">
        <v>0</v>
      </c>
      <c r="CI151">
        <v>0</v>
      </c>
      <c r="CJ151">
        <v>0</v>
      </c>
      <c r="CK151">
        <v>0</v>
      </c>
      <c r="CL151">
        <v>0</v>
      </c>
      <c r="CM151">
        <v>0</v>
      </c>
      <c r="CR151" t="s">
        <v>2325</v>
      </c>
      <c r="CS151" s="1369" t="str">
        <f>INDEX([8]Sheet1!$H:$H,MATCH(CR:CR,[8]Sheet1!$AU:$AU,0))</f>
        <v>Asset Management</v>
      </c>
    </row>
    <row r="152" spans="1:97" x14ac:dyDescent="0.2">
      <c r="A152" t="s">
        <v>2625</v>
      </c>
      <c r="B152">
        <v>204</v>
      </c>
      <c r="C152" t="s">
        <v>2625</v>
      </c>
      <c r="D152">
        <v>40898</v>
      </c>
      <c r="E152" t="s">
        <v>2615</v>
      </c>
      <c r="F152">
        <v>2700</v>
      </c>
      <c r="G152" t="s">
        <v>656</v>
      </c>
      <c r="H152" t="s">
        <v>2478</v>
      </c>
      <c r="I152" t="s">
        <v>1802</v>
      </c>
      <c r="J152">
        <v>2703</v>
      </c>
      <c r="K152" t="s">
        <v>1802</v>
      </c>
      <c r="L152">
        <v>2200</v>
      </c>
      <c r="M152" t="s">
        <v>619</v>
      </c>
      <c r="N152">
        <v>2205</v>
      </c>
      <c r="O152" t="s">
        <v>1517</v>
      </c>
      <c r="P152" t="s">
        <v>2366</v>
      </c>
      <c r="Q152" t="s">
        <v>2364</v>
      </c>
      <c r="R152" t="s">
        <v>2364</v>
      </c>
      <c r="S152" t="s">
        <v>1881</v>
      </c>
      <c r="T152" t="s">
        <v>1812</v>
      </c>
      <c r="U152" t="s">
        <v>2365</v>
      </c>
      <c r="V152" t="s">
        <v>2365</v>
      </c>
      <c r="W152" t="s">
        <v>2365</v>
      </c>
      <c r="X152" t="s">
        <v>2365</v>
      </c>
      <c r="Y152" t="s">
        <v>2365</v>
      </c>
      <c r="Z152" t="s">
        <v>2365</v>
      </c>
      <c r="AA152" t="s">
        <v>2365</v>
      </c>
      <c r="AB152" t="s">
        <v>2365</v>
      </c>
      <c r="AC152" s="813" t="s">
        <v>2365</v>
      </c>
      <c r="AD152" s="813" t="s">
        <v>2365</v>
      </c>
      <c r="AE152" s="813" t="s">
        <v>2365</v>
      </c>
      <c r="AF152" t="s">
        <v>2365</v>
      </c>
      <c r="AG152" t="s">
        <v>2365</v>
      </c>
      <c r="AH152" t="s">
        <v>2365</v>
      </c>
      <c r="AI152" t="s">
        <v>2365</v>
      </c>
      <c r="AJ152" t="s">
        <v>2365</v>
      </c>
      <c r="AK152" t="s">
        <v>2365</v>
      </c>
      <c r="AL152" t="s">
        <v>2365</v>
      </c>
      <c r="AM152" t="s">
        <v>2365</v>
      </c>
      <c r="AN152" t="s">
        <v>2365</v>
      </c>
      <c r="AR152" t="s">
        <v>2365</v>
      </c>
      <c r="AS152" t="s">
        <v>2365</v>
      </c>
      <c r="AT152" t="s">
        <v>2365</v>
      </c>
      <c r="AU152" t="s">
        <v>2365</v>
      </c>
      <c r="AV152" t="s">
        <v>2365</v>
      </c>
      <c r="AW152" t="s">
        <v>2365</v>
      </c>
      <c r="AX152" t="s">
        <v>2365</v>
      </c>
      <c r="AY152" t="s">
        <v>2365</v>
      </c>
      <c r="AZ152" t="s">
        <v>2365</v>
      </c>
      <c r="BA152" t="s">
        <v>2365</v>
      </c>
      <c r="BB152" t="s">
        <v>2365</v>
      </c>
      <c r="BC152" t="s">
        <v>2365</v>
      </c>
      <c r="BD152" t="s">
        <v>2366</v>
      </c>
      <c r="BE152" t="s">
        <v>2365</v>
      </c>
      <c r="BF152" t="s">
        <v>2365</v>
      </c>
      <c r="BG152" t="s">
        <v>2365</v>
      </c>
      <c r="BH152" t="s">
        <v>2365</v>
      </c>
      <c r="BI152" t="s">
        <v>2366</v>
      </c>
      <c r="BJ152" t="s">
        <v>2365</v>
      </c>
      <c r="BK152" t="s">
        <v>2365</v>
      </c>
      <c r="BL152" t="s">
        <v>2365</v>
      </c>
      <c r="BM152" t="s">
        <v>2365</v>
      </c>
      <c r="BO152">
        <v>9</v>
      </c>
      <c r="BP152">
        <v>91</v>
      </c>
      <c r="BQ152" t="s">
        <v>265</v>
      </c>
      <c r="BR152" t="s">
        <v>1517</v>
      </c>
      <c r="BU152">
        <v>30000</v>
      </c>
      <c r="BV152">
        <v>0</v>
      </c>
      <c r="BW152">
        <v>30000</v>
      </c>
      <c r="BX152">
        <v>0</v>
      </c>
      <c r="BY152">
        <v>30000</v>
      </c>
      <c r="BZ152">
        <v>31800</v>
      </c>
      <c r="CA152">
        <v>33708</v>
      </c>
      <c r="CB152">
        <v>0</v>
      </c>
      <c r="CC152">
        <v>0</v>
      </c>
      <c r="CD152">
        <v>0</v>
      </c>
      <c r="CE152">
        <v>0</v>
      </c>
      <c r="CF152">
        <v>0</v>
      </c>
      <c r="CG152">
        <v>0</v>
      </c>
      <c r="CH152">
        <v>0</v>
      </c>
      <c r="CI152">
        <v>0</v>
      </c>
      <c r="CJ152">
        <v>0</v>
      </c>
      <c r="CK152">
        <v>0</v>
      </c>
      <c r="CL152">
        <v>0</v>
      </c>
      <c r="CM152">
        <v>0</v>
      </c>
      <c r="CR152" t="s">
        <v>2325</v>
      </c>
      <c r="CS152" s="1369" t="str">
        <f>INDEX([8]Sheet1!$H:$H,MATCH(CR:CR,[8]Sheet1!$AU:$AU,0))</f>
        <v>Asset Management</v>
      </c>
    </row>
    <row r="153" spans="1:97" x14ac:dyDescent="0.2">
      <c r="A153" t="s">
        <v>2626</v>
      </c>
      <c r="B153">
        <v>205</v>
      </c>
      <c r="C153" t="s">
        <v>2626</v>
      </c>
      <c r="D153">
        <v>40899</v>
      </c>
      <c r="E153" t="s">
        <v>2617</v>
      </c>
      <c r="F153">
        <v>2700</v>
      </c>
      <c r="G153" t="s">
        <v>656</v>
      </c>
      <c r="H153" t="s">
        <v>2478</v>
      </c>
      <c r="I153" t="s">
        <v>1802</v>
      </c>
      <c r="J153">
        <v>2703</v>
      </c>
      <c r="K153" t="s">
        <v>1802</v>
      </c>
      <c r="L153">
        <v>2200</v>
      </c>
      <c r="M153" t="s">
        <v>619</v>
      </c>
      <c r="N153">
        <v>2205</v>
      </c>
      <c r="O153" t="s">
        <v>1517</v>
      </c>
      <c r="P153" t="s">
        <v>2366</v>
      </c>
      <c r="Q153" t="s">
        <v>2364</v>
      </c>
      <c r="R153" t="s">
        <v>2364</v>
      </c>
      <c r="S153" t="s">
        <v>1881</v>
      </c>
      <c r="T153" t="s">
        <v>1812</v>
      </c>
      <c r="U153" t="s">
        <v>2365</v>
      </c>
      <c r="V153" t="s">
        <v>2365</v>
      </c>
      <c r="W153" t="s">
        <v>2365</v>
      </c>
      <c r="X153" t="s">
        <v>2365</v>
      </c>
      <c r="Y153" t="s">
        <v>2365</v>
      </c>
      <c r="Z153" t="s">
        <v>2365</v>
      </c>
      <c r="AA153" t="s">
        <v>2365</v>
      </c>
      <c r="AB153" t="s">
        <v>2365</v>
      </c>
      <c r="AC153" s="813" t="s">
        <v>2365</v>
      </c>
      <c r="AD153" s="813" t="s">
        <v>2365</v>
      </c>
      <c r="AE153" s="813" t="s">
        <v>2365</v>
      </c>
      <c r="AF153" t="s">
        <v>2365</v>
      </c>
      <c r="AG153" t="s">
        <v>2365</v>
      </c>
      <c r="AH153" t="s">
        <v>2365</v>
      </c>
      <c r="AI153" t="s">
        <v>2365</v>
      </c>
      <c r="AJ153" t="s">
        <v>2365</v>
      </c>
      <c r="AK153" t="s">
        <v>2365</v>
      </c>
      <c r="AL153" t="s">
        <v>2365</v>
      </c>
      <c r="AM153" t="s">
        <v>2365</v>
      </c>
      <c r="AN153" t="s">
        <v>2365</v>
      </c>
      <c r="AR153" t="s">
        <v>2365</v>
      </c>
      <c r="AS153" t="s">
        <v>2365</v>
      </c>
      <c r="AT153" t="s">
        <v>2365</v>
      </c>
      <c r="AU153" t="s">
        <v>2365</v>
      </c>
      <c r="AV153" t="s">
        <v>2365</v>
      </c>
      <c r="AW153" t="s">
        <v>2365</v>
      </c>
      <c r="AX153" t="s">
        <v>2365</v>
      </c>
      <c r="AY153" t="s">
        <v>2365</v>
      </c>
      <c r="AZ153" t="s">
        <v>2365</v>
      </c>
      <c r="BA153" t="s">
        <v>2365</v>
      </c>
      <c r="BB153" t="s">
        <v>2365</v>
      </c>
      <c r="BC153" t="s">
        <v>2365</v>
      </c>
      <c r="BD153" t="s">
        <v>2366</v>
      </c>
      <c r="BE153" t="s">
        <v>2365</v>
      </c>
      <c r="BF153" t="s">
        <v>2365</v>
      </c>
      <c r="BG153" t="s">
        <v>2365</v>
      </c>
      <c r="BH153" t="s">
        <v>2365</v>
      </c>
      <c r="BI153" t="s">
        <v>2366</v>
      </c>
      <c r="BJ153" t="s">
        <v>2365</v>
      </c>
      <c r="BK153" t="s">
        <v>2365</v>
      </c>
      <c r="BL153" t="s">
        <v>2365</v>
      </c>
      <c r="BM153" t="s">
        <v>2365</v>
      </c>
      <c r="BO153">
        <v>9</v>
      </c>
      <c r="BP153">
        <v>91</v>
      </c>
      <c r="BQ153" t="s">
        <v>265</v>
      </c>
      <c r="BR153" t="s">
        <v>1517</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R153" t="s">
        <v>2327</v>
      </c>
      <c r="CS153" s="1369" t="str">
        <f>INDEX([8]Sheet1!$H:$H,MATCH(CR:CR,[8]Sheet1!$AU:$AU,0))</f>
        <v>Education</v>
      </c>
    </row>
    <row r="154" spans="1:97" x14ac:dyDescent="0.2">
      <c r="A154" t="s">
        <v>2627</v>
      </c>
      <c r="B154">
        <v>206</v>
      </c>
      <c r="C154" t="s">
        <v>2627</v>
      </c>
      <c r="D154">
        <v>41003</v>
      </c>
      <c r="E154" t="s">
        <v>2628</v>
      </c>
      <c r="F154">
        <v>2700</v>
      </c>
      <c r="G154" t="s">
        <v>656</v>
      </c>
      <c r="H154" t="s">
        <v>2478</v>
      </c>
      <c r="I154" t="s">
        <v>1802</v>
      </c>
      <c r="J154">
        <v>2703</v>
      </c>
      <c r="K154" t="s">
        <v>1802</v>
      </c>
      <c r="L154">
        <v>2100</v>
      </c>
      <c r="M154" t="s">
        <v>618</v>
      </c>
      <c r="N154">
        <v>2101</v>
      </c>
      <c r="O154" t="s">
        <v>1000</v>
      </c>
      <c r="P154" t="s">
        <v>2366</v>
      </c>
      <c r="Q154" t="s">
        <v>2364</v>
      </c>
      <c r="R154" t="s">
        <v>2364</v>
      </c>
      <c r="S154" t="s">
        <v>1881</v>
      </c>
      <c r="T154" t="s">
        <v>1812</v>
      </c>
      <c r="U154" t="s">
        <v>2365</v>
      </c>
      <c r="V154" t="s">
        <v>2365</v>
      </c>
      <c r="W154" t="s">
        <v>2365</v>
      </c>
      <c r="X154" t="s">
        <v>2365</v>
      </c>
      <c r="Y154" t="s">
        <v>2365</v>
      </c>
      <c r="Z154" t="s">
        <v>2365</v>
      </c>
      <c r="AA154" t="s">
        <v>2365</v>
      </c>
      <c r="AB154" t="s">
        <v>2365</v>
      </c>
      <c r="AC154" s="813" t="s">
        <v>2365</v>
      </c>
      <c r="AD154" s="813" t="s">
        <v>2365</v>
      </c>
      <c r="AE154" s="813" t="s">
        <v>2365</v>
      </c>
      <c r="AF154" t="s">
        <v>2365</v>
      </c>
      <c r="AG154" t="s">
        <v>2365</v>
      </c>
      <c r="AH154" t="s">
        <v>2365</v>
      </c>
      <c r="AI154" t="s">
        <v>2365</v>
      </c>
      <c r="AJ154" t="s">
        <v>2365</v>
      </c>
      <c r="AK154" t="s">
        <v>2365</v>
      </c>
      <c r="AL154" t="s">
        <v>2365</v>
      </c>
      <c r="AM154" t="s">
        <v>2365</v>
      </c>
      <c r="AN154" t="s">
        <v>2365</v>
      </c>
      <c r="AR154" t="s">
        <v>2365</v>
      </c>
      <c r="AS154" t="s">
        <v>2365</v>
      </c>
      <c r="AT154" t="s">
        <v>2365</v>
      </c>
      <c r="AU154" t="s">
        <v>2365</v>
      </c>
      <c r="AV154" t="s">
        <v>2365</v>
      </c>
      <c r="AW154" t="s">
        <v>2365</v>
      </c>
      <c r="AX154" t="s">
        <v>2365</v>
      </c>
      <c r="AY154" t="s">
        <v>2365</v>
      </c>
      <c r="AZ154" t="s">
        <v>2365</v>
      </c>
      <c r="BA154" t="s">
        <v>2365</v>
      </c>
      <c r="BB154" t="s">
        <v>2365</v>
      </c>
      <c r="BC154" t="s">
        <v>2365</v>
      </c>
      <c r="BD154" t="s">
        <v>2366</v>
      </c>
      <c r="BE154" t="s">
        <v>2365</v>
      </c>
      <c r="BF154" t="s">
        <v>2365</v>
      </c>
      <c r="BG154" t="s">
        <v>2365</v>
      </c>
      <c r="BH154" t="s">
        <v>2365</v>
      </c>
      <c r="BI154" t="s">
        <v>2366</v>
      </c>
      <c r="BJ154" t="s">
        <v>2365</v>
      </c>
      <c r="BK154" t="s">
        <v>2365</v>
      </c>
      <c r="BL154" t="s">
        <v>2365</v>
      </c>
      <c r="BM154" t="s">
        <v>2365</v>
      </c>
      <c r="BO154">
        <v>4</v>
      </c>
      <c r="BP154">
        <v>48</v>
      </c>
      <c r="BQ154" t="s">
        <v>2433</v>
      </c>
      <c r="BR154" t="s">
        <v>1000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R154" t="s">
        <v>2327</v>
      </c>
      <c r="CS154" s="1369" t="str">
        <f>INDEX([8]Sheet1!$H:$H,MATCH(CR:CR,[8]Sheet1!$AU:$AU,0))</f>
        <v>Education</v>
      </c>
    </row>
    <row r="155" spans="1:97" x14ac:dyDescent="0.2">
      <c r="A155" t="s">
        <v>2629</v>
      </c>
      <c r="B155">
        <v>207</v>
      </c>
      <c r="C155" t="s">
        <v>2629</v>
      </c>
      <c r="D155">
        <v>41004</v>
      </c>
      <c r="E155" t="s">
        <v>2600</v>
      </c>
      <c r="F155">
        <v>2900</v>
      </c>
      <c r="G155" t="s">
        <v>569</v>
      </c>
      <c r="H155" t="s">
        <v>2366</v>
      </c>
      <c r="I155" t="s">
        <v>2366</v>
      </c>
      <c r="J155">
        <v>2904</v>
      </c>
      <c r="K155" t="s">
        <v>1432</v>
      </c>
      <c r="L155">
        <v>2100</v>
      </c>
      <c r="M155" t="s">
        <v>618</v>
      </c>
      <c r="N155">
        <v>2101</v>
      </c>
      <c r="O155" t="s">
        <v>1000</v>
      </c>
      <c r="P155" t="s">
        <v>2366</v>
      </c>
      <c r="Q155" t="s">
        <v>2364</v>
      </c>
      <c r="R155" t="s">
        <v>2364</v>
      </c>
      <c r="S155" t="s">
        <v>1881</v>
      </c>
      <c r="T155" t="s">
        <v>1812</v>
      </c>
      <c r="U155" t="s">
        <v>2365</v>
      </c>
      <c r="V155" t="s">
        <v>2365</v>
      </c>
      <c r="W155" t="s">
        <v>2365</v>
      </c>
      <c r="X155" t="s">
        <v>2365</v>
      </c>
      <c r="Y155" t="s">
        <v>2365</v>
      </c>
      <c r="Z155" t="s">
        <v>2365</v>
      </c>
      <c r="AA155" t="s">
        <v>2365</v>
      </c>
      <c r="AB155" t="s">
        <v>2365</v>
      </c>
      <c r="AC155" s="813" t="s">
        <v>2365</v>
      </c>
      <c r="AD155" s="813" t="s">
        <v>2365</v>
      </c>
      <c r="AE155" s="813" t="s">
        <v>2365</v>
      </c>
      <c r="AF155" t="s">
        <v>2365</v>
      </c>
      <c r="AG155" t="s">
        <v>2365</v>
      </c>
      <c r="AH155" t="s">
        <v>2365</v>
      </c>
      <c r="AI155" t="s">
        <v>2365</v>
      </c>
      <c r="AJ155" t="s">
        <v>2365</v>
      </c>
      <c r="AK155" t="s">
        <v>2365</v>
      </c>
      <c r="AL155" t="s">
        <v>2365</v>
      </c>
      <c r="AM155" t="s">
        <v>2365</v>
      </c>
      <c r="AN155" t="s">
        <v>2365</v>
      </c>
      <c r="AR155" t="s">
        <v>2365</v>
      </c>
      <c r="AS155" t="s">
        <v>2365</v>
      </c>
      <c r="AT155" t="s">
        <v>2365</v>
      </c>
      <c r="AU155" t="s">
        <v>2365</v>
      </c>
      <c r="AV155" t="s">
        <v>2365</v>
      </c>
      <c r="AW155" t="s">
        <v>2365</v>
      </c>
      <c r="AX155" t="s">
        <v>2365</v>
      </c>
      <c r="AY155" t="s">
        <v>2365</v>
      </c>
      <c r="AZ155" t="s">
        <v>2365</v>
      </c>
      <c r="BA155" t="s">
        <v>2365</v>
      </c>
      <c r="BB155" t="s">
        <v>2365</v>
      </c>
      <c r="BC155" t="s">
        <v>2365</v>
      </c>
      <c r="BD155" t="s">
        <v>2366</v>
      </c>
      <c r="BE155" t="s">
        <v>2365</v>
      </c>
      <c r="BF155" t="s">
        <v>2365</v>
      </c>
      <c r="BG155" t="s">
        <v>2365</v>
      </c>
      <c r="BH155" t="s">
        <v>2365</v>
      </c>
      <c r="BI155" t="s">
        <v>2366</v>
      </c>
      <c r="BJ155" t="s">
        <v>2365</v>
      </c>
      <c r="BK155" t="s">
        <v>2365</v>
      </c>
      <c r="BL155" t="s">
        <v>2365</v>
      </c>
      <c r="BM155" t="s">
        <v>2365</v>
      </c>
      <c r="BO155">
        <v>4</v>
      </c>
      <c r="BP155">
        <v>48</v>
      </c>
      <c r="BQ155" t="s">
        <v>2433</v>
      </c>
      <c r="BR155" t="s">
        <v>1000</v>
      </c>
      <c r="BU155">
        <v>150000</v>
      </c>
      <c r="BV155">
        <v>0</v>
      </c>
      <c r="BW155">
        <v>150000</v>
      </c>
      <c r="BX155">
        <v>-25428</v>
      </c>
      <c r="BY155">
        <v>124572</v>
      </c>
      <c r="BZ155">
        <v>159000</v>
      </c>
      <c r="CA155">
        <v>168540</v>
      </c>
      <c r="CB155">
        <v>0</v>
      </c>
      <c r="CC155">
        <v>0</v>
      </c>
      <c r="CD155">
        <v>0</v>
      </c>
      <c r="CE155">
        <v>0</v>
      </c>
      <c r="CF155">
        <v>0</v>
      </c>
      <c r="CG155">
        <v>124571.61</v>
      </c>
      <c r="CH155">
        <v>0</v>
      </c>
      <c r="CI155">
        <v>0</v>
      </c>
      <c r="CJ155">
        <v>0</v>
      </c>
      <c r="CK155">
        <v>0</v>
      </c>
      <c r="CL155">
        <v>0</v>
      </c>
      <c r="CM155">
        <v>0</v>
      </c>
      <c r="CR155" t="s">
        <v>2327</v>
      </c>
      <c r="CS155" s="1369" t="str">
        <f>INDEX([8]Sheet1!$H:$H,MATCH(CR:CR,[8]Sheet1!$AU:$AU,0))</f>
        <v>Education</v>
      </c>
    </row>
    <row r="156" spans="1:97" x14ac:dyDescent="0.2">
      <c r="A156" t="s">
        <v>2630</v>
      </c>
      <c r="B156">
        <v>208</v>
      </c>
      <c r="C156" t="s">
        <v>2630</v>
      </c>
      <c r="D156">
        <v>41005</v>
      </c>
      <c r="E156" t="s">
        <v>2499</v>
      </c>
      <c r="F156">
        <v>2900</v>
      </c>
      <c r="G156" t="s">
        <v>569</v>
      </c>
      <c r="H156" t="s">
        <v>2366</v>
      </c>
      <c r="I156" t="s">
        <v>2366</v>
      </c>
      <c r="J156">
        <v>2904</v>
      </c>
      <c r="K156" t="s">
        <v>1432</v>
      </c>
      <c r="L156">
        <v>2100</v>
      </c>
      <c r="M156" t="s">
        <v>618</v>
      </c>
      <c r="N156">
        <v>2101</v>
      </c>
      <c r="O156" t="s">
        <v>1000</v>
      </c>
      <c r="P156" t="s">
        <v>2366</v>
      </c>
      <c r="Q156" t="s">
        <v>2364</v>
      </c>
      <c r="R156" t="s">
        <v>2364</v>
      </c>
      <c r="S156" t="s">
        <v>1881</v>
      </c>
      <c r="T156" t="s">
        <v>1812</v>
      </c>
      <c r="U156" t="s">
        <v>2365</v>
      </c>
      <c r="V156" t="s">
        <v>2365</v>
      </c>
      <c r="W156" t="s">
        <v>2365</v>
      </c>
      <c r="X156" t="s">
        <v>2365</v>
      </c>
      <c r="Y156" t="s">
        <v>2365</v>
      </c>
      <c r="Z156" t="s">
        <v>2365</v>
      </c>
      <c r="AA156" t="s">
        <v>2365</v>
      </c>
      <c r="AB156" t="s">
        <v>2365</v>
      </c>
      <c r="AC156" s="813" t="s">
        <v>2365</v>
      </c>
      <c r="AD156" s="813" t="s">
        <v>2365</v>
      </c>
      <c r="AE156" s="813" t="s">
        <v>2365</v>
      </c>
      <c r="AF156" t="s">
        <v>2365</v>
      </c>
      <c r="AG156" t="s">
        <v>2365</v>
      </c>
      <c r="AH156" t="s">
        <v>2365</v>
      </c>
      <c r="AI156" t="s">
        <v>2365</v>
      </c>
      <c r="AJ156" t="s">
        <v>2365</v>
      </c>
      <c r="AK156" t="s">
        <v>2365</v>
      </c>
      <c r="AL156" t="s">
        <v>2365</v>
      </c>
      <c r="AM156" t="s">
        <v>2365</v>
      </c>
      <c r="AN156" t="s">
        <v>2365</v>
      </c>
      <c r="AR156" t="s">
        <v>2365</v>
      </c>
      <c r="AS156" t="s">
        <v>2365</v>
      </c>
      <c r="AT156" t="s">
        <v>2365</v>
      </c>
      <c r="AU156" t="s">
        <v>2365</v>
      </c>
      <c r="AV156" t="s">
        <v>2365</v>
      </c>
      <c r="AW156" t="s">
        <v>2365</v>
      </c>
      <c r="AX156" t="s">
        <v>2365</v>
      </c>
      <c r="AY156" t="s">
        <v>2365</v>
      </c>
      <c r="AZ156" t="s">
        <v>2365</v>
      </c>
      <c r="BA156" t="s">
        <v>2365</v>
      </c>
      <c r="BB156" t="s">
        <v>2365</v>
      </c>
      <c r="BC156" t="s">
        <v>2365</v>
      </c>
      <c r="BD156" t="s">
        <v>2366</v>
      </c>
      <c r="BE156" t="s">
        <v>2365</v>
      </c>
      <c r="BF156" t="s">
        <v>2365</v>
      </c>
      <c r="BG156" t="s">
        <v>2365</v>
      </c>
      <c r="BH156" t="s">
        <v>2365</v>
      </c>
      <c r="BI156" t="s">
        <v>2366</v>
      </c>
      <c r="BJ156" t="s">
        <v>2365</v>
      </c>
      <c r="BK156" t="s">
        <v>2365</v>
      </c>
      <c r="BL156" t="s">
        <v>2365</v>
      </c>
      <c r="BM156" t="s">
        <v>2365</v>
      </c>
      <c r="BO156">
        <v>4</v>
      </c>
      <c r="BP156">
        <v>48</v>
      </c>
      <c r="BQ156" t="s">
        <v>2433</v>
      </c>
      <c r="BR156" t="s">
        <v>1000</v>
      </c>
      <c r="BU156">
        <v>10000</v>
      </c>
      <c r="BV156">
        <v>0</v>
      </c>
      <c r="BW156">
        <v>10000</v>
      </c>
      <c r="BX156">
        <v>-10000</v>
      </c>
      <c r="BY156">
        <v>0</v>
      </c>
      <c r="BZ156">
        <v>10600</v>
      </c>
      <c r="CA156">
        <v>11236</v>
      </c>
      <c r="CB156">
        <v>0</v>
      </c>
      <c r="CC156">
        <v>0</v>
      </c>
      <c r="CD156">
        <v>0</v>
      </c>
      <c r="CE156">
        <v>0</v>
      </c>
      <c r="CF156">
        <v>0</v>
      </c>
      <c r="CG156">
        <v>0</v>
      </c>
      <c r="CH156">
        <v>0</v>
      </c>
      <c r="CI156">
        <v>0</v>
      </c>
      <c r="CJ156">
        <v>0</v>
      </c>
      <c r="CK156">
        <v>0</v>
      </c>
      <c r="CL156">
        <v>0</v>
      </c>
      <c r="CM156">
        <v>0</v>
      </c>
      <c r="CR156" t="s">
        <v>2327</v>
      </c>
      <c r="CS156" s="1369" t="str">
        <f>INDEX([8]Sheet1!$H:$H,MATCH(CR:CR,[8]Sheet1!$AU:$AU,0))</f>
        <v>Education</v>
      </c>
    </row>
    <row r="157" spans="1:97" x14ac:dyDescent="0.2">
      <c r="A157" t="s">
        <v>2631</v>
      </c>
      <c r="B157">
        <v>209</v>
      </c>
      <c r="C157" t="s">
        <v>2631</v>
      </c>
      <c r="D157">
        <v>41006</v>
      </c>
      <c r="E157" t="s">
        <v>2427</v>
      </c>
      <c r="F157">
        <v>2700</v>
      </c>
      <c r="G157" t="s">
        <v>656</v>
      </c>
      <c r="H157" t="s">
        <v>2428</v>
      </c>
      <c r="I157" t="s">
        <v>1800</v>
      </c>
      <c r="J157">
        <v>2701</v>
      </c>
      <c r="K157" t="s">
        <v>1800</v>
      </c>
      <c r="L157">
        <v>2100</v>
      </c>
      <c r="M157" t="s">
        <v>618</v>
      </c>
      <c r="N157">
        <v>2101</v>
      </c>
      <c r="O157" t="s">
        <v>1000</v>
      </c>
      <c r="P157" t="s">
        <v>2366</v>
      </c>
      <c r="Q157" t="s">
        <v>2364</v>
      </c>
      <c r="R157" t="s">
        <v>2364</v>
      </c>
      <c r="S157" t="s">
        <v>1881</v>
      </c>
      <c r="T157" t="s">
        <v>1812</v>
      </c>
      <c r="U157" t="s">
        <v>2365</v>
      </c>
      <c r="V157" t="s">
        <v>2365</v>
      </c>
      <c r="W157" t="s">
        <v>2365</v>
      </c>
      <c r="X157" t="s">
        <v>2365</v>
      </c>
      <c r="Y157" t="s">
        <v>2365</v>
      </c>
      <c r="Z157" t="s">
        <v>2365</v>
      </c>
      <c r="AA157" t="s">
        <v>2365</v>
      </c>
      <c r="AB157" t="s">
        <v>2365</v>
      </c>
      <c r="AC157" s="813" t="s">
        <v>2365</v>
      </c>
      <c r="AD157" s="813" t="s">
        <v>2365</v>
      </c>
      <c r="AE157" s="813" t="s">
        <v>2365</v>
      </c>
      <c r="AF157" t="s">
        <v>2365</v>
      </c>
      <c r="AG157" t="s">
        <v>2365</v>
      </c>
      <c r="AH157" t="s">
        <v>2365</v>
      </c>
      <c r="AI157" t="s">
        <v>2365</v>
      </c>
      <c r="AJ157" t="s">
        <v>2365</v>
      </c>
      <c r="AK157" t="s">
        <v>2365</v>
      </c>
      <c r="AL157" t="s">
        <v>2365</v>
      </c>
      <c r="AM157" t="s">
        <v>2365</v>
      </c>
      <c r="AN157" t="s">
        <v>2365</v>
      </c>
      <c r="AR157" t="s">
        <v>2365</v>
      </c>
      <c r="AS157" t="s">
        <v>2365</v>
      </c>
      <c r="AT157" t="s">
        <v>2365</v>
      </c>
      <c r="AU157" t="s">
        <v>2365</v>
      </c>
      <c r="AV157" t="s">
        <v>2365</v>
      </c>
      <c r="AW157" t="s">
        <v>2365</v>
      </c>
      <c r="AX157" t="s">
        <v>2365</v>
      </c>
      <c r="AY157" t="s">
        <v>2365</v>
      </c>
      <c r="AZ157" t="s">
        <v>2365</v>
      </c>
      <c r="BA157" t="s">
        <v>2365</v>
      </c>
      <c r="BB157" t="s">
        <v>2365</v>
      </c>
      <c r="BC157" t="s">
        <v>2365</v>
      </c>
      <c r="BD157" t="s">
        <v>2366</v>
      </c>
      <c r="BE157" t="s">
        <v>2365</v>
      </c>
      <c r="BF157" t="s">
        <v>2365</v>
      </c>
      <c r="BG157" t="s">
        <v>2365</v>
      </c>
      <c r="BH157" t="s">
        <v>2365</v>
      </c>
      <c r="BI157" t="s">
        <v>2366</v>
      </c>
      <c r="BJ157" t="s">
        <v>2365</v>
      </c>
      <c r="BK157" t="s">
        <v>2365</v>
      </c>
      <c r="BL157" t="s">
        <v>2365</v>
      </c>
      <c r="BM157" t="s">
        <v>2365</v>
      </c>
      <c r="BO157">
        <v>4</v>
      </c>
      <c r="BP157">
        <v>48</v>
      </c>
      <c r="BQ157" t="s">
        <v>2433</v>
      </c>
      <c r="BR157" t="s">
        <v>1000</v>
      </c>
      <c r="BU157">
        <v>180000</v>
      </c>
      <c r="BV157">
        <v>0</v>
      </c>
      <c r="BW157">
        <v>180000</v>
      </c>
      <c r="BX157">
        <v>-49000</v>
      </c>
      <c r="BY157">
        <v>131000</v>
      </c>
      <c r="BZ157">
        <v>190800</v>
      </c>
      <c r="CA157">
        <v>202248</v>
      </c>
      <c r="CB157">
        <v>0</v>
      </c>
      <c r="CC157">
        <v>0</v>
      </c>
      <c r="CD157">
        <v>0</v>
      </c>
      <c r="CE157">
        <v>0</v>
      </c>
      <c r="CF157">
        <v>0</v>
      </c>
      <c r="CG157">
        <v>131000</v>
      </c>
      <c r="CH157">
        <v>0</v>
      </c>
      <c r="CI157">
        <v>0</v>
      </c>
      <c r="CJ157">
        <v>0</v>
      </c>
      <c r="CK157">
        <v>0</v>
      </c>
      <c r="CL157">
        <v>0</v>
      </c>
      <c r="CM157">
        <v>0</v>
      </c>
      <c r="CR157" t="s">
        <v>2327</v>
      </c>
      <c r="CS157" s="1369" t="str">
        <f>INDEX([8]Sheet1!$H:$H,MATCH(CR:CR,[8]Sheet1!$AU:$AU,0))</f>
        <v>Education</v>
      </c>
    </row>
    <row r="158" spans="1:97" x14ac:dyDescent="0.2">
      <c r="A158" t="s">
        <v>2632</v>
      </c>
      <c r="B158">
        <v>210</v>
      </c>
      <c r="C158" t="s">
        <v>2632</v>
      </c>
      <c r="D158">
        <v>41007</v>
      </c>
      <c r="E158" t="s">
        <v>2430</v>
      </c>
      <c r="F158">
        <v>2700</v>
      </c>
      <c r="G158" t="s">
        <v>656</v>
      </c>
      <c r="H158" t="s">
        <v>2428</v>
      </c>
      <c r="I158" t="s">
        <v>1800</v>
      </c>
      <c r="J158">
        <v>2701</v>
      </c>
      <c r="K158" t="s">
        <v>1800</v>
      </c>
      <c r="L158">
        <v>2100</v>
      </c>
      <c r="M158" t="s">
        <v>618</v>
      </c>
      <c r="N158">
        <v>2101</v>
      </c>
      <c r="O158" t="s">
        <v>1000</v>
      </c>
      <c r="P158" t="s">
        <v>2366</v>
      </c>
      <c r="Q158" t="s">
        <v>2364</v>
      </c>
      <c r="R158" t="s">
        <v>2364</v>
      </c>
      <c r="S158" t="s">
        <v>1881</v>
      </c>
      <c r="T158" t="s">
        <v>1812</v>
      </c>
      <c r="U158" t="s">
        <v>2365</v>
      </c>
      <c r="V158" t="s">
        <v>2365</v>
      </c>
      <c r="W158" t="s">
        <v>2365</v>
      </c>
      <c r="X158" t="s">
        <v>2365</v>
      </c>
      <c r="Y158" t="s">
        <v>2365</v>
      </c>
      <c r="Z158" t="s">
        <v>2365</v>
      </c>
      <c r="AA158" t="s">
        <v>2365</v>
      </c>
      <c r="AB158" t="s">
        <v>2365</v>
      </c>
      <c r="AC158" s="813" t="s">
        <v>2365</v>
      </c>
      <c r="AD158" s="813" t="s">
        <v>2365</v>
      </c>
      <c r="AE158" s="813" t="s">
        <v>2365</v>
      </c>
      <c r="AF158" t="s">
        <v>2365</v>
      </c>
      <c r="AG158" t="s">
        <v>2365</v>
      </c>
      <c r="AH158" t="s">
        <v>2365</v>
      </c>
      <c r="AI158" t="s">
        <v>2365</v>
      </c>
      <c r="AJ158" t="s">
        <v>2365</v>
      </c>
      <c r="AK158" t="s">
        <v>2365</v>
      </c>
      <c r="AL158" t="s">
        <v>2365</v>
      </c>
      <c r="AM158" t="s">
        <v>2365</v>
      </c>
      <c r="AN158" t="s">
        <v>2365</v>
      </c>
      <c r="AR158" t="s">
        <v>2365</v>
      </c>
      <c r="AS158" t="s">
        <v>2365</v>
      </c>
      <c r="AT158" t="s">
        <v>2365</v>
      </c>
      <c r="AU158" t="s">
        <v>2365</v>
      </c>
      <c r="AV158" t="s">
        <v>2365</v>
      </c>
      <c r="AW158" t="s">
        <v>2365</v>
      </c>
      <c r="AX158" t="s">
        <v>2365</v>
      </c>
      <c r="AY158" t="s">
        <v>2365</v>
      </c>
      <c r="AZ158" t="s">
        <v>2365</v>
      </c>
      <c r="BA158" t="s">
        <v>2365</v>
      </c>
      <c r="BB158" t="s">
        <v>2365</v>
      </c>
      <c r="BC158" t="s">
        <v>2365</v>
      </c>
      <c r="BD158" t="s">
        <v>2366</v>
      </c>
      <c r="BE158" t="s">
        <v>2365</v>
      </c>
      <c r="BF158" t="s">
        <v>2365</v>
      </c>
      <c r="BG158" t="s">
        <v>2365</v>
      </c>
      <c r="BH158" t="s">
        <v>2365</v>
      </c>
      <c r="BI158" t="s">
        <v>2366</v>
      </c>
      <c r="BJ158" t="s">
        <v>2365</v>
      </c>
      <c r="BK158" t="s">
        <v>2365</v>
      </c>
      <c r="BL158" t="s">
        <v>2365</v>
      </c>
      <c r="BM158" t="s">
        <v>2365</v>
      </c>
      <c r="BO158">
        <v>4</v>
      </c>
      <c r="BP158">
        <v>48</v>
      </c>
      <c r="BQ158" t="s">
        <v>2433</v>
      </c>
      <c r="BR158" t="s">
        <v>1000</v>
      </c>
      <c r="BU158">
        <v>50000</v>
      </c>
      <c r="BV158">
        <v>0</v>
      </c>
      <c r="BW158">
        <v>50000</v>
      </c>
      <c r="BX158">
        <v>-4000</v>
      </c>
      <c r="BY158">
        <v>46000</v>
      </c>
      <c r="BZ158">
        <v>53000</v>
      </c>
      <c r="CA158">
        <v>56180</v>
      </c>
      <c r="CB158">
        <v>0</v>
      </c>
      <c r="CC158">
        <v>0</v>
      </c>
      <c r="CD158">
        <v>0</v>
      </c>
      <c r="CE158">
        <v>0</v>
      </c>
      <c r="CF158">
        <v>0</v>
      </c>
      <c r="CG158">
        <v>46000</v>
      </c>
      <c r="CH158">
        <v>0</v>
      </c>
      <c r="CI158">
        <v>0</v>
      </c>
      <c r="CJ158">
        <v>0</v>
      </c>
      <c r="CK158">
        <v>0</v>
      </c>
      <c r="CL158">
        <v>0</v>
      </c>
      <c r="CM158">
        <v>0</v>
      </c>
      <c r="CR158" t="s">
        <v>2327</v>
      </c>
      <c r="CS158" s="1369" t="str">
        <f>INDEX([8]Sheet1!$H:$H,MATCH(CR:CR,[8]Sheet1!$AU:$AU,0))</f>
        <v>Education</v>
      </c>
    </row>
    <row r="159" spans="1:97" x14ac:dyDescent="0.2">
      <c r="A159" t="s">
        <v>2633</v>
      </c>
      <c r="B159">
        <v>211</v>
      </c>
      <c r="C159" t="s">
        <v>2633</v>
      </c>
      <c r="D159">
        <v>41427</v>
      </c>
      <c r="E159" t="s">
        <v>2634</v>
      </c>
      <c r="F159" t="s">
        <v>2364</v>
      </c>
      <c r="G159" t="s">
        <v>2364</v>
      </c>
      <c r="H159" t="s">
        <v>2365</v>
      </c>
      <c r="I159" t="s">
        <v>2365</v>
      </c>
      <c r="J159" t="s">
        <v>2365</v>
      </c>
      <c r="K159" t="s">
        <v>2365</v>
      </c>
      <c r="L159">
        <v>1200</v>
      </c>
      <c r="M159" t="s">
        <v>1480</v>
      </c>
      <c r="N159">
        <v>1204</v>
      </c>
      <c r="O159" t="s">
        <v>1487</v>
      </c>
      <c r="P159" t="s">
        <v>2366</v>
      </c>
      <c r="Q159" t="s">
        <v>2364</v>
      </c>
      <c r="R159" t="s">
        <v>2364</v>
      </c>
      <c r="S159" t="s">
        <v>553</v>
      </c>
      <c r="T159" t="s">
        <v>2367</v>
      </c>
      <c r="U159">
        <v>360</v>
      </c>
      <c r="V159" t="s">
        <v>2368</v>
      </c>
      <c r="W159">
        <v>360</v>
      </c>
      <c r="X159" t="s">
        <v>711</v>
      </c>
      <c r="Y159" t="s">
        <v>2365</v>
      </c>
      <c r="Z159" t="s">
        <v>2365</v>
      </c>
      <c r="AA159" t="s">
        <v>2365</v>
      </c>
      <c r="AB159" t="s">
        <v>2365</v>
      </c>
      <c r="AC159" s="813" t="s">
        <v>2365</v>
      </c>
      <c r="AD159" s="813" t="s">
        <v>2365</v>
      </c>
      <c r="AE159" s="813" t="s">
        <v>2365</v>
      </c>
      <c r="AF159" t="s">
        <v>2365</v>
      </c>
      <c r="AG159" t="s">
        <v>2365</v>
      </c>
      <c r="AH159" t="s">
        <v>2365</v>
      </c>
      <c r="AI159" t="s">
        <v>2365</v>
      </c>
      <c r="AJ159" t="s">
        <v>2365</v>
      </c>
      <c r="AK159">
        <v>361</v>
      </c>
      <c r="AL159" t="s">
        <v>1804</v>
      </c>
      <c r="AM159">
        <v>361</v>
      </c>
      <c r="AN159" t="s">
        <v>1804</v>
      </c>
      <c r="AR159" t="s">
        <v>2365</v>
      </c>
      <c r="AS159" t="s">
        <v>2365</v>
      </c>
      <c r="AT159" t="s">
        <v>2365</v>
      </c>
      <c r="AU159" t="s">
        <v>2365</v>
      </c>
      <c r="AV159" t="s">
        <v>2365</v>
      </c>
      <c r="AW159" t="s">
        <v>2365</v>
      </c>
      <c r="AX159" t="s">
        <v>2365</v>
      </c>
      <c r="AY159" t="s">
        <v>2365</v>
      </c>
      <c r="AZ159" t="s">
        <v>2365</v>
      </c>
      <c r="BA159" t="s">
        <v>2365</v>
      </c>
      <c r="BB159" t="s">
        <v>2365</v>
      </c>
      <c r="BC159" t="s">
        <v>2365</v>
      </c>
      <c r="BD159" t="s">
        <v>2366</v>
      </c>
      <c r="BE159" t="s">
        <v>2365</v>
      </c>
      <c r="BF159" t="s">
        <v>2365</v>
      </c>
      <c r="BG159" t="s">
        <v>2365</v>
      </c>
      <c r="BH159" t="s">
        <v>2365</v>
      </c>
      <c r="BI159" t="s">
        <v>2366</v>
      </c>
      <c r="BJ159" t="s">
        <v>2365</v>
      </c>
      <c r="BK159" t="s">
        <v>2365</v>
      </c>
      <c r="BL159" t="s">
        <v>2365</v>
      </c>
      <c r="BM159" t="s">
        <v>2365</v>
      </c>
      <c r="BO159">
        <v>1</v>
      </c>
      <c r="BP159">
        <v>11</v>
      </c>
      <c r="BQ159" t="s">
        <v>2369</v>
      </c>
      <c r="BR159" t="s">
        <v>1487</v>
      </c>
      <c r="BU159">
        <v>-2283212</v>
      </c>
      <c r="BV159">
        <v>0</v>
      </c>
      <c r="BW159">
        <v>-2283212</v>
      </c>
      <c r="BX159">
        <v>-2283212</v>
      </c>
      <c r="BY159">
        <v>0</v>
      </c>
      <c r="BZ159">
        <v>0</v>
      </c>
      <c r="CA159">
        <v>0</v>
      </c>
      <c r="CB159">
        <v>-629004.94000000134</v>
      </c>
      <c r="CC159">
        <v>1614260.2000000011</v>
      </c>
      <c r="CD159">
        <v>169196.71999999881</v>
      </c>
      <c r="CE159">
        <v>-651565.76999999397</v>
      </c>
      <c r="CF159">
        <v>205275.04000000097</v>
      </c>
      <c r="CG159">
        <v>-729355.41999999993</v>
      </c>
      <c r="CH159">
        <v>-829160.90000000037</v>
      </c>
      <c r="CI159">
        <v>1942675.9700000025</v>
      </c>
      <c r="CJ159">
        <v>-200155.59999999963</v>
      </c>
      <c r="CK159">
        <v>0</v>
      </c>
      <c r="CL159">
        <v>0</v>
      </c>
      <c r="CM159">
        <v>0</v>
      </c>
      <c r="CR159" t="s">
        <v>2327</v>
      </c>
      <c r="CS159" s="1369" t="str">
        <f>INDEX([8]Sheet1!$H:$H,MATCH(CR:CR,[8]Sheet1!$AU:$AU,0))</f>
        <v>Education</v>
      </c>
    </row>
    <row r="160" spans="1:97" x14ac:dyDescent="0.2">
      <c r="A160" t="s">
        <v>2635</v>
      </c>
      <c r="B160">
        <v>213</v>
      </c>
      <c r="C160" t="s">
        <v>2635</v>
      </c>
      <c r="D160">
        <v>41429</v>
      </c>
      <c r="E160" t="s">
        <v>2636</v>
      </c>
      <c r="F160" t="s">
        <v>2364</v>
      </c>
      <c r="G160" t="s">
        <v>2364</v>
      </c>
      <c r="H160" t="s">
        <v>2365</v>
      </c>
      <c r="I160" t="s">
        <v>2365</v>
      </c>
      <c r="J160" t="s">
        <v>2365</v>
      </c>
      <c r="K160" t="s">
        <v>2365</v>
      </c>
      <c r="L160">
        <v>1200</v>
      </c>
      <c r="M160" t="s">
        <v>1480</v>
      </c>
      <c r="N160">
        <v>1204</v>
      </c>
      <c r="O160" t="s">
        <v>1487</v>
      </c>
      <c r="P160" t="s">
        <v>1846</v>
      </c>
      <c r="Q160">
        <v>2080</v>
      </c>
      <c r="R160" t="s">
        <v>579</v>
      </c>
      <c r="S160" t="s">
        <v>552</v>
      </c>
      <c r="T160" t="s">
        <v>2175</v>
      </c>
      <c r="U160">
        <v>240</v>
      </c>
      <c r="V160" t="s">
        <v>2389</v>
      </c>
      <c r="W160">
        <v>240</v>
      </c>
      <c r="X160" t="s">
        <v>701</v>
      </c>
      <c r="Y160" t="s">
        <v>2365</v>
      </c>
      <c r="Z160" t="s">
        <v>2365</v>
      </c>
      <c r="AA160" t="s">
        <v>2365</v>
      </c>
      <c r="AB160" t="s">
        <v>2365</v>
      </c>
      <c r="AC160" s="813" t="s">
        <v>2365</v>
      </c>
      <c r="AD160" s="813" t="s">
        <v>2365</v>
      </c>
      <c r="AE160" s="813" t="s">
        <v>2365</v>
      </c>
      <c r="AF160" t="s">
        <v>2365</v>
      </c>
      <c r="AG160">
        <v>1510</v>
      </c>
      <c r="AH160" t="s">
        <v>1676</v>
      </c>
      <c r="AI160">
        <v>1510</v>
      </c>
      <c r="AJ160" t="s">
        <v>1676</v>
      </c>
      <c r="AK160">
        <v>241</v>
      </c>
      <c r="AL160" t="s">
        <v>1203</v>
      </c>
      <c r="AM160">
        <v>241</v>
      </c>
      <c r="AN160" t="s">
        <v>1203</v>
      </c>
      <c r="AR160">
        <v>1510</v>
      </c>
      <c r="AS160" t="s">
        <v>1676</v>
      </c>
      <c r="AT160">
        <v>1510</v>
      </c>
      <c r="AU160" t="s">
        <v>1676</v>
      </c>
      <c r="AV160" t="s">
        <v>2365</v>
      </c>
      <c r="AW160" t="s">
        <v>2365</v>
      </c>
      <c r="AX160" t="s">
        <v>2365</v>
      </c>
      <c r="AY160" t="s">
        <v>2365</v>
      </c>
      <c r="AZ160" t="s">
        <v>2365</v>
      </c>
      <c r="BA160" t="s">
        <v>2365</v>
      </c>
      <c r="BB160" t="s">
        <v>2365</v>
      </c>
      <c r="BC160" t="s">
        <v>2365</v>
      </c>
      <c r="BD160" t="s">
        <v>2366</v>
      </c>
      <c r="BE160" t="s">
        <v>2365</v>
      </c>
      <c r="BF160" t="s">
        <v>2365</v>
      </c>
      <c r="BG160" t="s">
        <v>2365</v>
      </c>
      <c r="BH160" t="s">
        <v>2365</v>
      </c>
      <c r="BI160" t="s">
        <v>2366</v>
      </c>
      <c r="BJ160" t="s">
        <v>2365</v>
      </c>
      <c r="BK160" t="s">
        <v>2365</v>
      </c>
      <c r="BL160" t="s">
        <v>2365</v>
      </c>
      <c r="BM160" t="s">
        <v>2365</v>
      </c>
      <c r="BO160">
        <v>1</v>
      </c>
      <c r="BP160">
        <v>11</v>
      </c>
      <c r="BQ160" t="s">
        <v>2369</v>
      </c>
      <c r="BR160" t="s">
        <v>1487</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R160" t="s">
        <v>2324</v>
      </c>
      <c r="CS160" s="1369" t="str">
        <f>INDEX([8]Sheet1!$H:$H,MATCH(CR:CR,[8]Sheet1!$AU:$AU,0))</f>
        <v>Finance</v>
      </c>
    </row>
    <row r="161" spans="1:97" x14ac:dyDescent="0.2">
      <c r="A161" t="s">
        <v>2637</v>
      </c>
      <c r="B161">
        <v>214</v>
      </c>
      <c r="C161" t="s">
        <v>2637</v>
      </c>
      <c r="D161">
        <v>41430</v>
      </c>
      <c r="E161" t="s">
        <v>2638</v>
      </c>
      <c r="F161" t="s">
        <v>2364</v>
      </c>
      <c r="G161" t="s">
        <v>2364</v>
      </c>
      <c r="H161" t="s">
        <v>2365</v>
      </c>
      <c r="I161" t="s">
        <v>2365</v>
      </c>
      <c r="J161" t="s">
        <v>2365</v>
      </c>
      <c r="K161" t="s">
        <v>2365</v>
      </c>
      <c r="L161">
        <v>1200</v>
      </c>
      <c r="M161" t="s">
        <v>1480</v>
      </c>
      <c r="N161">
        <v>1204</v>
      </c>
      <c r="O161" t="s">
        <v>1487</v>
      </c>
      <c r="P161" t="s">
        <v>1846</v>
      </c>
      <c r="Q161">
        <v>2080</v>
      </c>
      <c r="R161" t="s">
        <v>579</v>
      </c>
      <c r="S161" t="s">
        <v>552</v>
      </c>
      <c r="T161" t="s">
        <v>2175</v>
      </c>
      <c r="U161">
        <v>240</v>
      </c>
      <c r="V161" t="s">
        <v>2389</v>
      </c>
      <c r="W161">
        <v>240</v>
      </c>
      <c r="X161" t="s">
        <v>701</v>
      </c>
      <c r="Y161" t="s">
        <v>2365</v>
      </c>
      <c r="Z161" t="s">
        <v>2365</v>
      </c>
      <c r="AA161" t="s">
        <v>2365</v>
      </c>
      <c r="AB161" t="s">
        <v>2365</v>
      </c>
      <c r="AC161" s="813" t="s">
        <v>2365</v>
      </c>
      <c r="AD161" s="813" t="s">
        <v>2365</v>
      </c>
      <c r="AE161" s="813" t="s">
        <v>2365</v>
      </c>
      <c r="AF161" t="s">
        <v>2365</v>
      </c>
      <c r="AG161">
        <v>1490</v>
      </c>
      <c r="AH161" t="s">
        <v>1675</v>
      </c>
      <c r="AI161">
        <v>1490</v>
      </c>
      <c r="AJ161" t="s">
        <v>1675</v>
      </c>
      <c r="AK161">
        <v>241</v>
      </c>
      <c r="AL161" t="s">
        <v>1203</v>
      </c>
      <c r="AM161">
        <v>241</v>
      </c>
      <c r="AN161" t="s">
        <v>1203</v>
      </c>
      <c r="AR161">
        <v>1490</v>
      </c>
      <c r="AS161" t="s">
        <v>1675</v>
      </c>
      <c r="AT161">
        <v>1490</v>
      </c>
      <c r="AU161" t="s">
        <v>1675</v>
      </c>
      <c r="AV161" t="s">
        <v>2365</v>
      </c>
      <c r="AW161" t="s">
        <v>2365</v>
      </c>
      <c r="AX161" t="s">
        <v>2365</v>
      </c>
      <c r="AY161" t="s">
        <v>2365</v>
      </c>
      <c r="AZ161" t="s">
        <v>2365</v>
      </c>
      <c r="BA161" t="s">
        <v>2365</v>
      </c>
      <c r="BB161" t="s">
        <v>2365</v>
      </c>
      <c r="BC161" t="s">
        <v>2365</v>
      </c>
      <c r="BD161" t="s">
        <v>2366</v>
      </c>
      <c r="BE161" t="s">
        <v>2365</v>
      </c>
      <c r="BF161" t="s">
        <v>2365</v>
      </c>
      <c r="BG161" t="s">
        <v>2365</v>
      </c>
      <c r="BH161" t="s">
        <v>2365</v>
      </c>
      <c r="BI161" t="s">
        <v>2366</v>
      </c>
      <c r="BJ161" t="s">
        <v>2365</v>
      </c>
      <c r="BK161" t="s">
        <v>2365</v>
      </c>
      <c r="BL161" t="s">
        <v>2365</v>
      </c>
      <c r="BM161" t="s">
        <v>2365</v>
      </c>
      <c r="BO161">
        <v>1</v>
      </c>
      <c r="BP161">
        <v>11</v>
      </c>
      <c r="BQ161" t="s">
        <v>2369</v>
      </c>
      <c r="BR161" t="s">
        <v>1487</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R161" t="s">
        <v>2324</v>
      </c>
      <c r="CS161" s="1369" t="str">
        <f>INDEX([8]Sheet1!$H:$H,MATCH(CR:CR,[8]Sheet1!$AU:$AU,0))</f>
        <v>Finance</v>
      </c>
    </row>
    <row r="162" spans="1:97" x14ac:dyDescent="0.2">
      <c r="A162" t="s">
        <v>2639</v>
      </c>
      <c r="B162">
        <v>215</v>
      </c>
      <c r="C162" t="s">
        <v>2639</v>
      </c>
      <c r="D162">
        <v>41431</v>
      </c>
      <c r="E162" t="s">
        <v>2640</v>
      </c>
      <c r="F162" t="s">
        <v>2364</v>
      </c>
      <c r="G162" t="s">
        <v>2364</v>
      </c>
      <c r="H162" t="s">
        <v>2365</v>
      </c>
      <c r="I162" t="s">
        <v>2365</v>
      </c>
      <c r="J162" t="s">
        <v>2365</v>
      </c>
      <c r="K162" t="s">
        <v>2365</v>
      </c>
      <c r="L162">
        <v>1200</v>
      </c>
      <c r="M162" t="s">
        <v>1480</v>
      </c>
      <c r="N162">
        <v>1204</v>
      </c>
      <c r="O162" t="s">
        <v>1487</v>
      </c>
      <c r="P162" t="s">
        <v>1846</v>
      </c>
      <c r="Q162">
        <v>2080</v>
      </c>
      <c r="R162" t="s">
        <v>579</v>
      </c>
      <c r="S162" t="s">
        <v>552</v>
      </c>
      <c r="T162" t="s">
        <v>2175</v>
      </c>
      <c r="U162">
        <v>240</v>
      </c>
      <c r="V162" t="s">
        <v>2389</v>
      </c>
      <c r="W162">
        <v>240</v>
      </c>
      <c r="X162" t="s">
        <v>701</v>
      </c>
      <c r="Y162" t="s">
        <v>2365</v>
      </c>
      <c r="Z162" t="s">
        <v>2365</v>
      </c>
      <c r="AA162" t="s">
        <v>2365</v>
      </c>
      <c r="AB162" t="s">
        <v>2365</v>
      </c>
      <c r="AC162" s="813" t="s">
        <v>2365</v>
      </c>
      <c r="AD162" s="813" t="s">
        <v>2365</v>
      </c>
      <c r="AE162" s="813" t="s">
        <v>2365</v>
      </c>
      <c r="AF162" t="s">
        <v>2365</v>
      </c>
      <c r="AG162">
        <v>1470</v>
      </c>
      <c r="AH162" t="s">
        <v>1674</v>
      </c>
      <c r="AI162">
        <v>1470</v>
      </c>
      <c r="AJ162" t="s">
        <v>1674</v>
      </c>
      <c r="AK162">
        <v>241</v>
      </c>
      <c r="AL162" t="s">
        <v>1203</v>
      </c>
      <c r="AM162">
        <v>241</v>
      </c>
      <c r="AN162" t="s">
        <v>1203</v>
      </c>
      <c r="AR162">
        <v>1470</v>
      </c>
      <c r="AS162" t="s">
        <v>1674</v>
      </c>
      <c r="AT162">
        <v>1470</v>
      </c>
      <c r="AU162" t="s">
        <v>1674</v>
      </c>
      <c r="AV162" t="s">
        <v>2365</v>
      </c>
      <c r="AW162" t="s">
        <v>2365</v>
      </c>
      <c r="AX162" t="s">
        <v>2365</v>
      </c>
      <c r="AY162" t="s">
        <v>2365</v>
      </c>
      <c r="AZ162" t="s">
        <v>2365</v>
      </c>
      <c r="BA162" t="s">
        <v>2365</v>
      </c>
      <c r="BB162" t="s">
        <v>2365</v>
      </c>
      <c r="BC162" t="s">
        <v>2365</v>
      </c>
      <c r="BD162" t="s">
        <v>2366</v>
      </c>
      <c r="BE162" t="s">
        <v>2365</v>
      </c>
      <c r="BF162" t="s">
        <v>2365</v>
      </c>
      <c r="BG162" t="s">
        <v>2365</v>
      </c>
      <c r="BH162" t="s">
        <v>2365</v>
      </c>
      <c r="BI162" t="s">
        <v>2366</v>
      </c>
      <c r="BJ162" t="s">
        <v>2365</v>
      </c>
      <c r="BK162" t="s">
        <v>2365</v>
      </c>
      <c r="BL162" t="s">
        <v>2365</v>
      </c>
      <c r="BM162" t="s">
        <v>2365</v>
      </c>
      <c r="BO162">
        <v>1</v>
      </c>
      <c r="BP162">
        <v>11</v>
      </c>
      <c r="BQ162" t="s">
        <v>2369</v>
      </c>
      <c r="BR162" t="s">
        <v>1487</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R162" t="s">
        <v>2324</v>
      </c>
      <c r="CS162" s="1369" t="str">
        <f>INDEX([8]Sheet1!$H:$H,MATCH(CR:CR,[8]Sheet1!$AU:$AU,0))</f>
        <v>Finance</v>
      </c>
    </row>
    <row r="163" spans="1:97" x14ac:dyDescent="0.2">
      <c r="A163" t="s">
        <v>2641</v>
      </c>
      <c r="B163">
        <v>216</v>
      </c>
      <c r="C163" t="s">
        <v>2641</v>
      </c>
      <c r="D163">
        <v>41432</v>
      </c>
      <c r="E163" t="s">
        <v>2642</v>
      </c>
      <c r="F163" t="s">
        <v>2364</v>
      </c>
      <c r="G163" t="s">
        <v>2364</v>
      </c>
      <c r="H163" t="s">
        <v>2365</v>
      </c>
      <c r="I163" t="s">
        <v>2365</v>
      </c>
      <c r="J163" t="s">
        <v>2365</v>
      </c>
      <c r="K163" t="s">
        <v>2365</v>
      </c>
      <c r="L163">
        <v>1200</v>
      </c>
      <c r="M163" t="s">
        <v>1480</v>
      </c>
      <c r="N163">
        <v>1204</v>
      </c>
      <c r="O163" t="s">
        <v>1487</v>
      </c>
      <c r="P163" t="s">
        <v>2366</v>
      </c>
      <c r="Q163" t="s">
        <v>2364</v>
      </c>
      <c r="R163" t="s">
        <v>2364</v>
      </c>
      <c r="S163" t="s">
        <v>553</v>
      </c>
      <c r="T163" t="s">
        <v>2175</v>
      </c>
      <c r="U163">
        <v>140</v>
      </c>
      <c r="V163" t="s">
        <v>693</v>
      </c>
      <c r="W163">
        <v>140</v>
      </c>
      <c r="X163" t="s">
        <v>693</v>
      </c>
      <c r="Y163" t="s">
        <v>2365</v>
      </c>
      <c r="Z163" t="s">
        <v>2365</v>
      </c>
      <c r="AA163" t="s">
        <v>2365</v>
      </c>
      <c r="AB163" t="s">
        <v>2365</v>
      </c>
      <c r="AC163" s="813" t="s">
        <v>2365</v>
      </c>
      <c r="AD163" s="813" t="s">
        <v>2365</v>
      </c>
      <c r="AE163" s="813" t="s">
        <v>2365</v>
      </c>
      <c r="AF163" t="s">
        <v>2365</v>
      </c>
      <c r="AG163" t="s">
        <v>2365</v>
      </c>
      <c r="AH163" t="s">
        <v>2365</v>
      </c>
      <c r="AI163" t="s">
        <v>2365</v>
      </c>
      <c r="AJ163" t="s">
        <v>2365</v>
      </c>
      <c r="AK163" t="s">
        <v>2366</v>
      </c>
      <c r="AL163" t="s">
        <v>2366</v>
      </c>
      <c r="AM163" t="s">
        <v>2366</v>
      </c>
      <c r="AN163" t="s">
        <v>2366</v>
      </c>
      <c r="AR163" t="s">
        <v>2365</v>
      </c>
      <c r="AS163" t="s">
        <v>2365</v>
      </c>
      <c r="AT163" t="s">
        <v>2365</v>
      </c>
      <c r="AU163" t="s">
        <v>2365</v>
      </c>
      <c r="AV163" t="s">
        <v>2365</v>
      </c>
      <c r="AW163" t="s">
        <v>2365</v>
      </c>
      <c r="AX163" t="s">
        <v>2365</v>
      </c>
      <c r="AY163" t="s">
        <v>2365</v>
      </c>
      <c r="AZ163" t="s">
        <v>2365</v>
      </c>
      <c r="BA163" t="s">
        <v>2365</v>
      </c>
      <c r="BB163" t="s">
        <v>2365</v>
      </c>
      <c r="BC163" t="s">
        <v>2365</v>
      </c>
      <c r="BD163" t="s">
        <v>2366</v>
      </c>
      <c r="BE163" t="s">
        <v>2365</v>
      </c>
      <c r="BF163" t="s">
        <v>2365</v>
      </c>
      <c r="BG163" t="s">
        <v>2365</v>
      </c>
      <c r="BH163" t="s">
        <v>2365</v>
      </c>
      <c r="BI163" t="s">
        <v>2366</v>
      </c>
      <c r="BJ163" t="s">
        <v>2365</v>
      </c>
      <c r="BK163" t="s">
        <v>2365</v>
      </c>
      <c r="BL163" t="s">
        <v>2365</v>
      </c>
      <c r="BM163" t="s">
        <v>2365</v>
      </c>
      <c r="BO163">
        <v>1</v>
      </c>
      <c r="BP163">
        <v>11</v>
      </c>
      <c r="BQ163" t="s">
        <v>2369</v>
      </c>
      <c r="BR163" t="s">
        <v>1487</v>
      </c>
      <c r="BU163">
        <v>0</v>
      </c>
      <c r="BV163">
        <v>0</v>
      </c>
      <c r="BW163">
        <v>0</v>
      </c>
      <c r="BX163">
        <v>0</v>
      </c>
      <c r="BY163">
        <v>0</v>
      </c>
      <c r="BZ163">
        <v>0</v>
      </c>
      <c r="CA163">
        <v>0</v>
      </c>
      <c r="CB163">
        <v>51125.46</v>
      </c>
      <c r="CC163">
        <v>51125.46</v>
      </c>
      <c r="CD163">
        <v>51125.46</v>
      </c>
      <c r="CE163">
        <v>51125.46</v>
      </c>
      <c r="CF163">
        <v>51125.46</v>
      </c>
      <c r="CG163">
        <v>51125.46</v>
      </c>
      <c r="CH163">
        <v>51125.46</v>
      </c>
      <c r="CI163">
        <v>51125.46</v>
      </c>
      <c r="CJ163">
        <v>0</v>
      </c>
      <c r="CK163">
        <v>0</v>
      </c>
      <c r="CL163">
        <v>0</v>
      </c>
      <c r="CM163">
        <v>0</v>
      </c>
      <c r="CR163" t="s">
        <v>2324</v>
      </c>
      <c r="CS163" s="1369" t="str">
        <f>INDEX([8]Sheet1!$H:$H,MATCH(CR:CR,[8]Sheet1!$AU:$AU,0))</f>
        <v>Finance</v>
      </c>
    </row>
    <row r="164" spans="1:97" x14ac:dyDescent="0.2">
      <c r="A164" t="s">
        <v>2643</v>
      </c>
      <c r="B164">
        <v>217</v>
      </c>
      <c r="C164" t="s">
        <v>2643</v>
      </c>
      <c r="D164">
        <v>41433</v>
      </c>
      <c r="E164" t="s">
        <v>2644</v>
      </c>
      <c r="F164" t="s">
        <v>2364</v>
      </c>
      <c r="G164" t="s">
        <v>2364</v>
      </c>
      <c r="H164" t="s">
        <v>2365</v>
      </c>
      <c r="I164" t="s">
        <v>2365</v>
      </c>
      <c r="J164" t="s">
        <v>2365</v>
      </c>
      <c r="K164" t="s">
        <v>2365</v>
      </c>
      <c r="L164">
        <v>1200</v>
      </c>
      <c r="M164" t="s">
        <v>1480</v>
      </c>
      <c r="N164">
        <v>1204</v>
      </c>
      <c r="O164" t="s">
        <v>1487</v>
      </c>
      <c r="P164" t="s">
        <v>2366</v>
      </c>
      <c r="Q164" t="s">
        <v>2364</v>
      </c>
      <c r="R164" t="s">
        <v>2364</v>
      </c>
      <c r="S164" t="s">
        <v>553</v>
      </c>
      <c r="T164" t="s">
        <v>2175</v>
      </c>
      <c r="U164">
        <v>140</v>
      </c>
      <c r="V164" t="s">
        <v>693</v>
      </c>
      <c r="W164">
        <v>140</v>
      </c>
      <c r="X164" t="s">
        <v>693</v>
      </c>
      <c r="Y164" t="s">
        <v>2365</v>
      </c>
      <c r="Z164" t="s">
        <v>2365</v>
      </c>
      <c r="AA164" t="s">
        <v>2365</v>
      </c>
      <c r="AB164" t="s">
        <v>2365</v>
      </c>
      <c r="AC164" s="813" t="s">
        <v>2365</v>
      </c>
      <c r="AD164" s="813" t="s">
        <v>2365</v>
      </c>
      <c r="AE164" s="813" t="s">
        <v>2365</v>
      </c>
      <c r="AF164" t="s">
        <v>2365</v>
      </c>
      <c r="AG164" t="s">
        <v>2365</v>
      </c>
      <c r="AH164" t="s">
        <v>2365</v>
      </c>
      <c r="AI164" t="s">
        <v>2365</v>
      </c>
      <c r="AJ164" t="s">
        <v>2365</v>
      </c>
      <c r="AK164" t="s">
        <v>2366</v>
      </c>
      <c r="AL164" t="s">
        <v>2366</v>
      </c>
      <c r="AM164" t="s">
        <v>2366</v>
      </c>
      <c r="AN164" t="s">
        <v>2366</v>
      </c>
      <c r="AR164" t="s">
        <v>2365</v>
      </c>
      <c r="AS164" t="s">
        <v>2365</v>
      </c>
      <c r="AT164" t="s">
        <v>2365</v>
      </c>
      <c r="AU164" t="s">
        <v>2365</v>
      </c>
      <c r="AV164" t="s">
        <v>2365</v>
      </c>
      <c r="AW164" t="s">
        <v>2365</v>
      </c>
      <c r="AX164" t="s">
        <v>2365</v>
      </c>
      <c r="AY164" t="s">
        <v>2365</v>
      </c>
      <c r="AZ164" t="s">
        <v>2365</v>
      </c>
      <c r="BA164" t="s">
        <v>2365</v>
      </c>
      <c r="BB164" t="s">
        <v>2365</v>
      </c>
      <c r="BC164" t="s">
        <v>2365</v>
      </c>
      <c r="BD164" t="s">
        <v>2366</v>
      </c>
      <c r="BE164" t="s">
        <v>2365</v>
      </c>
      <c r="BF164" t="s">
        <v>2365</v>
      </c>
      <c r="BG164" t="s">
        <v>2365</v>
      </c>
      <c r="BH164" t="s">
        <v>2365</v>
      </c>
      <c r="BI164" t="s">
        <v>2366</v>
      </c>
      <c r="BJ164" t="s">
        <v>2365</v>
      </c>
      <c r="BK164" t="s">
        <v>2365</v>
      </c>
      <c r="BL164" t="s">
        <v>2365</v>
      </c>
      <c r="BM164" t="s">
        <v>2365</v>
      </c>
      <c r="BO164">
        <v>1</v>
      </c>
      <c r="BP164">
        <v>11</v>
      </c>
      <c r="BQ164" t="s">
        <v>2369</v>
      </c>
      <c r="BR164" t="s">
        <v>1487</v>
      </c>
      <c r="BU164">
        <v>0</v>
      </c>
      <c r="BV164">
        <v>0</v>
      </c>
      <c r="BW164">
        <v>0</v>
      </c>
      <c r="BX164">
        <v>0</v>
      </c>
      <c r="BY164">
        <v>0</v>
      </c>
      <c r="BZ164">
        <v>0</v>
      </c>
      <c r="CA164">
        <v>0</v>
      </c>
      <c r="CB164">
        <v>296283.08</v>
      </c>
      <c r="CC164">
        <v>296283.08</v>
      </c>
      <c r="CD164">
        <v>296283.08</v>
      </c>
      <c r="CE164">
        <v>296283.08</v>
      </c>
      <c r="CF164">
        <v>296283.08</v>
      </c>
      <c r="CG164">
        <v>296283.08</v>
      </c>
      <c r="CH164">
        <v>296283.08</v>
      </c>
      <c r="CI164">
        <v>303091.52999999997</v>
      </c>
      <c r="CJ164">
        <v>0</v>
      </c>
      <c r="CK164">
        <v>0</v>
      </c>
      <c r="CL164">
        <v>0</v>
      </c>
      <c r="CM164">
        <v>0</v>
      </c>
      <c r="CR164" t="s">
        <v>2328</v>
      </c>
      <c r="CS164" s="1369" t="str">
        <f>INDEX([8]Sheet1!$H:$H,MATCH(CR:CR,[8]Sheet1!$AU:$AU,0))</f>
        <v>Water Distribution</v>
      </c>
    </row>
    <row r="165" spans="1:97" x14ac:dyDescent="0.2">
      <c r="A165" t="s">
        <v>2645</v>
      </c>
      <c r="B165">
        <v>218</v>
      </c>
      <c r="C165" t="s">
        <v>2645</v>
      </c>
      <c r="D165">
        <v>41434</v>
      </c>
      <c r="E165" t="s">
        <v>2646</v>
      </c>
      <c r="F165" t="s">
        <v>2364</v>
      </c>
      <c r="G165" t="s">
        <v>2364</v>
      </c>
      <c r="H165" t="s">
        <v>2365</v>
      </c>
      <c r="I165" t="s">
        <v>2365</v>
      </c>
      <c r="J165" t="s">
        <v>2365</v>
      </c>
      <c r="K165" t="s">
        <v>2365</v>
      </c>
      <c r="L165">
        <v>1200</v>
      </c>
      <c r="M165" t="s">
        <v>1480</v>
      </c>
      <c r="N165">
        <v>1204</v>
      </c>
      <c r="O165" t="s">
        <v>1487</v>
      </c>
      <c r="P165" t="s">
        <v>2366</v>
      </c>
      <c r="Q165" t="s">
        <v>2364</v>
      </c>
      <c r="R165" t="s">
        <v>2364</v>
      </c>
      <c r="S165" t="s">
        <v>553</v>
      </c>
      <c r="T165" t="s">
        <v>2175</v>
      </c>
      <c r="U165">
        <v>150</v>
      </c>
      <c r="V165" t="s">
        <v>694</v>
      </c>
      <c r="W165">
        <v>150</v>
      </c>
      <c r="X165" t="s">
        <v>694</v>
      </c>
      <c r="Y165" t="s">
        <v>2365</v>
      </c>
      <c r="Z165" t="s">
        <v>2365</v>
      </c>
      <c r="AA165" t="s">
        <v>2365</v>
      </c>
      <c r="AB165" t="s">
        <v>2365</v>
      </c>
      <c r="AC165" s="813" t="s">
        <v>2365</v>
      </c>
      <c r="AD165" s="813" t="s">
        <v>2365</v>
      </c>
      <c r="AE165" s="813" t="s">
        <v>2365</v>
      </c>
      <c r="AF165" t="s">
        <v>2365</v>
      </c>
      <c r="AG165" t="s">
        <v>2365</v>
      </c>
      <c r="AH165" t="s">
        <v>2365</v>
      </c>
      <c r="AI165" t="s">
        <v>2365</v>
      </c>
      <c r="AJ165" t="s">
        <v>2365</v>
      </c>
      <c r="AK165" t="s">
        <v>2365</v>
      </c>
      <c r="AL165" t="s">
        <v>2365</v>
      </c>
      <c r="AM165" t="s">
        <v>2365</v>
      </c>
      <c r="AN165" t="s">
        <v>2365</v>
      </c>
      <c r="AR165" t="s">
        <v>2365</v>
      </c>
      <c r="AS165" t="s">
        <v>2365</v>
      </c>
      <c r="AT165" t="s">
        <v>2365</v>
      </c>
      <c r="AU165" t="s">
        <v>2365</v>
      </c>
      <c r="AV165" t="s">
        <v>2365</v>
      </c>
      <c r="AW165" t="s">
        <v>2365</v>
      </c>
      <c r="AX165" t="s">
        <v>2365</v>
      </c>
      <c r="AY165" t="s">
        <v>2365</v>
      </c>
      <c r="AZ165" t="s">
        <v>2365</v>
      </c>
      <c r="BA165" t="s">
        <v>2365</v>
      </c>
      <c r="BB165" t="s">
        <v>2365</v>
      </c>
      <c r="BC165" t="s">
        <v>2365</v>
      </c>
      <c r="BD165" t="s">
        <v>2366</v>
      </c>
      <c r="BE165" t="s">
        <v>2365</v>
      </c>
      <c r="BF165" t="s">
        <v>2365</v>
      </c>
      <c r="BG165" t="s">
        <v>2365</v>
      </c>
      <c r="BH165" t="s">
        <v>2365</v>
      </c>
      <c r="BI165" t="s">
        <v>2366</v>
      </c>
      <c r="BJ165" t="s">
        <v>2365</v>
      </c>
      <c r="BK165" t="s">
        <v>2365</v>
      </c>
      <c r="BL165" t="s">
        <v>2365</v>
      </c>
      <c r="BM165" t="s">
        <v>2365</v>
      </c>
      <c r="BO165">
        <v>1</v>
      </c>
      <c r="BP165">
        <v>11</v>
      </c>
      <c r="BQ165" t="s">
        <v>2369</v>
      </c>
      <c r="BR165" t="s">
        <v>1487</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R165" t="s">
        <v>2328</v>
      </c>
      <c r="CS165" s="1369" t="str">
        <f>INDEX([8]Sheet1!$H:$H,MATCH(CR:CR,[8]Sheet1!$AU:$AU,0))</f>
        <v>Water Distribution</v>
      </c>
    </row>
    <row r="166" spans="1:97" x14ac:dyDescent="0.2">
      <c r="A166" t="s">
        <v>2647</v>
      </c>
      <c r="B166">
        <v>219</v>
      </c>
      <c r="C166" t="s">
        <v>2647</v>
      </c>
      <c r="D166">
        <v>41435</v>
      </c>
      <c r="E166" t="s">
        <v>2648</v>
      </c>
      <c r="F166" t="s">
        <v>2364</v>
      </c>
      <c r="G166" t="s">
        <v>2364</v>
      </c>
      <c r="H166" t="s">
        <v>2365</v>
      </c>
      <c r="I166" t="s">
        <v>2365</v>
      </c>
      <c r="J166" t="s">
        <v>2365</v>
      </c>
      <c r="K166" t="s">
        <v>2365</v>
      </c>
      <c r="L166">
        <v>1200</v>
      </c>
      <c r="M166" t="s">
        <v>1480</v>
      </c>
      <c r="N166">
        <v>1204</v>
      </c>
      <c r="O166" t="s">
        <v>1487</v>
      </c>
      <c r="P166" t="s">
        <v>2366</v>
      </c>
      <c r="Q166" t="s">
        <v>2364</v>
      </c>
      <c r="R166" t="s">
        <v>2364</v>
      </c>
      <c r="S166" t="s">
        <v>553</v>
      </c>
      <c r="T166" t="s">
        <v>2367</v>
      </c>
      <c r="U166">
        <v>330</v>
      </c>
      <c r="V166" t="s">
        <v>2649</v>
      </c>
      <c r="W166">
        <v>330</v>
      </c>
      <c r="X166" t="s">
        <v>709</v>
      </c>
      <c r="Y166" t="s">
        <v>2365</v>
      </c>
      <c r="Z166" t="s">
        <v>2365</v>
      </c>
      <c r="AA166" t="s">
        <v>2365</v>
      </c>
      <c r="AB166" t="s">
        <v>2365</v>
      </c>
      <c r="AC166" s="813" t="s">
        <v>2365</v>
      </c>
      <c r="AD166" s="813" t="s">
        <v>2365</v>
      </c>
      <c r="AE166" s="813" t="s">
        <v>2365</v>
      </c>
      <c r="AF166" t="s">
        <v>2365</v>
      </c>
      <c r="AG166" t="s">
        <v>2365</v>
      </c>
      <c r="AH166" t="s">
        <v>2365</v>
      </c>
      <c r="AI166" t="s">
        <v>2365</v>
      </c>
      <c r="AJ166" t="s">
        <v>2365</v>
      </c>
      <c r="AK166" t="s">
        <v>2365</v>
      </c>
      <c r="AL166" t="s">
        <v>2365</v>
      </c>
      <c r="AM166" t="s">
        <v>2365</v>
      </c>
      <c r="AN166" t="s">
        <v>2365</v>
      </c>
      <c r="AR166" t="s">
        <v>2365</v>
      </c>
      <c r="AS166" t="s">
        <v>2365</v>
      </c>
      <c r="AT166" t="s">
        <v>2365</v>
      </c>
      <c r="AU166" t="s">
        <v>2365</v>
      </c>
      <c r="AV166" t="s">
        <v>2365</v>
      </c>
      <c r="AW166" t="s">
        <v>2365</v>
      </c>
      <c r="AX166" t="s">
        <v>2365</v>
      </c>
      <c r="AY166" t="s">
        <v>2365</v>
      </c>
      <c r="AZ166" t="s">
        <v>2365</v>
      </c>
      <c r="BA166" t="s">
        <v>2365</v>
      </c>
      <c r="BB166" t="s">
        <v>2365</v>
      </c>
      <c r="BC166" t="s">
        <v>2365</v>
      </c>
      <c r="BD166" t="s">
        <v>2366</v>
      </c>
      <c r="BE166" t="s">
        <v>2365</v>
      </c>
      <c r="BF166" t="s">
        <v>2365</v>
      </c>
      <c r="BG166" t="s">
        <v>2365</v>
      </c>
      <c r="BH166" t="s">
        <v>2365</v>
      </c>
      <c r="BI166" t="s">
        <v>2366</v>
      </c>
      <c r="BJ166" t="s">
        <v>2365</v>
      </c>
      <c r="BK166" t="s">
        <v>2365</v>
      </c>
      <c r="BL166" t="s">
        <v>2365</v>
      </c>
      <c r="BM166" t="s">
        <v>2365</v>
      </c>
      <c r="BO166">
        <v>1</v>
      </c>
      <c r="BP166">
        <v>11</v>
      </c>
      <c r="BQ166" t="s">
        <v>2369</v>
      </c>
      <c r="BR166" t="s">
        <v>1487</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R166" t="s">
        <v>2328</v>
      </c>
      <c r="CS166" s="1369" t="str">
        <f>INDEX([8]Sheet1!$H:$H,MATCH(CR:CR,[8]Sheet1!$AU:$AU,0))</f>
        <v>Water Distribution</v>
      </c>
    </row>
    <row r="167" spans="1:97" x14ac:dyDescent="0.2">
      <c r="A167" t="s">
        <v>2650</v>
      </c>
      <c r="B167">
        <v>220</v>
      </c>
      <c r="C167" t="s">
        <v>2650</v>
      </c>
      <c r="D167">
        <v>41436</v>
      </c>
      <c r="E167" t="s">
        <v>2651</v>
      </c>
      <c r="F167" t="s">
        <v>2364</v>
      </c>
      <c r="G167" t="s">
        <v>2364</v>
      </c>
      <c r="H167" t="s">
        <v>2365</v>
      </c>
      <c r="I167" t="s">
        <v>2365</v>
      </c>
      <c r="J167" t="s">
        <v>2365</v>
      </c>
      <c r="K167" t="s">
        <v>2365</v>
      </c>
      <c r="L167">
        <v>1200</v>
      </c>
      <c r="M167" t="s">
        <v>1480</v>
      </c>
      <c r="N167">
        <v>1204</v>
      </c>
      <c r="O167" t="s">
        <v>1487</v>
      </c>
      <c r="P167" t="s">
        <v>2366</v>
      </c>
      <c r="Q167" t="s">
        <v>2364</v>
      </c>
      <c r="R167" t="s">
        <v>2364</v>
      </c>
      <c r="S167" t="s">
        <v>553</v>
      </c>
      <c r="T167" t="s">
        <v>2175</v>
      </c>
      <c r="U167">
        <v>130</v>
      </c>
      <c r="V167" t="s">
        <v>2652</v>
      </c>
      <c r="W167">
        <v>130</v>
      </c>
      <c r="X167" t="s">
        <v>2652</v>
      </c>
      <c r="Y167" t="s">
        <v>2365</v>
      </c>
      <c r="Z167" t="s">
        <v>2365</v>
      </c>
      <c r="AA167" t="s">
        <v>2365</v>
      </c>
      <c r="AB167" t="s">
        <v>2365</v>
      </c>
      <c r="AC167" s="813" t="s">
        <v>2365</v>
      </c>
      <c r="AD167" s="813" t="s">
        <v>2365</v>
      </c>
      <c r="AE167" s="813" t="s">
        <v>2365</v>
      </c>
      <c r="AF167" t="s">
        <v>2365</v>
      </c>
      <c r="AG167" t="s">
        <v>2365</v>
      </c>
      <c r="AH167" t="s">
        <v>2365</v>
      </c>
      <c r="AI167" t="s">
        <v>2365</v>
      </c>
      <c r="AJ167" t="s">
        <v>2365</v>
      </c>
      <c r="AK167" t="s">
        <v>2365</v>
      </c>
      <c r="AL167" t="s">
        <v>2365</v>
      </c>
      <c r="AM167" t="s">
        <v>2365</v>
      </c>
      <c r="AN167" t="s">
        <v>2365</v>
      </c>
      <c r="AQ167" t="s">
        <v>553</v>
      </c>
      <c r="AR167" t="s">
        <v>2365</v>
      </c>
      <c r="AS167" t="s">
        <v>2365</v>
      </c>
      <c r="AT167" t="s">
        <v>2365</v>
      </c>
      <c r="AU167" t="s">
        <v>2365</v>
      </c>
      <c r="AV167" t="s">
        <v>2365</v>
      </c>
      <c r="AW167" t="s">
        <v>2365</v>
      </c>
      <c r="AX167" t="s">
        <v>2365</v>
      </c>
      <c r="AY167" t="s">
        <v>2365</v>
      </c>
      <c r="AZ167" t="s">
        <v>2365</v>
      </c>
      <c r="BA167" t="s">
        <v>2365</v>
      </c>
      <c r="BB167" t="s">
        <v>2365</v>
      </c>
      <c r="BC167" t="s">
        <v>2365</v>
      </c>
      <c r="BD167" t="s">
        <v>2366</v>
      </c>
      <c r="BE167" t="s">
        <v>2365</v>
      </c>
      <c r="BF167" t="s">
        <v>2365</v>
      </c>
      <c r="BG167" t="s">
        <v>2365</v>
      </c>
      <c r="BH167" t="s">
        <v>2365</v>
      </c>
      <c r="BI167" t="s">
        <v>2366</v>
      </c>
      <c r="BJ167" t="s">
        <v>2365</v>
      </c>
      <c r="BK167" t="s">
        <v>2365</v>
      </c>
      <c r="BL167" t="s">
        <v>2365</v>
      </c>
      <c r="BM167" t="s">
        <v>2365</v>
      </c>
      <c r="BO167">
        <v>1</v>
      </c>
      <c r="BP167">
        <v>11</v>
      </c>
      <c r="BQ167" t="s">
        <v>2369</v>
      </c>
      <c r="BR167" t="s">
        <v>1487</v>
      </c>
      <c r="BU167">
        <v>57134917</v>
      </c>
      <c r="BV167">
        <v>0</v>
      </c>
      <c r="BW167">
        <v>57134917</v>
      </c>
      <c r="BX167">
        <v>-57134917</v>
      </c>
      <c r="BY167">
        <v>0</v>
      </c>
      <c r="BZ167">
        <v>0</v>
      </c>
      <c r="CA167">
        <v>0</v>
      </c>
      <c r="CB167">
        <v>0</v>
      </c>
      <c r="CC167">
        <v>0</v>
      </c>
      <c r="CD167">
        <v>0</v>
      </c>
      <c r="CE167">
        <v>0</v>
      </c>
      <c r="CF167">
        <v>0</v>
      </c>
      <c r="CG167">
        <v>0</v>
      </c>
      <c r="CH167">
        <v>0</v>
      </c>
      <c r="CI167">
        <v>0</v>
      </c>
      <c r="CJ167">
        <v>0</v>
      </c>
      <c r="CK167">
        <v>0</v>
      </c>
      <c r="CL167">
        <v>0</v>
      </c>
      <c r="CM167">
        <v>0</v>
      </c>
      <c r="CR167" t="s">
        <v>2328</v>
      </c>
      <c r="CS167" s="1369" t="str">
        <f>INDEX([8]Sheet1!$H:$H,MATCH(CR:CR,[8]Sheet1!$AU:$AU,0))</f>
        <v>Water Distribution</v>
      </c>
    </row>
    <row r="168" spans="1:97" x14ac:dyDescent="0.2">
      <c r="A168" t="s">
        <v>2653</v>
      </c>
      <c r="B168">
        <v>221</v>
      </c>
      <c r="C168" t="s">
        <v>2653</v>
      </c>
      <c r="D168">
        <v>41437</v>
      </c>
      <c r="E168" t="s">
        <v>2654</v>
      </c>
      <c r="F168" t="s">
        <v>2364</v>
      </c>
      <c r="G168" t="s">
        <v>2364</v>
      </c>
      <c r="H168" t="s">
        <v>2365</v>
      </c>
      <c r="I168" t="s">
        <v>2365</v>
      </c>
      <c r="J168" t="s">
        <v>2365</v>
      </c>
      <c r="K168" t="s">
        <v>2365</v>
      </c>
      <c r="L168">
        <v>1200</v>
      </c>
      <c r="M168" t="s">
        <v>1480</v>
      </c>
      <c r="N168">
        <v>1204</v>
      </c>
      <c r="O168" t="s">
        <v>1487</v>
      </c>
      <c r="P168" t="s">
        <v>2366</v>
      </c>
      <c r="Q168" t="s">
        <v>2364</v>
      </c>
      <c r="R168" t="s">
        <v>2364</v>
      </c>
      <c r="S168" t="s">
        <v>553</v>
      </c>
      <c r="T168" t="s">
        <v>2367</v>
      </c>
      <c r="U168">
        <v>360</v>
      </c>
      <c r="V168" t="s">
        <v>2368</v>
      </c>
      <c r="W168">
        <v>360</v>
      </c>
      <c r="X168" t="s">
        <v>711</v>
      </c>
      <c r="Y168" t="s">
        <v>2365</v>
      </c>
      <c r="Z168" t="s">
        <v>2365</v>
      </c>
      <c r="AA168" t="s">
        <v>2365</v>
      </c>
      <c r="AB168" t="s">
        <v>2365</v>
      </c>
      <c r="AC168" s="813" t="s">
        <v>2365</v>
      </c>
      <c r="AD168" s="813" t="s">
        <v>2365</v>
      </c>
      <c r="AE168" s="813" t="s">
        <v>2365</v>
      </c>
      <c r="AF168" t="s">
        <v>2365</v>
      </c>
      <c r="AG168" t="s">
        <v>2365</v>
      </c>
      <c r="AH168" t="s">
        <v>2365</v>
      </c>
      <c r="AI168" t="s">
        <v>2365</v>
      </c>
      <c r="AJ168" t="s">
        <v>2365</v>
      </c>
      <c r="AK168">
        <v>364</v>
      </c>
      <c r="AL168" t="s">
        <v>1209</v>
      </c>
      <c r="AM168">
        <v>364</v>
      </c>
      <c r="AN168" t="s">
        <v>1209</v>
      </c>
      <c r="AR168" t="s">
        <v>2365</v>
      </c>
      <c r="AS168" t="s">
        <v>2365</v>
      </c>
      <c r="AT168" t="s">
        <v>2365</v>
      </c>
      <c r="AU168" t="s">
        <v>2365</v>
      </c>
      <c r="AV168" t="s">
        <v>2365</v>
      </c>
      <c r="AW168" t="s">
        <v>2365</v>
      </c>
      <c r="AX168" t="s">
        <v>2365</v>
      </c>
      <c r="AY168" t="s">
        <v>2365</v>
      </c>
      <c r="AZ168" t="s">
        <v>2365</v>
      </c>
      <c r="BA168" t="s">
        <v>2365</v>
      </c>
      <c r="BB168" t="s">
        <v>2365</v>
      </c>
      <c r="BC168" t="s">
        <v>2365</v>
      </c>
      <c r="BD168" t="s">
        <v>2366</v>
      </c>
      <c r="BE168" t="s">
        <v>2365</v>
      </c>
      <c r="BF168" t="s">
        <v>2365</v>
      </c>
      <c r="BG168" t="s">
        <v>2365</v>
      </c>
      <c r="BH168" t="s">
        <v>2365</v>
      </c>
      <c r="BI168" t="s">
        <v>2366</v>
      </c>
      <c r="BJ168" t="s">
        <v>2365</v>
      </c>
      <c r="BK168" t="s">
        <v>2365</v>
      </c>
      <c r="BL168" t="s">
        <v>2365</v>
      </c>
      <c r="BM168" t="s">
        <v>2365</v>
      </c>
      <c r="BO168">
        <v>1</v>
      </c>
      <c r="BP168">
        <v>11</v>
      </c>
      <c r="BQ168" t="s">
        <v>2369</v>
      </c>
      <c r="BR168" t="s">
        <v>1487</v>
      </c>
      <c r="BU168">
        <v>0</v>
      </c>
      <c r="BV168">
        <v>0</v>
      </c>
      <c r="BW168">
        <v>0</v>
      </c>
      <c r="BX168">
        <v>0</v>
      </c>
      <c r="BY168">
        <v>0</v>
      </c>
      <c r="BZ168">
        <v>0</v>
      </c>
      <c r="CA168">
        <v>0</v>
      </c>
      <c r="CB168">
        <v>-65965.729999999938</v>
      </c>
      <c r="CC168">
        <v>-59359.53999999995</v>
      </c>
      <c r="CD168">
        <v>-61103.950000000012</v>
      </c>
      <c r="CE168">
        <v>-78869.919999999984</v>
      </c>
      <c r="CF168">
        <v>-156223.89000000007</v>
      </c>
      <c r="CG168">
        <v>-409907.6</v>
      </c>
      <c r="CH168">
        <v>-34153.060000000005</v>
      </c>
      <c r="CI168">
        <v>-79703.869999999428</v>
      </c>
      <c r="CJ168">
        <v>-22241.219999999994</v>
      </c>
      <c r="CK168">
        <v>0</v>
      </c>
      <c r="CL168">
        <v>0</v>
      </c>
      <c r="CM168">
        <v>0</v>
      </c>
      <c r="CR168" t="s">
        <v>2328</v>
      </c>
      <c r="CS168" s="1369" t="str">
        <f>INDEX([8]Sheet1!$H:$H,MATCH(CR:CR,[8]Sheet1!$AU:$AU,0))</f>
        <v>Water Distribution</v>
      </c>
    </row>
    <row r="169" spans="1:97" x14ac:dyDescent="0.2">
      <c r="A169" t="s">
        <v>2655</v>
      </c>
      <c r="B169">
        <v>222</v>
      </c>
      <c r="C169" t="s">
        <v>2655</v>
      </c>
      <c r="D169">
        <v>41438</v>
      </c>
      <c r="E169" t="s">
        <v>2656</v>
      </c>
      <c r="F169" t="s">
        <v>2364</v>
      </c>
      <c r="G169" t="s">
        <v>2364</v>
      </c>
      <c r="H169" t="s">
        <v>2365</v>
      </c>
      <c r="I169" t="s">
        <v>2365</v>
      </c>
      <c r="J169" t="s">
        <v>2365</v>
      </c>
      <c r="K169" t="s">
        <v>2365</v>
      </c>
      <c r="L169">
        <v>1200</v>
      </c>
      <c r="M169" t="s">
        <v>1480</v>
      </c>
      <c r="N169">
        <v>1204</v>
      </c>
      <c r="O169" t="s">
        <v>1487</v>
      </c>
      <c r="P169" t="s">
        <v>2366</v>
      </c>
      <c r="Q169" t="s">
        <v>2364</v>
      </c>
      <c r="R169" t="s">
        <v>2364</v>
      </c>
      <c r="S169" t="s">
        <v>553</v>
      </c>
      <c r="T169" t="s">
        <v>2175</v>
      </c>
      <c r="U169">
        <v>150</v>
      </c>
      <c r="V169" t="s">
        <v>694</v>
      </c>
      <c r="W169">
        <v>150</v>
      </c>
      <c r="X169" t="s">
        <v>694</v>
      </c>
      <c r="Y169" t="s">
        <v>2365</v>
      </c>
      <c r="Z169" t="s">
        <v>2365</v>
      </c>
      <c r="AA169" t="s">
        <v>2365</v>
      </c>
      <c r="AB169" t="s">
        <v>2365</v>
      </c>
      <c r="AC169" s="813" t="s">
        <v>2365</v>
      </c>
      <c r="AD169" s="813" t="s">
        <v>2365</v>
      </c>
      <c r="AE169" s="813" t="s">
        <v>2365</v>
      </c>
      <c r="AF169" t="s">
        <v>2365</v>
      </c>
      <c r="AG169" t="s">
        <v>2365</v>
      </c>
      <c r="AH169" t="s">
        <v>2365</v>
      </c>
      <c r="AI169" t="s">
        <v>2365</v>
      </c>
      <c r="AJ169" t="s">
        <v>2365</v>
      </c>
      <c r="AK169" t="s">
        <v>2365</v>
      </c>
      <c r="AL169" t="s">
        <v>2365</v>
      </c>
      <c r="AM169" t="s">
        <v>2365</v>
      </c>
      <c r="AN169" t="s">
        <v>2365</v>
      </c>
      <c r="AR169" t="s">
        <v>2365</v>
      </c>
      <c r="AS169" t="s">
        <v>2365</v>
      </c>
      <c r="AT169" t="s">
        <v>2365</v>
      </c>
      <c r="AU169" t="s">
        <v>2365</v>
      </c>
      <c r="AV169" t="s">
        <v>2365</v>
      </c>
      <c r="AW169" t="s">
        <v>2365</v>
      </c>
      <c r="AX169" t="s">
        <v>2365</v>
      </c>
      <c r="AY169" t="s">
        <v>2365</v>
      </c>
      <c r="AZ169" t="s">
        <v>2365</v>
      </c>
      <c r="BA169" t="s">
        <v>2365</v>
      </c>
      <c r="BB169" t="s">
        <v>2365</v>
      </c>
      <c r="BC169" t="s">
        <v>2365</v>
      </c>
      <c r="BD169" t="s">
        <v>2366</v>
      </c>
      <c r="BE169" t="s">
        <v>2365</v>
      </c>
      <c r="BF169" t="s">
        <v>2365</v>
      </c>
      <c r="BG169" t="s">
        <v>2365</v>
      </c>
      <c r="BH169" t="s">
        <v>2365</v>
      </c>
      <c r="BI169" t="s">
        <v>2366</v>
      </c>
      <c r="BJ169" t="s">
        <v>2365</v>
      </c>
      <c r="BK169" t="s">
        <v>2365</v>
      </c>
      <c r="BL169" t="s">
        <v>2365</v>
      </c>
      <c r="BM169" t="s">
        <v>2365</v>
      </c>
      <c r="BO169">
        <v>1</v>
      </c>
      <c r="BP169">
        <v>11</v>
      </c>
      <c r="BQ169" t="s">
        <v>2369</v>
      </c>
      <c r="BR169" t="s">
        <v>1487</v>
      </c>
      <c r="BU169">
        <v>0</v>
      </c>
      <c r="BV169">
        <v>0</v>
      </c>
      <c r="BW169">
        <v>0</v>
      </c>
      <c r="BX169">
        <v>0</v>
      </c>
      <c r="BY169">
        <v>0</v>
      </c>
      <c r="BZ169">
        <v>0</v>
      </c>
      <c r="CA169">
        <v>0</v>
      </c>
      <c r="CB169">
        <v>1466530.05</v>
      </c>
      <c r="CC169">
        <v>583449.47</v>
      </c>
      <c r="CD169">
        <v>1077329.4000000001</v>
      </c>
      <c r="CE169">
        <v>1768394.0500000003</v>
      </c>
      <c r="CF169">
        <v>1378016.8400000003</v>
      </c>
      <c r="CG169">
        <v>1053329.74</v>
      </c>
      <c r="CH169">
        <v>745117.81999999972</v>
      </c>
      <c r="CI169">
        <v>796787.24000000022</v>
      </c>
      <c r="CJ169">
        <v>519027.7</v>
      </c>
      <c r="CK169">
        <v>0</v>
      </c>
      <c r="CL169">
        <v>0</v>
      </c>
      <c r="CM169">
        <v>0</v>
      </c>
      <c r="CR169" t="s">
        <v>2328</v>
      </c>
      <c r="CS169" s="1369" t="str">
        <f>INDEX([8]Sheet1!$H:$H,MATCH(CR:CR,[8]Sheet1!$AU:$AU,0))</f>
        <v>Water Distribution</v>
      </c>
    </row>
    <row r="170" spans="1:97" x14ac:dyDescent="0.2">
      <c r="A170" t="s">
        <v>2657</v>
      </c>
      <c r="B170">
        <v>223</v>
      </c>
      <c r="C170" t="s">
        <v>2657</v>
      </c>
      <c r="D170">
        <v>41439</v>
      </c>
      <c r="E170" t="s">
        <v>2658</v>
      </c>
      <c r="F170" t="s">
        <v>2364</v>
      </c>
      <c r="G170" t="s">
        <v>2364</v>
      </c>
      <c r="H170" t="s">
        <v>2365</v>
      </c>
      <c r="I170" t="s">
        <v>2365</v>
      </c>
      <c r="J170" t="s">
        <v>2365</v>
      </c>
      <c r="K170" t="s">
        <v>2365</v>
      </c>
      <c r="L170">
        <v>1200</v>
      </c>
      <c r="M170" t="s">
        <v>1480</v>
      </c>
      <c r="N170">
        <v>1204</v>
      </c>
      <c r="O170" t="s">
        <v>1487</v>
      </c>
      <c r="P170" t="s">
        <v>2366</v>
      </c>
      <c r="Q170" t="s">
        <v>2364</v>
      </c>
      <c r="R170" t="s">
        <v>2364</v>
      </c>
      <c r="S170" t="s">
        <v>553</v>
      </c>
      <c r="T170" t="s">
        <v>2367</v>
      </c>
      <c r="U170">
        <v>360</v>
      </c>
      <c r="V170" t="s">
        <v>2368</v>
      </c>
      <c r="W170">
        <v>360</v>
      </c>
      <c r="X170" t="s">
        <v>711</v>
      </c>
      <c r="Y170" t="s">
        <v>2365</v>
      </c>
      <c r="Z170" t="s">
        <v>2365</v>
      </c>
      <c r="AA170" t="s">
        <v>2365</v>
      </c>
      <c r="AB170" t="s">
        <v>2365</v>
      </c>
      <c r="AC170" s="813" t="s">
        <v>2365</v>
      </c>
      <c r="AD170" s="813" t="s">
        <v>2365</v>
      </c>
      <c r="AE170" s="813" t="s">
        <v>2365</v>
      </c>
      <c r="AF170" t="s">
        <v>2365</v>
      </c>
      <c r="AG170" t="s">
        <v>2365</v>
      </c>
      <c r="AH170" t="s">
        <v>2365</v>
      </c>
      <c r="AI170" t="s">
        <v>2365</v>
      </c>
      <c r="AJ170" t="s">
        <v>2365</v>
      </c>
      <c r="AK170">
        <v>361</v>
      </c>
      <c r="AL170" t="s">
        <v>1804</v>
      </c>
      <c r="AM170">
        <v>361</v>
      </c>
      <c r="AN170" t="s">
        <v>1804</v>
      </c>
      <c r="AR170" t="s">
        <v>2365</v>
      </c>
      <c r="AS170" t="s">
        <v>2365</v>
      </c>
      <c r="AT170" t="s">
        <v>2365</v>
      </c>
      <c r="AU170" t="s">
        <v>2365</v>
      </c>
      <c r="AV170" t="s">
        <v>2365</v>
      </c>
      <c r="AW170" t="s">
        <v>2365</v>
      </c>
      <c r="AX170" t="s">
        <v>2365</v>
      </c>
      <c r="AY170" t="s">
        <v>2365</v>
      </c>
      <c r="AZ170" t="s">
        <v>2365</v>
      </c>
      <c r="BA170" t="s">
        <v>2365</v>
      </c>
      <c r="BB170" t="s">
        <v>2365</v>
      </c>
      <c r="BC170" t="s">
        <v>2365</v>
      </c>
      <c r="BD170" t="s">
        <v>2366</v>
      </c>
      <c r="BE170" t="s">
        <v>2365</v>
      </c>
      <c r="BF170" t="s">
        <v>2365</v>
      </c>
      <c r="BG170" t="s">
        <v>2365</v>
      </c>
      <c r="BH170" t="s">
        <v>2365</v>
      </c>
      <c r="BI170" t="s">
        <v>2366</v>
      </c>
      <c r="BJ170" t="s">
        <v>2365</v>
      </c>
      <c r="BK170" t="s">
        <v>2365</v>
      </c>
      <c r="BL170" t="s">
        <v>2365</v>
      </c>
      <c r="BM170" t="s">
        <v>2365</v>
      </c>
      <c r="BO170">
        <v>1</v>
      </c>
      <c r="BP170">
        <v>11</v>
      </c>
      <c r="BQ170" t="s">
        <v>2369</v>
      </c>
      <c r="BR170" t="s">
        <v>1487</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R170" t="s">
        <v>2328</v>
      </c>
      <c r="CS170" s="1369" t="str">
        <f>INDEX([8]Sheet1!$H:$H,MATCH(CR:CR,[8]Sheet1!$AU:$AU,0))</f>
        <v>Water Distribution</v>
      </c>
    </row>
    <row r="171" spans="1:97" x14ac:dyDescent="0.2">
      <c r="A171" t="s">
        <v>2659</v>
      </c>
      <c r="B171">
        <v>224</v>
      </c>
      <c r="C171" t="s">
        <v>2659</v>
      </c>
      <c r="D171">
        <v>40973</v>
      </c>
      <c r="E171" t="s">
        <v>2455</v>
      </c>
      <c r="F171">
        <v>2900</v>
      </c>
      <c r="G171" t="s">
        <v>569</v>
      </c>
      <c r="H171" t="s">
        <v>2366</v>
      </c>
      <c r="I171" t="s">
        <v>2366</v>
      </c>
      <c r="J171">
        <v>2904</v>
      </c>
      <c r="K171" t="s">
        <v>1432</v>
      </c>
      <c r="L171">
        <v>2400</v>
      </c>
      <c r="M171" t="s">
        <v>621</v>
      </c>
      <c r="N171">
        <v>2401</v>
      </c>
      <c r="O171" t="s">
        <v>621</v>
      </c>
      <c r="P171" t="s">
        <v>2366</v>
      </c>
      <c r="Q171" t="s">
        <v>2364</v>
      </c>
      <c r="R171" t="s">
        <v>2364</v>
      </c>
      <c r="S171" t="s">
        <v>1881</v>
      </c>
      <c r="T171" t="s">
        <v>1812</v>
      </c>
      <c r="U171" t="s">
        <v>2365</v>
      </c>
      <c r="V171" t="s">
        <v>2365</v>
      </c>
      <c r="W171" t="s">
        <v>2365</v>
      </c>
      <c r="X171" t="s">
        <v>2365</v>
      </c>
      <c r="Y171" t="s">
        <v>2365</v>
      </c>
      <c r="Z171" t="s">
        <v>2365</v>
      </c>
      <c r="AA171" t="s">
        <v>2365</v>
      </c>
      <c r="AB171" t="s">
        <v>2365</v>
      </c>
      <c r="AC171" s="813" t="s">
        <v>2365</v>
      </c>
      <c r="AD171" s="813" t="s">
        <v>2365</v>
      </c>
      <c r="AE171" s="813" t="s">
        <v>2365</v>
      </c>
      <c r="AF171" t="s">
        <v>2365</v>
      </c>
      <c r="AG171" t="s">
        <v>2365</v>
      </c>
      <c r="AH171" t="s">
        <v>2365</v>
      </c>
      <c r="AI171" t="s">
        <v>2365</v>
      </c>
      <c r="AJ171" t="s">
        <v>2365</v>
      </c>
      <c r="AK171" t="s">
        <v>2365</v>
      </c>
      <c r="AL171" t="s">
        <v>2365</v>
      </c>
      <c r="AM171" t="s">
        <v>2365</v>
      </c>
      <c r="AN171" t="s">
        <v>2365</v>
      </c>
      <c r="AR171" t="s">
        <v>2365</v>
      </c>
      <c r="AS171" t="s">
        <v>2365</v>
      </c>
      <c r="AT171" t="s">
        <v>2365</v>
      </c>
      <c r="AU171" t="s">
        <v>2365</v>
      </c>
      <c r="AV171" t="s">
        <v>2365</v>
      </c>
      <c r="AW171" t="s">
        <v>2365</v>
      </c>
      <c r="AX171" t="s">
        <v>2365</v>
      </c>
      <c r="AY171" t="s">
        <v>2365</v>
      </c>
      <c r="AZ171" t="s">
        <v>2365</v>
      </c>
      <c r="BA171" t="s">
        <v>2365</v>
      </c>
      <c r="BB171" t="s">
        <v>2365</v>
      </c>
      <c r="BC171" t="s">
        <v>2365</v>
      </c>
      <c r="BD171" t="s">
        <v>2366</v>
      </c>
      <c r="BE171" t="s">
        <v>2365</v>
      </c>
      <c r="BF171" t="s">
        <v>2365</v>
      </c>
      <c r="BG171" t="s">
        <v>2365</v>
      </c>
      <c r="BH171" t="s">
        <v>2365</v>
      </c>
      <c r="BI171" t="s">
        <v>2366</v>
      </c>
      <c r="BJ171" t="s">
        <v>2365</v>
      </c>
      <c r="BK171" t="s">
        <v>2365</v>
      </c>
      <c r="BL171" t="s">
        <v>2365</v>
      </c>
      <c r="BM171" t="s">
        <v>2365</v>
      </c>
      <c r="BO171">
        <v>13</v>
      </c>
      <c r="BP171">
        <v>131</v>
      </c>
      <c r="BQ171" t="s">
        <v>621</v>
      </c>
      <c r="BR171" t="s">
        <v>621</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R171" t="s">
        <v>2328</v>
      </c>
      <c r="CS171" s="1369" t="str">
        <f>INDEX([8]Sheet1!$H:$H,MATCH(CR:CR,[8]Sheet1!$AU:$AU,0))</f>
        <v>Water Distribution</v>
      </c>
    </row>
    <row r="172" spans="1:97" x14ac:dyDescent="0.2">
      <c r="A172" t="s">
        <v>2660</v>
      </c>
      <c r="B172">
        <v>225</v>
      </c>
      <c r="C172" t="s">
        <v>2660</v>
      </c>
      <c r="D172">
        <v>40974</v>
      </c>
      <c r="E172" t="s">
        <v>2661</v>
      </c>
      <c r="F172">
        <v>2900</v>
      </c>
      <c r="G172" t="s">
        <v>569</v>
      </c>
      <c r="H172" t="s">
        <v>2366</v>
      </c>
      <c r="I172" t="s">
        <v>2366</v>
      </c>
      <c r="J172">
        <v>2904</v>
      </c>
      <c r="K172" t="s">
        <v>1432</v>
      </c>
      <c r="L172">
        <v>2400</v>
      </c>
      <c r="M172" t="s">
        <v>621</v>
      </c>
      <c r="N172">
        <v>2401</v>
      </c>
      <c r="O172" t="s">
        <v>621</v>
      </c>
      <c r="P172" t="s">
        <v>2366</v>
      </c>
      <c r="Q172" t="s">
        <v>2364</v>
      </c>
      <c r="R172" t="s">
        <v>2364</v>
      </c>
      <c r="S172" t="s">
        <v>1881</v>
      </c>
      <c r="T172" t="s">
        <v>1812</v>
      </c>
      <c r="U172" t="s">
        <v>2365</v>
      </c>
      <c r="V172" t="s">
        <v>2365</v>
      </c>
      <c r="W172" t="s">
        <v>2365</v>
      </c>
      <c r="X172" t="s">
        <v>2365</v>
      </c>
      <c r="Y172" t="s">
        <v>2365</v>
      </c>
      <c r="Z172" t="s">
        <v>2365</v>
      </c>
      <c r="AA172" t="s">
        <v>2365</v>
      </c>
      <c r="AB172" t="s">
        <v>2365</v>
      </c>
      <c r="AC172" s="813" t="s">
        <v>2365</v>
      </c>
      <c r="AD172" s="813" t="s">
        <v>2365</v>
      </c>
      <c r="AE172" s="813" t="s">
        <v>2365</v>
      </c>
      <c r="AF172" t="s">
        <v>2365</v>
      </c>
      <c r="AG172" t="s">
        <v>2365</v>
      </c>
      <c r="AH172" t="s">
        <v>2365</v>
      </c>
      <c r="AI172" t="s">
        <v>2365</v>
      </c>
      <c r="AJ172" t="s">
        <v>2365</v>
      </c>
      <c r="AK172" t="s">
        <v>2365</v>
      </c>
      <c r="AL172" t="s">
        <v>2365</v>
      </c>
      <c r="AM172" t="s">
        <v>2365</v>
      </c>
      <c r="AN172" t="s">
        <v>2365</v>
      </c>
      <c r="AR172" t="s">
        <v>2365</v>
      </c>
      <c r="AS172" t="s">
        <v>2365</v>
      </c>
      <c r="AT172" t="s">
        <v>2365</v>
      </c>
      <c r="AU172" t="s">
        <v>2365</v>
      </c>
      <c r="AV172" t="s">
        <v>2365</v>
      </c>
      <c r="AW172" t="s">
        <v>2365</v>
      </c>
      <c r="AX172" t="s">
        <v>2365</v>
      </c>
      <c r="AY172" t="s">
        <v>2365</v>
      </c>
      <c r="AZ172" t="s">
        <v>2365</v>
      </c>
      <c r="BA172" t="s">
        <v>2365</v>
      </c>
      <c r="BB172" t="s">
        <v>2365</v>
      </c>
      <c r="BC172" t="s">
        <v>2365</v>
      </c>
      <c r="BD172" t="s">
        <v>2366</v>
      </c>
      <c r="BE172" t="s">
        <v>2365</v>
      </c>
      <c r="BF172" t="s">
        <v>2365</v>
      </c>
      <c r="BG172" t="s">
        <v>2365</v>
      </c>
      <c r="BH172" t="s">
        <v>2365</v>
      </c>
      <c r="BI172" t="s">
        <v>2366</v>
      </c>
      <c r="BJ172" t="s">
        <v>2365</v>
      </c>
      <c r="BK172" t="s">
        <v>2365</v>
      </c>
      <c r="BL172" t="s">
        <v>2365</v>
      </c>
      <c r="BM172" t="s">
        <v>2365</v>
      </c>
      <c r="BO172">
        <v>13</v>
      </c>
      <c r="BP172">
        <v>131</v>
      </c>
      <c r="BQ172" t="s">
        <v>621</v>
      </c>
      <c r="BR172" t="s">
        <v>621</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R172" t="s">
        <v>2328</v>
      </c>
      <c r="CS172" s="1369" t="str">
        <f>INDEX([8]Sheet1!$H:$H,MATCH(CR:CR,[8]Sheet1!$AU:$AU,0))</f>
        <v>Water Distribution</v>
      </c>
    </row>
    <row r="173" spans="1:97" x14ac:dyDescent="0.2">
      <c r="A173" t="s">
        <v>2662</v>
      </c>
      <c r="B173">
        <v>226</v>
      </c>
      <c r="C173" t="s">
        <v>2662</v>
      </c>
      <c r="D173">
        <v>41141</v>
      </c>
      <c r="E173" t="s">
        <v>2663</v>
      </c>
      <c r="F173">
        <v>2700</v>
      </c>
      <c r="G173" t="s">
        <v>656</v>
      </c>
      <c r="H173" t="s">
        <v>2664</v>
      </c>
      <c r="I173" t="s">
        <v>1801</v>
      </c>
      <c r="J173">
        <v>2702</v>
      </c>
      <c r="K173" t="s">
        <v>1801</v>
      </c>
      <c r="L173">
        <v>3200</v>
      </c>
      <c r="M173" t="s">
        <v>625</v>
      </c>
      <c r="N173">
        <v>3205</v>
      </c>
      <c r="O173" t="s">
        <v>1002</v>
      </c>
      <c r="P173" t="s">
        <v>2366</v>
      </c>
      <c r="Q173" t="s">
        <v>2364</v>
      </c>
      <c r="R173" t="s">
        <v>2364</v>
      </c>
      <c r="S173" t="s">
        <v>1881</v>
      </c>
      <c r="T173" t="s">
        <v>1812</v>
      </c>
      <c r="U173" t="s">
        <v>2365</v>
      </c>
      <c r="V173" t="s">
        <v>2365</v>
      </c>
      <c r="W173" t="s">
        <v>2365</v>
      </c>
      <c r="X173" t="s">
        <v>2365</v>
      </c>
      <c r="Y173" t="s">
        <v>2365</v>
      </c>
      <c r="Z173" t="s">
        <v>2365</v>
      </c>
      <c r="AA173" t="s">
        <v>2365</v>
      </c>
      <c r="AB173" t="s">
        <v>2365</v>
      </c>
      <c r="AC173" s="813" t="s">
        <v>2365</v>
      </c>
      <c r="AD173" s="813" t="s">
        <v>2365</v>
      </c>
      <c r="AE173" s="813" t="s">
        <v>2365</v>
      </c>
      <c r="AF173" t="s">
        <v>2365</v>
      </c>
      <c r="AG173" t="s">
        <v>2365</v>
      </c>
      <c r="AH173" t="s">
        <v>2365</v>
      </c>
      <c r="AI173" t="s">
        <v>2365</v>
      </c>
      <c r="AJ173" t="s">
        <v>2365</v>
      </c>
      <c r="AK173" t="s">
        <v>2365</v>
      </c>
      <c r="AL173" t="s">
        <v>2365</v>
      </c>
      <c r="AM173" t="s">
        <v>2365</v>
      </c>
      <c r="AN173" t="s">
        <v>2365</v>
      </c>
      <c r="AR173" t="s">
        <v>2365</v>
      </c>
      <c r="AS173" t="s">
        <v>2365</v>
      </c>
      <c r="AT173" t="s">
        <v>2365</v>
      </c>
      <c r="AU173" t="s">
        <v>2365</v>
      </c>
      <c r="AV173" t="s">
        <v>2365</v>
      </c>
      <c r="AW173" t="s">
        <v>2365</v>
      </c>
      <c r="AX173" t="s">
        <v>2365</v>
      </c>
      <c r="AY173" t="s">
        <v>2365</v>
      </c>
      <c r="AZ173">
        <v>120</v>
      </c>
      <c r="BA173" t="s">
        <v>1002</v>
      </c>
      <c r="BB173">
        <v>120</v>
      </c>
      <c r="BC173" t="s">
        <v>1002</v>
      </c>
      <c r="BD173" t="s">
        <v>2366</v>
      </c>
      <c r="BE173" t="s">
        <v>2365</v>
      </c>
      <c r="BF173" t="s">
        <v>2365</v>
      </c>
      <c r="BG173" t="s">
        <v>2365</v>
      </c>
      <c r="BH173" t="s">
        <v>2365</v>
      </c>
      <c r="BI173" t="s">
        <v>2366</v>
      </c>
      <c r="BJ173" t="s">
        <v>2365</v>
      </c>
      <c r="BK173" t="s">
        <v>2365</v>
      </c>
      <c r="BL173" t="s">
        <v>2365</v>
      </c>
      <c r="BM173" t="s">
        <v>2365</v>
      </c>
      <c r="BO173">
        <v>7</v>
      </c>
      <c r="BP173">
        <v>71</v>
      </c>
      <c r="BQ173" t="s">
        <v>2665</v>
      </c>
      <c r="BR173" t="s">
        <v>1002</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R173" t="s">
        <v>2328</v>
      </c>
      <c r="CS173" s="1369" t="str">
        <f>INDEX([8]Sheet1!$H:$H,MATCH(CR:CR,[8]Sheet1!$AU:$AU,0))</f>
        <v>Water Distribution</v>
      </c>
    </row>
    <row r="174" spans="1:97" x14ac:dyDescent="0.2">
      <c r="A174" t="s">
        <v>2666</v>
      </c>
      <c r="B174">
        <v>227</v>
      </c>
      <c r="C174" t="s">
        <v>2666</v>
      </c>
      <c r="D174">
        <v>41142</v>
      </c>
      <c r="E174" t="s">
        <v>2663</v>
      </c>
      <c r="F174">
        <v>2700</v>
      </c>
      <c r="G174" t="s">
        <v>656</v>
      </c>
      <c r="H174" t="s">
        <v>2664</v>
      </c>
      <c r="I174" t="s">
        <v>1801</v>
      </c>
      <c r="J174">
        <v>2702</v>
      </c>
      <c r="K174" t="s">
        <v>1801</v>
      </c>
      <c r="L174">
        <v>3200</v>
      </c>
      <c r="M174" t="s">
        <v>625</v>
      </c>
      <c r="N174">
        <v>3205</v>
      </c>
      <c r="O174" t="s">
        <v>1002</v>
      </c>
      <c r="P174" t="s">
        <v>2366</v>
      </c>
      <c r="Q174" t="s">
        <v>2364</v>
      </c>
      <c r="R174" t="s">
        <v>2364</v>
      </c>
      <c r="S174" t="s">
        <v>1881</v>
      </c>
      <c r="T174" t="s">
        <v>1812</v>
      </c>
      <c r="U174" t="s">
        <v>2365</v>
      </c>
      <c r="V174" t="s">
        <v>2365</v>
      </c>
      <c r="W174" t="s">
        <v>2365</v>
      </c>
      <c r="X174" t="s">
        <v>2365</v>
      </c>
      <c r="Y174" t="s">
        <v>2365</v>
      </c>
      <c r="Z174" t="s">
        <v>2365</v>
      </c>
      <c r="AA174" t="s">
        <v>2365</v>
      </c>
      <c r="AB174" t="s">
        <v>2365</v>
      </c>
      <c r="AC174" s="813" t="s">
        <v>2365</v>
      </c>
      <c r="AD174" s="813" t="s">
        <v>2365</v>
      </c>
      <c r="AE174" s="813" t="s">
        <v>2365</v>
      </c>
      <c r="AF174" t="s">
        <v>2365</v>
      </c>
      <c r="AG174" t="s">
        <v>2365</v>
      </c>
      <c r="AH174" t="s">
        <v>2365</v>
      </c>
      <c r="AI174" t="s">
        <v>2365</v>
      </c>
      <c r="AJ174" t="s">
        <v>2365</v>
      </c>
      <c r="AK174" t="s">
        <v>2365</v>
      </c>
      <c r="AL174" t="s">
        <v>2365</v>
      </c>
      <c r="AM174" t="s">
        <v>2365</v>
      </c>
      <c r="AN174" t="s">
        <v>2365</v>
      </c>
      <c r="AR174" t="s">
        <v>2365</v>
      </c>
      <c r="AS174" t="s">
        <v>2365</v>
      </c>
      <c r="AT174" t="s">
        <v>2365</v>
      </c>
      <c r="AU174" t="s">
        <v>2365</v>
      </c>
      <c r="AV174" t="s">
        <v>2365</v>
      </c>
      <c r="AW174" t="s">
        <v>2365</v>
      </c>
      <c r="AX174" t="s">
        <v>2365</v>
      </c>
      <c r="AY174" t="s">
        <v>2365</v>
      </c>
      <c r="AZ174">
        <v>120</v>
      </c>
      <c r="BA174" t="s">
        <v>1002</v>
      </c>
      <c r="BB174">
        <v>120</v>
      </c>
      <c r="BC174" t="s">
        <v>1002</v>
      </c>
      <c r="BD174" t="s">
        <v>2366</v>
      </c>
      <c r="BE174" t="s">
        <v>2365</v>
      </c>
      <c r="BF174" t="s">
        <v>2365</v>
      </c>
      <c r="BG174" t="s">
        <v>2365</v>
      </c>
      <c r="BH174" t="s">
        <v>2365</v>
      </c>
      <c r="BI174" t="s">
        <v>2366</v>
      </c>
      <c r="BJ174" t="s">
        <v>2365</v>
      </c>
      <c r="BK174" t="s">
        <v>2365</v>
      </c>
      <c r="BL174" t="s">
        <v>2365</v>
      </c>
      <c r="BM174" t="s">
        <v>2365</v>
      </c>
      <c r="BO174">
        <v>7</v>
      </c>
      <c r="BP174">
        <v>71</v>
      </c>
      <c r="BQ174" t="s">
        <v>2665</v>
      </c>
      <c r="BR174" t="s">
        <v>1002</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R174" t="s">
        <v>2328</v>
      </c>
      <c r="CS174" s="1369" t="str">
        <f>INDEX([8]Sheet1!$H:$H,MATCH(CR:CR,[8]Sheet1!$AU:$AU,0))</f>
        <v>Water Distribution</v>
      </c>
    </row>
    <row r="175" spans="1:97" x14ac:dyDescent="0.2">
      <c r="A175" t="s">
        <v>2667</v>
      </c>
      <c r="B175">
        <v>228</v>
      </c>
      <c r="C175" t="s">
        <v>2667</v>
      </c>
      <c r="D175">
        <v>41144</v>
      </c>
      <c r="E175" t="s">
        <v>2663</v>
      </c>
      <c r="F175">
        <v>2700</v>
      </c>
      <c r="G175" t="s">
        <v>656</v>
      </c>
      <c r="H175" t="s">
        <v>2664</v>
      </c>
      <c r="I175" t="s">
        <v>1801</v>
      </c>
      <c r="J175">
        <v>2702</v>
      </c>
      <c r="K175" t="s">
        <v>1801</v>
      </c>
      <c r="L175">
        <v>4300</v>
      </c>
      <c r="M175" t="s">
        <v>630</v>
      </c>
      <c r="N175">
        <v>4303</v>
      </c>
      <c r="O175" t="s">
        <v>1007</v>
      </c>
      <c r="P175" t="s">
        <v>2366</v>
      </c>
      <c r="Q175" t="s">
        <v>2364</v>
      </c>
      <c r="R175" t="s">
        <v>2364</v>
      </c>
      <c r="S175" t="s">
        <v>1881</v>
      </c>
      <c r="T175" t="s">
        <v>1812</v>
      </c>
      <c r="U175" t="s">
        <v>2365</v>
      </c>
      <c r="V175" t="s">
        <v>2365</v>
      </c>
      <c r="W175" t="s">
        <v>2365</v>
      </c>
      <c r="X175" t="s">
        <v>2365</v>
      </c>
      <c r="Y175" t="s">
        <v>2365</v>
      </c>
      <c r="Z175" t="s">
        <v>2365</v>
      </c>
      <c r="AA175" t="s">
        <v>2365</v>
      </c>
      <c r="AB175" t="s">
        <v>2365</v>
      </c>
      <c r="AC175" s="813" t="s">
        <v>2365</v>
      </c>
      <c r="AD175" s="813" t="s">
        <v>2365</v>
      </c>
      <c r="AE175" s="813" t="s">
        <v>2365</v>
      </c>
      <c r="AF175" t="s">
        <v>2365</v>
      </c>
      <c r="AG175" t="s">
        <v>2365</v>
      </c>
      <c r="AH175" t="s">
        <v>2365</v>
      </c>
      <c r="AI175" t="s">
        <v>2365</v>
      </c>
      <c r="AJ175" t="s">
        <v>2365</v>
      </c>
      <c r="AK175" t="s">
        <v>2365</v>
      </c>
      <c r="AL175" t="s">
        <v>2365</v>
      </c>
      <c r="AM175" t="s">
        <v>2365</v>
      </c>
      <c r="AN175" t="s">
        <v>2365</v>
      </c>
      <c r="AR175" t="s">
        <v>2365</v>
      </c>
      <c r="AS175" t="s">
        <v>2365</v>
      </c>
      <c r="AT175" t="s">
        <v>2365</v>
      </c>
      <c r="AU175" t="s">
        <v>2365</v>
      </c>
      <c r="AV175" t="s">
        <v>2365</v>
      </c>
      <c r="AW175" t="s">
        <v>2365</v>
      </c>
      <c r="AX175" t="s">
        <v>2365</v>
      </c>
      <c r="AY175" t="s">
        <v>2365</v>
      </c>
      <c r="AZ175">
        <v>170</v>
      </c>
      <c r="BA175" t="s">
        <v>1573</v>
      </c>
      <c r="BB175">
        <v>170</v>
      </c>
      <c r="BC175" t="s">
        <v>1573</v>
      </c>
      <c r="BD175" t="s">
        <v>2366</v>
      </c>
      <c r="BE175" t="s">
        <v>2365</v>
      </c>
      <c r="BF175" t="s">
        <v>2365</v>
      </c>
      <c r="BG175" t="s">
        <v>2365</v>
      </c>
      <c r="BH175" t="s">
        <v>2365</v>
      </c>
      <c r="BI175" t="s">
        <v>2366</v>
      </c>
      <c r="BJ175" t="s">
        <v>2365</v>
      </c>
      <c r="BK175" t="s">
        <v>2365</v>
      </c>
      <c r="BL175" t="s">
        <v>2365</v>
      </c>
      <c r="BM175" t="s">
        <v>2365</v>
      </c>
      <c r="BO175">
        <v>14</v>
      </c>
      <c r="BP175">
        <v>141</v>
      </c>
      <c r="BQ175" t="s">
        <v>2668</v>
      </c>
      <c r="BR175" t="s">
        <v>1007</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R175" t="s">
        <v>2328</v>
      </c>
      <c r="CS175" s="1369" t="str">
        <f>INDEX([8]Sheet1!$H:$H,MATCH(CR:CR,[8]Sheet1!$AU:$AU,0))</f>
        <v>Water Distribution</v>
      </c>
    </row>
    <row r="176" spans="1:97" x14ac:dyDescent="0.2">
      <c r="A176" t="s">
        <v>2669</v>
      </c>
      <c r="B176">
        <v>229</v>
      </c>
      <c r="C176" t="s">
        <v>2669</v>
      </c>
      <c r="D176">
        <v>41146</v>
      </c>
      <c r="E176" t="s">
        <v>2663</v>
      </c>
      <c r="F176">
        <v>2700</v>
      </c>
      <c r="G176" t="s">
        <v>656</v>
      </c>
      <c r="H176" t="s">
        <v>2664</v>
      </c>
      <c r="I176" t="s">
        <v>1801</v>
      </c>
      <c r="J176">
        <v>2702</v>
      </c>
      <c r="K176" t="s">
        <v>1801</v>
      </c>
      <c r="L176">
        <v>4300</v>
      </c>
      <c r="M176" t="s">
        <v>630</v>
      </c>
      <c r="N176">
        <v>4303</v>
      </c>
      <c r="O176" t="s">
        <v>1007</v>
      </c>
      <c r="P176" t="s">
        <v>2366</v>
      </c>
      <c r="Q176" t="s">
        <v>2364</v>
      </c>
      <c r="R176" t="s">
        <v>2364</v>
      </c>
      <c r="S176" t="s">
        <v>1881</v>
      </c>
      <c r="T176" t="s">
        <v>1812</v>
      </c>
      <c r="U176" t="s">
        <v>2365</v>
      </c>
      <c r="V176" t="s">
        <v>2365</v>
      </c>
      <c r="W176" t="s">
        <v>2365</v>
      </c>
      <c r="X176" t="s">
        <v>2365</v>
      </c>
      <c r="Y176" t="s">
        <v>2365</v>
      </c>
      <c r="Z176" t="s">
        <v>2365</v>
      </c>
      <c r="AA176" t="s">
        <v>2365</v>
      </c>
      <c r="AB176" t="s">
        <v>2365</v>
      </c>
      <c r="AC176" s="813" t="s">
        <v>2365</v>
      </c>
      <c r="AD176" s="813" t="s">
        <v>2365</v>
      </c>
      <c r="AE176" s="813" t="s">
        <v>2365</v>
      </c>
      <c r="AF176" t="s">
        <v>2365</v>
      </c>
      <c r="AG176" t="s">
        <v>2365</v>
      </c>
      <c r="AH176" t="s">
        <v>2365</v>
      </c>
      <c r="AI176" t="s">
        <v>2365</v>
      </c>
      <c r="AJ176" t="s">
        <v>2365</v>
      </c>
      <c r="AK176" t="s">
        <v>2365</v>
      </c>
      <c r="AL176" t="s">
        <v>2365</v>
      </c>
      <c r="AM176" t="s">
        <v>2365</v>
      </c>
      <c r="AN176" t="s">
        <v>2365</v>
      </c>
      <c r="AR176" t="s">
        <v>2365</v>
      </c>
      <c r="AS176" t="s">
        <v>2365</v>
      </c>
      <c r="AT176" t="s">
        <v>2365</v>
      </c>
      <c r="AU176" t="s">
        <v>2365</v>
      </c>
      <c r="AV176" t="s">
        <v>2365</v>
      </c>
      <c r="AW176" t="s">
        <v>2365</v>
      </c>
      <c r="AX176" t="s">
        <v>2365</v>
      </c>
      <c r="AY176" t="s">
        <v>2365</v>
      </c>
      <c r="AZ176">
        <v>170</v>
      </c>
      <c r="BA176" t="s">
        <v>1573</v>
      </c>
      <c r="BB176">
        <v>170</v>
      </c>
      <c r="BC176" t="s">
        <v>1573</v>
      </c>
      <c r="BD176" t="s">
        <v>2366</v>
      </c>
      <c r="BE176" t="s">
        <v>2365</v>
      </c>
      <c r="BF176" t="s">
        <v>2365</v>
      </c>
      <c r="BG176" t="s">
        <v>2365</v>
      </c>
      <c r="BH176" t="s">
        <v>2365</v>
      </c>
      <c r="BI176" t="s">
        <v>2366</v>
      </c>
      <c r="BJ176" t="s">
        <v>2365</v>
      </c>
      <c r="BK176" t="s">
        <v>2365</v>
      </c>
      <c r="BL176" t="s">
        <v>2365</v>
      </c>
      <c r="BM176" t="s">
        <v>2365</v>
      </c>
      <c r="BO176">
        <v>14</v>
      </c>
      <c r="BP176">
        <v>141</v>
      </c>
      <c r="BQ176" t="s">
        <v>2668</v>
      </c>
      <c r="BR176" t="s">
        <v>1007</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R176" t="s">
        <v>2328</v>
      </c>
      <c r="CS176" s="1369" t="str">
        <f>INDEX([8]Sheet1!$H:$H,MATCH(CR:CR,[8]Sheet1!$AU:$AU,0))</f>
        <v>Water Distribution</v>
      </c>
    </row>
    <row r="177" spans="1:97" x14ac:dyDescent="0.2">
      <c r="A177" t="s">
        <v>2670</v>
      </c>
      <c r="B177">
        <v>230</v>
      </c>
      <c r="C177" t="s">
        <v>2670</v>
      </c>
      <c r="D177">
        <v>41148</v>
      </c>
      <c r="E177" t="s">
        <v>2663</v>
      </c>
      <c r="F177">
        <v>2700</v>
      </c>
      <c r="G177" t="s">
        <v>656</v>
      </c>
      <c r="H177" t="s">
        <v>2664</v>
      </c>
      <c r="I177" t="s">
        <v>1801</v>
      </c>
      <c r="J177">
        <v>2702</v>
      </c>
      <c r="K177" t="s">
        <v>1801</v>
      </c>
      <c r="L177">
        <v>4300</v>
      </c>
      <c r="M177" t="s">
        <v>630</v>
      </c>
      <c r="N177">
        <v>4303</v>
      </c>
      <c r="O177" t="s">
        <v>1007</v>
      </c>
      <c r="P177" t="s">
        <v>2366</v>
      </c>
      <c r="Q177" t="s">
        <v>2364</v>
      </c>
      <c r="R177" t="s">
        <v>2364</v>
      </c>
      <c r="S177" t="s">
        <v>1881</v>
      </c>
      <c r="T177" t="s">
        <v>1812</v>
      </c>
      <c r="U177" t="s">
        <v>2365</v>
      </c>
      <c r="V177" t="s">
        <v>2365</v>
      </c>
      <c r="W177" t="s">
        <v>2365</v>
      </c>
      <c r="X177" t="s">
        <v>2365</v>
      </c>
      <c r="Y177" t="s">
        <v>2365</v>
      </c>
      <c r="Z177" t="s">
        <v>2365</v>
      </c>
      <c r="AA177" t="s">
        <v>2365</v>
      </c>
      <c r="AB177" t="s">
        <v>2365</v>
      </c>
      <c r="AC177" s="813" t="s">
        <v>2365</v>
      </c>
      <c r="AD177" s="813" t="s">
        <v>2365</v>
      </c>
      <c r="AE177" s="813" t="s">
        <v>2365</v>
      </c>
      <c r="AF177" t="s">
        <v>2365</v>
      </c>
      <c r="AG177" t="s">
        <v>2365</v>
      </c>
      <c r="AH177" t="s">
        <v>2365</v>
      </c>
      <c r="AI177" t="s">
        <v>2365</v>
      </c>
      <c r="AJ177" t="s">
        <v>2365</v>
      </c>
      <c r="AK177" t="s">
        <v>2365</v>
      </c>
      <c r="AL177" t="s">
        <v>2365</v>
      </c>
      <c r="AM177" t="s">
        <v>2365</v>
      </c>
      <c r="AN177" t="s">
        <v>2365</v>
      </c>
      <c r="AR177" t="s">
        <v>2365</v>
      </c>
      <c r="AS177" t="s">
        <v>2365</v>
      </c>
      <c r="AT177" t="s">
        <v>2365</v>
      </c>
      <c r="AU177" t="s">
        <v>2365</v>
      </c>
      <c r="AV177" t="s">
        <v>2365</v>
      </c>
      <c r="AW177" t="s">
        <v>2365</v>
      </c>
      <c r="AX177" t="s">
        <v>2365</v>
      </c>
      <c r="AY177" t="s">
        <v>2365</v>
      </c>
      <c r="AZ177">
        <v>170</v>
      </c>
      <c r="BA177" t="s">
        <v>1573</v>
      </c>
      <c r="BB177">
        <v>170</v>
      </c>
      <c r="BC177" t="s">
        <v>1573</v>
      </c>
      <c r="BD177" t="s">
        <v>2366</v>
      </c>
      <c r="BE177" t="s">
        <v>2365</v>
      </c>
      <c r="BF177" t="s">
        <v>2365</v>
      </c>
      <c r="BG177" t="s">
        <v>2365</v>
      </c>
      <c r="BH177" t="s">
        <v>2365</v>
      </c>
      <c r="BI177" t="s">
        <v>2366</v>
      </c>
      <c r="BJ177" t="s">
        <v>2365</v>
      </c>
      <c r="BK177" t="s">
        <v>2365</v>
      </c>
      <c r="BL177" t="s">
        <v>2365</v>
      </c>
      <c r="BM177" t="s">
        <v>2365</v>
      </c>
      <c r="BO177">
        <v>14</v>
      </c>
      <c r="BP177">
        <v>141</v>
      </c>
      <c r="BQ177" t="s">
        <v>2668</v>
      </c>
      <c r="BR177" t="s">
        <v>1007</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R177" t="s">
        <v>2328</v>
      </c>
      <c r="CS177" s="1369" t="str">
        <f>INDEX([8]Sheet1!$H:$H,MATCH(CR:CR,[8]Sheet1!$AU:$AU,0))</f>
        <v>Water Distribution</v>
      </c>
    </row>
    <row r="178" spans="1:97" x14ac:dyDescent="0.2">
      <c r="A178" t="s">
        <v>2671</v>
      </c>
      <c r="B178">
        <v>231</v>
      </c>
      <c r="C178" t="s">
        <v>2671</v>
      </c>
      <c r="D178">
        <v>41150</v>
      </c>
      <c r="E178" t="s">
        <v>2663</v>
      </c>
      <c r="F178">
        <v>2700</v>
      </c>
      <c r="G178" t="s">
        <v>656</v>
      </c>
      <c r="H178" t="s">
        <v>2664</v>
      </c>
      <c r="I178" t="s">
        <v>1801</v>
      </c>
      <c r="J178">
        <v>2702</v>
      </c>
      <c r="K178" t="s">
        <v>1801</v>
      </c>
      <c r="L178">
        <v>4300</v>
      </c>
      <c r="M178" t="s">
        <v>630</v>
      </c>
      <c r="N178">
        <v>4303</v>
      </c>
      <c r="O178" t="s">
        <v>1007</v>
      </c>
      <c r="P178" t="s">
        <v>2366</v>
      </c>
      <c r="Q178" t="s">
        <v>2364</v>
      </c>
      <c r="R178" t="s">
        <v>2364</v>
      </c>
      <c r="S178" t="s">
        <v>1881</v>
      </c>
      <c r="T178" t="s">
        <v>1812</v>
      </c>
      <c r="U178" t="s">
        <v>2365</v>
      </c>
      <c r="V178" t="s">
        <v>2365</v>
      </c>
      <c r="W178" t="s">
        <v>2365</v>
      </c>
      <c r="X178" t="s">
        <v>2365</v>
      </c>
      <c r="Y178" t="s">
        <v>2365</v>
      </c>
      <c r="Z178" t="s">
        <v>2365</v>
      </c>
      <c r="AA178" t="s">
        <v>2365</v>
      </c>
      <c r="AB178" t="s">
        <v>2365</v>
      </c>
      <c r="AC178" s="813" t="s">
        <v>2365</v>
      </c>
      <c r="AD178" s="813" t="s">
        <v>2365</v>
      </c>
      <c r="AE178" s="813" t="s">
        <v>2365</v>
      </c>
      <c r="AF178" t="s">
        <v>2365</v>
      </c>
      <c r="AG178" t="s">
        <v>2365</v>
      </c>
      <c r="AH178" t="s">
        <v>2365</v>
      </c>
      <c r="AI178" t="s">
        <v>2365</v>
      </c>
      <c r="AJ178" t="s">
        <v>2365</v>
      </c>
      <c r="AK178" t="s">
        <v>2365</v>
      </c>
      <c r="AL178" t="s">
        <v>2365</v>
      </c>
      <c r="AM178" t="s">
        <v>2365</v>
      </c>
      <c r="AN178" t="s">
        <v>2365</v>
      </c>
      <c r="AR178" t="s">
        <v>2365</v>
      </c>
      <c r="AS178" t="s">
        <v>2365</v>
      </c>
      <c r="AT178" t="s">
        <v>2365</v>
      </c>
      <c r="AU178" t="s">
        <v>2365</v>
      </c>
      <c r="AV178" t="s">
        <v>2365</v>
      </c>
      <c r="AW178" t="s">
        <v>2365</v>
      </c>
      <c r="AX178" t="s">
        <v>2365</v>
      </c>
      <c r="AY178" t="s">
        <v>2365</v>
      </c>
      <c r="AZ178">
        <v>170</v>
      </c>
      <c r="BA178" t="s">
        <v>1573</v>
      </c>
      <c r="BB178">
        <v>170</v>
      </c>
      <c r="BC178" t="s">
        <v>1573</v>
      </c>
      <c r="BD178" t="s">
        <v>2366</v>
      </c>
      <c r="BE178" t="s">
        <v>2365</v>
      </c>
      <c r="BF178" t="s">
        <v>2365</v>
      </c>
      <c r="BG178" t="s">
        <v>2365</v>
      </c>
      <c r="BH178" t="s">
        <v>2365</v>
      </c>
      <c r="BI178" t="s">
        <v>2366</v>
      </c>
      <c r="BJ178" t="s">
        <v>2365</v>
      </c>
      <c r="BK178" t="s">
        <v>2365</v>
      </c>
      <c r="BL178" t="s">
        <v>2365</v>
      </c>
      <c r="BM178" t="s">
        <v>2365</v>
      </c>
      <c r="BO178">
        <v>14</v>
      </c>
      <c r="BP178">
        <v>141</v>
      </c>
      <c r="BQ178" t="s">
        <v>2668</v>
      </c>
      <c r="BR178" t="s">
        <v>1007</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R178" t="s">
        <v>2328</v>
      </c>
      <c r="CS178" s="1369" t="str">
        <f>INDEX([8]Sheet1!$H:$H,MATCH(CR:CR,[8]Sheet1!$AU:$AU,0))</f>
        <v>Water Distribution</v>
      </c>
    </row>
    <row r="179" spans="1:97" x14ac:dyDescent="0.2">
      <c r="A179" t="s">
        <v>2672</v>
      </c>
      <c r="B179">
        <v>232</v>
      </c>
      <c r="C179" t="s">
        <v>2672</v>
      </c>
      <c r="D179">
        <v>41163</v>
      </c>
      <c r="E179" t="s">
        <v>2663</v>
      </c>
      <c r="F179">
        <v>2700</v>
      </c>
      <c r="G179" t="s">
        <v>656</v>
      </c>
      <c r="H179" t="s">
        <v>2664</v>
      </c>
      <c r="I179" t="s">
        <v>1801</v>
      </c>
      <c r="J179">
        <v>2702</v>
      </c>
      <c r="K179" t="s">
        <v>1801</v>
      </c>
      <c r="L179">
        <v>4300</v>
      </c>
      <c r="M179" t="s">
        <v>630</v>
      </c>
      <c r="N179">
        <v>4303</v>
      </c>
      <c r="O179" t="s">
        <v>1007</v>
      </c>
      <c r="P179" t="s">
        <v>2366</v>
      </c>
      <c r="Q179" t="s">
        <v>2364</v>
      </c>
      <c r="R179" t="s">
        <v>2364</v>
      </c>
      <c r="S179" t="s">
        <v>1881</v>
      </c>
      <c r="T179" t="s">
        <v>1812</v>
      </c>
      <c r="U179" t="s">
        <v>2365</v>
      </c>
      <c r="V179" t="s">
        <v>2365</v>
      </c>
      <c r="W179" t="s">
        <v>2365</v>
      </c>
      <c r="X179" t="s">
        <v>2365</v>
      </c>
      <c r="Y179" t="s">
        <v>2365</v>
      </c>
      <c r="Z179" t="s">
        <v>2365</v>
      </c>
      <c r="AA179" t="s">
        <v>2365</v>
      </c>
      <c r="AB179" t="s">
        <v>2365</v>
      </c>
      <c r="AC179" s="813" t="s">
        <v>2365</v>
      </c>
      <c r="AD179" s="813" t="s">
        <v>2365</v>
      </c>
      <c r="AE179" s="813" t="s">
        <v>2365</v>
      </c>
      <c r="AF179" t="s">
        <v>2365</v>
      </c>
      <c r="AG179" t="s">
        <v>2365</v>
      </c>
      <c r="AH179" t="s">
        <v>2365</v>
      </c>
      <c r="AI179" t="s">
        <v>2365</v>
      </c>
      <c r="AJ179" t="s">
        <v>2365</v>
      </c>
      <c r="AK179" t="s">
        <v>2365</v>
      </c>
      <c r="AL179" t="s">
        <v>2365</v>
      </c>
      <c r="AM179" t="s">
        <v>2365</v>
      </c>
      <c r="AN179" t="s">
        <v>2365</v>
      </c>
      <c r="AR179" t="s">
        <v>2365</v>
      </c>
      <c r="AS179" t="s">
        <v>2365</v>
      </c>
      <c r="AT179" t="s">
        <v>2365</v>
      </c>
      <c r="AU179" t="s">
        <v>2365</v>
      </c>
      <c r="AV179" t="s">
        <v>2365</v>
      </c>
      <c r="AW179" t="s">
        <v>2365</v>
      </c>
      <c r="AX179" t="s">
        <v>2365</v>
      </c>
      <c r="AY179" t="s">
        <v>2365</v>
      </c>
      <c r="AZ179">
        <v>170</v>
      </c>
      <c r="BA179" t="s">
        <v>1573</v>
      </c>
      <c r="BB179">
        <v>170</v>
      </c>
      <c r="BC179" t="s">
        <v>1573</v>
      </c>
      <c r="BD179" t="s">
        <v>2366</v>
      </c>
      <c r="BE179" t="s">
        <v>2365</v>
      </c>
      <c r="BF179" t="s">
        <v>2365</v>
      </c>
      <c r="BG179" t="s">
        <v>2365</v>
      </c>
      <c r="BH179" t="s">
        <v>2365</v>
      </c>
      <c r="BI179" t="s">
        <v>2366</v>
      </c>
      <c r="BJ179" t="s">
        <v>2365</v>
      </c>
      <c r="BK179" t="s">
        <v>2365</v>
      </c>
      <c r="BL179" t="s">
        <v>2365</v>
      </c>
      <c r="BM179" t="s">
        <v>2365</v>
      </c>
      <c r="BO179">
        <v>14</v>
      </c>
      <c r="BP179">
        <v>141</v>
      </c>
      <c r="BQ179" t="s">
        <v>2668</v>
      </c>
      <c r="BR179" t="s">
        <v>1007</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R179" t="s">
        <v>2328</v>
      </c>
      <c r="CS179" s="1369" t="str">
        <f>INDEX([8]Sheet1!$H:$H,MATCH(CR:CR,[8]Sheet1!$AU:$AU,0))</f>
        <v>Water Distribution</v>
      </c>
    </row>
    <row r="180" spans="1:97" x14ac:dyDescent="0.2">
      <c r="A180" t="s">
        <v>2673</v>
      </c>
      <c r="B180">
        <v>233</v>
      </c>
      <c r="C180" t="s">
        <v>2673</v>
      </c>
      <c r="D180">
        <v>41164</v>
      </c>
      <c r="E180" t="s">
        <v>2663</v>
      </c>
      <c r="F180">
        <v>2700</v>
      </c>
      <c r="G180" t="s">
        <v>656</v>
      </c>
      <c r="H180" t="s">
        <v>2664</v>
      </c>
      <c r="I180" t="s">
        <v>1801</v>
      </c>
      <c r="J180">
        <v>2702</v>
      </c>
      <c r="K180" t="s">
        <v>1801</v>
      </c>
      <c r="L180">
        <v>3200</v>
      </c>
      <c r="M180" t="s">
        <v>625</v>
      </c>
      <c r="N180">
        <v>3205</v>
      </c>
      <c r="O180" t="s">
        <v>1002</v>
      </c>
      <c r="P180" t="s">
        <v>2366</v>
      </c>
      <c r="Q180" t="s">
        <v>2364</v>
      </c>
      <c r="R180" t="s">
        <v>2364</v>
      </c>
      <c r="S180" t="s">
        <v>1881</v>
      </c>
      <c r="T180" t="s">
        <v>1812</v>
      </c>
      <c r="U180" t="s">
        <v>2365</v>
      </c>
      <c r="V180" t="s">
        <v>2365</v>
      </c>
      <c r="W180" t="s">
        <v>2365</v>
      </c>
      <c r="X180" t="s">
        <v>2365</v>
      </c>
      <c r="Y180" t="s">
        <v>2365</v>
      </c>
      <c r="Z180" t="s">
        <v>2365</v>
      </c>
      <c r="AA180" t="s">
        <v>2365</v>
      </c>
      <c r="AB180" t="s">
        <v>2365</v>
      </c>
      <c r="AC180" s="813" t="s">
        <v>2365</v>
      </c>
      <c r="AD180" s="813" t="s">
        <v>2365</v>
      </c>
      <c r="AE180" s="813" t="s">
        <v>2365</v>
      </c>
      <c r="AF180" t="s">
        <v>2365</v>
      </c>
      <c r="AG180" t="s">
        <v>2365</v>
      </c>
      <c r="AH180" t="s">
        <v>2365</v>
      </c>
      <c r="AI180" t="s">
        <v>2365</v>
      </c>
      <c r="AJ180" t="s">
        <v>2365</v>
      </c>
      <c r="AK180" t="s">
        <v>2365</v>
      </c>
      <c r="AL180" t="s">
        <v>2365</v>
      </c>
      <c r="AM180" t="s">
        <v>2365</v>
      </c>
      <c r="AN180" t="s">
        <v>2365</v>
      </c>
      <c r="AR180" t="s">
        <v>2365</v>
      </c>
      <c r="AS180" t="s">
        <v>2365</v>
      </c>
      <c r="AT180" t="s">
        <v>2365</v>
      </c>
      <c r="AU180" t="s">
        <v>2365</v>
      </c>
      <c r="AV180" t="s">
        <v>2365</v>
      </c>
      <c r="AW180" t="s">
        <v>2365</v>
      </c>
      <c r="AX180" t="s">
        <v>2365</v>
      </c>
      <c r="AY180" t="s">
        <v>2365</v>
      </c>
      <c r="AZ180">
        <v>170</v>
      </c>
      <c r="BA180" t="s">
        <v>1573</v>
      </c>
      <c r="BB180">
        <v>170</v>
      </c>
      <c r="BC180" t="s">
        <v>1573</v>
      </c>
      <c r="BD180" t="s">
        <v>2366</v>
      </c>
      <c r="BE180" t="s">
        <v>2365</v>
      </c>
      <c r="BF180" t="s">
        <v>2365</v>
      </c>
      <c r="BG180" t="s">
        <v>2365</v>
      </c>
      <c r="BH180" t="s">
        <v>2365</v>
      </c>
      <c r="BI180" t="s">
        <v>2366</v>
      </c>
      <c r="BJ180" t="s">
        <v>2365</v>
      </c>
      <c r="BK180" t="s">
        <v>2365</v>
      </c>
      <c r="BL180" t="s">
        <v>2365</v>
      </c>
      <c r="BM180" t="s">
        <v>2365</v>
      </c>
      <c r="BO180">
        <v>7</v>
      </c>
      <c r="BP180">
        <v>71</v>
      </c>
      <c r="BQ180" t="s">
        <v>2665</v>
      </c>
      <c r="BR180" t="s">
        <v>1002</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R180" t="s">
        <v>2328</v>
      </c>
      <c r="CS180" s="1369" t="str">
        <f>INDEX([8]Sheet1!$H:$H,MATCH(CR:CR,[8]Sheet1!$AU:$AU,0))</f>
        <v>Water Distribution</v>
      </c>
    </row>
    <row r="181" spans="1:97" x14ac:dyDescent="0.2">
      <c r="A181" t="s">
        <v>2674</v>
      </c>
      <c r="B181">
        <v>234</v>
      </c>
      <c r="C181" t="s">
        <v>2674</v>
      </c>
      <c r="D181">
        <v>41165</v>
      </c>
      <c r="E181" t="s">
        <v>2663</v>
      </c>
      <c r="F181">
        <v>2700</v>
      </c>
      <c r="G181" t="s">
        <v>656</v>
      </c>
      <c r="H181" s="1373" t="s">
        <v>2664</v>
      </c>
      <c r="I181" t="s">
        <v>1801</v>
      </c>
      <c r="J181">
        <v>2702</v>
      </c>
      <c r="K181" t="s">
        <v>1801</v>
      </c>
      <c r="L181" s="1373">
        <v>4300</v>
      </c>
      <c r="M181" t="s">
        <v>630</v>
      </c>
      <c r="N181">
        <v>4303</v>
      </c>
      <c r="O181" t="s">
        <v>1007</v>
      </c>
      <c r="P181" t="s">
        <v>2366</v>
      </c>
      <c r="Q181" t="s">
        <v>2364</v>
      </c>
      <c r="R181" t="s">
        <v>2364</v>
      </c>
      <c r="S181" t="s">
        <v>1881</v>
      </c>
      <c r="T181" t="s">
        <v>1812</v>
      </c>
      <c r="U181" t="s">
        <v>2365</v>
      </c>
      <c r="V181" t="s">
        <v>2365</v>
      </c>
      <c r="W181" t="s">
        <v>2365</v>
      </c>
      <c r="X181" t="s">
        <v>2365</v>
      </c>
      <c r="Y181" t="s">
        <v>2365</v>
      </c>
      <c r="Z181" t="s">
        <v>2365</v>
      </c>
      <c r="AA181" t="s">
        <v>2365</v>
      </c>
      <c r="AB181" t="s">
        <v>2365</v>
      </c>
      <c r="AC181" s="813" t="s">
        <v>2365</v>
      </c>
      <c r="AD181" s="813" t="s">
        <v>2365</v>
      </c>
      <c r="AE181" s="813" t="s">
        <v>2365</v>
      </c>
      <c r="AF181" t="s">
        <v>2365</v>
      </c>
      <c r="AG181" t="s">
        <v>2365</v>
      </c>
      <c r="AH181" t="s">
        <v>2365</v>
      </c>
      <c r="AI181" t="s">
        <v>2365</v>
      </c>
      <c r="AJ181" t="s">
        <v>2365</v>
      </c>
      <c r="AK181" t="s">
        <v>2365</v>
      </c>
      <c r="AL181" t="s">
        <v>2365</v>
      </c>
      <c r="AM181" t="s">
        <v>2365</v>
      </c>
      <c r="AN181" t="s">
        <v>2365</v>
      </c>
      <c r="AR181" t="s">
        <v>2365</v>
      </c>
      <c r="AS181" t="s">
        <v>2365</v>
      </c>
      <c r="AT181" t="s">
        <v>2365</v>
      </c>
      <c r="AU181" t="s">
        <v>2365</v>
      </c>
      <c r="AV181" t="s">
        <v>2365</v>
      </c>
      <c r="AW181" t="s">
        <v>2365</v>
      </c>
      <c r="AX181" t="s">
        <v>2365</v>
      </c>
      <c r="AY181" t="s">
        <v>2365</v>
      </c>
      <c r="AZ181">
        <v>120</v>
      </c>
      <c r="BA181" t="s">
        <v>1002</v>
      </c>
      <c r="BB181">
        <v>120</v>
      </c>
      <c r="BC181" t="s">
        <v>1002</v>
      </c>
      <c r="BD181" t="s">
        <v>2366</v>
      </c>
      <c r="BE181" t="s">
        <v>2365</v>
      </c>
      <c r="BF181" t="s">
        <v>2365</v>
      </c>
      <c r="BG181" t="s">
        <v>2365</v>
      </c>
      <c r="BH181" t="s">
        <v>2365</v>
      </c>
      <c r="BI181" t="s">
        <v>2366</v>
      </c>
      <c r="BJ181" t="s">
        <v>2365</v>
      </c>
      <c r="BK181" t="s">
        <v>2365</v>
      </c>
      <c r="BL181" t="s">
        <v>2365</v>
      </c>
      <c r="BM181" t="s">
        <v>2365</v>
      </c>
      <c r="BO181">
        <v>14</v>
      </c>
      <c r="BP181">
        <v>141</v>
      </c>
      <c r="BQ181" t="s">
        <v>2668</v>
      </c>
      <c r="BR181" t="s">
        <v>1007</v>
      </c>
      <c r="BU181" s="1371">
        <v>0</v>
      </c>
      <c r="BV181" s="1371">
        <v>0</v>
      </c>
      <c r="BW181" s="1371">
        <v>0</v>
      </c>
      <c r="BX181" s="1371">
        <v>0</v>
      </c>
      <c r="BY181" s="1371">
        <v>0</v>
      </c>
      <c r="BZ181">
        <v>0</v>
      </c>
      <c r="CA181">
        <v>0</v>
      </c>
      <c r="CB181">
        <v>0</v>
      </c>
      <c r="CC181">
        <v>0</v>
      </c>
      <c r="CD181">
        <v>0</v>
      </c>
      <c r="CE181">
        <v>0</v>
      </c>
      <c r="CF181">
        <v>0</v>
      </c>
      <c r="CG181">
        <v>0</v>
      </c>
      <c r="CH181">
        <v>0</v>
      </c>
      <c r="CI181">
        <v>0</v>
      </c>
      <c r="CJ181">
        <v>0</v>
      </c>
      <c r="CK181">
        <v>0</v>
      </c>
      <c r="CL181">
        <v>0</v>
      </c>
      <c r="CM181">
        <v>0</v>
      </c>
      <c r="CR181" t="s">
        <v>2328</v>
      </c>
      <c r="CS181" s="1369" t="str">
        <f>INDEX([8]Sheet1!$H:$H,MATCH(CR:CR,[8]Sheet1!$AU:$AU,0))</f>
        <v>Water Distribution</v>
      </c>
    </row>
    <row r="182" spans="1:97" x14ac:dyDescent="0.2">
      <c r="A182" t="s">
        <v>2675</v>
      </c>
      <c r="B182">
        <v>235</v>
      </c>
      <c r="C182" t="s">
        <v>2675</v>
      </c>
      <c r="D182">
        <v>41166</v>
      </c>
      <c r="E182" t="s">
        <v>2663</v>
      </c>
      <c r="F182">
        <v>2700</v>
      </c>
      <c r="G182" t="s">
        <v>656</v>
      </c>
      <c r="H182" t="s">
        <v>2664</v>
      </c>
      <c r="I182" t="s">
        <v>1801</v>
      </c>
      <c r="J182">
        <v>2702</v>
      </c>
      <c r="K182" t="s">
        <v>1801</v>
      </c>
      <c r="L182">
        <v>3200</v>
      </c>
      <c r="M182" t="s">
        <v>625</v>
      </c>
      <c r="N182">
        <v>3205</v>
      </c>
      <c r="O182" t="s">
        <v>1002</v>
      </c>
      <c r="P182" t="s">
        <v>2366</v>
      </c>
      <c r="Q182" t="s">
        <v>2364</v>
      </c>
      <c r="R182" t="s">
        <v>2364</v>
      </c>
      <c r="S182" t="s">
        <v>1881</v>
      </c>
      <c r="T182" t="s">
        <v>1812</v>
      </c>
      <c r="U182" t="s">
        <v>2365</v>
      </c>
      <c r="V182" t="s">
        <v>2365</v>
      </c>
      <c r="W182" t="s">
        <v>2365</v>
      </c>
      <c r="X182" t="s">
        <v>2365</v>
      </c>
      <c r="Y182" t="s">
        <v>2365</v>
      </c>
      <c r="Z182" t="s">
        <v>2365</v>
      </c>
      <c r="AA182" t="s">
        <v>2365</v>
      </c>
      <c r="AB182" t="s">
        <v>2365</v>
      </c>
      <c r="AC182" s="813" t="s">
        <v>2365</v>
      </c>
      <c r="AD182" s="813" t="s">
        <v>2365</v>
      </c>
      <c r="AE182" s="813" t="s">
        <v>2365</v>
      </c>
      <c r="AF182" t="s">
        <v>2365</v>
      </c>
      <c r="AG182" t="s">
        <v>2365</v>
      </c>
      <c r="AH182" t="s">
        <v>2365</v>
      </c>
      <c r="AI182" t="s">
        <v>2365</v>
      </c>
      <c r="AJ182" t="s">
        <v>2365</v>
      </c>
      <c r="AK182" t="s">
        <v>2365</v>
      </c>
      <c r="AL182" t="s">
        <v>2365</v>
      </c>
      <c r="AM182" t="s">
        <v>2365</v>
      </c>
      <c r="AN182" t="s">
        <v>2365</v>
      </c>
      <c r="AR182" t="s">
        <v>2365</v>
      </c>
      <c r="AS182" t="s">
        <v>2365</v>
      </c>
      <c r="AT182" t="s">
        <v>2365</v>
      </c>
      <c r="AU182" t="s">
        <v>2365</v>
      </c>
      <c r="AV182" t="s">
        <v>2365</v>
      </c>
      <c r="AW182" t="s">
        <v>2365</v>
      </c>
      <c r="AX182" t="s">
        <v>2365</v>
      </c>
      <c r="AY182" t="s">
        <v>2365</v>
      </c>
      <c r="AZ182">
        <v>120</v>
      </c>
      <c r="BA182" t="s">
        <v>1002</v>
      </c>
      <c r="BB182">
        <v>120</v>
      </c>
      <c r="BC182" t="s">
        <v>1002</v>
      </c>
      <c r="BD182" t="s">
        <v>2366</v>
      </c>
      <c r="BE182" t="s">
        <v>2365</v>
      </c>
      <c r="BF182" t="s">
        <v>2365</v>
      </c>
      <c r="BG182" t="s">
        <v>2365</v>
      </c>
      <c r="BH182" t="s">
        <v>2365</v>
      </c>
      <c r="BI182" t="s">
        <v>2366</v>
      </c>
      <c r="BJ182" t="s">
        <v>2365</v>
      </c>
      <c r="BK182" t="s">
        <v>2365</v>
      </c>
      <c r="BL182" t="s">
        <v>2365</v>
      </c>
      <c r="BM182" t="s">
        <v>2365</v>
      </c>
      <c r="BO182">
        <v>7</v>
      </c>
      <c r="BP182">
        <v>71</v>
      </c>
      <c r="BQ182" t="s">
        <v>2665</v>
      </c>
      <c r="BR182" t="s">
        <v>1002</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R182" t="s">
        <v>2328</v>
      </c>
      <c r="CS182" s="1369" t="str">
        <f>INDEX([8]Sheet1!$H:$H,MATCH(CR:CR,[8]Sheet1!$AU:$AU,0))</f>
        <v>Water Distribution</v>
      </c>
    </row>
    <row r="183" spans="1:97" x14ac:dyDescent="0.2">
      <c r="A183" t="s">
        <v>2676</v>
      </c>
      <c r="B183">
        <v>236</v>
      </c>
      <c r="C183" t="s">
        <v>2676</v>
      </c>
      <c r="D183">
        <v>41155</v>
      </c>
      <c r="E183" t="s">
        <v>2663</v>
      </c>
      <c r="F183">
        <v>2700</v>
      </c>
      <c r="G183" t="s">
        <v>656</v>
      </c>
      <c r="H183" t="s">
        <v>2664</v>
      </c>
      <c r="I183" t="s">
        <v>1801</v>
      </c>
      <c r="J183">
        <v>2702</v>
      </c>
      <c r="K183" t="s">
        <v>1801</v>
      </c>
      <c r="L183">
        <v>2100</v>
      </c>
      <c r="M183" t="s">
        <v>618</v>
      </c>
      <c r="N183">
        <v>2105</v>
      </c>
      <c r="O183" t="s">
        <v>1498</v>
      </c>
      <c r="P183" t="s">
        <v>2366</v>
      </c>
      <c r="Q183" t="s">
        <v>2364</v>
      </c>
      <c r="R183" t="s">
        <v>2364</v>
      </c>
      <c r="S183" t="s">
        <v>1881</v>
      </c>
      <c r="T183" t="s">
        <v>1812</v>
      </c>
      <c r="U183" t="s">
        <v>2365</v>
      </c>
      <c r="V183" t="s">
        <v>2365</v>
      </c>
      <c r="W183" t="s">
        <v>2365</v>
      </c>
      <c r="X183" t="s">
        <v>2365</v>
      </c>
      <c r="Y183" t="s">
        <v>2365</v>
      </c>
      <c r="Z183" t="s">
        <v>2365</v>
      </c>
      <c r="AA183" t="s">
        <v>2365</v>
      </c>
      <c r="AB183" t="s">
        <v>2365</v>
      </c>
      <c r="AC183" s="813" t="s">
        <v>2365</v>
      </c>
      <c r="AD183" s="813" t="s">
        <v>2365</v>
      </c>
      <c r="AE183" s="813" t="s">
        <v>2365</v>
      </c>
      <c r="AF183" t="s">
        <v>2365</v>
      </c>
      <c r="AG183" t="s">
        <v>2365</v>
      </c>
      <c r="AH183" t="s">
        <v>2365</v>
      </c>
      <c r="AI183" t="s">
        <v>2365</v>
      </c>
      <c r="AJ183" t="s">
        <v>2365</v>
      </c>
      <c r="AK183" t="s">
        <v>2365</v>
      </c>
      <c r="AL183" t="s">
        <v>2365</v>
      </c>
      <c r="AM183" t="s">
        <v>2365</v>
      </c>
      <c r="AN183" t="s">
        <v>2365</v>
      </c>
      <c r="AR183" t="s">
        <v>2365</v>
      </c>
      <c r="AS183" t="s">
        <v>2365</v>
      </c>
      <c r="AT183" t="s">
        <v>2365</v>
      </c>
      <c r="AU183" t="s">
        <v>2365</v>
      </c>
      <c r="AV183" t="s">
        <v>2365</v>
      </c>
      <c r="AW183" t="s">
        <v>2365</v>
      </c>
      <c r="AX183" t="s">
        <v>2365</v>
      </c>
      <c r="AY183" t="s">
        <v>2365</v>
      </c>
      <c r="AZ183">
        <v>790</v>
      </c>
      <c r="BA183" t="s">
        <v>1622</v>
      </c>
      <c r="BB183">
        <v>790</v>
      </c>
      <c r="BC183" t="s">
        <v>1622</v>
      </c>
      <c r="BD183" t="s">
        <v>2366</v>
      </c>
      <c r="BE183" t="s">
        <v>2365</v>
      </c>
      <c r="BF183" t="s">
        <v>2365</v>
      </c>
      <c r="BG183" t="s">
        <v>2365</v>
      </c>
      <c r="BH183" t="s">
        <v>2365</v>
      </c>
      <c r="BI183" t="s">
        <v>2366</v>
      </c>
      <c r="BJ183" t="s">
        <v>2365</v>
      </c>
      <c r="BK183" t="s">
        <v>2365</v>
      </c>
      <c r="BL183" t="s">
        <v>2365</v>
      </c>
      <c r="BM183" t="s">
        <v>2365</v>
      </c>
      <c r="BO183">
        <v>4</v>
      </c>
      <c r="BP183">
        <v>49</v>
      </c>
      <c r="BQ183" t="s">
        <v>2433</v>
      </c>
      <c r="BR183" t="s">
        <v>1498</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R183" t="s">
        <v>2328</v>
      </c>
      <c r="CS183" s="1369" t="str">
        <f>INDEX([8]Sheet1!$H:$H,MATCH(CR:CR,[8]Sheet1!$AU:$AU,0))</f>
        <v>Water Distribution</v>
      </c>
    </row>
    <row r="184" spans="1:97" x14ac:dyDescent="0.2">
      <c r="A184" t="s">
        <v>2677</v>
      </c>
      <c r="B184">
        <v>237</v>
      </c>
      <c r="C184" t="s">
        <v>2677</v>
      </c>
      <c r="D184">
        <v>41156</v>
      </c>
      <c r="E184" t="s">
        <v>2663</v>
      </c>
      <c r="F184">
        <v>2700</v>
      </c>
      <c r="G184" t="s">
        <v>656</v>
      </c>
      <c r="H184" t="s">
        <v>2664</v>
      </c>
      <c r="I184" t="s">
        <v>1801</v>
      </c>
      <c r="J184">
        <v>2702</v>
      </c>
      <c r="K184" t="s">
        <v>1801</v>
      </c>
      <c r="L184">
        <v>2100</v>
      </c>
      <c r="M184" t="s">
        <v>618</v>
      </c>
      <c r="N184">
        <v>2106</v>
      </c>
      <c r="O184" t="s">
        <v>1499</v>
      </c>
      <c r="P184" t="s">
        <v>2366</v>
      </c>
      <c r="Q184" t="s">
        <v>2364</v>
      </c>
      <c r="R184" t="s">
        <v>2364</v>
      </c>
      <c r="S184" t="s">
        <v>1881</v>
      </c>
      <c r="T184" t="s">
        <v>1812</v>
      </c>
      <c r="U184" t="s">
        <v>2365</v>
      </c>
      <c r="V184" t="s">
        <v>2365</v>
      </c>
      <c r="W184" t="s">
        <v>2365</v>
      </c>
      <c r="X184" t="s">
        <v>2365</v>
      </c>
      <c r="Y184" t="s">
        <v>2365</v>
      </c>
      <c r="Z184" t="s">
        <v>2365</v>
      </c>
      <c r="AA184" t="s">
        <v>2365</v>
      </c>
      <c r="AB184" t="s">
        <v>2365</v>
      </c>
      <c r="AC184" s="813" t="s">
        <v>2365</v>
      </c>
      <c r="AD184" s="813" t="s">
        <v>2365</v>
      </c>
      <c r="AE184" s="813" t="s">
        <v>2365</v>
      </c>
      <c r="AF184" t="s">
        <v>2365</v>
      </c>
      <c r="AG184" t="s">
        <v>2365</v>
      </c>
      <c r="AH184" t="s">
        <v>2365</v>
      </c>
      <c r="AI184" t="s">
        <v>2365</v>
      </c>
      <c r="AJ184" t="s">
        <v>2365</v>
      </c>
      <c r="AK184" t="s">
        <v>2365</v>
      </c>
      <c r="AL184" t="s">
        <v>2365</v>
      </c>
      <c r="AM184" t="s">
        <v>2365</v>
      </c>
      <c r="AN184" t="s">
        <v>2365</v>
      </c>
      <c r="AR184" t="s">
        <v>2365</v>
      </c>
      <c r="AS184" t="s">
        <v>2365</v>
      </c>
      <c r="AT184" t="s">
        <v>2365</v>
      </c>
      <c r="AU184" t="s">
        <v>2365</v>
      </c>
      <c r="AV184" t="s">
        <v>2365</v>
      </c>
      <c r="AW184" t="s">
        <v>2365</v>
      </c>
      <c r="AX184" t="s">
        <v>2365</v>
      </c>
      <c r="AY184" t="s">
        <v>2365</v>
      </c>
      <c r="AZ184">
        <v>790</v>
      </c>
      <c r="BA184" t="s">
        <v>1622</v>
      </c>
      <c r="BB184">
        <v>790</v>
      </c>
      <c r="BC184" t="s">
        <v>1622</v>
      </c>
      <c r="BD184" t="s">
        <v>2366</v>
      </c>
      <c r="BE184" t="s">
        <v>2365</v>
      </c>
      <c r="BF184" t="s">
        <v>2365</v>
      </c>
      <c r="BG184" t="s">
        <v>2365</v>
      </c>
      <c r="BH184" t="s">
        <v>2365</v>
      </c>
      <c r="BI184" t="s">
        <v>2366</v>
      </c>
      <c r="BJ184" t="s">
        <v>2365</v>
      </c>
      <c r="BK184" t="s">
        <v>2365</v>
      </c>
      <c r="BL184" t="s">
        <v>2365</v>
      </c>
      <c r="BM184" t="s">
        <v>2365</v>
      </c>
      <c r="BO184">
        <v>5</v>
      </c>
      <c r="BP184">
        <v>53</v>
      </c>
      <c r="BQ184" t="s">
        <v>2438</v>
      </c>
      <c r="BR184" t="s">
        <v>1499</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R184" t="s">
        <v>2328</v>
      </c>
      <c r="CS184" s="1369" t="str">
        <f>INDEX([8]Sheet1!$H:$H,MATCH(CR:CR,[8]Sheet1!$AU:$AU,0))</f>
        <v>Water Distribution</v>
      </c>
    </row>
    <row r="185" spans="1:97" x14ac:dyDescent="0.2">
      <c r="A185" t="s">
        <v>2678</v>
      </c>
      <c r="B185">
        <v>238</v>
      </c>
      <c r="C185" t="s">
        <v>2678</v>
      </c>
      <c r="D185">
        <v>41157</v>
      </c>
      <c r="E185" t="s">
        <v>2663</v>
      </c>
      <c r="F185">
        <v>2700</v>
      </c>
      <c r="G185" t="s">
        <v>656</v>
      </c>
      <c r="H185" t="s">
        <v>2664</v>
      </c>
      <c r="I185" t="s">
        <v>1801</v>
      </c>
      <c r="J185">
        <v>2702</v>
      </c>
      <c r="K185" t="s">
        <v>1801</v>
      </c>
      <c r="L185">
        <v>2100</v>
      </c>
      <c r="M185" t="s">
        <v>618</v>
      </c>
      <c r="N185">
        <v>2105</v>
      </c>
      <c r="O185" t="s">
        <v>1498</v>
      </c>
      <c r="P185" t="s">
        <v>2366</v>
      </c>
      <c r="Q185" t="s">
        <v>2364</v>
      </c>
      <c r="R185" t="s">
        <v>2364</v>
      </c>
      <c r="S185" t="s">
        <v>1881</v>
      </c>
      <c r="T185" t="s">
        <v>1812</v>
      </c>
      <c r="U185" t="s">
        <v>2365</v>
      </c>
      <c r="V185" t="s">
        <v>2365</v>
      </c>
      <c r="W185" t="s">
        <v>2365</v>
      </c>
      <c r="X185" t="s">
        <v>2365</v>
      </c>
      <c r="Y185" t="s">
        <v>2365</v>
      </c>
      <c r="Z185" t="s">
        <v>2365</v>
      </c>
      <c r="AA185" t="s">
        <v>2365</v>
      </c>
      <c r="AB185" t="s">
        <v>2365</v>
      </c>
      <c r="AC185" s="813" t="s">
        <v>2365</v>
      </c>
      <c r="AD185" s="813" t="s">
        <v>2365</v>
      </c>
      <c r="AE185" s="813" t="s">
        <v>2365</v>
      </c>
      <c r="AF185" t="s">
        <v>2365</v>
      </c>
      <c r="AG185" t="s">
        <v>2365</v>
      </c>
      <c r="AH185" t="s">
        <v>2365</v>
      </c>
      <c r="AI185" t="s">
        <v>2365</v>
      </c>
      <c r="AJ185" t="s">
        <v>2365</v>
      </c>
      <c r="AK185" t="s">
        <v>2365</v>
      </c>
      <c r="AL185" t="s">
        <v>2365</v>
      </c>
      <c r="AM185" t="s">
        <v>2365</v>
      </c>
      <c r="AN185" t="s">
        <v>2365</v>
      </c>
      <c r="AR185" t="s">
        <v>2365</v>
      </c>
      <c r="AS185" t="s">
        <v>2365</v>
      </c>
      <c r="AT185" t="s">
        <v>2365</v>
      </c>
      <c r="AU185" t="s">
        <v>2365</v>
      </c>
      <c r="AV185" t="s">
        <v>2365</v>
      </c>
      <c r="AW185" t="s">
        <v>2365</v>
      </c>
      <c r="AX185" t="s">
        <v>2365</v>
      </c>
      <c r="AY185" t="s">
        <v>2365</v>
      </c>
      <c r="AZ185">
        <v>810</v>
      </c>
      <c r="BA185" t="s">
        <v>1624</v>
      </c>
      <c r="BB185">
        <v>810</v>
      </c>
      <c r="BC185" t="s">
        <v>1624</v>
      </c>
      <c r="BD185" t="s">
        <v>2366</v>
      </c>
      <c r="BE185" t="s">
        <v>2365</v>
      </c>
      <c r="BF185" t="s">
        <v>2365</v>
      </c>
      <c r="BG185" t="s">
        <v>2365</v>
      </c>
      <c r="BH185" t="s">
        <v>2365</v>
      </c>
      <c r="BI185" t="s">
        <v>2366</v>
      </c>
      <c r="BJ185" t="s">
        <v>2365</v>
      </c>
      <c r="BK185" t="s">
        <v>2365</v>
      </c>
      <c r="BL185" t="s">
        <v>2365</v>
      </c>
      <c r="BM185" t="s">
        <v>2365</v>
      </c>
      <c r="BO185">
        <v>4</v>
      </c>
      <c r="BP185">
        <v>49</v>
      </c>
      <c r="BQ185" t="s">
        <v>2433</v>
      </c>
      <c r="BR185" t="s">
        <v>1498</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R185" t="s">
        <v>2328</v>
      </c>
      <c r="CS185" s="1369" t="str">
        <f>INDEX([8]Sheet1!$H:$H,MATCH(CR:CR,[8]Sheet1!$AU:$AU,0))</f>
        <v>Water Distribution</v>
      </c>
    </row>
    <row r="186" spans="1:97" x14ac:dyDescent="0.2">
      <c r="A186" t="s">
        <v>2679</v>
      </c>
      <c r="B186">
        <v>239</v>
      </c>
      <c r="C186" t="s">
        <v>2679</v>
      </c>
      <c r="D186">
        <v>41158</v>
      </c>
      <c r="E186" t="s">
        <v>2663</v>
      </c>
      <c r="F186">
        <v>2700</v>
      </c>
      <c r="G186" t="s">
        <v>656</v>
      </c>
      <c r="H186" t="s">
        <v>2664</v>
      </c>
      <c r="I186" t="s">
        <v>1801</v>
      </c>
      <c r="J186">
        <v>2702</v>
      </c>
      <c r="K186" t="s">
        <v>1801</v>
      </c>
      <c r="L186">
        <v>2100</v>
      </c>
      <c r="M186" t="s">
        <v>618</v>
      </c>
      <c r="N186">
        <v>2106</v>
      </c>
      <c r="O186" t="s">
        <v>1499</v>
      </c>
      <c r="P186" t="s">
        <v>2366</v>
      </c>
      <c r="Q186" t="s">
        <v>2364</v>
      </c>
      <c r="R186" t="s">
        <v>2364</v>
      </c>
      <c r="S186" t="s">
        <v>1881</v>
      </c>
      <c r="T186" t="s">
        <v>1812</v>
      </c>
      <c r="U186" t="s">
        <v>2365</v>
      </c>
      <c r="V186" t="s">
        <v>2365</v>
      </c>
      <c r="W186" t="s">
        <v>2365</v>
      </c>
      <c r="X186" t="s">
        <v>2365</v>
      </c>
      <c r="Y186" t="s">
        <v>2365</v>
      </c>
      <c r="Z186" t="s">
        <v>2365</v>
      </c>
      <c r="AA186" t="s">
        <v>2365</v>
      </c>
      <c r="AB186" t="s">
        <v>2365</v>
      </c>
      <c r="AC186" s="813" t="s">
        <v>2365</v>
      </c>
      <c r="AD186" s="813" t="s">
        <v>2365</v>
      </c>
      <c r="AE186" s="813" t="s">
        <v>2365</v>
      </c>
      <c r="AF186" t="s">
        <v>2365</v>
      </c>
      <c r="AG186" t="s">
        <v>2365</v>
      </c>
      <c r="AH186" t="s">
        <v>2365</v>
      </c>
      <c r="AI186" t="s">
        <v>2365</v>
      </c>
      <c r="AJ186" t="s">
        <v>2365</v>
      </c>
      <c r="AK186" t="s">
        <v>2365</v>
      </c>
      <c r="AL186" t="s">
        <v>2365</v>
      </c>
      <c r="AM186" t="s">
        <v>2365</v>
      </c>
      <c r="AN186" t="s">
        <v>2365</v>
      </c>
      <c r="AR186" t="s">
        <v>2365</v>
      </c>
      <c r="AS186" t="s">
        <v>2365</v>
      </c>
      <c r="AT186" t="s">
        <v>2365</v>
      </c>
      <c r="AU186" t="s">
        <v>2365</v>
      </c>
      <c r="AV186" t="s">
        <v>2365</v>
      </c>
      <c r="AW186" t="s">
        <v>2365</v>
      </c>
      <c r="AX186" t="s">
        <v>2365</v>
      </c>
      <c r="AY186" t="s">
        <v>2365</v>
      </c>
      <c r="AZ186">
        <v>810</v>
      </c>
      <c r="BA186" t="s">
        <v>1624</v>
      </c>
      <c r="BB186">
        <v>810</v>
      </c>
      <c r="BC186" t="s">
        <v>1624</v>
      </c>
      <c r="BD186" t="s">
        <v>2366</v>
      </c>
      <c r="BE186" t="s">
        <v>2365</v>
      </c>
      <c r="BF186" t="s">
        <v>2365</v>
      </c>
      <c r="BG186" t="s">
        <v>2365</v>
      </c>
      <c r="BH186" t="s">
        <v>2365</v>
      </c>
      <c r="BI186" t="s">
        <v>2366</v>
      </c>
      <c r="BJ186" t="s">
        <v>2365</v>
      </c>
      <c r="BK186" t="s">
        <v>2365</v>
      </c>
      <c r="BL186" t="s">
        <v>2365</v>
      </c>
      <c r="BM186" t="s">
        <v>2365</v>
      </c>
      <c r="BO186">
        <v>5</v>
      </c>
      <c r="BP186">
        <v>53</v>
      </c>
      <c r="BQ186" t="s">
        <v>2438</v>
      </c>
      <c r="BR186" t="s">
        <v>1499</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R186" t="s">
        <v>2328</v>
      </c>
      <c r="CS186" s="1369" t="str">
        <f>INDEX([8]Sheet1!$H:$H,MATCH(CR:CR,[8]Sheet1!$AU:$AU,0))</f>
        <v>Water Distribution</v>
      </c>
    </row>
    <row r="187" spans="1:97" x14ac:dyDescent="0.2">
      <c r="A187" t="s">
        <v>2680</v>
      </c>
      <c r="B187">
        <v>240</v>
      </c>
      <c r="C187" t="s">
        <v>2680</v>
      </c>
      <c r="D187">
        <v>41159</v>
      </c>
      <c r="E187" t="s">
        <v>2681</v>
      </c>
      <c r="F187">
        <v>2700</v>
      </c>
      <c r="G187" t="s">
        <v>656</v>
      </c>
      <c r="H187" t="s">
        <v>2478</v>
      </c>
      <c r="I187" t="s">
        <v>1802</v>
      </c>
      <c r="J187">
        <v>2703</v>
      </c>
      <c r="K187" t="s">
        <v>1802</v>
      </c>
      <c r="L187">
        <v>2100</v>
      </c>
      <c r="M187" t="s">
        <v>618</v>
      </c>
      <c r="N187">
        <v>2105</v>
      </c>
      <c r="O187" t="s">
        <v>1498</v>
      </c>
      <c r="P187" t="s">
        <v>2366</v>
      </c>
      <c r="Q187" t="s">
        <v>2364</v>
      </c>
      <c r="R187" t="s">
        <v>2364</v>
      </c>
      <c r="S187" t="s">
        <v>1881</v>
      </c>
      <c r="T187" t="s">
        <v>1812</v>
      </c>
      <c r="U187" t="s">
        <v>2365</v>
      </c>
      <c r="V187" t="s">
        <v>2365</v>
      </c>
      <c r="W187" t="s">
        <v>2365</v>
      </c>
      <c r="X187" t="s">
        <v>2365</v>
      </c>
      <c r="Y187" t="s">
        <v>2365</v>
      </c>
      <c r="Z187" t="s">
        <v>2365</v>
      </c>
      <c r="AA187" t="s">
        <v>2365</v>
      </c>
      <c r="AB187" t="s">
        <v>2365</v>
      </c>
      <c r="AC187" s="813" t="s">
        <v>2365</v>
      </c>
      <c r="AD187" s="813" t="s">
        <v>2365</v>
      </c>
      <c r="AE187" s="813" t="s">
        <v>2365</v>
      </c>
      <c r="AF187" t="s">
        <v>2365</v>
      </c>
      <c r="AG187" t="s">
        <v>2365</v>
      </c>
      <c r="AH187" t="s">
        <v>2365</v>
      </c>
      <c r="AI187" t="s">
        <v>2365</v>
      </c>
      <c r="AJ187" t="s">
        <v>2365</v>
      </c>
      <c r="AK187" t="s">
        <v>2365</v>
      </c>
      <c r="AL187" t="s">
        <v>2365</v>
      </c>
      <c r="AM187" t="s">
        <v>2365</v>
      </c>
      <c r="AN187" t="s">
        <v>2365</v>
      </c>
      <c r="AR187" t="s">
        <v>2365</v>
      </c>
      <c r="AS187" t="s">
        <v>2365</v>
      </c>
      <c r="AT187" t="s">
        <v>2365</v>
      </c>
      <c r="AU187" t="s">
        <v>2365</v>
      </c>
      <c r="AV187" t="s">
        <v>2365</v>
      </c>
      <c r="AW187" t="s">
        <v>2365</v>
      </c>
      <c r="AX187" t="s">
        <v>2365</v>
      </c>
      <c r="AY187" t="s">
        <v>2365</v>
      </c>
      <c r="AZ187">
        <v>790</v>
      </c>
      <c r="BA187" t="s">
        <v>1622</v>
      </c>
      <c r="BB187">
        <v>790</v>
      </c>
      <c r="BC187" t="s">
        <v>1622</v>
      </c>
      <c r="BD187" t="s">
        <v>1906</v>
      </c>
      <c r="BE187" t="s">
        <v>2365</v>
      </c>
      <c r="BF187" t="s">
        <v>2365</v>
      </c>
      <c r="BG187" t="s">
        <v>2365</v>
      </c>
      <c r="BH187" t="s">
        <v>2365</v>
      </c>
      <c r="BI187" t="s">
        <v>2366</v>
      </c>
      <c r="BJ187" t="s">
        <v>2365</v>
      </c>
      <c r="BK187" t="s">
        <v>2365</v>
      </c>
      <c r="BL187" t="s">
        <v>2365</v>
      </c>
      <c r="BM187" t="s">
        <v>2365</v>
      </c>
      <c r="BO187">
        <v>4</v>
      </c>
      <c r="BP187">
        <v>49</v>
      </c>
      <c r="BQ187" t="s">
        <v>2433</v>
      </c>
      <c r="BR187" t="s">
        <v>1498</v>
      </c>
      <c r="BU187">
        <v>0</v>
      </c>
      <c r="BV187">
        <v>0</v>
      </c>
      <c r="BW187">
        <v>0</v>
      </c>
      <c r="BX187">
        <v>0</v>
      </c>
      <c r="BY187">
        <v>0</v>
      </c>
      <c r="BZ187">
        <v>0</v>
      </c>
      <c r="CA187">
        <v>0</v>
      </c>
      <c r="CB187">
        <v>0</v>
      </c>
      <c r="CC187">
        <v>0</v>
      </c>
      <c r="CD187">
        <v>0</v>
      </c>
      <c r="CE187">
        <v>0</v>
      </c>
      <c r="CF187">
        <v>25000</v>
      </c>
      <c r="CG187">
        <v>-25000</v>
      </c>
      <c r="CH187">
        <v>5356.83</v>
      </c>
      <c r="CI187">
        <v>0</v>
      </c>
      <c r="CJ187">
        <v>0</v>
      </c>
      <c r="CK187">
        <v>0</v>
      </c>
      <c r="CL187">
        <v>0</v>
      </c>
      <c r="CM187">
        <v>0</v>
      </c>
      <c r="CR187" t="s">
        <v>2328</v>
      </c>
      <c r="CS187" s="1369" t="str">
        <f>INDEX([8]Sheet1!$H:$H,MATCH(CR:CR,[8]Sheet1!$AU:$AU,0))</f>
        <v>Water Distribution</v>
      </c>
    </row>
    <row r="188" spans="1:97" x14ac:dyDescent="0.2">
      <c r="A188" t="s">
        <v>2682</v>
      </c>
      <c r="B188">
        <v>241</v>
      </c>
      <c r="C188" t="s">
        <v>2682</v>
      </c>
      <c r="D188">
        <v>41160</v>
      </c>
      <c r="E188" t="s">
        <v>2681</v>
      </c>
      <c r="F188">
        <v>2700</v>
      </c>
      <c r="G188" t="s">
        <v>656</v>
      </c>
      <c r="H188" t="s">
        <v>2478</v>
      </c>
      <c r="I188" t="s">
        <v>1802</v>
      </c>
      <c r="J188">
        <v>2703</v>
      </c>
      <c r="K188" t="s">
        <v>1802</v>
      </c>
      <c r="L188">
        <v>2100</v>
      </c>
      <c r="M188" t="s">
        <v>618</v>
      </c>
      <c r="N188">
        <v>2106</v>
      </c>
      <c r="O188" t="s">
        <v>1499</v>
      </c>
      <c r="P188" t="s">
        <v>2366</v>
      </c>
      <c r="Q188" t="s">
        <v>2364</v>
      </c>
      <c r="R188" t="s">
        <v>2364</v>
      </c>
      <c r="S188" t="s">
        <v>1881</v>
      </c>
      <c r="T188" t="s">
        <v>1812</v>
      </c>
      <c r="U188" t="s">
        <v>2365</v>
      </c>
      <c r="V188" t="s">
        <v>2365</v>
      </c>
      <c r="W188" t="s">
        <v>2365</v>
      </c>
      <c r="X188" t="s">
        <v>2365</v>
      </c>
      <c r="Y188" t="s">
        <v>2365</v>
      </c>
      <c r="Z188" t="s">
        <v>2365</v>
      </c>
      <c r="AA188" t="s">
        <v>2365</v>
      </c>
      <c r="AB188" t="s">
        <v>2365</v>
      </c>
      <c r="AC188" s="813" t="s">
        <v>2365</v>
      </c>
      <c r="AD188" s="813" t="s">
        <v>2365</v>
      </c>
      <c r="AE188" s="813" t="s">
        <v>2365</v>
      </c>
      <c r="AF188" t="s">
        <v>2365</v>
      </c>
      <c r="AG188" t="s">
        <v>2365</v>
      </c>
      <c r="AH188" t="s">
        <v>2365</v>
      </c>
      <c r="AI188" t="s">
        <v>2365</v>
      </c>
      <c r="AJ188" t="s">
        <v>2365</v>
      </c>
      <c r="AK188" t="s">
        <v>2365</v>
      </c>
      <c r="AL188" t="s">
        <v>2365</v>
      </c>
      <c r="AM188" t="s">
        <v>2365</v>
      </c>
      <c r="AN188" t="s">
        <v>2365</v>
      </c>
      <c r="AR188" t="s">
        <v>2365</v>
      </c>
      <c r="AS188" t="s">
        <v>2365</v>
      </c>
      <c r="AT188" t="s">
        <v>2365</v>
      </c>
      <c r="AU188" t="s">
        <v>2365</v>
      </c>
      <c r="AV188" t="s">
        <v>2365</v>
      </c>
      <c r="AW188" t="s">
        <v>2365</v>
      </c>
      <c r="AX188" t="s">
        <v>2365</v>
      </c>
      <c r="AY188" t="s">
        <v>2365</v>
      </c>
      <c r="AZ188">
        <v>790</v>
      </c>
      <c r="BA188" t="s">
        <v>1622</v>
      </c>
      <c r="BB188">
        <v>790</v>
      </c>
      <c r="BC188" t="s">
        <v>1622</v>
      </c>
      <c r="BD188" t="s">
        <v>1906</v>
      </c>
      <c r="BE188" t="s">
        <v>2365</v>
      </c>
      <c r="BF188" t="s">
        <v>2365</v>
      </c>
      <c r="BG188" t="s">
        <v>2365</v>
      </c>
      <c r="BH188" t="s">
        <v>2365</v>
      </c>
      <c r="BI188" t="s">
        <v>2366</v>
      </c>
      <c r="BJ188" t="s">
        <v>2365</v>
      </c>
      <c r="BK188" t="s">
        <v>2365</v>
      </c>
      <c r="BL188" t="s">
        <v>2365</v>
      </c>
      <c r="BM188" t="s">
        <v>2365</v>
      </c>
      <c r="BO188">
        <v>5</v>
      </c>
      <c r="BP188">
        <v>53</v>
      </c>
      <c r="BQ188" t="s">
        <v>2438</v>
      </c>
      <c r="BR188" t="s">
        <v>1499</v>
      </c>
      <c r="BU188">
        <v>2000000</v>
      </c>
      <c r="BV188">
        <v>0</v>
      </c>
      <c r="BW188">
        <v>2000000</v>
      </c>
      <c r="BX188">
        <v>2979775</v>
      </c>
      <c r="BY188">
        <v>4979775</v>
      </c>
      <c r="BZ188">
        <v>2200000</v>
      </c>
      <c r="CA188">
        <v>2420000</v>
      </c>
      <c r="CB188">
        <v>164925</v>
      </c>
      <c r="CC188">
        <v>210238.6</v>
      </c>
      <c r="CD188">
        <v>120000</v>
      </c>
      <c r="CE188">
        <v>0</v>
      </c>
      <c r="CF188">
        <v>0</v>
      </c>
      <c r="CG188">
        <v>183950.95</v>
      </c>
      <c r="CH188">
        <v>1463191.9600000002</v>
      </c>
      <c r="CI188">
        <v>459321.75</v>
      </c>
      <c r="CJ188">
        <v>101498.55</v>
      </c>
      <c r="CK188">
        <v>0</v>
      </c>
      <c r="CL188">
        <v>0</v>
      </c>
      <c r="CM188">
        <v>0</v>
      </c>
      <c r="CR188" t="s">
        <v>2328</v>
      </c>
      <c r="CS188" s="1369" t="str">
        <f>INDEX([8]Sheet1!$H:$H,MATCH(CR:CR,[8]Sheet1!$AU:$AU,0))</f>
        <v>Water Distribution</v>
      </c>
    </row>
    <row r="189" spans="1:97" x14ac:dyDescent="0.2">
      <c r="A189" t="s">
        <v>2683</v>
      </c>
      <c r="B189">
        <v>242</v>
      </c>
      <c r="C189" t="s">
        <v>2683</v>
      </c>
      <c r="D189">
        <v>41161</v>
      </c>
      <c r="E189" t="s">
        <v>2681</v>
      </c>
      <c r="F189">
        <v>2700</v>
      </c>
      <c r="G189" t="s">
        <v>656</v>
      </c>
      <c r="H189" t="s">
        <v>2478</v>
      </c>
      <c r="I189" t="s">
        <v>1802</v>
      </c>
      <c r="J189">
        <v>2703</v>
      </c>
      <c r="K189" t="s">
        <v>1802</v>
      </c>
      <c r="L189">
        <v>2100</v>
      </c>
      <c r="M189" t="s">
        <v>618</v>
      </c>
      <c r="N189">
        <v>2105</v>
      </c>
      <c r="O189" t="s">
        <v>1498</v>
      </c>
      <c r="P189" t="s">
        <v>2366</v>
      </c>
      <c r="Q189" t="s">
        <v>2364</v>
      </c>
      <c r="R189" t="s">
        <v>2364</v>
      </c>
      <c r="S189" t="s">
        <v>1881</v>
      </c>
      <c r="T189" t="s">
        <v>1812</v>
      </c>
      <c r="U189" t="s">
        <v>2365</v>
      </c>
      <c r="V189" t="s">
        <v>2365</v>
      </c>
      <c r="W189" t="s">
        <v>2365</v>
      </c>
      <c r="X189" t="s">
        <v>2365</v>
      </c>
      <c r="Y189" t="s">
        <v>2365</v>
      </c>
      <c r="Z189" t="s">
        <v>2365</v>
      </c>
      <c r="AA189" t="s">
        <v>2365</v>
      </c>
      <c r="AB189" t="s">
        <v>2365</v>
      </c>
      <c r="AC189" s="813" t="s">
        <v>2365</v>
      </c>
      <c r="AD189" s="813" t="s">
        <v>2365</v>
      </c>
      <c r="AE189" s="813" t="s">
        <v>2365</v>
      </c>
      <c r="AF189" t="s">
        <v>2365</v>
      </c>
      <c r="AG189" t="s">
        <v>2365</v>
      </c>
      <c r="AH189" t="s">
        <v>2365</v>
      </c>
      <c r="AI189" t="s">
        <v>2365</v>
      </c>
      <c r="AJ189" t="s">
        <v>2365</v>
      </c>
      <c r="AK189" t="s">
        <v>2365</v>
      </c>
      <c r="AL189" t="s">
        <v>2365</v>
      </c>
      <c r="AM189" t="s">
        <v>2365</v>
      </c>
      <c r="AN189" t="s">
        <v>2365</v>
      </c>
      <c r="AR189" t="s">
        <v>2365</v>
      </c>
      <c r="AS189" t="s">
        <v>2365</v>
      </c>
      <c r="AT189" t="s">
        <v>2365</v>
      </c>
      <c r="AU189" t="s">
        <v>2365</v>
      </c>
      <c r="AV189" t="s">
        <v>2365</v>
      </c>
      <c r="AW189" t="s">
        <v>2365</v>
      </c>
      <c r="AX189" t="s">
        <v>2365</v>
      </c>
      <c r="AY189" t="s">
        <v>2365</v>
      </c>
      <c r="AZ189">
        <v>810</v>
      </c>
      <c r="BA189" t="s">
        <v>1624</v>
      </c>
      <c r="BB189">
        <v>810</v>
      </c>
      <c r="BC189" t="s">
        <v>1624</v>
      </c>
      <c r="BD189" t="s">
        <v>1906</v>
      </c>
      <c r="BE189" t="s">
        <v>2365</v>
      </c>
      <c r="BF189" t="s">
        <v>2365</v>
      </c>
      <c r="BG189" t="s">
        <v>2365</v>
      </c>
      <c r="BH189" t="s">
        <v>2365</v>
      </c>
      <c r="BI189" t="s">
        <v>2366</v>
      </c>
      <c r="BJ189" t="s">
        <v>2365</v>
      </c>
      <c r="BK189" t="s">
        <v>2365</v>
      </c>
      <c r="BL189" t="s">
        <v>2365</v>
      </c>
      <c r="BM189" t="s">
        <v>2365</v>
      </c>
      <c r="BO189">
        <v>4</v>
      </c>
      <c r="BP189">
        <v>49</v>
      </c>
      <c r="BQ189" t="s">
        <v>2433</v>
      </c>
      <c r="BR189" t="s">
        <v>1498</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R189" t="s">
        <v>2328</v>
      </c>
      <c r="CS189" s="1369" t="str">
        <f>INDEX([8]Sheet1!$H:$H,MATCH(CR:CR,[8]Sheet1!$AU:$AU,0))</f>
        <v>Water Distribution</v>
      </c>
    </row>
    <row r="190" spans="1:97" x14ac:dyDescent="0.2">
      <c r="A190" t="s">
        <v>2684</v>
      </c>
      <c r="B190">
        <v>243</v>
      </c>
      <c r="C190" t="s">
        <v>2684</v>
      </c>
      <c r="D190">
        <v>41162</v>
      </c>
      <c r="E190" t="s">
        <v>2681</v>
      </c>
      <c r="F190">
        <v>2700</v>
      </c>
      <c r="G190" t="s">
        <v>656</v>
      </c>
      <c r="H190" t="s">
        <v>2478</v>
      </c>
      <c r="I190" t="s">
        <v>1802</v>
      </c>
      <c r="J190">
        <v>2703</v>
      </c>
      <c r="K190" t="s">
        <v>1802</v>
      </c>
      <c r="L190">
        <v>2100</v>
      </c>
      <c r="M190" t="s">
        <v>618</v>
      </c>
      <c r="N190">
        <v>2106</v>
      </c>
      <c r="O190" t="s">
        <v>1499</v>
      </c>
      <c r="P190" t="s">
        <v>2366</v>
      </c>
      <c r="Q190" t="s">
        <v>2364</v>
      </c>
      <c r="R190" t="s">
        <v>2364</v>
      </c>
      <c r="S190" t="s">
        <v>1881</v>
      </c>
      <c r="T190" t="s">
        <v>1812</v>
      </c>
      <c r="U190" t="s">
        <v>2365</v>
      </c>
      <c r="V190" t="s">
        <v>2365</v>
      </c>
      <c r="W190" t="s">
        <v>2365</v>
      </c>
      <c r="X190" t="s">
        <v>2365</v>
      </c>
      <c r="Y190" t="s">
        <v>2365</v>
      </c>
      <c r="Z190" t="s">
        <v>2365</v>
      </c>
      <c r="AA190" t="s">
        <v>2365</v>
      </c>
      <c r="AB190" t="s">
        <v>2365</v>
      </c>
      <c r="AC190" s="813" t="s">
        <v>2365</v>
      </c>
      <c r="AD190" s="813" t="s">
        <v>2365</v>
      </c>
      <c r="AE190" s="813" t="s">
        <v>2365</v>
      </c>
      <c r="AF190" t="s">
        <v>2365</v>
      </c>
      <c r="AG190" t="s">
        <v>2365</v>
      </c>
      <c r="AH190" t="s">
        <v>2365</v>
      </c>
      <c r="AI190" t="s">
        <v>2365</v>
      </c>
      <c r="AJ190" t="s">
        <v>2365</v>
      </c>
      <c r="AK190" t="s">
        <v>2365</v>
      </c>
      <c r="AL190" t="s">
        <v>2365</v>
      </c>
      <c r="AM190" t="s">
        <v>2365</v>
      </c>
      <c r="AN190" t="s">
        <v>2365</v>
      </c>
      <c r="AR190" t="s">
        <v>2365</v>
      </c>
      <c r="AS190" t="s">
        <v>2365</v>
      </c>
      <c r="AT190" t="s">
        <v>2365</v>
      </c>
      <c r="AU190" t="s">
        <v>2365</v>
      </c>
      <c r="AV190" t="s">
        <v>2365</v>
      </c>
      <c r="AW190" t="s">
        <v>2365</v>
      </c>
      <c r="AX190" t="s">
        <v>2365</v>
      </c>
      <c r="AY190" t="s">
        <v>2365</v>
      </c>
      <c r="AZ190">
        <v>810</v>
      </c>
      <c r="BA190" t="s">
        <v>1624</v>
      </c>
      <c r="BB190">
        <v>810</v>
      </c>
      <c r="BC190" t="s">
        <v>1624</v>
      </c>
      <c r="BD190" t="s">
        <v>1906</v>
      </c>
      <c r="BE190" t="s">
        <v>2365</v>
      </c>
      <c r="BF190" t="s">
        <v>2365</v>
      </c>
      <c r="BG190" t="s">
        <v>2365</v>
      </c>
      <c r="BH190" t="s">
        <v>2365</v>
      </c>
      <c r="BI190" t="s">
        <v>2366</v>
      </c>
      <c r="BJ190" t="s">
        <v>2365</v>
      </c>
      <c r="BK190" t="s">
        <v>2365</v>
      </c>
      <c r="BL190" t="s">
        <v>2365</v>
      </c>
      <c r="BM190" t="s">
        <v>2365</v>
      </c>
      <c r="BO190">
        <v>5</v>
      </c>
      <c r="BP190">
        <v>53</v>
      </c>
      <c r="BQ190" t="s">
        <v>2438</v>
      </c>
      <c r="BR190" t="s">
        <v>1499</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R190" t="s">
        <v>2328</v>
      </c>
      <c r="CS190" s="1369" t="str">
        <f>INDEX([8]Sheet1!$H:$H,MATCH(CR:CR,[8]Sheet1!$AU:$AU,0))</f>
        <v>Water Distribution</v>
      </c>
    </row>
    <row r="191" spans="1:97" x14ac:dyDescent="0.2">
      <c r="A191" t="s">
        <v>2685</v>
      </c>
      <c r="B191">
        <v>244</v>
      </c>
      <c r="C191" t="s">
        <v>2685</v>
      </c>
      <c r="D191">
        <v>41200</v>
      </c>
      <c r="E191" t="s">
        <v>2437</v>
      </c>
      <c r="F191" t="s">
        <v>2364</v>
      </c>
      <c r="G191" t="s">
        <v>2364</v>
      </c>
      <c r="H191" t="s">
        <v>2365</v>
      </c>
      <c r="I191" t="s">
        <v>2365</v>
      </c>
      <c r="J191" t="s">
        <v>2365</v>
      </c>
      <c r="K191" t="s">
        <v>2365</v>
      </c>
      <c r="L191">
        <v>4100</v>
      </c>
      <c r="M191" t="s">
        <v>1482</v>
      </c>
      <c r="N191">
        <v>4101</v>
      </c>
      <c r="O191" t="s">
        <v>1550</v>
      </c>
      <c r="P191" t="s">
        <v>1846</v>
      </c>
      <c r="Q191">
        <v>2010</v>
      </c>
      <c r="R191" t="s">
        <v>668</v>
      </c>
      <c r="S191" t="s">
        <v>552</v>
      </c>
      <c r="T191" t="s">
        <v>2175</v>
      </c>
      <c r="U191">
        <v>240</v>
      </c>
      <c r="V191" t="s">
        <v>2389</v>
      </c>
      <c r="W191">
        <v>240</v>
      </c>
      <c r="X191" t="s">
        <v>701</v>
      </c>
      <c r="Y191" t="s">
        <v>2365</v>
      </c>
      <c r="Z191" t="s">
        <v>2365</v>
      </c>
      <c r="AA191" t="s">
        <v>2365</v>
      </c>
      <c r="AB191" t="s">
        <v>2365</v>
      </c>
      <c r="AC191" s="813" t="s">
        <v>2365</v>
      </c>
      <c r="AD191" s="813" t="s">
        <v>2365</v>
      </c>
      <c r="AE191" s="813" t="s">
        <v>2365</v>
      </c>
      <c r="AF191" t="s">
        <v>2365</v>
      </c>
      <c r="AG191" t="s">
        <v>2365</v>
      </c>
      <c r="AH191" t="s">
        <v>2365</v>
      </c>
      <c r="AI191" t="s">
        <v>2365</v>
      </c>
      <c r="AJ191" t="s">
        <v>2365</v>
      </c>
      <c r="AK191">
        <v>241</v>
      </c>
      <c r="AL191" t="s">
        <v>1203</v>
      </c>
      <c r="AM191">
        <v>241</v>
      </c>
      <c r="AN191" t="s">
        <v>1203</v>
      </c>
      <c r="AR191">
        <v>270</v>
      </c>
      <c r="AS191" t="s">
        <v>1583</v>
      </c>
      <c r="AT191">
        <v>270</v>
      </c>
      <c r="AU191" t="s">
        <v>1583</v>
      </c>
      <c r="AV191" t="s">
        <v>2365</v>
      </c>
      <c r="AW191" t="s">
        <v>2365</v>
      </c>
      <c r="AX191" t="s">
        <v>2365</v>
      </c>
      <c r="AY191" t="s">
        <v>2365</v>
      </c>
      <c r="AZ191" t="s">
        <v>2365</v>
      </c>
      <c r="BA191" t="s">
        <v>2365</v>
      </c>
      <c r="BB191" t="s">
        <v>2365</v>
      </c>
      <c r="BC191" t="s">
        <v>2365</v>
      </c>
      <c r="BD191" t="s">
        <v>2366</v>
      </c>
      <c r="BE191" t="s">
        <v>2365</v>
      </c>
      <c r="BF191" t="s">
        <v>2365</v>
      </c>
      <c r="BG191" t="s">
        <v>2365</v>
      </c>
      <c r="BH191" t="s">
        <v>2365</v>
      </c>
      <c r="BI191" t="s">
        <v>2366</v>
      </c>
      <c r="BJ191" t="s">
        <v>2365</v>
      </c>
      <c r="BK191" t="s">
        <v>2365</v>
      </c>
      <c r="BL191" t="s">
        <v>2365</v>
      </c>
      <c r="BM191" t="s">
        <v>2365</v>
      </c>
      <c r="BO191">
        <v>6</v>
      </c>
      <c r="BP191">
        <v>61</v>
      </c>
      <c r="BQ191" t="s">
        <v>2445</v>
      </c>
      <c r="BR191" t="s">
        <v>628</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R191" t="s">
        <v>2329</v>
      </c>
      <c r="CS191" s="1369" t="str">
        <f>INDEX([8]Sheet1!$H:$H,MATCH(CR:CR,[8]Sheet1!$AU:$AU,0))</f>
        <v>Sewerage</v>
      </c>
    </row>
    <row r="192" spans="1:97" x14ac:dyDescent="0.2">
      <c r="A192" t="s">
        <v>2686</v>
      </c>
      <c r="B192">
        <v>245</v>
      </c>
      <c r="C192" t="s">
        <v>2686</v>
      </c>
      <c r="D192">
        <v>41032</v>
      </c>
      <c r="E192" t="s">
        <v>2437</v>
      </c>
      <c r="F192" t="s">
        <v>2364</v>
      </c>
      <c r="G192" t="s">
        <v>2364</v>
      </c>
      <c r="H192" t="s">
        <v>2365</v>
      </c>
      <c r="I192" t="s">
        <v>2365</v>
      </c>
      <c r="J192" t="s">
        <v>2365</v>
      </c>
      <c r="K192" t="s">
        <v>2365</v>
      </c>
      <c r="L192">
        <v>2100</v>
      </c>
      <c r="M192" t="s">
        <v>618</v>
      </c>
      <c r="N192">
        <v>2105</v>
      </c>
      <c r="O192" t="s">
        <v>1498</v>
      </c>
      <c r="P192" t="s">
        <v>1846</v>
      </c>
      <c r="Q192">
        <v>2010</v>
      </c>
      <c r="R192" t="s">
        <v>668</v>
      </c>
      <c r="S192" t="s">
        <v>552</v>
      </c>
      <c r="T192" t="s">
        <v>2175</v>
      </c>
      <c r="U192">
        <v>240</v>
      </c>
      <c r="V192" t="s">
        <v>2389</v>
      </c>
      <c r="W192">
        <v>240</v>
      </c>
      <c r="X192" t="s">
        <v>701</v>
      </c>
      <c r="Y192" t="s">
        <v>2365</v>
      </c>
      <c r="Z192" t="s">
        <v>2365</v>
      </c>
      <c r="AA192" t="s">
        <v>2365</v>
      </c>
      <c r="AB192" t="s">
        <v>2365</v>
      </c>
      <c r="AC192" s="813" t="s">
        <v>2365</v>
      </c>
      <c r="AD192" s="813" t="s">
        <v>2365</v>
      </c>
      <c r="AE192" s="813" t="s">
        <v>2365</v>
      </c>
      <c r="AF192" t="s">
        <v>2365</v>
      </c>
      <c r="AG192" t="s">
        <v>2365</v>
      </c>
      <c r="AH192" t="s">
        <v>2365</v>
      </c>
      <c r="AI192" t="s">
        <v>2365</v>
      </c>
      <c r="AJ192" t="s">
        <v>2365</v>
      </c>
      <c r="AK192">
        <v>241</v>
      </c>
      <c r="AL192" t="s">
        <v>1203</v>
      </c>
      <c r="AM192">
        <v>241</v>
      </c>
      <c r="AN192" t="s">
        <v>1203</v>
      </c>
      <c r="AR192">
        <v>810</v>
      </c>
      <c r="AS192" t="s">
        <v>1624</v>
      </c>
      <c r="AT192">
        <v>810</v>
      </c>
      <c r="AU192" t="s">
        <v>1624</v>
      </c>
      <c r="AV192" t="s">
        <v>2365</v>
      </c>
      <c r="AW192" t="s">
        <v>2365</v>
      </c>
      <c r="AX192" t="s">
        <v>2365</v>
      </c>
      <c r="AY192" t="s">
        <v>2365</v>
      </c>
      <c r="AZ192" t="s">
        <v>2365</v>
      </c>
      <c r="BA192" t="s">
        <v>2365</v>
      </c>
      <c r="BB192" t="s">
        <v>2365</v>
      </c>
      <c r="BC192" t="s">
        <v>2365</v>
      </c>
      <c r="BD192" t="s">
        <v>2366</v>
      </c>
      <c r="BE192" t="s">
        <v>2365</v>
      </c>
      <c r="BF192" t="s">
        <v>2365</v>
      </c>
      <c r="BG192" t="s">
        <v>2365</v>
      </c>
      <c r="BH192" t="s">
        <v>2365</v>
      </c>
      <c r="BI192" t="s">
        <v>2366</v>
      </c>
      <c r="BJ192" t="s">
        <v>2365</v>
      </c>
      <c r="BK192" t="s">
        <v>2365</v>
      </c>
      <c r="BL192" t="s">
        <v>2365</v>
      </c>
      <c r="BM192" t="s">
        <v>2365</v>
      </c>
      <c r="BO192">
        <v>4</v>
      </c>
      <c r="BP192">
        <v>49</v>
      </c>
      <c r="BQ192" t="s">
        <v>2433</v>
      </c>
      <c r="BR192" t="s">
        <v>1498</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R192" t="s">
        <v>2330</v>
      </c>
      <c r="CS192" s="1369" t="str">
        <f>INDEX([8]Sheet1!$H:$H,MATCH(CR:CR,[8]Sheet1!$AU:$AU,0))</f>
        <v>Water Treatment</v>
      </c>
    </row>
    <row r="193" spans="1:97" x14ac:dyDescent="0.2">
      <c r="A193" t="s">
        <v>2687</v>
      </c>
      <c r="B193">
        <v>246</v>
      </c>
      <c r="C193" t="s">
        <v>2687</v>
      </c>
      <c r="D193">
        <v>51859</v>
      </c>
      <c r="E193" t="s">
        <v>2437</v>
      </c>
      <c r="F193" t="s">
        <v>2364</v>
      </c>
      <c r="G193" t="s">
        <v>2364</v>
      </c>
      <c r="H193" t="s">
        <v>2365</v>
      </c>
      <c r="I193" t="s">
        <v>2365</v>
      </c>
      <c r="J193" t="s">
        <v>2365</v>
      </c>
      <c r="K193" t="s">
        <v>2365</v>
      </c>
      <c r="L193">
        <v>2100</v>
      </c>
      <c r="M193" t="s">
        <v>618</v>
      </c>
      <c r="N193">
        <v>2106</v>
      </c>
      <c r="O193" t="s">
        <v>1499</v>
      </c>
      <c r="P193" t="s">
        <v>1846</v>
      </c>
      <c r="Q193">
        <v>2010</v>
      </c>
      <c r="R193" t="s">
        <v>668</v>
      </c>
      <c r="S193" t="s">
        <v>552</v>
      </c>
      <c r="T193" t="s">
        <v>2175</v>
      </c>
      <c r="U193">
        <v>240</v>
      </c>
      <c r="V193" t="s">
        <v>2389</v>
      </c>
      <c r="W193">
        <v>240</v>
      </c>
      <c r="X193" t="s">
        <v>701</v>
      </c>
      <c r="Y193" t="s">
        <v>2365</v>
      </c>
      <c r="Z193" t="s">
        <v>2365</v>
      </c>
      <c r="AA193" t="s">
        <v>2365</v>
      </c>
      <c r="AB193" t="s">
        <v>2365</v>
      </c>
      <c r="AC193" s="813" t="s">
        <v>2365</v>
      </c>
      <c r="AD193" s="813" t="s">
        <v>2365</v>
      </c>
      <c r="AE193" s="813" t="s">
        <v>2365</v>
      </c>
      <c r="AF193" t="s">
        <v>2365</v>
      </c>
      <c r="AG193" t="s">
        <v>2365</v>
      </c>
      <c r="AH193" t="s">
        <v>2365</v>
      </c>
      <c r="AI193" t="s">
        <v>2365</v>
      </c>
      <c r="AJ193" t="s">
        <v>2365</v>
      </c>
      <c r="AK193">
        <v>241</v>
      </c>
      <c r="AL193" t="s">
        <v>1203</v>
      </c>
      <c r="AM193">
        <v>241</v>
      </c>
      <c r="AN193" t="s">
        <v>1203</v>
      </c>
      <c r="AR193">
        <v>790</v>
      </c>
      <c r="AS193" t="s">
        <v>1622</v>
      </c>
      <c r="AT193">
        <v>790</v>
      </c>
      <c r="AU193" t="s">
        <v>1622</v>
      </c>
      <c r="AV193" t="s">
        <v>2365</v>
      </c>
      <c r="AW193" t="s">
        <v>2365</v>
      </c>
      <c r="AX193" t="s">
        <v>2365</v>
      </c>
      <c r="AY193" t="s">
        <v>2365</v>
      </c>
      <c r="AZ193" t="s">
        <v>2365</v>
      </c>
      <c r="BA193" t="s">
        <v>2365</v>
      </c>
      <c r="BB193" t="s">
        <v>2365</v>
      </c>
      <c r="BC193" t="s">
        <v>2365</v>
      </c>
      <c r="BD193" t="s">
        <v>2366</v>
      </c>
      <c r="BE193" t="s">
        <v>2365</v>
      </c>
      <c r="BF193" t="s">
        <v>2365</v>
      </c>
      <c r="BG193" t="s">
        <v>2365</v>
      </c>
      <c r="BH193" t="s">
        <v>2365</v>
      </c>
      <c r="BI193" t="s">
        <v>2366</v>
      </c>
      <c r="BJ193" t="s">
        <v>2365</v>
      </c>
      <c r="BK193" t="s">
        <v>2365</v>
      </c>
      <c r="BL193" t="s">
        <v>2365</v>
      </c>
      <c r="BM193" t="s">
        <v>2365</v>
      </c>
      <c r="BO193">
        <v>5</v>
      </c>
      <c r="BP193">
        <v>53</v>
      </c>
      <c r="BQ193" t="s">
        <v>2438</v>
      </c>
      <c r="BR193" t="s">
        <v>1499</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R193" t="s">
        <v>2331</v>
      </c>
      <c r="CS193" s="1369" t="str">
        <f>INDEX([8]Sheet1!$H:$H,MATCH(CR:CR,[8]Sheet1!$AU:$AU,0))</f>
        <v>Waste Water Treatment</v>
      </c>
    </row>
    <row r="194" spans="1:97" x14ac:dyDescent="0.2">
      <c r="A194" t="s">
        <v>2688</v>
      </c>
      <c r="B194">
        <v>247</v>
      </c>
      <c r="C194" t="s">
        <v>2688</v>
      </c>
      <c r="D194">
        <v>41048</v>
      </c>
      <c r="E194" t="s">
        <v>2437</v>
      </c>
      <c r="F194" t="s">
        <v>2364</v>
      </c>
      <c r="G194" t="s">
        <v>2364</v>
      </c>
      <c r="H194" t="s">
        <v>2365</v>
      </c>
      <c r="I194" t="s">
        <v>2365</v>
      </c>
      <c r="J194" t="s">
        <v>2365</v>
      </c>
      <c r="K194" t="s">
        <v>2365</v>
      </c>
      <c r="L194">
        <v>2100</v>
      </c>
      <c r="M194" t="s">
        <v>618</v>
      </c>
      <c r="N194">
        <v>2105</v>
      </c>
      <c r="O194" t="s">
        <v>1498</v>
      </c>
      <c r="P194" t="s">
        <v>1846</v>
      </c>
      <c r="Q194">
        <v>2010</v>
      </c>
      <c r="R194" t="s">
        <v>668</v>
      </c>
      <c r="S194" t="s">
        <v>552</v>
      </c>
      <c r="T194" t="s">
        <v>2175</v>
      </c>
      <c r="U194">
        <v>240</v>
      </c>
      <c r="V194" t="s">
        <v>2389</v>
      </c>
      <c r="W194">
        <v>240</v>
      </c>
      <c r="X194" t="s">
        <v>701</v>
      </c>
      <c r="Y194" t="s">
        <v>2365</v>
      </c>
      <c r="Z194" t="s">
        <v>2365</v>
      </c>
      <c r="AA194" t="s">
        <v>2365</v>
      </c>
      <c r="AB194" t="s">
        <v>2365</v>
      </c>
      <c r="AC194" s="813" t="s">
        <v>2365</v>
      </c>
      <c r="AD194" s="813" t="s">
        <v>2365</v>
      </c>
      <c r="AE194" s="813" t="s">
        <v>2365</v>
      </c>
      <c r="AF194" t="s">
        <v>2365</v>
      </c>
      <c r="AG194" t="s">
        <v>2365</v>
      </c>
      <c r="AH194" t="s">
        <v>2365</v>
      </c>
      <c r="AI194" t="s">
        <v>2365</v>
      </c>
      <c r="AJ194" t="s">
        <v>2365</v>
      </c>
      <c r="AK194">
        <v>241</v>
      </c>
      <c r="AL194" t="s">
        <v>1203</v>
      </c>
      <c r="AM194">
        <v>241</v>
      </c>
      <c r="AN194" t="s">
        <v>1203</v>
      </c>
      <c r="AR194">
        <v>810</v>
      </c>
      <c r="AS194" t="s">
        <v>1624</v>
      </c>
      <c r="AT194">
        <v>810</v>
      </c>
      <c r="AU194" t="s">
        <v>1624</v>
      </c>
      <c r="AV194" t="s">
        <v>2365</v>
      </c>
      <c r="AW194" t="s">
        <v>2365</v>
      </c>
      <c r="AX194" t="s">
        <v>2365</v>
      </c>
      <c r="AY194" t="s">
        <v>2365</v>
      </c>
      <c r="AZ194" t="s">
        <v>2365</v>
      </c>
      <c r="BA194" t="s">
        <v>2365</v>
      </c>
      <c r="BB194" t="s">
        <v>2365</v>
      </c>
      <c r="BC194" t="s">
        <v>2365</v>
      </c>
      <c r="BD194" t="s">
        <v>2366</v>
      </c>
      <c r="BE194" t="s">
        <v>2365</v>
      </c>
      <c r="BF194" t="s">
        <v>2365</v>
      </c>
      <c r="BG194" t="s">
        <v>2365</v>
      </c>
      <c r="BH194" t="s">
        <v>2365</v>
      </c>
      <c r="BI194" t="s">
        <v>2366</v>
      </c>
      <c r="BJ194" t="s">
        <v>2365</v>
      </c>
      <c r="BK194" t="s">
        <v>2365</v>
      </c>
      <c r="BL194" t="s">
        <v>2365</v>
      </c>
      <c r="BM194" t="s">
        <v>2365</v>
      </c>
      <c r="BO194">
        <v>4</v>
      </c>
      <c r="BP194">
        <v>49</v>
      </c>
      <c r="BQ194" t="s">
        <v>2433</v>
      </c>
      <c r="BR194" t="s">
        <v>1498</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R194" t="s">
        <v>2330</v>
      </c>
      <c r="CS194" s="1369" t="str">
        <f>INDEX([8]Sheet1!$H:$H,MATCH(CR:CR,[8]Sheet1!$AU:$AU,0))</f>
        <v>Water Treatment</v>
      </c>
    </row>
    <row r="195" spans="1:97" x14ac:dyDescent="0.2">
      <c r="A195" t="s">
        <v>2689</v>
      </c>
      <c r="B195">
        <v>248</v>
      </c>
      <c r="C195" t="s">
        <v>2689</v>
      </c>
      <c r="D195">
        <v>41052</v>
      </c>
      <c r="E195" t="s">
        <v>2437</v>
      </c>
      <c r="F195" t="s">
        <v>2364</v>
      </c>
      <c r="G195" t="s">
        <v>2364</v>
      </c>
      <c r="H195" t="s">
        <v>2365</v>
      </c>
      <c r="I195" t="s">
        <v>2365</v>
      </c>
      <c r="J195" t="s">
        <v>2365</v>
      </c>
      <c r="K195" t="s">
        <v>2365</v>
      </c>
      <c r="L195">
        <v>2100</v>
      </c>
      <c r="M195" t="s">
        <v>618</v>
      </c>
      <c r="N195">
        <v>2105</v>
      </c>
      <c r="O195" t="s">
        <v>1498</v>
      </c>
      <c r="P195" t="s">
        <v>1846</v>
      </c>
      <c r="Q195">
        <v>2010</v>
      </c>
      <c r="R195" t="s">
        <v>668</v>
      </c>
      <c r="S195" t="s">
        <v>552</v>
      </c>
      <c r="T195" t="s">
        <v>2175</v>
      </c>
      <c r="U195">
        <v>240</v>
      </c>
      <c r="V195" t="s">
        <v>2389</v>
      </c>
      <c r="W195">
        <v>240</v>
      </c>
      <c r="X195" t="s">
        <v>701</v>
      </c>
      <c r="Y195" t="s">
        <v>2365</v>
      </c>
      <c r="Z195" t="s">
        <v>2365</v>
      </c>
      <c r="AA195" t="s">
        <v>2365</v>
      </c>
      <c r="AB195" t="s">
        <v>2365</v>
      </c>
      <c r="AC195" s="813" t="s">
        <v>2365</v>
      </c>
      <c r="AD195" s="813" t="s">
        <v>2365</v>
      </c>
      <c r="AE195" s="813" t="s">
        <v>2365</v>
      </c>
      <c r="AF195" t="s">
        <v>2365</v>
      </c>
      <c r="AG195" t="s">
        <v>2365</v>
      </c>
      <c r="AH195" t="s">
        <v>2365</v>
      </c>
      <c r="AI195" t="s">
        <v>2365</v>
      </c>
      <c r="AJ195" t="s">
        <v>2365</v>
      </c>
      <c r="AK195">
        <v>241</v>
      </c>
      <c r="AL195" t="s">
        <v>1203</v>
      </c>
      <c r="AM195">
        <v>241</v>
      </c>
      <c r="AN195" t="s">
        <v>1203</v>
      </c>
      <c r="AR195">
        <v>790</v>
      </c>
      <c r="AS195" t="s">
        <v>1622</v>
      </c>
      <c r="AT195">
        <v>790</v>
      </c>
      <c r="AU195" t="s">
        <v>1622</v>
      </c>
      <c r="AV195" t="s">
        <v>2365</v>
      </c>
      <c r="AW195" t="s">
        <v>2365</v>
      </c>
      <c r="AX195" t="s">
        <v>2365</v>
      </c>
      <c r="AY195" t="s">
        <v>2365</v>
      </c>
      <c r="AZ195" t="s">
        <v>2365</v>
      </c>
      <c r="BA195" t="s">
        <v>2365</v>
      </c>
      <c r="BB195" t="s">
        <v>2365</v>
      </c>
      <c r="BC195" t="s">
        <v>2365</v>
      </c>
      <c r="BD195" t="s">
        <v>2366</v>
      </c>
      <c r="BE195" t="s">
        <v>2365</v>
      </c>
      <c r="BF195" t="s">
        <v>2365</v>
      </c>
      <c r="BG195" t="s">
        <v>2365</v>
      </c>
      <c r="BH195" t="s">
        <v>2365</v>
      </c>
      <c r="BI195" t="s">
        <v>2366</v>
      </c>
      <c r="BJ195" t="s">
        <v>2365</v>
      </c>
      <c r="BK195" t="s">
        <v>2365</v>
      </c>
      <c r="BL195" t="s">
        <v>2365</v>
      </c>
      <c r="BM195" t="s">
        <v>2365</v>
      </c>
      <c r="BO195">
        <v>4</v>
      </c>
      <c r="BP195">
        <v>49</v>
      </c>
      <c r="BQ195" t="s">
        <v>2433</v>
      </c>
      <c r="BR195" t="s">
        <v>1498</v>
      </c>
      <c r="BU195">
        <v>0</v>
      </c>
      <c r="BV195">
        <v>0</v>
      </c>
      <c r="BW195">
        <v>0</v>
      </c>
      <c r="BX195">
        <v>507082</v>
      </c>
      <c r="BY195">
        <v>507082</v>
      </c>
      <c r="BZ195">
        <v>0</v>
      </c>
      <c r="CA195">
        <v>0</v>
      </c>
      <c r="CB195">
        <v>0</v>
      </c>
      <c r="CC195">
        <v>0</v>
      </c>
      <c r="CD195">
        <v>0</v>
      </c>
      <c r="CE195">
        <v>124174.8</v>
      </c>
      <c r="CF195">
        <v>0</v>
      </c>
      <c r="CG195">
        <v>0</v>
      </c>
      <c r="CH195">
        <v>0</v>
      </c>
      <c r="CI195">
        <v>0</v>
      </c>
      <c r="CJ195">
        <v>0</v>
      </c>
      <c r="CK195">
        <v>0</v>
      </c>
      <c r="CL195">
        <v>0</v>
      </c>
      <c r="CM195">
        <v>0</v>
      </c>
      <c r="CR195" t="s">
        <v>2329</v>
      </c>
      <c r="CS195" s="1369" t="str">
        <f>INDEX([8]Sheet1!$H:$H,MATCH(CR:CR,[8]Sheet1!$AU:$AU,0))</f>
        <v>Sewerage</v>
      </c>
    </row>
    <row r="196" spans="1:97" x14ac:dyDescent="0.2">
      <c r="A196" t="s">
        <v>2690</v>
      </c>
      <c r="B196">
        <v>249</v>
      </c>
      <c r="C196" t="s">
        <v>2690</v>
      </c>
      <c r="D196">
        <v>41414</v>
      </c>
      <c r="E196" t="s">
        <v>2691</v>
      </c>
      <c r="F196" t="s">
        <v>2364</v>
      </c>
      <c r="G196" t="s">
        <v>2364</v>
      </c>
      <c r="H196" t="s">
        <v>2365</v>
      </c>
      <c r="I196" t="s">
        <v>2365</v>
      </c>
      <c r="J196" t="s">
        <v>2365</v>
      </c>
      <c r="K196" t="s">
        <v>2365</v>
      </c>
      <c r="L196">
        <v>3200</v>
      </c>
      <c r="M196" t="s">
        <v>625</v>
      </c>
      <c r="N196">
        <v>3205</v>
      </c>
      <c r="O196" t="s">
        <v>1002</v>
      </c>
      <c r="P196" t="s">
        <v>1846</v>
      </c>
      <c r="Q196">
        <v>2080</v>
      </c>
      <c r="R196" t="s">
        <v>579</v>
      </c>
      <c r="S196" t="s">
        <v>552</v>
      </c>
      <c r="T196" t="s">
        <v>2175</v>
      </c>
      <c r="U196">
        <v>240</v>
      </c>
      <c r="V196" t="s">
        <v>2389</v>
      </c>
      <c r="W196">
        <v>240</v>
      </c>
      <c r="X196" t="s">
        <v>701</v>
      </c>
      <c r="Y196" t="s">
        <v>2365</v>
      </c>
      <c r="Z196" t="s">
        <v>2365</v>
      </c>
      <c r="AA196" t="s">
        <v>2365</v>
      </c>
      <c r="AB196" t="s">
        <v>2365</v>
      </c>
      <c r="AC196" s="813" t="s">
        <v>2365</v>
      </c>
      <c r="AD196" s="813" t="s">
        <v>2365</v>
      </c>
      <c r="AE196" s="813" t="s">
        <v>2365</v>
      </c>
      <c r="AF196" t="s">
        <v>2365</v>
      </c>
      <c r="AG196">
        <v>110</v>
      </c>
      <c r="AH196" t="s">
        <v>1568</v>
      </c>
      <c r="AI196">
        <v>110</v>
      </c>
      <c r="AJ196" t="s">
        <v>1568</v>
      </c>
      <c r="AK196">
        <v>241</v>
      </c>
      <c r="AL196" t="s">
        <v>1203</v>
      </c>
      <c r="AM196">
        <v>241</v>
      </c>
      <c r="AN196" t="s">
        <v>1203</v>
      </c>
      <c r="AR196" t="s">
        <v>2365</v>
      </c>
      <c r="AS196" t="s">
        <v>2365</v>
      </c>
      <c r="AT196" t="s">
        <v>2365</v>
      </c>
      <c r="AU196" t="s">
        <v>2365</v>
      </c>
      <c r="AV196">
        <v>120</v>
      </c>
      <c r="AW196" t="s">
        <v>1002</v>
      </c>
      <c r="AX196">
        <v>120</v>
      </c>
      <c r="AY196" t="s">
        <v>1002</v>
      </c>
      <c r="AZ196" t="s">
        <v>2365</v>
      </c>
      <c r="BA196" t="s">
        <v>2365</v>
      </c>
      <c r="BB196" t="s">
        <v>2365</v>
      </c>
      <c r="BC196" t="s">
        <v>2365</v>
      </c>
      <c r="BD196" t="s">
        <v>2366</v>
      </c>
      <c r="BE196" t="s">
        <v>2365</v>
      </c>
      <c r="BF196" t="s">
        <v>2365</v>
      </c>
      <c r="BG196" t="s">
        <v>2365</v>
      </c>
      <c r="BH196" t="s">
        <v>2365</v>
      </c>
      <c r="BI196" t="s">
        <v>2366</v>
      </c>
      <c r="BJ196" t="s">
        <v>2365</v>
      </c>
      <c r="BK196" t="s">
        <v>2365</v>
      </c>
      <c r="BL196" t="s">
        <v>2365</v>
      </c>
      <c r="BM196" t="s">
        <v>2365</v>
      </c>
      <c r="BO196">
        <v>7</v>
      </c>
      <c r="BP196">
        <v>71</v>
      </c>
      <c r="BQ196" t="s">
        <v>2665</v>
      </c>
      <c r="BR196" t="s">
        <v>1002</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R196" t="s">
        <v>2331</v>
      </c>
      <c r="CS196" s="1369" t="str">
        <f>INDEX([8]Sheet1!$H:$H,MATCH(CR:CR,[8]Sheet1!$AU:$AU,0))</f>
        <v>Waste Water Treatment</v>
      </c>
    </row>
    <row r="197" spans="1:97" x14ac:dyDescent="0.2">
      <c r="A197" t="s">
        <v>2692</v>
      </c>
      <c r="B197">
        <v>250</v>
      </c>
      <c r="C197" t="s">
        <v>2692</v>
      </c>
      <c r="D197">
        <v>41415</v>
      </c>
      <c r="E197" t="s">
        <v>2437</v>
      </c>
      <c r="F197" t="s">
        <v>2364</v>
      </c>
      <c r="G197" t="s">
        <v>2364</v>
      </c>
      <c r="H197" t="s">
        <v>2365</v>
      </c>
      <c r="I197" t="s">
        <v>2365</v>
      </c>
      <c r="J197" t="s">
        <v>2365</v>
      </c>
      <c r="K197" t="s">
        <v>2365</v>
      </c>
      <c r="L197">
        <v>3200</v>
      </c>
      <c r="M197" t="s">
        <v>625</v>
      </c>
      <c r="N197">
        <v>3205</v>
      </c>
      <c r="O197" t="s">
        <v>1002</v>
      </c>
      <c r="P197" t="s">
        <v>1846</v>
      </c>
      <c r="Q197">
        <v>2080</v>
      </c>
      <c r="R197" t="s">
        <v>579</v>
      </c>
      <c r="S197" t="s">
        <v>552</v>
      </c>
      <c r="T197" t="s">
        <v>2175</v>
      </c>
      <c r="U197">
        <v>240</v>
      </c>
      <c r="V197" t="s">
        <v>2389</v>
      </c>
      <c r="W197">
        <v>240</v>
      </c>
      <c r="X197" t="s">
        <v>701</v>
      </c>
      <c r="Y197" t="s">
        <v>2365</v>
      </c>
      <c r="Z197" t="s">
        <v>2365</v>
      </c>
      <c r="AA197" t="s">
        <v>2365</v>
      </c>
      <c r="AB197" t="s">
        <v>2365</v>
      </c>
      <c r="AC197" s="813" t="s">
        <v>2365</v>
      </c>
      <c r="AD197" s="813" t="s">
        <v>2365</v>
      </c>
      <c r="AE197" s="813" t="s">
        <v>2365</v>
      </c>
      <c r="AF197" t="s">
        <v>2365</v>
      </c>
      <c r="AG197" t="s">
        <v>2365</v>
      </c>
      <c r="AH197" t="s">
        <v>2365</v>
      </c>
      <c r="AI197" t="s">
        <v>2365</v>
      </c>
      <c r="AJ197" t="s">
        <v>2365</v>
      </c>
      <c r="AK197">
        <v>241</v>
      </c>
      <c r="AL197" t="s">
        <v>1203</v>
      </c>
      <c r="AM197">
        <v>241</v>
      </c>
      <c r="AN197" t="s">
        <v>1203</v>
      </c>
      <c r="AR197" t="s">
        <v>2365</v>
      </c>
      <c r="AS197" t="s">
        <v>2365</v>
      </c>
      <c r="AT197" t="s">
        <v>2365</v>
      </c>
      <c r="AU197" t="s">
        <v>2365</v>
      </c>
      <c r="AV197">
        <v>120</v>
      </c>
      <c r="AW197" t="s">
        <v>1002</v>
      </c>
      <c r="AX197">
        <v>120</v>
      </c>
      <c r="AY197" t="s">
        <v>1002</v>
      </c>
      <c r="AZ197" t="s">
        <v>2365</v>
      </c>
      <c r="BA197" t="s">
        <v>2365</v>
      </c>
      <c r="BB197" t="s">
        <v>2365</v>
      </c>
      <c r="BC197" t="s">
        <v>2365</v>
      </c>
      <c r="BD197" t="s">
        <v>2366</v>
      </c>
      <c r="BE197" t="s">
        <v>2365</v>
      </c>
      <c r="BF197" t="s">
        <v>2365</v>
      </c>
      <c r="BG197" t="s">
        <v>2365</v>
      </c>
      <c r="BH197" t="s">
        <v>2365</v>
      </c>
      <c r="BI197" t="s">
        <v>2366</v>
      </c>
      <c r="BJ197" t="s">
        <v>2365</v>
      </c>
      <c r="BK197" t="s">
        <v>2365</v>
      </c>
      <c r="BL197" t="s">
        <v>2365</v>
      </c>
      <c r="BM197" t="s">
        <v>2365</v>
      </c>
      <c r="BO197">
        <v>7</v>
      </c>
      <c r="BP197">
        <v>71</v>
      </c>
      <c r="BQ197" t="s">
        <v>2665</v>
      </c>
      <c r="BR197" t="s">
        <v>1002</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R197" t="s">
        <v>2332</v>
      </c>
      <c r="CS197" s="1369" t="str">
        <f>INDEX([8]Sheet1!$H:$H,MATCH(CR:CR,[8]Sheet1!$AU:$AU,0))</f>
        <v>Water Storage</v>
      </c>
    </row>
    <row r="198" spans="1:97" x14ac:dyDescent="0.2">
      <c r="A198" t="s">
        <v>2693</v>
      </c>
      <c r="B198">
        <v>251</v>
      </c>
      <c r="C198" t="s">
        <v>2693</v>
      </c>
      <c r="D198">
        <v>41416</v>
      </c>
      <c r="E198" t="s">
        <v>2437</v>
      </c>
      <c r="F198" t="s">
        <v>2364</v>
      </c>
      <c r="G198" t="s">
        <v>2364</v>
      </c>
      <c r="H198" s="1373" t="s">
        <v>2365</v>
      </c>
      <c r="I198" t="s">
        <v>2365</v>
      </c>
      <c r="J198" t="s">
        <v>2365</v>
      </c>
      <c r="K198" t="s">
        <v>2365</v>
      </c>
      <c r="L198" s="1373">
        <v>2100</v>
      </c>
      <c r="M198" t="s">
        <v>618</v>
      </c>
      <c r="N198">
        <v>2105</v>
      </c>
      <c r="O198" t="s">
        <v>1498</v>
      </c>
      <c r="P198" t="s">
        <v>1846</v>
      </c>
      <c r="Q198">
        <v>2010</v>
      </c>
      <c r="R198" t="s">
        <v>668</v>
      </c>
      <c r="S198" t="s">
        <v>552</v>
      </c>
      <c r="T198" t="s">
        <v>2175</v>
      </c>
      <c r="U198">
        <v>240</v>
      </c>
      <c r="V198" t="s">
        <v>2389</v>
      </c>
      <c r="W198">
        <v>240</v>
      </c>
      <c r="X198" t="s">
        <v>701</v>
      </c>
      <c r="Y198" t="s">
        <v>2365</v>
      </c>
      <c r="Z198" t="s">
        <v>2365</v>
      </c>
      <c r="AA198" t="s">
        <v>2365</v>
      </c>
      <c r="AB198" t="s">
        <v>2365</v>
      </c>
      <c r="AC198" s="813" t="s">
        <v>2365</v>
      </c>
      <c r="AD198" s="813" t="s">
        <v>2365</v>
      </c>
      <c r="AE198" s="813" t="s">
        <v>2365</v>
      </c>
      <c r="AF198" t="s">
        <v>2365</v>
      </c>
      <c r="AG198" t="s">
        <v>2365</v>
      </c>
      <c r="AH198" t="s">
        <v>2365</v>
      </c>
      <c r="AI198" t="s">
        <v>2365</v>
      </c>
      <c r="AJ198" t="s">
        <v>2365</v>
      </c>
      <c r="AK198">
        <v>241</v>
      </c>
      <c r="AL198" t="s">
        <v>1203</v>
      </c>
      <c r="AM198">
        <v>241</v>
      </c>
      <c r="AN198" t="s">
        <v>1203</v>
      </c>
      <c r="AR198">
        <v>810</v>
      </c>
      <c r="AS198" t="s">
        <v>1624</v>
      </c>
      <c r="AT198">
        <v>810</v>
      </c>
      <c r="AU198" t="s">
        <v>1624</v>
      </c>
      <c r="AV198" t="s">
        <v>2365</v>
      </c>
      <c r="AW198" t="s">
        <v>2365</v>
      </c>
      <c r="AX198" t="s">
        <v>2365</v>
      </c>
      <c r="AY198" t="s">
        <v>2365</v>
      </c>
      <c r="AZ198" t="s">
        <v>2365</v>
      </c>
      <c r="BA198" t="s">
        <v>2365</v>
      </c>
      <c r="BB198" t="s">
        <v>2365</v>
      </c>
      <c r="BC198" t="s">
        <v>2365</v>
      </c>
      <c r="BD198" t="s">
        <v>2366</v>
      </c>
      <c r="BE198" t="s">
        <v>2365</v>
      </c>
      <c r="BF198" t="s">
        <v>2365</v>
      </c>
      <c r="BG198" t="s">
        <v>2365</v>
      </c>
      <c r="BH198" t="s">
        <v>2365</v>
      </c>
      <c r="BI198" t="s">
        <v>2366</v>
      </c>
      <c r="BJ198" t="s">
        <v>2365</v>
      </c>
      <c r="BK198" t="s">
        <v>2365</v>
      </c>
      <c r="BL198" t="s">
        <v>2365</v>
      </c>
      <c r="BM198" t="s">
        <v>2365</v>
      </c>
      <c r="BO198">
        <v>4</v>
      </c>
      <c r="BP198">
        <v>49</v>
      </c>
      <c r="BQ198" t="s">
        <v>2433</v>
      </c>
      <c r="BR198" t="s">
        <v>1498</v>
      </c>
      <c r="BU198" s="1371">
        <v>1538516</v>
      </c>
      <c r="BV198" s="1371">
        <v>0</v>
      </c>
      <c r="BW198" s="1371">
        <v>1538516</v>
      </c>
      <c r="BX198" s="1371">
        <v>0</v>
      </c>
      <c r="BY198" s="1371">
        <v>1538516</v>
      </c>
      <c r="BZ198">
        <v>0</v>
      </c>
      <c r="CA198">
        <v>0</v>
      </c>
      <c r="CB198">
        <v>362920.5</v>
      </c>
      <c r="CC198">
        <v>0</v>
      </c>
      <c r="CD198">
        <v>477757.41</v>
      </c>
      <c r="CE198">
        <v>0</v>
      </c>
      <c r="CF198">
        <v>0</v>
      </c>
      <c r="CG198">
        <v>0</v>
      </c>
      <c r="CH198">
        <v>0</v>
      </c>
      <c r="CI198">
        <v>167246.19</v>
      </c>
      <c r="CJ198">
        <v>0</v>
      </c>
      <c r="CK198">
        <v>0</v>
      </c>
      <c r="CL198">
        <v>0</v>
      </c>
      <c r="CM198">
        <v>0</v>
      </c>
      <c r="CR198" t="s">
        <v>2329</v>
      </c>
      <c r="CS198" s="1369" t="str">
        <f>INDEX([8]Sheet1!$H:$H,MATCH(CR:CR,[8]Sheet1!$AU:$AU,0))</f>
        <v>Sewerage</v>
      </c>
    </row>
    <row r="199" spans="1:97" x14ac:dyDescent="0.2">
      <c r="A199" t="s">
        <v>2694</v>
      </c>
      <c r="B199">
        <v>252</v>
      </c>
      <c r="C199" t="s">
        <v>2694</v>
      </c>
      <c r="D199">
        <v>41417</v>
      </c>
      <c r="E199" t="s">
        <v>2437</v>
      </c>
      <c r="F199" t="s">
        <v>2364</v>
      </c>
      <c r="G199" t="s">
        <v>2364</v>
      </c>
      <c r="H199" s="1373" t="s">
        <v>2365</v>
      </c>
      <c r="I199" t="s">
        <v>2365</v>
      </c>
      <c r="J199" t="s">
        <v>2365</v>
      </c>
      <c r="K199" t="s">
        <v>2365</v>
      </c>
      <c r="L199" s="1373">
        <v>3200</v>
      </c>
      <c r="M199" t="s">
        <v>625</v>
      </c>
      <c r="N199">
        <v>3205</v>
      </c>
      <c r="O199" t="s">
        <v>1002</v>
      </c>
      <c r="P199" t="s">
        <v>1846</v>
      </c>
      <c r="Q199">
        <v>2010</v>
      </c>
      <c r="R199" t="s">
        <v>668</v>
      </c>
      <c r="S199" t="s">
        <v>552</v>
      </c>
      <c r="T199" t="s">
        <v>2175</v>
      </c>
      <c r="U199">
        <v>240</v>
      </c>
      <c r="V199" t="s">
        <v>2389</v>
      </c>
      <c r="W199">
        <v>240</v>
      </c>
      <c r="X199" t="s">
        <v>701</v>
      </c>
      <c r="Y199" t="s">
        <v>2365</v>
      </c>
      <c r="Z199" t="s">
        <v>2365</v>
      </c>
      <c r="AA199" t="s">
        <v>2365</v>
      </c>
      <c r="AB199" t="s">
        <v>2365</v>
      </c>
      <c r="AC199" s="813" t="s">
        <v>2365</v>
      </c>
      <c r="AD199" s="813" t="s">
        <v>2365</v>
      </c>
      <c r="AE199" s="813" t="s">
        <v>2365</v>
      </c>
      <c r="AF199" t="s">
        <v>2365</v>
      </c>
      <c r="AG199" t="s">
        <v>2365</v>
      </c>
      <c r="AH199" t="s">
        <v>2365</v>
      </c>
      <c r="AI199" t="s">
        <v>2365</v>
      </c>
      <c r="AJ199" t="s">
        <v>2365</v>
      </c>
      <c r="AK199">
        <v>241</v>
      </c>
      <c r="AL199" t="s">
        <v>1203</v>
      </c>
      <c r="AM199">
        <v>241</v>
      </c>
      <c r="AN199" t="s">
        <v>1203</v>
      </c>
      <c r="AR199" t="s">
        <v>2365</v>
      </c>
      <c r="AS199" t="s">
        <v>2365</v>
      </c>
      <c r="AT199" t="s">
        <v>2365</v>
      </c>
      <c r="AU199" t="s">
        <v>2365</v>
      </c>
      <c r="AV199" t="s">
        <v>2365</v>
      </c>
      <c r="AW199" t="s">
        <v>2365</v>
      </c>
      <c r="AX199" t="s">
        <v>2365</v>
      </c>
      <c r="AY199" t="s">
        <v>2365</v>
      </c>
      <c r="AZ199" t="s">
        <v>2365</v>
      </c>
      <c r="BA199" t="s">
        <v>2365</v>
      </c>
      <c r="BB199" t="s">
        <v>2365</v>
      </c>
      <c r="BC199" t="s">
        <v>2365</v>
      </c>
      <c r="BD199" t="s">
        <v>2366</v>
      </c>
      <c r="BE199" t="s">
        <v>2365</v>
      </c>
      <c r="BF199" t="s">
        <v>2365</v>
      </c>
      <c r="BG199" t="s">
        <v>2365</v>
      </c>
      <c r="BH199" t="s">
        <v>2365</v>
      </c>
      <c r="BI199" t="s">
        <v>2366</v>
      </c>
      <c r="BJ199">
        <v>120</v>
      </c>
      <c r="BK199" t="s">
        <v>1002</v>
      </c>
      <c r="BL199">
        <v>120</v>
      </c>
      <c r="BM199" t="s">
        <v>1002</v>
      </c>
      <c r="BO199">
        <v>7</v>
      </c>
      <c r="BP199">
        <v>71</v>
      </c>
      <c r="BQ199" t="s">
        <v>2665</v>
      </c>
      <c r="BR199" t="s">
        <v>1002</v>
      </c>
      <c r="BU199" s="1371">
        <v>0</v>
      </c>
      <c r="BV199" s="1371">
        <v>0</v>
      </c>
      <c r="BW199" s="1371">
        <v>0</v>
      </c>
      <c r="BX199" s="1371">
        <v>0</v>
      </c>
      <c r="BY199" s="1371">
        <v>0</v>
      </c>
      <c r="BZ199">
        <v>0</v>
      </c>
      <c r="CA199">
        <v>0</v>
      </c>
      <c r="CB199">
        <v>0</v>
      </c>
      <c r="CC199">
        <v>0</v>
      </c>
      <c r="CD199">
        <v>0</v>
      </c>
      <c r="CE199">
        <v>0</v>
      </c>
      <c r="CF199">
        <v>0</v>
      </c>
      <c r="CG199">
        <v>0</v>
      </c>
      <c r="CH199">
        <v>0</v>
      </c>
      <c r="CI199">
        <v>0</v>
      </c>
      <c r="CJ199">
        <v>0</v>
      </c>
      <c r="CK199">
        <v>0</v>
      </c>
      <c r="CL199">
        <v>0</v>
      </c>
      <c r="CM199">
        <v>0</v>
      </c>
      <c r="CR199" t="s">
        <v>2329</v>
      </c>
      <c r="CS199" s="1369" t="str">
        <f>INDEX([8]Sheet1!$H:$H,MATCH(CR:CR,[8]Sheet1!$AU:$AU,0))</f>
        <v>Sewerage</v>
      </c>
    </row>
    <row r="200" spans="1:97" x14ac:dyDescent="0.2">
      <c r="A200" t="s">
        <v>2695</v>
      </c>
      <c r="B200">
        <v>253</v>
      </c>
      <c r="C200" t="s">
        <v>2695</v>
      </c>
      <c r="D200">
        <v>41418</v>
      </c>
      <c r="E200" t="s">
        <v>2437</v>
      </c>
      <c r="F200" t="s">
        <v>2364</v>
      </c>
      <c r="G200" t="s">
        <v>2364</v>
      </c>
      <c r="H200" s="1373" t="s">
        <v>2365</v>
      </c>
      <c r="I200" t="s">
        <v>2365</v>
      </c>
      <c r="J200" t="s">
        <v>2365</v>
      </c>
      <c r="K200" t="s">
        <v>2365</v>
      </c>
      <c r="L200" s="1373">
        <v>3200</v>
      </c>
      <c r="M200" t="s">
        <v>625</v>
      </c>
      <c r="N200">
        <v>3205</v>
      </c>
      <c r="O200" t="s">
        <v>1002</v>
      </c>
      <c r="P200" t="s">
        <v>1846</v>
      </c>
      <c r="Q200">
        <v>2010</v>
      </c>
      <c r="R200" t="s">
        <v>668</v>
      </c>
      <c r="S200" t="s">
        <v>552</v>
      </c>
      <c r="T200" t="s">
        <v>2175</v>
      </c>
      <c r="U200">
        <v>240</v>
      </c>
      <c r="V200" t="s">
        <v>2389</v>
      </c>
      <c r="W200">
        <v>240</v>
      </c>
      <c r="X200" t="s">
        <v>701</v>
      </c>
      <c r="Y200" t="s">
        <v>2365</v>
      </c>
      <c r="Z200" t="s">
        <v>2365</v>
      </c>
      <c r="AA200" t="s">
        <v>2365</v>
      </c>
      <c r="AB200" t="s">
        <v>2365</v>
      </c>
      <c r="AC200" s="813" t="s">
        <v>2365</v>
      </c>
      <c r="AD200" s="813" t="s">
        <v>2365</v>
      </c>
      <c r="AE200" s="813" t="s">
        <v>2365</v>
      </c>
      <c r="AF200" t="s">
        <v>2365</v>
      </c>
      <c r="AG200" t="s">
        <v>2365</v>
      </c>
      <c r="AH200" t="s">
        <v>2365</v>
      </c>
      <c r="AI200" t="s">
        <v>2365</v>
      </c>
      <c r="AJ200" t="s">
        <v>2365</v>
      </c>
      <c r="AK200">
        <v>241</v>
      </c>
      <c r="AL200" t="s">
        <v>1203</v>
      </c>
      <c r="AM200">
        <v>241</v>
      </c>
      <c r="AN200" t="s">
        <v>1203</v>
      </c>
      <c r="AR200" t="s">
        <v>2365</v>
      </c>
      <c r="AS200" t="s">
        <v>2365</v>
      </c>
      <c r="AT200" t="s">
        <v>2365</v>
      </c>
      <c r="AU200" t="s">
        <v>2365</v>
      </c>
      <c r="AV200" t="s">
        <v>2365</v>
      </c>
      <c r="AW200" t="s">
        <v>2365</v>
      </c>
      <c r="AX200" t="s">
        <v>2365</v>
      </c>
      <c r="AY200" t="s">
        <v>2365</v>
      </c>
      <c r="AZ200" t="s">
        <v>2365</v>
      </c>
      <c r="BA200" t="s">
        <v>2365</v>
      </c>
      <c r="BB200" t="s">
        <v>2365</v>
      </c>
      <c r="BC200" t="s">
        <v>2365</v>
      </c>
      <c r="BD200" t="s">
        <v>2366</v>
      </c>
      <c r="BE200" t="s">
        <v>2365</v>
      </c>
      <c r="BF200" t="s">
        <v>2365</v>
      </c>
      <c r="BG200" t="s">
        <v>2365</v>
      </c>
      <c r="BH200" t="s">
        <v>2365</v>
      </c>
      <c r="BI200" t="s">
        <v>2366</v>
      </c>
      <c r="BJ200">
        <v>120</v>
      </c>
      <c r="BK200" t="s">
        <v>1002</v>
      </c>
      <c r="BL200">
        <v>120</v>
      </c>
      <c r="BM200" t="s">
        <v>1002</v>
      </c>
      <c r="BO200">
        <v>7</v>
      </c>
      <c r="BP200">
        <v>71</v>
      </c>
      <c r="BQ200" t="s">
        <v>2665</v>
      </c>
      <c r="BR200" t="s">
        <v>1002</v>
      </c>
      <c r="BU200" s="1371">
        <v>0</v>
      </c>
      <c r="BV200" s="1371">
        <v>0</v>
      </c>
      <c r="BW200" s="1371">
        <v>0</v>
      </c>
      <c r="BX200" s="1371">
        <v>0</v>
      </c>
      <c r="BY200" s="1371">
        <v>0</v>
      </c>
      <c r="BZ200">
        <v>0</v>
      </c>
      <c r="CA200">
        <v>0</v>
      </c>
      <c r="CB200">
        <v>0</v>
      </c>
      <c r="CC200">
        <v>0</v>
      </c>
      <c r="CD200">
        <v>0</v>
      </c>
      <c r="CE200">
        <v>0</v>
      </c>
      <c r="CF200">
        <v>0</v>
      </c>
      <c r="CG200">
        <v>0</v>
      </c>
      <c r="CH200">
        <v>0</v>
      </c>
      <c r="CI200">
        <v>0</v>
      </c>
      <c r="CJ200">
        <v>0</v>
      </c>
      <c r="CK200">
        <v>0</v>
      </c>
      <c r="CL200">
        <v>0</v>
      </c>
      <c r="CM200">
        <v>0</v>
      </c>
      <c r="CR200" t="s">
        <v>2332</v>
      </c>
      <c r="CS200" s="1369" t="str">
        <f>INDEX([8]Sheet1!$H:$H,MATCH(CR:CR,[8]Sheet1!$AU:$AU,0))</f>
        <v>Water Storage</v>
      </c>
    </row>
    <row r="201" spans="1:97" x14ac:dyDescent="0.2">
      <c r="A201" t="s">
        <v>2696</v>
      </c>
      <c r="B201">
        <v>254</v>
      </c>
      <c r="C201" t="s">
        <v>2696</v>
      </c>
      <c r="D201">
        <v>41419</v>
      </c>
      <c r="E201" t="s">
        <v>2437</v>
      </c>
      <c r="F201" t="s">
        <v>2364</v>
      </c>
      <c r="G201" t="s">
        <v>2364</v>
      </c>
      <c r="H201" t="s">
        <v>2365</v>
      </c>
      <c r="I201" t="s">
        <v>2365</v>
      </c>
      <c r="J201" t="s">
        <v>2365</v>
      </c>
      <c r="K201" t="s">
        <v>2365</v>
      </c>
      <c r="L201">
        <v>2100</v>
      </c>
      <c r="M201" t="s">
        <v>618</v>
      </c>
      <c r="N201">
        <v>2106</v>
      </c>
      <c r="O201" t="s">
        <v>1499</v>
      </c>
      <c r="P201" t="s">
        <v>1846</v>
      </c>
      <c r="Q201">
        <v>2010</v>
      </c>
      <c r="R201" t="s">
        <v>668</v>
      </c>
      <c r="S201" t="s">
        <v>552</v>
      </c>
      <c r="T201" t="s">
        <v>2175</v>
      </c>
      <c r="U201">
        <v>240</v>
      </c>
      <c r="V201" t="s">
        <v>2389</v>
      </c>
      <c r="W201">
        <v>240</v>
      </c>
      <c r="X201" t="s">
        <v>701</v>
      </c>
      <c r="Y201" t="s">
        <v>2365</v>
      </c>
      <c r="Z201" t="s">
        <v>2365</v>
      </c>
      <c r="AA201" t="s">
        <v>2365</v>
      </c>
      <c r="AB201" t="s">
        <v>2365</v>
      </c>
      <c r="AC201" s="813" t="s">
        <v>2365</v>
      </c>
      <c r="AD201" s="813" t="s">
        <v>2365</v>
      </c>
      <c r="AE201" s="813" t="s">
        <v>2365</v>
      </c>
      <c r="AF201" t="s">
        <v>2365</v>
      </c>
      <c r="AG201" t="s">
        <v>2365</v>
      </c>
      <c r="AH201" t="s">
        <v>2365</v>
      </c>
      <c r="AI201" t="s">
        <v>2365</v>
      </c>
      <c r="AJ201" t="s">
        <v>2365</v>
      </c>
      <c r="AK201">
        <v>241</v>
      </c>
      <c r="AL201" t="s">
        <v>1203</v>
      </c>
      <c r="AM201">
        <v>241</v>
      </c>
      <c r="AN201" t="s">
        <v>1203</v>
      </c>
      <c r="AR201">
        <v>790</v>
      </c>
      <c r="AS201" t="s">
        <v>1622</v>
      </c>
      <c r="AT201">
        <v>790</v>
      </c>
      <c r="AU201" t="s">
        <v>1622</v>
      </c>
      <c r="AV201" t="s">
        <v>2365</v>
      </c>
      <c r="AW201" t="s">
        <v>2365</v>
      </c>
      <c r="AX201" t="s">
        <v>2365</v>
      </c>
      <c r="AY201" t="s">
        <v>2365</v>
      </c>
      <c r="AZ201" t="s">
        <v>2365</v>
      </c>
      <c r="BA201" t="s">
        <v>2365</v>
      </c>
      <c r="BB201" t="s">
        <v>2365</v>
      </c>
      <c r="BC201" t="s">
        <v>2365</v>
      </c>
      <c r="BD201" t="s">
        <v>2366</v>
      </c>
      <c r="BE201" t="s">
        <v>2365</v>
      </c>
      <c r="BF201" t="s">
        <v>2365</v>
      </c>
      <c r="BG201" t="s">
        <v>2365</v>
      </c>
      <c r="BH201" t="s">
        <v>2365</v>
      </c>
      <c r="BI201" t="s">
        <v>2366</v>
      </c>
      <c r="BJ201" t="s">
        <v>2365</v>
      </c>
      <c r="BK201" t="s">
        <v>2365</v>
      </c>
      <c r="BL201" t="s">
        <v>2365</v>
      </c>
      <c r="BM201" t="s">
        <v>2365</v>
      </c>
      <c r="BO201">
        <v>5</v>
      </c>
      <c r="BP201">
        <v>53</v>
      </c>
      <c r="BQ201" t="s">
        <v>2438</v>
      </c>
      <c r="BR201" t="s">
        <v>1499</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R201" t="s">
        <v>2328</v>
      </c>
      <c r="CS201" s="1369" t="str">
        <f>INDEX([8]Sheet1!$H:$H,MATCH(CR:CR,[8]Sheet1!$AU:$AU,0))</f>
        <v>Water Distribution</v>
      </c>
    </row>
    <row r="202" spans="1:97" x14ac:dyDescent="0.2">
      <c r="A202" t="s">
        <v>2697</v>
      </c>
      <c r="B202">
        <v>255</v>
      </c>
      <c r="C202" t="s">
        <v>2697</v>
      </c>
      <c r="D202">
        <v>41420</v>
      </c>
      <c r="E202" t="s">
        <v>2437</v>
      </c>
      <c r="F202" t="s">
        <v>2364</v>
      </c>
      <c r="G202" t="s">
        <v>2364</v>
      </c>
      <c r="H202" t="s">
        <v>2365</v>
      </c>
      <c r="I202" t="s">
        <v>2365</v>
      </c>
      <c r="J202" t="s">
        <v>2365</v>
      </c>
      <c r="K202" t="s">
        <v>2365</v>
      </c>
      <c r="L202">
        <v>3200</v>
      </c>
      <c r="M202" t="s">
        <v>625</v>
      </c>
      <c r="N202">
        <v>3205</v>
      </c>
      <c r="O202" t="s">
        <v>1002</v>
      </c>
      <c r="P202" t="s">
        <v>1846</v>
      </c>
      <c r="Q202">
        <v>2010</v>
      </c>
      <c r="R202" t="s">
        <v>668</v>
      </c>
      <c r="S202" t="s">
        <v>552</v>
      </c>
      <c r="T202" t="s">
        <v>2175</v>
      </c>
      <c r="U202">
        <v>240</v>
      </c>
      <c r="V202" t="s">
        <v>2389</v>
      </c>
      <c r="W202">
        <v>240</v>
      </c>
      <c r="X202" t="s">
        <v>701</v>
      </c>
      <c r="Y202" t="s">
        <v>2365</v>
      </c>
      <c r="Z202" t="s">
        <v>2365</v>
      </c>
      <c r="AA202" t="s">
        <v>2365</v>
      </c>
      <c r="AB202" t="s">
        <v>2365</v>
      </c>
      <c r="AC202" s="813" t="s">
        <v>2365</v>
      </c>
      <c r="AD202" s="813" t="s">
        <v>2365</v>
      </c>
      <c r="AE202" s="813" t="s">
        <v>2365</v>
      </c>
      <c r="AF202" t="s">
        <v>2365</v>
      </c>
      <c r="AG202" t="s">
        <v>2365</v>
      </c>
      <c r="AH202" t="s">
        <v>2365</v>
      </c>
      <c r="AI202" t="s">
        <v>2365</v>
      </c>
      <c r="AJ202" t="s">
        <v>2365</v>
      </c>
      <c r="AK202">
        <v>241</v>
      </c>
      <c r="AL202" t="s">
        <v>1203</v>
      </c>
      <c r="AM202">
        <v>241</v>
      </c>
      <c r="AN202" t="s">
        <v>1203</v>
      </c>
      <c r="AR202" t="s">
        <v>2365</v>
      </c>
      <c r="AS202" t="s">
        <v>2365</v>
      </c>
      <c r="AT202" t="s">
        <v>2365</v>
      </c>
      <c r="AU202" t="s">
        <v>2365</v>
      </c>
      <c r="AV202" t="s">
        <v>2365</v>
      </c>
      <c r="AW202" t="s">
        <v>2365</v>
      </c>
      <c r="AX202" t="s">
        <v>2365</v>
      </c>
      <c r="AY202" t="s">
        <v>2365</v>
      </c>
      <c r="AZ202" t="s">
        <v>2365</v>
      </c>
      <c r="BA202" t="s">
        <v>2365</v>
      </c>
      <c r="BB202" t="s">
        <v>2365</v>
      </c>
      <c r="BC202" t="s">
        <v>2365</v>
      </c>
      <c r="BD202" t="s">
        <v>2366</v>
      </c>
      <c r="BE202" t="s">
        <v>2365</v>
      </c>
      <c r="BF202" t="s">
        <v>2365</v>
      </c>
      <c r="BG202" t="s">
        <v>2365</v>
      </c>
      <c r="BH202" t="s">
        <v>2365</v>
      </c>
      <c r="BI202" t="s">
        <v>2366</v>
      </c>
      <c r="BJ202">
        <v>120</v>
      </c>
      <c r="BK202" t="s">
        <v>1002</v>
      </c>
      <c r="BL202">
        <v>120</v>
      </c>
      <c r="BM202" t="s">
        <v>1002</v>
      </c>
      <c r="BO202">
        <v>7</v>
      </c>
      <c r="BP202">
        <v>71</v>
      </c>
      <c r="BQ202" t="s">
        <v>2665</v>
      </c>
      <c r="BR202" t="s">
        <v>1002</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R202" t="s">
        <v>2330</v>
      </c>
      <c r="CS202" s="1369" t="str">
        <f>INDEX([8]Sheet1!$H:$H,MATCH(CR:CR,[8]Sheet1!$AU:$AU,0))</f>
        <v>Water Treatment</v>
      </c>
    </row>
    <row r="203" spans="1:97" x14ac:dyDescent="0.2">
      <c r="A203" t="s">
        <v>2698</v>
      </c>
      <c r="B203">
        <v>256</v>
      </c>
      <c r="C203" t="s">
        <v>2698</v>
      </c>
      <c r="D203">
        <v>41422</v>
      </c>
      <c r="E203" t="s">
        <v>2437</v>
      </c>
      <c r="F203" t="s">
        <v>2364</v>
      </c>
      <c r="G203" t="s">
        <v>2364</v>
      </c>
      <c r="H203" t="s">
        <v>2365</v>
      </c>
      <c r="I203" t="s">
        <v>2365</v>
      </c>
      <c r="J203" t="s">
        <v>2365</v>
      </c>
      <c r="K203" t="s">
        <v>2365</v>
      </c>
      <c r="L203">
        <v>3200</v>
      </c>
      <c r="M203" t="s">
        <v>625</v>
      </c>
      <c r="N203">
        <v>3205</v>
      </c>
      <c r="O203" t="s">
        <v>1002</v>
      </c>
      <c r="P203" t="s">
        <v>1846</v>
      </c>
      <c r="Q203">
        <v>2010</v>
      </c>
      <c r="R203" t="s">
        <v>668</v>
      </c>
      <c r="S203" t="s">
        <v>552</v>
      </c>
      <c r="T203" t="s">
        <v>2175</v>
      </c>
      <c r="U203">
        <v>240</v>
      </c>
      <c r="V203" t="s">
        <v>2389</v>
      </c>
      <c r="W203">
        <v>240</v>
      </c>
      <c r="X203" t="s">
        <v>701</v>
      </c>
      <c r="Y203" t="s">
        <v>2365</v>
      </c>
      <c r="Z203" t="s">
        <v>2365</v>
      </c>
      <c r="AA203" t="s">
        <v>2365</v>
      </c>
      <c r="AB203" t="s">
        <v>2365</v>
      </c>
      <c r="AC203" s="813" t="s">
        <v>2365</v>
      </c>
      <c r="AD203" s="813" t="s">
        <v>2365</v>
      </c>
      <c r="AE203" s="813" t="s">
        <v>2365</v>
      </c>
      <c r="AF203" t="s">
        <v>2365</v>
      </c>
      <c r="AG203" t="s">
        <v>2365</v>
      </c>
      <c r="AH203" t="s">
        <v>2365</v>
      </c>
      <c r="AI203" t="s">
        <v>2365</v>
      </c>
      <c r="AJ203" t="s">
        <v>2365</v>
      </c>
      <c r="AK203">
        <v>241</v>
      </c>
      <c r="AL203" t="s">
        <v>1203</v>
      </c>
      <c r="AM203">
        <v>241</v>
      </c>
      <c r="AN203" t="s">
        <v>1203</v>
      </c>
      <c r="AR203" t="s">
        <v>2365</v>
      </c>
      <c r="AS203" t="s">
        <v>2365</v>
      </c>
      <c r="AT203" t="s">
        <v>2365</v>
      </c>
      <c r="AU203" t="s">
        <v>2365</v>
      </c>
      <c r="AV203" t="s">
        <v>2365</v>
      </c>
      <c r="AW203" t="s">
        <v>2365</v>
      </c>
      <c r="AX203" t="s">
        <v>2365</v>
      </c>
      <c r="AY203" t="s">
        <v>2365</v>
      </c>
      <c r="AZ203" t="s">
        <v>2365</v>
      </c>
      <c r="BA203" t="s">
        <v>2365</v>
      </c>
      <c r="BB203" t="s">
        <v>2365</v>
      </c>
      <c r="BC203" t="s">
        <v>2365</v>
      </c>
      <c r="BD203" t="s">
        <v>2366</v>
      </c>
      <c r="BE203" t="s">
        <v>2365</v>
      </c>
      <c r="BF203" t="s">
        <v>2365</v>
      </c>
      <c r="BG203" t="s">
        <v>2365</v>
      </c>
      <c r="BH203" t="s">
        <v>2365</v>
      </c>
      <c r="BI203" t="s">
        <v>2366</v>
      </c>
      <c r="BJ203">
        <v>120</v>
      </c>
      <c r="BK203" t="s">
        <v>1002</v>
      </c>
      <c r="BL203">
        <v>120</v>
      </c>
      <c r="BM203" t="s">
        <v>1002</v>
      </c>
      <c r="BO203">
        <v>7</v>
      </c>
      <c r="BP203">
        <v>71</v>
      </c>
      <c r="BQ203" t="s">
        <v>2665</v>
      </c>
      <c r="BR203" t="s">
        <v>1002</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R203" t="s">
        <v>2331</v>
      </c>
      <c r="CS203" s="1369" t="str">
        <f>INDEX([8]Sheet1!$H:$H,MATCH(CR:CR,[8]Sheet1!$AU:$AU,0))</f>
        <v>Waste Water Treatment</v>
      </c>
    </row>
    <row r="204" spans="1:97" x14ac:dyDescent="0.2">
      <c r="A204" t="s">
        <v>2699</v>
      </c>
      <c r="B204">
        <v>257</v>
      </c>
      <c r="C204" t="s">
        <v>2699</v>
      </c>
      <c r="D204">
        <v>40994</v>
      </c>
      <c r="E204" t="s">
        <v>2437</v>
      </c>
      <c r="F204" t="s">
        <v>2364</v>
      </c>
      <c r="G204" t="s">
        <v>2364</v>
      </c>
      <c r="H204" t="s">
        <v>2365</v>
      </c>
      <c r="I204" t="s">
        <v>2365</v>
      </c>
      <c r="J204" t="s">
        <v>2365</v>
      </c>
      <c r="K204" t="s">
        <v>2365</v>
      </c>
      <c r="L204">
        <v>2100</v>
      </c>
      <c r="M204" t="s">
        <v>618</v>
      </c>
      <c r="N204">
        <v>2105</v>
      </c>
      <c r="O204" t="s">
        <v>1498</v>
      </c>
      <c r="P204" t="s">
        <v>1846</v>
      </c>
      <c r="Q204">
        <v>2010</v>
      </c>
      <c r="R204" t="s">
        <v>668</v>
      </c>
      <c r="S204" t="s">
        <v>552</v>
      </c>
      <c r="T204" t="s">
        <v>2175</v>
      </c>
      <c r="U204">
        <v>240</v>
      </c>
      <c r="V204" t="s">
        <v>2389</v>
      </c>
      <c r="W204">
        <v>240</v>
      </c>
      <c r="X204" t="s">
        <v>701</v>
      </c>
      <c r="Y204" t="s">
        <v>2365</v>
      </c>
      <c r="Z204" t="s">
        <v>2365</v>
      </c>
      <c r="AA204" t="s">
        <v>2365</v>
      </c>
      <c r="AB204" t="s">
        <v>2365</v>
      </c>
      <c r="AC204" s="813" t="s">
        <v>2365</v>
      </c>
      <c r="AD204" s="813" t="s">
        <v>2365</v>
      </c>
      <c r="AE204" s="813" t="s">
        <v>2365</v>
      </c>
      <c r="AF204" t="s">
        <v>2365</v>
      </c>
      <c r="AG204" t="s">
        <v>2365</v>
      </c>
      <c r="AH204" t="s">
        <v>2365</v>
      </c>
      <c r="AI204" t="s">
        <v>2365</v>
      </c>
      <c r="AJ204" t="s">
        <v>2365</v>
      </c>
      <c r="AK204">
        <v>241</v>
      </c>
      <c r="AL204" t="s">
        <v>1203</v>
      </c>
      <c r="AM204">
        <v>241</v>
      </c>
      <c r="AN204" t="s">
        <v>1203</v>
      </c>
      <c r="AR204">
        <v>810</v>
      </c>
      <c r="AS204" t="s">
        <v>1624</v>
      </c>
      <c r="AT204">
        <v>810</v>
      </c>
      <c r="AU204" t="s">
        <v>1624</v>
      </c>
      <c r="AV204" t="s">
        <v>2365</v>
      </c>
      <c r="AW204" t="s">
        <v>2365</v>
      </c>
      <c r="AX204" t="s">
        <v>2365</v>
      </c>
      <c r="AY204" t="s">
        <v>2365</v>
      </c>
      <c r="AZ204" t="s">
        <v>2365</v>
      </c>
      <c r="BA204" t="s">
        <v>2365</v>
      </c>
      <c r="BB204" t="s">
        <v>2365</v>
      </c>
      <c r="BC204" t="s">
        <v>2365</v>
      </c>
      <c r="BD204" t="s">
        <v>2366</v>
      </c>
      <c r="BE204" t="s">
        <v>2365</v>
      </c>
      <c r="BF204" t="s">
        <v>2365</v>
      </c>
      <c r="BG204" t="s">
        <v>2365</v>
      </c>
      <c r="BH204" t="s">
        <v>2365</v>
      </c>
      <c r="BI204" t="s">
        <v>2366</v>
      </c>
      <c r="BJ204" t="s">
        <v>2365</v>
      </c>
      <c r="BK204" t="s">
        <v>2365</v>
      </c>
      <c r="BL204" t="s">
        <v>2365</v>
      </c>
      <c r="BM204" t="s">
        <v>2365</v>
      </c>
      <c r="BO204">
        <v>4</v>
      </c>
      <c r="BP204">
        <v>49</v>
      </c>
      <c r="BQ204" t="s">
        <v>2433</v>
      </c>
      <c r="BR204" t="s">
        <v>1498</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R204" t="s">
        <v>2330</v>
      </c>
      <c r="CS204" s="1369" t="str">
        <f>INDEX([8]Sheet1!$H:$H,MATCH(CR:CR,[8]Sheet1!$AU:$AU,0))</f>
        <v>Water Treatment</v>
      </c>
    </row>
    <row r="205" spans="1:97" x14ac:dyDescent="0.2">
      <c r="A205" t="s">
        <v>2700</v>
      </c>
      <c r="B205">
        <v>258</v>
      </c>
      <c r="C205" t="s">
        <v>2700</v>
      </c>
      <c r="D205">
        <v>41410</v>
      </c>
      <c r="E205" t="s">
        <v>2701</v>
      </c>
      <c r="F205" t="s">
        <v>2364</v>
      </c>
      <c r="G205" t="s">
        <v>2364</v>
      </c>
      <c r="H205" t="s">
        <v>2365</v>
      </c>
      <c r="I205" t="s">
        <v>2365</v>
      </c>
      <c r="J205" t="s">
        <v>2365</v>
      </c>
      <c r="K205" t="s">
        <v>2365</v>
      </c>
      <c r="L205">
        <v>1200</v>
      </c>
      <c r="M205" t="s">
        <v>1480</v>
      </c>
      <c r="N205">
        <v>1205</v>
      </c>
      <c r="O205" t="s">
        <v>1488</v>
      </c>
      <c r="P205" t="s">
        <v>1846</v>
      </c>
      <c r="Q205">
        <v>2080</v>
      </c>
      <c r="R205" t="s">
        <v>579</v>
      </c>
      <c r="S205" t="s">
        <v>552</v>
      </c>
      <c r="T205" t="s">
        <v>2175</v>
      </c>
      <c r="U205">
        <v>240</v>
      </c>
      <c r="V205" t="s">
        <v>2389</v>
      </c>
      <c r="W205">
        <v>240</v>
      </c>
      <c r="X205" t="s">
        <v>701</v>
      </c>
      <c r="Y205" t="s">
        <v>2365</v>
      </c>
      <c r="Z205" t="s">
        <v>2365</v>
      </c>
      <c r="AA205" t="s">
        <v>2365</v>
      </c>
      <c r="AB205" t="s">
        <v>2365</v>
      </c>
      <c r="AC205" s="813" t="s">
        <v>2365</v>
      </c>
      <c r="AD205" s="813" t="s">
        <v>2365</v>
      </c>
      <c r="AE205" s="813" t="s">
        <v>2365</v>
      </c>
      <c r="AF205" t="s">
        <v>2365</v>
      </c>
      <c r="AG205">
        <v>1530</v>
      </c>
      <c r="AH205" t="s">
        <v>1677</v>
      </c>
      <c r="AI205">
        <v>1530</v>
      </c>
      <c r="AJ205" t="s">
        <v>1677</v>
      </c>
      <c r="AK205">
        <v>241</v>
      </c>
      <c r="AL205" t="s">
        <v>1203</v>
      </c>
      <c r="AM205">
        <v>241</v>
      </c>
      <c r="AN205" t="s">
        <v>1203</v>
      </c>
      <c r="AR205">
        <v>1530</v>
      </c>
      <c r="AS205" t="s">
        <v>1677</v>
      </c>
      <c r="AT205">
        <v>1530</v>
      </c>
      <c r="AU205" t="s">
        <v>1677</v>
      </c>
      <c r="AV205" t="s">
        <v>2365</v>
      </c>
      <c r="AW205" t="s">
        <v>2365</v>
      </c>
      <c r="AX205" t="s">
        <v>2365</v>
      </c>
      <c r="AY205" t="s">
        <v>2365</v>
      </c>
      <c r="AZ205" t="s">
        <v>2365</v>
      </c>
      <c r="BA205" t="s">
        <v>2365</v>
      </c>
      <c r="BB205" t="s">
        <v>2365</v>
      </c>
      <c r="BC205" t="s">
        <v>2365</v>
      </c>
      <c r="BD205" t="s">
        <v>2366</v>
      </c>
      <c r="BE205" t="s">
        <v>2365</v>
      </c>
      <c r="BF205" t="s">
        <v>2365</v>
      </c>
      <c r="BG205" t="s">
        <v>2365</v>
      </c>
      <c r="BH205" t="s">
        <v>2365</v>
      </c>
      <c r="BI205" t="s">
        <v>2366</v>
      </c>
      <c r="BJ205" t="s">
        <v>2365</v>
      </c>
      <c r="BK205" t="s">
        <v>2365</v>
      </c>
      <c r="BL205" t="s">
        <v>2365</v>
      </c>
      <c r="BM205" t="s">
        <v>2365</v>
      </c>
      <c r="BO205">
        <v>1</v>
      </c>
      <c r="BP205">
        <v>12</v>
      </c>
      <c r="BQ205" t="s">
        <v>2369</v>
      </c>
      <c r="BR205" t="s">
        <v>1488</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R205" t="s">
        <v>2331</v>
      </c>
      <c r="CS205" s="1369" t="str">
        <f>INDEX([8]Sheet1!$H:$H,MATCH(CR:CR,[8]Sheet1!$AU:$AU,0))</f>
        <v>Waste Water Treatment</v>
      </c>
    </row>
    <row r="206" spans="1:97" x14ac:dyDescent="0.2">
      <c r="A206" t="s">
        <v>2702</v>
      </c>
      <c r="B206">
        <v>259</v>
      </c>
      <c r="C206" t="s">
        <v>2702</v>
      </c>
      <c r="D206">
        <v>41411</v>
      </c>
      <c r="E206" t="s">
        <v>2638</v>
      </c>
      <c r="F206" t="s">
        <v>2364</v>
      </c>
      <c r="G206" t="s">
        <v>2364</v>
      </c>
      <c r="H206" t="s">
        <v>2365</v>
      </c>
      <c r="I206" t="s">
        <v>2365</v>
      </c>
      <c r="J206" t="s">
        <v>2365</v>
      </c>
      <c r="K206" t="s">
        <v>2365</v>
      </c>
      <c r="L206">
        <v>2100</v>
      </c>
      <c r="M206" t="s">
        <v>618</v>
      </c>
      <c r="N206">
        <v>2106</v>
      </c>
      <c r="O206" t="s">
        <v>1499</v>
      </c>
      <c r="P206" t="s">
        <v>1846</v>
      </c>
      <c r="Q206">
        <v>2080</v>
      </c>
      <c r="R206" t="s">
        <v>579</v>
      </c>
      <c r="S206" t="s">
        <v>552</v>
      </c>
      <c r="T206" t="s">
        <v>2175</v>
      </c>
      <c r="U206">
        <v>240</v>
      </c>
      <c r="V206" t="s">
        <v>2389</v>
      </c>
      <c r="W206">
        <v>240</v>
      </c>
      <c r="X206" t="s">
        <v>701</v>
      </c>
      <c r="Y206" t="s">
        <v>2365</v>
      </c>
      <c r="Z206" t="s">
        <v>2365</v>
      </c>
      <c r="AA206" t="s">
        <v>2365</v>
      </c>
      <c r="AB206" t="s">
        <v>2365</v>
      </c>
      <c r="AC206" s="813" t="s">
        <v>2365</v>
      </c>
      <c r="AD206" s="813" t="s">
        <v>2365</v>
      </c>
      <c r="AE206" s="813" t="s">
        <v>2365</v>
      </c>
      <c r="AF206" t="s">
        <v>2365</v>
      </c>
      <c r="AG206">
        <v>1490</v>
      </c>
      <c r="AH206" t="s">
        <v>1675</v>
      </c>
      <c r="AI206">
        <v>1490</v>
      </c>
      <c r="AJ206" t="s">
        <v>1675</v>
      </c>
      <c r="AK206">
        <v>241</v>
      </c>
      <c r="AL206" t="s">
        <v>1203</v>
      </c>
      <c r="AM206">
        <v>241</v>
      </c>
      <c r="AN206" t="s">
        <v>1203</v>
      </c>
      <c r="AR206">
        <v>1490</v>
      </c>
      <c r="AS206" t="s">
        <v>1675</v>
      </c>
      <c r="AT206">
        <v>1490</v>
      </c>
      <c r="AU206" t="s">
        <v>1675</v>
      </c>
      <c r="AV206" t="s">
        <v>2365</v>
      </c>
      <c r="AW206" t="s">
        <v>2365</v>
      </c>
      <c r="AX206" t="s">
        <v>2365</v>
      </c>
      <c r="AY206" t="s">
        <v>2365</v>
      </c>
      <c r="AZ206" t="s">
        <v>2365</v>
      </c>
      <c r="BA206" t="s">
        <v>2365</v>
      </c>
      <c r="BB206" t="s">
        <v>2365</v>
      </c>
      <c r="BC206" t="s">
        <v>2365</v>
      </c>
      <c r="BD206" t="s">
        <v>2366</v>
      </c>
      <c r="BE206" t="s">
        <v>2365</v>
      </c>
      <c r="BF206" t="s">
        <v>2365</v>
      </c>
      <c r="BG206" t="s">
        <v>2365</v>
      </c>
      <c r="BH206" t="s">
        <v>2365</v>
      </c>
      <c r="BI206" t="s">
        <v>2366</v>
      </c>
      <c r="BJ206" t="s">
        <v>2365</v>
      </c>
      <c r="BK206" t="s">
        <v>2365</v>
      </c>
      <c r="BL206" t="s">
        <v>2365</v>
      </c>
      <c r="BM206" t="s">
        <v>2365</v>
      </c>
      <c r="BO206">
        <v>5</v>
      </c>
      <c r="BP206">
        <v>53</v>
      </c>
      <c r="BQ206" t="s">
        <v>2438</v>
      </c>
      <c r="BR206" t="s">
        <v>1499</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R206" t="s">
        <v>2332</v>
      </c>
      <c r="CS206" s="1369" t="str">
        <f>INDEX([8]Sheet1!$H:$H,MATCH(CR:CR,[8]Sheet1!$AU:$AU,0))</f>
        <v>Water Storage</v>
      </c>
    </row>
    <row r="207" spans="1:97" x14ac:dyDescent="0.2">
      <c r="A207" t="s">
        <v>2703</v>
      </c>
      <c r="B207">
        <v>260</v>
      </c>
      <c r="C207" t="s">
        <v>2703</v>
      </c>
      <c r="D207">
        <v>41412</v>
      </c>
      <c r="E207" t="s">
        <v>2640</v>
      </c>
      <c r="F207" t="s">
        <v>2364</v>
      </c>
      <c r="G207" t="s">
        <v>2364</v>
      </c>
      <c r="H207" t="s">
        <v>2365</v>
      </c>
      <c r="I207" t="s">
        <v>2365</v>
      </c>
      <c r="J207" t="s">
        <v>2365</v>
      </c>
      <c r="K207" t="s">
        <v>2365</v>
      </c>
      <c r="L207">
        <v>1200</v>
      </c>
      <c r="M207" t="s">
        <v>1480</v>
      </c>
      <c r="N207">
        <v>1202</v>
      </c>
      <c r="O207" t="s">
        <v>595</v>
      </c>
      <c r="P207" t="s">
        <v>1846</v>
      </c>
      <c r="Q207">
        <v>2080</v>
      </c>
      <c r="R207" t="s">
        <v>579</v>
      </c>
      <c r="S207" t="s">
        <v>552</v>
      </c>
      <c r="T207" t="s">
        <v>2175</v>
      </c>
      <c r="U207">
        <v>240</v>
      </c>
      <c r="V207" t="s">
        <v>2389</v>
      </c>
      <c r="W207">
        <v>240</v>
      </c>
      <c r="X207" t="s">
        <v>701</v>
      </c>
      <c r="Y207" t="s">
        <v>2365</v>
      </c>
      <c r="Z207" t="s">
        <v>2365</v>
      </c>
      <c r="AA207" t="s">
        <v>2365</v>
      </c>
      <c r="AB207" t="s">
        <v>2365</v>
      </c>
      <c r="AC207" s="813" t="s">
        <v>2365</v>
      </c>
      <c r="AD207" s="813" t="s">
        <v>2365</v>
      </c>
      <c r="AE207" s="813" t="s">
        <v>2365</v>
      </c>
      <c r="AF207" t="s">
        <v>2365</v>
      </c>
      <c r="AG207">
        <v>1470</v>
      </c>
      <c r="AH207" t="s">
        <v>1674</v>
      </c>
      <c r="AI207">
        <v>1470</v>
      </c>
      <c r="AJ207" t="s">
        <v>1674</v>
      </c>
      <c r="AK207">
        <v>241</v>
      </c>
      <c r="AL207" t="s">
        <v>1203</v>
      </c>
      <c r="AM207">
        <v>241</v>
      </c>
      <c r="AN207" t="s">
        <v>1203</v>
      </c>
      <c r="AR207">
        <v>1470</v>
      </c>
      <c r="AS207" t="s">
        <v>1674</v>
      </c>
      <c r="AT207">
        <v>1470</v>
      </c>
      <c r="AU207" t="s">
        <v>1674</v>
      </c>
      <c r="AV207" t="s">
        <v>2365</v>
      </c>
      <c r="AW207" t="s">
        <v>2365</v>
      </c>
      <c r="AX207" t="s">
        <v>2365</v>
      </c>
      <c r="AY207" t="s">
        <v>2365</v>
      </c>
      <c r="AZ207" t="s">
        <v>2365</v>
      </c>
      <c r="BA207" t="s">
        <v>2365</v>
      </c>
      <c r="BB207" t="s">
        <v>2365</v>
      </c>
      <c r="BC207" t="s">
        <v>2365</v>
      </c>
      <c r="BD207" t="s">
        <v>2366</v>
      </c>
      <c r="BE207" t="s">
        <v>2365</v>
      </c>
      <c r="BF207" t="s">
        <v>2365</v>
      </c>
      <c r="BG207" t="s">
        <v>2365</v>
      </c>
      <c r="BH207" t="s">
        <v>2365</v>
      </c>
      <c r="BI207" t="s">
        <v>2366</v>
      </c>
      <c r="BJ207" t="s">
        <v>2365</v>
      </c>
      <c r="BK207" t="s">
        <v>2365</v>
      </c>
      <c r="BL207" t="s">
        <v>2365</v>
      </c>
      <c r="BM207" t="s">
        <v>2365</v>
      </c>
      <c r="BO207">
        <v>1</v>
      </c>
      <c r="BP207">
        <v>13</v>
      </c>
      <c r="BQ207" t="s">
        <v>2369</v>
      </c>
      <c r="BR207" t="s">
        <v>595</v>
      </c>
      <c r="BU207">
        <v>300000</v>
      </c>
      <c r="BV207">
        <v>0</v>
      </c>
      <c r="BW207">
        <v>300000</v>
      </c>
      <c r="BX207">
        <v>0</v>
      </c>
      <c r="BY207">
        <v>300000</v>
      </c>
      <c r="BZ207">
        <v>0</v>
      </c>
      <c r="CA207">
        <v>400000</v>
      </c>
      <c r="CB207">
        <v>0</v>
      </c>
      <c r="CC207">
        <v>92825.94</v>
      </c>
      <c r="CD207">
        <v>0</v>
      </c>
      <c r="CE207">
        <v>0</v>
      </c>
      <c r="CF207">
        <v>0</v>
      </c>
      <c r="CG207">
        <v>0</v>
      </c>
      <c r="CH207">
        <v>0</v>
      </c>
      <c r="CI207">
        <v>0</v>
      </c>
      <c r="CJ207">
        <v>0</v>
      </c>
      <c r="CK207">
        <v>0</v>
      </c>
      <c r="CL207">
        <v>0</v>
      </c>
      <c r="CM207">
        <v>0</v>
      </c>
      <c r="CR207" t="s">
        <v>2331</v>
      </c>
      <c r="CS207" s="1369" t="str">
        <f>INDEX([8]Sheet1!$H:$H,MATCH(CR:CR,[8]Sheet1!$AU:$AU,0))</f>
        <v>Waste Water Treatment</v>
      </c>
    </row>
    <row r="208" spans="1:97" x14ac:dyDescent="0.2">
      <c r="A208" t="s">
        <v>2704</v>
      </c>
      <c r="B208">
        <v>261</v>
      </c>
      <c r="C208" t="s">
        <v>2704</v>
      </c>
      <c r="D208">
        <v>41413</v>
      </c>
      <c r="E208" t="s">
        <v>2636</v>
      </c>
      <c r="F208" t="s">
        <v>2364</v>
      </c>
      <c r="G208" t="s">
        <v>2364</v>
      </c>
      <c r="H208" t="s">
        <v>2365</v>
      </c>
      <c r="I208" t="s">
        <v>2365</v>
      </c>
      <c r="J208" t="s">
        <v>2365</v>
      </c>
      <c r="K208" t="s">
        <v>2365</v>
      </c>
      <c r="L208">
        <v>2100</v>
      </c>
      <c r="M208" t="s">
        <v>618</v>
      </c>
      <c r="N208">
        <v>2106</v>
      </c>
      <c r="O208" t="s">
        <v>1499</v>
      </c>
      <c r="P208" t="s">
        <v>1846</v>
      </c>
      <c r="Q208">
        <v>2080</v>
      </c>
      <c r="R208" t="s">
        <v>579</v>
      </c>
      <c r="S208" t="s">
        <v>552</v>
      </c>
      <c r="T208" t="s">
        <v>2175</v>
      </c>
      <c r="U208">
        <v>240</v>
      </c>
      <c r="V208" t="s">
        <v>2389</v>
      </c>
      <c r="W208">
        <v>240</v>
      </c>
      <c r="X208" t="s">
        <v>701</v>
      </c>
      <c r="Y208" t="s">
        <v>2365</v>
      </c>
      <c r="Z208" t="s">
        <v>2365</v>
      </c>
      <c r="AA208" t="s">
        <v>2365</v>
      </c>
      <c r="AB208" t="s">
        <v>2365</v>
      </c>
      <c r="AC208" s="813" t="s">
        <v>2365</v>
      </c>
      <c r="AD208" s="813" t="s">
        <v>2365</v>
      </c>
      <c r="AE208" s="813" t="s">
        <v>2365</v>
      </c>
      <c r="AF208" t="s">
        <v>2365</v>
      </c>
      <c r="AG208">
        <v>1510</v>
      </c>
      <c r="AH208" t="s">
        <v>1676</v>
      </c>
      <c r="AI208">
        <v>1510</v>
      </c>
      <c r="AJ208" t="s">
        <v>1676</v>
      </c>
      <c r="AK208">
        <v>241</v>
      </c>
      <c r="AL208" t="s">
        <v>1203</v>
      </c>
      <c r="AM208">
        <v>241</v>
      </c>
      <c r="AN208" t="s">
        <v>1203</v>
      </c>
      <c r="AR208">
        <v>1510</v>
      </c>
      <c r="AS208" t="s">
        <v>1676</v>
      </c>
      <c r="AT208">
        <v>1510</v>
      </c>
      <c r="AU208" t="s">
        <v>1676</v>
      </c>
      <c r="AV208" t="s">
        <v>2365</v>
      </c>
      <c r="AW208" t="s">
        <v>2365</v>
      </c>
      <c r="AX208" t="s">
        <v>2365</v>
      </c>
      <c r="AY208" t="s">
        <v>2365</v>
      </c>
      <c r="AZ208" t="s">
        <v>2365</v>
      </c>
      <c r="BA208" t="s">
        <v>2365</v>
      </c>
      <c r="BB208" t="s">
        <v>2365</v>
      </c>
      <c r="BC208" t="s">
        <v>2365</v>
      </c>
      <c r="BD208" t="s">
        <v>2366</v>
      </c>
      <c r="BE208" t="s">
        <v>2365</v>
      </c>
      <c r="BF208" t="s">
        <v>2365</v>
      </c>
      <c r="BG208" t="s">
        <v>2365</v>
      </c>
      <c r="BH208" t="s">
        <v>2365</v>
      </c>
      <c r="BI208" t="s">
        <v>2366</v>
      </c>
      <c r="BJ208" t="s">
        <v>2365</v>
      </c>
      <c r="BK208" t="s">
        <v>2365</v>
      </c>
      <c r="BL208" t="s">
        <v>2365</v>
      </c>
      <c r="BM208" t="s">
        <v>2365</v>
      </c>
      <c r="BO208">
        <v>5</v>
      </c>
      <c r="BP208">
        <v>53</v>
      </c>
      <c r="BQ208" t="s">
        <v>2438</v>
      </c>
      <c r="BR208" t="s">
        <v>1499</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R208" t="s">
        <v>2332</v>
      </c>
      <c r="CS208" s="1369" t="str">
        <f>INDEX([8]Sheet1!$H:$H,MATCH(CR:CR,[8]Sheet1!$AU:$AU,0))</f>
        <v>Water Storage</v>
      </c>
    </row>
    <row r="209" spans="1:97" x14ac:dyDescent="0.2">
      <c r="A209" t="s">
        <v>2705</v>
      </c>
      <c r="B209">
        <v>262</v>
      </c>
      <c r="C209" t="s">
        <v>2705</v>
      </c>
      <c r="D209">
        <v>40995</v>
      </c>
      <c r="E209" t="s">
        <v>2706</v>
      </c>
      <c r="F209">
        <v>2900</v>
      </c>
      <c r="G209" t="s">
        <v>569</v>
      </c>
      <c r="H209" t="s">
        <v>2366</v>
      </c>
      <c r="I209" t="s">
        <v>2366</v>
      </c>
      <c r="J209">
        <v>2904</v>
      </c>
      <c r="K209" t="s">
        <v>1432</v>
      </c>
      <c r="L209">
        <v>3100</v>
      </c>
      <c r="M209" t="s">
        <v>624</v>
      </c>
      <c r="N209">
        <v>3106</v>
      </c>
      <c r="O209" t="s">
        <v>1535</v>
      </c>
      <c r="P209" t="s">
        <v>2366</v>
      </c>
      <c r="Q209" t="s">
        <v>2364</v>
      </c>
      <c r="R209" t="s">
        <v>2364</v>
      </c>
      <c r="S209" t="s">
        <v>1881</v>
      </c>
      <c r="T209" t="s">
        <v>1812</v>
      </c>
      <c r="U209" t="s">
        <v>2365</v>
      </c>
      <c r="V209" t="s">
        <v>2365</v>
      </c>
      <c r="W209" t="s">
        <v>2365</v>
      </c>
      <c r="X209" t="s">
        <v>2365</v>
      </c>
      <c r="Y209" t="s">
        <v>2365</v>
      </c>
      <c r="Z209" t="s">
        <v>2365</v>
      </c>
      <c r="AA209" t="s">
        <v>2365</v>
      </c>
      <c r="AB209" t="s">
        <v>2365</v>
      </c>
      <c r="AC209" s="813" t="s">
        <v>2365</v>
      </c>
      <c r="AD209" s="813" t="s">
        <v>2365</v>
      </c>
      <c r="AE209" s="813" t="s">
        <v>2365</v>
      </c>
      <c r="AF209" t="s">
        <v>2365</v>
      </c>
      <c r="AG209" t="s">
        <v>2365</v>
      </c>
      <c r="AH209" t="s">
        <v>2365</v>
      </c>
      <c r="AI209" t="s">
        <v>2365</v>
      </c>
      <c r="AJ209" t="s">
        <v>2365</v>
      </c>
      <c r="AK209" t="s">
        <v>2365</v>
      </c>
      <c r="AL209" t="s">
        <v>2365</v>
      </c>
      <c r="AM209" t="s">
        <v>2365</v>
      </c>
      <c r="AN209" t="s">
        <v>2365</v>
      </c>
      <c r="AR209" t="s">
        <v>2365</v>
      </c>
      <c r="AS209" t="s">
        <v>2365</v>
      </c>
      <c r="AT209" t="s">
        <v>2365</v>
      </c>
      <c r="AU209" t="s">
        <v>2365</v>
      </c>
      <c r="AV209" t="s">
        <v>2365</v>
      </c>
      <c r="AW209" t="s">
        <v>2365</v>
      </c>
      <c r="AX209" t="s">
        <v>2365</v>
      </c>
      <c r="AY209" t="s">
        <v>2365</v>
      </c>
      <c r="AZ209" t="s">
        <v>2365</v>
      </c>
      <c r="BA209" t="s">
        <v>2365</v>
      </c>
      <c r="BB209" t="s">
        <v>2365</v>
      </c>
      <c r="BC209" t="s">
        <v>2365</v>
      </c>
      <c r="BD209" t="s">
        <v>2366</v>
      </c>
      <c r="BE209" t="s">
        <v>2365</v>
      </c>
      <c r="BF209" t="s">
        <v>2365</v>
      </c>
      <c r="BG209" t="s">
        <v>2365</v>
      </c>
      <c r="BH209" t="s">
        <v>2365</v>
      </c>
      <c r="BI209" t="s">
        <v>2366</v>
      </c>
      <c r="BJ209" t="s">
        <v>2365</v>
      </c>
      <c r="BK209" t="s">
        <v>2365</v>
      </c>
      <c r="BL209" t="s">
        <v>2365</v>
      </c>
      <c r="BM209" t="s">
        <v>2365</v>
      </c>
      <c r="BO209">
        <v>8</v>
      </c>
      <c r="BP209">
        <v>84</v>
      </c>
      <c r="BQ209" t="s">
        <v>2442</v>
      </c>
      <c r="BR209" t="s">
        <v>1535</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R209" t="s">
        <v>2330</v>
      </c>
      <c r="CS209" s="1369" t="str">
        <f>INDEX([8]Sheet1!$H:$H,MATCH(CR:CR,[8]Sheet1!$AU:$AU,0))</f>
        <v>Water Treatment</v>
      </c>
    </row>
    <row r="210" spans="1:97" x14ac:dyDescent="0.2">
      <c r="A210" t="s">
        <v>2707</v>
      </c>
      <c r="B210">
        <v>263</v>
      </c>
      <c r="C210" t="s">
        <v>2707</v>
      </c>
      <c r="D210">
        <v>40996</v>
      </c>
      <c r="E210" t="s">
        <v>2708</v>
      </c>
      <c r="F210">
        <v>2900</v>
      </c>
      <c r="G210" t="s">
        <v>569</v>
      </c>
      <c r="H210" t="s">
        <v>2366</v>
      </c>
      <c r="I210" t="s">
        <v>2366</v>
      </c>
      <c r="J210">
        <v>2904</v>
      </c>
      <c r="K210" t="s">
        <v>1432</v>
      </c>
      <c r="L210">
        <v>3100</v>
      </c>
      <c r="M210" t="s">
        <v>624</v>
      </c>
      <c r="N210">
        <v>3106</v>
      </c>
      <c r="O210" t="s">
        <v>1535</v>
      </c>
      <c r="P210" t="s">
        <v>2366</v>
      </c>
      <c r="Q210" t="s">
        <v>2364</v>
      </c>
      <c r="R210" t="s">
        <v>2364</v>
      </c>
      <c r="S210" t="s">
        <v>1881</v>
      </c>
      <c r="T210" t="s">
        <v>1812</v>
      </c>
      <c r="U210" t="s">
        <v>2365</v>
      </c>
      <c r="V210" t="s">
        <v>2365</v>
      </c>
      <c r="W210" t="s">
        <v>2365</v>
      </c>
      <c r="X210" t="s">
        <v>2365</v>
      </c>
      <c r="Y210" t="s">
        <v>2365</v>
      </c>
      <c r="Z210" t="s">
        <v>2365</v>
      </c>
      <c r="AA210" t="s">
        <v>2365</v>
      </c>
      <c r="AB210" t="s">
        <v>2365</v>
      </c>
      <c r="AC210" s="813" t="s">
        <v>2365</v>
      </c>
      <c r="AD210" s="813" t="s">
        <v>2365</v>
      </c>
      <c r="AE210" s="813" t="s">
        <v>2365</v>
      </c>
      <c r="AF210" t="s">
        <v>2365</v>
      </c>
      <c r="AG210" t="s">
        <v>2365</v>
      </c>
      <c r="AH210" t="s">
        <v>2365</v>
      </c>
      <c r="AI210" t="s">
        <v>2365</v>
      </c>
      <c r="AJ210" t="s">
        <v>2365</v>
      </c>
      <c r="AK210" t="s">
        <v>2365</v>
      </c>
      <c r="AL210" t="s">
        <v>2365</v>
      </c>
      <c r="AM210" t="s">
        <v>2365</v>
      </c>
      <c r="AN210" t="s">
        <v>2365</v>
      </c>
      <c r="AR210" t="s">
        <v>2365</v>
      </c>
      <c r="AS210" t="s">
        <v>2365</v>
      </c>
      <c r="AT210" t="s">
        <v>2365</v>
      </c>
      <c r="AU210" t="s">
        <v>2365</v>
      </c>
      <c r="AV210" t="s">
        <v>2365</v>
      </c>
      <c r="AW210" t="s">
        <v>2365</v>
      </c>
      <c r="AX210" t="s">
        <v>2365</v>
      </c>
      <c r="AY210" t="s">
        <v>2365</v>
      </c>
      <c r="AZ210" t="s">
        <v>2365</v>
      </c>
      <c r="BA210" t="s">
        <v>2365</v>
      </c>
      <c r="BB210" t="s">
        <v>2365</v>
      </c>
      <c r="BC210" t="s">
        <v>2365</v>
      </c>
      <c r="BD210" t="s">
        <v>2366</v>
      </c>
      <c r="BE210" t="s">
        <v>2365</v>
      </c>
      <c r="BF210" t="s">
        <v>2365</v>
      </c>
      <c r="BG210" t="s">
        <v>2365</v>
      </c>
      <c r="BH210" t="s">
        <v>2365</v>
      </c>
      <c r="BI210" t="s">
        <v>2366</v>
      </c>
      <c r="BJ210" t="s">
        <v>2365</v>
      </c>
      <c r="BK210" t="s">
        <v>2365</v>
      </c>
      <c r="BL210" t="s">
        <v>2365</v>
      </c>
      <c r="BM210" t="s">
        <v>2365</v>
      </c>
      <c r="BO210">
        <v>8</v>
      </c>
      <c r="BP210">
        <v>84</v>
      </c>
      <c r="BQ210" t="s">
        <v>2442</v>
      </c>
      <c r="BR210" t="s">
        <v>1535</v>
      </c>
      <c r="BU210">
        <v>0</v>
      </c>
      <c r="BV210">
        <v>0</v>
      </c>
      <c r="BW210">
        <v>0</v>
      </c>
      <c r="BX210">
        <v>0</v>
      </c>
      <c r="BY210">
        <v>0</v>
      </c>
      <c r="BZ210">
        <v>0</v>
      </c>
      <c r="CA210">
        <v>0</v>
      </c>
      <c r="CB210">
        <v>0</v>
      </c>
      <c r="CC210">
        <v>0</v>
      </c>
      <c r="CD210">
        <v>0</v>
      </c>
      <c r="CE210">
        <v>0</v>
      </c>
      <c r="CF210">
        <v>0</v>
      </c>
      <c r="CG210">
        <v>0</v>
      </c>
      <c r="CH210">
        <v>0</v>
      </c>
      <c r="CI210">
        <v>0</v>
      </c>
      <c r="CJ210">
        <v>0</v>
      </c>
      <c r="CK210">
        <v>0</v>
      </c>
      <c r="CL210">
        <v>0</v>
      </c>
      <c r="CM210">
        <v>0</v>
      </c>
      <c r="CR210" t="s">
        <v>2329</v>
      </c>
      <c r="CS210" s="1369" t="str">
        <f>INDEX([8]Sheet1!$H:$H,MATCH(CR:CR,[8]Sheet1!$AU:$AU,0))</f>
        <v>Sewerage</v>
      </c>
    </row>
    <row r="211" spans="1:97" x14ac:dyDescent="0.2">
      <c r="A211" t="s">
        <v>2709</v>
      </c>
      <c r="B211">
        <v>264</v>
      </c>
      <c r="C211" t="s">
        <v>2709</v>
      </c>
      <c r="D211">
        <v>40997</v>
      </c>
      <c r="E211" t="s">
        <v>2455</v>
      </c>
      <c r="F211">
        <v>2900</v>
      </c>
      <c r="G211" t="s">
        <v>569</v>
      </c>
      <c r="H211" t="s">
        <v>2366</v>
      </c>
      <c r="I211" t="s">
        <v>2366</v>
      </c>
      <c r="J211">
        <v>2904</v>
      </c>
      <c r="K211" t="s">
        <v>1432</v>
      </c>
      <c r="L211">
        <v>3100</v>
      </c>
      <c r="M211" t="s">
        <v>624</v>
      </c>
      <c r="N211">
        <v>3106</v>
      </c>
      <c r="O211" t="s">
        <v>1535</v>
      </c>
      <c r="P211" t="s">
        <v>2366</v>
      </c>
      <c r="Q211" t="s">
        <v>2364</v>
      </c>
      <c r="R211" t="s">
        <v>2364</v>
      </c>
      <c r="S211" t="s">
        <v>1881</v>
      </c>
      <c r="T211" t="s">
        <v>1812</v>
      </c>
      <c r="U211" t="s">
        <v>2365</v>
      </c>
      <c r="V211" t="s">
        <v>2365</v>
      </c>
      <c r="W211" t="s">
        <v>2365</v>
      </c>
      <c r="X211" t="s">
        <v>2365</v>
      </c>
      <c r="Y211" t="s">
        <v>2365</v>
      </c>
      <c r="Z211" t="s">
        <v>2365</v>
      </c>
      <c r="AA211" t="s">
        <v>2365</v>
      </c>
      <c r="AB211" t="s">
        <v>2365</v>
      </c>
      <c r="AC211" s="813" t="s">
        <v>2365</v>
      </c>
      <c r="AD211" s="813" t="s">
        <v>2365</v>
      </c>
      <c r="AE211" s="813" t="s">
        <v>2365</v>
      </c>
      <c r="AF211" t="s">
        <v>2365</v>
      </c>
      <c r="AG211" t="s">
        <v>2365</v>
      </c>
      <c r="AH211" t="s">
        <v>2365</v>
      </c>
      <c r="AI211" t="s">
        <v>2365</v>
      </c>
      <c r="AJ211" t="s">
        <v>2365</v>
      </c>
      <c r="AK211" t="s">
        <v>2365</v>
      </c>
      <c r="AL211" t="s">
        <v>2365</v>
      </c>
      <c r="AM211" t="s">
        <v>2365</v>
      </c>
      <c r="AN211" t="s">
        <v>2365</v>
      </c>
      <c r="AR211" t="s">
        <v>2365</v>
      </c>
      <c r="AS211" t="s">
        <v>2365</v>
      </c>
      <c r="AT211" t="s">
        <v>2365</v>
      </c>
      <c r="AU211" t="s">
        <v>2365</v>
      </c>
      <c r="AV211" t="s">
        <v>2365</v>
      </c>
      <c r="AW211" t="s">
        <v>2365</v>
      </c>
      <c r="AX211" t="s">
        <v>2365</v>
      </c>
      <c r="AY211" t="s">
        <v>2365</v>
      </c>
      <c r="AZ211" t="s">
        <v>2365</v>
      </c>
      <c r="BA211" t="s">
        <v>2365</v>
      </c>
      <c r="BB211" t="s">
        <v>2365</v>
      </c>
      <c r="BC211" t="s">
        <v>2365</v>
      </c>
      <c r="BD211" t="s">
        <v>2366</v>
      </c>
      <c r="BE211" t="s">
        <v>2365</v>
      </c>
      <c r="BF211" t="s">
        <v>2365</v>
      </c>
      <c r="BG211" t="s">
        <v>2365</v>
      </c>
      <c r="BH211" t="s">
        <v>2365</v>
      </c>
      <c r="BI211" t="s">
        <v>2366</v>
      </c>
      <c r="BJ211" t="s">
        <v>2365</v>
      </c>
      <c r="BK211" t="s">
        <v>2365</v>
      </c>
      <c r="BL211" t="s">
        <v>2365</v>
      </c>
      <c r="BM211" t="s">
        <v>2365</v>
      </c>
      <c r="BO211">
        <v>8</v>
      </c>
      <c r="BP211">
        <v>84</v>
      </c>
      <c r="BQ211" t="s">
        <v>2442</v>
      </c>
      <c r="BR211" t="s">
        <v>1535</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R211" t="s">
        <v>2329</v>
      </c>
      <c r="CS211" s="1369" t="str">
        <f>INDEX([8]Sheet1!$H:$H,MATCH(CR:CR,[8]Sheet1!$AU:$AU,0))</f>
        <v>Sewerage</v>
      </c>
    </row>
    <row r="212" spans="1:97" x14ac:dyDescent="0.2">
      <c r="A212" t="s">
        <v>2710</v>
      </c>
      <c r="B212">
        <v>265</v>
      </c>
      <c r="C212" t="s">
        <v>2710</v>
      </c>
      <c r="D212">
        <v>40998</v>
      </c>
      <c r="E212" t="s">
        <v>2661</v>
      </c>
      <c r="F212">
        <v>2900</v>
      </c>
      <c r="G212" t="s">
        <v>569</v>
      </c>
      <c r="H212" t="s">
        <v>2366</v>
      </c>
      <c r="I212" t="s">
        <v>2366</v>
      </c>
      <c r="J212">
        <v>2904</v>
      </c>
      <c r="K212" t="s">
        <v>1432</v>
      </c>
      <c r="L212">
        <v>3100</v>
      </c>
      <c r="M212" t="s">
        <v>624</v>
      </c>
      <c r="N212">
        <v>3106</v>
      </c>
      <c r="O212" t="s">
        <v>1535</v>
      </c>
      <c r="P212" t="s">
        <v>2366</v>
      </c>
      <c r="Q212" t="s">
        <v>2364</v>
      </c>
      <c r="R212" t="s">
        <v>2364</v>
      </c>
      <c r="S212" t="s">
        <v>1881</v>
      </c>
      <c r="T212" t="s">
        <v>1812</v>
      </c>
      <c r="U212" t="s">
        <v>2365</v>
      </c>
      <c r="V212" t="s">
        <v>2365</v>
      </c>
      <c r="W212" t="s">
        <v>2365</v>
      </c>
      <c r="X212" t="s">
        <v>2365</v>
      </c>
      <c r="Y212" t="s">
        <v>2365</v>
      </c>
      <c r="Z212" t="s">
        <v>2365</v>
      </c>
      <c r="AA212" t="s">
        <v>2365</v>
      </c>
      <c r="AB212" t="s">
        <v>2365</v>
      </c>
      <c r="AC212" s="813" t="s">
        <v>2365</v>
      </c>
      <c r="AD212" s="813" t="s">
        <v>2365</v>
      </c>
      <c r="AE212" s="813" t="s">
        <v>2365</v>
      </c>
      <c r="AF212" t="s">
        <v>2365</v>
      </c>
      <c r="AG212" t="s">
        <v>2365</v>
      </c>
      <c r="AH212" t="s">
        <v>2365</v>
      </c>
      <c r="AI212" t="s">
        <v>2365</v>
      </c>
      <c r="AJ212" t="s">
        <v>2365</v>
      </c>
      <c r="AK212" t="s">
        <v>2365</v>
      </c>
      <c r="AL212" t="s">
        <v>2365</v>
      </c>
      <c r="AM212" t="s">
        <v>2365</v>
      </c>
      <c r="AN212" t="s">
        <v>2365</v>
      </c>
      <c r="AR212" t="s">
        <v>2365</v>
      </c>
      <c r="AS212" t="s">
        <v>2365</v>
      </c>
      <c r="AT212" t="s">
        <v>2365</v>
      </c>
      <c r="AU212" t="s">
        <v>2365</v>
      </c>
      <c r="AV212" t="s">
        <v>2365</v>
      </c>
      <c r="AW212" t="s">
        <v>2365</v>
      </c>
      <c r="AX212" t="s">
        <v>2365</v>
      </c>
      <c r="AY212" t="s">
        <v>2365</v>
      </c>
      <c r="AZ212" t="s">
        <v>2365</v>
      </c>
      <c r="BA212" t="s">
        <v>2365</v>
      </c>
      <c r="BB212" t="s">
        <v>2365</v>
      </c>
      <c r="BC212" t="s">
        <v>2365</v>
      </c>
      <c r="BD212" t="s">
        <v>2366</v>
      </c>
      <c r="BE212" t="s">
        <v>2365</v>
      </c>
      <c r="BF212" t="s">
        <v>2365</v>
      </c>
      <c r="BG212" t="s">
        <v>2365</v>
      </c>
      <c r="BH212" t="s">
        <v>2365</v>
      </c>
      <c r="BI212" t="s">
        <v>2366</v>
      </c>
      <c r="BJ212" t="s">
        <v>2365</v>
      </c>
      <c r="BK212" t="s">
        <v>2365</v>
      </c>
      <c r="BL212" t="s">
        <v>2365</v>
      </c>
      <c r="BM212" t="s">
        <v>2365</v>
      </c>
      <c r="BO212">
        <v>8</v>
      </c>
      <c r="BP212">
        <v>84</v>
      </c>
      <c r="BQ212" t="s">
        <v>2442</v>
      </c>
      <c r="BR212" t="s">
        <v>1535</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R212" t="s">
        <v>2331</v>
      </c>
      <c r="CS212" s="1369" t="str">
        <f>INDEX([8]Sheet1!$H:$H,MATCH(CR:CR,[8]Sheet1!$AU:$AU,0))</f>
        <v>Waste Water Treatment</v>
      </c>
    </row>
    <row r="213" spans="1:97" x14ac:dyDescent="0.2">
      <c r="A213" t="s">
        <v>2711</v>
      </c>
      <c r="B213">
        <v>266</v>
      </c>
      <c r="C213" t="s">
        <v>2711</v>
      </c>
      <c r="D213">
        <v>41201</v>
      </c>
      <c r="E213" t="s">
        <v>2706</v>
      </c>
      <c r="F213">
        <v>2900</v>
      </c>
      <c r="G213" t="s">
        <v>569</v>
      </c>
      <c r="H213" t="s">
        <v>2366</v>
      </c>
      <c r="I213" t="s">
        <v>2366</v>
      </c>
      <c r="J213">
        <v>2904</v>
      </c>
      <c r="K213" t="s">
        <v>1432</v>
      </c>
      <c r="L213">
        <v>3100</v>
      </c>
      <c r="M213" t="s">
        <v>624</v>
      </c>
      <c r="N213">
        <v>3107</v>
      </c>
      <c r="O213" t="s">
        <v>1536</v>
      </c>
      <c r="P213" t="s">
        <v>2366</v>
      </c>
      <c r="Q213" t="s">
        <v>2364</v>
      </c>
      <c r="R213" t="s">
        <v>2364</v>
      </c>
      <c r="S213" t="s">
        <v>1881</v>
      </c>
      <c r="T213" t="s">
        <v>1812</v>
      </c>
      <c r="U213" t="s">
        <v>2365</v>
      </c>
      <c r="V213" t="s">
        <v>2365</v>
      </c>
      <c r="W213" t="s">
        <v>2365</v>
      </c>
      <c r="X213" t="s">
        <v>2365</v>
      </c>
      <c r="Y213" t="s">
        <v>2365</v>
      </c>
      <c r="Z213" t="s">
        <v>2365</v>
      </c>
      <c r="AA213" t="s">
        <v>2365</v>
      </c>
      <c r="AB213" t="s">
        <v>2365</v>
      </c>
      <c r="AC213" s="813" t="s">
        <v>2365</v>
      </c>
      <c r="AD213" s="813" t="s">
        <v>2365</v>
      </c>
      <c r="AE213" s="813" t="s">
        <v>2365</v>
      </c>
      <c r="AF213" t="s">
        <v>2365</v>
      </c>
      <c r="AG213" t="s">
        <v>2365</v>
      </c>
      <c r="AH213" t="s">
        <v>2365</v>
      </c>
      <c r="AI213" t="s">
        <v>2365</v>
      </c>
      <c r="AJ213" t="s">
        <v>2365</v>
      </c>
      <c r="AK213" t="s">
        <v>2365</v>
      </c>
      <c r="AL213" t="s">
        <v>2365</v>
      </c>
      <c r="AM213" t="s">
        <v>2365</v>
      </c>
      <c r="AN213" t="s">
        <v>2365</v>
      </c>
      <c r="AR213" t="s">
        <v>2365</v>
      </c>
      <c r="AS213" t="s">
        <v>2365</v>
      </c>
      <c r="AT213" t="s">
        <v>2365</v>
      </c>
      <c r="AU213" t="s">
        <v>2365</v>
      </c>
      <c r="AV213" t="s">
        <v>2365</v>
      </c>
      <c r="AW213" t="s">
        <v>2365</v>
      </c>
      <c r="AX213" t="s">
        <v>2365</v>
      </c>
      <c r="AY213" t="s">
        <v>2365</v>
      </c>
      <c r="AZ213" t="s">
        <v>2365</v>
      </c>
      <c r="BA213" t="s">
        <v>2365</v>
      </c>
      <c r="BB213" t="s">
        <v>2365</v>
      </c>
      <c r="BC213" t="s">
        <v>2365</v>
      </c>
      <c r="BD213" t="s">
        <v>2366</v>
      </c>
      <c r="BE213" t="s">
        <v>2365</v>
      </c>
      <c r="BF213" t="s">
        <v>2365</v>
      </c>
      <c r="BG213" t="s">
        <v>2365</v>
      </c>
      <c r="BH213" t="s">
        <v>2365</v>
      </c>
      <c r="BI213" t="s">
        <v>2366</v>
      </c>
      <c r="BJ213" t="s">
        <v>2365</v>
      </c>
      <c r="BK213" t="s">
        <v>2365</v>
      </c>
      <c r="BL213" t="s">
        <v>2365</v>
      </c>
      <c r="BM213" t="s">
        <v>2365</v>
      </c>
      <c r="BO213">
        <v>8</v>
      </c>
      <c r="BP213">
        <v>81</v>
      </c>
      <c r="BQ213" t="s">
        <v>2442</v>
      </c>
      <c r="BR213" t="s">
        <v>1536</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R213" t="s">
        <v>2329</v>
      </c>
      <c r="CS213" s="1369" t="str">
        <f>INDEX([8]Sheet1!$H:$H,MATCH(CR:CR,[8]Sheet1!$AU:$AU,0))</f>
        <v>Sewerage</v>
      </c>
    </row>
    <row r="214" spans="1:97" x14ac:dyDescent="0.2">
      <c r="A214" t="s">
        <v>2712</v>
      </c>
      <c r="B214">
        <v>267</v>
      </c>
      <c r="C214" t="s">
        <v>2712</v>
      </c>
      <c r="D214">
        <v>41202</v>
      </c>
      <c r="E214" t="s">
        <v>2661</v>
      </c>
      <c r="F214">
        <v>2900</v>
      </c>
      <c r="G214" t="s">
        <v>569</v>
      </c>
      <c r="H214" t="s">
        <v>2366</v>
      </c>
      <c r="I214" t="s">
        <v>2366</v>
      </c>
      <c r="J214">
        <v>2904</v>
      </c>
      <c r="K214" t="s">
        <v>1432</v>
      </c>
      <c r="L214">
        <v>3100</v>
      </c>
      <c r="M214" t="s">
        <v>624</v>
      </c>
      <c r="N214">
        <v>3107</v>
      </c>
      <c r="O214" t="s">
        <v>1536</v>
      </c>
      <c r="P214" t="s">
        <v>2366</v>
      </c>
      <c r="Q214" t="s">
        <v>2364</v>
      </c>
      <c r="R214" t="s">
        <v>2364</v>
      </c>
      <c r="S214" t="s">
        <v>1881</v>
      </c>
      <c r="T214" t="s">
        <v>1812</v>
      </c>
      <c r="U214" t="s">
        <v>2365</v>
      </c>
      <c r="V214" t="s">
        <v>2365</v>
      </c>
      <c r="W214" t="s">
        <v>2365</v>
      </c>
      <c r="X214" t="s">
        <v>2365</v>
      </c>
      <c r="Y214" t="s">
        <v>2365</v>
      </c>
      <c r="Z214" t="s">
        <v>2365</v>
      </c>
      <c r="AA214" t="s">
        <v>2365</v>
      </c>
      <c r="AB214" t="s">
        <v>2365</v>
      </c>
      <c r="AC214" s="813" t="s">
        <v>2365</v>
      </c>
      <c r="AD214" s="813" t="s">
        <v>2365</v>
      </c>
      <c r="AE214" s="813" t="s">
        <v>2365</v>
      </c>
      <c r="AF214" t="s">
        <v>2365</v>
      </c>
      <c r="AG214" t="s">
        <v>2365</v>
      </c>
      <c r="AH214" t="s">
        <v>2365</v>
      </c>
      <c r="AI214" t="s">
        <v>2365</v>
      </c>
      <c r="AJ214" t="s">
        <v>2365</v>
      </c>
      <c r="AK214" t="s">
        <v>2365</v>
      </c>
      <c r="AL214" t="s">
        <v>2365</v>
      </c>
      <c r="AM214" t="s">
        <v>2365</v>
      </c>
      <c r="AN214" t="s">
        <v>2365</v>
      </c>
      <c r="AR214" t="s">
        <v>2365</v>
      </c>
      <c r="AS214" t="s">
        <v>2365</v>
      </c>
      <c r="AT214" t="s">
        <v>2365</v>
      </c>
      <c r="AU214" t="s">
        <v>2365</v>
      </c>
      <c r="AV214" t="s">
        <v>2365</v>
      </c>
      <c r="AW214" t="s">
        <v>2365</v>
      </c>
      <c r="AX214" t="s">
        <v>2365</v>
      </c>
      <c r="AY214" t="s">
        <v>2365</v>
      </c>
      <c r="AZ214" t="s">
        <v>2365</v>
      </c>
      <c r="BA214" t="s">
        <v>2365</v>
      </c>
      <c r="BB214" t="s">
        <v>2365</v>
      </c>
      <c r="BC214" t="s">
        <v>2365</v>
      </c>
      <c r="BD214" t="s">
        <v>2366</v>
      </c>
      <c r="BE214" t="s">
        <v>2365</v>
      </c>
      <c r="BF214" t="s">
        <v>2365</v>
      </c>
      <c r="BG214" t="s">
        <v>2365</v>
      </c>
      <c r="BH214" t="s">
        <v>2365</v>
      </c>
      <c r="BI214" t="s">
        <v>2366</v>
      </c>
      <c r="BJ214" t="s">
        <v>2365</v>
      </c>
      <c r="BK214" t="s">
        <v>2365</v>
      </c>
      <c r="BL214" t="s">
        <v>2365</v>
      </c>
      <c r="BM214" t="s">
        <v>2365</v>
      </c>
      <c r="BO214">
        <v>8</v>
      </c>
      <c r="BP214">
        <v>81</v>
      </c>
      <c r="BQ214" t="s">
        <v>2442</v>
      </c>
      <c r="BR214" t="s">
        <v>1536</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R214" t="s">
        <v>2332</v>
      </c>
      <c r="CS214" s="1369" t="str">
        <f>INDEX([8]Sheet1!$H:$H,MATCH(CR:CR,[8]Sheet1!$AU:$AU,0))</f>
        <v>Water Storage</v>
      </c>
    </row>
    <row r="215" spans="1:97" x14ac:dyDescent="0.2">
      <c r="A215" t="s">
        <v>2713</v>
      </c>
      <c r="B215">
        <v>268</v>
      </c>
      <c r="C215" t="s">
        <v>2713</v>
      </c>
      <c r="D215">
        <v>41203</v>
      </c>
      <c r="E215" t="s">
        <v>2714</v>
      </c>
      <c r="F215">
        <v>2700</v>
      </c>
      <c r="G215" t="s">
        <v>656</v>
      </c>
      <c r="H215" t="s">
        <v>2664</v>
      </c>
      <c r="I215" t="s">
        <v>1801</v>
      </c>
      <c r="J215">
        <v>2702</v>
      </c>
      <c r="K215" t="s">
        <v>1801</v>
      </c>
      <c r="L215">
        <v>3100</v>
      </c>
      <c r="M215" t="s">
        <v>624</v>
      </c>
      <c r="N215">
        <v>3107</v>
      </c>
      <c r="O215" t="s">
        <v>1536</v>
      </c>
      <c r="P215" t="s">
        <v>2366</v>
      </c>
      <c r="Q215" t="s">
        <v>2364</v>
      </c>
      <c r="R215" t="s">
        <v>2364</v>
      </c>
      <c r="S215" t="s">
        <v>1881</v>
      </c>
      <c r="T215" t="s">
        <v>1812</v>
      </c>
      <c r="U215" t="s">
        <v>2365</v>
      </c>
      <c r="V215" t="s">
        <v>2365</v>
      </c>
      <c r="W215" t="s">
        <v>2365</v>
      </c>
      <c r="X215" t="s">
        <v>2365</v>
      </c>
      <c r="Y215" t="s">
        <v>2365</v>
      </c>
      <c r="Z215" t="s">
        <v>2365</v>
      </c>
      <c r="AA215" t="s">
        <v>2365</v>
      </c>
      <c r="AB215" t="s">
        <v>2365</v>
      </c>
      <c r="AC215" s="813" t="s">
        <v>2365</v>
      </c>
      <c r="AD215" s="813" t="s">
        <v>2365</v>
      </c>
      <c r="AE215" s="813" t="s">
        <v>2365</v>
      </c>
      <c r="AF215" t="s">
        <v>2365</v>
      </c>
      <c r="AG215" t="s">
        <v>2365</v>
      </c>
      <c r="AH215" t="s">
        <v>2365</v>
      </c>
      <c r="AI215" t="s">
        <v>2365</v>
      </c>
      <c r="AJ215" t="s">
        <v>2365</v>
      </c>
      <c r="AK215" t="s">
        <v>2365</v>
      </c>
      <c r="AL215" t="s">
        <v>2365</v>
      </c>
      <c r="AM215" t="s">
        <v>2365</v>
      </c>
      <c r="AN215" t="s">
        <v>2365</v>
      </c>
      <c r="AR215" t="s">
        <v>2365</v>
      </c>
      <c r="AS215" t="s">
        <v>2365</v>
      </c>
      <c r="AT215" t="s">
        <v>2365</v>
      </c>
      <c r="AU215" t="s">
        <v>2365</v>
      </c>
      <c r="AV215" t="s">
        <v>2365</v>
      </c>
      <c r="AW215" t="s">
        <v>2365</v>
      </c>
      <c r="AX215" t="s">
        <v>2365</v>
      </c>
      <c r="AY215" t="s">
        <v>2365</v>
      </c>
      <c r="AZ215" t="s">
        <v>2365</v>
      </c>
      <c r="BA215" t="s">
        <v>2365</v>
      </c>
      <c r="BB215" t="s">
        <v>2365</v>
      </c>
      <c r="BC215" t="s">
        <v>2365</v>
      </c>
      <c r="BD215" t="s">
        <v>2366</v>
      </c>
      <c r="BE215" t="s">
        <v>2365</v>
      </c>
      <c r="BF215" t="s">
        <v>2365</v>
      </c>
      <c r="BG215" t="s">
        <v>2365</v>
      </c>
      <c r="BH215" t="s">
        <v>2365</v>
      </c>
      <c r="BI215" t="s">
        <v>2366</v>
      </c>
      <c r="BJ215" t="s">
        <v>2365</v>
      </c>
      <c r="BK215" t="s">
        <v>2365</v>
      </c>
      <c r="BL215" t="s">
        <v>2365</v>
      </c>
      <c r="BM215" t="s">
        <v>2365</v>
      </c>
      <c r="BO215">
        <v>8</v>
      </c>
      <c r="BP215">
        <v>81</v>
      </c>
      <c r="BQ215" t="s">
        <v>2442</v>
      </c>
      <c r="BR215" t="s">
        <v>1536</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0</v>
      </c>
      <c r="CR215" t="s">
        <v>2330</v>
      </c>
      <c r="CS215" s="1369" t="str">
        <f>INDEX([8]Sheet1!$H:$H,MATCH(CR:CR,[8]Sheet1!$AU:$AU,0))</f>
        <v>Water Treatment</v>
      </c>
    </row>
    <row r="216" spans="1:97" x14ac:dyDescent="0.2">
      <c r="A216" t="s">
        <v>2715</v>
      </c>
      <c r="B216">
        <v>269</v>
      </c>
      <c r="C216" t="s">
        <v>2715</v>
      </c>
      <c r="D216">
        <v>41487</v>
      </c>
      <c r="E216" t="s">
        <v>2516</v>
      </c>
      <c r="F216">
        <v>2900</v>
      </c>
      <c r="G216" t="s">
        <v>569</v>
      </c>
      <c r="H216" t="s">
        <v>2366</v>
      </c>
      <c r="I216" t="s">
        <v>2366</v>
      </c>
      <c r="J216">
        <v>2904</v>
      </c>
      <c r="K216" t="s">
        <v>1432</v>
      </c>
      <c r="L216">
        <v>1100</v>
      </c>
      <c r="M216" t="s">
        <v>616</v>
      </c>
      <c r="N216">
        <v>1120</v>
      </c>
      <c r="O216" t="s">
        <v>1485</v>
      </c>
      <c r="P216" t="s">
        <v>2366</v>
      </c>
      <c r="Q216" t="s">
        <v>2364</v>
      </c>
      <c r="R216" t="s">
        <v>2364</v>
      </c>
      <c r="S216" t="s">
        <v>1881</v>
      </c>
      <c r="T216" t="s">
        <v>1812</v>
      </c>
      <c r="U216" t="s">
        <v>2365</v>
      </c>
      <c r="V216" t="s">
        <v>2365</v>
      </c>
      <c r="W216" t="s">
        <v>2365</v>
      </c>
      <c r="X216" t="s">
        <v>2365</v>
      </c>
      <c r="Y216" t="s">
        <v>2365</v>
      </c>
      <c r="Z216" t="s">
        <v>2365</v>
      </c>
      <c r="AA216" t="s">
        <v>2365</v>
      </c>
      <c r="AB216" t="s">
        <v>2365</v>
      </c>
      <c r="AC216" s="813" t="s">
        <v>2365</v>
      </c>
      <c r="AD216" s="813" t="s">
        <v>2365</v>
      </c>
      <c r="AE216" s="813" t="s">
        <v>2365</v>
      </c>
      <c r="AF216" t="s">
        <v>2365</v>
      </c>
      <c r="AG216" t="s">
        <v>2365</v>
      </c>
      <c r="AH216" t="s">
        <v>2365</v>
      </c>
      <c r="AI216" t="s">
        <v>2365</v>
      </c>
      <c r="AJ216" t="s">
        <v>2365</v>
      </c>
      <c r="AK216" t="s">
        <v>2365</v>
      </c>
      <c r="AL216" t="s">
        <v>2365</v>
      </c>
      <c r="AM216" t="s">
        <v>2365</v>
      </c>
      <c r="AN216" t="s">
        <v>2365</v>
      </c>
      <c r="AR216" t="s">
        <v>2365</v>
      </c>
      <c r="AS216" t="s">
        <v>2365</v>
      </c>
      <c r="AT216" t="s">
        <v>2365</v>
      </c>
      <c r="AU216" t="s">
        <v>2365</v>
      </c>
      <c r="AV216" t="s">
        <v>2365</v>
      </c>
      <c r="AW216" t="s">
        <v>2365</v>
      </c>
      <c r="AX216" t="s">
        <v>2365</v>
      </c>
      <c r="AY216" t="s">
        <v>2365</v>
      </c>
      <c r="AZ216" t="s">
        <v>2365</v>
      </c>
      <c r="BA216" t="s">
        <v>2365</v>
      </c>
      <c r="BB216" t="s">
        <v>2365</v>
      </c>
      <c r="BC216" t="s">
        <v>2365</v>
      </c>
      <c r="BD216" t="s">
        <v>2366</v>
      </c>
      <c r="BE216" t="s">
        <v>2365</v>
      </c>
      <c r="BF216" t="s">
        <v>2365</v>
      </c>
      <c r="BG216" t="s">
        <v>2365</v>
      </c>
      <c r="BH216" t="s">
        <v>2365</v>
      </c>
      <c r="BI216" t="s">
        <v>2366</v>
      </c>
      <c r="BJ216" t="s">
        <v>2365</v>
      </c>
      <c r="BK216" t="s">
        <v>2365</v>
      </c>
      <c r="BL216" t="s">
        <v>2365</v>
      </c>
      <c r="BM216" t="s">
        <v>2365</v>
      </c>
      <c r="BO216">
        <v>3</v>
      </c>
      <c r="BP216">
        <v>31</v>
      </c>
      <c r="BQ216" t="s">
        <v>2716</v>
      </c>
      <c r="BR216" t="s">
        <v>1485</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R216" t="s">
        <v>2331</v>
      </c>
      <c r="CS216" s="1369" t="str">
        <f>INDEX([8]Sheet1!$H:$H,MATCH(CR:CR,[8]Sheet1!$AU:$AU,0))</f>
        <v>Waste Water Treatment</v>
      </c>
    </row>
    <row r="217" spans="1:97" x14ac:dyDescent="0.2">
      <c r="A217" t="s">
        <v>2717</v>
      </c>
      <c r="B217">
        <v>270</v>
      </c>
      <c r="C217" t="s">
        <v>2717</v>
      </c>
      <c r="D217">
        <v>41488</v>
      </c>
      <c r="E217" t="s">
        <v>2468</v>
      </c>
      <c r="F217">
        <v>2600</v>
      </c>
      <c r="G217" t="s">
        <v>655</v>
      </c>
      <c r="H217">
        <v>2600</v>
      </c>
      <c r="I217" t="s">
        <v>655</v>
      </c>
      <c r="J217" t="s">
        <v>2365</v>
      </c>
      <c r="K217" t="s">
        <v>2365</v>
      </c>
      <c r="L217">
        <v>1100</v>
      </c>
      <c r="M217" t="s">
        <v>616</v>
      </c>
      <c r="N217">
        <v>1120</v>
      </c>
      <c r="O217" t="s">
        <v>1485</v>
      </c>
      <c r="P217" t="s">
        <v>2366</v>
      </c>
      <c r="Q217" t="s">
        <v>2364</v>
      </c>
      <c r="R217" t="s">
        <v>2364</v>
      </c>
      <c r="S217" t="s">
        <v>1881</v>
      </c>
      <c r="T217" t="s">
        <v>1812</v>
      </c>
      <c r="U217" t="s">
        <v>2365</v>
      </c>
      <c r="V217" t="s">
        <v>2365</v>
      </c>
      <c r="W217" t="s">
        <v>2365</v>
      </c>
      <c r="X217" t="s">
        <v>2365</v>
      </c>
      <c r="Y217" t="s">
        <v>2365</v>
      </c>
      <c r="Z217" t="s">
        <v>2365</v>
      </c>
      <c r="AA217" t="s">
        <v>2365</v>
      </c>
      <c r="AB217" t="s">
        <v>2365</v>
      </c>
      <c r="AC217" s="813" t="s">
        <v>2365</v>
      </c>
      <c r="AD217" s="813" t="s">
        <v>2365</v>
      </c>
      <c r="AE217" s="813" t="s">
        <v>2365</v>
      </c>
      <c r="AF217" t="s">
        <v>2365</v>
      </c>
      <c r="AG217" t="s">
        <v>2365</v>
      </c>
      <c r="AH217" t="s">
        <v>2365</v>
      </c>
      <c r="AI217" t="s">
        <v>2365</v>
      </c>
      <c r="AJ217" t="s">
        <v>2365</v>
      </c>
      <c r="AK217" s="1373" t="s">
        <v>2365</v>
      </c>
      <c r="AL217" t="s">
        <v>2365</v>
      </c>
      <c r="AM217" t="s">
        <v>2365</v>
      </c>
      <c r="AN217" t="s">
        <v>2365</v>
      </c>
      <c r="AR217" t="s">
        <v>2365</v>
      </c>
      <c r="AS217" t="s">
        <v>2365</v>
      </c>
      <c r="AT217" t="s">
        <v>2365</v>
      </c>
      <c r="AU217" t="s">
        <v>2365</v>
      </c>
      <c r="AV217" t="s">
        <v>2365</v>
      </c>
      <c r="AW217" t="s">
        <v>2365</v>
      </c>
      <c r="AX217" t="s">
        <v>2365</v>
      </c>
      <c r="AY217" t="s">
        <v>2365</v>
      </c>
      <c r="AZ217" t="s">
        <v>2365</v>
      </c>
      <c r="BA217" t="s">
        <v>2365</v>
      </c>
      <c r="BB217" t="s">
        <v>2365</v>
      </c>
      <c r="BC217" t="s">
        <v>2365</v>
      </c>
      <c r="BD217" t="s">
        <v>2366</v>
      </c>
      <c r="BE217" t="s">
        <v>2365</v>
      </c>
      <c r="BF217" t="s">
        <v>2365</v>
      </c>
      <c r="BG217" t="s">
        <v>2365</v>
      </c>
      <c r="BH217" t="s">
        <v>2365</v>
      </c>
      <c r="BI217" t="s">
        <v>2366</v>
      </c>
      <c r="BJ217" t="s">
        <v>2365</v>
      </c>
      <c r="BK217" t="s">
        <v>2365</v>
      </c>
      <c r="BL217" t="s">
        <v>2365</v>
      </c>
      <c r="BM217" t="s">
        <v>2365</v>
      </c>
      <c r="BO217">
        <v>3</v>
      </c>
      <c r="BP217">
        <v>31</v>
      </c>
      <c r="BQ217" t="s">
        <v>2716</v>
      </c>
      <c r="BR217" t="s">
        <v>1485</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R217" t="s">
        <v>2330</v>
      </c>
      <c r="CS217" s="1369" t="str">
        <f>INDEX([8]Sheet1!$H:$H,MATCH(CR:CR,[8]Sheet1!$AU:$AU,0))</f>
        <v>Water Treatment</v>
      </c>
    </row>
    <row r="218" spans="1:97" x14ac:dyDescent="0.2">
      <c r="A218" t="s">
        <v>2718</v>
      </c>
      <c r="B218">
        <v>271</v>
      </c>
      <c r="C218" t="s">
        <v>2718</v>
      </c>
      <c r="D218">
        <v>41489</v>
      </c>
      <c r="E218" t="s">
        <v>2432</v>
      </c>
      <c r="F218">
        <v>2600</v>
      </c>
      <c r="G218" t="s">
        <v>655</v>
      </c>
      <c r="H218">
        <v>2600</v>
      </c>
      <c r="I218" t="s">
        <v>655</v>
      </c>
      <c r="J218" t="s">
        <v>2365</v>
      </c>
      <c r="K218" t="s">
        <v>2365</v>
      </c>
      <c r="L218">
        <v>1100</v>
      </c>
      <c r="M218" t="s">
        <v>616</v>
      </c>
      <c r="N218">
        <v>1120</v>
      </c>
      <c r="O218" t="s">
        <v>1485</v>
      </c>
      <c r="P218" t="s">
        <v>2366</v>
      </c>
      <c r="Q218" t="s">
        <v>2364</v>
      </c>
      <c r="R218" t="s">
        <v>2364</v>
      </c>
      <c r="S218" t="s">
        <v>1881</v>
      </c>
      <c r="T218" t="s">
        <v>1812</v>
      </c>
      <c r="U218" t="s">
        <v>2365</v>
      </c>
      <c r="V218" t="s">
        <v>2365</v>
      </c>
      <c r="W218" t="s">
        <v>2365</v>
      </c>
      <c r="X218" t="s">
        <v>2365</v>
      </c>
      <c r="Y218" t="s">
        <v>2365</v>
      </c>
      <c r="Z218" t="s">
        <v>2365</v>
      </c>
      <c r="AA218" t="s">
        <v>2365</v>
      </c>
      <c r="AB218" t="s">
        <v>2365</v>
      </c>
      <c r="AC218" s="813" t="s">
        <v>2365</v>
      </c>
      <c r="AD218" s="813" t="s">
        <v>2365</v>
      </c>
      <c r="AE218" s="813" t="s">
        <v>2365</v>
      </c>
      <c r="AF218" t="s">
        <v>2365</v>
      </c>
      <c r="AG218" t="s">
        <v>2365</v>
      </c>
      <c r="AH218" t="s">
        <v>2365</v>
      </c>
      <c r="AI218" t="s">
        <v>2365</v>
      </c>
      <c r="AJ218" t="s">
        <v>2365</v>
      </c>
      <c r="AK218" s="1373" t="s">
        <v>2365</v>
      </c>
      <c r="AL218" t="s">
        <v>2365</v>
      </c>
      <c r="AM218" t="s">
        <v>2365</v>
      </c>
      <c r="AN218" t="s">
        <v>2365</v>
      </c>
      <c r="AR218" t="s">
        <v>2365</v>
      </c>
      <c r="AS218" t="s">
        <v>2365</v>
      </c>
      <c r="AT218" t="s">
        <v>2365</v>
      </c>
      <c r="AU218" t="s">
        <v>2365</v>
      </c>
      <c r="AV218" t="s">
        <v>2365</v>
      </c>
      <c r="AW218" t="s">
        <v>2365</v>
      </c>
      <c r="AX218" t="s">
        <v>2365</v>
      </c>
      <c r="AY218" t="s">
        <v>2365</v>
      </c>
      <c r="AZ218" t="s">
        <v>2365</v>
      </c>
      <c r="BA218" t="s">
        <v>2365</v>
      </c>
      <c r="BB218" t="s">
        <v>2365</v>
      </c>
      <c r="BC218" t="s">
        <v>2365</v>
      </c>
      <c r="BD218" t="s">
        <v>2366</v>
      </c>
      <c r="BE218" t="s">
        <v>2365</v>
      </c>
      <c r="BF218" t="s">
        <v>2365</v>
      </c>
      <c r="BG218" t="s">
        <v>2365</v>
      </c>
      <c r="BH218" t="s">
        <v>2365</v>
      </c>
      <c r="BI218" t="s">
        <v>2366</v>
      </c>
      <c r="BJ218" t="s">
        <v>2365</v>
      </c>
      <c r="BK218" t="s">
        <v>2365</v>
      </c>
      <c r="BL218" t="s">
        <v>2365</v>
      </c>
      <c r="BM218" t="s">
        <v>2365</v>
      </c>
      <c r="BO218">
        <v>3</v>
      </c>
      <c r="BP218">
        <v>31</v>
      </c>
      <c r="BQ218" t="s">
        <v>2716</v>
      </c>
      <c r="BR218" t="s">
        <v>1485</v>
      </c>
      <c r="BU218">
        <v>1500000</v>
      </c>
      <c r="BV218">
        <v>0</v>
      </c>
      <c r="BW218">
        <v>1500000</v>
      </c>
      <c r="BX218">
        <v>200000</v>
      </c>
      <c r="BY218">
        <v>1700000</v>
      </c>
      <c r="BZ218">
        <v>1000000</v>
      </c>
      <c r="CA218">
        <v>1040000</v>
      </c>
      <c r="CB218">
        <v>0</v>
      </c>
      <c r="CC218">
        <v>304258.82999999996</v>
      </c>
      <c r="CD218">
        <v>0</v>
      </c>
      <c r="CE218">
        <v>0</v>
      </c>
      <c r="CF218">
        <v>281407</v>
      </c>
      <c r="CG218">
        <v>-115047.82999999999</v>
      </c>
      <c r="CH218">
        <v>170020.4</v>
      </c>
      <c r="CI218">
        <v>0</v>
      </c>
      <c r="CJ218">
        <v>0</v>
      </c>
      <c r="CK218">
        <v>0</v>
      </c>
      <c r="CL218">
        <v>0</v>
      </c>
      <c r="CM218">
        <v>0</v>
      </c>
      <c r="CR218" t="s">
        <v>2332</v>
      </c>
      <c r="CS218" s="1369" t="str">
        <f>INDEX([8]Sheet1!$H:$H,MATCH(CR:CR,[8]Sheet1!$AU:$AU,0))</f>
        <v>Water Storage</v>
      </c>
    </row>
    <row r="219" spans="1:97" x14ac:dyDescent="0.2">
      <c r="A219" t="s">
        <v>2719</v>
      </c>
      <c r="B219">
        <v>272</v>
      </c>
      <c r="C219" t="s">
        <v>2719</v>
      </c>
      <c r="D219">
        <v>41490</v>
      </c>
      <c r="E219" t="s">
        <v>2427</v>
      </c>
      <c r="F219">
        <v>2700</v>
      </c>
      <c r="G219" t="s">
        <v>656</v>
      </c>
      <c r="H219" t="s">
        <v>2428</v>
      </c>
      <c r="I219" t="s">
        <v>1800</v>
      </c>
      <c r="J219">
        <v>2701</v>
      </c>
      <c r="K219" t="s">
        <v>1800</v>
      </c>
      <c r="L219">
        <v>1100</v>
      </c>
      <c r="M219" t="s">
        <v>616</v>
      </c>
      <c r="N219">
        <v>1120</v>
      </c>
      <c r="O219" t="s">
        <v>1485</v>
      </c>
      <c r="P219" t="s">
        <v>2366</v>
      </c>
      <c r="Q219" t="s">
        <v>2364</v>
      </c>
      <c r="R219" t="s">
        <v>2364</v>
      </c>
      <c r="S219" t="s">
        <v>1881</v>
      </c>
      <c r="T219" t="s">
        <v>1812</v>
      </c>
      <c r="U219" t="s">
        <v>2365</v>
      </c>
      <c r="V219" t="s">
        <v>2365</v>
      </c>
      <c r="W219" t="s">
        <v>2365</v>
      </c>
      <c r="X219" t="s">
        <v>2365</v>
      </c>
      <c r="Y219" t="s">
        <v>2365</v>
      </c>
      <c r="Z219" t="s">
        <v>2365</v>
      </c>
      <c r="AA219" t="s">
        <v>2365</v>
      </c>
      <c r="AB219" t="s">
        <v>2365</v>
      </c>
      <c r="AC219" s="813" t="s">
        <v>2365</v>
      </c>
      <c r="AD219" s="813" t="s">
        <v>2365</v>
      </c>
      <c r="AE219" s="813" t="s">
        <v>2365</v>
      </c>
      <c r="AF219" t="s">
        <v>2365</v>
      </c>
      <c r="AG219" t="s">
        <v>2365</v>
      </c>
      <c r="AH219" t="s">
        <v>2365</v>
      </c>
      <c r="AI219" t="s">
        <v>2365</v>
      </c>
      <c r="AJ219" t="s">
        <v>2365</v>
      </c>
      <c r="AK219" s="1373" t="s">
        <v>2365</v>
      </c>
      <c r="AL219" t="s">
        <v>2365</v>
      </c>
      <c r="AM219" t="s">
        <v>2365</v>
      </c>
      <c r="AN219" t="s">
        <v>2365</v>
      </c>
      <c r="AR219" t="s">
        <v>2365</v>
      </c>
      <c r="AS219" t="s">
        <v>2365</v>
      </c>
      <c r="AT219" t="s">
        <v>2365</v>
      </c>
      <c r="AU219" t="s">
        <v>2365</v>
      </c>
      <c r="AV219" t="s">
        <v>2365</v>
      </c>
      <c r="AW219" t="s">
        <v>2365</v>
      </c>
      <c r="AX219" t="s">
        <v>2365</v>
      </c>
      <c r="AY219" t="s">
        <v>2365</v>
      </c>
      <c r="AZ219" t="s">
        <v>2365</v>
      </c>
      <c r="BA219" t="s">
        <v>2365</v>
      </c>
      <c r="BB219" t="s">
        <v>2365</v>
      </c>
      <c r="BC219" t="s">
        <v>2365</v>
      </c>
      <c r="BD219" t="s">
        <v>2366</v>
      </c>
      <c r="BE219" t="s">
        <v>2365</v>
      </c>
      <c r="BF219" t="s">
        <v>2365</v>
      </c>
      <c r="BG219" t="s">
        <v>2365</v>
      </c>
      <c r="BH219" t="s">
        <v>2365</v>
      </c>
      <c r="BI219" t="s">
        <v>2366</v>
      </c>
      <c r="BJ219" t="s">
        <v>2365</v>
      </c>
      <c r="BK219" t="s">
        <v>2365</v>
      </c>
      <c r="BL219" t="s">
        <v>2365</v>
      </c>
      <c r="BM219" t="s">
        <v>2365</v>
      </c>
      <c r="BO219">
        <v>3</v>
      </c>
      <c r="BP219">
        <v>31</v>
      </c>
      <c r="BQ219" t="s">
        <v>2716</v>
      </c>
      <c r="BR219" t="s">
        <v>1485</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R219" t="s">
        <v>2331</v>
      </c>
      <c r="CS219" s="1369" t="str">
        <f>INDEX([8]Sheet1!$H:$H,MATCH(CR:CR,[8]Sheet1!$AU:$AU,0))</f>
        <v>Waste Water Treatment</v>
      </c>
    </row>
    <row r="220" spans="1:97" x14ac:dyDescent="0.2">
      <c r="A220" t="s">
        <v>2720</v>
      </c>
      <c r="B220">
        <v>273</v>
      </c>
      <c r="C220" t="s">
        <v>2720</v>
      </c>
      <c r="D220">
        <v>41491</v>
      </c>
      <c r="E220" t="s">
        <v>2430</v>
      </c>
      <c r="F220">
        <v>2700</v>
      </c>
      <c r="G220" t="s">
        <v>656</v>
      </c>
      <c r="H220" t="s">
        <v>2428</v>
      </c>
      <c r="I220" t="s">
        <v>1800</v>
      </c>
      <c r="J220">
        <v>2701</v>
      </c>
      <c r="K220" t="s">
        <v>1800</v>
      </c>
      <c r="L220">
        <v>1100</v>
      </c>
      <c r="M220" t="s">
        <v>616</v>
      </c>
      <c r="N220">
        <v>1120</v>
      </c>
      <c r="O220" t="s">
        <v>1485</v>
      </c>
      <c r="P220" t="s">
        <v>2366</v>
      </c>
      <c r="Q220" t="s">
        <v>2364</v>
      </c>
      <c r="R220" t="s">
        <v>2364</v>
      </c>
      <c r="S220" t="s">
        <v>1881</v>
      </c>
      <c r="T220" t="s">
        <v>1812</v>
      </c>
      <c r="U220" t="s">
        <v>2365</v>
      </c>
      <c r="V220" t="s">
        <v>2365</v>
      </c>
      <c r="W220" t="s">
        <v>2365</v>
      </c>
      <c r="X220" t="s">
        <v>2365</v>
      </c>
      <c r="Y220" t="s">
        <v>2365</v>
      </c>
      <c r="Z220" t="s">
        <v>2365</v>
      </c>
      <c r="AA220" t="s">
        <v>2365</v>
      </c>
      <c r="AB220" t="s">
        <v>2365</v>
      </c>
      <c r="AC220" s="813" t="s">
        <v>2365</v>
      </c>
      <c r="AD220" s="813" t="s">
        <v>2365</v>
      </c>
      <c r="AE220" s="813" t="s">
        <v>2365</v>
      </c>
      <c r="AF220" t="s">
        <v>2365</v>
      </c>
      <c r="AG220" t="s">
        <v>2365</v>
      </c>
      <c r="AH220" t="s">
        <v>2365</v>
      </c>
      <c r="AI220" t="s">
        <v>2365</v>
      </c>
      <c r="AJ220" t="s">
        <v>2365</v>
      </c>
      <c r="AK220" t="s">
        <v>2365</v>
      </c>
      <c r="AL220" t="s">
        <v>2365</v>
      </c>
      <c r="AM220" t="s">
        <v>2365</v>
      </c>
      <c r="AN220" t="s">
        <v>2365</v>
      </c>
      <c r="AR220" t="s">
        <v>2365</v>
      </c>
      <c r="AS220" t="s">
        <v>2365</v>
      </c>
      <c r="AT220" t="s">
        <v>2365</v>
      </c>
      <c r="AU220" t="s">
        <v>2365</v>
      </c>
      <c r="AV220" t="s">
        <v>2365</v>
      </c>
      <c r="AW220" t="s">
        <v>2365</v>
      </c>
      <c r="AX220" t="s">
        <v>2365</v>
      </c>
      <c r="AY220" t="s">
        <v>2365</v>
      </c>
      <c r="AZ220" t="s">
        <v>2365</v>
      </c>
      <c r="BA220" t="s">
        <v>2365</v>
      </c>
      <c r="BB220" t="s">
        <v>2365</v>
      </c>
      <c r="BC220" t="s">
        <v>2365</v>
      </c>
      <c r="BD220" t="s">
        <v>2366</v>
      </c>
      <c r="BE220" t="s">
        <v>2365</v>
      </c>
      <c r="BF220" t="s">
        <v>2365</v>
      </c>
      <c r="BG220" t="s">
        <v>2365</v>
      </c>
      <c r="BH220" t="s">
        <v>2365</v>
      </c>
      <c r="BI220" t="s">
        <v>2366</v>
      </c>
      <c r="BJ220" t="s">
        <v>2365</v>
      </c>
      <c r="BK220" t="s">
        <v>2365</v>
      </c>
      <c r="BL220" t="s">
        <v>2365</v>
      </c>
      <c r="BM220" t="s">
        <v>2365</v>
      </c>
      <c r="BO220">
        <v>3</v>
      </c>
      <c r="BP220">
        <v>31</v>
      </c>
      <c r="BQ220" t="s">
        <v>2716</v>
      </c>
      <c r="BR220" t="s">
        <v>1485</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R220" t="s">
        <v>2332</v>
      </c>
      <c r="CS220" s="1369" t="str">
        <f>INDEX([8]Sheet1!$H:$H,MATCH(CR:CR,[8]Sheet1!$AU:$AU,0))</f>
        <v>Water Storage</v>
      </c>
    </row>
    <row r="221" spans="1:97" x14ac:dyDescent="0.2">
      <c r="A221" t="s">
        <v>2721</v>
      </c>
      <c r="B221">
        <v>274</v>
      </c>
      <c r="C221" t="s">
        <v>2721</v>
      </c>
      <c r="D221">
        <v>40807</v>
      </c>
      <c r="E221" t="s">
        <v>2461</v>
      </c>
      <c r="F221">
        <v>2000</v>
      </c>
      <c r="G221" t="s">
        <v>652</v>
      </c>
      <c r="H221" t="s">
        <v>2462</v>
      </c>
      <c r="I221" t="s">
        <v>203</v>
      </c>
      <c r="J221">
        <v>2001</v>
      </c>
      <c r="K221" t="s">
        <v>203</v>
      </c>
      <c r="L221">
        <v>5000</v>
      </c>
      <c r="M221" t="s">
        <v>632</v>
      </c>
      <c r="N221">
        <v>5004</v>
      </c>
      <c r="O221" t="s">
        <v>1560</v>
      </c>
      <c r="P221" t="s">
        <v>2366</v>
      </c>
      <c r="Q221" t="s">
        <v>2364</v>
      </c>
      <c r="R221" t="s">
        <v>2364</v>
      </c>
      <c r="S221" t="s">
        <v>1881</v>
      </c>
      <c r="T221" t="s">
        <v>1812</v>
      </c>
      <c r="U221" t="s">
        <v>2365</v>
      </c>
      <c r="V221" t="s">
        <v>2365</v>
      </c>
      <c r="W221" t="s">
        <v>2365</v>
      </c>
      <c r="X221" t="s">
        <v>2365</v>
      </c>
      <c r="Y221" t="s">
        <v>2365</v>
      </c>
      <c r="Z221" t="s">
        <v>2365</v>
      </c>
      <c r="AA221" t="s">
        <v>2365</v>
      </c>
      <c r="AB221" t="s">
        <v>2365</v>
      </c>
      <c r="AC221" s="813" t="s">
        <v>2365</v>
      </c>
      <c r="AD221" s="813" t="s">
        <v>2365</v>
      </c>
      <c r="AE221" s="813" t="s">
        <v>2365</v>
      </c>
      <c r="AF221" t="s">
        <v>2365</v>
      </c>
      <c r="AG221" t="s">
        <v>2365</v>
      </c>
      <c r="AH221" t="s">
        <v>2365</v>
      </c>
      <c r="AI221" t="s">
        <v>2365</v>
      </c>
      <c r="AJ221" t="s">
        <v>2365</v>
      </c>
      <c r="AK221" t="s">
        <v>2365</v>
      </c>
      <c r="AL221" t="s">
        <v>2365</v>
      </c>
      <c r="AM221" t="s">
        <v>2365</v>
      </c>
      <c r="AN221" t="s">
        <v>2365</v>
      </c>
      <c r="AR221" t="s">
        <v>2365</v>
      </c>
      <c r="AS221" t="s">
        <v>2365</v>
      </c>
      <c r="AT221" t="s">
        <v>2365</v>
      </c>
      <c r="AU221" t="s">
        <v>2365</v>
      </c>
      <c r="AV221" t="s">
        <v>2365</v>
      </c>
      <c r="AW221" t="s">
        <v>2365</v>
      </c>
      <c r="AX221" t="s">
        <v>2365</v>
      </c>
      <c r="AY221" t="s">
        <v>2365</v>
      </c>
      <c r="AZ221" t="s">
        <v>2365</v>
      </c>
      <c r="BA221" t="s">
        <v>2365</v>
      </c>
      <c r="BB221" t="s">
        <v>2365</v>
      </c>
      <c r="BC221" t="s">
        <v>2365</v>
      </c>
      <c r="BD221" t="s">
        <v>2366</v>
      </c>
      <c r="BE221" t="s">
        <v>2365</v>
      </c>
      <c r="BF221" t="s">
        <v>2365</v>
      </c>
      <c r="BG221" t="s">
        <v>2365</v>
      </c>
      <c r="BH221" t="s">
        <v>2365</v>
      </c>
      <c r="BI221" t="s">
        <v>2366</v>
      </c>
      <c r="BJ221" t="s">
        <v>2365</v>
      </c>
      <c r="BK221" t="s">
        <v>2365</v>
      </c>
      <c r="BL221" t="s">
        <v>2365</v>
      </c>
      <c r="BM221" t="s">
        <v>2365</v>
      </c>
      <c r="BN221" t="s">
        <v>2177</v>
      </c>
      <c r="BO221">
        <v>11</v>
      </c>
      <c r="BP221">
        <v>111</v>
      </c>
      <c r="BQ221" t="s">
        <v>632</v>
      </c>
      <c r="BR221" t="s">
        <v>1560</v>
      </c>
      <c r="BU221">
        <v>3501916</v>
      </c>
      <c r="BV221">
        <v>0</v>
      </c>
      <c r="BW221">
        <v>3501916</v>
      </c>
      <c r="BX221">
        <v>0</v>
      </c>
      <c r="BY221">
        <v>3501916</v>
      </c>
      <c r="BZ221">
        <v>3747050</v>
      </c>
      <c r="CA221">
        <v>4009343</v>
      </c>
      <c r="CB221">
        <v>0</v>
      </c>
      <c r="CC221">
        <v>0</v>
      </c>
      <c r="CD221">
        <v>0</v>
      </c>
      <c r="CE221">
        <v>0</v>
      </c>
      <c r="CF221">
        <v>0</v>
      </c>
      <c r="CG221">
        <v>0</v>
      </c>
      <c r="CH221">
        <v>0</v>
      </c>
      <c r="CI221">
        <v>0</v>
      </c>
      <c r="CJ221">
        <v>0</v>
      </c>
      <c r="CK221">
        <v>0</v>
      </c>
      <c r="CL221">
        <v>0</v>
      </c>
      <c r="CM221">
        <v>0</v>
      </c>
      <c r="CR221" t="s">
        <v>2329</v>
      </c>
      <c r="CS221" s="1369" t="str">
        <f>INDEX([8]Sheet1!$H:$H,MATCH(CR:CR,[8]Sheet1!$AU:$AU,0))</f>
        <v>Sewerage</v>
      </c>
    </row>
    <row r="222" spans="1:97" x14ac:dyDescent="0.2">
      <c r="A222" t="s">
        <v>2722</v>
      </c>
      <c r="B222">
        <v>275</v>
      </c>
      <c r="C222" t="s">
        <v>2722</v>
      </c>
      <c r="D222">
        <v>40808</v>
      </c>
      <c r="E222" t="s">
        <v>2562</v>
      </c>
      <c r="F222">
        <v>2000</v>
      </c>
      <c r="G222" t="s">
        <v>652</v>
      </c>
      <c r="H222" t="s">
        <v>2563</v>
      </c>
      <c r="I222" t="s">
        <v>1160</v>
      </c>
      <c r="J222">
        <v>2012</v>
      </c>
      <c r="K222" t="s">
        <v>1160</v>
      </c>
      <c r="L222">
        <v>5000</v>
      </c>
      <c r="M222" t="s">
        <v>632</v>
      </c>
      <c r="N222">
        <v>5004</v>
      </c>
      <c r="O222" t="s">
        <v>1560</v>
      </c>
      <c r="P222" t="s">
        <v>2366</v>
      </c>
      <c r="Q222" t="s">
        <v>2364</v>
      </c>
      <c r="R222" t="s">
        <v>2364</v>
      </c>
      <c r="S222" t="s">
        <v>1881</v>
      </c>
      <c r="T222" t="s">
        <v>1812</v>
      </c>
      <c r="U222" t="s">
        <v>2365</v>
      </c>
      <c r="V222" t="s">
        <v>2365</v>
      </c>
      <c r="W222" t="s">
        <v>2365</v>
      </c>
      <c r="X222" t="s">
        <v>2365</v>
      </c>
      <c r="Y222" t="s">
        <v>2365</v>
      </c>
      <c r="Z222" t="s">
        <v>2365</v>
      </c>
      <c r="AA222" t="s">
        <v>2365</v>
      </c>
      <c r="AB222" t="s">
        <v>2365</v>
      </c>
      <c r="AC222" s="813" t="s">
        <v>2365</v>
      </c>
      <c r="AD222" s="813" t="s">
        <v>2365</v>
      </c>
      <c r="AE222" s="813" t="s">
        <v>2365</v>
      </c>
      <c r="AF222" t="s">
        <v>2365</v>
      </c>
      <c r="AG222" t="s">
        <v>2365</v>
      </c>
      <c r="AH222" t="s">
        <v>2365</v>
      </c>
      <c r="AI222" t="s">
        <v>2365</v>
      </c>
      <c r="AJ222" t="s">
        <v>2365</v>
      </c>
      <c r="AK222" s="1373" t="s">
        <v>2365</v>
      </c>
      <c r="AL222" t="s">
        <v>2365</v>
      </c>
      <c r="AM222" t="s">
        <v>2365</v>
      </c>
      <c r="AN222" t="s">
        <v>2365</v>
      </c>
      <c r="AR222" t="s">
        <v>2365</v>
      </c>
      <c r="AS222" t="s">
        <v>2365</v>
      </c>
      <c r="AT222" t="s">
        <v>2365</v>
      </c>
      <c r="AU222" t="s">
        <v>2365</v>
      </c>
      <c r="AV222" t="s">
        <v>2365</v>
      </c>
      <c r="AW222" t="s">
        <v>2365</v>
      </c>
      <c r="AX222" t="s">
        <v>2365</v>
      </c>
      <c r="AY222" t="s">
        <v>2365</v>
      </c>
      <c r="AZ222" t="s">
        <v>2365</v>
      </c>
      <c r="BA222" t="s">
        <v>2365</v>
      </c>
      <c r="BB222" t="s">
        <v>2365</v>
      </c>
      <c r="BC222" t="s">
        <v>2365</v>
      </c>
      <c r="BD222" t="s">
        <v>2366</v>
      </c>
      <c r="BE222" t="s">
        <v>2365</v>
      </c>
      <c r="BF222" t="s">
        <v>2365</v>
      </c>
      <c r="BG222" t="s">
        <v>2365</v>
      </c>
      <c r="BH222" t="s">
        <v>2365</v>
      </c>
      <c r="BI222" t="s">
        <v>2366</v>
      </c>
      <c r="BJ222" t="s">
        <v>2365</v>
      </c>
      <c r="BK222" t="s">
        <v>2365</v>
      </c>
      <c r="BL222" t="s">
        <v>2365</v>
      </c>
      <c r="BM222" t="s">
        <v>2365</v>
      </c>
      <c r="BN222" t="s">
        <v>2177</v>
      </c>
      <c r="BO222">
        <v>11</v>
      </c>
      <c r="BP222">
        <v>111</v>
      </c>
      <c r="BQ222" t="s">
        <v>632</v>
      </c>
      <c r="BR222" t="s">
        <v>1560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R222" t="s">
        <v>2329</v>
      </c>
      <c r="CS222" s="1369" t="str">
        <f>INDEX([8]Sheet1!$H:$H,MATCH(CR:CR,[8]Sheet1!$AU:$AU,0))</f>
        <v>Sewerage</v>
      </c>
    </row>
    <row r="223" spans="1:97" x14ac:dyDescent="0.2">
      <c r="A223" t="s">
        <v>2723</v>
      </c>
      <c r="B223">
        <v>276</v>
      </c>
      <c r="C223" t="s">
        <v>2723</v>
      </c>
      <c r="D223">
        <v>40809</v>
      </c>
      <c r="E223" t="s">
        <v>2552</v>
      </c>
      <c r="F223">
        <v>2000</v>
      </c>
      <c r="G223" t="s">
        <v>652</v>
      </c>
      <c r="H223" t="s">
        <v>2553</v>
      </c>
      <c r="I223" t="s">
        <v>1378</v>
      </c>
      <c r="J223">
        <v>2008</v>
      </c>
      <c r="K223" t="s">
        <v>1378</v>
      </c>
      <c r="L223">
        <v>5000</v>
      </c>
      <c r="M223" t="s">
        <v>632</v>
      </c>
      <c r="N223">
        <v>5004</v>
      </c>
      <c r="O223" t="s">
        <v>1560</v>
      </c>
      <c r="P223" t="s">
        <v>2366</v>
      </c>
      <c r="Q223" t="s">
        <v>2364</v>
      </c>
      <c r="R223" t="s">
        <v>2364</v>
      </c>
      <c r="S223" t="s">
        <v>1881</v>
      </c>
      <c r="T223" t="s">
        <v>1812</v>
      </c>
      <c r="U223" t="s">
        <v>2365</v>
      </c>
      <c r="V223" t="s">
        <v>2365</v>
      </c>
      <c r="W223" t="s">
        <v>2365</v>
      </c>
      <c r="X223" t="s">
        <v>2365</v>
      </c>
      <c r="Y223" t="s">
        <v>2365</v>
      </c>
      <c r="Z223" t="s">
        <v>2365</v>
      </c>
      <c r="AA223" t="s">
        <v>2365</v>
      </c>
      <c r="AB223" t="s">
        <v>2365</v>
      </c>
      <c r="AC223" s="813" t="s">
        <v>2365</v>
      </c>
      <c r="AD223" s="813" t="s">
        <v>2365</v>
      </c>
      <c r="AE223" s="813" t="s">
        <v>2365</v>
      </c>
      <c r="AF223" t="s">
        <v>2365</v>
      </c>
      <c r="AG223" t="s">
        <v>2365</v>
      </c>
      <c r="AH223" t="s">
        <v>2365</v>
      </c>
      <c r="AI223" t="s">
        <v>2365</v>
      </c>
      <c r="AJ223" t="s">
        <v>2365</v>
      </c>
      <c r="AK223" s="1373" t="s">
        <v>2365</v>
      </c>
      <c r="AL223" t="s">
        <v>2365</v>
      </c>
      <c r="AM223" t="s">
        <v>2365</v>
      </c>
      <c r="AN223" t="s">
        <v>2365</v>
      </c>
      <c r="AR223" t="s">
        <v>2365</v>
      </c>
      <c r="AS223" t="s">
        <v>2365</v>
      </c>
      <c r="AT223" t="s">
        <v>2365</v>
      </c>
      <c r="AU223" t="s">
        <v>2365</v>
      </c>
      <c r="AV223" t="s">
        <v>2365</v>
      </c>
      <c r="AW223" t="s">
        <v>2365</v>
      </c>
      <c r="AX223" t="s">
        <v>2365</v>
      </c>
      <c r="AY223" t="s">
        <v>2365</v>
      </c>
      <c r="AZ223" t="s">
        <v>2365</v>
      </c>
      <c r="BA223" t="s">
        <v>2365</v>
      </c>
      <c r="BB223" t="s">
        <v>2365</v>
      </c>
      <c r="BC223" t="s">
        <v>2365</v>
      </c>
      <c r="BD223" t="s">
        <v>2366</v>
      </c>
      <c r="BE223" t="s">
        <v>2365</v>
      </c>
      <c r="BF223" t="s">
        <v>2365</v>
      </c>
      <c r="BG223" t="s">
        <v>2365</v>
      </c>
      <c r="BH223" t="s">
        <v>2365</v>
      </c>
      <c r="BI223" t="s">
        <v>2366</v>
      </c>
      <c r="BJ223" t="s">
        <v>2365</v>
      </c>
      <c r="BK223" t="s">
        <v>2365</v>
      </c>
      <c r="BL223" t="s">
        <v>2365</v>
      </c>
      <c r="BM223" t="s">
        <v>2365</v>
      </c>
      <c r="BN223" t="s">
        <v>2177</v>
      </c>
      <c r="BO223">
        <v>11</v>
      </c>
      <c r="BP223">
        <v>111</v>
      </c>
      <c r="BQ223" t="s">
        <v>632</v>
      </c>
      <c r="BR223" t="s">
        <v>1560</v>
      </c>
      <c r="BU223">
        <v>23166</v>
      </c>
      <c r="BV223">
        <v>0</v>
      </c>
      <c r="BW223">
        <v>23166</v>
      </c>
      <c r="BX223">
        <v>0</v>
      </c>
      <c r="BY223">
        <v>23166</v>
      </c>
      <c r="BZ223">
        <v>24787</v>
      </c>
      <c r="CA223">
        <v>26522</v>
      </c>
      <c r="CB223">
        <v>0</v>
      </c>
      <c r="CC223">
        <v>0</v>
      </c>
      <c r="CD223">
        <v>0</v>
      </c>
      <c r="CE223">
        <v>0</v>
      </c>
      <c r="CF223">
        <v>0</v>
      </c>
      <c r="CG223">
        <v>0</v>
      </c>
      <c r="CH223">
        <v>0</v>
      </c>
      <c r="CI223">
        <v>0</v>
      </c>
      <c r="CJ223">
        <v>0</v>
      </c>
      <c r="CK223">
        <v>0</v>
      </c>
      <c r="CL223">
        <v>0</v>
      </c>
      <c r="CM223">
        <v>0</v>
      </c>
      <c r="CR223" t="s">
        <v>2330</v>
      </c>
      <c r="CS223" s="1369" t="str">
        <f>INDEX([8]Sheet1!$H:$H,MATCH(CR:CR,[8]Sheet1!$AU:$AU,0))</f>
        <v>Water Treatment</v>
      </c>
    </row>
    <row r="224" spans="1:97" x14ac:dyDescent="0.2">
      <c r="A224" t="s">
        <v>2724</v>
      </c>
      <c r="B224">
        <v>277</v>
      </c>
      <c r="C224" t="s">
        <v>2724</v>
      </c>
      <c r="D224">
        <v>40810</v>
      </c>
      <c r="E224" t="s">
        <v>2546</v>
      </c>
      <c r="F224">
        <v>2000</v>
      </c>
      <c r="G224" t="s">
        <v>652</v>
      </c>
      <c r="H224" t="s">
        <v>2547</v>
      </c>
      <c r="I224" t="s">
        <v>200</v>
      </c>
      <c r="J224">
        <v>2005</v>
      </c>
      <c r="K224" t="s">
        <v>200</v>
      </c>
      <c r="L224">
        <v>5000</v>
      </c>
      <c r="M224" t="s">
        <v>632</v>
      </c>
      <c r="N224">
        <v>5004</v>
      </c>
      <c r="O224" t="s">
        <v>1560</v>
      </c>
      <c r="P224" t="s">
        <v>2366</v>
      </c>
      <c r="Q224" t="s">
        <v>2364</v>
      </c>
      <c r="R224" t="s">
        <v>2364</v>
      </c>
      <c r="S224" t="s">
        <v>1881</v>
      </c>
      <c r="T224" t="s">
        <v>1812</v>
      </c>
      <c r="U224" t="s">
        <v>2365</v>
      </c>
      <c r="V224" t="s">
        <v>2365</v>
      </c>
      <c r="W224" t="s">
        <v>2365</v>
      </c>
      <c r="X224" t="s">
        <v>2365</v>
      </c>
      <c r="Y224" t="s">
        <v>2365</v>
      </c>
      <c r="Z224" t="s">
        <v>2365</v>
      </c>
      <c r="AA224" t="s">
        <v>2365</v>
      </c>
      <c r="AB224" t="s">
        <v>2365</v>
      </c>
      <c r="AC224" s="813" t="s">
        <v>2365</v>
      </c>
      <c r="AD224" s="813" t="s">
        <v>2365</v>
      </c>
      <c r="AE224" s="813" t="s">
        <v>2365</v>
      </c>
      <c r="AF224" t="s">
        <v>2365</v>
      </c>
      <c r="AG224" t="s">
        <v>2365</v>
      </c>
      <c r="AH224" t="s">
        <v>2365</v>
      </c>
      <c r="AI224" t="s">
        <v>2365</v>
      </c>
      <c r="AJ224" t="s">
        <v>2365</v>
      </c>
      <c r="AK224" s="1373" t="s">
        <v>2365</v>
      </c>
      <c r="AL224" t="s">
        <v>2365</v>
      </c>
      <c r="AM224" t="s">
        <v>2365</v>
      </c>
      <c r="AN224" t="s">
        <v>2365</v>
      </c>
      <c r="AR224" t="s">
        <v>2365</v>
      </c>
      <c r="AS224" t="s">
        <v>2365</v>
      </c>
      <c r="AT224" t="s">
        <v>2365</v>
      </c>
      <c r="AU224" t="s">
        <v>2365</v>
      </c>
      <c r="AV224" t="s">
        <v>2365</v>
      </c>
      <c r="AW224" t="s">
        <v>2365</v>
      </c>
      <c r="AX224" t="s">
        <v>2365</v>
      </c>
      <c r="AY224" t="s">
        <v>2365</v>
      </c>
      <c r="AZ224" t="s">
        <v>2365</v>
      </c>
      <c r="BA224" t="s">
        <v>2365</v>
      </c>
      <c r="BB224" t="s">
        <v>2365</v>
      </c>
      <c r="BC224" t="s">
        <v>2365</v>
      </c>
      <c r="BD224" t="s">
        <v>2366</v>
      </c>
      <c r="BE224" t="s">
        <v>2365</v>
      </c>
      <c r="BF224" t="s">
        <v>2365</v>
      </c>
      <c r="BG224" t="s">
        <v>2365</v>
      </c>
      <c r="BH224" t="s">
        <v>2365</v>
      </c>
      <c r="BI224" t="s">
        <v>2366</v>
      </c>
      <c r="BJ224" t="s">
        <v>2365</v>
      </c>
      <c r="BK224" t="s">
        <v>2365</v>
      </c>
      <c r="BL224" t="s">
        <v>2365</v>
      </c>
      <c r="BM224" t="s">
        <v>2365</v>
      </c>
      <c r="BN224" t="s">
        <v>2177</v>
      </c>
      <c r="BO224">
        <v>11</v>
      </c>
      <c r="BP224">
        <v>111</v>
      </c>
      <c r="BQ224" t="s">
        <v>632</v>
      </c>
      <c r="BR224" t="s">
        <v>1560</v>
      </c>
      <c r="BU224">
        <v>291826</v>
      </c>
      <c r="BV224">
        <v>0</v>
      </c>
      <c r="BW224">
        <v>291826</v>
      </c>
      <c r="BX224">
        <v>0</v>
      </c>
      <c r="BY224">
        <v>291826</v>
      </c>
      <c r="BZ224">
        <v>312254</v>
      </c>
      <c r="CA224">
        <v>334112</v>
      </c>
      <c r="CB224">
        <v>0</v>
      </c>
      <c r="CC224">
        <v>0</v>
      </c>
      <c r="CD224">
        <v>0</v>
      </c>
      <c r="CE224">
        <v>0</v>
      </c>
      <c r="CF224">
        <v>0</v>
      </c>
      <c r="CG224">
        <v>0</v>
      </c>
      <c r="CH224">
        <v>0</v>
      </c>
      <c r="CI224">
        <v>0</v>
      </c>
      <c r="CJ224">
        <v>0</v>
      </c>
      <c r="CK224">
        <v>0</v>
      </c>
      <c r="CL224">
        <v>0</v>
      </c>
      <c r="CM224">
        <v>0</v>
      </c>
      <c r="CR224" t="s">
        <v>2330</v>
      </c>
      <c r="CS224" s="1369" t="str">
        <f>INDEX([8]Sheet1!$H:$H,MATCH(CR:CR,[8]Sheet1!$AU:$AU,0))</f>
        <v>Water Treatment</v>
      </c>
    </row>
    <row r="225" spans="1:97" x14ac:dyDescent="0.2">
      <c r="A225" t="s">
        <v>2725</v>
      </c>
      <c r="B225">
        <v>278</v>
      </c>
      <c r="C225" t="s">
        <v>2725</v>
      </c>
      <c r="D225">
        <v>40811</v>
      </c>
      <c r="E225" t="s">
        <v>2542</v>
      </c>
      <c r="F225">
        <v>2000</v>
      </c>
      <c r="G225" t="s">
        <v>652</v>
      </c>
      <c r="H225" s="1373" t="s">
        <v>2540</v>
      </c>
      <c r="I225" t="s">
        <v>1157</v>
      </c>
      <c r="J225">
        <v>2009</v>
      </c>
      <c r="K225" t="s">
        <v>1185</v>
      </c>
      <c r="L225" s="1373">
        <v>5000</v>
      </c>
      <c r="M225" t="s">
        <v>632</v>
      </c>
      <c r="N225">
        <v>5004</v>
      </c>
      <c r="O225" t="s">
        <v>1560</v>
      </c>
      <c r="P225" t="s">
        <v>2366</v>
      </c>
      <c r="Q225" t="s">
        <v>2364</v>
      </c>
      <c r="R225" t="s">
        <v>2364</v>
      </c>
      <c r="S225" t="s">
        <v>1881</v>
      </c>
      <c r="T225" t="s">
        <v>1812</v>
      </c>
      <c r="U225" t="s">
        <v>2365</v>
      </c>
      <c r="V225" t="s">
        <v>2365</v>
      </c>
      <c r="W225" t="s">
        <v>2365</v>
      </c>
      <c r="X225" t="s">
        <v>2365</v>
      </c>
      <c r="Y225" t="s">
        <v>2365</v>
      </c>
      <c r="Z225" t="s">
        <v>2365</v>
      </c>
      <c r="AA225" t="s">
        <v>2365</v>
      </c>
      <c r="AB225" t="s">
        <v>2365</v>
      </c>
      <c r="AC225" s="813" t="s">
        <v>2365</v>
      </c>
      <c r="AD225" s="813" t="s">
        <v>2365</v>
      </c>
      <c r="AE225" s="813" t="s">
        <v>2365</v>
      </c>
      <c r="AF225" t="s">
        <v>2365</v>
      </c>
      <c r="AG225" t="s">
        <v>2365</v>
      </c>
      <c r="AH225" t="s">
        <v>2365</v>
      </c>
      <c r="AI225" t="s">
        <v>2365</v>
      </c>
      <c r="AJ225" t="s">
        <v>2365</v>
      </c>
      <c r="AK225" s="1373" t="s">
        <v>2365</v>
      </c>
      <c r="AL225" t="s">
        <v>2365</v>
      </c>
      <c r="AM225" t="s">
        <v>2365</v>
      </c>
      <c r="AN225" t="s">
        <v>2365</v>
      </c>
      <c r="AR225" t="s">
        <v>2365</v>
      </c>
      <c r="AS225" t="s">
        <v>2365</v>
      </c>
      <c r="AT225" t="s">
        <v>2365</v>
      </c>
      <c r="AU225" t="s">
        <v>2365</v>
      </c>
      <c r="AV225" t="s">
        <v>2365</v>
      </c>
      <c r="AW225" t="s">
        <v>2365</v>
      </c>
      <c r="AX225" t="s">
        <v>2365</v>
      </c>
      <c r="AY225" t="s">
        <v>2365</v>
      </c>
      <c r="AZ225" t="s">
        <v>2365</v>
      </c>
      <c r="BA225" t="s">
        <v>2365</v>
      </c>
      <c r="BB225" t="s">
        <v>2365</v>
      </c>
      <c r="BC225" t="s">
        <v>2365</v>
      </c>
      <c r="BD225" t="s">
        <v>2366</v>
      </c>
      <c r="BE225" t="s">
        <v>2365</v>
      </c>
      <c r="BF225" t="s">
        <v>2365</v>
      </c>
      <c r="BG225" t="s">
        <v>2365</v>
      </c>
      <c r="BH225" t="s">
        <v>2365</v>
      </c>
      <c r="BI225" t="s">
        <v>2366</v>
      </c>
      <c r="BJ225" t="s">
        <v>2365</v>
      </c>
      <c r="BK225" t="s">
        <v>2365</v>
      </c>
      <c r="BL225" t="s">
        <v>2365</v>
      </c>
      <c r="BM225" t="s">
        <v>2365</v>
      </c>
      <c r="BN225" t="s">
        <v>2177</v>
      </c>
      <c r="BO225">
        <v>11</v>
      </c>
      <c r="BP225">
        <v>111</v>
      </c>
      <c r="BQ225" t="s">
        <v>632</v>
      </c>
      <c r="BR225" t="s">
        <v>1560</v>
      </c>
      <c r="BU225" s="1371">
        <v>111039</v>
      </c>
      <c r="BV225" s="1371">
        <v>0</v>
      </c>
      <c r="BW225" s="1371">
        <v>111039</v>
      </c>
      <c r="BX225" s="1371">
        <v>0</v>
      </c>
      <c r="BY225" s="1371">
        <v>111039</v>
      </c>
      <c r="BZ225">
        <v>118811</v>
      </c>
      <c r="CA225">
        <v>127128</v>
      </c>
      <c r="CB225">
        <v>0</v>
      </c>
      <c r="CC225">
        <v>0</v>
      </c>
      <c r="CD225">
        <v>0</v>
      </c>
      <c r="CE225">
        <v>0</v>
      </c>
      <c r="CF225">
        <v>0</v>
      </c>
      <c r="CG225">
        <v>0</v>
      </c>
      <c r="CH225">
        <v>0</v>
      </c>
      <c r="CI225">
        <v>0</v>
      </c>
      <c r="CJ225">
        <v>0</v>
      </c>
      <c r="CK225">
        <v>0</v>
      </c>
      <c r="CL225">
        <v>0</v>
      </c>
      <c r="CM225">
        <v>0</v>
      </c>
      <c r="CR225" t="s">
        <v>2331</v>
      </c>
      <c r="CS225" s="1369" t="str">
        <f>INDEX([8]Sheet1!$H:$H,MATCH(CR:CR,[8]Sheet1!$AU:$AU,0))</f>
        <v>Waste Water Treatment</v>
      </c>
    </row>
    <row r="226" spans="1:97" x14ac:dyDescent="0.2">
      <c r="A226" t="s">
        <v>2726</v>
      </c>
      <c r="B226">
        <v>279</v>
      </c>
      <c r="C226" t="s">
        <v>2726</v>
      </c>
      <c r="D226">
        <v>40812</v>
      </c>
      <c r="E226" t="s">
        <v>2539</v>
      </c>
      <c r="F226">
        <v>2000</v>
      </c>
      <c r="G226" t="s">
        <v>652</v>
      </c>
      <c r="H226" s="1373" t="s">
        <v>2540</v>
      </c>
      <c r="I226" t="s">
        <v>1157</v>
      </c>
      <c r="J226">
        <v>2009</v>
      </c>
      <c r="K226" t="s">
        <v>1185</v>
      </c>
      <c r="L226" s="1373">
        <v>5000</v>
      </c>
      <c r="M226" t="s">
        <v>632</v>
      </c>
      <c r="N226">
        <v>5004</v>
      </c>
      <c r="O226" t="s">
        <v>1560</v>
      </c>
      <c r="P226" t="s">
        <v>2366</v>
      </c>
      <c r="Q226" t="s">
        <v>2364</v>
      </c>
      <c r="R226" t="s">
        <v>2364</v>
      </c>
      <c r="S226" t="s">
        <v>1881</v>
      </c>
      <c r="T226" t="s">
        <v>1812</v>
      </c>
      <c r="U226" t="s">
        <v>2365</v>
      </c>
      <c r="V226" t="s">
        <v>2365</v>
      </c>
      <c r="W226" t="s">
        <v>2365</v>
      </c>
      <c r="X226" t="s">
        <v>2365</v>
      </c>
      <c r="Y226" t="s">
        <v>2365</v>
      </c>
      <c r="Z226" t="s">
        <v>2365</v>
      </c>
      <c r="AA226" t="s">
        <v>2365</v>
      </c>
      <c r="AB226" t="s">
        <v>2365</v>
      </c>
      <c r="AC226" s="813" t="s">
        <v>2365</v>
      </c>
      <c r="AD226" s="813" t="s">
        <v>2365</v>
      </c>
      <c r="AE226" s="813" t="s">
        <v>2365</v>
      </c>
      <c r="AF226" t="s">
        <v>2365</v>
      </c>
      <c r="AG226" t="s">
        <v>2365</v>
      </c>
      <c r="AH226" t="s">
        <v>2365</v>
      </c>
      <c r="AI226" t="s">
        <v>2365</v>
      </c>
      <c r="AJ226" t="s">
        <v>2365</v>
      </c>
      <c r="AK226" s="1373" t="s">
        <v>2365</v>
      </c>
      <c r="AL226" t="s">
        <v>2365</v>
      </c>
      <c r="AM226" t="s">
        <v>2365</v>
      </c>
      <c r="AN226" t="s">
        <v>2365</v>
      </c>
      <c r="AR226" t="s">
        <v>2365</v>
      </c>
      <c r="AS226" t="s">
        <v>2365</v>
      </c>
      <c r="AT226" t="s">
        <v>2365</v>
      </c>
      <c r="AU226" t="s">
        <v>2365</v>
      </c>
      <c r="AV226" t="s">
        <v>2365</v>
      </c>
      <c r="AW226" t="s">
        <v>2365</v>
      </c>
      <c r="AX226" t="s">
        <v>2365</v>
      </c>
      <c r="AY226" t="s">
        <v>2365</v>
      </c>
      <c r="AZ226" t="s">
        <v>2365</v>
      </c>
      <c r="BA226" t="s">
        <v>2365</v>
      </c>
      <c r="BB226" t="s">
        <v>2365</v>
      </c>
      <c r="BC226" t="s">
        <v>2365</v>
      </c>
      <c r="BD226" t="s">
        <v>2366</v>
      </c>
      <c r="BE226" t="s">
        <v>2365</v>
      </c>
      <c r="BF226" t="s">
        <v>2365</v>
      </c>
      <c r="BG226" t="s">
        <v>2365</v>
      </c>
      <c r="BH226" t="s">
        <v>2365</v>
      </c>
      <c r="BI226" t="s">
        <v>2366</v>
      </c>
      <c r="BJ226" t="s">
        <v>2365</v>
      </c>
      <c r="BK226" t="s">
        <v>2365</v>
      </c>
      <c r="BL226" t="s">
        <v>2365</v>
      </c>
      <c r="BM226" t="s">
        <v>2365</v>
      </c>
      <c r="BN226" t="s">
        <v>2177</v>
      </c>
      <c r="BO226">
        <v>11</v>
      </c>
      <c r="BP226">
        <v>111</v>
      </c>
      <c r="BQ226" t="s">
        <v>632</v>
      </c>
      <c r="BR226" t="s">
        <v>1560</v>
      </c>
      <c r="BU226" s="1371">
        <v>0</v>
      </c>
      <c r="BV226" s="1371">
        <v>0</v>
      </c>
      <c r="BW226" s="1371">
        <v>0</v>
      </c>
      <c r="BX226" s="1371">
        <v>0</v>
      </c>
      <c r="BY226" s="1371">
        <v>0</v>
      </c>
      <c r="BZ226">
        <v>0</v>
      </c>
      <c r="CA226">
        <v>0</v>
      </c>
      <c r="CB226">
        <v>0</v>
      </c>
      <c r="CC226">
        <v>0</v>
      </c>
      <c r="CD226">
        <v>0</v>
      </c>
      <c r="CE226">
        <v>0</v>
      </c>
      <c r="CF226">
        <v>0</v>
      </c>
      <c r="CG226">
        <v>0</v>
      </c>
      <c r="CH226">
        <v>0</v>
      </c>
      <c r="CI226">
        <v>0</v>
      </c>
      <c r="CJ226">
        <v>0</v>
      </c>
      <c r="CK226">
        <v>0</v>
      </c>
      <c r="CL226">
        <v>0</v>
      </c>
      <c r="CM226">
        <v>0</v>
      </c>
      <c r="CR226" t="s">
        <v>2329</v>
      </c>
      <c r="CS226" s="1369" t="str">
        <f>INDEX([8]Sheet1!$H:$H,MATCH(CR:CR,[8]Sheet1!$AU:$AU,0))</f>
        <v>Sewerage</v>
      </c>
    </row>
    <row r="227" spans="1:97" x14ac:dyDescent="0.2">
      <c r="A227" t="s">
        <v>2727</v>
      </c>
      <c r="B227">
        <v>280</v>
      </c>
      <c r="C227" t="s">
        <v>2727</v>
      </c>
      <c r="D227">
        <v>40813</v>
      </c>
      <c r="E227" t="s">
        <v>2471</v>
      </c>
      <c r="F227">
        <v>2000</v>
      </c>
      <c r="G227" t="s">
        <v>652</v>
      </c>
      <c r="H227" s="1373" t="s">
        <v>2472</v>
      </c>
      <c r="I227" t="s">
        <v>1375</v>
      </c>
      <c r="J227">
        <v>2002</v>
      </c>
      <c r="K227" t="s">
        <v>1375</v>
      </c>
      <c r="L227" s="1373">
        <v>5000</v>
      </c>
      <c r="M227" t="s">
        <v>632</v>
      </c>
      <c r="N227">
        <v>5004</v>
      </c>
      <c r="O227" t="s">
        <v>1560</v>
      </c>
      <c r="P227" t="s">
        <v>2366</v>
      </c>
      <c r="Q227" t="s">
        <v>2364</v>
      </c>
      <c r="R227" t="s">
        <v>2364</v>
      </c>
      <c r="S227" t="s">
        <v>1881</v>
      </c>
      <c r="T227" t="s">
        <v>1812</v>
      </c>
      <c r="U227" t="s">
        <v>2365</v>
      </c>
      <c r="V227" t="s">
        <v>2365</v>
      </c>
      <c r="W227" t="s">
        <v>2365</v>
      </c>
      <c r="X227" t="s">
        <v>2365</v>
      </c>
      <c r="Y227" t="s">
        <v>2365</v>
      </c>
      <c r="Z227" t="s">
        <v>2365</v>
      </c>
      <c r="AA227" t="s">
        <v>2365</v>
      </c>
      <c r="AB227" t="s">
        <v>2365</v>
      </c>
      <c r="AC227" s="813" t="s">
        <v>2365</v>
      </c>
      <c r="AD227" s="813" t="s">
        <v>2365</v>
      </c>
      <c r="AE227" s="813" t="s">
        <v>2365</v>
      </c>
      <c r="AF227" t="s">
        <v>2365</v>
      </c>
      <c r="AG227" t="s">
        <v>2365</v>
      </c>
      <c r="AH227" t="s">
        <v>2365</v>
      </c>
      <c r="AI227" t="s">
        <v>2365</v>
      </c>
      <c r="AJ227" t="s">
        <v>2365</v>
      </c>
      <c r="AK227" t="s">
        <v>2365</v>
      </c>
      <c r="AL227" t="s">
        <v>2365</v>
      </c>
      <c r="AM227" t="s">
        <v>2365</v>
      </c>
      <c r="AN227" t="s">
        <v>2365</v>
      </c>
      <c r="AR227" t="s">
        <v>2365</v>
      </c>
      <c r="AS227" t="s">
        <v>2365</v>
      </c>
      <c r="AT227" t="s">
        <v>2365</v>
      </c>
      <c r="AU227" t="s">
        <v>2365</v>
      </c>
      <c r="AV227" t="s">
        <v>2365</v>
      </c>
      <c r="AW227" t="s">
        <v>2365</v>
      </c>
      <c r="AX227" t="s">
        <v>2365</v>
      </c>
      <c r="AY227" t="s">
        <v>2365</v>
      </c>
      <c r="AZ227" t="s">
        <v>2365</v>
      </c>
      <c r="BA227" t="s">
        <v>2365</v>
      </c>
      <c r="BB227" t="s">
        <v>2365</v>
      </c>
      <c r="BC227" t="s">
        <v>2365</v>
      </c>
      <c r="BD227" t="s">
        <v>2366</v>
      </c>
      <c r="BE227" t="s">
        <v>2365</v>
      </c>
      <c r="BF227" t="s">
        <v>2365</v>
      </c>
      <c r="BG227" t="s">
        <v>2365</v>
      </c>
      <c r="BH227" t="s">
        <v>2365</v>
      </c>
      <c r="BI227" t="s">
        <v>2366</v>
      </c>
      <c r="BJ227" t="s">
        <v>2365</v>
      </c>
      <c r="BK227" t="s">
        <v>2365</v>
      </c>
      <c r="BL227" t="s">
        <v>2365</v>
      </c>
      <c r="BM227" t="s">
        <v>2365</v>
      </c>
      <c r="BN227" t="s">
        <v>2177</v>
      </c>
      <c r="BO227">
        <v>11</v>
      </c>
      <c r="BP227">
        <v>111</v>
      </c>
      <c r="BQ227" t="s">
        <v>632</v>
      </c>
      <c r="BR227" t="s">
        <v>1560</v>
      </c>
      <c r="BU227" s="1371">
        <v>35019</v>
      </c>
      <c r="BV227" s="1371">
        <v>0</v>
      </c>
      <c r="BW227" s="1371">
        <v>35019</v>
      </c>
      <c r="BX227" s="1371">
        <v>0</v>
      </c>
      <c r="BY227" s="1371">
        <v>35019</v>
      </c>
      <c r="BZ227">
        <v>37471</v>
      </c>
      <c r="CA227">
        <v>40093</v>
      </c>
      <c r="CB227">
        <v>0</v>
      </c>
      <c r="CC227">
        <v>0</v>
      </c>
      <c r="CD227">
        <v>0</v>
      </c>
      <c r="CE227">
        <v>0</v>
      </c>
      <c r="CF227">
        <v>0</v>
      </c>
      <c r="CG227">
        <v>0</v>
      </c>
      <c r="CH227">
        <v>0</v>
      </c>
      <c r="CI227">
        <v>0</v>
      </c>
      <c r="CJ227">
        <v>0</v>
      </c>
      <c r="CK227">
        <v>0</v>
      </c>
      <c r="CL227">
        <v>0</v>
      </c>
      <c r="CM227">
        <v>0</v>
      </c>
      <c r="CR227" t="s">
        <v>2332</v>
      </c>
      <c r="CS227" s="1369" t="str">
        <f>INDEX([8]Sheet1!$H:$H,MATCH(CR:CR,[8]Sheet1!$AU:$AU,0))</f>
        <v>Water Storage</v>
      </c>
    </row>
    <row r="228" spans="1:97" x14ac:dyDescent="0.2">
      <c r="A228" t="s">
        <v>2728</v>
      </c>
      <c r="B228">
        <v>281</v>
      </c>
      <c r="C228" t="s">
        <v>2728</v>
      </c>
      <c r="D228">
        <v>40814</v>
      </c>
      <c r="E228" t="s">
        <v>2536</v>
      </c>
      <c r="F228">
        <v>2000</v>
      </c>
      <c r="G228" t="s">
        <v>652</v>
      </c>
      <c r="H228" s="1373" t="s">
        <v>2472</v>
      </c>
      <c r="I228" t="s">
        <v>1375</v>
      </c>
      <c r="J228">
        <v>2002</v>
      </c>
      <c r="K228" t="s">
        <v>1375</v>
      </c>
      <c r="L228" s="1373">
        <v>5000</v>
      </c>
      <c r="M228" t="s">
        <v>632</v>
      </c>
      <c r="N228">
        <v>5004</v>
      </c>
      <c r="O228" t="s">
        <v>1560</v>
      </c>
      <c r="P228" t="s">
        <v>2366</v>
      </c>
      <c r="Q228" t="s">
        <v>2364</v>
      </c>
      <c r="R228" t="s">
        <v>2364</v>
      </c>
      <c r="S228" t="s">
        <v>1881</v>
      </c>
      <c r="T228" t="s">
        <v>1812</v>
      </c>
      <c r="U228" t="s">
        <v>2365</v>
      </c>
      <c r="V228" t="s">
        <v>2365</v>
      </c>
      <c r="W228" t="s">
        <v>2365</v>
      </c>
      <c r="X228" t="s">
        <v>2365</v>
      </c>
      <c r="Y228" t="s">
        <v>2365</v>
      </c>
      <c r="Z228" t="s">
        <v>2365</v>
      </c>
      <c r="AA228" t="s">
        <v>2365</v>
      </c>
      <c r="AB228" t="s">
        <v>2365</v>
      </c>
      <c r="AC228" s="813" t="s">
        <v>2365</v>
      </c>
      <c r="AD228" s="813" t="s">
        <v>2365</v>
      </c>
      <c r="AE228" s="813" t="s">
        <v>2365</v>
      </c>
      <c r="AF228" t="s">
        <v>2365</v>
      </c>
      <c r="AG228" t="s">
        <v>2365</v>
      </c>
      <c r="AH228" t="s">
        <v>2365</v>
      </c>
      <c r="AI228" t="s">
        <v>2365</v>
      </c>
      <c r="AJ228" t="s">
        <v>2365</v>
      </c>
      <c r="AK228" t="s">
        <v>2365</v>
      </c>
      <c r="AL228" t="s">
        <v>2365</v>
      </c>
      <c r="AM228" t="s">
        <v>2365</v>
      </c>
      <c r="AN228" t="s">
        <v>2365</v>
      </c>
      <c r="AR228" t="s">
        <v>2365</v>
      </c>
      <c r="AS228" t="s">
        <v>2365</v>
      </c>
      <c r="AT228" t="s">
        <v>2365</v>
      </c>
      <c r="AU228" t="s">
        <v>2365</v>
      </c>
      <c r="AV228" t="s">
        <v>2365</v>
      </c>
      <c r="AW228" t="s">
        <v>2365</v>
      </c>
      <c r="AX228" t="s">
        <v>2365</v>
      </c>
      <c r="AY228" t="s">
        <v>2365</v>
      </c>
      <c r="AZ228" t="s">
        <v>2365</v>
      </c>
      <c r="BA228" t="s">
        <v>2365</v>
      </c>
      <c r="BB228" t="s">
        <v>2365</v>
      </c>
      <c r="BC228" t="s">
        <v>2365</v>
      </c>
      <c r="BD228" t="s">
        <v>2366</v>
      </c>
      <c r="BE228" t="s">
        <v>2365</v>
      </c>
      <c r="BF228" t="s">
        <v>2365</v>
      </c>
      <c r="BG228" t="s">
        <v>2365</v>
      </c>
      <c r="BH228" t="s">
        <v>2365</v>
      </c>
      <c r="BI228" t="s">
        <v>2366</v>
      </c>
      <c r="BJ228" t="s">
        <v>2365</v>
      </c>
      <c r="BK228" t="s">
        <v>2365</v>
      </c>
      <c r="BL228" t="s">
        <v>2365</v>
      </c>
      <c r="BM228" t="s">
        <v>2365</v>
      </c>
      <c r="BN228" t="s">
        <v>2177</v>
      </c>
      <c r="BO228">
        <v>11</v>
      </c>
      <c r="BP228">
        <v>111</v>
      </c>
      <c r="BQ228" t="s">
        <v>632</v>
      </c>
      <c r="BR228" t="s">
        <v>1560</v>
      </c>
      <c r="BU228" s="1371">
        <v>630345</v>
      </c>
      <c r="BV228" s="1371">
        <v>0</v>
      </c>
      <c r="BW228" s="1371">
        <v>630345</v>
      </c>
      <c r="BX228" s="1371">
        <v>0</v>
      </c>
      <c r="BY228" s="1371">
        <v>630345</v>
      </c>
      <c r="BZ228">
        <v>674469</v>
      </c>
      <c r="CA228">
        <v>721682</v>
      </c>
      <c r="CB228">
        <v>0</v>
      </c>
      <c r="CC228">
        <v>0</v>
      </c>
      <c r="CD228">
        <v>0</v>
      </c>
      <c r="CE228">
        <v>0</v>
      </c>
      <c r="CF228">
        <v>0</v>
      </c>
      <c r="CG228">
        <v>0</v>
      </c>
      <c r="CH228">
        <v>0</v>
      </c>
      <c r="CI228">
        <v>0</v>
      </c>
      <c r="CJ228">
        <v>0</v>
      </c>
      <c r="CK228">
        <v>0</v>
      </c>
      <c r="CL228">
        <v>0</v>
      </c>
      <c r="CM228">
        <v>0</v>
      </c>
      <c r="CR228" t="s">
        <v>2331</v>
      </c>
      <c r="CS228" s="1369" t="str">
        <f>INDEX([8]Sheet1!$H:$H,MATCH(CR:CR,[8]Sheet1!$AU:$AU,0))</f>
        <v>Waste Water Treatment</v>
      </c>
    </row>
    <row r="229" spans="1:97" x14ac:dyDescent="0.2">
      <c r="A229" t="s">
        <v>2729</v>
      </c>
      <c r="B229">
        <v>282</v>
      </c>
      <c r="C229" t="s">
        <v>2729</v>
      </c>
      <c r="D229">
        <v>40815</v>
      </c>
      <c r="E229" t="s">
        <v>2533</v>
      </c>
      <c r="F229">
        <v>2000</v>
      </c>
      <c r="G229" t="s">
        <v>652</v>
      </c>
      <c r="H229" s="1373" t="s">
        <v>2534</v>
      </c>
      <c r="I229" t="s">
        <v>196</v>
      </c>
      <c r="J229">
        <v>2003</v>
      </c>
      <c r="K229" t="s">
        <v>196</v>
      </c>
      <c r="L229" s="1373">
        <v>5000</v>
      </c>
      <c r="M229" t="s">
        <v>632</v>
      </c>
      <c r="N229">
        <v>5004</v>
      </c>
      <c r="O229" t="s">
        <v>1560</v>
      </c>
      <c r="P229" t="s">
        <v>2366</v>
      </c>
      <c r="Q229" t="s">
        <v>2364</v>
      </c>
      <c r="R229" t="s">
        <v>2364</v>
      </c>
      <c r="S229" t="s">
        <v>1881</v>
      </c>
      <c r="T229" t="s">
        <v>1812</v>
      </c>
      <c r="U229" t="s">
        <v>2365</v>
      </c>
      <c r="V229" t="s">
        <v>2365</v>
      </c>
      <c r="W229" t="s">
        <v>2365</v>
      </c>
      <c r="X229" t="s">
        <v>2365</v>
      </c>
      <c r="Y229" t="s">
        <v>2365</v>
      </c>
      <c r="Z229" t="s">
        <v>2365</v>
      </c>
      <c r="AA229" t="s">
        <v>2365</v>
      </c>
      <c r="AB229" t="s">
        <v>2365</v>
      </c>
      <c r="AC229" s="813" t="s">
        <v>2365</v>
      </c>
      <c r="AD229" s="813" t="s">
        <v>2365</v>
      </c>
      <c r="AE229" s="813" t="s">
        <v>2365</v>
      </c>
      <c r="AF229" t="s">
        <v>2365</v>
      </c>
      <c r="AG229" t="s">
        <v>2365</v>
      </c>
      <c r="AH229" t="s">
        <v>2365</v>
      </c>
      <c r="AI229" t="s">
        <v>2365</v>
      </c>
      <c r="AJ229" t="s">
        <v>2365</v>
      </c>
      <c r="AK229" t="s">
        <v>2365</v>
      </c>
      <c r="AL229" t="s">
        <v>2365</v>
      </c>
      <c r="AM229" t="s">
        <v>2365</v>
      </c>
      <c r="AN229" t="s">
        <v>2365</v>
      </c>
      <c r="AR229" t="s">
        <v>2365</v>
      </c>
      <c r="AS229" t="s">
        <v>2365</v>
      </c>
      <c r="AT229" t="s">
        <v>2365</v>
      </c>
      <c r="AU229" t="s">
        <v>2365</v>
      </c>
      <c r="AV229" t="s">
        <v>2365</v>
      </c>
      <c r="AW229" t="s">
        <v>2365</v>
      </c>
      <c r="AX229" t="s">
        <v>2365</v>
      </c>
      <c r="AY229" t="s">
        <v>2365</v>
      </c>
      <c r="AZ229" t="s">
        <v>2365</v>
      </c>
      <c r="BA229" t="s">
        <v>2365</v>
      </c>
      <c r="BB229" t="s">
        <v>2365</v>
      </c>
      <c r="BC229" t="s">
        <v>2365</v>
      </c>
      <c r="BD229" t="s">
        <v>2366</v>
      </c>
      <c r="BE229" t="s">
        <v>2365</v>
      </c>
      <c r="BF229" t="s">
        <v>2365</v>
      </c>
      <c r="BG229" t="s">
        <v>2365</v>
      </c>
      <c r="BH229" t="s">
        <v>2365</v>
      </c>
      <c r="BI229" t="s">
        <v>2366</v>
      </c>
      <c r="BJ229" t="s">
        <v>2365</v>
      </c>
      <c r="BK229" t="s">
        <v>2365</v>
      </c>
      <c r="BL229" t="s">
        <v>2365</v>
      </c>
      <c r="BM229" t="s">
        <v>2365</v>
      </c>
      <c r="BN229" t="s">
        <v>2177</v>
      </c>
      <c r="BO229">
        <v>11</v>
      </c>
      <c r="BP229">
        <v>111</v>
      </c>
      <c r="BQ229" t="s">
        <v>632</v>
      </c>
      <c r="BR229" t="s">
        <v>1560</v>
      </c>
      <c r="BU229" s="1371">
        <v>280153</v>
      </c>
      <c r="BV229" s="1371">
        <v>0</v>
      </c>
      <c r="BW229" s="1371">
        <v>280153</v>
      </c>
      <c r="BX229" s="1371">
        <v>0</v>
      </c>
      <c r="BY229" s="1371">
        <v>280153</v>
      </c>
      <c r="BZ229">
        <v>299764</v>
      </c>
      <c r="CA229">
        <v>320747</v>
      </c>
      <c r="CB229">
        <v>0</v>
      </c>
      <c r="CC229">
        <v>0</v>
      </c>
      <c r="CD229">
        <v>0</v>
      </c>
      <c r="CE229">
        <v>0</v>
      </c>
      <c r="CF229">
        <v>0</v>
      </c>
      <c r="CG229">
        <v>0</v>
      </c>
      <c r="CH229">
        <v>0</v>
      </c>
      <c r="CI229">
        <v>0</v>
      </c>
      <c r="CJ229">
        <v>0</v>
      </c>
      <c r="CK229">
        <v>0</v>
      </c>
      <c r="CL229">
        <v>0</v>
      </c>
      <c r="CM229">
        <v>0</v>
      </c>
      <c r="CR229" t="s">
        <v>2331</v>
      </c>
      <c r="CS229" s="1369" t="str">
        <f>INDEX([8]Sheet1!$H:$H,MATCH(CR:CR,[8]Sheet1!$AU:$AU,0))</f>
        <v>Waste Water Treatment</v>
      </c>
    </row>
    <row r="230" spans="1:97" x14ac:dyDescent="0.2">
      <c r="A230" t="s">
        <v>2730</v>
      </c>
      <c r="B230">
        <v>283</v>
      </c>
      <c r="C230" t="s">
        <v>2730</v>
      </c>
      <c r="D230">
        <v>40816</v>
      </c>
      <c r="E230" t="s">
        <v>2530</v>
      </c>
      <c r="F230">
        <v>2000</v>
      </c>
      <c r="G230" t="s">
        <v>652</v>
      </c>
      <c r="H230" t="s">
        <v>2531</v>
      </c>
      <c r="I230" t="s">
        <v>1185</v>
      </c>
      <c r="J230">
        <v>2009</v>
      </c>
      <c r="K230" t="s">
        <v>1185</v>
      </c>
      <c r="L230">
        <v>5000</v>
      </c>
      <c r="M230" t="s">
        <v>632</v>
      </c>
      <c r="N230">
        <v>5004</v>
      </c>
      <c r="O230" t="s">
        <v>1560</v>
      </c>
      <c r="P230" t="s">
        <v>2366</v>
      </c>
      <c r="Q230" t="s">
        <v>2364</v>
      </c>
      <c r="R230" t="s">
        <v>2364</v>
      </c>
      <c r="S230" t="s">
        <v>1881</v>
      </c>
      <c r="T230" t="s">
        <v>1812</v>
      </c>
      <c r="U230" t="s">
        <v>2365</v>
      </c>
      <c r="V230" t="s">
        <v>2365</v>
      </c>
      <c r="W230" t="s">
        <v>2365</v>
      </c>
      <c r="X230" t="s">
        <v>2365</v>
      </c>
      <c r="Y230" t="s">
        <v>2365</v>
      </c>
      <c r="Z230" t="s">
        <v>2365</v>
      </c>
      <c r="AA230" t="s">
        <v>2365</v>
      </c>
      <c r="AB230" t="s">
        <v>2365</v>
      </c>
      <c r="AC230" s="813" t="s">
        <v>2365</v>
      </c>
      <c r="AD230" s="813" t="s">
        <v>2365</v>
      </c>
      <c r="AE230" s="813" t="s">
        <v>2365</v>
      </c>
      <c r="AF230" t="s">
        <v>2365</v>
      </c>
      <c r="AG230" t="s">
        <v>2365</v>
      </c>
      <c r="AH230" t="s">
        <v>2365</v>
      </c>
      <c r="AI230" t="s">
        <v>2365</v>
      </c>
      <c r="AJ230" t="s">
        <v>2365</v>
      </c>
      <c r="AK230" t="s">
        <v>2365</v>
      </c>
      <c r="AL230" t="s">
        <v>2365</v>
      </c>
      <c r="AM230" t="s">
        <v>2365</v>
      </c>
      <c r="AN230" t="s">
        <v>2365</v>
      </c>
      <c r="AR230" t="s">
        <v>2365</v>
      </c>
      <c r="AS230" t="s">
        <v>2365</v>
      </c>
      <c r="AT230" t="s">
        <v>2365</v>
      </c>
      <c r="AU230" t="s">
        <v>2365</v>
      </c>
      <c r="AV230" t="s">
        <v>2365</v>
      </c>
      <c r="AW230" t="s">
        <v>2365</v>
      </c>
      <c r="AX230" t="s">
        <v>2365</v>
      </c>
      <c r="AY230" t="s">
        <v>2365</v>
      </c>
      <c r="AZ230" t="s">
        <v>2365</v>
      </c>
      <c r="BA230" t="s">
        <v>2365</v>
      </c>
      <c r="BB230" t="s">
        <v>2365</v>
      </c>
      <c r="BC230" t="s">
        <v>2365</v>
      </c>
      <c r="BD230" t="s">
        <v>2366</v>
      </c>
      <c r="BE230" t="s">
        <v>2365</v>
      </c>
      <c r="BF230" t="s">
        <v>2365</v>
      </c>
      <c r="BG230" t="s">
        <v>2365</v>
      </c>
      <c r="BH230" t="s">
        <v>2365</v>
      </c>
      <c r="BI230" t="s">
        <v>2366</v>
      </c>
      <c r="BJ230" t="s">
        <v>2365</v>
      </c>
      <c r="BK230" t="s">
        <v>2365</v>
      </c>
      <c r="BL230" t="s">
        <v>2365</v>
      </c>
      <c r="BM230" t="s">
        <v>2365</v>
      </c>
      <c r="BN230" t="s">
        <v>2177</v>
      </c>
      <c r="BO230">
        <v>11</v>
      </c>
      <c r="BP230">
        <v>111</v>
      </c>
      <c r="BQ230" t="s">
        <v>632</v>
      </c>
      <c r="BR230" t="s">
        <v>1560</v>
      </c>
      <c r="BU230">
        <v>1000</v>
      </c>
      <c r="BV230">
        <v>0</v>
      </c>
      <c r="BW230">
        <v>1000</v>
      </c>
      <c r="BX230">
        <v>0</v>
      </c>
      <c r="BY230">
        <v>1000</v>
      </c>
      <c r="BZ230">
        <v>1070</v>
      </c>
      <c r="CA230">
        <v>1144</v>
      </c>
      <c r="CB230">
        <v>0</v>
      </c>
      <c r="CC230">
        <v>0</v>
      </c>
      <c r="CD230">
        <v>0</v>
      </c>
      <c r="CE230">
        <v>0</v>
      </c>
      <c r="CF230">
        <v>0</v>
      </c>
      <c r="CG230">
        <v>0</v>
      </c>
      <c r="CH230">
        <v>0</v>
      </c>
      <c r="CI230">
        <v>0</v>
      </c>
      <c r="CJ230">
        <v>0</v>
      </c>
      <c r="CK230">
        <v>0</v>
      </c>
      <c r="CL230">
        <v>0</v>
      </c>
      <c r="CM230">
        <v>0</v>
      </c>
      <c r="CR230" t="s">
        <v>2330</v>
      </c>
      <c r="CS230" s="1369" t="str">
        <f>INDEX([8]Sheet1!$H:$H,MATCH(CR:CR,[8]Sheet1!$AU:$AU,0))</f>
        <v>Water Treatment</v>
      </c>
    </row>
    <row r="231" spans="1:97" x14ac:dyDescent="0.2">
      <c r="A231" t="s">
        <v>2731</v>
      </c>
      <c r="B231">
        <v>284</v>
      </c>
      <c r="C231" t="s">
        <v>2731</v>
      </c>
      <c r="D231">
        <v>40817</v>
      </c>
      <c r="E231" t="s">
        <v>2528</v>
      </c>
      <c r="F231">
        <v>2900</v>
      </c>
      <c r="G231" t="s">
        <v>569</v>
      </c>
      <c r="H231" t="s">
        <v>2366</v>
      </c>
      <c r="I231" t="s">
        <v>2366</v>
      </c>
      <c r="J231">
        <v>2904</v>
      </c>
      <c r="K231" t="s">
        <v>1432</v>
      </c>
      <c r="L231">
        <v>5000</v>
      </c>
      <c r="M231" t="s">
        <v>632</v>
      </c>
      <c r="N231">
        <v>5004</v>
      </c>
      <c r="O231" t="s">
        <v>1560</v>
      </c>
      <c r="P231" t="s">
        <v>2366</v>
      </c>
      <c r="Q231" t="s">
        <v>2364</v>
      </c>
      <c r="R231" t="s">
        <v>2364</v>
      </c>
      <c r="S231" t="s">
        <v>1881</v>
      </c>
      <c r="T231" t="s">
        <v>1812</v>
      </c>
      <c r="U231" t="s">
        <v>2365</v>
      </c>
      <c r="V231" t="s">
        <v>2365</v>
      </c>
      <c r="W231" t="s">
        <v>2365</v>
      </c>
      <c r="X231" t="s">
        <v>2365</v>
      </c>
      <c r="Y231" t="s">
        <v>2365</v>
      </c>
      <c r="Z231" t="s">
        <v>2365</v>
      </c>
      <c r="AA231" t="s">
        <v>2365</v>
      </c>
      <c r="AB231" t="s">
        <v>2365</v>
      </c>
      <c r="AC231" s="813" t="s">
        <v>2365</v>
      </c>
      <c r="AD231" s="813" t="s">
        <v>2365</v>
      </c>
      <c r="AE231" s="813" t="s">
        <v>2365</v>
      </c>
      <c r="AF231" t="s">
        <v>2365</v>
      </c>
      <c r="AG231" t="s">
        <v>2365</v>
      </c>
      <c r="AH231" t="s">
        <v>2365</v>
      </c>
      <c r="AI231" t="s">
        <v>2365</v>
      </c>
      <c r="AJ231" t="s">
        <v>2365</v>
      </c>
      <c r="AK231" t="s">
        <v>2365</v>
      </c>
      <c r="AL231" t="s">
        <v>2365</v>
      </c>
      <c r="AM231" t="s">
        <v>2365</v>
      </c>
      <c r="AN231" t="s">
        <v>2365</v>
      </c>
      <c r="AR231" t="s">
        <v>2365</v>
      </c>
      <c r="AS231" t="s">
        <v>2365</v>
      </c>
      <c r="AT231" t="s">
        <v>2365</v>
      </c>
      <c r="AU231" t="s">
        <v>2365</v>
      </c>
      <c r="AV231" t="s">
        <v>2365</v>
      </c>
      <c r="AW231" t="s">
        <v>2365</v>
      </c>
      <c r="AX231" t="s">
        <v>2365</v>
      </c>
      <c r="AY231" t="s">
        <v>2365</v>
      </c>
      <c r="AZ231" t="s">
        <v>2365</v>
      </c>
      <c r="BA231" t="s">
        <v>2365</v>
      </c>
      <c r="BB231" t="s">
        <v>2365</v>
      </c>
      <c r="BC231" t="s">
        <v>2365</v>
      </c>
      <c r="BD231" t="s">
        <v>2366</v>
      </c>
      <c r="BE231" t="s">
        <v>2365</v>
      </c>
      <c r="BF231" t="s">
        <v>2365</v>
      </c>
      <c r="BG231" t="s">
        <v>2365</v>
      </c>
      <c r="BH231" t="s">
        <v>2365</v>
      </c>
      <c r="BI231" t="s">
        <v>2366</v>
      </c>
      <c r="BJ231" t="s">
        <v>2365</v>
      </c>
      <c r="BK231" t="s">
        <v>2365</v>
      </c>
      <c r="BL231" t="s">
        <v>2365</v>
      </c>
      <c r="BM231" t="s">
        <v>2365</v>
      </c>
      <c r="BO231">
        <v>11</v>
      </c>
      <c r="BP231">
        <v>111</v>
      </c>
      <c r="BQ231" t="s">
        <v>632</v>
      </c>
      <c r="BR231" t="s">
        <v>1560</v>
      </c>
      <c r="BU231">
        <v>62400</v>
      </c>
      <c r="BV231">
        <v>0</v>
      </c>
      <c r="BW231">
        <v>62400</v>
      </c>
      <c r="BX231">
        <v>0</v>
      </c>
      <c r="BY231">
        <v>62400</v>
      </c>
      <c r="BZ231">
        <v>64896</v>
      </c>
      <c r="CA231">
        <v>67492</v>
      </c>
      <c r="CB231">
        <v>0</v>
      </c>
      <c r="CC231">
        <v>0</v>
      </c>
      <c r="CD231">
        <v>0</v>
      </c>
      <c r="CE231">
        <v>0</v>
      </c>
      <c r="CF231">
        <v>0</v>
      </c>
      <c r="CG231">
        <v>0</v>
      </c>
      <c r="CH231">
        <v>0</v>
      </c>
      <c r="CI231">
        <v>0</v>
      </c>
      <c r="CJ231">
        <v>0</v>
      </c>
      <c r="CK231">
        <v>0</v>
      </c>
      <c r="CL231">
        <v>0</v>
      </c>
      <c r="CM231">
        <v>0</v>
      </c>
      <c r="CR231" t="s">
        <v>2329</v>
      </c>
      <c r="CS231" s="1369" t="str">
        <f>INDEX([8]Sheet1!$H:$H,MATCH(CR:CR,[8]Sheet1!$AU:$AU,0))</f>
        <v>Sewerage</v>
      </c>
    </row>
    <row r="232" spans="1:97" x14ac:dyDescent="0.2">
      <c r="A232" t="s">
        <v>2732</v>
      </c>
      <c r="B232">
        <v>285</v>
      </c>
      <c r="C232" t="s">
        <v>2732</v>
      </c>
      <c r="D232">
        <v>40818</v>
      </c>
      <c r="E232" t="s">
        <v>2526</v>
      </c>
      <c r="F232">
        <v>2900</v>
      </c>
      <c r="G232" t="s">
        <v>569</v>
      </c>
      <c r="H232" t="s">
        <v>2366</v>
      </c>
      <c r="I232" t="s">
        <v>2366</v>
      </c>
      <c r="J232">
        <v>2904</v>
      </c>
      <c r="K232" t="s">
        <v>1432</v>
      </c>
      <c r="L232">
        <v>5000</v>
      </c>
      <c r="M232" t="s">
        <v>632</v>
      </c>
      <c r="N232">
        <v>5004</v>
      </c>
      <c r="O232" t="s">
        <v>1560</v>
      </c>
      <c r="P232" t="s">
        <v>2366</v>
      </c>
      <c r="Q232" t="s">
        <v>2364</v>
      </c>
      <c r="R232" t="s">
        <v>2364</v>
      </c>
      <c r="S232" t="s">
        <v>1881</v>
      </c>
      <c r="T232" t="s">
        <v>1812</v>
      </c>
      <c r="U232" t="s">
        <v>2365</v>
      </c>
      <c r="V232" t="s">
        <v>2365</v>
      </c>
      <c r="W232" t="s">
        <v>2365</v>
      </c>
      <c r="X232" t="s">
        <v>2365</v>
      </c>
      <c r="Y232" t="s">
        <v>2365</v>
      </c>
      <c r="Z232" t="s">
        <v>2365</v>
      </c>
      <c r="AA232" t="s">
        <v>2365</v>
      </c>
      <c r="AB232" t="s">
        <v>2365</v>
      </c>
      <c r="AC232" s="813" t="s">
        <v>2365</v>
      </c>
      <c r="AD232" s="813" t="s">
        <v>2365</v>
      </c>
      <c r="AE232" s="813" t="s">
        <v>2365</v>
      </c>
      <c r="AF232" t="s">
        <v>2365</v>
      </c>
      <c r="AG232" t="s">
        <v>2365</v>
      </c>
      <c r="AH232" t="s">
        <v>2365</v>
      </c>
      <c r="AI232" t="s">
        <v>2365</v>
      </c>
      <c r="AJ232" t="s">
        <v>2365</v>
      </c>
      <c r="AK232" t="s">
        <v>2365</v>
      </c>
      <c r="AL232" t="s">
        <v>2365</v>
      </c>
      <c r="AM232" t="s">
        <v>2365</v>
      </c>
      <c r="AN232" t="s">
        <v>2365</v>
      </c>
      <c r="AR232" t="s">
        <v>2365</v>
      </c>
      <c r="AS232" t="s">
        <v>2365</v>
      </c>
      <c r="AT232" t="s">
        <v>2365</v>
      </c>
      <c r="AU232" t="s">
        <v>2365</v>
      </c>
      <c r="AV232" t="s">
        <v>2365</v>
      </c>
      <c r="AW232" t="s">
        <v>2365</v>
      </c>
      <c r="AX232" t="s">
        <v>2365</v>
      </c>
      <c r="AY232" t="s">
        <v>2365</v>
      </c>
      <c r="AZ232" t="s">
        <v>2365</v>
      </c>
      <c r="BA232" t="s">
        <v>2365</v>
      </c>
      <c r="BB232" t="s">
        <v>2365</v>
      </c>
      <c r="BC232" t="s">
        <v>2365</v>
      </c>
      <c r="BD232" t="s">
        <v>2366</v>
      </c>
      <c r="BE232" t="s">
        <v>2365</v>
      </c>
      <c r="BF232" t="s">
        <v>2365</v>
      </c>
      <c r="BG232" t="s">
        <v>2365</v>
      </c>
      <c r="BH232" t="s">
        <v>2365</v>
      </c>
      <c r="BI232" t="s">
        <v>2366</v>
      </c>
      <c r="BJ232" t="s">
        <v>2365</v>
      </c>
      <c r="BK232" t="s">
        <v>2365</v>
      </c>
      <c r="BL232" t="s">
        <v>2365</v>
      </c>
      <c r="BM232" t="s">
        <v>2365</v>
      </c>
      <c r="BO232">
        <v>11</v>
      </c>
      <c r="BP232">
        <v>111</v>
      </c>
      <c r="BQ232" t="s">
        <v>632</v>
      </c>
      <c r="BR232" t="s">
        <v>1560</v>
      </c>
      <c r="BU232">
        <v>4160</v>
      </c>
      <c r="BV232">
        <v>0</v>
      </c>
      <c r="BW232">
        <v>4160</v>
      </c>
      <c r="BX232">
        <v>0</v>
      </c>
      <c r="BY232">
        <v>4160</v>
      </c>
      <c r="BZ232">
        <v>4326</v>
      </c>
      <c r="CA232">
        <v>4499</v>
      </c>
      <c r="CB232">
        <v>0</v>
      </c>
      <c r="CC232">
        <v>0</v>
      </c>
      <c r="CD232">
        <v>0</v>
      </c>
      <c r="CE232">
        <v>0</v>
      </c>
      <c r="CF232">
        <v>0</v>
      </c>
      <c r="CG232">
        <v>0</v>
      </c>
      <c r="CH232">
        <v>0</v>
      </c>
      <c r="CI232">
        <v>0</v>
      </c>
      <c r="CJ232">
        <v>0</v>
      </c>
      <c r="CK232">
        <v>0</v>
      </c>
      <c r="CL232">
        <v>0</v>
      </c>
      <c r="CM232">
        <v>0</v>
      </c>
      <c r="CR232" t="s">
        <v>2330</v>
      </c>
      <c r="CS232" s="1369" t="str">
        <f>INDEX([8]Sheet1!$H:$H,MATCH(CR:CR,[8]Sheet1!$AU:$AU,0))</f>
        <v>Water Treatment</v>
      </c>
    </row>
    <row r="233" spans="1:97" x14ac:dyDescent="0.2">
      <c r="A233" t="s">
        <v>2733</v>
      </c>
      <c r="B233">
        <v>286</v>
      </c>
      <c r="C233" t="s">
        <v>2733</v>
      </c>
      <c r="D233">
        <v>40819</v>
      </c>
      <c r="E233" t="s">
        <v>2549</v>
      </c>
      <c r="F233">
        <v>2000</v>
      </c>
      <c r="G233" t="s">
        <v>652</v>
      </c>
      <c r="H233" t="s">
        <v>2550</v>
      </c>
      <c r="I233" t="s">
        <v>1159</v>
      </c>
      <c r="J233">
        <v>2010</v>
      </c>
      <c r="K233" t="s">
        <v>1159</v>
      </c>
      <c r="L233">
        <v>5000</v>
      </c>
      <c r="M233" t="s">
        <v>632</v>
      </c>
      <c r="N233">
        <v>5004</v>
      </c>
      <c r="O233" t="s">
        <v>1560</v>
      </c>
      <c r="P233" t="s">
        <v>2366</v>
      </c>
      <c r="Q233" t="s">
        <v>2364</v>
      </c>
      <c r="R233" t="s">
        <v>2364</v>
      </c>
      <c r="S233" t="s">
        <v>1881</v>
      </c>
      <c r="T233" t="s">
        <v>1812</v>
      </c>
      <c r="U233" t="s">
        <v>2365</v>
      </c>
      <c r="V233" t="s">
        <v>2365</v>
      </c>
      <c r="W233" t="s">
        <v>2365</v>
      </c>
      <c r="X233" t="s">
        <v>2365</v>
      </c>
      <c r="Y233" t="s">
        <v>2365</v>
      </c>
      <c r="Z233" t="s">
        <v>2365</v>
      </c>
      <c r="AA233" t="s">
        <v>2365</v>
      </c>
      <c r="AB233" t="s">
        <v>2365</v>
      </c>
      <c r="AC233" s="813" t="s">
        <v>2365</v>
      </c>
      <c r="AD233" s="813" t="s">
        <v>2365</v>
      </c>
      <c r="AE233" s="813" t="s">
        <v>2365</v>
      </c>
      <c r="AF233" t="s">
        <v>2365</v>
      </c>
      <c r="AG233" t="s">
        <v>2365</v>
      </c>
      <c r="AH233" t="s">
        <v>2365</v>
      </c>
      <c r="AI233" t="s">
        <v>2365</v>
      </c>
      <c r="AJ233" t="s">
        <v>2365</v>
      </c>
      <c r="AK233" s="1373" t="s">
        <v>2365</v>
      </c>
      <c r="AL233" t="s">
        <v>2365</v>
      </c>
      <c r="AM233" t="s">
        <v>2365</v>
      </c>
      <c r="AN233" t="s">
        <v>2365</v>
      </c>
      <c r="AR233" t="s">
        <v>2365</v>
      </c>
      <c r="AS233" t="s">
        <v>2365</v>
      </c>
      <c r="AT233" t="s">
        <v>2365</v>
      </c>
      <c r="AU233" t="s">
        <v>2365</v>
      </c>
      <c r="AV233" t="s">
        <v>2365</v>
      </c>
      <c r="AW233" t="s">
        <v>2365</v>
      </c>
      <c r="AX233" t="s">
        <v>2365</v>
      </c>
      <c r="AY233" t="s">
        <v>2365</v>
      </c>
      <c r="AZ233" t="s">
        <v>2365</v>
      </c>
      <c r="BA233" t="s">
        <v>2365</v>
      </c>
      <c r="BB233" t="s">
        <v>2365</v>
      </c>
      <c r="BC233" t="s">
        <v>2365</v>
      </c>
      <c r="BD233" t="s">
        <v>2366</v>
      </c>
      <c r="BE233" t="s">
        <v>2365</v>
      </c>
      <c r="BF233" t="s">
        <v>2365</v>
      </c>
      <c r="BG233" t="s">
        <v>2365</v>
      </c>
      <c r="BH233" t="s">
        <v>2365</v>
      </c>
      <c r="BI233" t="s">
        <v>2366</v>
      </c>
      <c r="BJ233" t="s">
        <v>2365</v>
      </c>
      <c r="BK233" t="s">
        <v>2365</v>
      </c>
      <c r="BL233" t="s">
        <v>2365</v>
      </c>
      <c r="BM233" t="s">
        <v>2365</v>
      </c>
      <c r="BN233" t="s">
        <v>2177</v>
      </c>
      <c r="BO233">
        <v>11</v>
      </c>
      <c r="BP233">
        <v>111</v>
      </c>
      <c r="BQ233" t="s">
        <v>632</v>
      </c>
      <c r="BR233" t="s">
        <v>1560</v>
      </c>
      <c r="BU233">
        <v>210115</v>
      </c>
      <c r="BV233">
        <v>0</v>
      </c>
      <c r="BW233">
        <v>210115</v>
      </c>
      <c r="BX233">
        <v>0</v>
      </c>
      <c r="BY233">
        <v>210115</v>
      </c>
      <c r="BZ233">
        <v>224823</v>
      </c>
      <c r="CA233">
        <v>240561</v>
      </c>
      <c r="CB233">
        <v>0</v>
      </c>
      <c r="CC233">
        <v>0</v>
      </c>
      <c r="CD233">
        <v>0</v>
      </c>
      <c r="CE233">
        <v>0</v>
      </c>
      <c r="CF233">
        <v>0</v>
      </c>
      <c r="CG233">
        <v>0</v>
      </c>
      <c r="CH233">
        <v>0</v>
      </c>
      <c r="CI233">
        <v>0</v>
      </c>
      <c r="CJ233">
        <v>0</v>
      </c>
      <c r="CK233">
        <v>0</v>
      </c>
      <c r="CL233">
        <v>0</v>
      </c>
      <c r="CM233">
        <v>0</v>
      </c>
      <c r="CR233" t="s">
        <v>2332</v>
      </c>
      <c r="CS233" s="1369" t="str">
        <f>INDEX([8]Sheet1!$H:$H,MATCH(CR:CR,[8]Sheet1!$AU:$AU,0))</f>
        <v>Water Storage</v>
      </c>
    </row>
    <row r="234" spans="1:97" x14ac:dyDescent="0.2">
      <c r="A234" t="s">
        <v>2734</v>
      </c>
      <c r="B234">
        <v>287</v>
      </c>
      <c r="C234" t="s">
        <v>2734</v>
      </c>
      <c r="D234">
        <v>41183</v>
      </c>
      <c r="E234" t="s">
        <v>2526</v>
      </c>
      <c r="F234">
        <v>2900</v>
      </c>
      <c r="G234" t="s">
        <v>569</v>
      </c>
      <c r="H234" t="s">
        <v>2366</v>
      </c>
      <c r="I234" t="s">
        <v>2366</v>
      </c>
      <c r="J234">
        <v>2904</v>
      </c>
      <c r="K234" t="s">
        <v>1432</v>
      </c>
      <c r="L234">
        <v>1100</v>
      </c>
      <c r="M234" t="s">
        <v>616</v>
      </c>
      <c r="N234">
        <v>1120</v>
      </c>
      <c r="O234" t="s">
        <v>1485</v>
      </c>
      <c r="P234" t="s">
        <v>2366</v>
      </c>
      <c r="Q234" t="s">
        <v>2364</v>
      </c>
      <c r="R234" t="s">
        <v>2364</v>
      </c>
      <c r="S234" t="s">
        <v>1881</v>
      </c>
      <c r="T234" t="s">
        <v>1812</v>
      </c>
      <c r="U234" t="s">
        <v>2365</v>
      </c>
      <c r="V234" t="s">
        <v>2365</v>
      </c>
      <c r="W234" t="s">
        <v>2365</v>
      </c>
      <c r="X234" t="s">
        <v>2365</v>
      </c>
      <c r="Y234" t="s">
        <v>2365</v>
      </c>
      <c r="Z234" t="s">
        <v>2365</v>
      </c>
      <c r="AA234" t="s">
        <v>2365</v>
      </c>
      <c r="AB234" t="s">
        <v>2365</v>
      </c>
      <c r="AC234" s="813" t="s">
        <v>2365</v>
      </c>
      <c r="AD234" s="813" t="s">
        <v>2365</v>
      </c>
      <c r="AE234" s="813" t="s">
        <v>2365</v>
      </c>
      <c r="AF234" t="s">
        <v>2365</v>
      </c>
      <c r="AG234" t="s">
        <v>2365</v>
      </c>
      <c r="AH234" t="s">
        <v>2365</v>
      </c>
      <c r="AI234" t="s">
        <v>2365</v>
      </c>
      <c r="AJ234" t="s">
        <v>2365</v>
      </c>
      <c r="AK234" s="1373" t="s">
        <v>2365</v>
      </c>
      <c r="AL234" t="s">
        <v>2365</v>
      </c>
      <c r="AM234" t="s">
        <v>2365</v>
      </c>
      <c r="AN234" t="s">
        <v>2365</v>
      </c>
      <c r="AR234" t="s">
        <v>2365</v>
      </c>
      <c r="AS234" t="s">
        <v>2365</v>
      </c>
      <c r="AT234" t="s">
        <v>2365</v>
      </c>
      <c r="AU234" t="s">
        <v>2365</v>
      </c>
      <c r="AV234" t="s">
        <v>2365</v>
      </c>
      <c r="AW234" t="s">
        <v>2365</v>
      </c>
      <c r="AX234" t="s">
        <v>2365</v>
      </c>
      <c r="AY234" t="s">
        <v>2365</v>
      </c>
      <c r="AZ234" t="s">
        <v>2365</v>
      </c>
      <c r="BA234" t="s">
        <v>2365</v>
      </c>
      <c r="BB234" t="s">
        <v>2365</v>
      </c>
      <c r="BC234" t="s">
        <v>2365</v>
      </c>
      <c r="BD234" t="s">
        <v>2366</v>
      </c>
      <c r="BE234" t="s">
        <v>2365</v>
      </c>
      <c r="BF234" t="s">
        <v>2365</v>
      </c>
      <c r="BG234" t="s">
        <v>2365</v>
      </c>
      <c r="BH234" t="s">
        <v>2365</v>
      </c>
      <c r="BI234" t="s">
        <v>2366</v>
      </c>
      <c r="BJ234" t="s">
        <v>2365</v>
      </c>
      <c r="BK234" t="s">
        <v>2365</v>
      </c>
      <c r="BL234" t="s">
        <v>2365</v>
      </c>
      <c r="BM234" t="s">
        <v>2365</v>
      </c>
      <c r="BO234">
        <v>3</v>
      </c>
      <c r="BP234">
        <v>31</v>
      </c>
      <c r="BQ234" t="s">
        <v>2716</v>
      </c>
      <c r="BR234" t="s">
        <v>1485</v>
      </c>
      <c r="BU234">
        <v>2488</v>
      </c>
      <c r="BV234">
        <v>0</v>
      </c>
      <c r="BW234">
        <v>2488</v>
      </c>
      <c r="BX234">
        <v>0</v>
      </c>
      <c r="BY234">
        <v>2488</v>
      </c>
      <c r="BZ234">
        <v>2588</v>
      </c>
      <c r="CA234">
        <v>2691</v>
      </c>
      <c r="CB234">
        <v>0</v>
      </c>
      <c r="CC234">
        <v>0</v>
      </c>
      <c r="CD234">
        <v>0</v>
      </c>
      <c r="CE234">
        <v>0</v>
      </c>
      <c r="CF234">
        <v>0</v>
      </c>
      <c r="CG234">
        <v>0</v>
      </c>
      <c r="CH234">
        <v>0</v>
      </c>
      <c r="CI234">
        <v>0</v>
      </c>
      <c r="CJ234">
        <v>0</v>
      </c>
      <c r="CK234">
        <v>0</v>
      </c>
      <c r="CL234">
        <v>0</v>
      </c>
      <c r="CM234">
        <v>0</v>
      </c>
      <c r="CR234" t="s">
        <v>2332</v>
      </c>
      <c r="CS234" s="1369" t="str">
        <f>INDEX([8]Sheet1!$H:$H,MATCH(CR:CR,[8]Sheet1!$AU:$AU,0))</f>
        <v>Water Storage</v>
      </c>
    </row>
    <row r="235" spans="1:97" x14ac:dyDescent="0.2">
      <c r="A235" t="s">
        <v>2735</v>
      </c>
      <c r="B235">
        <v>288</v>
      </c>
      <c r="C235" t="s">
        <v>2735</v>
      </c>
      <c r="D235">
        <v>41184</v>
      </c>
      <c r="E235" t="s">
        <v>2528</v>
      </c>
      <c r="F235">
        <v>2900</v>
      </c>
      <c r="G235" t="s">
        <v>569</v>
      </c>
      <c r="H235" t="s">
        <v>2366</v>
      </c>
      <c r="I235" t="s">
        <v>2366</v>
      </c>
      <c r="J235">
        <v>2904</v>
      </c>
      <c r="K235" t="s">
        <v>1432</v>
      </c>
      <c r="L235">
        <v>1100</v>
      </c>
      <c r="M235" t="s">
        <v>616</v>
      </c>
      <c r="N235">
        <v>1120</v>
      </c>
      <c r="O235" t="s">
        <v>1485</v>
      </c>
      <c r="P235" t="s">
        <v>2366</v>
      </c>
      <c r="Q235" t="s">
        <v>2364</v>
      </c>
      <c r="R235" t="s">
        <v>2364</v>
      </c>
      <c r="S235" t="s">
        <v>1881</v>
      </c>
      <c r="T235" t="s">
        <v>1812</v>
      </c>
      <c r="U235" t="s">
        <v>2365</v>
      </c>
      <c r="V235" t="s">
        <v>2365</v>
      </c>
      <c r="W235" t="s">
        <v>2365</v>
      </c>
      <c r="X235" t="s">
        <v>2365</v>
      </c>
      <c r="Y235" t="s">
        <v>2365</v>
      </c>
      <c r="Z235" t="s">
        <v>2365</v>
      </c>
      <c r="AA235" t="s">
        <v>2365</v>
      </c>
      <c r="AB235" t="s">
        <v>2365</v>
      </c>
      <c r="AC235" s="813" t="s">
        <v>2365</v>
      </c>
      <c r="AD235" s="813" t="s">
        <v>2365</v>
      </c>
      <c r="AE235" s="813" t="s">
        <v>2365</v>
      </c>
      <c r="AF235" t="s">
        <v>2365</v>
      </c>
      <c r="AG235" t="s">
        <v>2365</v>
      </c>
      <c r="AH235" t="s">
        <v>2365</v>
      </c>
      <c r="AI235" t="s">
        <v>2365</v>
      </c>
      <c r="AJ235" t="s">
        <v>2365</v>
      </c>
      <c r="AK235" s="1373" t="s">
        <v>2365</v>
      </c>
      <c r="AL235" t="s">
        <v>2365</v>
      </c>
      <c r="AM235" t="s">
        <v>2365</v>
      </c>
      <c r="AN235" t="s">
        <v>2365</v>
      </c>
      <c r="AR235" t="s">
        <v>2365</v>
      </c>
      <c r="AS235" t="s">
        <v>2365</v>
      </c>
      <c r="AT235" t="s">
        <v>2365</v>
      </c>
      <c r="AU235" t="s">
        <v>2365</v>
      </c>
      <c r="AV235" t="s">
        <v>2365</v>
      </c>
      <c r="AW235" t="s">
        <v>2365</v>
      </c>
      <c r="AX235" t="s">
        <v>2365</v>
      </c>
      <c r="AY235" t="s">
        <v>2365</v>
      </c>
      <c r="AZ235" t="s">
        <v>2365</v>
      </c>
      <c r="BA235" t="s">
        <v>2365</v>
      </c>
      <c r="BB235" t="s">
        <v>2365</v>
      </c>
      <c r="BC235" t="s">
        <v>2365</v>
      </c>
      <c r="BD235" t="s">
        <v>2366</v>
      </c>
      <c r="BE235" t="s">
        <v>2365</v>
      </c>
      <c r="BF235" t="s">
        <v>2365</v>
      </c>
      <c r="BG235" t="s">
        <v>2365</v>
      </c>
      <c r="BH235" t="s">
        <v>2365</v>
      </c>
      <c r="BI235" t="s">
        <v>2366</v>
      </c>
      <c r="BJ235" t="s">
        <v>2365</v>
      </c>
      <c r="BK235" t="s">
        <v>2365</v>
      </c>
      <c r="BL235" t="s">
        <v>2365</v>
      </c>
      <c r="BM235" t="s">
        <v>2365</v>
      </c>
      <c r="BO235">
        <v>3</v>
      </c>
      <c r="BP235">
        <v>31</v>
      </c>
      <c r="BQ235" t="s">
        <v>2716</v>
      </c>
      <c r="BR235" t="s">
        <v>1485</v>
      </c>
      <c r="BU235">
        <v>35000</v>
      </c>
      <c r="BV235">
        <v>0</v>
      </c>
      <c r="BW235">
        <v>35000</v>
      </c>
      <c r="BX235">
        <v>0</v>
      </c>
      <c r="BY235">
        <v>35000</v>
      </c>
      <c r="BZ235">
        <v>36400</v>
      </c>
      <c r="CA235">
        <v>37856</v>
      </c>
      <c r="CB235">
        <v>0</v>
      </c>
      <c r="CC235">
        <v>3545.84</v>
      </c>
      <c r="CD235">
        <v>1189.76</v>
      </c>
      <c r="CE235">
        <v>1189.76</v>
      </c>
      <c r="CF235">
        <v>1189.76</v>
      </c>
      <c r="CG235">
        <v>1338.48</v>
      </c>
      <c r="CH235">
        <v>1189.76</v>
      </c>
      <c r="CI235">
        <v>0</v>
      </c>
      <c r="CJ235">
        <v>0</v>
      </c>
      <c r="CK235">
        <v>0</v>
      </c>
      <c r="CL235">
        <v>0</v>
      </c>
      <c r="CM235">
        <v>0</v>
      </c>
      <c r="CR235" t="s">
        <v>2329</v>
      </c>
      <c r="CS235" s="1369" t="str">
        <f>INDEX([8]Sheet1!$H:$H,MATCH(CR:CR,[8]Sheet1!$AU:$AU,0))</f>
        <v>Sewerage</v>
      </c>
    </row>
    <row r="236" spans="1:97" x14ac:dyDescent="0.2">
      <c r="A236" t="s">
        <v>2736</v>
      </c>
      <c r="B236">
        <v>289</v>
      </c>
      <c r="C236" t="s">
        <v>2736</v>
      </c>
      <c r="D236">
        <v>41185</v>
      </c>
      <c r="E236" t="s">
        <v>2530</v>
      </c>
      <c r="F236">
        <v>2000</v>
      </c>
      <c r="G236" t="s">
        <v>652</v>
      </c>
      <c r="H236" t="s">
        <v>2531</v>
      </c>
      <c r="I236" t="s">
        <v>1185</v>
      </c>
      <c r="J236">
        <v>2009</v>
      </c>
      <c r="K236" t="s">
        <v>1185</v>
      </c>
      <c r="L236">
        <v>1100</v>
      </c>
      <c r="M236" t="s">
        <v>616</v>
      </c>
      <c r="N236">
        <v>1120</v>
      </c>
      <c r="O236" t="s">
        <v>1485</v>
      </c>
      <c r="P236" t="s">
        <v>2366</v>
      </c>
      <c r="Q236" t="s">
        <v>2364</v>
      </c>
      <c r="R236" t="s">
        <v>2364</v>
      </c>
      <c r="S236" t="s">
        <v>1881</v>
      </c>
      <c r="T236" t="s">
        <v>1812</v>
      </c>
      <c r="U236" t="s">
        <v>2365</v>
      </c>
      <c r="V236" t="s">
        <v>2365</v>
      </c>
      <c r="W236" t="s">
        <v>2365</v>
      </c>
      <c r="X236" t="s">
        <v>2365</v>
      </c>
      <c r="Y236" t="s">
        <v>2365</v>
      </c>
      <c r="Z236" t="s">
        <v>2365</v>
      </c>
      <c r="AA236" t="s">
        <v>2365</v>
      </c>
      <c r="AB236" t="s">
        <v>2365</v>
      </c>
      <c r="AC236" s="813" t="s">
        <v>2365</v>
      </c>
      <c r="AD236" s="813" t="s">
        <v>2365</v>
      </c>
      <c r="AE236" s="813" t="s">
        <v>2365</v>
      </c>
      <c r="AF236" t="s">
        <v>2365</v>
      </c>
      <c r="AG236" t="s">
        <v>2365</v>
      </c>
      <c r="AH236" t="s">
        <v>2365</v>
      </c>
      <c r="AI236" t="s">
        <v>2365</v>
      </c>
      <c r="AJ236" t="s">
        <v>2365</v>
      </c>
      <c r="AK236" s="1373" t="s">
        <v>2365</v>
      </c>
      <c r="AL236" t="s">
        <v>2365</v>
      </c>
      <c r="AM236" t="s">
        <v>2365</v>
      </c>
      <c r="AN236" t="s">
        <v>2365</v>
      </c>
      <c r="AR236" t="s">
        <v>2365</v>
      </c>
      <c r="AS236" t="s">
        <v>2365</v>
      </c>
      <c r="AT236" t="s">
        <v>2365</v>
      </c>
      <c r="AU236" t="s">
        <v>2365</v>
      </c>
      <c r="AV236" t="s">
        <v>2365</v>
      </c>
      <c r="AW236" t="s">
        <v>2365</v>
      </c>
      <c r="AX236" t="s">
        <v>2365</v>
      </c>
      <c r="AY236" t="s">
        <v>2365</v>
      </c>
      <c r="AZ236" t="s">
        <v>2365</v>
      </c>
      <c r="BA236" t="s">
        <v>2365</v>
      </c>
      <c r="BB236" t="s">
        <v>2365</v>
      </c>
      <c r="BC236" t="s">
        <v>2365</v>
      </c>
      <c r="BD236" t="s">
        <v>2366</v>
      </c>
      <c r="BE236" t="s">
        <v>2365</v>
      </c>
      <c r="BF236" t="s">
        <v>2365</v>
      </c>
      <c r="BG236" t="s">
        <v>2365</v>
      </c>
      <c r="BH236" t="s">
        <v>2365</v>
      </c>
      <c r="BI236" t="s">
        <v>2366</v>
      </c>
      <c r="BJ236" t="s">
        <v>2365</v>
      </c>
      <c r="BK236" t="s">
        <v>2365</v>
      </c>
      <c r="BL236" t="s">
        <v>2365</v>
      </c>
      <c r="BM236" t="s">
        <v>2365</v>
      </c>
      <c r="BN236" t="s">
        <v>2177</v>
      </c>
      <c r="BO236">
        <v>3</v>
      </c>
      <c r="BP236">
        <v>31</v>
      </c>
      <c r="BQ236" t="s">
        <v>2716</v>
      </c>
      <c r="BR236" t="s">
        <v>1485</v>
      </c>
      <c r="BU236">
        <v>785</v>
      </c>
      <c r="BV236">
        <v>0</v>
      </c>
      <c r="BW236">
        <v>785</v>
      </c>
      <c r="BX236">
        <v>0</v>
      </c>
      <c r="BY236">
        <v>785</v>
      </c>
      <c r="BZ236">
        <v>836</v>
      </c>
      <c r="CA236">
        <v>891</v>
      </c>
      <c r="CB236">
        <v>0</v>
      </c>
      <c r="CC236">
        <v>0</v>
      </c>
      <c r="CD236">
        <v>79.2</v>
      </c>
      <c r="CE236">
        <v>89.100000000000009</v>
      </c>
      <c r="CF236">
        <v>89.100000000000009</v>
      </c>
      <c r="CG236">
        <v>89.100000000000009</v>
      </c>
      <c r="CH236">
        <v>69.3</v>
      </c>
      <c r="CI236">
        <v>0</v>
      </c>
      <c r="CJ236">
        <v>0</v>
      </c>
      <c r="CK236">
        <v>0</v>
      </c>
      <c r="CL236">
        <v>0</v>
      </c>
      <c r="CM236">
        <v>0</v>
      </c>
      <c r="CR236" t="s">
        <v>2331</v>
      </c>
      <c r="CS236" s="1369" t="str">
        <f>INDEX([8]Sheet1!$H:$H,MATCH(CR:CR,[8]Sheet1!$AU:$AU,0))</f>
        <v>Waste Water Treatment</v>
      </c>
    </row>
    <row r="237" spans="1:97" x14ac:dyDescent="0.2">
      <c r="A237" t="s">
        <v>2737</v>
      </c>
      <c r="B237">
        <v>290</v>
      </c>
      <c r="C237" t="s">
        <v>2737</v>
      </c>
      <c r="D237">
        <v>41186</v>
      </c>
      <c r="E237" t="s">
        <v>2533</v>
      </c>
      <c r="F237">
        <v>2000</v>
      </c>
      <c r="G237" t="s">
        <v>652</v>
      </c>
      <c r="H237" t="s">
        <v>2534</v>
      </c>
      <c r="I237" t="s">
        <v>196</v>
      </c>
      <c r="J237">
        <v>2003</v>
      </c>
      <c r="K237" t="s">
        <v>196</v>
      </c>
      <c r="L237">
        <v>1100</v>
      </c>
      <c r="M237" t="s">
        <v>616</v>
      </c>
      <c r="N237">
        <v>1120</v>
      </c>
      <c r="O237" t="s">
        <v>1485</v>
      </c>
      <c r="P237" t="s">
        <v>2366</v>
      </c>
      <c r="Q237" t="s">
        <v>2364</v>
      </c>
      <c r="R237" t="s">
        <v>2364</v>
      </c>
      <c r="S237" t="s">
        <v>1881</v>
      </c>
      <c r="T237" t="s">
        <v>1812</v>
      </c>
      <c r="U237" t="s">
        <v>2365</v>
      </c>
      <c r="V237" t="s">
        <v>2365</v>
      </c>
      <c r="W237" t="s">
        <v>2365</v>
      </c>
      <c r="X237" t="s">
        <v>2365</v>
      </c>
      <c r="Y237" t="s">
        <v>2365</v>
      </c>
      <c r="Z237" t="s">
        <v>2365</v>
      </c>
      <c r="AA237" t="s">
        <v>2365</v>
      </c>
      <c r="AB237" t="s">
        <v>2365</v>
      </c>
      <c r="AC237" s="813" t="s">
        <v>2365</v>
      </c>
      <c r="AD237" s="813" t="s">
        <v>2365</v>
      </c>
      <c r="AE237" s="813" t="s">
        <v>2365</v>
      </c>
      <c r="AF237" t="s">
        <v>2365</v>
      </c>
      <c r="AG237" t="s">
        <v>2365</v>
      </c>
      <c r="AH237" t="s">
        <v>2365</v>
      </c>
      <c r="AI237" t="s">
        <v>2365</v>
      </c>
      <c r="AJ237" t="s">
        <v>2365</v>
      </c>
      <c r="AK237" s="1373" t="s">
        <v>2365</v>
      </c>
      <c r="AL237" t="s">
        <v>2365</v>
      </c>
      <c r="AM237" t="s">
        <v>2365</v>
      </c>
      <c r="AN237" t="s">
        <v>2365</v>
      </c>
      <c r="AR237" t="s">
        <v>2365</v>
      </c>
      <c r="AS237" t="s">
        <v>2365</v>
      </c>
      <c r="AT237" t="s">
        <v>2365</v>
      </c>
      <c r="AU237" t="s">
        <v>2365</v>
      </c>
      <c r="AV237" t="s">
        <v>2365</v>
      </c>
      <c r="AW237" t="s">
        <v>2365</v>
      </c>
      <c r="AX237" t="s">
        <v>2365</v>
      </c>
      <c r="AY237" t="s">
        <v>2365</v>
      </c>
      <c r="AZ237" t="s">
        <v>2365</v>
      </c>
      <c r="BA237" t="s">
        <v>2365</v>
      </c>
      <c r="BB237" t="s">
        <v>2365</v>
      </c>
      <c r="BC237" t="s">
        <v>2365</v>
      </c>
      <c r="BD237" t="s">
        <v>2366</v>
      </c>
      <c r="BE237" t="s">
        <v>2365</v>
      </c>
      <c r="BF237" t="s">
        <v>2365</v>
      </c>
      <c r="BG237" t="s">
        <v>2365</v>
      </c>
      <c r="BH237" t="s">
        <v>2365</v>
      </c>
      <c r="BI237" t="s">
        <v>2366</v>
      </c>
      <c r="BJ237" t="s">
        <v>2365</v>
      </c>
      <c r="BK237" t="s">
        <v>2365</v>
      </c>
      <c r="BL237" t="s">
        <v>2365</v>
      </c>
      <c r="BM237" t="s">
        <v>2365</v>
      </c>
      <c r="BN237" t="s">
        <v>2177</v>
      </c>
      <c r="BO237">
        <v>3</v>
      </c>
      <c r="BP237">
        <v>31</v>
      </c>
      <c r="BQ237" t="s">
        <v>2716</v>
      </c>
      <c r="BR237" t="s">
        <v>1485</v>
      </c>
      <c r="BU237">
        <v>149184</v>
      </c>
      <c r="BV237">
        <v>0</v>
      </c>
      <c r="BW237">
        <v>149184</v>
      </c>
      <c r="BX237">
        <v>0</v>
      </c>
      <c r="BY237">
        <v>149184</v>
      </c>
      <c r="BZ237">
        <v>158881</v>
      </c>
      <c r="CA237">
        <v>169209</v>
      </c>
      <c r="CB237">
        <v>0</v>
      </c>
      <c r="CC237">
        <v>0</v>
      </c>
      <c r="CD237">
        <v>8645.7999999999993</v>
      </c>
      <c r="CE237">
        <v>8645.7999999999993</v>
      </c>
      <c r="CF237">
        <v>8645.7999999999993</v>
      </c>
      <c r="CG237">
        <v>8082.6</v>
      </c>
      <c r="CH237">
        <v>8989.92</v>
      </c>
      <c r="CI237">
        <v>0</v>
      </c>
      <c r="CJ237">
        <v>0</v>
      </c>
      <c r="CK237">
        <v>0</v>
      </c>
      <c r="CL237">
        <v>0</v>
      </c>
      <c r="CM237">
        <v>0</v>
      </c>
      <c r="CR237" t="s">
        <v>2332</v>
      </c>
      <c r="CS237" s="1369" t="str">
        <f>INDEX([8]Sheet1!$H:$H,MATCH(CR:CR,[8]Sheet1!$AU:$AU,0))</f>
        <v>Water Storage</v>
      </c>
    </row>
    <row r="238" spans="1:97" x14ac:dyDescent="0.2">
      <c r="A238" t="s">
        <v>2738</v>
      </c>
      <c r="B238">
        <v>291</v>
      </c>
      <c r="C238" t="s">
        <v>2738</v>
      </c>
      <c r="D238">
        <v>41187</v>
      </c>
      <c r="E238" t="s">
        <v>2536</v>
      </c>
      <c r="F238">
        <v>2000</v>
      </c>
      <c r="G238" t="s">
        <v>652</v>
      </c>
      <c r="H238" t="s">
        <v>2472</v>
      </c>
      <c r="I238" t="s">
        <v>1375</v>
      </c>
      <c r="J238">
        <v>2002</v>
      </c>
      <c r="K238" t="s">
        <v>1375</v>
      </c>
      <c r="L238">
        <v>1100</v>
      </c>
      <c r="M238" t="s">
        <v>616</v>
      </c>
      <c r="N238">
        <v>1120</v>
      </c>
      <c r="O238" t="s">
        <v>1485</v>
      </c>
      <c r="P238" t="s">
        <v>2366</v>
      </c>
      <c r="Q238" t="s">
        <v>2364</v>
      </c>
      <c r="R238" t="s">
        <v>2364</v>
      </c>
      <c r="S238" t="s">
        <v>1881</v>
      </c>
      <c r="T238" t="s">
        <v>1812</v>
      </c>
      <c r="U238" t="s">
        <v>2365</v>
      </c>
      <c r="V238" t="s">
        <v>2365</v>
      </c>
      <c r="W238" t="s">
        <v>2365</v>
      </c>
      <c r="X238" t="s">
        <v>2365</v>
      </c>
      <c r="Y238" t="s">
        <v>2365</v>
      </c>
      <c r="Z238" t="s">
        <v>2365</v>
      </c>
      <c r="AA238" t="s">
        <v>2365</v>
      </c>
      <c r="AB238" t="s">
        <v>2365</v>
      </c>
      <c r="AC238" s="813" t="s">
        <v>2365</v>
      </c>
      <c r="AD238" s="813" t="s">
        <v>2365</v>
      </c>
      <c r="AE238" s="813" t="s">
        <v>2365</v>
      </c>
      <c r="AF238" t="s">
        <v>2365</v>
      </c>
      <c r="AG238" t="s">
        <v>2365</v>
      </c>
      <c r="AH238" t="s">
        <v>2365</v>
      </c>
      <c r="AI238" t="s">
        <v>2365</v>
      </c>
      <c r="AJ238" t="s">
        <v>2365</v>
      </c>
      <c r="AK238" t="s">
        <v>2365</v>
      </c>
      <c r="AL238" t="s">
        <v>2365</v>
      </c>
      <c r="AM238" t="s">
        <v>2365</v>
      </c>
      <c r="AN238" t="s">
        <v>2365</v>
      </c>
      <c r="AR238" t="s">
        <v>2365</v>
      </c>
      <c r="AS238" t="s">
        <v>2365</v>
      </c>
      <c r="AT238" t="s">
        <v>2365</v>
      </c>
      <c r="AU238" t="s">
        <v>2365</v>
      </c>
      <c r="AV238" t="s">
        <v>2365</v>
      </c>
      <c r="AW238" t="s">
        <v>2365</v>
      </c>
      <c r="AX238" t="s">
        <v>2365</v>
      </c>
      <c r="AY238" t="s">
        <v>2365</v>
      </c>
      <c r="AZ238" t="s">
        <v>2365</v>
      </c>
      <c r="BA238" t="s">
        <v>2365</v>
      </c>
      <c r="BB238" t="s">
        <v>2365</v>
      </c>
      <c r="BC238" t="s">
        <v>2365</v>
      </c>
      <c r="BD238" t="s">
        <v>2366</v>
      </c>
      <c r="BE238" t="s">
        <v>2365</v>
      </c>
      <c r="BF238" t="s">
        <v>2365</v>
      </c>
      <c r="BG238" t="s">
        <v>2365</v>
      </c>
      <c r="BH238" t="s">
        <v>2365</v>
      </c>
      <c r="BI238" t="s">
        <v>2366</v>
      </c>
      <c r="BJ238" t="s">
        <v>2365</v>
      </c>
      <c r="BK238" t="s">
        <v>2365</v>
      </c>
      <c r="BL238" t="s">
        <v>2365</v>
      </c>
      <c r="BM238" t="s">
        <v>2365</v>
      </c>
      <c r="BN238" t="s">
        <v>2177</v>
      </c>
      <c r="BO238">
        <v>3</v>
      </c>
      <c r="BP238">
        <v>31</v>
      </c>
      <c r="BQ238" t="s">
        <v>2716</v>
      </c>
      <c r="BR238" t="s">
        <v>1485</v>
      </c>
      <c r="BU238">
        <v>223954</v>
      </c>
      <c r="BV238">
        <v>0</v>
      </c>
      <c r="BW238">
        <v>223954</v>
      </c>
      <c r="BX238">
        <v>0</v>
      </c>
      <c r="BY238">
        <v>223954</v>
      </c>
      <c r="BZ238">
        <v>238511</v>
      </c>
      <c r="CA238">
        <v>254014</v>
      </c>
      <c r="CB238">
        <v>6893.17</v>
      </c>
      <c r="CC238">
        <v>0</v>
      </c>
      <c r="CD238">
        <v>17326.95</v>
      </c>
      <c r="CE238">
        <v>17326.95</v>
      </c>
      <c r="CF238">
        <v>17720.07</v>
      </c>
      <c r="CG238">
        <v>19377.669999999998</v>
      </c>
      <c r="CH238">
        <v>18133.27</v>
      </c>
      <c r="CI238">
        <v>0</v>
      </c>
      <c r="CJ238">
        <v>0</v>
      </c>
      <c r="CK238">
        <v>0</v>
      </c>
      <c r="CL238">
        <v>0</v>
      </c>
      <c r="CM238">
        <v>0</v>
      </c>
      <c r="CR238" t="s">
        <v>2330</v>
      </c>
      <c r="CS238" s="1369" t="str">
        <f>INDEX([8]Sheet1!$H:$H,MATCH(CR:CR,[8]Sheet1!$AU:$AU,0))</f>
        <v>Water Treatment</v>
      </c>
    </row>
    <row r="239" spans="1:97" x14ac:dyDescent="0.2">
      <c r="A239" t="s">
        <v>2739</v>
      </c>
      <c r="B239">
        <v>292</v>
      </c>
      <c r="C239" t="s">
        <v>2739</v>
      </c>
      <c r="D239">
        <v>41188</v>
      </c>
      <c r="E239" t="s">
        <v>2471</v>
      </c>
      <c r="F239">
        <v>2000</v>
      </c>
      <c r="G239" t="s">
        <v>652</v>
      </c>
      <c r="H239" t="s">
        <v>2472</v>
      </c>
      <c r="I239" t="s">
        <v>1375</v>
      </c>
      <c r="J239">
        <v>2002</v>
      </c>
      <c r="K239" t="s">
        <v>1375</v>
      </c>
      <c r="L239">
        <v>1100</v>
      </c>
      <c r="M239" t="s">
        <v>616</v>
      </c>
      <c r="N239">
        <v>1120</v>
      </c>
      <c r="O239" t="s">
        <v>1485</v>
      </c>
      <c r="P239" t="s">
        <v>2366</v>
      </c>
      <c r="Q239" t="s">
        <v>2364</v>
      </c>
      <c r="R239" t="s">
        <v>2364</v>
      </c>
      <c r="S239" t="s">
        <v>1881</v>
      </c>
      <c r="T239" t="s">
        <v>1812</v>
      </c>
      <c r="U239" t="s">
        <v>2365</v>
      </c>
      <c r="V239" t="s">
        <v>2365</v>
      </c>
      <c r="W239" t="s">
        <v>2365</v>
      </c>
      <c r="X239" t="s">
        <v>2365</v>
      </c>
      <c r="Y239" t="s">
        <v>2365</v>
      </c>
      <c r="Z239" t="s">
        <v>2365</v>
      </c>
      <c r="AA239" t="s">
        <v>2365</v>
      </c>
      <c r="AB239" t="s">
        <v>2365</v>
      </c>
      <c r="AC239" s="813" t="s">
        <v>2365</v>
      </c>
      <c r="AD239" s="813" t="s">
        <v>2365</v>
      </c>
      <c r="AE239" s="813" t="s">
        <v>2365</v>
      </c>
      <c r="AF239" t="s">
        <v>2365</v>
      </c>
      <c r="AG239" t="s">
        <v>2365</v>
      </c>
      <c r="AH239" t="s">
        <v>2365</v>
      </c>
      <c r="AI239" t="s">
        <v>2365</v>
      </c>
      <c r="AJ239" t="s">
        <v>2365</v>
      </c>
      <c r="AK239" t="s">
        <v>2365</v>
      </c>
      <c r="AL239" t="s">
        <v>2365</v>
      </c>
      <c r="AM239" t="s">
        <v>2365</v>
      </c>
      <c r="AN239" t="s">
        <v>2365</v>
      </c>
      <c r="AR239" t="s">
        <v>2365</v>
      </c>
      <c r="AS239" t="s">
        <v>2365</v>
      </c>
      <c r="AT239" t="s">
        <v>2365</v>
      </c>
      <c r="AU239" t="s">
        <v>2365</v>
      </c>
      <c r="AV239" t="s">
        <v>2365</v>
      </c>
      <c r="AW239" t="s">
        <v>2365</v>
      </c>
      <c r="AX239" t="s">
        <v>2365</v>
      </c>
      <c r="AY239" t="s">
        <v>2365</v>
      </c>
      <c r="AZ239" t="s">
        <v>2365</v>
      </c>
      <c r="BA239" t="s">
        <v>2365</v>
      </c>
      <c r="BB239" t="s">
        <v>2365</v>
      </c>
      <c r="BC239" t="s">
        <v>2365</v>
      </c>
      <c r="BD239" t="s">
        <v>2366</v>
      </c>
      <c r="BE239" t="s">
        <v>2365</v>
      </c>
      <c r="BF239" t="s">
        <v>2365</v>
      </c>
      <c r="BG239" t="s">
        <v>2365</v>
      </c>
      <c r="BH239" t="s">
        <v>2365</v>
      </c>
      <c r="BI239" t="s">
        <v>2366</v>
      </c>
      <c r="BJ239" t="s">
        <v>2365</v>
      </c>
      <c r="BK239" t="s">
        <v>2365</v>
      </c>
      <c r="BL239" t="s">
        <v>2365</v>
      </c>
      <c r="BM239" t="s">
        <v>2365</v>
      </c>
      <c r="BN239" t="s">
        <v>2177</v>
      </c>
      <c r="BO239">
        <v>3</v>
      </c>
      <c r="BP239">
        <v>31</v>
      </c>
      <c r="BQ239" t="s">
        <v>2716</v>
      </c>
      <c r="BR239" t="s">
        <v>1485</v>
      </c>
      <c r="BU239">
        <v>31396</v>
      </c>
      <c r="BV239">
        <v>0</v>
      </c>
      <c r="BW239">
        <v>31396</v>
      </c>
      <c r="BX239">
        <v>0</v>
      </c>
      <c r="BY239">
        <v>31396</v>
      </c>
      <c r="BZ239">
        <v>33437</v>
      </c>
      <c r="CA239">
        <v>35610</v>
      </c>
      <c r="CB239">
        <v>2768.4900000000002</v>
      </c>
      <c r="CC239">
        <v>1386.69</v>
      </c>
      <c r="CD239">
        <v>0</v>
      </c>
      <c r="CE239">
        <v>0</v>
      </c>
      <c r="CF239">
        <v>0</v>
      </c>
      <c r="CG239">
        <v>0</v>
      </c>
      <c r="CH239">
        <v>0</v>
      </c>
      <c r="CI239">
        <v>0</v>
      </c>
      <c r="CJ239">
        <v>0</v>
      </c>
      <c r="CK239">
        <v>0</v>
      </c>
      <c r="CL239">
        <v>0</v>
      </c>
      <c r="CM239">
        <v>0</v>
      </c>
      <c r="CR239" t="s">
        <v>2328</v>
      </c>
      <c r="CS239" s="1369" t="str">
        <f>INDEX([8]Sheet1!$H:$H,MATCH(CR:CR,[8]Sheet1!$AU:$AU,0))</f>
        <v>Water Distribution</v>
      </c>
    </row>
    <row r="240" spans="1:97" x14ac:dyDescent="0.2">
      <c r="A240" t="s">
        <v>2740</v>
      </c>
      <c r="B240">
        <v>293</v>
      </c>
      <c r="C240" t="s">
        <v>2740</v>
      </c>
      <c r="D240">
        <v>41189</v>
      </c>
      <c r="E240" t="s">
        <v>2539</v>
      </c>
      <c r="F240">
        <v>2000</v>
      </c>
      <c r="G240" t="s">
        <v>652</v>
      </c>
      <c r="H240" t="s">
        <v>2540</v>
      </c>
      <c r="I240" t="s">
        <v>1157</v>
      </c>
      <c r="J240">
        <v>2009</v>
      </c>
      <c r="K240" t="s">
        <v>1185</v>
      </c>
      <c r="L240">
        <v>1100</v>
      </c>
      <c r="M240" t="s">
        <v>616</v>
      </c>
      <c r="N240">
        <v>1120</v>
      </c>
      <c r="O240" t="s">
        <v>1485</v>
      </c>
      <c r="P240" t="s">
        <v>2366</v>
      </c>
      <c r="Q240" t="s">
        <v>2364</v>
      </c>
      <c r="R240" t="s">
        <v>2364</v>
      </c>
      <c r="S240" t="s">
        <v>1881</v>
      </c>
      <c r="T240" t="s">
        <v>1812</v>
      </c>
      <c r="U240" t="s">
        <v>2365</v>
      </c>
      <c r="V240" t="s">
        <v>2365</v>
      </c>
      <c r="W240" t="s">
        <v>2365</v>
      </c>
      <c r="X240" t="s">
        <v>2365</v>
      </c>
      <c r="Y240" t="s">
        <v>2365</v>
      </c>
      <c r="Z240" t="s">
        <v>2365</v>
      </c>
      <c r="AA240" t="s">
        <v>2365</v>
      </c>
      <c r="AB240" t="s">
        <v>2365</v>
      </c>
      <c r="AC240" s="813" t="s">
        <v>2365</v>
      </c>
      <c r="AD240" s="813" t="s">
        <v>2365</v>
      </c>
      <c r="AE240" s="813" t="s">
        <v>2365</v>
      </c>
      <c r="AF240" t="s">
        <v>2365</v>
      </c>
      <c r="AG240" t="s">
        <v>2365</v>
      </c>
      <c r="AH240" t="s">
        <v>2365</v>
      </c>
      <c r="AI240" t="s">
        <v>2365</v>
      </c>
      <c r="AJ240" t="s">
        <v>2365</v>
      </c>
      <c r="AK240" t="s">
        <v>2365</v>
      </c>
      <c r="AL240" t="s">
        <v>2365</v>
      </c>
      <c r="AM240" t="s">
        <v>2365</v>
      </c>
      <c r="AN240" t="s">
        <v>2365</v>
      </c>
      <c r="AR240" t="s">
        <v>2365</v>
      </c>
      <c r="AS240" t="s">
        <v>2365</v>
      </c>
      <c r="AT240" t="s">
        <v>2365</v>
      </c>
      <c r="AU240" t="s">
        <v>2365</v>
      </c>
      <c r="AV240" t="s">
        <v>2365</v>
      </c>
      <c r="AW240" t="s">
        <v>2365</v>
      </c>
      <c r="AX240" t="s">
        <v>2365</v>
      </c>
      <c r="AY240" t="s">
        <v>2365</v>
      </c>
      <c r="AZ240" t="s">
        <v>2365</v>
      </c>
      <c r="BA240" t="s">
        <v>2365</v>
      </c>
      <c r="BB240" t="s">
        <v>2365</v>
      </c>
      <c r="BC240" t="s">
        <v>2365</v>
      </c>
      <c r="BD240" t="s">
        <v>2366</v>
      </c>
      <c r="BE240" t="s">
        <v>2365</v>
      </c>
      <c r="BF240" t="s">
        <v>2365</v>
      </c>
      <c r="BG240" t="s">
        <v>2365</v>
      </c>
      <c r="BH240" t="s">
        <v>2365</v>
      </c>
      <c r="BI240" t="s">
        <v>2366</v>
      </c>
      <c r="BJ240" t="s">
        <v>2365</v>
      </c>
      <c r="BK240" t="s">
        <v>2365</v>
      </c>
      <c r="BL240" t="s">
        <v>2365</v>
      </c>
      <c r="BM240" t="s">
        <v>2365</v>
      </c>
      <c r="BN240" t="s">
        <v>2177</v>
      </c>
      <c r="BO240">
        <v>3</v>
      </c>
      <c r="BP240">
        <v>31</v>
      </c>
      <c r="BQ240" t="s">
        <v>2716</v>
      </c>
      <c r="BR240" t="s">
        <v>1485</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R240" t="s">
        <v>2328</v>
      </c>
      <c r="CS240" s="1369" t="str">
        <f>INDEX([8]Sheet1!$H:$H,MATCH(CR:CR,[8]Sheet1!$AU:$AU,0))</f>
        <v>Water Distribution</v>
      </c>
    </row>
    <row r="241" spans="1:97" x14ac:dyDescent="0.2">
      <c r="A241" t="s">
        <v>2741</v>
      </c>
      <c r="B241">
        <v>294</v>
      </c>
      <c r="C241" t="s">
        <v>2741</v>
      </c>
      <c r="D241">
        <v>41190</v>
      </c>
      <c r="E241" t="s">
        <v>2542</v>
      </c>
      <c r="F241">
        <v>2000</v>
      </c>
      <c r="G241" t="s">
        <v>652</v>
      </c>
      <c r="H241" t="s">
        <v>2540</v>
      </c>
      <c r="I241" t="s">
        <v>1157</v>
      </c>
      <c r="J241">
        <v>2009</v>
      </c>
      <c r="K241" t="s">
        <v>1185</v>
      </c>
      <c r="L241">
        <v>1100</v>
      </c>
      <c r="M241" t="s">
        <v>616</v>
      </c>
      <c r="N241">
        <v>1120</v>
      </c>
      <c r="O241" t="s">
        <v>1485</v>
      </c>
      <c r="P241" t="s">
        <v>2366</v>
      </c>
      <c r="Q241" t="s">
        <v>2364</v>
      </c>
      <c r="R241" t="s">
        <v>2364</v>
      </c>
      <c r="S241" t="s">
        <v>1881</v>
      </c>
      <c r="T241" t="s">
        <v>1812</v>
      </c>
      <c r="U241" t="s">
        <v>2365</v>
      </c>
      <c r="V241" t="s">
        <v>2365</v>
      </c>
      <c r="W241" t="s">
        <v>2365</v>
      </c>
      <c r="X241" t="s">
        <v>2365</v>
      </c>
      <c r="Y241" t="s">
        <v>2365</v>
      </c>
      <c r="Z241" t="s">
        <v>2365</v>
      </c>
      <c r="AA241" t="s">
        <v>2365</v>
      </c>
      <c r="AB241" t="s">
        <v>2365</v>
      </c>
      <c r="AC241" s="813" t="s">
        <v>2365</v>
      </c>
      <c r="AD241" s="813" t="s">
        <v>2365</v>
      </c>
      <c r="AE241" s="813" t="s">
        <v>2365</v>
      </c>
      <c r="AF241" t="s">
        <v>2365</v>
      </c>
      <c r="AG241" t="s">
        <v>2365</v>
      </c>
      <c r="AH241" t="s">
        <v>2365</v>
      </c>
      <c r="AI241" t="s">
        <v>2365</v>
      </c>
      <c r="AJ241" t="s">
        <v>2365</v>
      </c>
      <c r="AK241" t="s">
        <v>2365</v>
      </c>
      <c r="AL241" t="s">
        <v>2365</v>
      </c>
      <c r="AM241" t="s">
        <v>2365</v>
      </c>
      <c r="AN241" t="s">
        <v>2365</v>
      </c>
      <c r="AR241" t="s">
        <v>2365</v>
      </c>
      <c r="AS241" t="s">
        <v>2365</v>
      </c>
      <c r="AT241" t="s">
        <v>2365</v>
      </c>
      <c r="AU241" t="s">
        <v>2365</v>
      </c>
      <c r="AV241" t="s">
        <v>2365</v>
      </c>
      <c r="AW241" t="s">
        <v>2365</v>
      </c>
      <c r="AX241" t="s">
        <v>2365</v>
      </c>
      <c r="AY241" t="s">
        <v>2365</v>
      </c>
      <c r="AZ241" t="s">
        <v>2365</v>
      </c>
      <c r="BA241" t="s">
        <v>2365</v>
      </c>
      <c r="BB241" t="s">
        <v>2365</v>
      </c>
      <c r="BC241" t="s">
        <v>2365</v>
      </c>
      <c r="BD241" t="s">
        <v>2366</v>
      </c>
      <c r="BE241" t="s">
        <v>2365</v>
      </c>
      <c r="BF241" t="s">
        <v>2365</v>
      </c>
      <c r="BG241" t="s">
        <v>2365</v>
      </c>
      <c r="BH241" t="s">
        <v>2365</v>
      </c>
      <c r="BI241" t="s">
        <v>2366</v>
      </c>
      <c r="BJ241" t="s">
        <v>2365</v>
      </c>
      <c r="BK241" t="s">
        <v>2365</v>
      </c>
      <c r="BL241" t="s">
        <v>2365</v>
      </c>
      <c r="BM241" t="s">
        <v>2365</v>
      </c>
      <c r="BN241" t="s">
        <v>2177</v>
      </c>
      <c r="BO241">
        <v>3</v>
      </c>
      <c r="BP241">
        <v>31</v>
      </c>
      <c r="BQ241" t="s">
        <v>2716</v>
      </c>
      <c r="BR241" t="s">
        <v>1485</v>
      </c>
      <c r="BU241">
        <v>400000</v>
      </c>
      <c r="BV241">
        <v>0</v>
      </c>
      <c r="BW241">
        <v>400000</v>
      </c>
      <c r="BX241">
        <v>0</v>
      </c>
      <c r="BY241">
        <v>400000</v>
      </c>
      <c r="BZ241">
        <v>426000</v>
      </c>
      <c r="CA241">
        <v>453690</v>
      </c>
      <c r="CB241">
        <v>0</v>
      </c>
      <c r="CC241">
        <v>0</v>
      </c>
      <c r="CD241">
        <v>0</v>
      </c>
      <c r="CE241">
        <v>0</v>
      </c>
      <c r="CF241">
        <v>0</v>
      </c>
      <c r="CG241">
        <v>0</v>
      </c>
      <c r="CH241">
        <v>0</v>
      </c>
      <c r="CI241">
        <v>0</v>
      </c>
      <c r="CJ241">
        <v>0</v>
      </c>
      <c r="CK241">
        <v>0</v>
      </c>
      <c r="CL241">
        <v>0</v>
      </c>
      <c r="CM241">
        <v>0</v>
      </c>
      <c r="CR241" t="s">
        <v>2328</v>
      </c>
      <c r="CS241" s="1369" t="str">
        <f>INDEX([8]Sheet1!$H:$H,MATCH(CR:CR,[8]Sheet1!$AU:$AU,0))</f>
        <v>Water Distribution</v>
      </c>
    </row>
    <row r="242" spans="1:97" x14ac:dyDescent="0.2">
      <c r="A242" t="s">
        <v>2742</v>
      </c>
      <c r="B242">
        <v>295</v>
      </c>
      <c r="C242" t="s">
        <v>2742</v>
      </c>
      <c r="D242">
        <v>41191</v>
      </c>
      <c r="E242" t="s">
        <v>2544</v>
      </c>
      <c r="F242">
        <v>2000</v>
      </c>
      <c r="G242" t="s">
        <v>652</v>
      </c>
      <c r="H242" t="s">
        <v>2531</v>
      </c>
      <c r="I242" t="s">
        <v>1185</v>
      </c>
      <c r="J242">
        <v>2001</v>
      </c>
      <c r="K242" t="s">
        <v>203</v>
      </c>
      <c r="L242">
        <v>1100</v>
      </c>
      <c r="M242" t="s">
        <v>616</v>
      </c>
      <c r="N242">
        <v>1120</v>
      </c>
      <c r="O242" t="s">
        <v>1485</v>
      </c>
      <c r="P242" t="s">
        <v>2366</v>
      </c>
      <c r="Q242" t="s">
        <v>2364</v>
      </c>
      <c r="R242" t="s">
        <v>2364</v>
      </c>
      <c r="S242" t="s">
        <v>1881</v>
      </c>
      <c r="T242" t="s">
        <v>1812</v>
      </c>
      <c r="U242" t="s">
        <v>2365</v>
      </c>
      <c r="V242" t="s">
        <v>2365</v>
      </c>
      <c r="W242" t="s">
        <v>2365</v>
      </c>
      <c r="X242" t="s">
        <v>2365</v>
      </c>
      <c r="Y242" t="s">
        <v>2365</v>
      </c>
      <c r="Z242" t="s">
        <v>2365</v>
      </c>
      <c r="AA242" t="s">
        <v>2365</v>
      </c>
      <c r="AB242" t="s">
        <v>2365</v>
      </c>
      <c r="AC242" s="813" t="s">
        <v>2365</v>
      </c>
      <c r="AD242" s="813" t="s">
        <v>2365</v>
      </c>
      <c r="AE242" s="813" t="s">
        <v>2365</v>
      </c>
      <c r="AF242" t="s">
        <v>2365</v>
      </c>
      <c r="AG242" t="s">
        <v>2365</v>
      </c>
      <c r="AH242" t="s">
        <v>2365</v>
      </c>
      <c r="AI242" t="s">
        <v>2365</v>
      </c>
      <c r="AJ242" t="s">
        <v>2365</v>
      </c>
      <c r="AK242" t="s">
        <v>2365</v>
      </c>
      <c r="AL242" t="s">
        <v>2365</v>
      </c>
      <c r="AM242" t="s">
        <v>2365</v>
      </c>
      <c r="AN242" t="s">
        <v>2365</v>
      </c>
      <c r="AR242" t="s">
        <v>2365</v>
      </c>
      <c r="AS242" t="s">
        <v>2365</v>
      </c>
      <c r="AT242" t="s">
        <v>2365</v>
      </c>
      <c r="AU242" t="s">
        <v>2365</v>
      </c>
      <c r="AV242" t="s">
        <v>2365</v>
      </c>
      <c r="AW242" t="s">
        <v>2365</v>
      </c>
      <c r="AX242" t="s">
        <v>2365</v>
      </c>
      <c r="AY242" t="s">
        <v>2365</v>
      </c>
      <c r="AZ242" t="s">
        <v>2365</v>
      </c>
      <c r="BA242" t="s">
        <v>2365</v>
      </c>
      <c r="BB242" t="s">
        <v>2365</v>
      </c>
      <c r="BC242" t="s">
        <v>2365</v>
      </c>
      <c r="BD242" t="s">
        <v>2366</v>
      </c>
      <c r="BE242" t="s">
        <v>2365</v>
      </c>
      <c r="BF242" t="s">
        <v>2365</v>
      </c>
      <c r="BG242" t="s">
        <v>2365</v>
      </c>
      <c r="BH242" t="s">
        <v>2365</v>
      </c>
      <c r="BI242" t="s">
        <v>2366</v>
      </c>
      <c r="BJ242" t="s">
        <v>2365</v>
      </c>
      <c r="BK242" t="s">
        <v>2365</v>
      </c>
      <c r="BL242" t="s">
        <v>2365</v>
      </c>
      <c r="BM242" t="s">
        <v>2365</v>
      </c>
      <c r="BN242" t="s">
        <v>2177</v>
      </c>
      <c r="BO242">
        <v>3</v>
      </c>
      <c r="BP242">
        <v>31</v>
      </c>
      <c r="BQ242" t="s">
        <v>2716</v>
      </c>
      <c r="BR242" t="s">
        <v>1485</v>
      </c>
      <c r="BU242">
        <v>0</v>
      </c>
      <c r="BV242">
        <v>0</v>
      </c>
      <c r="BW242">
        <v>0</v>
      </c>
      <c r="BX242">
        <v>0</v>
      </c>
      <c r="BY242">
        <v>0</v>
      </c>
      <c r="BZ242">
        <v>0</v>
      </c>
      <c r="CA242">
        <v>0</v>
      </c>
      <c r="CB242">
        <v>0</v>
      </c>
      <c r="CC242">
        <v>4820.6400000000003</v>
      </c>
      <c r="CD242">
        <v>0</v>
      </c>
      <c r="CE242">
        <v>0</v>
      </c>
      <c r="CF242">
        <v>0</v>
      </c>
      <c r="CG242">
        <v>0</v>
      </c>
      <c r="CH242">
        <v>0</v>
      </c>
      <c r="CI242">
        <v>0</v>
      </c>
      <c r="CJ242">
        <v>0</v>
      </c>
      <c r="CK242">
        <v>0</v>
      </c>
      <c r="CL242">
        <v>0</v>
      </c>
      <c r="CM242">
        <v>0</v>
      </c>
      <c r="CR242" t="s">
        <v>2328</v>
      </c>
      <c r="CS242" s="1369" t="str">
        <f>INDEX([8]Sheet1!$H:$H,MATCH(CR:CR,[8]Sheet1!$AU:$AU,0))</f>
        <v>Water Distribution</v>
      </c>
    </row>
    <row r="243" spans="1:97" x14ac:dyDescent="0.2">
      <c r="A243" t="s">
        <v>2743</v>
      </c>
      <c r="B243">
        <v>296</v>
      </c>
      <c r="C243" t="s">
        <v>2743</v>
      </c>
      <c r="D243">
        <v>41192</v>
      </c>
      <c r="E243" t="s">
        <v>2546</v>
      </c>
      <c r="F243">
        <v>2000</v>
      </c>
      <c r="G243" t="s">
        <v>652</v>
      </c>
      <c r="H243" t="s">
        <v>2547</v>
      </c>
      <c r="I243" t="s">
        <v>200</v>
      </c>
      <c r="J243">
        <v>2005</v>
      </c>
      <c r="K243" t="s">
        <v>200</v>
      </c>
      <c r="L243">
        <v>1100</v>
      </c>
      <c r="M243" t="s">
        <v>616</v>
      </c>
      <c r="N243">
        <v>1120</v>
      </c>
      <c r="O243" t="s">
        <v>1485</v>
      </c>
      <c r="P243" t="s">
        <v>2366</v>
      </c>
      <c r="Q243" t="s">
        <v>2364</v>
      </c>
      <c r="R243" t="s">
        <v>2364</v>
      </c>
      <c r="S243" t="s">
        <v>1881</v>
      </c>
      <c r="T243" t="s">
        <v>1812</v>
      </c>
      <c r="U243" t="s">
        <v>2365</v>
      </c>
      <c r="V243" t="s">
        <v>2365</v>
      </c>
      <c r="W243" t="s">
        <v>2365</v>
      </c>
      <c r="X243" t="s">
        <v>2365</v>
      </c>
      <c r="Y243" t="s">
        <v>2365</v>
      </c>
      <c r="Z243" t="s">
        <v>2365</v>
      </c>
      <c r="AA243" t="s">
        <v>2365</v>
      </c>
      <c r="AB243" t="s">
        <v>2365</v>
      </c>
      <c r="AC243" s="813" t="s">
        <v>2365</v>
      </c>
      <c r="AD243" s="813" t="s">
        <v>2365</v>
      </c>
      <c r="AE243" s="813" t="s">
        <v>2365</v>
      </c>
      <c r="AF243" t="s">
        <v>2365</v>
      </c>
      <c r="AG243" t="s">
        <v>2365</v>
      </c>
      <c r="AH243" t="s">
        <v>2365</v>
      </c>
      <c r="AI243" t="s">
        <v>2365</v>
      </c>
      <c r="AJ243" t="s">
        <v>2365</v>
      </c>
      <c r="AK243" t="s">
        <v>2365</v>
      </c>
      <c r="AL243" t="s">
        <v>2365</v>
      </c>
      <c r="AM243" t="s">
        <v>2365</v>
      </c>
      <c r="AN243" t="s">
        <v>2365</v>
      </c>
      <c r="AR243" t="s">
        <v>2365</v>
      </c>
      <c r="AS243" t="s">
        <v>2365</v>
      </c>
      <c r="AT243" t="s">
        <v>2365</v>
      </c>
      <c r="AU243" t="s">
        <v>2365</v>
      </c>
      <c r="AV243" t="s">
        <v>2365</v>
      </c>
      <c r="AW243" t="s">
        <v>2365</v>
      </c>
      <c r="AX243" t="s">
        <v>2365</v>
      </c>
      <c r="AY243" t="s">
        <v>2365</v>
      </c>
      <c r="AZ243" t="s">
        <v>2365</v>
      </c>
      <c r="BA243" t="s">
        <v>2365</v>
      </c>
      <c r="BB243" t="s">
        <v>2365</v>
      </c>
      <c r="BC243" t="s">
        <v>2365</v>
      </c>
      <c r="BD243" t="s">
        <v>2366</v>
      </c>
      <c r="BE243" t="s">
        <v>2365</v>
      </c>
      <c r="BF243" t="s">
        <v>2365</v>
      </c>
      <c r="BG243" t="s">
        <v>2365</v>
      </c>
      <c r="BH243" t="s">
        <v>2365</v>
      </c>
      <c r="BI243" t="s">
        <v>2366</v>
      </c>
      <c r="BJ243" t="s">
        <v>2365</v>
      </c>
      <c r="BK243" t="s">
        <v>2365</v>
      </c>
      <c r="BL243" t="s">
        <v>2365</v>
      </c>
      <c r="BM243" t="s">
        <v>2365</v>
      </c>
      <c r="BN243" t="s">
        <v>2177</v>
      </c>
      <c r="BO243">
        <v>3</v>
      </c>
      <c r="BP243">
        <v>31</v>
      </c>
      <c r="BQ243" t="s">
        <v>2716</v>
      </c>
      <c r="BR243" t="s">
        <v>1485</v>
      </c>
      <c r="BU243">
        <v>108498</v>
      </c>
      <c r="BV243">
        <v>0</v>
      </c>
      <c r="BW243">
        <v>108498</v>
      </c>
      <c r="BX243">
        <v>0</v>
      </c>
      <c r="BY243">
        <v>108498</v>
      </c>
      <c r="BZ243">
        <v>115550</v>
      </c>
      <c r="CA243">
        <v>123061</v>
      </c>
      <c r="CB243">
        <v>0</v>
      </c>
      <c r="CC243">
        <v>78146.100000000006</v>
      </c>
      <c r="CD243">
        <v>0</v>
      </c>
      <c r="CE243">
        <v>0</v>
      </c>
      <c r="CF243">
        <v>0</v>
      </c>
      <c r="CG243">
        <v>166325.19</v>
      </c>
      <c r="CH243">
        <v>0</v>
      </c>
      <c r="CI243">
        <v>0</v>
      </c>
      <c r="CJ243">
        <v>0</v>
      </c>
      <c r="CK243">
        <v>0</v>
      </c>
      <c r="CL243">
        <v>0</v>
      </c>
      <c r="CM243">
        <v>0</v>
      </c>
      <c r="CR243" t="s">
        <v>2333</v>
      </c>
      <c r="CS243" s="1369" t="str">
        <f>INDEX([8]Sheet1!$H:$H,MATCH(CR:CR,[8]Sheet1!$AU:$AU,0))</f>
        <v>Municipal Manager, Town Secretary and Chief Executive</v>
      </c>
    </row>
    <row r="244" spans="1:97" x14ac:dyDescent="0.2">
      <c r="A244" t="s">
        <v>2744</v>
      </c>
      <c r="B244">
        <v>297</v>
      </c>
      <c r="C244" t="s">
        <v>2744</v>
      </c>
      <c r="D244">
        <v>41193</v>
      </c>
      <c r="E244" t="s">
        <v>2552</v>
      </c>
      <c r="F244">
        <v>2000</v>
      </c>
      <c r="G244" t="s">
        <v>652</v>
      </c>
      <c r="H244" t="s">
        <v>2553</v>
      </c>
      <c r="I244" t="s">
        <v>1378</v>
      </c>
      <c r="J244">
        <v>2008</v>
      </c>
      <c r="K244" t="s">
        <v>1378</v>
      </c>
      <c r="L244">
        <v>1100</v>
      </c>
      <c r="M244" t="s">
        <v>616</v>
      </c>
      <c r="N244">
        <v>1120</v>
      </c>
      <c r="O244" t="s">
        <v>1485</v>
      </c>
      <c r="P244" t="s">
        <v>2366</v>
      </c>
      <c r="Q244" t="s">
        <v>2364</v>
      </c>
      <c r="R244" t="s">
        <v>2364</v>
      </c>
      <c r="S244" t="s">
        <v>1881</v>
      </c>
      <c r="T244" t="s">
        <v>1812</v>
      </c>
      <c r="U244" t="s">
        <v>2365</v>
      </c>
      <c r="V244" t="s">
        <v>2365</v>
      </c>
      <c r="W244" t="s">
        <v>2365</v>
      </c>
      <c r="X244" t="s">
        <v>2365</v>
      </c>
      <c r="Y244" t="s">
        <v>2365</v>
      </c>
      <c r="Z244" t="s">
        <v>2365</v>
      </c>
      <c r="AA244" t="s">
        <v>2365</v>
      </c>
      <c r="AB244" t="s">
        <v>2365</v>
      </c>
      <c r="AC244" s="813" t="s">
        <v>2365</v>
      </c>
      <c r="AD244" s="813" t="s">
        <v>2365</v>
      </c>
      <c r="AE244" s="813" t="s">
        <v>2365</v>
      </c>
      <c r="AF244" t="s">
        <v>2365</v>
      </c>
      <c r="AG244" t="s">
        <v>2365</v>
      </c>
      <c r="AH244" t="s">
        <v>2365</v>
      </c>
      <c r="AI244" t="s">
        <v>2365</v>
      </c>
      <c r="AJ244" t="s">
        <v>2365</v>
      </c>
      <c r="AK244" t="s">
        <v>2365</v>
      </c>
      <c r="AL244" t="s">
        <v>2365</v>
      </c>
      <c r="AM244" t="s">
        <v>2365</v>
      </c>
      <c r="AN244" t="s">
        <v>2365</v>
      </c>
      <c r="AR244" t="s">
        <v>2365</v>
      </c>
      <c r="AS244" t="s">
        <v>2365</v>
      </c>
      <c r="AT244" t="s">
        <v>2365</v>
      </c>
      <c r="AU244" t="s">
        <v>2365</v>
      </c>
      <c r="AV244" t="s">
        <v>2365</v>
      </c>
      <c r="AW244" t="s">
        <v>2365</v>
      </c>
      <c r="AX244" t="s">
        <v>2365</v>
      </c>
      <c r="AY244" t="s">
        <v>2365</v>
      </c>
      <c r="AZ244" t="s">
        <v>2365</v>
      </c>
      <c r="BA244" t="s">
        <v>2365</v>
      </c>
      <c r="BB244" t="s">
        <v>2365</v>
      </c>
      <c r="BC244" t="s">
        <v>2365</v>
      </c>
      <c r="BD244" t="s">
        <v>2366</v>
      </c>
      <c r="BE244" t="s">
        <v>2365</v>
      </c>
      <c r="BF244" t="s">
        <v>2365</v>
      </c>
      <c r="BG244" t="s">
        <v>2365</v>
      </c>
      <c r="BH244" t="s">
        <v>2365</v>
      </c>
      <c r="BI244" t="s">
        <v>2366</v>
      </c>
      <c r="BJ244" t="s">
        <v>2365</v>
      </c>
      <c r="BK244" t="s">
        <v>2365</v>
      </c>
      <c r="BL244" t="s">
        <v>2365</v>
      </c>
      <c r="BM244" t="s">
        <v>2365</v>
      </c>
      <c r="BN244" t="s">
        <v>2177</v>
      </c>
      <c r="BO244">
        <v>3</v>
      </c>
      <c r="BP244">
        <v>31</v>
      </c>
      <c r="BQ244" t="s">
        <v>2716</v>
      </c>
      <c r="BR244" t="s">
        <v>1485</v>
      </c>
      <c r="BU244">
        <v>114880</v>
      </c>
      <c r="BV244">
        <v>0</v>
      </c>
      <c r="BW244">
        <v>114880</v>
      </c>
      <c r="BX244">
        <v>0</v>
      </c>
      <c r="BY244">
        <v>114880</v>
      </c>
      <c r="BZ244">
        <v>122347</v>
      </c>
      <c r="CA244">
        <v>130299</v>
      </c>
      <c r="CB244">
        <v>0</v>
      </c>
      <c r="CC244">
        <v>8929.02</v>
      </c>
      <c r="CD244">
        <v>8929.02</v>
      </c>
      <c r="CE244">
        <v>8929.02</v>
      </c>
      <c r="CF244">
        <v>8929.02</v>
      </c>
      <c r="CG244">
        <v>8929.02</v>
      </c>
      <c r="CH244">
        <v>8929.02</v>
      </c>
      <c r="CI244">
        <v>0</v>
      </c>
      <c r="CJ244">
        <v>0</v>
      </c>
      <c r="CK244">
        <v>0</v>
      </c>
      <c r="CL244">
        <v>0</v>
      </c>
      <c r="CM244">
        <v>0</v>
      </c>
      <c r="CR244" t="s">
        <v>2333</v>
      </c>
      <c r="CS244" s="1369" t="str">
        <f>INDEX([8]Sheet1!$H:$H,MATCH(CR:CR,[8]Sheet1!$AU:$AU,0))</f>
        <v>Municipal Manager, Town Secretary and Chief Executive</v>
      </c>
    </row>
    <row r="245" spans="1:97" x14ac:dyDescent="0.2">
      <c r="A245" t="s">
        <v>2745</v>
      </c>
      <c r="B245">
        <v>298</v>
      </c>
      <c r="C245" t="s">
        <v>2745</v>
      </c>
      <c r="D245">
        <v>41194</v>
      </c>
      <c r="E245" t="s">
        <v>2555</v>
      </c>
      <c r="F245">
        <v>2000</v>
      </c>
      <c r="G245" t="s">
        <v>652</v>
      </c>
      <c r="H245" t="s">
        <v>2556</v>
      </c>
      <c r="I245" t="s">
        <v>1377</v>
      </c>
      <c r="J245">
        <v>2007</v>
      </c>
      <c r="K245" t="s">
        <v>1377</v>
      </c>
      <c r="L245">
        <v>1100</v>
      </c>
      <c r="M245" t="s">
        <v>616</v>
      </c>
      <c r="N245">
        <v>1120</v>
      </c>
      <c r="O245" t="s">
        <v>1485</v>
      </c>
      <c r="P245" t="s">
        <v>2366</v>
      </c>
      <c r="Q245" t="s">
        <v>2364</v>
      </c>
      <c r="R245" t="s">
        <v>2364</v>
      </c>
      <c r="S245" t="s">
        <v>1881</v>
      </c>
      <c r="T245" t="s">
        <v>1812</v>
      </c>
      <c r="U245" t="s">
        <v>2365</v>
      </c>
      <c r="V245" t="s">
        <v>2365</v>
      </c>
      <c r="W245" t="s">
        <v>2365</v>
      </c>
      <c r="X245" t="s">
        <v>2365</v>
      </c>
      <c r="Y245" t="s">
        <v>2365</v>
      </c>
      <c r="Z245" t="s">
        <v>2365</v>
      </c>
      <c r="AA245" t="s">
        <v>2365</v>
      </c>
      <c r="AB245" t="s">
        <v>2365</v>
      </c>
      <c r="AC245" s="813" t="s">
        <v>2365</v>
      </c>
      <c r="AD245" s="813" t="s">
        <v>2365</v>
      </c>
      <c r="AE245" s="813" t="s">
        <v>2365</v>
      </c>
      <c r="AF245" t="s">
        <v>2365</v>
      </c>
      <c r="AG245" t="s">
        <v>2365</v>
      </c>
      <c r="AH245" t="s">
        <v>2365</v>
      </c>
      <c r="AI245" t="s">
        <v>2365</v>
      </c>
      <c r="AJ245" t="s">
        <v>2365</v>
      </c>
      <c r="AK245" s="1373" t="s">
        <v>2365</v>
      </c>
      <c r="AL245" t="s">
        <v>2365</v>
      </c>
      <c r="AM245" t="s">
        <v>2365</v>
      </c>
      <c r="AN245" t="s">
        <v>2365</v>
      </c>
      <c r="AR245" t="s">
        <v>2365</v>
      </c>
      <c r="AS245" t="s">
        <v>2365</v>
      </c>
      <c r="AT245" t="s">
        <v>2365</v>
      </c>
      <c r="AU245" t="s">
        <v>2365</v>
      </c>
      <c r="AV245" t="s">
        <v>2365</v>
      </c>
      <c r="AW245" t="s">
        <v>2365</v>
      </c>
      <c r="AX245" t="s">
        <v>2365</v>
      </c>
      <c r="AY245" t="s">
        <v>2365</v>
      </c>
      <c r="AZ245" t="s">
        <v>2365</v>
      </c>
      <c r="BA245" t="s">
        <v>2365</v>
      </c>
      <c r="BB245" t="s">
        <v>2365</v>
      </c>
      <c r="BC245" t="s">
        <v>2365</v>
      </c>
      <c r="BD245" t="s">
        <v>2366</v>
      </c>
      <c r="BE245" t="s">
        <v>2365</v>
      </c>
      <c r="BF245" t="s">
        <v>2365</v>
      </c>
      <c r="BG245" t="s">
        <v>2365</v>
      </c>
      <c r="BH245" t="s">
        <v>2365</v>
      </c>
      <c r="BI245" t="s">
        <v>2366</v>
      </c>
      <c r="BJ245" t="s">
        <v>2365</v>
      </c>
      <c r="BK245" t="s">
        <v>2365</v>
      </c>
      <c r="BL245" t="s">
        <v>2365</v>
      </c>
      <c r="BM245" t="s">
        <v>2365</v>
      </c>
      <c r="BN245" t="s">
        <v>2177</v>
      </c>
      <c r="BO245">
        <v>3</v>
      </c>
      <c r="BP245">
        <v>31</v>
      </c>
      <c r="BQ245" t="s">
        <v>2716</v>
      </c>
      <c r="BR245" t="s">
        <v>1485</v>
      </c>
      <c r="BU245">
        <v>6000</v>
      </c>
      <c r="BV245">
        <v>0</v>
      </c>
      <c r="BW245">
        <v>6000</v>
      </c>
      <c r="BX245">
        <v>0</v>
      </c>
      <c r="BY245">
        <v>6000</v>
      </c>
      <c r="BZ245">
        <v>6390</v>
      </c>
      <c r="CA245">
        <v>6805</v>
      </c>
      <c r="CB245">
        <v>0</v>
      </c>
      <c r="CC245">
        <v>4200</v>
      </c>
      <c r="CD245">
        <v>0</v>
      </c>
      <c r="CE245">
        <v>568.12</v>
      </c>
      <c r="CF245">
        <v>0</v>
      </c>
      <c r="CG245">
        <v>0</v>
      </c>
      <c r="CH245">
        <v>0</v>
      </c>
      <c r="CI245">
        <v>0</v>
      </c>
      <c r="CJ245">
        <v>0</v>
      </c>
      <c r="CK245">
        <v>0</v>
      </c>
      <c r="CL245">
        <v>0</v>
      </c>
      <c r="CM245">
        <v>0</v>
      </c>
      <c r="CR245" t="s">
        <v>2333</v>
      </c>
      <c r="CS245" s="1369" t="str">
        <f>INDEX([8]Sheet1!$H:$H,MATCH(CR:CR,[8]Sheet1!$AU:$AU,0))</f>
        <v>Municipal Manager, Town Secretary and Chief Executive</v>
      </c>
    </row>
    <row r="246" spans="1:97" x14ac:dyDescent="0.2">
      <c r="A246" t="s">
        <v>2746</v>
      </c>
      <c r="B246">
        <v>299</v>
      </c>
      <c r="C246" t="s">
        <v>2746</v>
      </c>
      <c r="D246">
        <v>41195</v>
      </c>
      <c r="E246" t="s">
        <v>2558</v>
      </c>
      <c r="F246">
        <v>2000</v>
      </c>
      <c r="G246" t="s">
        <v>652</v>
      </c>
      <c r="H246" t="s">
        <v>2559</v>
      </c>
      <c r="I246" t="s">
        <v>1376</v>
      </c>
      <c r="J246">
        <v>2006</v>
      </c>
      <c r="K246" t="s">
        <v>1376</v>
      </c>
      <c r="L246">
        <v>1100</v>
      </c>
      <c r="M246" t="s">
        <v>616</v>
      </c>
      <c r="N246">
        <v>1120</v>
      </c>
      <c r="O246" t="s">
        <v>1485</v>
      </c>
      <c r="P246" t="s">
        <v>2366</v>
      </c>
      <c r="Q246" t="s">
        <v>2364</v>
      </c>
      <c r="R246" t="s">
        <v>2364</v>
      </c>
      <c r="S246" t="s">
        <v>1881</v>
      </c>
      <c r="T246" t="s">
        <v>1812</v>
      </c>
      <c r="U246" t="s">
        <v>2365</v>
      </c>
      <c r="V246" t="s">
        <v>2365</v>
      </c>
      <c r="W246" t="s">
        <v>2365</v>
      </c>
      <c r="X246" t="s">
        <v>2365</v>
      </c>
      <c r="Y246" t="s">
        <v>2365</v>
      </c>
      <c r="Z246" t="s">
        <v>2365</v>
      </c>
      <c r="AA246" t="s">
        <v>2365</v>
      </c>
      <c r="AB246" t="s">
        <v>2365</v>
      </c>
      <c r="AC246" s="813" t="s">
        <v>2365</v>
      </c>
      <c r="AD246" s="813" t="s">
        <v>2365</v>
      </c>
      <c r="AE246" s="813" t="s">
        <v>2365</v>
      </c>
      <c r="AF246" t="s">
        <v>2365</v>
      </c>
      <c r="AG246" t="s">
        <v>2365</v>
      </c>
      <c r="AH246" t="s">
        <v>2365</v>
      </c>
      <c r="AI246" t="s">
        <v>2365</v>
      </c>
      <c r="AJ246" t="s">
        <v>2365</v>
      </c>
      <c r="AK246" t="s">
        <v>2365</v>
      </c>
      <c r="AL246" t="s">
        <v>2365</v>
      </c>
      <c r="AM246" t="s">
        <v>2365</v>
      </c>
      <c r="AN246" t="s">
        <v>2365</v>
      </c>
      <c r="AR246" t="s">
        <v>2365</v>
      </c>
      <c r="AS246" t="s">
        <v>2365</v>
      </c>
      <c r="AT246" t="s">
        <v>2365</v>
      </c>
      <c r="AU246" t="s">
        <v>2365</v>
      </c>
      <c r="AV246" t="s">
        <v>2365</v>
      </c>
      <c r="AW246" t="s">
        <v>2365</v>
      </c>
      <c r="AX246" t="s">
        <v>2365</v>
      </c>
      <c r="AY246" t="s">
        <v>2365</v>
      </c>
      <c r="AZ246" t="s">
        <v>2365</v>
      </c>
      <c r="BA246" t="s">
        <v>2365</v>
      </c>
      <c r="BB246" t="s">
        <v>2365</v>
      </c>
      <c r="BC246" t="s">
        <v>2365</v>
      </c>
      <c r="BD246" t="s">
        <v>2366</v>
      </c>
      <c r="BE246" t="s">
        <v>2365</v>
      </c>
      <c r="BF246" t="s">
        <v>2365</v>
      </c>
      <c r="BG246" t="s">
        <v>2365</v>
      </c>
      <c r="BH246" t="s">
        <v>2365</v>
      </c>
      <c r="BI246" t="s">
        <v>2366</v>
      </c>
      <c r="BJ246" t="s">
        <v>2365</v>
      </c>
      <c r="BK246" t="s">
        <v>2365</v>
      </c>
      <c r="BL246" t="s">
        <v>2365</v>
      </c>
      <c r="BM246" t="s">
        <v>2365</v>
      </c>
      <c r="BN246" t="s">
        <v>2177</v>
      </c>
      <c r="BO246">
        <v>3</v>
      </c>
      <c r="BP246">
        <v>31</v>
      </c>
      <c r="BQ246" t="s">
        <v>2716</v>
      </c>
      <c r="BR246" t="s">
        <v>1485</v>
      </c>
      <c r="BU246">
        <v>0</v>
      </c>
      <c r="BV246">
        <v>0</v>
      </c>
      <c r="BW246">
        <v>0</v>
      </c>
      <c r="BX246">
        <v>0</v>
      </c>
      <c r="BY246">
        <v>0</v>
      </c>
      <c r="BZ246">
        <v>0</v>
      </c>
      <c r="CA246">
        <v>0</v>
      </c>
      <c r="CB246">
        <v>0</v>
      </c>
      <c r="CC246">
        <v>13981.35</v>
      </c>
      <c r="CD246">
        <v>14481.35</v>
      </c>
      <c r="CE246">
        <v>14481.35</v>
      </c>
      <c r="CF246">
        <v>14481.35</v>
      </c>
      <c r="CG246">
        <v>14481.35</v>
      </c>
      <c r="CH246">
        <v>14481.35</v>
      </c>
      <c r="CI246">
        <v>0</v>
      </c>
      <c r="CJ246">
        <v>0</v>
      </c>
      <c r="CK246">
        <v>0</v>
      </c>
      <c r="CL246">
        <v>0</v>
      </c>
      <c r="CM246">
        <v>0</v>
      </c>
      <c r="CR246" t="s">
        <v>2333</v>
      </c>
      <c r="CS246" s="1369" t="str">
        <f>INDEX([8]Sheet1!$H:$H,MATCH(CR:CR,[8]Sheet1!$AU:$AU,0))</f>
        <v>Municipal Manager, Town Secretary and Chief Executive</v>
      </c>
    </row>
    <row r="247" spans="1:97" x14ac:dyDescent="0.2">
      <c r="A247" t="s">
        <v>2747</v>
      </c>
      <c r="B247">
        <v>300</v>
      </c>
      <c r="C247" t="s">
        <v>2747</v>
      </c>
      <c r="D247">
        <v>41196</v>
      </c>
      <c r="E247" t="s">
        <v>2461</v>
      </c>
      <c r="F247">
        <v>2000</v>
      </c>
      <c r="G247" t="s">
        <v>652</v>
      </c>
      <c r="H247" t="s">
        <v>2462</v>
      </c>
      <c r="I247" t="s">
        <v>203</v>
      </c>
      <c r="J247">
        <v>2001</v>
      </c>
      <c r="K247" t="s">
        <v>203</v>
      </c>
      <c r="L247">
        <v>1100</v>
      </c>
      <c r="M247" t="s">
        <v>616</v>
      </c>
      <c r="N247">
        <v>1120</v>
      </c>
      <c r="O247" t="s">
        <v>1485</v>
      </c>
      <c r="P247" t="s">
        <v>2366</v>
      </c>
      <c r="Q247" t="s">
        <v>2364</v>
      </c>
      <c r="R247" t="s">
        <v>2364</v>
      </c>
      <c r="S247" t="s">
        <v>1881</v>
      </c>
      <c r="T247" t="s">
        <v>1812</v>
      </c>
      <c r="U247" t="s">
        <v>2365</v>
      </c>
      <c r="V247" t="s">
        <v>2365</v>
      </c>
      <c r="W247" t="s">
        <v>2365</v>
      </c>
      <c r="X247" t="s">
        <v>2365</v>
      </c>
      <c r="Y247" t="s">
        <v>2365</v>
      </c>
      <c r="Z247" t="s">
        <v>2365</v>
      </c>
      <c r="AA247" t="s">
        <v>2365</v>
      </c>
      <c r="AB247" t="s">
        <v>2365</v>
      </c>
      <c r="AC247" s="813" t="s">
        <v>2365</v>
      </c>
      <c r="AD247" s="813" t="s">
        <v>2365</v>
      </c>
      <c r="AE247" s="813" t="s">
        <v>2365</v>
      </c>
      <c r="AF247" t="s">
        <v>2365</v>
      </c>
      <c r="AG247" t="s">
        <v>2365</v>
      </c>
      <c r="AH247" t="s">
        <v>2365</v>
      </c>
      <c r="AI247" t="s">
        <v>2365</v>
      </c>
      <c r="AJ247" t="s">
        <v>2365</v>
      </c>
      <c r="AK247" t="s">
        <v>2365</v>
      </c>
      <c r="AL247" t="s">
        <v>2365</v>
      </c>
      <c r="AM247" t="s">
        <v>2365</v>
      </c>
      <c r="AN247" t="s">
        <v>2365</v>
      </c>
      <c r="AR247" t="s">
        <v>2365</v>
      </c>
      <c r="AS247" t="s">
        <v>2365</v>
      </c>
      <c r="AT247" t="s">
        <v>2365</v>
      </c>
      <c r="AU247" t="s">
        <v>2365</v>
      </c>
      <c r="AV247" t="s">
        <v>2365</v>
      </c>
      <c r="AW247" t="s">
        <v>2365</v>
      </c>
      <c r="AX247" t="s">
        <v>2365</v>
      </c>
      <c r="AY247" t="s">
        <v>2365</v>
      </c>
      <c r="AZ247" t="s">
        <v>2365</v>
      </c>
      <c r="BA247" t="s">
        <v>2365</v>
      </c>
      <c r="BB247" t="s">
        <v>2365</v>
      </c>
      <c r="BC247" t="s">
        <v>2365</v>
      </c>
      <c r="BD247" t="s">
        <v>2366</v>
      </c>
      <c r="BE247" t="s">
        <v>2365</v>
      </c>
      <c r="BF247" t="s">
        <v>2365</v>
      </c>
      <c r="BG247" t="s">
        <v>2365</v>
      </c>
      <c r="BH247" t="s">
        <v>2365</v>
      </c>
      <c r="BI247" t="s">
        <v>2366</v>
      </c>
      <c r="BJ247" t="s">
        <v>2365</v>
      </c>
      <c r="BK247" t="s">
        <v>2365</v>
      </c>
      <c r="BL247" t="s">
        <v>2365</v>
      </c>
      <c r="BM247" t="s">
        <v>2365</v>
      </c>
      <c r="BN247" t="s">
        <v>2177</v>
      </c>
      <c r="BO247">
        <v>3</v>
      </c>
      <c r="BP247">
        <v>31</v>
      </c>
      <c r="BQ247" t="s">
        <v>2716</v>
      </c>
      <c r="BR247" t="s">
        <v>1485</v>
      </c>
      <c r="BU247">
        <v>3139590</v>
      </c>
      <c r="BV247">
        <v>0</v>
      </c>
      <c r="BW247">
        <v>3139590</v>
      </c>
      <c r="BX247">
        <v>0</v>
      </c>
      <c r="BY247">
        <v>3139590</v>
      </c>
      <c r="BZ247">
        <v>3343663</v>
      </c>
      <c r="CA247">
        <v>3561001</v>
      </c>
      <c r="CB247">
        <v>8929.02</v>
      </c>
      <c r="CC247">
        <v>223588</v>
      </c>
      <c r="CD247">
        <v>168783.99000000002</v>
      </c>
      <c r="CE247">
        <v>168783.99000000002</v>
      </c>
      <c r="CF247">
        <v>178122.58</v>
      </c>
      <c r="CG247">
        <v>178122.58</v>
      </c>
      <c r="CH247">
        <v>219098.16</v>
      </c>
      <c r="CI247">
        <v>0</v>
      </c>
      <c r="CJ247">
        <v>0</v>
      </c>
      <c r="CK247">
        <v>0</v>
      </c>
      <c r="CL247">
        <v>0</v>
      </c>
      <c r="CM247">
        <v>0</v>
      </c>
      <c r="CR247" t="s">
        <v>2333</v>
      </c>
      <c r="CS247" s="1369" t="str">
        <f>INDEX([8]Sheet1!$H:$H,MATCH(CR:CR,[8]Sheet1!$AU:$AU,0))</f>
        <v>Municipal Manager, Town Secretary and Chief Executive</v>
      </c>
    </row>
    <row r="248" spans="1:97" x14ac:dyDescent="0.2">
      <c r="A248" t="s">
        <v>2748</v>
      </c>
      <c r="B248">
        <v>301</v>
      </c>
      <c r="C248" t="s">
        <v>2748</v>
      </c>
      <c r="D248">
        <v>41197</v>
      </c>
      <c r="E248" t="s">
        <v>2562</v>
      </c>
      <c r="F248">
        <v>2000</v>
      </c>
      <c r="G248" t="s">
        <v>652</v>
      </c>
      <c r="H248" t="s">
        <v>2563</v>
      </c>
      <c r="I248" t="s">
        <v>1160</v>
      </c>
      <c r="J248">
        <v>2012</v>
      </c>
      <c r="K248" t="s">
        <v>1160</v>
      </c>
      <c r="L248">
        <v>1100</v>
      </c>
      <c r="M248" t="s">
        <v>616</v>
      </c>
      <c r="N248">
        <v>1120</v>
      </c>
      <c r="O248" t="s">
        <v>1485</v>
      </c>
      <c r="P248" t="s">
        <v>2366</v>
      </c>
      <c r="Q248" t="s">
        <v>2364</v>
      </c>
      <c r="R248" t="s">
        <v>2364</v>
      </c>
      <c r="S248" t="s">
        <v>1881</v>
      </c>
      <c r="T248" t="s">
        <v>1812</v>
      </c>
      <c r="U248" t="s">
        <v>2365</v>
      </c>
      <c r="V248" t="s">
        <v>2365</v>
      </c>
      <c r="W248" t="s">
        <v>2365</v>
      </c>
      <c r="X248" t="s">
        <v>2365</v>
      </c>
      <c r="Y248" t="s">
        <v>2365</v>
      </c>
      <c r="Z248" t="s">
        <v>2365</v>
      </c>
      <c r="AA248" t="s">
        <v>2365</v>
      </c>
      <c r="AB248" t="s">
        <v>2365</v>
      </c>
      <c r="AC248" s="813" t="s">
        <v>2365</v>
      </c>
      <c r="AD248" s="813" t="s">
        <v>2365</v>
      </c>
      <c r="AE248" s="813" t="s">
        <v>2365</v>
      </c>
      <c r="AF248" t="s">
        <v>2365</v>
      </c>
      <c r="AG248" t="s">
        <v>2365</v>
      </c>
      <c r="AH248" t="s">
        <v>2365</v>
      </c>
      <c r="AI248" t="s">
        <v>2365</v>
      </c>
      <c r="AJ248" t="s">
        <v>2365</v>
      </c>
      <c r="AK248" t="s">
        <v>2365</v>
      </c>
      <c r="AL248" t="s">
        <v>2365</v>
      </c>
      <c r="AM248" t="s">
        <v>2365</v>
      </c>
      <c r="AN248" t="s">
        <v>2365</v>
      </c>
      <c r="AR248" t="s">
        <v>2365</v>
      </c>
      <c r="AS248" t="s">
        <v>2365</v>
      </c>
      <c r="AT248" t="s">
        <v>2365</v>
      </c>
      <c r="AU248" t="s">
        <v>2365</v>
      </c>
      <c r="AV248" t="s">
        <v>2365</v>
      </c>
      <c r="AW248" t="s">
        <v>2365</v>
      </c>
      <c r="AX248" t="s">
        <v>2365</v>
      </c>
      <c r="AY248" t="s">
        <v>2365</v>
      </c>
      <c r="AZ248" t="s">
        <v>2365</v>
      </c>
      <c r="BA248" t="s">
        <v>2365</v>
      </c>
      <c r="BB248" t="s">
        <v>2365</v>
      </c>
      <c r="BC248" t="s">
        <v>2365</v>
      </c>
      <c r="BD248" t="s">
        <v>2366</v>
      </c>
      <c r="BE248" t="s">
        <v>2365</v>
      </c>
      <c r="BF248" t="s">
        <v>2365</v>
      </c>
      <c r="BG248" t="s">
        <v>2365</v>
      </c>
      <c r="BH248" t="s">
        <v>2365</v>
      </c>
      <c r="BI248" t="s">
        <v>2366</v>
      </c>
      <c r="BJ248" t="s">
        <v>2365</v>
      </c>
      <c r="BK248" t="s">
        <v>2365</v>
      </c>
      <c r="BL248" t="s">
        <v>2365</v>
      </c>
      <c r="BM248" t="s">
        <v>2365</v>
      </c>
      <c r="BN248" t="s">
        <v>2177</v>
      </c>
      <c r="BO248">
        <v>3</v>
      </c>
      <c r="BP248">
        <v>31</v>
      </c>
      <c r="BQ248" t="s">
        <v>2716</v>
      </c>
      <c r="BR248" t="s">
        <v>1485</v>
      </c>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R248" t="s">
        <v>2333</v>
      </c>
      <c r="CS248" s="1369" t="str">
        <f>INDEX([8]Sheet1!$H:$H,MATCH(CR:CR,[8]Sheet1!$AU:$AU,0))</f>
        <v>Municipal Manager, Town Secretary and Chief Executive</v>
      </c>
    </row>
    <row r="249" spans="1:97" x14ac:dyDescent="0.2">
      <c r="A249" t="s">
        <v>2749</v>
      </c>
      <c r="B249">
        <v>302</v>
      </c>
      <c r="C249" t="s">
        <v>2749</v>
      </c>
      <c r="D249">
        <v>41440</v>
      </c>
      <c r="E249" t="s">
        <v>2750</v>
      </c>
      <c r="F249">
        <v>2000</v>
      </c>
      <c r="G249" t="s">
        <v>652</v>
      </c>
      <c r="H249" t="s">
        <v>2531</v>
      </c>
      <c r="I249" t="s">
        <v>1185</v>
      </c>
      <c r="J249">
        <v>2009</v>
      </c>
      <c r="K249" t="s">
        <v>1185</v>
      </c>
      <c r="L249">
        <v>1100</v>
      </c>
      <c r="M249" t="s">
        <v>616</v>
      </c>
      <c r="N249">
        <v>1120</v>
      </c>
      <c r="O249" t="s">
        <v>1485</v>
      </c>
      <c r="P249" t="s">
        <v>2366</v>
      </c>
      <c r="Q249" t="s">
        <v>2364</v>
      </c>
      <c r="R249" t="s">
        <v>2364</v>
      </c>
      <c r="S249" t="s">
        <v>1881</v>
      </c>
      <c r="T249" t="s">
        <v>1812</v>
      </c>
      <c r="U249" t="s">
        <v>2365</v>
      </c>
      <c r="V249" t="s">
        <v>2365</v>
      </c>
      <c r="W249" t="s">
        <v>2365</v>
      </c>
      <c r="X249" t="s">
        <v>2365</v>
      </c>
      <c r="Y249" t="s">
        <v>2365</v>
      </c>
      <c r="Z249" t="s">
        <v>2365</v>
      </c>
      <c r="AA249" t="s">
        <v>2365</v>
      </c>
      <c r="AB249" t="s">
        <v>2365</v>
      </c>
      <c r="AC249" s="813" t="s">
        <v>2365</v>
      </c>
      <c r="AD249" s="813" t="s">
        <v>2365</v>
      </c>
      <c r="AE249" s="813" t="s">
        <v>2365</v>
      </c>
      <c r="AF249" t="s">
        <v>2365</v>
      </c>
      <c r="AG249" t="s">
        <v>2365</v>
      </c>
      <c r="AH249" t="s">
        <v>2365</v>
      </c>
      <c r="AI249" t="s">
        <v>2365</v>
      </c>
      <c r="AJ249" t="s">
        <v>2365</v>
      </c>
      <c r="AK249" t="s">
        <v>2365</v>
      </c>
      <c r="AL249" t="s">
        <v>2365</v>
      </c>
      <c r="AM249" t="s">
        <v>2365</v>
      </c>
      <c r="AN249" t="s">
        <v>2365</v>
      </c>
      <c r="AR249" t="s">
        <v>2365</v>
      </c>
      <c r="AS249" t="s">
        <v>2365</v>
      </c>
      <c r="AT249" t="s">
        <v>2365</v>
      </c>
      <c r="AU249" t="s">
        <v>2365</v>
      </c>
      <c r="AV249" t="s">
        <v>2365</v>
      </c>
      <c r="AW249" t="s">
        <v>2365</v>
      </c>
      <c r="AX249" t="s">
        <v>2365</v>
      </c>
      <c r="AY249" t="s">
        <v>2365</v>
      </c>
      <c r="AZ249" t="s">
        <v>2365</v>
      </c>
      <c r="BA249" t="s">
        <v>2365</v>
      </c>
      <c r="BB249" t="s">
        <v>2365</v>
      </c>
      <c r="BC249" t="s">
        <v>2365</v>
      </c>
      <c r="BD249" t="s">
        <v>2366</v>
      </c>
      <c r="BE249" t="s">
        <v>2365</v>
      </c>
      <c r="BF249" t="s">
        <v>2365</v>
      </c>
      <c r="BG249" t="s">
        <v>2365</v>
      </c>
      <c r="BH249" t="s">
        <v>2365</v>
      </c>
      <c r="BI249" t="s">
        <v>2366</v>
      </c>
      <c r="BJ249" t="s">
        <v>2365</v>
      </c>
      <c r="BK249" t="s">
        <v>2365</v>
      </c>
      <c r="BL249" t="s">
        <v>2365</v>
      </c>
      <c r="BM249" t="s">
        <v>2365</v>
      </c>
      <c r="BN249" t="s">
        <v>2176</v>
      </c>
      <c r="BO249">
        <v>3</v>
      </c>
      <c r="BP249">
        <v>31</v>
      </c>
      <c r="BQ249" t="s">
        <v>2716</v>
      </c>
      <c r="BR249" t="s">
        <v>1485</v>
      </c>
      <c r="BU249">
        <v>71</v>
      </c>
      <c r="BV249">
        <v>0</v>
      </c>
      <c r="BW249">
        <v>71</v>
      </c>
      <c r="BX249">
        <v>0</v>
      </c>
      <c r="BY249">
        <v>71</v>
      </c>
      <c r="BZ249">
        <v>76</v>
      </c>
      <c r="CA249">
        <v>81</v>
      </c>
      <c r="CB249">
        <v>3907.83</v>
      </c>
      <c r="CC249">
        <v>0</v>
      </c>
      <c r="CD249">
        <v>0</v>
      </c>
      <c r="CE249">
        <v>0</v>
      </c>
      <c r="CF249">
        <v>0</v>
      </c>
      <c r="CG249">
        <v>0</v>
      </c>
      <c r="CH249">
        <v>0</v>
      </c>
      <c r="CI249">
        <v>0</v>
      </c>
      <c r="CJ249">
        <v>0</v>
      </c>
      <c r="CK249">
        <v>0</v>
      </c>
      <c r="CL249">
        <v>0</v>
      </c>
      <c r="CM249">
        <v>0</v>
      </c>
      <c r="CR249" t="s">
        <v>2333</v>
      </c>
      <c r="CS249" s="1369" t="str">
        <f>INDEX([8]Sheet1!$H:$H,MATCH(CR:CR,[8]Sheet1!$AU:$AU,0))</f>
        <v>Municipal Manager, Town Secretary and Chief Executive</v>
      </c>
    </row>
    <row r="250" spans="1:97" x14ac:dyDescent="0.2">
      <c r="A250" t="s">
        <v>2751</v>
      </c>
      <c r="B250">
        <v>303</v>
      </c>
      <c r="C250" t="s">
        <v>2751</v>
      </c>
      <c r="D250">
        <v>41441</v>
      </c>
      <c r="E250" t="s">
        <v>2752</v>
      </c>
      <c r="F250">
        <v>2000</v>
      </c>
      <c r="G250" t="s">
        <v>652</v>
      </c>
      <c r="H250" t="s">
        <v>2534</v>
      </c>
      <c r="I250" t="s">
        <v>196</v>
      </c>
      <c r="J250">
        <v>2003</v>
      </c>
      <c r="K250" t="s">
        <v>196</v>
      </c>
      <c r="L250">
        <v>1100</v>
      </c>
      <c r="M250" t="s">
        <v>616</v>
      </c>
      <c r="N250">
        <v>1120</v>
      </c>
      <c r="O250" t="s">
        <v>1485</v>
      </c>
      <c r="P250" t="s">
        <v>2366</v>
      </c>
      <c r="Q250" t="s">
        <v>2364</v>
      </c>
      <c r="R250" t="s">
        <v>2364</v>
      </c>
      <c r="S250" t="s">
        <v>1881</v>
      </c>
      <c r="T250" t="s">
        <v>1812</v>
      </c>
      <c r="U250" t="s">
        <v>2365</v>
      </c>
      <c r="V250" t="s">
        <v>2365</v>
      </c>
      <c r="W250" t="s">
        <v>2365</v>
      </c>
      <c r="X250" t="s">
        <v>2365</v>
      </c>
      <c r="Y250" t="s">
        <v>2365</v>
      </c>
      <c r="Z250" t="s">
        <v>2365</v>
      </c>
      <c r="AA250" t="s">
        <v>2365</v>
      </c>
      <c r="AB250" t="s">
        <v>2365</v>
      </c>
      <c r="AC250" s="813" t="s">
        <v>2365</v>
      </c>
      <c r="AD250" s="813" t="s">
        <v>2365</v>
      </c>
      <c r="AE250" s="813" t="s">
        <v>2365</v>
      </c>
      <c r="AF250" t="s">
        <v>2365</v>
      </c>
      <c r="AG250" t="s">
        <v>2365</v>
      </c>
      <c r="AH250" t="s">
        <v>2365</v>
      </c>
      <c r="AI250" t="s">
        <v>2365</v>
      </c>
      <c r="AJ250" t="s">
        <v>2365</v>
      </c>
      <c r="AK250" t="s">
        <v>2365</v>
      </c>
      <c r="AL250" t="s">
        <v>2365</v>
      </c>
      <c r="AM250" t="s">
        <v>2365</v>
      </c>
      <c r="AN250" t="s">
        <v>2365</v>
      </c>
      <c r="AR250" t="s">
        <v>2365</v>
      </c>
      <c r="AS250" t="s">
        <v>2365</v>
      </c>
      <c r="AT250" t="s">
        <v>2365</v>
      </c>
      <c r="AU250" t="s">
        <v>2365</v>
      </c>
      <c r="AV250" t="s">
        <v>2365</v>
      </c>
      <c r="AW250" t="s">
        <v>2365</v>
      </c>
      <c r="AX250" t="s">
        <v>2365</v>
      </c>
      <c r="AY250" t="s">
        <v>2365</v>
      </c>
      <c r="AZ250" t="s">
        <v>2365</v>
      </c>
      <c r="BA250" t="s">
        <v>2365</v>
      </c>
      <c r="BB250" t="s">
        <v>2365</v>
      </c>
      <c r="BC250" t="s">
        <v>2365</v>
      </c>
      <c r="BD250" t="s">
        <v>2366</v>
      </c>
      <c r="BE250" t="s">
        <v>2365</v>
      </c>
      <c r="BF250" t="s">
        <v>2365</v>
      </c>
      <c r="BG250" t="s">
        <v>2365</v>
      </c>
      <c r="BH250" t="s">
        <v>2365</v>
      </c>
      <c r="BI250" t="s">
        <v>2366</v>
      </c>
      <c r="BJ250" t="s">
        <v>2365</v>
      </c>
      <c r="BK250" t="s">
        <v>2365</v>
      </c>
      <c r="BL250" t="s">
        <v>2365</v>
      </c>
      <c r="BM250" t="s">
        <v>2365</v>
      </c>
      <c r="BN250" t="s">
        <v>2176</v>
      </c>
      <c r="BO250">
        <v>3</v>
      </c>
      <c r="BP250">
        <v>31</v>
      </c>
      <c r="BQ250" t="s">
        <v>2716</v>
      </c>
      <c r="BR250" t="s">
        <v>1485</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R250" t="s">
        <v>2333</v>
      </c>
      <c r="CS250" s="1369" t="str">
        <f>INDEX([8]Sheet1!$H:$H,MATCH(CR:CR,[8]Sheet1!$AU:$AU,0))</f>
        <v>Municipal Manager, Town Secretary and Chief Executive</v>
      </c>
    </row>
    <row r="251" spans="1:97" x14ac:dyDescent="0.2">
      <c r="A251" t="s">
        <v>2753</v>
      </c>
      <c r="B251">
        <v>304</v>
      </c>
      <c r="C251" t="s">
        <v>2753</v>
      </c>
      <c r="D251">
        <v>41442</v>
      </c>
      <c r="E251" t="s">
        <v>2754</v>
      </c>
      <c r="F251">
        <v>2000</v>
      </c>
      <c r="G251" t="s">
        <v>652</v>
      </c>
      <c r="H251" t="s">
        <v>2472</v>
      </c>
      <c r="I251" t="s">
        <v>1375</v>
      </c>
      <c r="J251">
        <v>2002</v>
      </c>
      <c r="K251" t="s">
        <v>1375</v>
      </c>
      <c r="L251">
        <v>1100</v>
      </c>
      <c r="M251" t="s">
        <v>616</v>
      </c>
      <c r="N251">
        <v>1120</v>
      </c>
      <c r="O251" t="s">
        <v>1485</v>
      </c>
      <c r="P251" t="s">
        <v>2366</v>
      </c>
      <c r="Q251" t="s">
        <v>2364</v>
      </c>
      <c r="R251" t="s">
        <v>2364</v>
      </c>
      <c r="S251" t="s">
        <v>1881</v>
      </c>
      <c r="T251" t="s">
        <v>1812</v>
      </c>
      <c r="U251" t="s">
        <v>2365</v>
      </c>
      <c r="V251" t="s">
        <v>2365</v>
      </c>
      <c r="W251" t="s">
        <v>2365</v>
      </c>
      <c r="X251" t="s">
        <v>2365</v>
      </c>
      <c r="Y251" t="s">
        <v>2365</v>
      </c>
      <c r="Z251" t="s">
        <v>2365</v>
      </c>
      <c r="AA251" t="s">
        <v>2365</v>
      </c>
      <c r="AB251" t="s">
        <v>2365</v>
      </c>
      <c r="AC251" s="813" t="s">
        <v>2365</v>
      </c>
      <c r="AD251" s="813" t="s">
        <v>2365</v>
      </c>
      <c r="AE251" s="813" t="s">
        <v>2365</v>
      </c>
      <c r="AF251" t="s">
        <v>2365</v>
      </c>
      <c r="AG251" t="s">
        <v>2365</v>
      </c>
      <c r="AH251" t="s">
        <v>2365</v>
      </c>
      <c r="AI251" t="s">
        <v>2365</v>
      </c>
      <c r="AJ251" t="s">
        <v>2365</v>
      </c>
      <c r="AK251" t="s">
        <v>2365</v>
      </c>
      <c r="AL251" t="s">
        <v>2365</v>
      </c>
      <c r="AM251" t="s">
        <v>2365</v>
      </c>
      <c r="AN251" t="s">
        <v>2365</v>
      </c>
      <c r="AR251" t="s">
        <v>2365</v>
      </c>
      <c r="AS251" t="s">
        <v>2365</v>
      </c>
      <c r="AT251" t="s">
        <v>2365</v>
      </c>
      <c r="AU251" t="s">
        <v>2365</v>
      </c>
      <c r="AV251" t="s">
        <v>2365</v>
      </c>
      <c r="AW251" t="s">
        <v>2365</v>
      </c>
      <c r="AX251" t="s">
        <v>2365</v>
      </c>
      <c r="AY251" t="s">
        <v>2365</v>
      </c>
      <c r="AZ251" t="s">
        <v>2365</v>
      </c>
      <c r="BA251" t="s">
        <v>2365</v>
      </c>
      <c r="BB251" t="s">
        <v>2365</v>
      </c>
      <c r="BC251" t="s">
        <v>2365</v>
      </c>
      <c r="BD251" t="s">
        <v>2366</v>
      </c>
      <c r="BE251" t="s">
        <v>2365</v>
      </c>
      <c r="BF251" t="s">
        <v>2365</v>
      </c>
      <c r="BG251" t="s">
        <v>2365</v>
      </c>
      <c r="BH251" t="s">
        <v>2365</v>
      </c>
      <c r="BI251" t="s">
        <v>2366</v>
      </c>
      <c r="BJ251" t="s">
        <v>2365</v>
      </c>
      <c r="BK251" t="s">
        <v>2365</v>
      </c>
      <c r="BL251" t="s">
        <v>2365</v>
      </c>
      <c r="BM251" t="s">
        <v>2365</v>
      </c>
      <c r="BN251" t="s">
        <v>2176</v>
      </c>
      <c r="BO251">
        <v>3</v>
      </c>
      <c r="BP251">
        <v>31</v>
      </c>
      <c r="BQ251" t="s">
        <v>2716</v>
      </c>
      <c r="BR251" t="s">
        <v>1485</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R251" t="s">
        <v>2333</v>
      </c>
      <c r="CS251" s="1369" t="str">
        <f>INDEX([8]Sheet1!$H:$H,MATCH(CR:CR,[8]Sheet1!$AU:$AU,0))</f>
        <v>Municipal Manager, Town Secretary and Chief Executive</v>
      </c>
    </row>
    <row r="252" spans="1:97" x14ac:dyDescent="0.2">
      <c r="A252" t="s">
        <v>2755</v>
      </c>
      <c r="B252">
        <v>305</v>
      </c>
      <c r="C252" t="s">
        <v>2755</v>
      </c>
      <c r="D252">
        <v>41443</v>
      </c>
      <c r="E252" t="s">
        <v>2756</v>
      </c>
      <c r="F252">
        <v>2000</v>
      </c>
      <c r="G252" t="s">
        <v>652</v>
      </c>
      <c r="H252" t="s">
        <v>2547</v>
      </c>
      <c r="I252" t="s">
        <v>200</v>
      </c>
      <c r="J252">
        <v>2005</v>
      </c>
      <c r="K252" t="s">
        <v>200</v>
      </c>
      <c r="L252">
        <v>1100</v>
      </c>
      <c r="M252" t="s">
        <v>616</v>
      </c>
      <c r="N252">
        <v>1120</v>
      </c>
      <c r="O252" t="s">
        <v>1485</v>
      </c>
      <c r="P252" t="s">
        <v>2366</v>
      </c>
      <c r="Q252" t="s">
        <v>2364</v>
      </c>
      <c r="R252" t="s">
        <v>2364</v>
      </c>
      <c r="S252" t="s">
        <v>1881</v>
      </c>
      <c r="T252" t="s">
        <v>1812</v>
      </c>
      <c r="U252" t="s">
        <v>2365</v>
      </c>
      <c r="V252" t="s">
        <v>2365</v>
      </c>
      <c r="W252" t="s">
        <v>2365</v>
      </c>
      <c r="X252" t="s">
        <v>2365</v>
      </c>
      <c r="Y252" t="s">
        <v>2365</v>
      </c>
      <c r="Z252" t="s">
        <v>2365</v>
      </c>
      <c r="AA252" t="s">
        <v>2365</v>
      </c>
      <c r="AB252" t="s">
        <v>2365</v>
      </c>
      <c r="AC252" s="813" t="s">
        <v>2365</v>
      </c>
      <c r="AD252" s="813" t="s">
        <v>2365</v>
      </c>
      <c r="AE252" s="813" t="s">
        <v>2365</v>
      </c>
      <c r="AF252" t="s">
        <v>2365</v>
      </c>
      <c r="AG252" t="s">
        <v>2365</v>
      </c>
      <c r="AH252" t="s">
        <v>2365</v>
      </c>
      <c r="AI252" t="s">
        <v>2365</v>
      </c>
      <c r="AJ252" t="s">
        <v>2365</v>
      </c>
      <c r="AK252" t="s">
        <v>2365</v>
      </c>
      <c r="AL252" t="s">
        <v>2365</v>
      </c>
      <c r="AM252" t="s">
        <v>2365</v>
      </c>
      <c r="AN252" t="s">
        <v>2365</v>
      </c>
      <c r="AR252" t="s">
        <v>2365</v>
      </c>
      <c r="AS252" t="s">
        <v>2365</v>
      </c>
      <c r="AT252" t="s">
        <v>2365</v>
      </c>
      <c r="AU252" t="s">
        <v>2365</v>
      </c>
      <c r="AV252" t="s">
        <v>2365</v>
      </c>
      <c r="AW252" t="s">
        <v>2365</v>
      </c>
      <c r="AX252" t="s">
        <v>2365</v>
      </c>
      <c r="AY252" t="s">
        <v>2365</v>
      </c>
      <c r="AZ252" t="s">
        <v>2365</v>
      </c>
      <c r="BA252" t="s">
        <v>2365</v>
      </c>
      <c r="BB252" t="s">
        <v>2365</v>
      </c>
      <c r="BC252" t="s">
        <v>2365</v>
      </c>
      <c r="BD252" t="s">
        <v>2366</v>
      </c>
      <c r="BE252" t="s">
        <v>2365</v>
      </c>
      <c r="BF252" t="s">
        <v>2365</v>
      </c>
      <c r="BG252" t="s">
        <v>2365</v>
      </c>
      <c r="BH252" t="s">
        <v>2365</v>
      </c>
      <c r="BI252" t="s">
        <v>2366</v>
      </c>
      <c r="BJ252" t="s">
        <v>2365</v>
      </c>
      <c r="BK252" t="s">
        <v>2365</v>
      </c>
      <c r="BL252" t="s">
        <v>2365</v>
      </c>
      <c r="BM252" t="s">
        <v>2365</v>
      </c>
      <c r="BN252" t="s">
        <v>2176</v>
      </c>
      <c r="BO252">
        <v>3</v>
      </c>
      <c r="BP252">
        <v>31</v>
      </c>
      <c r="BQ252" t="s">
        <v>2716</v>
      </c>
      <c r="BR252" t="s">
        <v>1485</v>
      </c>
      <c r="BU252">
        <v>122042</v>
      </c>
      <c r="BV252">
        <v>0</v>
      </c>
      <c r="BW252">
        <v>122042</v>
      </c>
      <c r="BX252">
        <v>0</v>
      </c>
      <c r="BY252">
        <v>122042</v>
      </c>
      <c r="BZ252">
        <v>129975</v>
      </c>
      <c r="CA252">
        <v>138423</v>
      </c>
      <c r="CB252">
        <v>0</v>
      </c>
      <c r="CC252">
        <v>0</v>
      </c>
      <c r="CD252">
        <v>0</v>
      </c>
      <c r="CE252">
        <v>0</v>
      </c>
      <c r="CF252">
        <v>0</v>
      </c>
      <c r="CG252">
        <v>0</v>
      </c>
      <c r="CH252">
        <v>0</v>
      </c>
      <c r="CI252">
        <v>0</v>
      </c>
      <c r="CJ252">
        <v>0</v>
      </c>
      <c r="CK252">
        <v>0</v>
      </c>
      <c r="CL252">
        <v>0</v>
      </c>
      <c r="CM252">
        <v>0</v>
      </c>
      <c r="CR252" t="s">
        <v>2333</v>
      </c>
      <c r="CS252" s="1369" t="str">
        <f>INDEX([8]Sheet1!$H:$H,MATCH(CR:CR,[8]Sheet1!$AU:$AU,0))</f>
        <v>Municipal Manager, Town Secretary and Chief Executive</v>
      </c>
    </row>
    <row r="253" spans="1:97" x14ac:dyDescent="0.2">
      <c r="A253" t="s">
        <v>2757</v>
      </c>
      <c r="B253">
        <v>306</v>
      </c>
      <c r="C253" t="s">
        <v>2757</v>
      </c>
      <c r="D253">
        <v>41444</v>
      </c>
      <c r="E253" t="s">
        <v>2758</v>
      </c>
      <c r="F253">
        <v>2000</v>
      </c>
      <c r="G253" t="s">
        <v>652</v>
      </c>
      <c r="H253" t="s">
        <v>2531</v>
      </c>
      <c r="I253" t="s">
        <v>1185</v>
      </c>
      <c r="J253">
        <v>2001</v>
      </c>
      <c r="K253" t="s">
        <v>203</v>
      </c>
      <c r="L253">
        <v>1100</v>
      </c>
      <c r="M253" t="s">
        <v>616</v>
      </c>
      <c r="N253">
        <v>1120</v>
      </c>
      <c r="O253" t="s">
        <v>1485</v>
      </c>
      <c r="P253" t="s">
        <v>2366</v>
      </c>
      <c r="Q253" t="s">
        <v>2364</v>
      </c>
      <c r="R253" t="s">
        <v>2364</v>
      </c>
      <c r="S253" t="s">
        <v>1881</v>
      </c>
      <c r="T253" t="s">
        <v>1812</v>
      </c>
      <c r="U253" t="s">
        <v>2365</v>
      </c>
      <c r="V253" t="s">
        <v>2365</v>
      </c>
      <c r="W253" t="s">
        <v>2365</v>
      </c>
      <c r="X253" t="s">
        <v>2365</v>
      </c>
      <c r="Y253" t="s">
        <v>2365</v>
      </c>
      <c r="Z253" t="s">
        <v>2365</v>
      </c>
      <c r="AA253" t="s">
        <v>2365</v>
      </c>
      <c r="AB253" t="s">
        <v>2365</v>
      </c>
      <c r="AC253" s="813" t="s">
        <v>2365</v>
      </c>
      <c r="AD253" s="813" t="s">
        <v>2365</v>
      </c>
      <c r="AE253" s="813" t="s">
        <v>2365</v>
      </c>
      <c r="AF253" t="s">
        <v>2365</v>
      </c>
      <c r="AG253" t="s">
        <v>2365</v>
      </c>
      <c r="AH253" t="s">
        <v>2365</v>
      </c>
      <c r="AI253" t="s">
        <v>2365</v>
      </c>
      <c r="AJ253" t="s">
        <v>2365</v>
      </c>
      <c r="AK253" t="s">
        <v>2365</v>
      </c>
      <c r="AL253" t="s">
        <v>2365</v>
      </c>
      <c r="AM253" t="s">
        <v>2365</v>
      </c>
      <c r="AN253" t="s">
        <v>2365</v>
      </c>
      <c r="AR253" t="s">
        <v>2365</v>
      </c>
      <c r="AS253" t="s">
        <v>2365</v>
      </c>
      <c r="AT253" t="s">
        <v>2365</v>
      </c>
      <c r="AU253" t="s">
        <v>2365</v>
      </c>
      <c r="AV253" t="s">
        <v>2365</v>
      </c>
      <c r="AW253" t="s">
        <v>2365</v>
      </c>
      <c r="AX253" t="s">
        <v>2365</v>
      </c>
      <c r="AY253" t="s">
        <v>2365</v>
      </c>
      <c r="AZ253" t="s">
        <v>2365</v>
      </c>
      <c r="BA253" t="s">
        <v>2365</v>
      </c>
      <c r="BB253" t="s">
        <v>2365</v>
      </c>
      <c r="BC253" t="s">
        <v>2365</v>
      </c>
      <c r="BD253" t="s">
        <v>2366</v>
      </c>
      <c r="BE253" t="s">
        <v>2365</v>
      </c>
      <c r="BF253" t="s">
        <v>2365</v>
      </c>
      <c r="BG253" t="s">
        <v>2365</v>
      </c>
      <c r="BH253" t="s">
        <v>2365</v>
      </c>
      <c r="BI253" t="s">
        <v>2366</v>
      </c>
      <c r="BJ253" t="s">
        <v>2365</v>
      </c>
      <c r="BK253" t="s">
        <v>2365</v>
      </c>
      <c r="BL253" t="s">
        <v>2365</v>
      </c>
      <c r="BM253" t="s">
        <v>2365</v>
      </c>
      <c r="BN253" t="s">
        <v>2176</v>
      </c>
      <c r="BO253">
        <v>3</v>
      </c>
      <c r="BP253">
        <v>31</v>
      </c>
      <c r="BQ253" t="s">
        <v>2716</v>
      </c>
      <c r="BR253" t="s">
        <v>1485</v>
      </c>
      <c r="BU253">
        <v>0</v>
      </c>
      <c r="BV253">
        <v>0</v>
      </c>
      <c r="BW253">
        <v>0</v>
      </c>
      <c r="BX253">
        <v>0</v>
      </c>
      <c r="BY253">
        <v>0</v>
      </c>
      <c r="BZ253">
        <v>0</v>
      </c>
      <c r="CA253">
        <v>0</v>
      </c>
      <c r="CB253">
        <v>0</v>
      </c>
      <c r="CC253">
        <v>0</v>
      </c>
      <c r="CD253">
        <v>0</v>
      </c>
      <c r="CE253">
        <v>0</v>
      </c>
      <c r="CF253">
        <v>0</v>
      </c>
      <c r="CG253">
        <v>0</v>
      </c>
      <c r="CH253">
        <v>0</v>
      </c>
      <c r="CI253">
        <v>0</v>
      </c>
      <c r="CJ253">
        <v>0</v>
      </c>
      <c r="CK253">
        <v>0</v>
      </c>
      <c r="CL253">
        <v>0</v>
      </c>
      <c r="CM253">
        <v>0</v>
      </c>
      <c r="CR253" t="s">
        <v>2333</v>
      </c>
      <c r="CS253" s="1369" t="str">
        <f>INDEX([8]Sheet1!$H:$H,MATCH(CR:CR,[8]Sheet1!$AU:$AU,0))</f>
        <v>Municipal Manager, Town Secretary and Chief Executive</v>
      </c>
    </row>
    <row r="254" spans="1:97" x14ac:dyDescent="0.2">
      <c r="A254" t="s">
        <v>2759</v>
      </c>
      <c r="B254">
        <v>307</v>
      </c>
      <c r="C254" t="s">
        <v>2759</v>
      </c>
      <c r="D254">
        <v>41445</v>
      </c>
      <c r="E254" t="s">
        <v>2760</v>
      </c>
      <c r="F254">
        <v>2000</v>
      </c>
      <c r="G254" t="s">
        <v>652</v>
      </c>
      <c r="H254" s="1373" t="s">
        <v>2550</v>
      </c>
      <c r="I254" t="s">
        <v>1159</v>
      </c>
      <c r="J254">
        <v>2010</v>
      </c>
      <c r="K254" t="s">
        <v>1159</v>
      </c>
      <c r="L254" s="1373">
        <v>1100</v>
      </c>
      <c r="M254" t="s">
        <v>616</v>
      </c>
      <c r="N254">
        <v>1120</v>
      </c>
      <c r="O254" t="s">
        <v>1485</v>
      </c>
      <c r="P254" t="s">
        <v>2366</v>
      </c>
      <c r="Q254" t="s">
        <v>2364</v>
      </c>
      <c r="R254" t="s">
        <v>2364</v>
      </c>
      <c r="S254" t="s">
        <v>1881</v>
      </c>
      <c r="T254" t="s">
        <v>1812</v>
      </c>
      <c r="U254" t="s">
        <v>2365</v>
      </c>
      <c r="V254" t="s">
        <v>2365</v>
      </c>
      <c r="W254" t="s">
        <v>2365</v>
      </c>
      <c r="X254" t="s">
        <v>2365</v>
      </c>
      <c r="Y254" t="s">
        <v>2365</v>
      </c>
      <c r="Z254" t="s">
        <v>2365</v>
      </c>
      <c r="AA254" t="s">
        <v>2365</v>
      </c>
      <c r="AB254" t="s">
        <v>2365</v>
      </c>
      <c r="AC254" s="813" t="s">
        <v>2365</v>
      </c>
      <c r="AD254" s="813" t="s">
        <v>2365</v>
      </c>
      <c r="AE254" s="813" t="s">
        <v>2365</v>
      </c>
      <c r="AF254" t="s">
        <v>2365</v>
      </c>
      <c r="AG254" t="s">
        <v>2365</v>
      </c>
      <c r="AH254" t="s">
        <v>2365</v>
      </c>
      <c r="AI254" t="s">
        <v>2365</v>
      </c>
      <c r="AJ254" t="s">
        <v>2365</v>
      </c>
      <c r="AK254" t="s">
        <v>2365</v>
      </c>
      <c r="AL254" t="s">
        <v>2365</v>
      </c>
      <c r="AM254" t="s">
        <v>2365</v>
      </c>
      <c r="AN254" t="s">
        <v>2365</v>
      </c>
      <c r="AR254" t="s">
        <v>2365</v>
      </c>
      <c r="AS254" t="s">
        <v>2365</v>
      </c>
      <c r="AT254" t="s">
        <v>2365</v>
      </c>
      <c r="AU254" t="s">
        <v>2365</v>
      </c>
      <c r="AV254" t="s">
        <v>2365</v>
      </c>
      <c r="AW254" t="s">
        <v>2365</v>
      </c>
      <c r="AX254" t="s">
        <v>2365</v>
      </c>
      <c r="AY254" t="s">
        <v>2365</v>
      </c>
      <c r="AZ254" t="s">
        <v>2365</v>
      </c>
      <c r="BA254" t="s">
        <v>2365</v>
      </c>
      <c r="BB254" t="s">
        <v>2365</v>
      </c>
      <c r="BC254" t="s">
        <v>2365</v>
      </c>
      <c r="BD254" t="s">
        <v>2366</v>
      </c>
      <c r="BE254" t="s">
        <v>2365</v>
      </c>
      <c r="BF254" t="s">
        <v>2365</v>
      </c>
      <c r="BG254" t="s">
        <v>2365</v>
      </c>
      <c r="BH254" t="s">
        <v>2365</v>
      </c>
      <c r="BI254" t="s">
        <v>2366</v>
      </c>
      <c r="BJ254" t="s">
        <v>2365</v>
      </c>
      <c r="BK254" t="s">
        <v>2365</v>
      </c>
      <c r="BL254" t="s">
        <v>2365</v>
      </c>
      <c r="BM254" t="s">
        <v>2365</v>
      </c>
      <c r="BN254" t="s">
        <v>2176</v>
      </c>
      <c r="BO254">
        <v>3</v>
      </c>
      <c r="BP254">
        <v>31</v>
      </c>
      <c r="BQ254" t="s">
        <v>2716</v>
      </c>
      <c r="BR254" t="s">
        <v>1485</v>
      </c>
      <c r="BU254" s="1371">
        <v>61842</v>
      </c>
      <c r="BV254" s="1371">
        <v>0</v>
      </c>
      <c r="BW254" s="1371">
        <v>61842</v>
      </c>
      <c r="BX254" s="1371">
        <v>0</v>
      </c>
      <c r="BY254" s="1371">
        <v>61842</v>
      </c>
      <c r="BZ254">
        <v>65862</v>
      </c>
      <c r="CA254">
        <v>70143</v>
      </c>
      <c r="CB254">
        <v>26553.94</v>
      </c>
      <c r="CC254">
        <v>0</v>
      </c>
      <c r="CD254">
        <v>0</v>
      </c>
      <c r="CE254">
        <v>0</v>
      </c>
      <c r="CF254">
        <v>0</v>
      </c>
      <c r="CG254">
        <v>0</v>
      </c>
      <c r="CH254">
        <v>0</v>
      </c>
      <c r="CI254">
        <v>0</v>
      </c>
      <c r="CJ254">
        <v>0</v>
      </c>
      <c r="CK254">
        <v>0</v>
      </c>
      <c r="CL254">
        <v>0</v>
      </c>
      <c r="CM254">
        <v>0</v>
      </c>
      <c r="CR254" t="s">
        <v>2333</v>
      </c>
      <c r="CS254" s="1369" t="str">
        <f>INDEX([8]Sheet1!$H:$H,MATCH(CR:CR,[8]Sheet1!$AU:$AU,0))</f>
        <v>Municipal Manager, Town Secretary and Chief Executive</v>
      </c>
    </row>
    <row r="255" spans="1:97" x14ac:dyDescent="0.2">
      <c r="A255" t="s">
        <v>2761</v>
      </c>
      <c r="B255">
        <v>308</v>
      </c>
      <c r="C255" t="s">
        <v>2761</v>
      </c>
      <c r="D255">
        <v>41446</v>
      </c>
      <c r="E255" t="s">
        <v>2762</v>
      </c>
      <c r="F255">
        <v>2000</v>
      </c>
      <c r="G255" t="s">
        <v>652</v>
      </c>
      <c r="H255" s="1373" t="s">
        <v>2556</v>
      </c>
      <c r="I255" t="s">
        <v>1377</v>
      </c>
      <c r="J255">
        <v>2007</v>
      </c>
      <c r="K255" t="s">
        <v>1377</v>
      </c>
      <c r="L255" s="1373">
        <v>1100</v>
      </c>
      <c r="M255" t="s">
        <v>616</v>
      </c>
      <c r="N255">
        <v>1120</v>
      </c>
      <c r="O255" t="s">
        <v>1485</v>
      </c>
      <c r="P255" t="s">
        <v>2366</v>
      </c>
      <c r="Q255" t="s">
        <v>2364</v>
      </c>
      <c r="R255" t="s">
        <v>2364</v>
      </c>
      <c r="S255" t="s">
        <v>1881</v>
      </c>
      <c r="T255" t="s">
        <v>1812</v>
      </c>
      <c r="U255" t="s">
        <v>2365</v>
      </c>
      <c r="V255" t="s">
        <v>2365</v>
      </c>
      <c r="W255" t="s">
        <v>2365</v>
      </c>
      <c r="X255" t="s">
        <v>2365</v>
      </c>
      <c r="Y255" t="s">
        <v>2365</v>
      </c>
      <c r="Z255" t="s">
        <v>2365</v>
      </c>
      <c r="AA255" t="s">
        <v>2365</v>
      </c>
      <c r="AB255" t="s">
        <v>2365</v>
      </c>
      <c r="AC255" s="813" t="s">
        <v>2365</v>
      </c>
      <c r="AD255" s="813" t="s">
        <v>2365</v>
      </c>
      <c r="AE255" s="813" t="s">
        <v>2365</v>
      </c>
      <c r="AF255" t="s">
        <v>2365</v>
      </c>
      <c r="AG255" t="s">
        <v>2365</v>
      </c>
      <c r="AH255" t="s">
        <v>2365</v>
      </c>
      <c r="AI255" t="s">
        <v>2365</v>
      </c>
      <c r="AJ255" t="s">
        <v>2365</v>
      </c>
      <c r="AK255" t="s">
        <v>2365</v>
      </c>
      <c r="AL255" t="s">
        <v>2365</v>
      </c>
      <c r="AM255" t="s">
        <v>2365</v>
      </c>
      <c r="AN255" t="s">
        <v>2365</v>
      </c>
      <c r="AR255" t="s">
        <v>2365</v>
      </c>
      <c r="AS255" t="s">
        <v>2365</v>
      </c>
      <c r="AT255" t="s">
        <v>2365</v>
      </c>
      <c r="AU255" t="s">
        <v>2365</v>
      </c>
      <c r="AV255" t="s">
        <v>2365</v>
      </c>
      <c r="AW255" t="s">
        <v>2365</v>
      </c>
      <c r="AX255" t="s">
        <v>2365</v>
      </c>
      <c r="AY255" t="s">
        <v>2365</v>
      </c>
      <c r="AZ255" t="s">
        <v>2365</v>
      </c>
      <c r="BA255" t="s">
        <v>2365</v>
      </c>
      <c r="BB255" t="s">
        <v>2365</v>
      </c>
      <c r="BC255" t="s">
        <v>2365</v>
      </c>
      <c r="BD255" t="s">
        <v>2366</v>
      </c>
      <c r="BE255" t="s">
        <v>2365</v>
      </c>
      <c r="BF255" t="s">
        <v>2365</v>
      </c>
      <c r="BG255" t="s">
        <v>2365</v>
      </c>
      <c r="BH255" t="s">
        <v>2365</v>
      </c>
      <c r="BI255" t="s">
        <v>2366</v>
      </c>
      <c r="BJ255" t="s">
        <v>2365</v>
      </c>
      <c r="BK255" t="s">
        <v>2365</v>
      </c>
      <c r="BL255" t="s">
        <v>2365</v>
      </c>
      <c r="BM255" t="s">
        <v>2365</v>
      </c>
      <c r="BN255" t="s">
        <v>2176</v>
      </c>
      <c r="BO255">
        <v>3</v>
      </c>
      <c r="BP255">
        <v>31</v>
      </c>
      <c r="BQ255" t="s">
        <v>2716</v>
      </c>
      <c r="BR255" t="s">
        <v>1485</v>
      </c>
      <c r="BU255" s="1371">
        <v>27000</v>
      </c>
      <c r="BV255" s="1371">
        <v>0</v>
      </c>
      <c r="BW255" s="1371">
        <v>27000</v>
      </c>
      <c r="BX255" s="1371">
        <v>0</v>
      </c>
      <c r="BY255" s="1371">
        <v>27000</v>
      </c>
      <c r="BZ255">
        <v>28755</v>
      </c>
      <c r="CA255">
        <v>30624</v>
      </c>
      <c r="CB255">
        <v>347586.17</v>
      </c>
      <c r="CC255">
        <v>0</v>
      </c>
      <c r="CD255">
        <v>3700</v>
      </c>
      <c r="CE255">
        <v>3700</v>
      </c>
      <c r="CF255">
        <v>3700</v>
      </c>
      <c r="CG255">
        <v>3700</v>
      </c>
      <c r="CH255">
        <v>3700</v>
      </c>
      <c r="CI255">
        <v>0</v>
      </c>
      <c r="CJ255">
        <v>0</v>
      </c>
      <c r="CK255">
        <v>0</v>
      </c>
      <c r="CL255">
        <v>0</v>
      </c>
      <c r="CM255">
        <v>0</v>
      </c>
      <c r="CR255" t="s">
        <v>2333</v>
      </c>
      <c r="CS255" s="1369" t="str">
        <f>INDEX([8]Sheet1!$H:$H,MATCH(CR:CR,[8]Sheet1!$AU:$AU,0))</f>
        <v>Municipal Manager, Town Secretary and Chief Executive</v>
      </c>
    </row>
    <row r="256" spans="1:97" x14ac:dyDescent="0.2">
      <c r="A256" t="s">
        <v>2763</v>
      </c>
      <c r="B256">
        <v>309</v>
      </c>
      <c r="C256" t="s">
        <v>2763</v>
      </c>
      <c r="D256">
        <v>41447</v>
      </c>
      <c r="E256" t="s">
        <v>2764</v>
      </c>
      <c r="F256">
        <v>2000</v>
      </c>
      <c r="G256" t="s">
        <v>652</v>
      </c>
      <c r="H256" s="1373" t="s">
        <v>2553</v>
      </c>
      <c r="I256" t="s">
        <v>1378</v>
      </c>
      <c r="J256">
        <v>2008</v>
      </c>
      <c r="K256" t="s">
        <v>1378</v>
      </c>
      <c r="L256" s="1373">
        <v>1100</v>
      </c>
      <c r="M256" t="s">
        <v>616</v>
      </c>
      <c r="N256">
        <v>1120</v>
      </c>
      <c r="O256" t="s">
        <v>1485</v>
      </c>
      <c r="P256" t="s">
        <v>2366</v>
      </c>
      <c r="Q256" t="s">
        <v>2364</v>
      </c>
      <c r="R256" t="s">
        <v>2364</v>
      </c>
      <c r="S256" t="s">
        <v>1881</v>
      </c>
      <c r="T256" t="s">
        <v>1812</v>
      </c>
      <c r="U256" t="s">
        <v>2365</v>
      </c>
      <c r="V256" t="s">
        <v>2365</v>
      </c>
      <c r="W256" t="s">
        <v>2365</v>
      </c>
      <c r="X256" t="s">
        <v>2365</v>
      </c>
      <c r="Y256" t="s">
        <v>2365</v>
      </c>
      <c r="Z256" t="s">
        <v>2365</v>
      </c>
      <c r="AA256" t="s">
        <v>2365</v>
      </c>
      <c r="AB256" t="s">
        <v>2365</v>
      </c>
      <c r="AC256" s="813" t="s">
        <v>2365</v>
      </c>
      <c r="AD256" s="813" t="s">
        <v>2365</v>
      </c>
      <c r="AE256" s="813" t="s">
        <v>2365</v>
      </c>
      <c r="AF256" t="s">
        <v>2365</v>
      </c>
      <c r="AG256" t="s">
        <v>2365</v>
      </c>
      <c r="AH256" t="s">
        <v>2365</v>
      </c>
      <c r="AI256" t="s">
        <v>2365</v>
      </c>
      <c r="AJ256" t="s">
        <v>2365</v>
      </c>
      <c r="AK256" t="s">
        <v>2365</v>
      </c>
      <c r="AL256" t="s">
        <v>2365</v>
      </c>
      <c r="AM256" t="s">
        <v>2365</v>
      </c>
      <c r="AN256" t="s">
        <v>2365</v>
      </c>
      <c r="AR256" t="s">
        <v>2365</v>
      </c>
      <c r="AS256" t="s">
        <v>2365</v>
      </c>
      <c r="AT256" t="s">
        <v>2365</v>
      </c>
      <c r="AU256" t="s">
        <v>2365</v>
      </c>
      <c r="AV256" t="s">
        <v>2365</v>
      </c>
      <c r="AW256" t="s">
        <v>2365</v>
      </c>
      <c r="AX256" t="s">
        <v>2365</v>
      </c>
      <c r="AY256" t="s">
        <v>2365</v>
      </c>
      <c r="AZ256" t="s">
        <v>2365</v>
      </c>
      <c r="BA256" t="s">
        <v>2365</v>
      </c>
      <c r="BB256" t="s">
        <v>2365</v>
      </c>
      <c r="BC256" t="s">
        <v>2365</v>
      </c>
      <c r="BD256" t="s">
        <v>2366</v>
      </c>
      <c r="BE256" t="s">
        <v>2365</v>
      </c>
      <c r="BF256" t="s">
        <v>2365</v>
      </c>
      <c r="BG256" t="s">
        <v>2365</v>
      </c>
      <c r="BH256" t="s">
        <v>2365</v>
      </c>
      <c r="BI256" t="s">
        <v>2366</v>
      </c>
      <c r="BJ256" t="s">
        <v>2365</v>
      </c>
      <c r="BK256" t="s">
        <v>2365</v>
      </c>
      <c r="BL256" t="s">
        <v>2365</v>
      </c>
      <c r="BM256" t="s">
        <v>2365</v>
      </c>
      <c r="BN256" t="s">
        <v>2176</v>
      </c>
      <c r="BO256">
        <v>3</v>
      </c>
      <c r="BP256">
        <v>31</v>
      </c>
      <c r="BQ256" t="s">
        <v>2716</v>
      </c>
      <c r="BR256" t="s">
        <v>1485</v>
      </c>
      <c r="BU256" s="1371">
        <v>0</v>
      </c>
      <c r="BV256" s="1371">
        <v>0</v>
      </c>
      <c r="BW256" s="1371">
        <v>0</v>
      </c>
      <c r="BX256" s="1371">
        <v>0</v>
      </c>
      <c r="BY256" s="1371">
        <v>0</v>
      </c>
      <c r="BZ256">
        <v>0</v>
      </c>
      <c r="CA256">
        <v>0</v>
      </c>
      <c r="CB256">
        <v>0</v>
      </c>
      <c r="CC256">
        <v>0</v>
      </c>
      <c r="CD256">
        <v>0</v>
      </c>
      <c r="CE256">
        <v>0</v>
      </c>
      <c r="CF256">
        <v>0</v>
      </c>
      <c r="CG256">
        <v>0</v>
      </c>
      <c r="CH256">
        <v>0</v>
      </c>
      <c r="CI256">
        <v>0</v>
      </c>
      <c r="CJ256">
        <v>0</v>
      </c>
      <c r="CK256">
        <v>0</v>
      </c>
      <c r="CL256">
        <v>0</v>
      </c>
      <c r="CM256">
        <v>0</v>
      </c>
      <c r="CR256" t="s">
        <v>2333</v>
      </c>
      <c r="CS256" s="1369" t="str">
        <f>INDEX([8]Sheet1!$H:$H,MATCH(CR:CR,[8]Sheet1!$AU:$AU,0))</f>
        <v>Municipal Manager, Town Secretary and Chief Executive</v>
      </c>
    </row>
    <row r="257" spans="1:97" x14ac:dyDescent="0.2">
      <c r="A257" t="s">
        <v>2765</v>
      </c>
      <c r="B257">
        <v>310</v>
      </c>
      <c r="C257" t="s">
        <v>2765</v>
      </c>
      <c r="D257">
        <v>41448</v>
      </c>
      <c r="E257" t="s">
        <v>2766</v>
      </c>
      <c r="F257">
        <v>2000</v>
      </c>
      <c r="G257" t="s">
        <v>652</v>
      </c>
      <c r="H257" t="s">
        <v>2462</v>
      </c>
      <c r="I257" t="s">
        <v>203</v>
      </c>
      <c r="J257">
        <v>2001</v>
      </c>
      <c r="K257" t="s">
        <v>203</v>
      </c>
      <c r="L257">
        <v>1100</v>
      </c>
      <c r="M257" t="s">
        <v>616</v>
      </c>
      <c r="N257">
        <v>1120</v>
      </c>
      <c r="O257" t="s">
        <v>1485</v>
      </c>
      <c r="P257" t="s">
        <v>2366</v>
      </c>
      <c r="Q257" t="s">
        <v>2364</v>
      </c>
      <c r="R257" t="s">
        <v>2364</v>
      </c>
      <c r="S257" t="s">
        <v>1881</v>
      </c>
      <c r="T257" t="s">
        <v>1812</v>
      </c>
      <c r="U257" t="s">
        <v>2365</v>
      </c>
      <c r="V257" t="s">
        <v>2365</v>
      </c>
      <c r="W257" t="s">
        <v>2365</v>
      </c>
      <c r="X257" t="s">
        <v>2365</v>
      </c>
      <c r="Y257" t="s">
        <v>2365</v>
      </c>
      <c r="Z257" t="s">
        <v>2365</v>
      </c>
      <c r="AA257" t="s">
        <v>2365</v>
      </c>
      <c r="AB257" t="s">
        <v>2365</v>
      </c>
      <c r="AC257" s="813" t="s">
        <v>2365</v>
      </c>
      <c r="AD257" s="813" t="s">
        <v>2365</v>
      </c>
      <c r="AE257" s="813" t="s">
        <v>2365</v>
      </c>
      <c r="AF257" t="s">
        <v>2365</v>
      </c>
      <c r="AG257" t="s">
        <v>2365</v>
      </c>
      <c r="AH257" t="s">
        <v>2365</v>
      </c>
      <c r="AI257" t="s">
        <v>2365</v>
      </c>
      <c r="AJ257" t="s">
        <v>2365</v>
      </c>
      <c r="AK257" t="s">
        <v>2365</v>
      </c>
      <c r="AL257" t="s">
        <v>2365</v>
      </c>
      <c r="AM257" t="s">
        <v>2365</v>
      </c>
      <c r="AN257" t="s">
        <v>2365</v>
      </c>
      <c r="AR257" t="s">
        <v>2365</v>
      </c>
      <c r="AS257" t="s">
        <v>2365</v>
      </c>
      <c r="AT257" t="s">
        <v>2365</v>
      </c>
      <c r="AU257" t="s">
        <v>2365</v>
      </c>
      <c r="AV257" t="s">
        <v>2365</v>
      </c>
      <c r="AW257" t="s">
        <v>2365</v>
      </c>
      <c r="AX257" t="s">
        <v>2365</v>
      </c>
      <c r="AY257" t="s">
        <v>2365</v>
      </c>
      <c r="AZ257" t="s">
        <v>2365</v>
      </c>
      <c r="BA257" t="s">
        <v>2365</v>
      </c>
      <c r="BB257" t="s">
        <v>2365</v>
      </c>
      <c r="BC257" t="s">
        <v>2365</v>
      </c>
      <c r="BD257" t="s">
        <v>2366</v>
      </c>
      <c r="BE257" t="s">
        <v>2365</v>
      </c>
      <c r="BF257" t="s">
        <v>2365</v>
      </c>
      <c r="BG257" t="s">
        <v>2365</v>
      </c>
      <c r="BH257" t="s">
        <v>2365</v>
      </c>
      <c r="BI257" t="s">
        <v>2366</v>
      </c>
      <c r="BJ257" t="s">
        <v>2365</v>
      </c>
      <c r="BK257" t="s">
        <v>2365</v>
      </c>
      <c r="BL257" t="s">
        <v>2365</v>
      </c>
      <c r="BM257" t="s">
        <v>2365</v>
      </c>
      <c r="BN257" t="s">
        <v>2176</v>
      </c>
      <c r="BO257">
        <v>3</v>
      </c>
      <c r="BP257">
        <v>31</v>
      </c>
      <c r="BQ257" t="s">
        <v>2716</v>
      </c>
      <c r="BR257" t="s">
        <v>1485</v>
      </c>
      <c r="BU257">
        <v>1030708</v>
      </c>
      <c r="BV257">
        <v>0</v>
      </c>
      <c r="BW257">
        <v>1030708</v>
      </c>
      <c r="BX257">
        <v>0</v>
      </c>
      <c r="BY257">
        <v>1030708</v>
      </c>
      <c r="BZ257">
        <v>1097704</v>
      </c>
      <c r="CA257">
        <v>1169054</v>
      </c>
      <c r="CB257">
        <v>0</v>
      </c>
      <c r="CC257">
        <v>0</v>
      </c>
      <c r="CD257">
        <v>60044.06</v>
      </c>
      <c r="CE257">
        <v>60044.06</v>
      </c>
      <c r="CF257">
        <v>60044.06</v>
      </c>
      <c r="CG257">
        <v>60044.06</v>
      </c>
      <c r="CH257">
        <v>60044.06</v>
      </c>
      <c r="CI257">
        <v>0</v>
      </c>
      <c r="CJ257">
        <v>0</v>
      </c>
      <c r="CK257">
        <v>0</v>
      </c>
      <c r="CL257">
        <v>0</v>
      </c>
      <c r="CM257">
        <v>0</v>
      </c>
      <c r="CR257" t="s">
        <v>2333</v>
      </c>
      <c r="CS257" s="1369" t="str">
        <f>INDEX([8]Sheet1!$H:$H,MATCH(CR:CR,[8]Sheet1!$AU:$AU,0))</f>
        <v>Municipal Manager, Town Secretary and Chief Executive</v>
      </c>
    </row>
    <row r="258" spans="1:97" x14ac:dyDescent="0.2">
      <c r="A258" t="s">
        <v>2767</v>
      </c>
      <c r="B258">
        <v>311</v>
      </c>
      <c r="C258" t="s">
        <v>2767</v>
      </c>
      <c r="D258">
        <v>40772</v>
      </c>
      <c r="E258" t="s">
        <v>2526</v>
      </c>
      <c r="F258">
        <v>2900</v>
      </c>
      <c r="G258" t="s">
        <v>569</v>
      </c>
      <c r="H258" t="s">
        <v>2366</v>
      </c>
      <c r="I258" t="s">
        <v>2366</v>
      </c>
      <c r="J258">
        <v>2904</v>
      </c>
      <c r="K258" t="s">
        <v>1432</v>
      </c>
      <c r="L258">
        <v>2100</v>
      </c>
      <c r="M258" t="s">
        <v>618</v>
      </c>
      <c r="N258">
        <v>2114</v>
      </c>
      <c r="O258" t="s">
        <v>999</v>
      </c>
      <c r="P258" t="s">
        <v>2366</v>
      </c>
      <c r="Q258" t="s">
        <v>2364</v>
      </c>
      <c r="R258" t="s">
        <v>2364</v>
      </c>
      <c r="S258" t="s">
        <v>1881</v>
      </c>
      <c r="T258" t="s">
        <v>1812</v>
      </c>
      <c r="U258" t="s">
        <v>2365</v>
      </c>
      <c r="V258" t="s">
        <v>2365</v>
      </c>
      <c r="W258" t="s">
        <v>2365</v>
      </c>
      <c r="X258" t="s">
        <v>2365</v>
      </c>
      <c r="Y258" t="s">
        <v>2365</v>
      </c>
      <c r="Z258" t="s">
        <v>2365</v>
      </c>
      <c r="AA258" t="s">
        <v>2365</v>
      </c>
      <c r="AB258" t="s">
        <v>2365</v>
      </c>
      <c r="AC258" s="813" t="s">
        <v>2365</v>
      </c>
      <c r="AD258" s="813" t="s">
        <v>2365</v>
      </c>
      <c r="AE258" s="813" t="s">
        <v>2365</v>
      </c>
      <c r="AF258" t="s">
        <v>2365</v>
      </c>
      <c r="AG258" t="s">
        <v>2365</v>
      </c>
      <c r="AH258" t="s">
        <v>2365</v>
      </c>
      <c r="AI258" t="s">
        <v>2365</v>
      </c>
      <c r="AJ258" t="s">
        <v>2365</v>
      </c>
      <c r="AK258" t="s">
        <v>2365</v>
      </c>
      <c r="AL258" t="s">
        <v>2365</v>
      </c>
      <c r="AM258" t="s">
        <v>2365</v>
      </c>
      <c r="AN258" t="s">
        <v>2365</v>
      </c>
      <c r="AR258" t="s">
        <v>2365</v>
      </c>
      <c r="AS258" t="s">
        <v>2365</v>
      </c>
      <c r="AT258" t="s">
        <v>2365</v>
      </c>
      <c r="AU258" t="s">
        <v>2365</v>
      </c>
      <c r="AV258" t="s">
        <v>2365</v>
      </c>
      <c r="AW258" t="s">
        <v>2365</v>
      </c>
      <c r="AX258" t="s">
        <v>2365</v>
      </c>
      <c r="AY258" t="s">
        <v>2365</v>
      </c>
      <c r="AZ258" t="s">
        <v>2365</v>
      </c>
      <c r="BA258" t="s">
        <v>2365</v>
      </c>
      <c r="BB258" t="s">
        <v>2365</v>
      </c>
      <c r="BC258" t="s">
        <v>2365</v>
      </c>
      <c r="BD258" t="s">
        <v>2366</v>
      </c>
      <c r="BE258" t="s">
        <v>2365</v>
      </c>
      <c r="BF258" t="s">
        <v>2365</v>
      </c>
      <c r="BG258" t="s">
        <v>2365</v>
      </c>
      <c r="BH258" t="s">
        <v>2365</v>
      </c>
      <c r="BI258" t="s">
        <v>2366</v>
      </c>
      <c r="BJ258" t="s">
        <v>2365</v>
      </c>
      <c r="BK258" t="s">
        <v>2365</v>
      </c>
      <c r="BL258" t="s">
        <v>2365</v>
      </c>
      <c r="BM258" t="s">
        <v>2365</v>
      </c>
      <c r="BO258">
        <v>4</v>
      </c>
      <c r="BP258">
        <v>42</v>
      </c>
      <c r="BQ258" t="s">
        <v>2433</v>
      </c>
      <c r="BR258" t="s">
        <v>999</v>
      </c>
      <c r="BU258">
        <v>618</v>
      </c>
      <c r="BV258">
        <v>0</v>
      </c>
      <c r="BW258">
        <v>618</v>
      </c>
      <c r="BX258">
        <v>0</v>
      </c>
      <c r="BY258">
        <v>618</v>
      </c>
      <c r="BZ258">
        <v>655</v>
      </c>
      <c r="CA258">
        <v>694</v>
      </c>
      <c r="CB258">
        <v>0</v>
      </c>
      <c r="CC258">
        <v>0</v>
      </c>
      <c r="CD258">
        <v>0</v>
      </c>
      <c r="CE258">
        <v>0</v>
      </c>
      <c r="CF258">
        <v>0</v>
      </c>
      <c r="CG258">
        <v>0</v>
      </c>
      <c r="CH258">
        <v>0</v>
      </c>
      <c r="CI258">
        <v>0</v>
      </c>
      <c r="CJ258">
        <v>0</v>
      </c>
      <c r="CK258">
        <v>0</v>
      </c>
      <c r="CL258">
        <v>0</v>
      </c>
      <c r="CM258">
        <v>0</v>
      </c>
      <c r="CR258" t="s">
        <v>2333</v>
      </c>
      <c r="CS258" s="1369" t="str">
        <f>INDEX([8]Sheet1!$H:$H,MATCH(CR:CR,[8]Sheet1!$AU:$AU,0))</f>
        <v>Municipal Manager, Town Secretary and Chief Executive</v>
      </c>
    </row>
    <row r="259" spans="1:97" x14ac:dyDescent="0.2">
      <c r="A259" t="s">
        <v>2768</v>
      </c>
      <c r="B259">
        <v>312</v>
      </c>
      <c r="C259" t="s">
        <v>2768</v>
      </c>
      <c r="D259">
        <v>40773</v>
      </c>
      <c r="E259" t="s">
        <v>2528</v>
      </c>
      <c r="F259">
        <v>2900</v>
      </c>
      <c r="G259" t="s">
        <v>569</v>
      </c>
      <c r="H259" t="s">
        <v>2366</v>
      </c>
      <c r="I259" t="s">
        <v>2366</v>
      </c>
      <c r="J259">
        <v>2904</v>
      </c>
      <c r="K259" t="s">
        <v>1432</v>
      </c>
      <c r="L259">
        <v>2100</v>
      </c>
      <c r="M259" t="s">
        <v>618</v>
      </c>
      <c r="N259">
        <v>2114</v>
      </c>
      <c r="O259" t="s">
        <v>999</v>
      </c>
      <c r="P259" t="s">
        <v>2366</v>
      </c>
      <c r="Q259" t="s">
        <v>2364</v>
      </c>
      <c r="R259" t="s">
        <v>2364</v>
      </c>
      <c r="S259" t="s">
        <v>1881</v>
      </c>
      <c r="T259" t="s">
        <v>1812</v>
      </c>
      <c r="U259" t="s">
        <v>2365</v>
      </c>
      <c r="V259" t="s">
        <v>2365</v>
      </c>
      <c r="W259" t="s">
        <v>2365</v>
      </c>
      <c r="X259" t="s">
        <v>2365</v>
      </c>
      <c r="Y259" t="s">
        <v>2365</v>
      </c>
      <c r="Z259" t="s">
        <v>2365</v>
      </c>
      <c r="AA259" t="s">
        <v>2365</v>
      </c>
      <c r="AB259" t="s">
        <v>2365</v>
      </c>
      <c r="AC259" s="813" t="s">
        <v>2365</v>
      </c>
      <c r="AD259" s="813" t="s">
        <v>2365</v>
      </c>
      <c r="AE259" s="813" t="s">
        <v>2365</v>
      </c>
      <c r="AF259" t="s">
        <v>2365</v>
      </c>
      <c r="AG259" t="s">
        <v>2365</v>
      </c>
      <c r="AH259" t="s">
        <v>2365</v>
      </c>
      <c r="AI259" t="s">
        <v>2365</v>
      </c>
      <c r="AJ259" t="s">
        <v>2365</v>
      </c>
      <c r="AK259" t="s">
        <v>2365</v>
      </c>
      <c r="AL259" t="s">
        <v>2365</v>
      </c>
      <c r="AM259" t="s">
        <v>2365</v>
      </c>
      <c r="AN259" t="s">
        <v>2365</v>
      </c>
      <c r="AR259" t="s">
        <v>2365</v>
      </c>
      <c r="AS259" t="s">
        <v>2365</v>
      </c>
      <c r="AT259" t="s">
        <v>2365</v>
      </c>
      <c r="AU259" t="s">
        <v>2365</v>
      </c>
      <c r="AV259" t="s">
        <v>2365</v>
      </c>
      <c r="AW259" t="s">
        <v>2365</v>
      </c>
      <c r="AX259" t="s">
        <v>2365</v>
      </c>
      <c r="AY259" t="s">
        <v>2365</v>
      </c>
      <c r="AZ259" t="s">
        <v>2365</v>
      </c>
      <c r="BA259" t="s">
        <v>2365</v>
      </c>
      <c r="BB259" t="s">
        <v>2365</v>
      </c>
      <c r="BC259" t="s">
        <v>2365</v>
      </c>
      <c r="BD259" t="s">
        <v>2366</v>
      </c>
      <c r="BE259" t="s">
        <v>2365</v>
      </c>
      <c r="BF259" t="s">
        <v>2365</v>
      </c>
      <c r="BG259" t="s">
        <v>2365</v>
      </c>
      <c r="BH259" t="s">
        <v>2365</v>
      </c>
      <c r="BI259" t="s">
        <v>2366</v>
      </c>
      <c r="BJ259" t="s">
        <v>2365</v>
      </c>
      <c r="BK259" t="s">
        <v>2365</v>
      </c>
      <c r="BL259" t="s">
        <v>2365</v>
      </c>
      <c r="BM259" t="s">
        <v>2365</v>
      </c>
      <c r="BO259">
        <v>4</v>
      </c>
      <c r="BP259">
        <v>42</v>
      </c>
      <c r="BQ259" t="s">
        <v>2433</v>
      </c>
      <c r="BR259" t="s">
        <v>999</v>
      </c>
      <c r="BU259">
        <v>16480</v>
      </c>
      <c r="BV259">
        <v>0</v>
      </c>
      <c r="BW259">
        <v>16480</v>
      </c>
      <c r="BX259">
        <v>0</v>
      </c>
      <c r="BY259">
        <v>16480</v>
      </c>
      <c r="BZ259">
        <v>17469</v>
      </c>
      <c r="CA259">
        <v>18517</v>
      </c>
      <c r="CB259">
        <v>0</v>
      </c>
      <c r="CC259">
        <v>1194.3699999999999</v>
      </c>
      <c r="CD259">
        <v>1165.3100000000002</v>
      </c>
      <c r="CE259">
        <v>1140.72</v>
      </c>
      <c r="CF259">
        <v>1152.26</v>
      </c>
      <c r="CG259">
        <v>1211.43</v>
      </c>
      <c r="CH259">
        <v>1208.23</v>
      </c>
      <c r="CI259">
        <v>0</v>
      </c>
      <c r="CJ259">
        <v>0</v>
      </c>
      <c r="CK259">
        <v>0</v>
      </c>
      <c r="CL259">
        <v>0</v>
      </c>
      <c r="CM259">
        <v>0</v>
      </c>
      <c r="CR259" t="s">
        <v>2333</v>
      </c>
      <c r="CS259" s="1369" t="str">
        <f>INDEX([8]Sheet1!$H:$H,MATCH(CR:CR,[8]Sheet1!$AU:$AU,0))</f>
        <v>Municipal Manager, Town Secretary and Chief Executive</v>
      </c>
    </row>
    <row r="260" spans="1:97" x14ac:dyDescent="0.2">
      <c r="A260" t="s">
        <v>2769</v>
      </c>
      <c r="B260">
        <v>313</v>
      </c>
      <c r="C260" t="s">
        <v>2769</v>
      </c>
      <c r="D260">
        <v>40774</v>
      </c>
      <c r="E260" t="s">
        <v>2530</v>
      </c>
      <c r="F260">
        <v>2000</v>
      </c>
      <c r="G260" t="s">
        <v>652</v>
      </c>
      <c r="H260" t="s">
        <v>2531</v>
      </c>
      <c r="I260" t="s">
        <v>1185</v>
      </c>
      <c r="J260">
        <v>2009</v>
      </c>
      <c r="K260" t="s">
        <v>1185</v>
      </c>
      <c r="L260">
        <v>2100</v>
      </c>
      <c r="M260" t="s">
        <v>618</v>
      </c>
      <c r="N260">
        <v>2114</v>
      </c>
      <c r="O260" t="s">
        <v>999</v>
      </c>
      <c r="P260" t="s">
        <v>2366</v>
      </c>
      <c r="Q260" t="s">
        <v>2364</v>
      </c>
      <c r="R260" t="s">
        <v>2364</v>
      </c>
      <c r="S260" t="s">
        <v>1881</v>
      </c>
      <c r="T260" t="s">
        <v>1812</v>
      </c>
      <c r="U260" t="s">
        <v>2365</v>
      </c>
      <c r="V260" t="s">
        <v>2365</v>
      </c>
      <c r="W260" t="s">
        <v>2365</v>
      </c>
      <c r="X260" t="s">
        <v>2365</v>
      </c>
      <c r="Y260" t="s">
        <v>2365</v>
      </c>
      <c r="Z260" t="s">
        <v>2365</v>
      </c>
      <c r="AA260" t="s">
        <v>2365</v>
      </c>
      <c r="AB260" t="s">
        <v>2365</v>
      </c>
      <c r="AC260" s="813" t="s">
        <v>2365</v>
      </c>
      <c r="AD260" s="813" t="s">
        <v>2365</v>
      </c>
      <c r="AE260" s="813" t="s">
        <v>2365</v>
      </c>
      <c r="AF260" t="s">
        <v>2365</v>
      </c>
      <c r="AG260" t="s">
        <v>2365</v>
      </c>
      <c r="AH260" t="s">
        <v>2365</v>
      </c>
      <c r="AI260" t="s">
        <v>2365</v>
      </c>
      <c r="AJ260" t="s">
        <v>2365</v>
      </c>
      <c r="AK260" s="1373" t="s">
        <v>2365</v>
      </c>
      <c r="AL260" t="s">
        <v>2365</v>
      </c>
      <c r="AM260" t="s">
        <v>2365</v>
      </c>
      <c r="AN260" t="s">
        <v>2365</v>
      </c>
      <c r="AR260" t="s">
        <v>2365</v>
      </c>
      <c r="AS260" t="s">
        <v>2365</v>
      </c>
      <c r="AT260" t="s">
        <v>2365</v>
      </c>
      <c r="AU260" t="s">
        <v>2365</v>
      </c>
      <c r="AV260" t="s">
        <v>2365</v>
      </c>
      <c r="AW260" t="s">
        <v>2365</v>
      </c>
      <c r="AX260" t="s">
        <v>2365</v>
      </c>
      <c r="AY260" t="s">
        <v>2365</v>
      </c>
      <c r="AZ260" t="s">
        <v>2365</v>
      </c>
      <c r="BA260" t="s">
        <v>2365</v>
      </c>
      <c r="BB260" t="s">
        <v>2365</v>
      </c>
      <c r="BC260" t="s">
        <v>2365</v>
      </c>
      <c r="BD260" t="s">
        <v>2366</v>
      </c>
      <c r="BE260" t="s">
        <v>2365</v>
      </c>
      <c r="BF260" t="s">
        <v>2365</v>
      </c>
      <c r="BG260" t="s">
        <v>2365</v>
      </c>
      <c r="BH260" t="s">
        <v>2365</v>
      </c>
      <c r="BI260" t="s">
        <v>2366</v>
      </c>
      <c r="BJ260" t="s">
        <v>2365</v>
      </c>
      <c r="BK260" t="s">
        <v>2365</v>
      </c>
      <c r="BL260" t="s">
        <v>2365</v>
      </c>
      <c r="BM260" t="s">
        <v>2365</v>
      </c>
      <c r="BN260" t="s">
        <v>2177</v>
      </c>
      <c r="BO260">
        <v>4</v>
      </c>
      <c r="BP260">
        <v>42</v>
      </c>
      <c r="BQ260" t="s">
        <v>2433</v>
      </c>
      <c r="BR260" t="s">
        <v>999</v>
      </c>
      <c r="BU260">
        <v>571</v>
      </c>
      <c r="BV260">
        <v>0</v>
      </c>
      <c r="BW260">
        <v>571</v>
      </c>
      <c r="BX260">
        <v>0</v>
      </c>
      <c r="BY260">
        <v>571</v>
      </c>
      <c r="BZ260">
        <v>611</v>
      </c>
      <c r="CA260">
        <v>654</v>
      </c>
      <c r="CB260">
        <v>0</v>
      </c>
      <c r="CC260">
        <v>79.2</v>
      </c>
      <c r="CD260">
        <v>79.2</v>
      </c>
      <c r="CE260">
        <v>79.2</v>
      </c>
      <c r="CF260">
        <v>79.2</v>
      </c>
      <c r="CG260">
        <v>79.2</v>
      </c>
      <c r="CH260">
        <v>89.1</v>
      </c>
      <c r="CI260">
        <v>0</v>
      </c>
      <c r="CJ260">
        <v>0</v>
      </c>
      <c r="CK260">
        <v>0</v>
      </c>
      <c r="CL260">
        <v>0</v>
      </c>
      <c r="CM260">
        <v>0</v>
      </c>
      <c r="CR260" t="s">
        <v>2333</v>
      </c>
      <c r="CS260" s="1369" t="str">
        <f>INDEX([8]Sheet1!$H:$H,MATCH(CR:CR,[8]Sheet1!$AU:$AU,0))</f>
        <v>Municipal Manager, Town Secretary and Chief Executive</v>
      </c>
    </row>
    <row r="261" spans="1:97" x14ac:dyDescent="0.2">
      <c r="A261" t="s">
        <v>2770</v>
      </c>
      <c r="B261">
        <v>314</v>
      </c>
      <c r="C261" t="s">
        <v>2770</v>
      </c>
      <c r="D261">
        <v>40775</v>
      </c>
      <c r="E261" t="s">
        <v>2533</v>
      </c>
      <c r="F261">
        <v>2000</v>
      </c>
      <c r="G261" t="s">
        <v>652</v>
      </c>
      <c r="H261" t="s">
        <v>2534</v>
      </c>
      <c r="I261" t="s">
        <v>196</v>
      </c>
      <c r="J261">
        <v>2003</v>
      </c>
      <c r="K261" t="s">
        <v>196</v>
      </c>
      <c r="L261">
        <v>2100</v>
      </c>
      <c r="M261" t="s">
        <v>618</v>
      </c>
      <c r="N261">
        <v>2114</v>
      </c>
      <c r="O261" t="s">
        <v>999</v>
      </c>
      <c r="P261" t="s">
        <v>2366</v>
      </c>
      <c r="Q261" t="s">
        <v>2364</v>
      </c>
      <c r="R261" t="s">
        <v>2364</v>
      </c>
      <c r="S261" t="s">
        <v>1881</v>
      </c>
      <c r="T261" t="s">
        <v>1812</v>
      </c>
      <c r="U261" t="s">
        <v>2365</v>
      </c>
      <c r="V261" t="s">
        <v>2365</v>
      </c>
      <c r="W261" t="s">
        <v>2365</v>
      </c>
      <c r="X261" t="s">
        <v>2365</v>
      </c>
      <c r="Y261" t="s">
        <v>2365</v>
      </c>
      <c r="Z261" t="s">
        <v>2365</v>
      </c>
      <c r="AA261" t="s">
        <v>2365</v>
      </c>
      <c r="AB261" t="s">
        <v>2365</v>
      </c>
      <c r="AC261" s="813" t="s">
        <v>2365</v>
      </c>
      <c r="AD261" s="813" t="s">
        <v>2365</v>
      </c>
      <c r="AE261" s="813" t="s">
        <v>2365</v>
      </c>
      <c r="AF261" t="s">
        <v>2365</v>
      </c>
      <c r="AG261" t="s">
        <v>2365</v>
      </c>
      <c r="AH261" t="s">
        <v>2365</v>
      </c>
      <c r="AI261" t="s">
        <v>2365</v>
      </c>
      <c r="AJ261" t="s">
        <v>2365</v>
      </c>
      <c r="AK261" s="1373" t="s">
        <v>2365</v>
      </c>
      <c r="AL261" t="s">
        <v>2365</v>
      </c>
      <c r="AM261" t="s">
        <v>2365</v>
      </c>
      <c r="AN261" t="s">
        <v>2365</v>
      </c>
      <c r="AR261" t="s">
        <v>2365</v>
      </c>
      <c r="AS261" t="s">
        <v>2365</v>
      </c>
      <c r="AT261" t="s">
        <v>2365</v>
      </c>
      <c r="AU261" t="s">
        <v>2365</v>
      </c>
      <c r="AV261" t="s">
        <v>2365</v>
      </c>
      <c r="AW261" t="s">
        <v>2365</v>
      </c>
      <c r="AX261" t="s">
        <v>2365</v>
      </c>
      <c r="AY261" t="s">
        <v>2365</v>
      </c>
      <c r="AZ261" t="s">
        <v>2365</v>
      </c>
      <c r="BA261" t="s">
        <v>2365</v>
      </c>
      <c r="BB261" t="s">
        <v>2365</v>
      </c>
      <c r="BC261" t="s">
        <v>2365</v>
      </c>
      <c r="BD261" t="s">
        <v>2366</v>
      </c>
      <c r="BE261" t="s">
        <v>2365</v>
      </c>
      <c r="BF261" t="s">
        <v>2365</v>
      </c>
      <c r="BG261" t="s">
        <v>2365</v>
      </c>
      <c r="BH261" t="s">
        <v>2365</v>
      </c>
      <c r="BI261" t="s">
        <v>2366</v>
      </c>
      <c r="BJ261" t="s">
        <v>2365</v>
      </c>
      <c r="BK261" t="s">
        <v>2365</v>
      </c>
      <c r="BL261" t="s">
        <v>2365</v>
      </c>
      <c r="BM261" t="s">
        <v>2365</v>
      </c>
      <c r="BN261" t="s">
        <v>2177</v>
      </c>
      <c r="BO261">
        <v>4</v>
      </c>
      <c r="BP261">
        <v>42</v>
      </c>
      <c r="BQ261" t="s">
        <v>2433</v>
      </c>
      <c r="BR261" t="s">
        <v>999</v>
      </c>
      <c r="BU261">
        <v>140668</v>
      </c>
      <c r="BV261">
        <v>0</v>
      </c>
      <c r="BW261">
        <v>140668</v>
      </c>
      <c r="BX261">
        <v>0</v>
      </c>
      <c r="BY261">
        <v>140668</v>
      </c>
      <c r="BZ261">
        <v>150515</v>
      </c>
      <c r="CA261">
        <v>161051</v>
      </c>
      <c r="CB261">
        <v>0</v>
      </c>
      <c r="CC261">
        <v>10822.2</v>
      </c>
      <c r="CD261">
        <v>10984.2</v>
      </c>
      <c r="CE261">
        <v>10984.2</v>
      </c>
      <c r="CF261">
        <v>11559.6</v>
      </c>
      <c r="CG261">
        <v>11559.6</v>
      </c>
      <c r="CH261">
        <v>13579.2</v>
      </c>
      <c r="CI261">
        <v>0</v>
      </c>
      <c r="CJ261">
        <v>0</v>
      </c>
      <c r="CK261">
        <v>0</v>
      </c>
      <c r="CL261">
        <v>0</v>
      </c>
      <c r="CM261">
        <v>0</v>
      </c>
      <c r="CR261" t="s">
        <v>2333</v>
      </c>
      <c r="CS261" s="1369" t="str">
        <f>INDEX([8]Sheet1!$H:$H,MATCH(CR:CR,[8]Sheet1!$AU:$AU,0))</f>
        <v>Municipal Manager, Town Secretary and Chief Executive</v>
      </c>
    </row>
    <row r="262" spans="1:97" x14ac:dyDescent="0.2">
      <c r="A262" t="s">
        <v>2771</v>
      </c>
      <c r="B262">
        <v>315</v>
      </c>
      <c r="C262" t="s">
        <v>2771</v>
      </c>
      <c r="D262">
        <v>40776</v>
      </c>
      <c r="E262" t="s">
        <v>2536</v>
      </c>
      <c r="F262">
        <v>2000</v>
      </c>
      <c r="G262" t="s">
        <v>652</v>
      </c>
      <c r="H262" t="s">
        <v>2472</v>
      </c>
      <c r="I262" t="s">
        <v>1375</v>
      </c>
      <c r="J262">
        <v>2002</v>
      </c>
      <c r="K262" t="s">
        <v>1375</v>
      </c>
      <c r="L262">
        <v>2100</v>
      </c>
      <c r="M262" t="s">
        <v>618</v>
      </c>
      <c r="N262">
        <v>2114</v>
      </c>
      <c r="O262" t="s">
        <v>999</v>
      </c>
      <c r="P262" t="s">
        <v>2366</v>
      </c>
      <c r="Q262" t="s">
        <v>2364</v>
      </c>
      <c r="R262" t="s">
        <v>2364</v>
      </c>
      <c r="S262" t="s">
        <v>1881</v>
      </c>
      <c r="T262" t="s">
        <v>1812</v>
      </c>
      <c r="U262" t="s">
        <v>2365</v>
      </c>
      <c r="V262" t="s">
        <v>2365</v>
      </c>
      <c r="W262" t="s">
        <v>2365</v>
      </c>
      <c r="X262" t="s">
        <v>2365</v>
      </c>
      <c r="Y262" t="s">
        <v>2365</v>
      </c>
      <c r="Z262" t="s">
        <v>2365</v>
      </c>
      <c r="AA262" t="s">
        <v>2365</v>
      </c>
      <c r="AB262" t="s">
        <v>2365</v>
      </c>
      <c r="AC262" s="813" t="s">
        <v>2365</v>
      </c>
      <c r="AD262" s="813" t="s">
        <v>2365</v>
      </c>
      <c r="AE262" s="813" t="s">
        <v>2365</v>
      </c>
      <c r="AF262" t="s">
        <v>2365</v>
      </c>
      <c r="AG262" t="s">
        <v>2365</v>
      </c>
      <c r="AH262" t="s">
        <v>2365</v>
      </c>
      <c r="AI262" t="s">
        <v>2365</v>
      </c>
      <c r="AJ262" t="s">
        <v>2365</v>
      </c>
      <c r="AK262" s="1373" t="s">
        <v>2365</v>
      </c>
      <c r="AL262" t="s">
        <v>2365</v>
      </c>
      <c r="AM262" t="s">
        <v>2365</v>
      </c>
      <c r="AN262" t="s">
        <v>2365</v>
      </c>
      <c r="AR262" t="s">
        <v>2365</v>
      </c>
      <c r="AS262" t="s">
        <v>2365</v>
      </c>
      <c r="AT262" t="s">
        <v>2365</v>
      </c>
      <c r="AU262" t="s">
        <v>2365</v>
      </c>
      <c r="AV262" t="s">
        <v>2365</v>
      </c>
      <c r="AW262" t="s">
        <v>2365</v>
      </c>
      <c r="AX262" t="s">
        <v>2365</v>
      </c>
      <c r="AY262" t="s">
        <v>2365</v>
      </c>
      <c r="AZ262" t="s">
        <v>2365</v>
      </c>
      <c r="BA262" t="s">
        <v>2365</v>
      </c>
      <c r="BB262" t="s">
        <v>2365</v>
      </c>
      <c r="BC262" t="s">
        <v>2365</v>
      </c>
      <c r="BD262" t="s">
        <v>2366</v>
      </c>
      <c r="BE262" t="s">
        <v>2365</v>
      </c>
      <c r="BF262" t="s">
        <v>2365</v>
      </c>
      <c r="BG262" t="s">
        <v>2365</v>
      </c>
      <c r="BH262" t="s">
        <v>2365</v>
      </c>
      <c r="BI262" t="s">
        <v>2366</v>
      </c>
      <c r="BJ262" t="s">
        <v>2365</v>
      </c>
      <c r="BK262" t="s">
        <v>2365</v>
      </c>
      <c r="BL262" t="s">
        <v>2365</v>
      </c>
      <c r="BM262" t="s">
        <v>2365</v>
      </c>
      <c r="BN262" t="s">
        <v>2177</v>
      </c>
      <c r="BO262">
        <v>4</v>
      </c>
      <c r="BP262">
        <v>42</v>
      </c>
      <c r="BQ262" t="s">
        <v>2433</v>
      </c>
      <c r="BR262" t="s">
        <v>999</v>
      </c>
      <c r="BU262">
        <v>316502</v>
      </c>
      <c r="BV262">
        <v>0</v>
      </c>
      <c r="BW262">
        <v>316502</v>
      </c>
      <c r="BX262">
        <v>0</v>
      </c>
      <c r="BY262">
        <v>316502</v>
      </c>
      <c r="BZ262">
        <v>338658</v>
      </c>
      <c r="CA262">
        <v>362364</v>
      </c>
      <c r="CB262">
        <v>0</v>
      </c>
      <c r="CC262">
        <v>25299.84</v>
      </c>
      <c r="CD262">
        <v>26786.91</v>
      </c>
      <c r="CE262">
        <v>26769.32</v>
      </c>
      <c r="CF262">
        <v>27420.03</v>
      </c>
      <c r="CG262">
        <v>28846.73</v>
      </c>
      <c r="CH262">
        <v>29046.309999999998</v>
      </c>
      <c r="CI262">
        <v>0</v>
      </c>
      <c r="CJ262">
        <v>0</v>
      </c>
      <c r="CK262">
        <v>0</v>
      </c>
      <c r="CL262">
        <v>0</v>
      </c>
      <c r="CM262">
        <v>0</v>
      </c>
      <c r="CR262" t="s">
        <v>2333</v>
      </c>
      <c r="CS262" s="1369" t="str">
        <f>INDEX([8]Sheet1!$H:$H,MATCH(CR:CR,[8]Sheet1!$AU:$AU,0))</f>
        <v>Municipal Manager, Town Secretary and Chief Executive</v>
      </c>
    </row>
    <row r="263" spans="1:97" x14ac:dyDescent="0.2">
      <c r="A263" t="s">
        <v>2772</v>
      </c>
      <c r="B263">
        <v>316</v>
      </c>
      <c r="C263" t="s">
        <v>2772</v>
      </c>
      <c r="D263">
        <v>40777</v>
      </c>
      <c r="E263" t="s">
        <v>2471</v>
      </c>
      <c r="F263">
        <v>2000</v>
      </c>
      <c r="G263" t="s">
        <v>652</v>
      </c>
      <c r="H263" t="s">
        <v>2472</v>
      </c>
      <c r="I263" t="s">
        <v>1375</v>
      </c>
      <c r="J263">
        <v>2002</v>
      </c>
      <c r="K263" t="s">
        <v>1375</v>
      </c>
      <c r="L263">
        <v>2100</v>
      </c>
      <c r="M263" t="s">
        <v>618</v>
      </c>
      <c r="N263">
        <v>2114</v>
      </c>
      <c r="O263" t="s">
        <v>999</v>
      </c>
      <c r="P263" t="s">
        <v>2366</v>
      </c>
      <c r="Q263" t="s">
        <v>2364</v>
      </c>
      <c r="R263" t="s">
        <v>2364</v>
      </c>
      <c r="S263" t="s">
        <v>1881</v>
      </c>
      <c r="T263" t="s">
        <v>1812</v>
      </c>
      <c r="U263" t="s">
        <v>2365</v>
      </c>
      <c r="V263" t="s">
        <v>2365</v>
      </c>
      <c r="W263" t="s">
        <v>2365</v>
      </c>
      <c r="X263" t="s">
        <v>2365</v>
      </c>
      <c r="Y263" t="s">
        <v>2365</v>
      </c>
      <c r="Z263" t="s">
        <v>2365</v>
      </c>
      <c r="AA263" t="s">
        <v>2365</v>
      </c>
      <c r="AB263" t="s">
        <v>2365</v>
      </c>
      <c r="AC263" s="813" t="s">
        <v>2365</v>
      </c>
      <c r="AD263" s="813" t="s">
        <v>2365</v>
      </c>
      <c r="AE263" s="813" t="s">
        <v>2365</v>
      </c>
      <c r="AF263" t="s">
        <v>2365</v>
      </c>
      <c r="AG263" t="s">
        <v>2365</v>
      </c>
      <c r="AH263" t="s">
        <v>2365</v>
      </c>
      <c r="AI263" t="s">
        <v>2365</v>
      </c>
      <c r="AJ263" t="s">
        <v>2365</v>
      </c>
      <c r="AK263" s="1373" t="s">
        <v>2365</v>
      </c>
      <c r="AL263" t="s">
        <v>2365</v>
      </c>
      <c r="AM263" t="s">
        <v>2365</v>
      </c>
      <c r="AN263" t="s">
        <v>2365</v>
      </c>
      <c r="AR263" t="s">
        <v>2365</v>
      </c>
      <c r="AS263" t="s">
        <v>2365</v>
      </c>
      <c r="AT263" t="s">
        <v>2365</v>
      </c>
      <c r="AU263" t="s">
        <v>2365</v>
      </c>
      <c r="AV263" t="s">
        <v>2365</v>
      </c>
      <c r="AW263" t="s">
        <v>2365</v>
      </c>
      <c r="AX263" t="s">
        <v>2365</v>
      </c>
      <c r="AY263" t="s">
        <v>2365</v>
      </c>
      <c r="AZ263" t="s">
        <v>2365</v>
      </c>
      <c r="BA263" t="s">
        <v>2365</v>
      </c>
      <c r="BB263" t="s">
        <v>2365</v>
      </c>
      <c r="BC263" t="s">
        <v>2365</v>
      </c>
      <c r="BD263" t="s">
        <v>2366</v>
      </c>
      <c r="BE263" t="s">
        <v>2365</v>
      </c>
      <c r="BF263" t="s">
        <v>2365</v>
      </c>
      <c r="BG263" t="s">
        <v>2365</v>
      </c>
      <c r="BH263" t="s">
        <v>2365</v>
      </c>
      <c r="BI263" t="s">
        <v>2366</v>
      </c>
      <c r="BJ263" t="s">
        <v>2365</v>
      </c>
      <c r="BK263" t="s">
        <v>2365</v>
      </c>
      <c r="BL263" t="s">
        <v>2365</v>
      </c>
      <c r="BM263" t="s">
        <v>2365</v>
      </c>
      <c r="BN263" t="s">
        <v>2177</v>
      </c>
      <c r="BO263">
        <v>4</v>
      </c>
      <c r="BP263">
        <v>42</v>
      </c>
      <c r="BQ263" t="s">
        <v>2433</v>
      </c>
      <c r="BR263" t="s">
        <v>999</v>
      </c>
      <c r="BU263">
        <v>17583</v>
      </c>
      <c r="BV263">
        <v>0</v>
      </c>
      <c r="BW263">
        <v>17583</v>
      </c>
      <c r="BX263">
        <v>0</v>
      </c>
      <c r="BY263">
        <v>17583</v>
      </c>
      <c r="BZ263">
        <v>18814</v>
      </c>
      <c r="CA263">
        <v>20131</v>
      </c>
      <c r="CB263">
        <v>21.67</v>
      </c>
      <c r="CC263">
        <v>1448.3400000000001</v>
      </c>
      <c r="CD263">
        <v>0</v>
      </c>
      <c r="CE263">
        <v>0</v>
      </c>
      <c r="CF263">
        <v>0</v>
      </c>
      <c r="CG263">
        <v>0</v>
      </c>
      <c r="CH263">
        <v>0</v>
      </c>
      <c r="CI263">
        <v>0</v>
      </c>
      <c r="CJ263">
        <v>0</v>
      </c>
      <c r="CK263">
        <v>0</v>
      </c>
      <c r="CL263">
        <v>0</v>
      </c>
      <c r="CM263">
        <v>0</v>
      </c>
      <c r="CR263" t="s">
        <v>2333</v>
      </c>
      <c r="CS263" s="1369" t="str">
        <f>INDEX([8]Sheet1!$H:$H,MATCH(CR:CR,[8]Sheet1!$AU:$AU,0))</f>
        <v>Municipal Manager, Town Secretary and Chief Executive</v>
      </c>
    </row>
    <row r="264" spans="1:97" x14ac:dyDescent="0.2">
      <c r="A264" t="s">
        <v>2773</v>
      </c>
      <c r="B264">
        <v>317</v>
      </c>
      <c r="C264" t="s">
        <v>2773</v>
      </c>
      <c r="D264">
        <v>40778</v>
      </c>
      <c r="E264" t="s">
        <v>2539</v>
      </c>
      <c r="F264">
        <v>2000</v>
      </c>
      <c r="G264" t="s">
        <v>652</v>
      </c>
      <c r="H264" t="s">
        <v>2540</v>
      </c>
      <c r="I264" t="s">
        <v>1157</v>
      </c>
      <c r="J264">
        <v>2009</v>
      </c>
      <c r="K264" t="s">
        <v>1185</v>
      </c>
      <c r="L264">
        <v>2100</v>
      </c>
      <c r="M264" t="s">
        <v>618</v>
      </c>
      <c r="N264">
        <v>2114</v>
      </c>
      <c r="O264" t="s">
        <v>999</v>
      </c>
      <c r="P264" t="s">
        <v>2366</v>
      </c>
      <c r="Q264" t="s">
        <v>2364</v>
      </c>
      <c r="R264" t="s">
        <v>2364</v>
      </c>
      <c r="S264" t="s">
        <v>1881</v>
      </c>
      <c r="T264" t="s">
        <v>1812</v>
      </c>
      <c r="U264" t="s">
        <v>2365</v>
      </c>
      <c r="V264" t="s">
        <v>2365</v>
      </c>
      <c r="W264" t="s">
        <v>2365</v>
      </c>
      <c r="X264" t="s">
        <v>2365</v>
      </c>
      <c r="Y264" t="s">
        <v>2365</v>
      </c>
      <c r="Z264" t="s">
        <v>2365</v>
      </c>
      <c r="AA264" t="s">
        <v>2365</v>
      </c>
      <c r="AB264" t="s">
        <v>2365</v>
      </c>
      <c r="AC264" s="813" t="s">
        <v>2365</v>
      </c>
      <c r="AD264" s="813" t="s">
        <v>2365</v>
      </c>
      <c r="AE264" s="813" t="s">
        <v>2365</v>
      </c>
      <c r="AF264" t="s">
        <v>2365</v>
      </c>
      <c r="AG264" t="s">
        <v>2365</v>
      </c>
      <c r="AH264" t="s">
        <v>2365</v>
      </c>
      <c r="AI264" t="s">
        <v>2365</v>
      </c>
      <c r="AJ264" t="s">
        <v>2365</v>
      </c>
      <c r="AK264" s="1373" t="s">
        <v>2365</v>
      </c>
      <c r="AL264" t="s">
        <v>2365</v>
      </c>
      <c r="AM264" t="s">
        <v>2365</v>
      </c>
      <c r="AN264" t="s">
        <v>2365</v>
      </c>
      <c r="AR264" t="s">
        <v>2365</v>
      </c>
      <c r="AS264" t="s">
        <v>2365</v>
      </c>
      <c r="AT264" t="s">
        <v>2365</v>
      </c>
      <c r="AU264" t="s">
        <v>2365</v>
      </c>
      <c r="AV264" t="s">
        <v>2365</v>
      </c>
      <c r="AW264" t="s">
        <v>2365</v>
      </c>
      <c r="AX264" t="s">
        <v>2365</v>
      </c>
      <c r="AY264" t="s">
        <v>2365</v>
      </c>
      <c r="AZ264" t="s">
        <v>2365</v>
      </c>
      <c r="BA264" t="s">
        <v>2365</v>
      </c>
      <c r="BB264" t="s">
        <v>2365</v>
      </c>
      <c r="BC264" t="s">
        <v>2365</v>
      </c>
      <c r="BD264" t="s">
        <v>2366</v>
      </c>
      <c r="BE264" t="s">
        <v>2365</v>
      </c>
      <c r="BF264" t="s">
        <v>2365</v>
      </c>
      <c r="BG264" t="s">
        <v>2365</v>
      </c>
      <c r="BH264" t="s">
        <v>2365</v>
      </c>
      <c r="BI264" t="s">
        <v>2366</v>
      </c>
      <c r="BJ264" t="s">
        <v>2365</v>
      </c>
      <c r="BK264" t="s">
        <v>2365</v>
      </c>
      <c r="BL264" t="s">
        <v>2365</v>
      </c>
      <c r="BM264" t="s">
        <v>2365</v>
      </c>
      <c r="BN264" t="s">
        <v>2177</v>
      </c>
      <c r="BO264">
        <v>4</v>
      </c>
      <c r="BP264">
        <v>42</v>
      </c>
      <c r="BQ264" t="s">
        <v>2433</v>
      </c>
      <c r="BR264" t="s">
        <v>999</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R264" t="s">
        <v>2333</v>
      </c>
      <c r="CS264" s="1369" t="str">
        <f>INDEX([8]Sheet1!$H:$H,MATCH(CR:CR,[8]Sheet1!$AU:$AU,0))</f>
        <v>Municipal Manager, Town Secretary and Chief Executive</v>
      </c>
    </row>
    <row r="265" spans="1:97" x14ac:dyDescent="0.2">
      <c r="A265" t="s">
        <v>2774</v>
      </c>
      <c r="B265">
        <v>318</v>
      </c>
      <c r="C265" t="s">
        <v>2774</v>
      </c>
      <c r="D265">
        <v>40779</v>
      </c>
      <c r="E265" t="s">
        <v>2542</v>
      </c>
      <c r="F265">
        <v>2000</v>
      </c>
      <c r="G265" t="s">
        <v>652</v>
      </c>
      <c r="H265" t="s">
        <v>2540</v>
      </c>
      <c r="I265" t="s">
        <v>1157</v>
      </c>
      <c r="J265">
        <v>2009</v>
      </c>
      <c r="K265" t="s">
        <v>1185</v>
      </c>
      <c r="L265">
        <v>2100</v>
      </c>
      <c r="M265" t="s">
        <v>618</v>
      </c>
      <c r="N265">
        <v>2114</v>
      </c>
      <c r="O265" t="s">
        <v>999</v>
      </c>
      <c r="P265" t="s">
        <v>2366</v>
      </c>
      <c r="Q265" t="s">
        <v>2364</v>
      </c>
      <c r="R265" t="s">
        <v>2364</v>
      </c>
      <c r="S265" t="s">
        <v>1881</v>
      </c>
      <c r="T265" t="s">
        <v>1812</v>
      </c>
      <c r="U265" t="s">
        <v>2365</v>
      </c>
      <c r="V265" t="s">
        <v>2365</v>
      </c>
      <c r="W265" t="s">
        <v>2365</v>
      </c>
      <c r="X265" t="s">
        <v>2365</v>
      </c>
      <c r="Y265" t="s">
        <v>2365</v>
      </c>
      <c r="Z265" t="s">
        <v>2365</v>
      </c>
      <c r="AA265" t="s">
        <v>2365</v>
      </c>
      <c r="AB265" t="s">
        <v>2365</v>
      </c>
      <c r="AC265" s="813" t="s">
        <v>2365</v>
      </c>
      <c r="AD265" s="813" t="s">
        <v>2365</v>
      </c>
      <c r="AE265" s="813" t="s">
        <v>2365</v>
      </c>
      <c r="AF265" t="s">
        <v>2365</v>
      </c>
      <c r="AG265" t="s">
        <v>2365</v>
      </c>
      <c r="AH265" t="s">
        <v>2365</v>
      </c>
      <c r="AI265" t="s">
        <v>2365</v>
      </c>
      <c r="AJ265" t="s">
        <v>2365</v>
      </c>
      <c r="AK265" s="1373" t="s">
        <v>2365</v>
      </c>
      <c r="AL265" t="s">
        <v>2365</v>
      </c>
      <c r="AM265" t="s">
        <v>2365</v>
      </c>
      <c r="AN265" t="s">
        <v>2365</v>
      </c>
      <c r="AR265" t="s">
        <v>2365</v>
      </c>
      <c r="AS265" t="s">
        <v>2365</v>
      </c>
      <c r="AT265" t="s">
        <v>2365</v>
      </c>
      <c r="AU265" t="s">
        <v>2365</v>
      </c>
      <c r="AV265" t="s">
        <v>2365</v>
      </c>
      <c r="AW265" t="s">
        <v>2365</v>
      </c>
      <c r="AX265" t="s">
        <v>2365</v>
      </c>
      <c r="AY265" t="s">
        <v>2365</v>
      </c>
      <c r="AZ265" t="s">
        <v>2365</v>
      </c>
      <c r="BA265" t="s">
        <v>2365</v>
      </c>
      <c r="BB265" t="s">
        <v>2365</v>
      </c>
      <c r="BC265" t="s">
        <v>2365</v>
      </c>
      <c r="BD265" t="s">
        <v>2366</v>
      </c>
      <c r="BE265" t="s">
        <v>2365</v>
      </c>
      <c r="BF265" t="s">
        <v>2365</v>
      </c>
      <c r="BG265" t="s">
        <v>2365</v>
      </c>
      <c r="BH265" t="s">
        <v>2365</v>
      </c>
      <c r="BI265" t="s">
        <v>2366</v>
      </c>
      <c r="BJ265" t="s">
        <v>2365</v>
      </c>
      <c r="BK265" t="s">
        <v>2365</v>
      </c>
      <c r="BL265" t="s">
        <v>2365</v>
      </c>
      <c r="BM265" t="s">
        <v>2365</v>
      </c>
      <c r="BN265" t="s">
        <v>2177</v>
      </c>
      <c r="BO265">
        <v>4</v>
      </c>
      <c r="BP265">
        <v>42</v>
      </c>
      <c r="BQ265" t="s">
        <v>2433</v>
      </c>
      <c r="BR265" t="s">
        <v>999</v>
      </c>
      <c r="BU265">
        <v>34003</v>
      </c>
      <c r="BV265">
        <v>0</v>
      </c>
      <c r="BW265">
        <v>34003</v>
      </c>
      <c r="BX265">
        <v>0</v>
      </c>
      <c r="BY265">
        <v>34003</v>
      </c>
      <c r="BZ265">
        <v>36383</v>
      </c>
      <c r="CA265">
        <v>38930</v>
      </c>
      <c r="CB265">
        <v>0</v>
      </c>
      <c r="CC265">
        <v>0</v>
      </c>
      <c r="CD265">
        <v>768.04</v>
      </c>
      <c r="CE265">
        <v>1536.02</v>
      </c>
      <c r="CF265">
        <v>2436.6</v>
      </c>
      <c r="CG265">
        <v>2437.34</v>
      </c>
      <c r="CH265">
        <v>0</v>
      </c>
      <c r="CI265">
        <v>0</v>
      </c>
      <c r="CJ265">
        <v>0</v>
      </c>
      <c r="CK265">
        <v>0</v>
      </c>
      <c r="CL265">
        <v>0</v>
      </c>
      <c r="CM265">
        <v>0</v>
      </c>
      <c r="CR265" t="s">
        <v>2333</v>
      </c>
      <c r="CS265" s="1369" t="str">
        <f>INDEX([8]Sheet1!$H:$H,MATCH(CR:CR,[8]Sheet1!$AU:$AU,0))</f>
        <v>Municipal Manager, Town Secretary and Chief Executive</v>
      </c>
    </row>
    <row r="266" spans="1:97" x14ac:dyDescent="0.2">
      <c r="A266" t="s">
        <v>2775</v>
      </c>
      <c r="B266">
        <v>319</v>
      </c>
      <c r="C266" t="s">
        <v>2775</v>
      </c>
      <c r="D266">
        <v>40780</v>
      </c>
      <c r="E266" t="s">
        <v>2544</v>
      </c>
      <c r="F266">
        <v>2000</v>
      </c>
      <c r="G266" t="s">
        <v>652</v>
      </c>
      <c r="H266" t="s">
        <v>2531</v>
      </c>
      <c r="I266" t="s">
        <v>1185</v>
      </c>
      <c r="J266">
        <v>2001</v>
      </c>
      <c r="K266" t="s">
        <v>203</v>
      </c>
      <c r="L266">
        <v>2100</v>
      </c>
      <c r="M266" t="s">
        <v>618</v>
      </c>
      <c r="N266">
        <v>2114</v>
      </c>
      <c r="O266" t="s">
        <v>999</v>
      </c>
      <c r="P266" t="s">
        <v>2366</v>
      </c>
      <c r="Q266" t="s">
        <v>2364</v>
      </c>
      <c r="R266" t="s">
        <v>2364</v>
      </c>
      <c r="S266" t="s">
        <v>1881</v>
      </c>
      <c r="T266" t="s">
        <v>1812</v>
      </c>
      <c r="U266" t="s">
        <v>2365</v>
      </c>
      <c r="V266" t="s">
        <v>2365</v>
      </c>
      <c r="W266" t="s">
        <v>2365</v>
      </c>
      <c r="X266" t="s">
        <v>2365</v>
      </c>
      <c r="Y266" t="s">
        <v>2365</v>
      </c>
      <c r="Z266" t="s">
        <v>2365</v>
      </c>
      <c r="AA266" t="s">
        <v>2365</v>
      </c>
      <c r="AB266" t="s">
        <v>2365</v>
      </c>
      <c r="AC266" s="813" t="s">
        <v>2365</v>
      </c>
      <c r="AD266" s="813" t="s">
        <v>2365</v>
      </c>
      <c r="AE266" s="813" t="s">
        <v>2365</v>
      </c>
      <c r="AF266" t="s">
        <v>2365</v>
      </c>
      <c r="AG266" t="s">
        <v>2365</v>
      </c>
      <c r="AH266" t="s">
        <v>2365</v>
      </c>
      <c r="AI266" t="s">
        <v>2365</v>
      </c>
      <c r="AJ266" t="s">
        <v>2365</v>
      </c>
      <c r="AK266" s="1373" t="s">
        <v>2365</v>
      </c>
      <c r="AL266" t="s">
        <v>2365</v>
      </c>
      <c r="AM266" t="s">
        <v>2365</v>
      </c>
      <c r="AN266" t="s">
        <v>2365</v>
      </c>
      <c r="AR266" t="s">
        <v>2365</v>
      </c>
      <c r="AS266" t="s">
        <v>2365</v>
      </c>
      <c r="AT266" t="s">
        <v>2365</v>
      </c>
      <c r="AU266" t="s">
        <v>2365</v>
      </c>
      <c r="AV266" t="s">
        <v>2365</v>
      </c>
      <c r="AW266" t="s">
        <v>2365</v>
      </c>
      <c r="AX266" t="s">
        <v>2365</v>
      </c>
      <c r="AY266" t="s">
        <v>2365</v>
      </c>
      <c r="AZ266" t="s">
        <v>2365</v>
      </c>
      <c r="BA266" t="s">
        <v>2365</v>
      </c>
      <c r="BB266" t="s">
        <v>2365</v>
      </c>
      <c r="BC266" t="s">
        <v>2365</v>
      </c>
      <c r="BD266" t="s">
        <v>2366</v>
      </c>
      <c r="BE266" t="s">
        <v>2365</v>
      </c>
      <c r="BF266" t="s">
        <v>2365</v>
      </c>
      <c r="BG266" t="s">
        <v>2365</v>
      </c>
      <c r="BH266" t="s">
        <v>2365</v>
      </c>
      <c r="BI266" t="s">
        <v>2366</v>
      </c>
      <c r="BJ266" t="s">
        <v>2365</v>
      </c>
      <c r="BK266" t="s">
        <v>2365</v>
      </c>
      <c r="BL266" t="s">
        <v>2365</v>
      </c>
      <c r="BM266" t="s">
        <v>2365</v>
      </c>
      <c r="BN266" t="s">
        <v>2177</v>
      </c>
      <c r="BO266">
        <v>4</v>
      </c>
      <c r="BP266">
        <v>42</v>
      </c>
      <c r="BQ266" t="s">
        <v>2433</v>
      </c>
      <c r="BR266" t="s">
        <v>999</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R266" t="s">
        <v>2333</v>
      </c>
      <c r="CS266" s="1369" t="str">
        <f>INDEX([8]Sheet1!$H:$H,MATCH(CR:CR,[8]Sheet1!$AU:$AU,0))</f>
        <v>Municipal Manager, Town Secretary and Chief Executive</v>
      </c>
    </row>
    <row r="267" spans="1:97" x14ac:dyDescent="0.2">
      <c r="A267" t="s">
        <v>2776</v>
      </c>
      <c r="B267">
        <v>320</v>
      </c>
      <c r="C267" t="s">
        <v>2776</v>
      </c>
      <c r="D267">
        <v>40781</v>
      </c>
      <c r="E267" t="s">
        <v>2546</v>
      </c>
      <c r="F267">
        <v>2000</v>
      </c>
      <c r="G267" t="s">
        <v>652</v>
      </c>
      <c r="H267" t="s">
        <v>2547</v>
      </c>
      <c r="I267" t="s">
        <v>200</v>
      </c>
      <c r="J267">
        <v>2005</v>
      </c>
      <c r="K267" t="s">
        <v>200</v>
      </c>
      <c r="L267">
        <v>2100</v>
      </c>
      <c r="M267" t="s">
        <v>618</v>
      </c>
      <c r="N267">
        <v>2114</v>
      </c>
      <c r="O267" t="s">
        <v>999</v>
      </c>
      <c r="P267" t="s">
        <v>2366</v>
      </c>
      <c r="Q267" t="s">
        <v>2364</v>
      </c>
      <c r="R267" t="s">
        <v>2364</v>
      </c>
      <c r="S267" t="s">
        <v>1881</v>
      </c>
      <c r="T267" t="s">
        <v>1812</v>
      </c>
      <c r="U267" t="s">
        <v>2365</v>
      </c>
      <c r="V267" t="s">
        <v>2365</v>
      </c>
      <c r="W267" t="s">
        <v>2365</v>
      </c>
      <c r="X267" t="s">
        <v>2365</v>
      </c>
      <c r="Y267" t="s">
        <v>2365</v>
      </c>
      <c r="Z267" t="s">
        <v>2365</v>
      </c>
      <c r="AA267" t="s">
        <v>2365</v>
      </c>
      <c r="AB267" t="s">
        <v>2365</v>
      </c>
      <c r="AC267" s="813" t="s">
        <v>2365</v>
      </c>
      <c r="AD267" s="813" t="s">
        <v>2365</v>
      </c>
      <c r="AE267" s="813" t="s">
        <v>2365</v>
      </c>
      <c r="AF267" t="s">
        <v>2365</v>
      </c>
      <c r="AG267" t="s">
        <v>2365</v>
      </c>
      <c r="AH267" t="s">
        <v>2365</v>
      </c>
      <c r="AI267" t="s">
        <v>2365</v>
      </c>
      <c r="AJ267" t="s">
        <v>2365</v>
      </c>
      <c r="AK267" s="1373" t="s">
        <v>2365</v>
      </c>
      <c r="AL267" t="s">
        <v>2365</v>
      </c>
      <c r="AM267" t="s">
        <v>2365</v>
      </c>
      <c r="AN267" t="s">
        <v>2365</v>
      </c>
      <c r="AR267" t="s">
        <v>2365</v>
      </c>
      <c r="AS267" t="s">
        <v>2365</v>
      </c>
      <c r="AT267" t="s">
        <v>2365</v>
      </c>
      <c r="AU267" t="s">
        <v>2365</v>
      </c>
      <c r="AV267" t="s">
        <v>2365</v>
      </c>
      <c r="AW267" t="s">
        <v>2365</v>
      </c>
      <c r="AX267" t="s">
        <v>2365</v>
      </c>
      <c r="AY267" t="s">
        <v>2365</v>
      </c>
      <c r="AZ267" t="s">
        <v>2365</v>
      </c>
      <c r="BA267" t="s">
        <v>2365</v>
      </c>
      <c r="BB267" t="s">
        <v>2365</v>
      </c>
      <c r="BC267" t="s">
        <v>2365</v>
      </c>
      <c r="BD267" t="s">
        <v>2366</v>
      </c>
      <c r="BE267" t="s">
        <v>2365</v>
      </c>
      <c r="BF267" t="s">
        <v>2365</v>
      </c>
      <c r="BG267" t="s">
        <v>2365</v>
      </c>
      <c r="BH267" t="s">
        <v>2365</v>
      </c>
      <c r="BI267" t="s">
        <v>2366</v>
      </c>
      <c r="BJ267" t="s">
        <v>2365</v>
      </c>
      <c r="BK267" t="s">
        <v>2365</v>
      </c>
      <c r="BL267" t="s">
        <v>2365</v>
      </c>
      <c r="BM267" t="s">
        <v>2365</v>
      </c>
      <c r="BN267" t="s">
        <v>2177</v>
      </c>
      <c r="BO267">
        <v>4</v>
      </c>
      <c r="BP267">
        <v>42</v>
      </c>
      <c r="BQ267" t="s">
        <v>2433</v>
      </c>
      <c r="BR267" t="s">
        <v>999</v>
      </c>
      <c r="BU267">
        <v>146529</v>
      </c>
      <c r="BV267">
        <v>0</v>
      </c>
      <c r="BW267">
        <v>146529</v>
      </c>
      <c r="BX267">
        <v>0</v>
      </c>
      <c r="BY267">
        <v>146529</v>
      </c>
      <c r="BZ267">
        <v>156786</v>
      </c>
      <c r="CA267">
        <v>167761</v>
      </c>
      <c r="CB267">
        <v>0</v>
      </c>
      <c r="CC267">
        <v>0</v>
      </c>
      <c r="CD267">
        <v>0</v>
      </c>
      <c r="CE267">
        <v>0</v>
      </c>
      <c r="CF267">
        <v>0</v>
      </c>
      <c r="CG267">
        <v>142897.79999999999</v>
      </c>
      <c r="CH267">
        <v>0</v>
      </c>
      <c r="CI267">
        <v>0</v>
      </c>
      <c r="CJ267">
        <v>0</v>
      </c>
      <c r="CK267">
        <v>0</v>
      </c>
      <c r="CL267">
        <v>0</v>
      </c>
      <c r="CM267">
        <v>0</v>
      </c>
      <c r="CR267" t="s">
        <v>2334</v>
      </c>
      <c r="CS267" s="1369" t="str">
        <f>INDEX([8]Sheet1!$H:$H,MATCH(CR:CR,[8]Sheet1!$AU:$AU,0))</f>
        <v>Governance Function</v>
      </c>
    </row>
    <row r="268" spans="1:97" x14ac:dyDescent="0.2">
      <c r="A268" t="s">
        <v>2777</v>
      </c>
      <c r="B268">
        <v>321</v>
      </c>
      <c r="C268" t="s">
        <v>2777</v>
      </c>
      <c r="D268">
        <v>40783</v>
      </c>
      <c r="E268" t="s">
        <v>2549</v>
      </c>
      <c r="F268">
        <v>2000</v>
      </c>
      <c r="G268" t="s">
        <v>652</v>
      </c>
      <c r="H268" s="1373" t="s">
        <v>2550</v>
      </c>
      <c r="I268" t="s">
        <v>1159</v>
      </c>
      <c r="J268">
        <v>2010</v>
      </c>
      <c r="K268" t="s">
        <v>1159</v>
      </c>
      <c r="L268" s="1373">
        <v>2100</v>
      </c>
      <c r="M268" t="s">
        <v>618</v>
      </c>
      <c r="N268">
        <v>2114</v>
      </c>
      <c r="O268" t="s">
        <v>999</v>
      </c>
      <c r="P268" t="s">
        <v>2366</v>
      </c>
      <c r="Q268" t="s">
        <v>2364</v>
      </c>
      <c r="R268" t="s">
        <v>2364</v>
      </c>
      <c r="S268" t="s">
        <v>1881</v>
      </c>
      <c r="T268" t="s">
        <v>1812</v>
      </c>
      <c r="U268" t="s">
        <v>2365</v>
      </c>
      <c r="V268" t="s">
        <v>2365</v>
      </c>
      <c r="W268" t="s">
        <v>2365</v>
      </c>
      <c r="X268" t="s">
        <v>2365</v>
      </c>
      <c r="Y268" t="s">
        <v>2365</v>
      </c>
      <c r="Z268" t="s">
        <v>2365</v>
      </c>
      <c r="AA268" t="s">
        <v>2365</v>
      </c>
      <c r="AB268" t="s">
        <v>2365</v>
      </c>
      <c r="AC268" s="813" t="s">
        <v>2365</v>
      </c>
      <c r="AD268" s="813" t="s">
        <v>2365</v>
      </c>
      <c r="AE268" s="813" t="s">
        <v>2365</v>
      </c>
      <c r="AF268" t="s">
        <v>2365</v>
      </c>
      <c r="AG268" t="s">
        <v>2365</v>
      </c>
      <c r="AH268" t="s">
        <v>2365</v>
      </c>
      <c r="AI268" t="s">
        <v>2365</v>
      </c>
      <c r="AJ268" t="s">
        <v>2365</v>
      </c>
      <c r="AK268" s="1373" t="s">
        <v>2365</v>
      </c>
      <c r="AL268" t="s">
        <v>2365</v>
      </c>
      <c r="AM268" t="s">
        <v>2365</v>
      </c>
      <c r="AN268" t="s">
        <v>2365</v>
      </c>
      <c r="AR268" t="s">
        <v>2365</v>
      </c>
      <c r="AS268" t="s">
        <v>2365</v>
      </c>
      <c r="AT268" t="s">
        <v>2365</v>
      </c>
      <c r="AU268" t="s">
        <v>2365</v>
      </c>
      <c r="AV268" t="s">
        <v>2365</v>
      </c>
      <c r="AW268" t="s">
        <v>2365</v>
      </c>
      <c r="AX268" t="s">
        <v>2365</v>
      </c>
      <c r="AY268" t="s">
        <v>2365</v>
      </c>
      <c r="AZ268" t="s">
        <v>2365</v>
      </c>
      <c r="BA268" t="s">
        <v>2365</v>
      </c>
      <c r="BB268" t="s">
        <v>2365</v>
      </c>
      <c r="BC268" t="s">
        <v>2365</v>
      </c>
      <c r="BD268" t="s">
        <v>2366</v>
      </c>
      <c r="BE268" t="s">
        <v>2365</v>
      </c>
      <c r="BF268" t="s">
        <v>2365</v>
      </c>
      <c r="BG268" t="s">
        <v>2365</v>
      </c>
      <c r="BH268" t="s">
        <v>2365</v>
      </c>
      <c r="BI268" t="s">
        <v>2366</v>
      </c>
      <c r="BJ268" t="s">
        <v>2365</v>
      </c>
      <c r="BK268" t="s">
        <v>2365</v>
      </c>
      <c r="BL268" t="s">
        <v>2365</v>
      </c>
      <c r="BM268" t="s">
        <v>2365</v>
      </c>
      <c r="BN268" t="s">
        <v>2177</v>
      </c>
      <c r="BO268">
        <v>4</v>
      </c>
      <c r="BP268">
        <v>42</v>
      </c>
      <c r="BQ268" t="s">
        <v>2433</v>
      </c>
      <c r="BR268" t="s">
        <v>999</v>
      </c>
      <c r="BU268" s="1371">
        <v>105501</v>
      </c>
      <c r="BV268" s="1371">
        <v>0</v>
      </c>
      <c r="BW268" s="1371">
        <v>105501</v>
      </c>
      <c r="BX268" s="1371">
        <v>0</v>
      </c>
      <c r="BY268" s="1371">
        <v>105501</v>
      </c>
      <c r="BZ268">
        <v>112886</v>
      </c>
      <c r="CA268">
        <v>120788</v>
      </c>
      <c r="CB268">
        <v>0</v>
      </c>
      <c r="CC268">
        <v>0</v>
      </c>
      <c r="CD268">
        <v>0</v>
      </c>
      <c r="CE268">
        <v>0</v>
      </c>
      <c r="CF268">
        <v>0</v>
      </c>
      <c r="CG268">
        <v>0</v>
      </c>
      <c r="CH268">
        <v>0</v>
      </c>
      <c r="CI268">
        <v>0</v>
      </c>
      <c r="CJ268">
        <v>0</v>
      </c>
      <c r="CK268">
        <v>0</v>
      </c>
      <c r="CL268">
        <v>0</v>
      </c>
      <c r="CM268">
        <v>0</v>
      </c>
      <c r="CR268" t="s">
        <v>2334</v>
      </c>
      <c r="CS268" s="1369" t="str">
        <f>INDEX([8]Sheet1!$H:$H,MATCH(CR:CR,[8]Sheet1!$AU:$AU,0))</f>
        <v>Governance Function</v>
      </c>
    </row>
    <row r="269" spans="1:97" x14ac:dyDescent="0.2">
      <c r="A269" t="s">
        <v>2778</v>
      </c>
      <c r="B269">
        <v>322</v>
      </c>
      <c r="C269" t="s">
        <v>2778</v>
      </c>
      <c r="D269">
        <v>40785</v>
      </c>
      <c r="E269" t="s">
        <v>2552</v>
      </c>
      <c r="F269">
        <v>2000</v>
      </c>
      <c r="G269" t="s">
        <v>652</v>
      </c>
      <c r="H269" s="1373" t="s">
        <v>2553</v>
      </c>
      <c r="I269" t="s">
        <v>1378</v>
      </c>
      <c r="J269">
        <v>2008</v>
      </c>
      <c r="K269" t="s">
        <v>1378</v>
      </c>
      <c r="L269" s="1373">
        <v>2100</v>
      </c>
      <c r="M269" t="s">
        <v>618</v>
      </c>
      <c r="N269">
        <v>2114</v>
      </c>
      <c r="O269" t="s">
        <v>999</v>
      </c>
      <c r="P269" t="s">
        <v>2366</v>
      </c>
      <c r="Q269" t="s">
        <v>2364</v>
      </c>
      <c r="R269" t="s">
        <v>2364</v>
      </c>
      <c r="S269" t="s">
        <v>1881</v>
      </c>
      <c r="T269" t="s">
        <v>1812</v>
      </c>
      <c r="U269" t="s">
        <v>2365</v>
      </c>
      <c r="V269" t="s">
        <v>2365</v>
      </c>
      <c r="W269" t="s">
        <v>2365</v>
      </c>
      <c r="X269" t="s">
        <v>2365</v>
      </c>
      <c r="Y269" t="s">
        <v>2365</v>
      </c>
      <c r="Z269" t="s">
        <v>2365</v>
      </c>
      <c r="AA269" t="s">
        <v>2365</v>
      </c>
      <c r="AB269" t="s">
        <v>2365</v>
      </c>
      <c r="AC269" s="813" t="s">
        <v>2365</v>
      </c>
      <c r="AD269" s="813" t="s">
        <v>2365</v>
      </c>
      <c r="AE269" s="813" t="s">
        <v>2365</v>
      </c>
      <c r="AF269" t="s">
        <v>2365</v>
      </c>
      <c r="AG269" t="s">
        <v>2365</v>
      </c>
      <c r="AH269" t="s">
        <v>2365</v>
      </c>
      <c r="AI269" t="s">
        <v>2365</v>
      </c>
      <c r="AJ269" t="s">
        <v>2365</v>
      </c>
      <c r="AK269" s="1373" t="s">
        <v>2365</v>
      </c>
      <c r="AL269" t="s">
        <v>2365</v>
      </c>
      <c r="AM269" t="s">
        <v>2365</v>
      </c>
      <c r="AN269" t="s">
        <v>2365</v>
      </c>
      <c r="AR269" t="s">
        <v>2365</v>
      </c>
      <c r="AS269" t="s">
        <v>2365</v>
      </c>
      <c r="AT269" t="s">
        <v>2365</v>
      </c>
      <c r="AU269" t="s">
        <v>2365</v>
      </c>
      <c r="AV269" t="s">
        <v>2365</v>
      </c>
      <c r="AW269" t="s">
        <v>2365</v>
      </c>
      <c r="AX269" t="s">
        <v>2365</v>
      </c>
      <c r="AY269" t="s">
        <v>2365</v>
      </c>
      <c r="AZ269" t="s">
        <v>2365</v>
      </c>
      <c r="BA269" t="s">
        <v>2365</v>
      </c>
      <c r="BB269" t="s">
        <v>2365</v>
      </c>
      <c r="BC269" t="s">
        <v>2365</v>
      </c>
      <c r="BD269" t="s">
        <v>2366</v>
      </c>
      <c r="BE269" t="s">
        <v>2365</v>
      </c>
      <c r="BF269" t="s">
        <v>2365</v>
      </c>
      <c r="BG269" t="s">
        <v>2365</v>
      </c>
      <c r="BH269" t="s">
        <v>2365</v>
      </c>
      <c r="BI269" t="s">
        <v>2366</v>
      </c>
      <c r="BJ269" t="s">
        <v>2365</v>
      </c>
      <c r="BK269" t="s">
        <v>2365</v>
      </c>
      <c r="BL269" t="s">
        <v>2365</v>
      </c>
      <c r="BM269" t="s">
        <v>2365</v>
      </c>
      <c r="BN269" t="s">
        <v>2177</v>
      </c>
      <c r="BO269">
        <v>4</v>
      </c>
      <c r="BP269">
        <v>42</v>
      </c>
      <c r="BQ269" t="s">
        <v>2433</v>
      </c>
      <c r="BR269" t="s">
        <v>999</v>
      </c>
      <c r="BU269" s="1371">
        <v>0</v>
      </c>
      <c r="BV269" s="1371">
        <v>0</v>
      </c>
      <c r="BW269" s="1371">
        <v>0</v>
      </c>
      <c r="BX269" s="1371">
        <v>0</v>
      </c>
      <c r="BY269" s="1371">
        <v>0</v>
      </c>
      <c r="BZ269">
        <v>0</v>
      </c>
      <c r="CA269">
        <v>0</v>
      </c>
      <c r="CB269">
        <v>0</v>
      </c>
      <c r="CC269">
        <v>1929.02</v>
      </c>
      <c r="CD269">
        <v>5769.2199999999993</v>
      </c>
      <c r="CE269">
        <v>2544.02</v>
      </c>
      <c r="CF269">
        <v>1929.02</v>
      </c>
      <c r="CG269">
        <v>1929.02</v>
      </c>
      <c r="CH269">
        <v>1929.02</v>
      </c>
      <c r="CI269">
        <v>0</v>
      </c>
      <c r="CJ269">
        <v>0</v>
      </c>
      <c r="CK269">
        <v>0</v>
      </c>
      <c r="CL269">
        <v>0</v>
      </c>
      <c r="CM269">
        <v>0</v>
      </c>
      <c r="CR269" t="s">
        <v>2334</v>
      </c>
      <c r="CS269" s="1369" t="str">
        <f>INDEX([8]Sheet1!$H:$H,MATCH(CR:CR,[8]Sheet1!$AU:$AU,0))</f>
        <v>Governance Function</v>
      </c>
    </row>
    <row r="270" spans="1:97" x14ac:dyDescent="0.2">
      <c r="A270" t="s">
        <v>2779</v>
      </c>
      <c r="B270">
        <v>323</v>
      </c>
      <c r="C270" t="s">
        <v>2779</v>
      </c>
      <c r="D270">
        <v>40788</v>
      </c>
      <c r="E270" t="s">
        <v>2558</v>
      </c>
      <c r="F270">
        <v>2000</v>
      </c>
      <c r="G270" t="s">
        <v>652</v>
      </c>
      <c r="H270" s="1373" t="s">
        <v>2559</v>
      </c>
      <c r="I270" t="s">
        <v>1376</v>
      </c>
      <c r="J270">
        <v>2006</v>
      </c>
      <c r="K270" t="s">
        <v>1376</v>
      </c>
      <c r="L270" s="1373">
        <v>2100</v>
      </c>
      <c r="M270" t="s">
        <v>618</v>
      </c>
      <c r="N270">
        <v>2114</v>
      </c>
      <c r="O270" t="s">
        <v>999</v>
      </c>
      <c r="P270" t="s">
        <v>2366</v>
      </c>
      <c r="Q270" t="s">
        <v>2364</v>
      </c>
      <c r="R270" t="s">
        <v>2364</v>
      </c>
      <c r="S270" t="s">
        <v>1881</v>
      </c>
      <c r="T270" t="s">
        <v>1812</v>
      </c>
      <c r="U270" t="s">
        <v>2365</v>
      </c>
      <c r="V270" t="s">
        <v>2365</v>
      </c>
      <c r="W270" t="s">
        <v>2365</v>
      </c>
      <c r="X270" t="s">
        <v>2365</v>
      </c>
      <c r="Y270" t="s">
        <v>2365</v>
      </c>
      <c r="Z270" t="s">
        <v>2365</v>
      </c>
      <c r="AA270" t="s">
        <v>2365</v>
      </c>
      <c r="AB270" t="s">
        <v>2365</v>
      </c>
      <c r="AC270" s="813" t="s">
        <v>2365</v>
      </c>
      <c r="AD270" s="813" t="s">
        <v>2365</v>
      </c>
      <c r="AE270" s="813" t="s">
        <v>2365</v>
      </c>
      <c r="AF270" t="s">
        <v>2365</v>
      </c>
      <c r="AG270" t="s">
        <v>2365</v>
      </c>
      <c r="AH270" t="s">
        <v>2365</v>
      </c>
      <c r="AI270" t="s">
        <v>2365</v>
      </c>
      <c r="AJ270" t="s">
        <v>2365</v>
      </c>
      <c r="AK270" s="1373" t="s">
        <v>2365</v>
      </c>
      <c r="AL270" t="s">
        <v>2365</v>
      </c>
      <c r="AM270" t="s">
        <v>2365</v>
      </c>
      <c r="AN270" t="s">
        <v>2365</v>
      </c>
      <c r="AR270" t="s">
        <v>2365</v>
      </c>
      <c r="AS270" t="s">
        <v>2365</v>
      </c>
      <c r="AT270" t="s">
        <v>2365</v>
      </c>
      <c r="AU270" t="s">
        <v>2365</v>
      </c>
      <c r="AV270" t="s">
        <v>2365</v>
      </c>
      <c r="AW270" t="s">
        <v>2365</v>
      </c>
      <c r="AX270" t="s">
        <v>2365</v>
      </c>
      <c r="AY270" t="s">
        <v>2365</v>
      </c>
      <c r="AZ270" t="s">
        <v>2365</v>
      </c>
      <c r="BA270" t="s">
        <v>2365</v>
      </c>
      <c r="BB270" t="s">
        <v>2365</v>
      </c>
      <c r="BC270" t="s">
        <v>2365</v>
      </c>
      <c r="BD270" t="s">
        <v>2366</v>
      </c>
      <c r="BE270" t="s">
        <v>2365</v>
      </c>
      <c r="BF270" t="s">
        <v>2365</v>
      </c>
      <c r="BG270" t="s">
        <v>2365</v>
      </c>
      <c r="BH270" t="s">
        <v>2365</v>
      </c>
      <c r="BI270" t="s">
        <v>2366</v>
      </c>
      <c r="BJ270" t="s">
        <v>2365</v>
      </c>
      <c r="BK270" t="s">
        <v>2365</v>
      </c>
      <c r="BL270" t="s">
        <v>2365</v>
      </c>
      <c r="BM270" t="s">
        <v>2365</v>
      </c>
      <c r="BN270" t="s">
        <v>2177</v>
      </c>
      <c r="BO270">
        <v>4</v>
      </c>
      <c r="BP270">
        <v>42</v>
      </c>
      <c r="BQ270" t="s">
        <v>2433</v>
      </c>
      <c r="BR270" t="s">
        <v>999</v>
      </c>
      <c r="BU270" s="1371">
        <v>0</v>
      </c>
      <c r="BV270" s="1371">
        <v>0</v>
      </c>
      <c r="BW270" s="1371">
        <v>0</v>
      </c>
      <c r="BX270" s="1371">
        <v>0</v>
      </c>
      <c r="BY270" s="1371">
        <v>0</v>
      </c>
      <c r="BZ270">
        <v>0</v>
      </c>
      <c r="CA270">
        <v>0</v>
      </c>
      <c r="CB270">
        <v>0</v>
      </c>
      <c r="CC270">
        <v>0</v>
      </c>
      <c r="CD270">
        <v>0</v>
      </c>
      <c r="CE270">
        <v>0</v>
      </c>
      <c r="CF270">
        <v>0</v>
      </c>
      <c r="CG270">
        <v>0</v>
      </c>
      <c r="CH270">
        <v>0</v>
      </c>
      <c r="CI270">
        <v>0</v>
      </c>
      <c r="CJ270">
        <v>0</v>
      </c>
      <c r="CK270">
        <v>0</v>
      </c>
      <c r="CL270">
        <v>0</v>
      </c>
      <c r="CM270">
        <v>0</v>
      </c>
      <c r="CR270" t="s">
        <v>2334</v>
      </c>
      <c r="CS270" s="1369" t="str">
        <f>INDEX([8]Sheet1!$H:$H,MATCH(CR:CR,[8]Sheet1!$AU:$AU,0))</f>
        <v>Governance Function</v>
      </c>
    </row>
    <row r="271" spans="1:97" x14ac:dyDescent="0.2">
      <c r="A271" t="s">
        <v>2780</v>
      </c>
      <c r="B271">
        <v>324</v>
      </c>
      <c r="C271" t="s">
        <v>2780</v>
      </c>
      <c r="D271">
        <v>40789</v>
      </c>
      <c r="E271" t="s">
        <v>2461</v>
      </c>
      <c r="F271">
        <v>2000</v>
      </c>
      <c r="G271" t="s">
        <v>652</v>
      </c>
      <c r="H271" s="1373" t="s">
        <v>2462</v>
      </c>
      <c r="I271" t="s">
        <v>203</v>
      </c>
      <c r="J271">
        <v>2001</v>
      </c>
      <c r="K271" t="s">
        <v>203</v>
      </c>
      <c r="L271" s="1373">
        <v>2100</v>
      </c>
      <c r="M271" t="s">
        <v>618</v>
      </c>
      <c r="N271">
        <v>2114</v>
      </c>
      <c r="O271" t="s">
        <v>999</v>
      </c>
      <c r="P271" t="s">
        <v>2366</v>
      </c>
      <c r="Q271" t="s">
        <v>2364</v>
      </c>
      <c r="R271" t="s">
        <v>2364</v>
      </c>
      <c r="S271" t="s">
        <v>1881</v>
      </c>
      <c r="T271" t="s">
        <v>1812</v>
      </c>
      <c r="U271" t="s">
        <v>2365</v>
      </c>
      <c r="V271" t="s">
        <v>2365</v>
      </c>
      <c r="W271" t="s">
        <v>2365</v>
      </c>
      <c r="X271" t="s">
        <v>2365</v>
      </c>
      <c r="Y271" t="s">
        <v>2365</v>
      </c>
      <c r="Z271" t="s">
        <v>2365</v>
      </c>
      <c r="AA271" t="s">
        <v>2365</v>
      </c>
      <c r="AB271" t="s">
        <v>2365</v>
      </c>
      <c r="AC271" s="813" t="s">
        <v>2365</v>
      </c>
      <c r="AD271" s="813" t="s">
        <v>2365</v>
      </c>
      <c r="AE271" s="813" t="s">
        <v>2365</v>
      </c>
      <c r="AF271" t="s">
        <v>2365</v>
      </c>
      <c r="AG271" t="s">
        <v>2365</v>
      </c>
      <c r="AH271" t="s">
        <v>2365</v>
      </c>
      <c r="AI271" t="s">
        <v>2365</v>
      </c>
      <c r="AJ271" t="s">
        <v>2365</v>
      </c>
      <c r="AK271" t="s">
        <v>2365</v>
      </c>
      <c r="AL271" t="s">
        <v>2365</v>
      </c>
      <c r="AM271" t="s">
        <v>2365</v>
      </c>
      <c r="AN271" t="s">
        <v>2365</v>
      </c>
      <c r="AR271" t="s">
        <v>2365</v>
      </c>
      <c r="AS271" t="s">
        <v>2365</v>
      </c>
      <c r="AT271" t="s">
        <v>2365</v>
      </c>
      <c r="AU271" t="s">
        <v>2365</v>
      </c>
      <c r="AV271" t="s">
        <v>2365</v>
      </c>
      <c r="AW271" t="s">
        <v>2365</v>
      </c>
      <c r="AX271" t="s">
        <v>2365</v>
      </c>
      <c r="AY271" t="s">
        <v>2365</v>
      </c>
      <c r="AZ271" t="s">
        <v>2365</v>
      </c>
      <c r="BA271" t="s">
        <v>2365</v>
      </c>
      <c r="BB271" t="s">
        <v>2365</v>
      </c>
      <c r="BC271" t="s">
        <v>2365</v>
      </c>
      <c r="BD271" t="s">
        <v>2366</v>
      </c>
      <c r="BE271" t="s">
        <v>2365</v>
      </c>
      <c r="BF271" t="s">
        <v>2365</v>
      </c>
      <c r="BG271" t="s">
        <v>2365</v>
      </c>
      <c r="BH271" t="s">
        <v>2365</v>
      </c>
      <c r="BI271" t="s">
        <v>2366</v>
      </c>
      <c r="BJ271" t="s">
        <v>2365</v>
      </c>
      <c r="BK271" t="s">
        <v>2365</v>
      </c>
      <c r="BL271" t="s">
        <v>2365</v>
      </c>
      <c r="BM271" t="s">
        <v>2365</v>
      </c>
      <c r="BN271" t="s">
        <v>2177</v>
      </c>
      <c r="BO271">
        <v>4</v>
      </c>
      <c r="BP271">
        <v>42</v>
      </c>
      <c r="BQ271" t="s">
        <v>2433</v>
      </c>
      <c r="BR271" t="s">
        <v>999</v>
      </c>
      <c r="BU271" s="1371">
        <v>1758347</v>
      </c>
      <c r="BV271" s="1371">
        <v>0</v>
      </c>
      <c r="BW271" s="1371">
        <v>1758347</v>
      </c>
      <c r="BX271" s="1371">
        <v>0</v>
      </c>
      <c r="BY271" s="1371">
        <v>1758347</v>
      </c>
      <c r="BZ271">
        <v>1881431</v>
      </c>
      <c r="CA271">
        <v>2013131</v>
      </c>
      <c r="CB271">
        <v>2166.67</v>
      </c>
      <c r="CC271">
        <v>158049.37000000002</v>
      </c>
      <c r="CD271">
        <v>144637.20000000001</v>
      </c>
      <c r="CE271">
        <v>144637.20000000001</v>
      </c>
      <c r="CF271">
        <v>150916.88</v>
      </c>
      <c r="CG271">
        <v>150916.88</v>
      </c>
      <c r="CH271">
        <v>157395.38</v>
      </c>
      <c r="CI271">
        <v>0</v>
      </c>
      <c r="CJ271">
        <v>0</v>
      </c>
      <c r="CK271">
        <v>0</v>
      </c>
      <c r="CL271">
        <v>0</v>
      </c>
      <c r="CM271">
        <v>0</v>
      </c>
      <c r="CR271" t="s">
        <v>2334</v>
      </c>
      <c r="CS271" s="1369" t="str">
        <f>INDEX([8]Sheet1!$H:$H,MATCH(CR:CR,[8]Sheet1!$AU:$AU,0))</f>
        <v>Governance Function</v>
      </c>
    </row>
    <row r="272" spans="1:97" x14ac:dyDescent="0.2">
      <c r="A272" t="s">
        <v>2781</v>
      </c>
      <c r="B272">
        <v>325</v>
      </c>
      <c r="C272" t="s">
        <v>2781</v>
      </c>
      <c r="D272">
        <v>41167</v>
      </c>
      <c r="E272" t="s">
        <v>2526</v>
      </c>
      <c r="F272">
        <v>2900</v>
      </c>
      <c r="G272" t="s">
        <v>569</v>
      </c>
      <c r="H272" t="s">
        <v>2366</v>
      </c>
      <c r="I272" t="s">
        <v>2366</v>
      </c>
      <c r="J272">
        <v>2904</v>
      </c>
      <c r="K272" t="s">
        <v>1432</v>
      </c>
      <c r="L272">
        <v>1200</v>
      </c>
      <c r="M272" t="s">
        <v>1480</v>
      </c>
      <c r="N272">
        <v>1204</v>
      </c>
      <c r="O272" t="s">
        <v>1487</v>
      </c>
      <c r="P272" t="s">
        <v>2366</v>
      </c>
      <c r="Q272" t="s">
        <v>2364</v>
      </c>
      <c r="R272" t="s">
        <v>2364</v>
      </c>
      <c r="S272" t="s">
        <v>1881</v>
      </c>
      <c r="T272" t="s">
        <v>1812</v>
      </c>
      <c r="U272" t="s">
        <v>2365</v>
      </c>
      <c r="V272" t="s">
        <v>2365</v>
      </c>
      <c r="W272" t="s">
        <v>2365</v>
      </c>
      <c r="X272" t="s">
        <v>2365</v>
      </c>
      <c r="Y272" t="s">
        <v>2365</v>
      </c>
      <c r="Z272" t="s">
        <v>2365</v>
      </c>
      <c r="AA272" t="s">
        <v>2365</v>
      </c>
      <c r="AB272" t="s">
        <v>2365</v>
      </c>
      <c r="AC272" s="813" t="s">
        <v>2365</v>
      </c>
      <c r="AD272" s="813" t="s">
        <v>2365</v>
      </c>
      <c r="AE272" s="813" t="s">
        <v>2365</v>
      </c>
      <c r="AF272" t="s">
        <v>2365</v>
      </c>
      <c r="AG272" t="s">
        <v>2365</v>
      </c>
      <c r="AH272" t="s">
        <v>2365</v>
      </c>
      <c r="AI272" t="s">
        <v>2365</v>
      </c>
      <c r="AJ272" t="s">
        <v>2365</v>
      </c>
      <c r="AK272" s="1373" t="s">
        <v>2365</v>
      </c>
      <c r="AL272" t="s">
        <v>2365</v>
      </c>
      <c r="AM272" t="s">
        <v>2365</v>
      </c>
      <c r="AN272" t="s">
        <v>2365</v>
      </c>
      <c r="AR272" t="s">
        <v>2365</v>
      </c>
      <c r="AS272" t="s">
        <v>2365</v>
      </c>
      <c r="AT272" t="s">
        <v>2365</v>
      </c>
      <c r="AU272" t="s">
        <v>2365</v>
      </c>
      <c r="AV272" t="s">
        <v>2365</v>
      </c>
      <c r="AW272" t="s">
        <v>2365</v>
      </c>
      <c r="AX272" t="s">
        <v>2365</v>
      </c>
      <c r="AY272" t="s">
        <v>2365</v>
      </c>
      <c r="AZ272" t="s">
        <v>2365</v>
      </c>
      <c r="BA272" t="s">
        <v>2365</v>
      </c>
      <c r="BB272" t="s">
        <v>2365</v>
      </c>
      <c r="BC272" t="s">
        <v>2365</v>
      </c>
      <c r="BD272" t="s">
        <v>2366</v>
      </c>
      <c r="BE272" t="s">
        <v>2365</v>
      </c>
      <c r="BF272" t="s">
        <v>2365</v>
      </c>
      <c r="BG272" t="s">
        <v>2365</v>
      </c>
      <c r="BH272" t="s">
        <v>2365</v>
      </c>
      <c r="BI272" t="s">
        <v>2366</v>
      </c>
      <c r="BJ272" t="s">
        <v>2365</v>
      </c>
      <c r="BK272" t="s">
        <v>2365</v>
      </c>
      <c r="BL272" t="s">
        <v>2365</v>
      </c>
      <c r="BM272" t="s">
        <v>2365</v>
      </c>
      <c r="BO272">
        <v>1</v>
      </c>
      <c r="BP272">
        <v>11</v>
      </c>
      <c r="BQ272" t="s">
        <v>2369</v>
      </c>
      <c r="BR272" t="s">
        <v>1487</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R272" t="s">
        <v>2334</v>
      </c>
      <c r="CS272" s="1369" t="str">
        <f>INDEX([8]Sheet1!$H:$H,MATCH(CR:CR,[8]Sheet1!$AU:$AU,0))</f>
        <v>Governance Function</v>
      </c>
    </row>
    <row r="273" spans="1:97" x14ac:dyDescent="0.2">
      <c r="A273" t="s">
        <v>2782</v>
      </c>
      <c r="B273">
        <v>326</v>
      </c>
      <c r="C273" t="s">
        <v>2782</v>
      </c>
      <c r="D273">
        <v>41168</v>
      </c>
      <c r="E273" t="s">
        <v>2528</v>
      </c>
      <c r="F273">
        <v>2900</v>
      </c>
      <c r="G273" t="s">
        <v>569</v>
      </c>
      <c r="H273" t="s">
        <v>2366</v>
      </c>
      <c r="I273" t="s">
        <v>2366</v>
      </c>
      <c r="J273">
        <v>2904</v>
      </c>
      <c r="K273" t="s">
        <v>1432</v>
      </c>
      <c r="L273">
        <v>1200</v>
      </c>
      <c r="M273" t="s">
        <v>1480</v>
      </c>
      <c r="N273">
        <v>1204</v>
      </c>
      <c r="O273" t="s">
        <v>1487</v>
      </c>
      <c r="P273" t="s">
        <v>2366</v>
      </c>
      <c r="Q273" t="s">
        <v>2364</v>
      </c>
      <c r="R273" t="s">
        <v>2364</v>
      </c>
      <c r="S273" t="s">
        <v>1881</v>
      </c>
      <c r="T273" t="s">
        <v>1812</v>
      </c>
      <c r="U273" t="s">
        <v>2365</v>
      </c>
      <c r="V273" t="s">
        <v>2365</v>
      </c>
      <c r="W273" t="s">
        <v>2365</v>
      </c>
      <c r="X273" t="s">
        <v>2365</v>
      </c>
      <c r="Y273" t="s">
        <v>2365</v>
      </c>
      <c r="Z273" t="s">
        <v>2365</v>
      </c>
      <c r="AA273" t="s">
        <v>2365</v>
      </c>
      <c r="AB273" t="s">
        <v>2365</v>
      </c>
      <c r="AC273" s="813" t="s">
        <v>2365</v>
      </c>
      <c r="AD273" s="813" t="s">
        <v>2365</v>
      </c>
      <c r="AE273" s="813" t="s">
        <v>2365</v>
      </c>
      <c r="AF273" t="s">
        <v>2365</v>
      </c>
      <c r="AG273" t="s">
        <v>2365</v>
      </c>
      <c r="AH273" t="s">
        <v>2365</v>
      </c>
      <c r="AI273" t="s">
        <v>2365</v>
      </c>
      <c r="AJ273" t="s">
        <v>2365</v>
      </c>
      <c r="AK273" s="1373" t="s">
        <v>2365</v>
      </c>
      <c r="AL273" t="s">
        <v>2365</v>
      </c>
      <c r="AM273" t="s">
        <v>2365</v>
      </c>
      <c r="AN273" t="s">
        <v>2365</v>
      </c>
      <c r="AR273" t="s">
        <v>2365</v>
      </c>
      <c r="AS273" t="s">
        <v>2365</v>
      </c>
      <c r="AT273" t="s">
        <v>2365</v>
      </c>
      <c r="AU273" t="s">
        <v>2365</v>
      </c>
      <c r="AV273" t="s">
        <v>2365</v>
      </c>
      <c r="AW273" t="s">
        <v>2365</v>
      </c>
      <c r="AX273" t="s">
        <v>2365</v>
      </c>
      <c r="AY273" t="s">
        <v>2365</v>
      </c>
      <c r="AZ273" t="s">
        <v>2365</v>
      </c>
      <c r="BA273" t="s">
        <v>2365</v>
      </c>
      <c r="BB273" t="s">
        <v>2365</v>
      </c>
      <c r="BC273" t="s">
        <v>2365</v>
      </c>
      <c r="BD273" t="s">
        <v>2366</v>
      </c>
      <c r="BE273" t="s">
        <v>2365</v>
      </c>
      <c r="BF273" t="s">
        <v>2365</v>
      </c>
      <c r="BG273" t="s">
        <v>2365</v>
      </c>
      <c r="BH273" t="s">
        <v>2365</v>
      </c>
      <c r="BI273" t="s">
        <v>2366</v>
      </c>
      <c r="BJ273" t="s">
        <v>2365</v>
      </c>
      <c r="BK273" t="s">
        <v>2365</v>
      </c>
      <c r="BL273" t="s">
        <v>2365</v>
      </c>
      <c r="BM273" t="s">
        <v>2365</v>
      </c>
      <c r="BO273">
        <v>1</v>
      </c>
      <c r="BP273">
        <v>11</v>
      </c>
      <c r="BQ273" t="s">
        <v>2369</v>
      </c>
      <c r="BR273" t="s">
        <v>1487</v>
      </c>
      <c r="BU273">
        <v>68610</v>
      </c>
      <c r="BV273">
        <v>0</v>
      </c>
      <c r="BW273">
        <v>68610</v>
      </c>
      <c r="BX273">
        <v>0</v>
      </c>
      <c r="BY273">
        <v>68610</v>
      </c>
      <c r="BZ273">
        <v>75471</v>
      </c>
      <c r="CA273">
        <v>83018</v>
      </c>
      <c r="CB273">
        <v>0</v>
      </c>
      <c r="CC273">
        <v>3411.75</v>
      </c>
      <c r="CD273">
        <v>1487.2</v>
      </c>
      <c r="CE273">
        <v>1487.2</v>
      </c>
      <c r="CF273">
        <v>1719.5700000000002</v>
      </c>
      <c r="CG273">
        <v>1487.2</v>
      </c>
      <c r="CH273">
        <v>1784.64</v>
      </c>
      <c r="CI273">
        <v>0</v>
      </c>
      <c r="CJ273">
        <v>0</v>
      </c>
      <c r="CK273">
        <v>0</v>
      </c>
      <c r="CL273">
        <v>0</v>
      </c>
      <c r="CM273">
        <v>0</v>
      </c>
      <c r="CR273" t="s">
        <v>2334</v>
      </c>
      <c r="CS273" s="1369" t="str">
        <f>INDEX([8]Sheet1!$H:$H,MATCH(CR:CR,[8]Sheet1!$AU:$AU,0))</f>
        <v>Governance Function</v>
      </c>
    </row>
    <row r="274" spans="1:97" x14ac:dyDescent="0.2">
      <c r="A274" t="s">
        <v>2783</v>
      </c>
      <c r="B274">
        <v>327</v>
      </c>
      <c r="C274" t="s">
        <v>2783</v>
      </c>
      <c r="D274">
        <v>41169</v>
      </c>
      <c r="E274" t="s">
        <v>2530</v>
      </c>
      <c r="F274">
        <v>2000</v>
      </c>
      <c r="G274" t="s">
        <v>652</v>
      </c>
      <c r="H274" t="s">
        <v>2531</v>
      </c>
      <c r="I274" t="s">
        <v>1185</v>
      </c>
      <c r="J274">
        <v>2009</v>
      </c>
      <c r="K274" t="s">
        <v>1185</v>
      </c>
      <c r="L274">
        <v>1200</v>
      </c>
      <c r="M274" t="s">
        <v>1480</v>
      </c>
      <c r="N274">
        <v>1204</v>
      </c>
      <c r="O274" t="s">
        <v>1487</v>
      </c>
      <c r="P274" t="s">
        <v>2366</v>
      </c>
      <c r="Q274" t="s">
        <v>2364</v>
      </c>
      <c r="R274" t="s">
        <v>2364</v>
      </c>
      <c r="S274" t="s">
        <v>1881</v>
      </c>
      <c r="T274" t="s">
        <v>1812</v>
      </c>
      <c r="U274" t="s">
        <v>2365</v>
      </c>
      <c r="V274" t="s">
        <v>2365</v>
      </c>
      <c r="W274" t="s">
        <v>2365</v>
      </c>
      <c r="X274" t="s">
        <v>2365</v>
      </c>
      <c r="Y274" t="s">
        <v>2365</v>
      </c>
      <c r="Z274" t="s">
        <v>2365</v>
      </c>
      <c r="AA274" t="s">
        <v>2365</v>
      </c>
      <c r="AB274" t="s">
        <v>2365</v>
      </c>
      <c r="AC274" s="813" t="s">
        <v>2365</v>
      </c>
      <c r="AD274" s="813" t="s">
        <v>2365</v>
      </c>
      <c r="AE274" s="813" t="s">
        <v>2365</v>
      </c>
      <c r="AF274" t="s">
        <v>2365</v>
      </c>
      <c r="AG274" t="s">
        <v>2365</v>
      </c>
      <c r="AH274" t="s">
        <v>2365</v>
      </c>
      <c r="AI274" t="s">
        <v>2365</v>
      </c>
      <c r="AJ274" t="s">
        <v>2365</v>
      </c>
      <c r="AK274" s="1373" t="s">
        <v>2365</v>
      </c>
      <c r="AL274" t="s">
        <v>2365</v>
      </c>
      <c r="AM274" t="s">
        <v>2365</v>
      </c>
      <c r="AN274" t="s">
        <v>2365</v>
      </c>
      <c r="AR274" t="s">
        <v>2365</v>
      </c>
      <c r="AS274" t="s">
        <v>2365</v>
      </c>
      <c r="AT274" t="s">
        <v>2365</v>
      </c>
      <c r="AU274" t="s">
        <v>2365</v>
      </c>
      <c r="AV274" t="s">
        <v>2365</v>
      </c>
      <c r="AW274" t="s">
        <v>2365</v>
      </c>
      <c r="AX274" t="s">
        <v>2365</v>
      </c>
      <c r="AY274" t="s">
        <v>2365</v>
      </c>
      <c r="AZ274" t="s">
        <v>2365</v>
      </c>
      <c r="BA274" t="s">
        <v>2365</v>
      </c>
      <c r="BB274" t="s">
        <v>2365</v>
      </c>
      <c r="BC274" t="s">
        <v>2365</v>
      </c>
      <c r="BD274" t="s">
        <v>2366</v>
      </c>
      <c r="BE274" t="s">
        <v>2365</v>
      </c>
      <c r="BF274" t="s">
        <v>2365</v>
      </c>
      <c r="BG274" t="s">
        <v>2365</v>
      </c>
      <c r="BH274" t="s">
        <v>2365</v>
      </c>
      <c r="BI274" t="s">
        <v>2366</v>
      </c>
      <c r="BJ274" t="s">
        <v>2365</v>
      </c>
      <c r="BK274" t="s">
        <v>2365</v>
      </c>
      <c r="BL274" t="s">
        <v>2365</v>
      </c>
      <c r="BM274" t="s">
        <v>2365</v>
      </c>
      <c r="BN274" t="s">
        <v>2177</v>
      </c>
      <c r="BO274">
        <v>1</v>
      </c>
      <c r="BP274">
        <v>11</v>
      </c>
      <c r="BQ274" t="s">
        <v>2369</v>
      </c>
      <c r="BR274" t="s">
        <v>1487</v>
      </c>
      <c r="BU274">
        <v>928</v>
      </c>
      <c r="BV274">
        <v>0</v>
      </c>
      <c r="BW274">
        <v>928</v>
      </c>
      <c r="BX274">
        <v>0</v>
      </c>
      <c r="BY274">
        <v>928</v>
      </c>
      <c r="BZ274">
        <v>989</v>
      </c>
      <c r="CA274">
        <v>1053</v>
      </c>
      <c r="CB274">
        <v>4197.3999999999996</v>
      </c>
      <c r="CC274">
        <v>0</v>
      </c>
      <c r="CD274">
        <v>108.32000000000001</v>
      </c>
      <c r="CE274">
        <v>118.22</v>
      </c>
      <c r="CF274">
        <v>128.12</v>
      </c>
      <c r="CG274">
        <v>118.22</v>
      </c>
      <c r="CH274">
        <v>108.32000000000001</v>
      </c>
      <c r="CI274">
        <v>0</v>
      </c>
      <c r="CJ274">
        <v>0</v>
      </c>
      <c r="CK274">
        <v>0</v>
      </c>
      <c r="CL274">
        <v>0</v>
      </c>
      <c r="CM274">
        <v>0</v>
      </c>
      <c r="CR274" t="s">
        <v>2334</v>
      </c>
      <c r="CS274" s="1369" t="str">
        <f>INDEX([8]Sheet1!$H:$H,MATCH(CR:CR,[8]Sheet1!$AU:$AU,0))</f>
        <v>Governance Function</v>
      </c>
    </row>
    <row r="275" spans="1:97" x14ac:dyDescent="0.2">
      <c r="A275" t="s">
        <v>2784</v>
      </c>
      <c r="B275">
        <v>328</v>
      </c>
      <c r="C275" t="s">
        <v>2784</v>
      </c>
      <c r="D275">
        <v>41170</v>
      </c>
      <c r="E275" t="s">
        <v>2533</v>
      </c>
      <c r="F275">
        <v>2000</v>
      </c>
      <c r="G275" t="s">
        <v>652</v>
      </c>
      <c r="H275" t="s">
        <v>2534</v>
      </c>
      <c r="I275" t="s">
        <v>196</v>
      </c>
      <c r="J275">
        <v>2003</v>
      </c>
      <c r="K275" t="s">
        <v>196</v>
      </c>
      <c r="L275">
        <v>1200</v>
      </c>
      <c r="M275" t="s">
        <v>1480</v>
      </c>
      <c r="N275">
        <v>1204</v>
      </c>
      <c r="O275" t="s">
        <v>1487</v>
      </c>
      <c r="P275" t="s">
        <v>2366</v>
      </c>
      <c r="Q275" t="s">
        <v>2364</v>
      </c>
      <c r="R275" t="s">
        <v>2364</v>
      </c>
      <c r="S275" t="s">
        <v>1881</v>
      </c>
      <c r="T275" t="s">
        <v>1812</v>
      </c>
      <c r="U275" t="s">
        <v>2365</v>
      </c>
      <c r="V275" t="s">
        <v>2365</v>
      </c>
      <c r="W275" t="s">
        <v>2365</v>
      </c>
      <c r="X275" t="s">
        <v>2365</v>
      </c>
      <c r="Y275" t="s">
        <v>2365</v>
      </c>
      <c r="Z275" t="s">
        <v>2365</v>
      </c>
      <c r="AA275" t="s">
        <v>2365</v>
      </c>
      <c r="AB275" t="s">
        <v>2365</v>
      </c>
      <c r="AC275" s="813" t="s">
        <v>2365</v>
      </c>
      <c r="AD275" s="813" t="s">
        <v>2365</v>
      </c>
      <c r="AE275" s="813" t="s">
        <v>2365</v>
      </c>
      <c r="AF275" t="s">
        <v>2365</v>
      </c>
      <c r="AG275" t="s">
        <v>2365</v>
      </c>
      <c r="AH275" t="s">
        <v>2365</v>
      </c>
      <c r="AI275" t="s">
        <v>2365</v>
      </c>
      <c r="AJ275" t="s">
        <v>2365</v>
      </c>
      <c r="AK275" s="1373" t="s">
        <v>2365</v>
      </c>
      <c r="AL275" t="s">
        <v>2365</v>
      </c>
      <c r="AM275" t="s">
        <v>2365</v>
      </c>
      <c r="AN275" t="s">
        <v>2365</v>
      </c>
      <c r="AR275" t="s">
        <v>2365</v>
      </c>
      <c r="AS275" t="s">
        <v>2365</v>
      </c>
      <c r="AT275" t="s">
        <v>2365</v>
      </c>
      <c r="AU275" t="s">
        <v>2365</v>
      </c>
      <c r="AV275" t="s">
        <v>2365</v>
      </c>
      <c r="AW275" t="s">
        <v>2365</v>
      </c>
      <c r="AX275" t="s">
        <v>2365</v>
      </c>
      <c r="AY275" t="s">
        <v>2365</v>
      </c>
      <c r="AZ275" t="s">
        <v>2365</v>
      </c>
      <c r="BA275" t="s">
        <v>2365</v>
      </c>
      <c r="BB275" t="s">
        <v>2365</v>
      </c>
      <c r="BC275" t="s">
        <v>2365</v>
      </c>
      <c r="BD275" t="s">
        <v>2366</v>
      </c>
      <c r="BE275" t="s">
        <v>2365</v>
      </c>
      <c r="BF275" t="s">
        <v>2365</v>
      </c>
      <c r="BG275" t="s">
        <v>2365</v>
      </c>
      <c r="BH275" t="s">
        <v>2365</v>
      </c>
      <c r="BI275" t="s">
        <v>2366</v>
      </c>
      <c r="BJ275" t="s">
        <v>2365</v>
      </c>
      <c r="BK275" t="s">
        <v>2365</v>
      </c>
      <c r="BL275" t="s">
        <v>2365</v>
      </c>
      <c r="BM275" t="s">
        <v>2365</v>
      </c>
      <c r="BN275" t="s">
        <v>2177</v>
      </c>
      <c r="BO275">
        <v>1</v>
      </c>
      <c r="BP275">
        <v>11</v>
      </c>
      <c r="BQ275" t="s">
        <v>2369</v>
      </c>
      <c r="BR275" t="s">
        <v>1487</v>
      </c>
      <c r="BU275">
        <v>318815</v>
      </c>
      <c r="BV275">
        <v>0</v>
      </c>
      <c r="BW275">
        <v>318815</v>
      </c>
      <c r="BX275">
        <v>0</v>
      </c>
      <c r="BY275">
        <v>318815</v>
      </c>
      <c r="BZ275">
        <v>339538</v>
      </c>
      <c r="CA275">
        <v>361607</v>
      </c>
      <c r="CB275">
        <v>20805</v>
      </c>
      <c r="CC275">
        <v>20584</v>
      </c>
      <c r="CD275">
        <v>19702.2</v>
      </c>
      <c r="CE275">
        <v>20805</v>
      </c>
      <c r="CF275">
        <v>23969.200000000001</v>
      </c>
      <c r="CG275">
        <v>25624.199999999997</v>
      </c>
      <c r="CH275">
        <v>25587.000000000004</v>
      </c>
      <c r="CI275">
        <v>0</v>
      </c>
      <c r="CJ275">
        <v>0</v>
      </c>
      <c r="CK275">
        <v>0</v>
      </c>
      <c r="CL275">
        <v>0</v>
      </c>
      <c r="CM275">
        <v>0</v>
      </c>
      <c r="CR275" t="s">
        <v>2334</v>
      </c>
      <c r="CS275" s="1369" t="str">
        <f>INDEX([8]Sheet1!$H:$H,MATCH(CR:CR,[8]Sheet1!$AU:$AU,0))</f>
        <v>Governance Function</v>
      </c>
    </row>
    <row r="276" spans="1:97" x14ac:dyDescent="0.2">
      <c r="A276" t="s">
        <v>2785</v>
      </c>
      <c r="B276">
        <v>329</v>
      </c>
      <c r="C276" t="s">
        <v>2785</v>
      </c>
      <c r="D276">
        <v>41171</v>
      </c>
      <c r="E276" t="s">
        <v>2536</v>
      </c>
      <c r="F276">
        <v>2000</v>
      </c>
      <c r="G276" t="s">
        <v>652</v>
      </c>
      <c r="H276" t="s">
        <v>2472</v>
      </c>
      <c r="I276" t="s">
        <v>1375</v>
      </c>
      <c r="J276">
        <v>2002</v>
      </c>
      <c r="K276" t="s">
        <v>1375</v>
      </c>
      <c r="L276">
        <v>1200</v>
      </c>
      <c r="M276" t="s">
        <v>1480</v>
      </c>
      <c r="N276">
        <v>1204</v>
      </c>
      <c r="O276" t="s">
        <v>1487</v>
      </c>
      <c r="P276" t="s">
        <v>2366</v>
      </c>
      <c r="Q276" t="s">
        <v>2364</v>
      </c>
      <c r="R276" t="s">
        <v>2364</v>
      </c>
      <c r="S276" t="s">
        <v>1881</v>
      </c>
      <c r="T276" t="s">
        <v>1812</v>
      </c>
      <c r="U276" t="s">
        <v>2365</v>
      </c>
      <c r="V276" t="s">
        <v>2365</v>
      </c>
      <c r="W276" t="s">
        <v>2365</v>
      </c>
      <c r="X276" t="s">
        <v>2365</v>
      </c>
      <c r="Y276" t="s">
        <v>2365</v>
      </c>
      <c r="Z276" t="s">
        <v>2365</v>
      </c>
      <c r="AA276" t="s">
        <v>2365</v>
      </c>
      <c r="AB276" t="s">
        <v>2365</v>
      </c>
      <c r="AC276" s="813" t="s">
        <v>2365</v>
      </c>
      <c r="AD276" s="813" t="s">
        <v>2365</v>
      </c>
      <c r="AE276" s="813" t="s">
        <v>2365</v>
      </c>
      <c r="AF276" t="s">
        <v>2365</v>
      </c>
      <c r="AG276" t="s">
        <v>2365</v>
      </c>
      <c r="AH276" t="s">
        <v>2365</v>
      </c>
      <c r="AI276" t="s">
        <v>2365</v>
      </c>
      <c r="AJ276" t="s">
        <v>2365</v>
      </c>
      <c r="AK276" t="s">
        <v>2365</v>
      </c>
      <c r="AL276" t="s">
        <v>2365</v>
      </c>
      <c r="AM276" t="s">
        <v>2365</v>
      </c>
      <c r="AN276" t="s">
        <v>2365</v>
      </c>
      <c r="AR276" t="s">
        <v>2365</v>
      </c>
      <c r="AS276" t="s">
        <v>2365</v>
      </c>
      <c r="AT276" t="s">
        <v>2365</v>
      </c>
      <c r="AU276" t="s">
        <v>2365</v>
      </c>
      <c r="AV276" t="s">
        <v>2365</v>
      </c>
      <c r="AW276" t="s">
        <v>2365</v>
      </c>
      <c r="AX276" t="s">
        <v>2365</v>
      </c>
      <c r="AY276" t="s">
        <v>2365</v>
      </c>
      <c r="AZ276" t="s">
        <v>2365</v>
      </c>
      <c r="BA276" t="s">
        <v>2365</v>
      </c>
      <c r="BB276" t="s">
        <v>2365</v>
      </c>
      <c r="BC276" t="s">
        <v>2365</v>
      </c>
      <c r="BD276" t="s">
        <v>2366</v>
      </c>
      <c r="BE276" t="s">
        <v>2365</v>
      </c>
      <c r="BF276" t="s">
        <v>2365</v>
      </c>
      <c r="BG276" t="s">
        <v>2365</v>
      </c>
      <c r="BH276" t="s">
        <v>2365</v>
      </c>
      <c r="BI276" t="s">
        <v>2366</v>
      </c>
      <c r="BJ276" t="s">
        <v>2365</v>
      </c>
      <c r="BK276" t="s">
        <v>2365</v>
      </c>
      <c r="BL276" t="s">
        <v>2365</v>
      </c>
      <c r="BM276" t="s">
        <v>2365</v>
      </c>
      <c r="BN276" t="s">
        <v>2177</v>
      </c>
      <c r="BO276">
        <v>1</v>
      </c>
      <c r="BP276">
        <v>11</v>
      </c>
      <c r="BQ276" t="s">
        <v>2369</v>
      </c>
      <c r="BR276" t="s">
        <v>1487</v>
      </c>
      <c r="BU276">
        <v>717333</v>
      </c>
      <c r="BV276">
        <v>0</v>
      </c>
      <c r="BW276">
        <v>717333</v>
      </c>
      <c r="BX276">
        <v>0</v>
      </c>
      <c r="BY276">
        <v>717333</v>
      </c>
      <c r="BZ276">
        <v>763959</v>
      </c>
      <c r="CA276">
        <v>813617</v>
      </c>
      <c r="CB276">
        <v>36798.519999999997</v>
      </c>
      <c r="CC276">
        <v>5000</v>
      </c>
      <c r="CD276">
        <v>34771.69999999999</v>
      </c>
      <c r="CE276">
        <v>39367.200000000004</v>
      </c>
      <c r="CF276">
        <v>50201.440000000002</v>
      </c>
      <c r="CG276">
        <v>48206.55</v>
      </c>
      <c r="CH276">
        <v>45556.689999999995</v>
      </c>
      <c r="CI276">
        <v>0</v>
      </c>
      <c r="CJ276">
        <v>0</v>
      </c>
      <c r="CK276">
        <v>0</v>
      </c>
      <c r="CL276">
        <v>0</v>
      </c>
      <c r="CM276">
        <v>0</v>
      </c>
      <c r="CR276" t="s">
        <v>2334</v>
      </c>
      <c r="CS276" s="1369" t="str">
        <f>INDEX([8]Sheet1!$H:$H,MATCH(CR:CR,[8]Sheet1!$AU:$AU,0))</f>
        <v>Governance Function</v>
      </c>
    </row>
    <row r="277" spans="1:97" x14ac:dyDescent="0.2">
      <c r="A277" t="s">
        <v>2786</v>
      </c>
      <c r="B277">
        <v>330</v>
      </c>
      <c r="C277" t="s">
        <v>2786</v>
      </c>
      <c r="D277">
        <v>41172</v>
      </c>
      <c r="E277" t="s">
        <v>2471</v>
      </c>
      <c r="F277">
        <v>2000</v>
      </c>
      <c r="G277" t="s">
        <v>652</v>
      </c>
      <c r="H277" t="s">
        <v>2472</v>
      </c>
      <c r="I277" t="s">
        <v>1375</v>
      </c>
      <c r="J277">
        <v>2002</v>
      </c>
      <c r="K277" t="s">
        <v>1375</v>
      </c>
      <c r="L277">
        <v>1200</v>
      </c>
      <c r="M277" t="s">
        <v>1480</v>
      </c>
      <c r="N277">
        <v>1204</v>
      </c>
      <c r="O277" t="s">
        <v>1487</v>
      </c>
      <c r="P277" t="s">
        <v>2366</v>
      </c>
      <c r="Q277" t="s">
        <v>2364</v>
      </c>
      <c r="R277" t="s">
        <v>2364</v>
      </c>
      <c r="S277" t="s">
        <v>1881</v>
      </c>
      <c r="T277" t="s">
        <v>1812</v>
      </c>
      <c r="U277" t="s">
        <v>2365</v>
      </c>
      <c r="V277" t="s">
        <v>2365</v>
      </c>
      <c r="W277" t="s">
        <v>2365</v>
      </c>
      <c r="X277" t="s">
        <v>2365</v>
      </c>
      <c r="Y277" t="s">
        <v>2365</v>
      </c>
      <c r="Z277" t="s">
        <v>2365</v>
      </c>
      <c r="AA277" t="s">
        <v>2365</v>
      </c>
      <c r="AB277" t="s">
        <v>2365</v>
      </c>
      <c r="AC277" s="813" t="s">
        <v>2365</v>
      </c>
      <c r="AD277" s="813" t="s">
        <v>2365</v>
      </c>
      <c r="AE277" s="813" t="s">
        <v>2365</v>
      </c>
      <c r="AF277" t="s">
        <v>2365</v>
      </c>
      <c r="AG277" t="s">
        <v>2365</v>
      </c>
      <c r="AH277" t="s">
        <v>2365</v>
      </c>
      <c r="AI277" t="s">
        <v>2365</v>
      </c>
      <c r="AJ277" t="s">
        <v>2365</v>
      </c>
      <c r="AK277" t="s">
        <v>2365</v>
      </c>
      <c r="AL277" t="s">
        <v>2365</v>
      </c>
      <c r="AM277" t="s">
        <v>2365</v>
      </c>
      <c r="AN277" t="s">
        <v>2365</v>
      </c>
      <c r="AR277" t="s">
        <v>2365</v>
      </c>
      <c r="AS277" t="s">
        <v>2365</v>
      </c>
      <c r="AT277" t="s">
        <v>2365</v>
      </c>
      <c r="AU277" t="s">
        <v>2365</v>
      </c>
      <c r="AV277" t="s">
        <v>2365</v>
      </c>
      <c r="AW277" t="s">
        <v>2365</v>
      </c>
      <c r="AX277" t="s">
        <v>2365</v>
      </c>
      <c r="AY277" t="s">
        <v>2365</v>
      </c>
      <c r="AZ277" t="s">
        <v>2365</v>
      </c>
      <c r="BA277" t="s">
        <v>2365</v>
      </c>
      <c r="BB277" t="s">
        <v>2365</v>
      </c>
      <c r="BC277" t="s">
        <v>2365</v>
      </c>
      <c r="BD277" t="s">
        <v>2366</v>
      </c>
      <c r="BE277" t="s">
        <v>2365</v>
      </c>
      <c r="BF277" t="s">
        <v>2365</v>
      </c>
      <c r="BG277" t="s">
        <v>2365</v>
      </c>
      <c r="BH277" t="s">
        <v>2365</v>
      </c>
      <c r="BI277" t="s">
        <v>2366</v>
      </c>
      <c r="BJ277" t="s">
        <v>2365</v>
      </c>
      <c r="BK277" t="s">
        <v>2365</v>
      </c>
      <c r="BL277" t="s">
        <v>2365</v>
      </c>
      <c r="BM277" t="s">
        <v>2365</v>
      </c>
      <c r="BN277" t="s">
        <v>2177</v>
      </c>
      <c r="BO277">
        <v>1</v>
      </c>
      <c r="BP277">
        <v>11</v>
      </c>
      <c r="BQ277" t="s">
        <v>2369</v>
      </c>
      <c r="BR277" t="s">
        <v>1487</v>
      </c>
      <c r="BU277">
        <v>40736</v>
      </c>
      <c r="BV277">
        <v>0</v>
      </c>
      <c r="BW277">
        <v>40736</v>
      </c>
      <c r="BX277">
        <v>0</v>
      </c>
      <c r="BY277">
        <v>40736</v>
      </c>
      <c r="BZ277">
        <v>43384</v>
      </c>
      <c r="CA277">
        <v>46204</v>
      </c>
      <c r="CB277">
        <v>2052.5700000000002</v>
      </c>
      <c r="CC277">
        <v>4235.92</v>
      </c>
      <c r="CD277">
        <v>0</v>
      </c>
      <c r="CE277">
        <v>0</v>
      </c>
      <c r="CF277">
        <v>148.72</v>
      </c>
      <c r="CG277">
        <v>0</v>
      </c>
      <c r="CH277">
        <v>0</v>
      </c>
      <c r="CI277">
        <v>0</v>
      </c>
      <c r="CJ277">
        <v>0</v>
      </c>
      <c r="CK277">
        <v>0</v>
      </c>
      <c r="CL277">
        <v>0</v>
      </c>
      <c r="CM277">
        <v>0</v>
      </c>
      <c r="CR277" t="s">
        <v>2334</v>
      </c>
      <c r="CS277" s="1369" t="str">
        <f>INDEX([8]Sheet1!$H:$H,MATCH(CR:CR,[8]Sheet1!$AU:$AU,0))</f>
        <v>Governance Function</v>
      </c>
    </row>
    <row r="278" spans="1:97" x14ac:dyDescent="0.2">
      <c r="A278" t="s">
        <v>2787</v>
      </c>
      <c r="B278">
        <v>331</v>
      </c>
      <c r="C278" t="s">
        <v>2787</v>
      </c>
      <c r="D278">
        <v>41173</v>
      </c>
      <c r="E278" t="s">
        <v>2539</v>
      </c>
      <c r="F278">
        <v>2000</v>
      </c>
      <c r="G278" t="s">
        <v>652</v>
      </c>
      <c r="H278" t="s">
        <v>2540</v>
      </c>
      <c r="I278" t="s">
        <v>1157</v>
      </c>
      <c r="J278">
        <v>2009</v>
      </c>
      <c r="K278" t="s">
        <v>1185</v>
      </c>
      <c r="L278">
        <v>1200</v>
      </c>
      <c r="M278" t="s">
        <v>1480</v>
      </c>
      <c r="N278">
        <v>1204</v>
      </c>
      <c r="O278" t="s">
        <v>1487</v>
      </c>
      <c r="P278" t="s">
        <v>2366</v>
      </c>
      <c r="Q278" t="s">
        <v>2364</v>
      </c>
      <c r="R278" t="s">
        <v>2364</v>
      </c>
      <c r="S278" t="s">
        <v>1881</v>
      </c>
      <c r="T278" t="s">
        <v>1812</v>
      </c>
      <c r="U278" t="s">
        <v>2365</v>
      </c>
      <c r="V278" t="s">
        <v>2365</v>
      </c>
      <c r="W278" t="s">
        <v>2365</v>
      </c>
      <c r="X278" t="s">
        <v>2365</v>
      </c>
      <c r="Y278" t="s">
        <v>2365</v>
      </c>
      <c r="Z278" t="s">
        <v>2365</v>
      </c>
      <c r="AA278" t="s">
        <v>2365</v>
      </c>
      <c r="AB278" t="s">
        <v>2365</v>
      </c>
      <c r="AC278" s="813" t="s">
        <v>2365</v>
      </c>
      <c r="AD278" s="813" t="s">
        <v>2365</v>
      </c>
      <c r="AE278" s="813" t="s">
        <v>2365</v>
      </c>
      <c r="AF278" t="s">
        <v>2365</v>
      </c>
      <c r="AG278" t="s">
        <v>2365</v>
      </c>
      <c r="AH278" t="s">
        <v>2365</v>
      </c>
      <c r="AI278" t="s">
        <v>2365</v>
      </c>
      <c r="AJ278" t="s">
        <v>2365</v>
      </c>
      <c r="AK278" t="s">
        <v>2365</v>
      </c>
      <c r="AL278" t="s">
        <v>2365</v>
      </c>
      <c r="AM278" t="s">
        <v>2365</v>
      </c>
      <c r="AN278" t="s">
        <v>2365</v>
      </c>
      <c r="AR278" t="s">
        <v>2365</v>
      </c>
      <c r="AS278" t="s">
        <v>2365</v>
      </c>
      <c r="AT278" t="s">
        <v>2365</v>
      </c>
      <c r="AU278" t="s">
        <v>2365</v>
      </c>
      <c r="AV278" t="s">
        <v>2365</v>
      </c>
      <c r="AW278" t="s">
        <v>2365</v>
      </c>
      <c r="AX278" t="s">
        <v>2365</v>
      </c>
      <c r="AY278" t="s">
        <v>2365</v>
      </c>
      <c r="AZ278" t="s">
        <v>2365</v>
      </c>
      <c r="BA278" t="s">
        <v>2365</v>
      </c>
      <c r="BB278" t="s">
        <v>2365</v>
      </c>
      <c r="BC278" t="s">
        <v>2365</v>
      </c>
      <c r="BD278" t="s">
        <v>2366</v>
      </c>
      <c r="BE278" t="s">
        <v>2365</v>
      </c>
      <c r="BF278" t="s">
        <v>2365</v>
      </c>
      <c r="BG278" t="s">
        <v>2365</v>
      </c>
      <c r="BH278" t="s">
        <v>2365</v>
      </c>
      <c r="BI278" t="s">
        <v>2366</v>
      </c>
      <c r="BJ278" t="s">
        <v>2365</v>
      </c>
      <c r="BK278" t="s">
        <v>2365</v>
      </c>
      <c r="BL278" t="s">
        <v>2365</v>
      </c>
      <c r="BM278" t="s">
        <v>2365</v>
      </c>
      <c r="BN278" t="s">
        <v>2177</v>
      </c>
      <c r="BO278">
        <v>1</v>
      </c>
      <c r="BP278">
        <v>11</v>
      </c>
      <c r="BQ278" t="s">
        <v>2369</v>
      </c>
      <c r="BR278" t="s">
        <v>1487</v>
      </c>
      <c r="BU278">
        <v>0</v>
      </c>
      <c r="BV278">
        <v>0</v>
      </c>
      <c r="BW278">
        <v>0</v>
      </c>
      <c r="BX278">
        <v>8000</v>
      </c>
      <c r="BY278">
        <v>8000</v>
      </c>
      <c r="BZ278">
        <v>0</v>
      </c>
      <c r="CA278">
        <v>0</v>
      </c>
      <c r="CB278">
        <v>0</v>
      </c>
      <c r="CC278">
        <v>0</v>
      </c>
      <c r="CD278">
        <v>3884.6800000000003</v>
      </c>
      <c r="CE278">
        <v>0</v>
      </c>
      <c r="CF278">
        <v>0</v>
      </c>
      <c r="CG278">
        <v>0</v>
      </c>
      <c r="CH278">
        <v>0</v>
      </c>
      <c r="CI278">
        <v>0</v>
      </c>
      <c r="CJ278">
        <v>0</v>
      </c>
      <c r="CK278">
        <v>0</v>
      </c>
      <c r="CL278">
        <v>0</v>
      </c>
      <c r="CM278">
        <v>0</v>
      </c>
      <c r="CR278" t="s">
        <v>2334</v>
      </c>
      <c r="CS278" s="1369" t="str">
        <f>INDEX([8]Sheet1!$H:$H,MATCH(CR:CR,[8]Sheet1!$AU:$AU,0))</f>
        <v>Governance Function</v>
      </c>
    </row>
    <row r="279" spans="1:97" x14ac:dyDescent="0.2">
      <c r="A279" t="s">
        <v>2788</v>
      </c>
      <c r="B279">
        <v>332</v>
      </c>
      <c r="C279" t="s">
        <v>2788</v>
      </c>
      <c r="D279">
        <v>41174</v>
      </c>
      <c r="E279" t="s">
        <v>2542</v>
      </c>
      <c r="F279">
        <v>2000</v>
      </c>
      <c r="G279" t="s">
        <v>652</v>
      </c>
      <c r="H279" t="s">
        <v>2540</v>
      </c>
      <c r="I279" t="s">
        <v>1157</v>
      </c>
      <c r="J279">
        <v>2009</v>
      </c>
      <c r="K279" t="s">
        <v>1185</v>
      </c>
      <c r="L279">
        <v>1200</v>
      </c>
      <c r="M279" t="s">
        <v>1480</v>
      </c>
      <c r="N279">
        <v>1204</v>
      </c>
      <c r="O279" t="s">
        <v>1487</v>
      </c>
      <c r="P279" t="s">
        <v>2366</v>
      </c>
      <c r="Q279" t="s">
        <v>2364</v>
      </c>
      <c r="R279" t="s">
        <v>2364</v>
      </c>
      <c r="S279" t="s">
        <v>1881</v>
      </c>
      <c r="T279" t="s">
        <v>1812</v>
      </c>
      <c r="U279" t="s">
        <v>2365</v>
      </c>
      <c r="V279" t="s">
        <v>2365</v>
      </c>
      <c r="W279" t="s">
        <v>2365</v>
      </c>
      <c r="X279" t="s">
        <v>2365</v>
      </c>
      <c r="Y279" t="s">
        <v>2365</v>
      </c>
      <c r="Z279" t="s">
        <v>2365</v>
      </c>
      <c r="AA279" t="s">
        <v>2365</v>
      </c>
      <c r="AB279" t="s">
        <v>2365</v>
      </c>
      <c r="AC279" s="813" t="s">
        <v>2365</v>
      </c>
      <c r="AD279" s="813" t="s">
        <v>2365</v>
      </c>
      <c r="AE279" s="813" t="s">
        <v>2365</v>
      </c>
      <c r="AF279" t="s">
        <v>2365</v>
      </c>
      <c r="AG279" t="s">
        <v>2365</v>
      </c>
      <c r="AH279" t="s">
        <v>2365</v>
      </c>
      <c r="AI279" t="s">
        <v>2365</v>
      </c>
      <c r="AJ279" t="s">
        <v>2365</v>
      </c>
      <c r="AK279" t="s">
        <v>2365</v>
      </c>
      <c r="AL279" t="s">
        <v>2365</v>
      </c>
      <c r="AM279" t="s">
        <v>2365</v>
      </c>
      <c r="AN279" t="s">
        <v>2365</v>
      </c>
      <c r="AR279" t="s">
        <v>2365</v>
      </c>
      <c r="AS279" t="s">
        <v>2365</v>
      </c>
      <c r="AT279" t="s">
        <v>2365</v>
      </c>
      <c r="AU279" t="s">
        <v>2365</v>
      </c>
      <c r="AV279" t="s">
        <v>2365</v>
      </c>
      <c r="AW279" t="s">
        <v>2365</v>
      </c>
      <c r="AX279" t="s">
        <v>2365</v>
      </c>
      <c r="AY279" t="s">
        <v>2365</v>
      </c>
      <c r="AZ279" t="s">
        <v>2365</v>
      </c>
      <c r="BA279" t="s">
        <v>2365</v>
      </c>
      <c r="BB279" t="s">
        <v>2365</v>
      </c>
      <c r="BC279" t="s">
        <v>2365</v>
      </c>
      <c r="BD279" t="s">
        <v>2366</v>
      </c>
      <c r="BE279" t="s">
        <v>2365</v>
      </c>
      <c r="BF279" t="s">
        <v>2365</v>
      </c>
      <c r="BG279" t="s">
        <v>2365</v>
      </c>
      <c r="BH279" t="s">
        <v>2365</v>
      </c>
      <c r="BI279" t="s">
        <v>2366</v>
      </c>
      <c r="BJ279" t="s">
        <v>2365</v>
      </c>
      <c r="BK279" t="s">
        <v>2365</v>
      </c>
      <c r="BL279" t="s">
        <v>2365</v>
      </c>
      <c r="BM279" t="s">
        <v>2365</v>
      </c>
      <c r="BN279" t="s">
        <v>2177</v>
      </c>
      <c r="BO279">
        <v>1</v>
      </c>
      <c r="BP279">
        <v>11</v>
      </c>
      <c r="BQ279" t="s">
        <v>2369</v>
      </c>
      <c r="BR279" t="s">
        <v>1487</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R279" t="s">
        <v>2334</v>
      </c>
      <c r="CS279" s="1369" t="str">
        <f>INDEX([8]Sheet1!$H:$H,MATCH(CR:CR,[8]Sheet1!$AU:$AU,0))</f>
        <v>Governance Function</v>
      </c>
    </row>
    <row r="280" spans="1:97" x14ac:dyDescent="0.2">
      <c r="A280" t="s">
        <v>2789</v>
      </c>
      <c r="B280">
        <v>333</v>
      </c>
      <c r="C280" t="s">
        <v>2789</v>
      </c>
      <c r="D280">
        <v>41175</v>
      </c>
      <c r="E280" t="s">
        <v>2544</v>
      </c>
      <c r="F280">
        <v>2000</v>
      </c>
      <c r="G280" t="s">
        <v>652</v>
      </c>
      <c r="H280" t="s">
        <v>2531</v>
      </c>
      <c r="I280" t="s">
        <v>1185</v>
      </c>
      <c r="J280">
        <v>2001</v>
      </c>
      <c r="K280" t="s">
        <v>203</v>
      </c>
      <c r="L280">
        <v>1200</v>
      </c>
      <c r="M280" t="s">
        <v>1480</v>
      </c>
      <c r="N280">
        <v>1204</v>
      </c>
      <c r="O280" t="s">
        <v>1487</v>
      </c>
      <c r="P280" t="s">
        <v>2366</v>
      </c>
      <c r="Q280" t="s">
        <v>2364</v>
      </c>
      <c r="R280" t="s">
        <v>2364</v>
      </c>
      <c r="S280" t="s">
        <v>1881</v>
      </c>
      <c r="T280" t="s">
        <v>1812</v>
      </c>
      <c r="U280" t="s">
        <v>2365</v>
      </c>
      <c r="V280" t="s">
        <v>2365</v>
      </c>
      <c r="W280" t="s">
        <v>2365</v>
      </c>
      <c r="X280" t="s">
        <v>2365</v>
      </c>
      <c r="Y280" t="s">
        <v>2365</v>
      </c>
      <c r="Z280" t="s">
        <v>2365</v>
      </c>
      <c r="AA280" t="s">
        <v>2365</v>
      </c>
      <c r="AB280" t="s">
        <v>2365</v>
      </c>
      <c r="AC280" s="813" t="s">
        <v>2365</v>
      </c>
      <c r="AD280" s="813" t="s">
        <v>2365</v>
      </c>
      <c r="AE280" s="813" t="s">
        <v>2365</v>
      </c>
      <c r="AF280" t="s">
        <v>2365</v>
      </c>
      <c r="AG280" t="s">
        <v>2365</v>
      </c>
      <c r="AH280" t="s">
        <v>2365</v>
      </c>
      <c r="AI280" t="s">
        <v>2365</v>
      </c>
      <c r="AJ280" t="s">
        <v>2365</v>
      </c>
      <c r="AK280" t="s">
        <v>2365</v>
      </c>
      <c r="AL280" t="s">
        <v>2365</v>
      </c>
      <c r="AM280" t="s">
        <v>2365</v>
      </c>
      <c r="AN280" t="s">
        <v>2365</v>
      </c>
      <c r="AR280" t="s">
        <v>2365</v>
      </c>
      <c r="AS280" t="s">
        <v>2365</v>
      </c>
      <c r="AT280" t="s">
        <v>2365</v>
      </c>
      <c r="AU280" t="s">
        <v>2365</v>
      </c>
      <c r="AV280" t="s">
        <v>2365</v>
      </c>
      <c r="AW280" t="s">
        <v>2365</v>
      </c>
      <c r="AX280" t="s">
        <v>2365</v>
      </c>
      <c r="AY280" t="s">
        <v>2365</v>
      </c>
      <c r="AZ280" t="s">
        <v>2365</v>
      </c>
      <c r="BA280" t="s">
        <v>2365</v>
      </c>
      <c r="BB280" t="s">
        <v>2365</v>
      </c>
      <c r="BC280" t="s">
        <v>2365</v>
      </c>
      <c r="BD280" t="s">
        <v>2366</v>
      </c>
      <c r="BE280" t="s">
        <v>2365</v>
      </c>
      <c r="BF280" t="s">
        <v>2365</v>
      </c>
      <c r="BG280" t="s">
        <v>2365</v>
      </c>
      <c r="BH280" t="s">
        <v>2365</v>
      </c>
      <c r="BI280" t="s">
        <v>2366</v>
      </c>
      <c r="BJ280" t="s">
        <v>2365</v>
      </c>
      <c r="BK280" t="s">
        <v>2365</v>
      </c>
      <c r="BL280" t="s">
        <v>2365</v>
      </c>
      <c r="BM280" t="s">
        <v>2365</v>
      </c>
      <c r="BN280" t="s">
        <v>2177</v>
      </c>
      <c r="BO280">
        <v>1</v>
      </c>
      <c r="BP280">
        <v>11</v>
      </c>
      <c r="BQ280" t="s">
        <v>2369</v>
      </c>
      <c r="BR280" t="s">
        <v>1487</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R280" t="s">
        <v>2334</v>
      </c>
      <c r="CS280" s="1369" t="str">
        <f>INDEX([8]Sheet1!$H:$H,MATCH(CR:CR,[8]Sheet1!$AU:$AU,0))</f>
        <v>Governance Function</v>
      </c>
    </row>
    <row r="281" spans="1:97" x14ac:dyDescent="0.2">
      <c r="A281" t="s">
        <v>2790</v>
      </c>
      <c r="B281">
        <v>334</v>
      </c>
      <c r="C281" t="s">
        <v>2790</v>
      </c>
      <c r="D281">
        <v>41176</v>
      </c>
      <c r="E281" t="s">
        <v>2546</v>
      </c>
      <c r="F281">
        <v>2000</v>
      </c>
      <c r="G281" t="s">
        <v>652</v>
      </c>
      <c r="H281" t="s">
        <v>2547</v>
      </c>
      <c r="I281" t="s">
        <v>200</v>
      </c>
      <c r="J281">
        <v>2005</v>
      </c>
      <c r="K281" t="s">
        <v>200</v>
      </c>
      <c r="L281">
        <v>1200</v>
      </c>
      <c r="M281" t="s">
        <v>1480</v>
      </c>
      <c r="N281">
        <v>1204</v>
      </c>
      <c r="O281" t="s">
        <v>1487</v>
      </c>
      <c r="P281" t="s">
        <v>2366</v>
      </c>
      <c r="Q281" t="s">
        <v>2364</v>
      </c>
      <c r="R281" t="s">
        <v>2364</v>
      </c>
      <c r="S281" t="s">
        <v>1881</v>
      </c>
      <c r="T281" t="s">
        <v>1812</v>
      </c>
      <c r="U281" t="s">
        <v>2365</v>
      </c>
      <c r="V281" t="s">
        <v>2365</v>
      </c>
      <c r="W281" t="s">
        <v>2365</v>
      </c>
      <c r="X281" t="s">
        <v>2365</v>
      </c>
      <c r="Y281" t="s">
        <v>2365</v>
      </c>
      <c r="Z281" t="s">
        <v>2365</v>
      </c>
      <c r="AA281" t="s">
        <v>2365</v>
      </c>
      <c r="AB281" t="s">
        <v>2365</v>
      </c>
      <c r="AC281" s="813" t="s">
        <v>2365</v>
      </c>
      <c r="AD281" s="813" t="s">
        <v>2365</v>
      </c>
      <c r="AE281" s="813" t="s">
        <v>2365</v>
      </c>
      <c r="AF281" t="s">
        <v>2365</v>
      </c>
      <c r="AG281" t="s">
        <v>2365</v>
      </c>
      <c r="AH281" t="s">
        <v>2365</v>
      </c>
      <c r="AI281" t="s">
        <v>2365</v>
      </c>
      <c r="AJ281" t="s">
        <v>2365</v>
      </c>
      <c r="AK281" t="s">
        <v>2365</v>
      </c>
      <c r="AL281" t="s">
        <v>2365</v>
      </c>
      <c r="AM281" t="s">
        <v>2365</v>
      </c>
      <c r="AN281" t="s">
        <v>2365</v>
      </c>
      <c r="AR281" t="s">
        <v>2365</v>
      </c>
      <c r="AS281" t="s">
        <v>2365</v>
      </c>
      <c r="AT281" t="s">
        <v>2365</v>
      </c>
      <c r="AU281" t="s">
        <v>2365</v>
      </c>
      <c r="AV281" t="s">
        <v>2365</v>
      </c>
      <c r="AW281" t="s">
        <v>2365</v>
      </c>
      <c r="AX281" t="s">
        <v>2365</v>
      </c>
      <c r="AY281" t="s">
        <v>2365</v>
      </c>
      <c r="AZ281" t="s">
        <v>2365</v>
      </c>
      <c r="BA281" t="s">
        <v>2365</v>
      </c>
      <c r="BB281" t="s">
        <v>2365</v>
      </c>
      <c r="BC281" t="s">
        <v>2365</v>
      </c>
      <c r="BD281" t="s">
        <v>2366</v>
      </c>
      <c r="BE281" t="s">
        <v>2365</v>
      </c>
      <c r="BF281" t="s">
        <v>2365</v>
      </c>
      <c r="BG281" t="s">
        <v>2365</v>
      </c>
      <c r="BH281" t="s">
        <v>2365</v>
      </c>
      <c r="BI281" t="s">
        <v>2366</v>
      </c>
      <c r="BJ281" t="s">
        <v>2365</v>
      </c>
      <c r="BK281" t="s">
        <v>2365</v>
      </c>
      <c r="BL281" t="s">
        <v>2365</v>
      </c>
      <c r="BM281" t="s">
        <v>2365</v>
      </c>
      <c r="BN281" t="s">
        <v>2177</v>
      </c>
      <c r="BO281">
        <v>1</v>
      </c>
      <c r="BP281">
        <v>11</v>
      </c>
      <c r="BQ281" t="s">
        <v>2369</v>
      </c>
      <c r="BR281" t="s">
        <v>1487</v>
      </c>
      <c r="BU281">
        <v>410884</v>
      </c>
      <c r="BV281">
        <v>0</v>
      </c>
      <c r="BW281">
        <v>410884</v>
      </c>
      <c r="BX281">
        <v>0</v>
      </c>
      <c r="BY281">
        <v>410884</v>
      </c>
      <c r="BZ281">
        <v>437591</v>
      </c>
      <c r="CA281">
        <v>466035</v>
      </c>
      <c r="CB281">
        <v>0</v>
      </c>
      <c r="CC281">
        <v>0</v>
      </c>
      <c r="CD281">
        <v>0</v>
      </c>
      <c r="CE281">
        <v>0</v>
      </c>
      <c r="CF281">
        <v>0</v>
      </c>
      <c r="CG281">
        <v>4290.8599999999997</v>
      </c>
      <c r="CH281">
        <v>0</v>
      </c>
      <c r="CI281">
        <v>0</v>
      </c>
      <c r="CJ281">
        <v>0</v>
      </c>
      <c r="CK281">
        <v>0</v>
      </c>
      <c r="CL281">
        <v>0</v>
      </c>
      <c r="CM281">
        <v>0</v>
      </c>
      <c r="CR281" t="s">
        <v>2328</v>
      </c>
      <c r="CS281" s="1369" t="str">
        <f>INDEX([8]Sheet1!$H:$H,MATCH(CR:CR,[8]Sheet1!$AU:$AU,0))</f>
        <v>Water Distribution</v>
      </c>
    </row>
    <row r="282" spans="1:97" x14ac:dyDescent="0.2">
      <c r="A282" t="s">
        <v>2791</v>
      </c>
      <c r="B282">
        <v>335</v>
      </c>
      <c r="C282" t="s">
        <v>2791</v>
      </c>
      <c r="D282">
        <v>41178</v>
      </c>
      <c r="E282" t="s">
        <v>2552</v>
      </c>
      <c r="F282">
        <v>2000</v>
      </c>
      <c r="G282" t="s">
        <v>652</v>
      </c>
      <c r="H282" t="s">
        <v>2553</v>
      </c>
      <c r="I282" t="s">
        <v>1378</v>
      </c>
      <c r="J282">
        <v>2008</v>
      </c>
      <c r="K282" t="s">
        <v>1378</v>
      </c>
      <c r="L282">
        <v>1200</v>
      </c>
      <c r="M282" t="s">
        <v>1480</v>
      </c>
      <c r="N282">
        <v>1204</v>
      </c>
      <c r="O282" t="s">
        <v>1487</v>
      </c>
      <c r="P282" t="s">
        <v>2366</v>
      </c>
      <c r="Q282" t="s">
        <v>2364</v>
      </c>
      <c r="R282" t="s">
        <v>2364</v>
      </c>
      <c r="S282" t="s">
        <v>1881</v>
      </c>
      <c r="T282" t="s">
        <v>1812</v>
      </c>
      <c r="U282" t="s">
        <v>2365</v>
      </c>
      <c r="V282" t="s">
        <v>2365</v>
      </c>
      <c r="W282" t="s">
        <v>2365</v>
      </c>
      <c r="X282" t="s">
        <v>2365</v>
      </c>
      <c r="Y282" t="s">
        <v>2365</v>
      </c>
      <c r="Z282" t="s">
        <v>2365</v>
      </c>
      <c r="AA282" t="s">
        <v>2365</v>
      </c>
      <c r="AB282" t="s">
        <v>2365</v>
      </c>
      <c r="AC282" s="813" t="s">
        <v>2365</v>
      </c>
      <c r="AD282" s="813" t="s">
        <v>2365</v>
      </c>
      <c r="AE282" s="813" t="s">
        <v>2365</v>
      </c>
      <c r="AF282" t="s">
        <v>2365</v>
      </c>
      <c r="AG282" t="s">
        <v>2365</v>
      </c>
      <c r="AH282" t="s">
        <v>2365</v>
      </c>
      <c r="AI282" t="s">
        <v>2365</v>
      </c>
      <c r="AJ282" t="s">
        <v>2365</v>
      </c>
      <c r="AK282" t="s">
        <v>2365</v>
      </c>
      <c r="AL282" t="s">
        <v>2365</v>
      </c>
      <c r="AM282" t="s">
        <v>2365</v>
      </c>
      <c r="AN282" t="s">
        <v>2365</v>
      </c>
      <c r="AR282" t="s">
        <v>2365</v>
      </c>
      <c r="AS282" t="s">
        <v>2365</v>
      </c>
      <c r="AT282" t="s">
        <v>2365</v>
      </c>
      <c r="AU282" t="s">
        <v>2365</v>
      </c>
      <c r="AV282" t="s">
        <v>2365</v>
      </c>
      <c r="AW282" t="s">
        <v>2365</v>
      </c>
      <c r="AX282" t="s">
        <v>2365</v>
      </c>
      <c r="AY282" t="s">
        <v>2365</v>
      </c>
      <c r="AZ282" t="s">
        <v>2365</v>
      </c>
      <c r="BA282" t="s">
        <v>2365</v>
      </c>
      <c r="BB282" t="s">
        <v>2365</v>
      </c>
      <c r="BC282" t="s">
        <v>2365</v>
      </c>
      <c r="BD282" t="s">
        <v>2366</v>
      </c>
      <c r="BE282" t="s">
        <v>2365</v>
      </c>
      <c r="BF282" t="s">
        <v>2365</v>
      </c>
      <c r="BG282" t="s">
        <v>2365</v>
      </c>
      <c r="BH282" t="s">
        <v>2365</v>
      </c>
      <c r="BI282" t="s">
        <v>2366</v>
      </c>
      <c r="BJ282" t="s">
        <v>2365</v>
      </c>
      <c r="BK282" t="s">
        <v>2365</v>
      </c>
      <c r="BL282" t="s">
        <v>2365</v>
      </c>
      <c r="BM282" t="s">
        <v>2365</v>
      </c>
      <c r="BN282" t="s">
        <v>2177</v>
      </c>
      <c r="BO282">
        <v>1</v>
      </c>
      <c r="BP282">
        <v>11</v>
      </c>
      <c r="BQ282" t="s">
        <v>2369</v>
      </c>
      <c r="BR282" t="s">
        <v>1487</v>
      </c>
      <c r="BU282">
        <v>0</v>
      </c>
      <c r="BV282">
        <v>0</v>
      </c>
      <c r="BW282">
        <v>0</v>
      </c>
      <c r="BX282">
        <v>10000</v>
      </c>
      <c r="BY282">
        <v>10000</v>
      </c>
      <c r="BZ282">
        <v>0</v>
      </c>
      <c r="CA282">
        <v>0</v>
      </c>
      <c r="CB282">
        <v>0</v>
      </c>
      <c r="CC282">
        <v>964.51</v>
      </c>
      <c r="CD282">
        <v>964.51</v>
      </c>
      <c r="CE282">
        <v>964.51</v>
      </c>
      <c r="CF282">
        <v>964.51</v>
      </c>
      <c r="CG282">
        <v>964.51</v>
      </c>
      <c r="CH282">
        <v>964.51</v>
      </c>
      <c r="CI282">
        <v>0</v>
      </c>
      <c r="CJ282">
        <v>0</v>
      </c>
      <c r="CK282">
        <v>0</v>
      </c>
      <c r="CL282">
        <v>0</v>
      </c>
      <c r="CM282">
        <v>0</v>
      </c>
      <c r="CR282" t="s">
        <v>2335</v>
      </c>
      <c r="CS282" s="1369" t="str">
        <f>INDEX([8]Sheet1!$H:$H,MATCH(CR:CR,[8]Sheet1!$AU:$AU,0))</f>
        <v>Economic Development/Planning</v>
      </c>
    </row>
    <row r="283" spans="1:97" x14ac:dyDescent="0.2">
      <c r="A283" t="s">
        <v>2792</v>
      </c>
      <c r="B283">
        <v>336</v>
      </c>
      <c r="C283" t="s">
        <v>2792</v>
      </c>
      <c r="D283">
        <v>41179</v>
      </c>
      <c r="E283" t="s">
        <v>2555</v>
      </c>
      <c r="F283">
        <v>2000</v>
      </c>
      <c r="G283" t="s">
        <v>652</v>
      </c>
      <c r="H283" t="s">
        <v>2556</v>
      </c>
      <c r="I283" t="s">
        <v>1377</v>
      </c>
      <c r="J283">
        <v>2007</v>
      </c>
      <c r="K283" t="s">
        <v>1377</v>
      </c>
      <c r="L283">
        <v>1200</v>
      </c>
      <c r="M283" t="s">
        <v>1480</v>
      </c>
      <c r="N283">
        <v>1204</v>
      </c>
      <c r="O283" t="s">
        <v>1487</v>
      </c>
      <c r="P283" t="s">
        <v>2366</v>
      </c>
      <c r="Q283" t="s">
        <v>2364</v>
      </c>
      <c r="R283" t="s">
        <v>2364</v>
      </c>
      <c r="S283" t="s">
        <v>1881</v>
      </c>
      <c r="T283" t="s">
        <v>1812</v>
      </c>
      <c r="U283" t="s">
        <v>2365</v>
      </c>
      <c r="V283" t="s">
        <v>2365</v>
      </c>
      <c r="W283" t="s">
        <v>2365</v>
      </c>
      <c r="X283" t="s">
        <v>2365</v>
      </c>
      <c r="Y283" t="s">
        <v>2365</v>
      </c>
      <c r="Z283" t="s">
        <v>2365</v>
      </c>
      <c r="AA283" t="s">
        <v>2365</v>
      </c>
      <c r="AB283" t="s">
        <v>2365</v>
      </c>
      <c r="AC283" s="813" t="s">
        <v>2365</v>
      </c>
      <c r="AD283" s="813" t="s">
        <v>2365</v>
      </c>
      <c r="AE283" s="813" t="s">
        <v>2365</v>
      </c>
      <c r="AF283" t="s">
        <v>2365</v>
      </c>
      <c r="AG283" t="s">
        <v>2365</v>
      </c>
      <c r="AH283" t="s">
        <v>2365</v>
      </c>
      <c r="AI283" t="s">
        <v>2365</v>
      </c>
      <c r="AJ283" t="s">
        <v>2365</v>
      </c>
      <c r="AK283" t="s">
        <v>2365</v>
      </c>
      <c r="AL283" t="s">
        <v>2365</v>
      </c>
      <c r="AM283" t="s">
        <v>2365</v>
      </c>
      <c r="AN283" t="s">
        <v>2365</v>
      </c>
      <c r="AR283" t="s">
        <v>2365</v>
      </c>
      <c r="AS283" t="s">
        <v>2365</v>
      </c>
      <c r="AT283" t="s">
        <v>2365</v>
      </c>
      <c r="AU283" t="s">
        <v>2365</v>
      </c>
      <c r="AV283" t="s">
        <v>2365</v>
      </c>
      <c r="AW283" t="s">
        <v>2365</v>
      </c>
      <c r="AX283" t="s">
        <v>2365</v>
      </c>
      <c r="AY283" t="s">
        <v>2365</v>
      </c>
      <c r="AZ283" t="s">
        <v>2365</v>
      </c>
      <c r="BA283" t="s">
        <v>2365</v>
      </c>
      <c r="BB283" t="s">
        <v>2365</v>
      </c>
      <c r="BC283" t="s">
        <v>2365</v>
      </c>
      <c r="BD283" t="s">
        <v>2366</v>
      </c>
      <c r="BE283" t="s">
        <v>2365</v>
      </c>
      <c r="BF283" t="s">
        <v>2365</v>
      </c>
      <c r="BG283" t="s">
        <v>2365</v>
      </c>
      <c r="BH283" t="s">
        <v>2365</v>
      </c>
      <c r="BI283" t="s">
        <v>2366</v>
      </c>
      <c r="BJ283" t="s">
        <v>2365</v>
      </c>
      <c r="BK283" t="s">
        <v>2365</v>
      </c>
      <c r="BL283" t="s">
        <v>2365</v>
      </c>
      <c r="BM283" t="s">
        <v>2365</v>
      </c>
      <c r="BN283" t="s">
        <v>2177</v>
      </c>
      <c r="BO283">
        <v>1</v>
      </c>
      <c r="BP283">
        <v>11</v>
      </c>
      <c r="BQ283" t="s">
        <v>2369</v>
      </c>
      <c r="BR283" t="s">
        <v>1487</v>
      </c>
      <c r="BU283">
        <v>3001</v>
      </c>
      <c r="BV283">
        <v>0</v>
      </c>
      <c r="BW283">
        <v>3001</v>
      </c>
      <c r="BX283">
        <v>0</v>
      </c>
      <c r="BY283">
        <v>3001</v>
      </c>
      <c r="BZ283">
        <v>3196</v>
      </c>
      <c r="CA283">
        <v>3404</v>
      </c>
      <c r="CB283">
        <v>0</v>
      </c>
      <c r="CC283">
        <v>1750</v>
      </c>
      <c r="CD283">
        <v>0</v>
      </c>
      <c r="CE283">
        <v>0</v>
      </c>
      <c r="CF283">
        <v>0</v>
      </c>
      <c r="CG283">
        <v>0</v>
      </c>
      <c r="CH283">
        <v>0</v>
      </c>
      <c r="CI283">
        <v>0</v>
      </c>
      <c r="CJ283">
        <v>0</v>
      </c>
      <c r="CK283">
        <v>0</v>
      </c>
      <c r="CL283">
        <v>0</v>
      </c>
      <c r="CM283">
        <v>0</v>
      </c>
      <c r="CR283" t="s">
        <v>2335</v>
      </c>
      <c r="CS283" s="1369" t="str">
        <f>INDEX([8]Sheet1!$H:$H,MATCH(CR:CR,[8]Sheet1!$AU:$AU,0))</f>
        <v>Economic Development/Planning</v>
      </c>
    </row>
    <row r="284" spans="1:97" x14ac:dyDescent="0.2">
      <c r="A284" t="s">
        <v>2793</v>
      </c>
      <c r="B284">
        <v>337</v>
      </c>
      <c r="C284" t="s">
        <v>2793</v>
      </c>
      <c r="D284">
        <v>41180</v>
      </c>
      <c r="E284" t="s">
        <v>2794</v>
      </c>
      <c r="F284">
        <v>2000</v>
      </c>
      <c r="G284" t="s">
        <v>652</v>
      </c>
      <c r="H284" t="s">
        <v>2559</v>
      </c>
      <c r="I284" t="s">
        <v>1376</v>
      </c>
      <c r="J284">
        <v>2006</v>
      </c>
      <c r="K284" t="s">
        <v>1376</v>
      </c>
      <c r="L284">
        <v>1200</v>
      </c>
      <c r="M284" t="s">
        <v>1480</v>
      </c>
      <c r="N284">
        <v>1204</v>
      </c>
      <c r="O284" t="s">
        <v>1487</v>
      </c>
      <c r="P284" t="s">
        <v>2366</v>
      </c>
      <c r="Q284" t="s">
        <v>2364</v>
      </c>
      <c r="R284" t="s">
        <v>2364</v>
      </c>
      <c r="S284" t="s">
        <v>1881</v>
      </c>
      <c r="T284" t="s">
        <v>1812</v>
      </c>
      <c r="U284" t="s">
        <v>2365</v>
      </c>
      <c r="V284" t="s">
        <v>2365</v>
      </c>
      <c r="W284" t="s">
        <v>2365</v>
      </c>
      <c r="X284" t="s">
        <v>2365</v>
      </c>
      <c r="Y284" t="s">
        <v>2365</v>
      </c>
      <c r="Z284" t="s">
        <v>2365</v>
      </c>
      <c r="AA284" t="s">
        <v>2365</v>
      </c>
      <c r="AB284" t="s">
        <v>2365</v>
      </c>
      <c r="AC284" s="813" t="s">
        <v>2365</v>
      </c>
      <c r="AD284" s="813" t="s">
        <v>2365</v>
      </c>
      <c r="AE284" s="813" t="s">
        <v>2365</v>
      </c>
      <c r="AF284" t="s">
        <v>2365</v>
      </c>
      <c r="AG284" t="s">
        <v>2365</v>
      </c>
      <c r="AH284" t="s">
        <v>2365</v>
      </c>
      <c r="AI284" t="s">
        <v>2365</v>
      </c>
      <c r="AJ284" t="s">
        <v>2365</v>
      </c>
      <c r="AK284" s="1373" t="s">
        <v>2365</v>
      </c>
      <c r="AL284" t="s">
        <v>2365</v>
      </c>
      <c r="AM284" t="s">
        <v>2365</v>
      </c>
      <c r="AN284" t="s">
        <v>2365</v>
      </c>
      <c r="AR284" t="s">
        <v>2365</v>
      </c>
      <c r="AS284" t="s">
        <v>2365</v>
      </c>
      <c r="AT284" t="s">
        <v>2365</v>
      </c>
      <c r="AU284" t="s">
        <v>2365</v>
      </c>
      <c r="AV284" t="s">
        <v>2365</v>
      </c>
      <c r="AW284" t="s">
        <v>2365</v>
      </c>
      <c r="AX284" t="s">
        <v>2365</v>
      </c>
      <c r="AY284" t="s">
        <v>2365</v>
      </c>
      <c r="AZ284" t="s">
        <v>2365</v>
      </c>
      <c r="BA284" t="s">
        <v>2365</v>
      </c>
      <c r="BB284" t="s">
        <v>2365</v>
      </c>
      <c r="BC284" t="s">
        <v>2365</v>
      </c>
      <c r="BD284" t="s">
        <v>2366</v>
      </c>
      <c r="BE284" t="s">
        <v>2365</v>
      </c>
      <c r="BF284" t="s">
        <v>2365</v>
      </c>
      <c r="BG284" t="s">
        <v>2365</v>
      </c>
      <c r="BH284" t="s">
        <v>2365</v>
      </c>
      <c r="BI284" t="s">
        <v>2366</v>
      </c>
      <c r="BJ284" t="s">
        <v>2365</v>
      </c>
      <c r="BK284" t="s">
        <v>2365</v>
      </c>
      <c r="BL284" t="s">
        <v>2365</v>
      </c>
      <c r="BM284" t="s">
        <v>2365</v>
      </c>
      <c r="BN284" t="s">
        <v>2176</v>
      </c>
      <c r="BO284">
        <v>1</v>
      </c>
      <c r="BP284">
        <v>11</v>
      </c>
      <c r="BQ284" t="s">
        <v>2369</v>
      </c>
      <c r="BR284" t="s">
        <v>1487</v>
      </c>
      <c r="BU284">
        <v>0</v>
      </c>
      <c r="BV284">
        <v>0</v>
      </c>
      <c r="BW284">
        <v>0</v>
      </c>
      <c r="BX284">
        <v>86000</v>
      </c>
      <c r="BY284">
        <v>86000</v>
      </c>
      <c r="BZ284">
        <v>0</v>
      </c>
      <c r="CA284">
        <v>0</v>
      </c>
      <c r="CB284">
        <v>0</v>
      </c>
      <c r="CC284">
        <v>0</v>
      </c>
      <c r="CD284">
        <v>10000</v>
      </c>
      <c r="CE284">
        <v>12150.5</v>
      </c>
      <c r="CF284">
        <v>10000</v>
      </c>
      <c r="CG284">
        <v>10000</v>
      </c>
      <c r="CH284">
        <v>10000</v>
      </c>
      <c r="CI284">
        <v>0</v>
      </c>
      <c r="CJ284">
        <v>0</v>
      </c>
      <c r="CK284">
        <v>0</v>
      </c>
      <c r="CL284">
        <v>0</v>
      </c>
      <c r="CM284">
        <v>0</v>
      </c>
      <c r="CR284" t="s">
        <v>2335</v>
      </c>
      <c r="CS284" s="1369" t="str">
        <f>INDEX([8]Sheet1!$H:$H,MATCH(CR:CR,[8]Sheet1!$AU:$AU,0))</f>
        <v>Economic Development/Planning</v>
      </c>
    </row>
    <row r="285" spans="1:97" x14ac:dyDescent="0.2">
      <c r="A285" s="1175" t="s">
        <v>2795</v>
      </c>
      <c r="B285">
        <v>338</v>
      </c>
      <c r="C285" t="s">
        <v>2795</v>
      </c>
      <c r="D285">
        <v>41181</v>
      </c>
      <c r="E285" t="s">
        <v>2461</v>
      </c>
      <c r="F285">
        <v>2000</v>
      </c>
      <c r="G285" t="s">
        <v>652</v>
      </c>
      <c r="H285" s="1373" t="s">
        <v>2462</v>
      </c>
      <c r="I285" t="s">
        <v>203</v>
      </c>
      <c r="J285">
        <v>2001</v>
      </c>
      <c r="K285" t="s">
        <v>203</v>
      </c>
      <c r="L285" s="1373">
        <v>1200</v>
      </c>
      <c r="M285" t="s">
        <v>1480</v>
      </c>
      <c r="N285">
        <v>1204</v>
      </c>
      <c r="O285" t="s">
        <v>1487</v>
      </c>
      <c r="P285" t="s">
        <v>2366</v>
      </c>
      <c r="Q285" t="s">
        <v>2364</v>
      </c>
      <c r="R285" t="s">
        <v>2364</v>
      </c>
      <c r="S285" t="s">
        <v>1881</v>
      </c>
      <c r="T285" t="s">
        <v>1812</v>
      </c>
      <c r="U285" t="s">
        <v>2365</v>
      </c>
      <c r="V285" t="s">
        <v>2365</v>
      </c>
      <c r="W285" t="s">
        <v>2365</v>
      </c>
      <c r="X285" t="s">
        <v>2365</v>
      </c>
      <c r="Y285" t="s">
        <v>2365</v>
      </c>
      <c r="Z285" t="s">
        <v>2365</v>
      </c>
      <c r="AA285" t="s">
        <v>2365</v>
      </c>
      <c r="AB285" t="s">
        <v>2365</v>
      </c>
      <c r="AC285" s="813" t="s">
        <v>2365</v>
      </c>
      <c r="AD285" s="813" t="s">
        <v>2365</v>
      </c>
      <c r="AE285" s="813" t="s">
        <v>2365</v>
      </c>
      <c r="AF285" t="s">
        <v>2365</v>
      </c>
      <c r="AG285" t="s">
        <v>2365</v>
      </c>
      <c r="AH285" t="s">
        <v>2365</v>
      </c>
      <c r="AI285" t="s">
        <v>2365</v>
      </c>
      <c r="AJ285" t="s">
        <v>2365</v>
      </c>
      <c r="AK285" s="1373" t="s">
        <v>2365</v>
      </c>
      <c r="AL285" t="s">
        <v>2365</v>
      </c>
      <c r="AM285" t="s">
        <v>2365</v>
      </c>
      <c r="AN285" t="s">
        <v>2365</v>
      </c>
      <c r="AR285" t="s">
        <v>2365</v>
      </c>
      <c r="AS285" t="s">
        <v>2365</v>
      </c>
      <c r="AT285" t="s">
        <v>2365</v>
      </c>
      <c r="AU285" t="s">
        <v>2365</v>
      </c>
      <c r="AV285" t="s">
        <v>2365</v>
      </c>
      <c r="AW285" t="s">
        <v>2365</v>
      </c>
      <c r="AX285" t="s">
        <v>2365</v>
      </c>
      <c r="AY285" t="s">
        <v>2365</v>
      </c>
      <c r="AZ285" t="s">
        <v>2365</v>
      </c>
      <c r="BA285" t="s">
        <v>2365</v>
      </c>
      <c r="BB285" t="s">
        <v>2365</v>
      </c>
      <c r="BC285" t="s">
        <v>2365</v>
      </c>
      <c r="BD285" t="s">
        <v>2366</v>
      </c>
      <c r="BE285" t="s">
        <v>2365</v>
      </c>
      <c r="BF285" t="s">
        <v>2365</v>
      </c>
      <c r="BG285" t="s">
        <v>2365</v>
      </c>
      <c r="BH285" t="s">
        <v>2365</v>
      </c>
      <c r="BI285" t="s">
        <v>2366</v>
      </c>
      <c r="BJ285" t="s">
        <v>2365</v>
      </c>
      <c r="BK285" t="s">
        <v>2365</v>
      </c>
      <c r="BL285" t="s">
        <v>2365</v>
      </c>
      <c r="BM285" t="s">
        <v>2365</v>
      </c>
      <c r="BN285" t="s">
        <v>2177</v>
      </c>
      <c r="BO285">
        <v>1</v>
      </c>
      <c r="BP285">
        <v>11</v>
      </c>
      <c r="BQ285" t="s">
        <v>2369</v>
      </c>
      <c r="BR285" t="s">
        <v>1487</v>
      </c>
      <c r="BU285" s="1371">
        <v>3985182</v>
      </c>
      <c r="BV285" s="1371">
        <v>0</v>
      </c>
      <c r="BW285" s="1371">
        <v>3985182</v>
      </c>
      <c r="BX285" s="1371">
        <v>0</v>
      </c>
      <c r="BY285" s="1371">
        <v>3985182</v>
      </c>
      <c r="BZ285">
        <v>4244219</v>
      </c>
      <c r="CA285">
        <v>4520094</v>
      </c>
      <c r="CB285">
        <v>406010.67999999993</v>
      </c>
      <c r="CC285">
        <v>322896.62</v>
      </c>
      <c r="CD285">
        <v>208534.09999999998</v>
      </c>
      <c r="CE285">
        <v>235888.52</v>
      </c>
      <c r="CF285">
        <v>300053.78999999998</v>
      </c>
      <c r="CG285">
        <v>273547.78999999998</v>
      </c>
      <c r="CH285">
        <v>273687.03000000003</v>
      </c>
      <c r="CI285">
        <v>0</v>
      </c>
      <c r="CJ285">
        <v>0</v>
      </c>
      <c r="CK285">
        <v>0</v>
      </c>
      <c r="CL285">
        <v>0</v>
      </c>
      <c r="CM285">
        <v>0</v>
      </c>
      <c r="CR285" t="s">
        <v>2335</v>
      </c>
      <c r="CS285" s="1369" t="str">
        <f>INDEX([8]Sheet1!$H:$H,MATCH(CR:CR,[8]Sheet1!$AU:$AU,0))</f>
        <v>Economic Development/Planning</v>
      </c>
    </row>
    <row r="286" spans="1:97" x14ac:dyDescent="0.2">
      <c r="A286" t="s">
        <v>2796</v>
      </c>
      <c r="B286">
        <v>339</v>
      </c>
      <c r="C286" t="s">
        <v>2796</v>
      </c>
      <c r="D286">
        <v>41449</v>
      </c>
      <c r="E286" t="s">
        <v>2797</v>
      </c>
      <c r="F286">
        <v>2000</v>
      </c>
      <c r="G286" t="s">
        <v>652</v>
      </c>
      <c r="H286" s="1373" t="s">
        <v>2531</v>
      </c>
      <c r="I286" t="s">
        <v>1185</v>
      </c>
      <c r="J286">
        <v>2001</v>
      </c>
      <c r="K286" t="s">
        <v>203</v>
      </c>
      <c r="L286" s="1373">
        <v>1200</v>
      </c>
      <c r="M286" t="s">
        <v>1480</v>
      </c>
      <c r="N286">
        <v>1204</v>
      </c>
      <c r="O286" t="s">
        <v>1487</v>
      </c>
      <c r="P286" t="s">
        <v>2366</v>
      </c>
      <c r="Q286" t="s">
        <v>2364</v>
      </c>
      <c r="R286" t="s">
        <v>2364</v>
      </c>
      <c r="S286" t="s">
        <v>1881</v>
      </c>
      <c r="T286" t="s">
        <v>1812</v>
      </c>
      <c r="U286" t="s">
        <v>2365</v>
      </c>
      <c r="V286" t="s">
        <v>2365</v>
      </c>
      <c r="W286" t="s">
        <v>2365</v>
      </c>
      <c r="X286" t="s">
        <v>2365</v>
      </c>
      <c r="Y286" t="s">
        <v>2365</v>
      </c>
      <c r="Z286" t="s">
        <v>2365</v>
      </c>
      <c r="AA286" t="s">
        <v>2365</v>
      </c>
      <c r="AB286" t="s">
        <v>2365</v>
      </c>
      <c r="AC286" s="813" t="s">
        <v>2365</v>
      </c>
      <c r="AD286" s="813" t="s">
        <v>2365</v>
      </c>
      <c r="AE286" s="813" t="s">
        <v>2365</v>
      </c>
      <c r="AF286" t="s">
        <v>2365</v>
      </c>
      <c r="AG286" t="s">
        <v>2365</v>
      </c>
      <c r="AH286" t="s">
        <v>2365</v>
      </c>
      <c r="AI286" t="s">
        <v>2365</v>
      </c>
      <c r="AJ286" t="s">
        <v>2365</v>
      </c>
      <c r="AK286" s="1373" t="s">
        <v>2365</v>
      </c>
      <c r="AL286" t="s">
        <v>2365</v>
      </c>
      <c r="AM286" t="s">
        <v>2365</v>
      </c>
      <c r="AN286" t="s">
        <v>2365</v>
      </c>
      <c r="AR286" t="s">
        <v>2365</v>
      </c>
      <c r="AS286" t="s">
        <v>2365</v>
      </c>
      <c r="AT286" t="s">
        <v>2365</v>
      </c>
      <c r="AU286" t="s">
        <v>2365</v>
      </c>
      <c r="AV286" t="s">
        <v>2365</v>
      </c>
      <c r="AW286" t="s">
        <v>2365</v>
      </c>
      <c r="AX286" t="s">
        <v>2365</v>
      </c>
      <c r="AY286" t="s">
        <v>2365</v>
      </c>
      <c r="AZ286" t="s">
        <v>2365</v>
      </c>
      <c r="BA286" t="s">
        <v>2365</v>
      </c>
      <c r="BB286" t="s">
        <v>2365</v>
      </c>
      <c r="BC286" t="s">
        <v>2365</v>
      </c>
      <c r="BD286" t="s">
        <v>2366</v>
      </c>
      <c r="BE286" t="s">
        <v>2365</v>
      </c>
      <c r="BF286" t="s">
        <v>2365</v>
      </c>
      <c r="BG286" t="s">
        <v>2365</v>
      </c>
      <c r="BH286" t="s">
        <v>2365</v>
      </c>
      <c r="BI286" t="s">
        <v>2366</v>
      </c>
      <c r="BJ286" t="s">
        <v>2365</v>
      </c>
      <c r="BK286" t="s">
        <v>2365</v>
      </c>
      <c r="BL286" t="s">
        <v>2365</v>
      </c>
      <c r="BM286" t="s">
        <v>2365</v>
      </c>
      <c r="BN286" t="s">
        <v>2176</v>
      </c>
      <c r="BO286">
        <v>1</v>
      </c>
      <c r="BP286">
        <v>11</v>
      </c>
      <c r="BQ286" t="s">
        <v>2369</v>
      </c>
      <c r="BR286" t="s">
        <v>1487</v>
      </c>
      <c r="BU286" s="1371">
        <v>0</v>
      </c>
      <c r="BV286" s="1371">
        <v>0</v>
      </c>
      <c r="BW286" s="1371">
        <v>0</v>
      </c>
      <c r="BX286" s="1371">
        <v>0</v>
      </c>
      <c r="BY286" s="1371">
        <v>0</v>
      </c>
      <c r="BZ286">
        <v>0</v>
      </c>
      <c r="CA286">
        <v>0</v>
      </c>
      <c r="CB286">
        <v>0</v>
      </c>
      <c r="CC286">
        <v>0</v>
      </c>
      <c r="CD286">
        <v>0</v>
      </c>
      <c r="CE286">
        <v>0</v>
      </c>
      <c r="CF286">
        <v>0</v>
      </c>
      <c r="CG286">
        <v>0</v>
      </c>
      <c r="CH286">
        <v>0</v>
      </c>
      <c r="CI286">
        <v>0</v>
      </c>
      <c r="CJ286">
        <v>0</v>
      </c>
      <c r="CK286">
        <v>0</v>
      </c>
      <c r="CL286">
        <v>0</v>
      </c>
      <c r="CM286">
        <v>0</v>
      </c>
      <c r="CR286" t="s">
        <v>2335</v>
      </c>
      <c r="CS286" s="1369" t="str">
        <f>INDEX([8]Sheet1!$H:$H,MATCH(CR:CR,[8]Sheet1!$AU:$AU,0))</f>
        <v>Economic Development/Planning</v>
      </c>
    </row>
    <row r="287" spans="1:97" x14ac:dyDescent="0.2">
      <c r="A287" t="s">
        <v>2798</v>
      </c>
      <c r="B287">
        <v>340</v>
      </c>
      <c r="C287" t="s">
        <v>2798</v>
      </c>
      <c r="D287">
        <v>41450</v>
      </c>
      <c r="E287" t="s">
        <v>2799</v>
      </c>
      <c r="F287">
        <v>2000</v>
      </c>
      <c r="G287" t="s">
        <v>652</v>
      </c>
      <c r="H287" s="1373" t="s">
        <v>2550</v>
      </c>
      <c r="I287" t="s">
        <v>1159</v>
      </c>
      <c r="J287">
        <v>2010</v>
      </c>
      <c r="K287" t="s">
        <v>1159</v>
      </c>
      <c r="L287" s="1373">
        <v>1200</v>
      </c>
      <c r="M287" t="s">
        <v>1480</v>
      </c>
      <c r="N287">
        <v>1204</v>
      </c>
      <c r="O287" t="s">
        <v>1487</v>
      </c>
      <c r="P287" t="s">
        <v>2366</v>
      </c>
      <c r="Q287" t="s">
        <v>2364</v>
      </c>
      <c r="R287" t="s">
        <v>2364</v>
      </c>
      <c r="S287" t="s">
        <v>1881</v>
      </c>
      <c r="T287" t="s">
        <v>1812</v>
      </c>
      <c r="U287" t="s">
        <v>2365</v>
      </c>
      <c r="V287" t="s">
        <v>2365</v>
      </c>
      <c r="W287" t="s">
        <v>2365</v>
      </c>
      <c r="X287" t="s">
        <v>2365</v>
      </c>
      <c r="Y287" t="s">
        <v>2365</v>
      </c>
      <c r="Z287" t="s">
        <v>2365</v>
      </c>
      <c r="AA287" t="s">
        <v>2365</v>
      </c>
      <c r="AB287" t="s">
        <v>2365</v>
      </c>
      <c r="AC287" s="813" t="s">
        <v>2365</v>
      </c>
      <c r="AD287" s="813" t="s">
        <v>2365</v>
      </c>
      <c r="AE287" s="813" t="s">
        <v>2365</v>
      </c>
      <c r="AF287" t="s">
        <v>2365</v>
      </c>
      <c r="AG287" t="s">
        <v>2365</v>
      </c>
      <c r="AH287" t="s">
        <v>2365</v>
      </c>
      <c r="AI287" t="s">
        <v>2365</v>
      </c>
      <c r="AJ287" t="s">
        <v>2365</v>
      </c>
      <c r="AK287" s="1373" t="s">
        <v>2365</v>
      </c>
      <c r="AL287" t="s">
        <v>2365</v>
      </c>
      <c r="AM287" t="s">
        <v>2365</v>
      </c>
      <c r="AN287" t="s">
        <v>2365</v>
      </c>
      <c r="AR287" t="s">
        <v>2365</v>
      </c>
      <c r="AS287" t="s">
        <v>2365</v>
      </c>
      <c r="AT287" t="s">
        <v>2365</v>
      </c>
      <c r="AU287" t="s">
        <v>2365</v>
      </c>
      <c r="AV287" t="s">
        <v>2365</v>
      </c>
      <c r="AW287" t="s">
        <v>2365</v>
      </c>
      <c r="AX287" t="s">
        <v>2365</v>
      </c>
      <c r="AY287" t="s">
        <v>2365</v>
      </c>
      <c r="AZ287" t="s">
        <v>2365</v>
      </c>
      <c r="BA287" t="s">
        <v>2365</v>
      </c>
      <c r="BB287" t="s">
        <v>2365</v>
      </c>
      <c r="BC287" t="s">
        <v>2365</v>
      </c>
      <c r="BD287" t="s">
        <v>2366</v>
      </c>
      <c r="BE287" t="s">
        <v>2365</v>
      </c>
      <c r="BF287" t="s">
        <v>2365</v>
      </c>
      <c r="BG287" t="s">
        <v>2365</v>
      </c>
      <c r="BH287" t="s">
        <v>2365</v>
      </c>
      <c r="BI287" t="s">
        <v>2366</v>
      </c>
      <c r="BJ287" t="s">
        <v>2365</v>
      </c>
      <c r="BK287" t="s">
        <v>2365</v>
      </c>
      <c r="BL287" t="s">
        <v>2365</v>
      </c>
      <c r="BM287" t="s">
        <v>2365</v>
      </c>
      <c r="BN287" t="s">
        <v>2176</v>
      </c>
      <c r="BO287">
        <v>1</v>
      </c>
      <c r="BP287">
        <v>11</v>
      </c>
      <c r="BQ287" t="s">
        <v>2369</v>
      </c>
      <c r="BR287" t="s">
        <v>1487</v>
      </c>
      <c r="BU287" s="1371">
        <v>59089</v>
      </c>
      <c r="BV287" s="1371">
        <v>0</v>
      </c>
      <c r="BW287" s="1371">
        <v>59089</v>
      </c>
      <c r="BX287" s="1371">
        <v>0</v>
      </c>
      <c r="BY287" s="1371">
        <v>59089</v>
      </c>
      <c r="BZ287">
        <v>62930</v>
      </c>
      <c r="CA287">
        <v>67020</v>
      </c>
      <c r="CB287">
        <v>0</v>
      </c>
      <c r="CC287">
        <v>0</v>
      </c>
      <c r="CD287">
        <v>0</v>
      </c>
      <c r="CE287">
        <v>0</v>
      </c>
      <c r="CF287">
        <v>0</v>
      </c>
      <c r="CG287">
        <v>0</v>
      </c>
      <c r="CH287">
        <v>0</v>
      </c>
      <c r="CI287">
        <v>0</v>
      </c>
      <c r="CJ287">
        <v>0</v>
      </c>
      <c r="CK287">
        <v>0</v>
      </c>
      <c r="CL287">
        <v>0</v>
      </c>
      <c r="CM287">
        <v>0</v>
      </c>
      <c r="CR287" t="s">
        <v>2335</v>
      </c>
      <c r="CS287" s="1369" t="str">
        <f>INDEX([8]Sheet1!$H:$H,MATCH(CR:CR,[8]Sheet1!$AU:$AU,0))</f>
        <v>Economic Development/Planning</v>
      </c>
    </row>
    <row r="288" spans="1:97" x14ac:dyDescent="0.2">
      <c r="A288" t="s">
        <v>2800</v>
      </c>
      <c r="B288">
        <v>341</v>
      </c>
      <c r="C288" t="s">
        <v>2800</v>
      </c>
      <c r="D288">
        <v>41451</v>
      </c>
      <c r="E288" t="s">
        <v>2801</v>
      </c>
      <c r="F288">
        <v>2000</v>
      </c>
      <c r="G288" t="s">
        <v>652</v>
      </c>
      <c r="H288" s="1373" t="s">
        <v>2556</v>
      </c>
      <c r="I288" t="s">
        <v>1377</v>
      </c>
      <c r="J288">
        <v>2007</v>
      </c>
      <c r="K288" t="s">
        <v>1377</v>
      </c>
      <c r="L288" s="1373">
        <v>1200</v>
      </c>
      <c r="M288" t="s">
        <v>1480</v>
      </c>
      <c r="N288">
        <v>1204</v>
      </c>
      <c r="O288" t="s">
        <v>1487</v>
      </c>
      <c r="P288" t="s">
        <v>2366</v>
      </c>
      <c r="Q288" t="s">
        <v>2364</v>
      </c>
      <c r="R288" t="s">
        <v>2364</v>
      </c>
      <c r="S288" t="s">
        <v>1881</v>
      </c>
      <c r="T288" t="s">
        <v>1812</v>
      </c>
      <c r="U288" t="s">
        <v>2365</v>
      </c>
      <c r="V288" t="s">
        <v>2365</v>
      </c>
      <c r="W288" t="s">
        <v>2365</v>
      </c>
      <c r="X288" t="s">
        <v>2365</v>
      </c>
      <c r="Y288" t="s">
        <v>2365</v>
      </c>
      <c r="Z288" t="s">
        <v>2365</v>
      </c>
      <c r="AA288" t="s">
        <v>2365</v>
      </c>
      <c r="AB288" t="s">
        <v>2365</v>
      </c>
      <c r="AC288" s="813" t="s">
        <v>2365</v>
      </c>
      <c r="AD288" s="813" t="s">
        <v>2365</v>
      </c>
      <c r="AE288" s="813" t="s">
        <v>2365</v>
      </c>
      <c r="AF288" t="s">
        <v>2365</v>
      </c>
      <c r="AG288" t="s">
        <v>2365</v>
      </c>
      <c r="AH288" t="s">
        <v>2365</v>
      </c>
      <c r="AI288" t="s">
        <v>2365</v>
      </c>
      <c r="AJ288" t="s">
        <v>2365</v>
      </c>
      <c r="AK288" s="1373" t="s">
        <v>2365</v>
      </c>
      <c r="AL288" t="s">
        <v>2365</v>
      </c>
      <c r="AM288" t="s">
        <v>2365</v>
      </c>
      <c r="AN288" t="s">
        <v>2365</v>
      </c>
      <c r="AR288" t="s">
        <v>2365</v>
      </c>
      <c r="AS288" t="s">
        <v>2365</v>
      </c>
      <c r="AT288" t="s">
        <v>2365</v>
      </c>
      <c r="AU288" t="s">
        <v>2365</v>
      </c>
      <c r="AV288" t="s">
        <v>2365</v>
      </c>
      <c r="AW288" t="s">
        <v>2365</v>
      </c>
      <c r="AX288" t="s">
        <v>2365</v>
      </c>
      <c r="AY288" t="s">
        <v>2365</v>
      </c>
      <c r="AZ288" t="s">
        <v>2365</v>
      </c>
      <c r="BA288" t="s">
        <v>2365</v>
      </c>
      <c r="BB288" t="s">
        <v>2365</v>
      </c>
      <c r="BC288" t="s">
        <v>2365</v>
      </c>
      <c r="BD288" t="s">
        <v>2366</v>
      </c>
      <c r="BE288" t="s">
        <v>2365</v>
      </c>
      <c r="BF288" t="s">
        <v>2365</v>
      </c>
      <c r="BG288" t="s">
        <v>2365</v>
      </c>
      <c r="BH288" t="s">
        <v>2365</v>
      </c>
      <c r="BI288" t="s">
        <v>2366</v>
      </c>
      <c r="BJ288" t="s">
        <v>2365</v>
      </c>
      <c r="BK288" t="s">
        <v>2365</v>
      </c>
      <c r="BL288" t="s">
        <v>2365</v>
      </c>
      <c r="BM288" t="s">
        <v>2365</v>
      </c>
      <c r="BN288" t="s">
        <v>2176</v>
      </c>
      <c r="BO288">
        <v>1</v>
      </c>
      <c r="BP288">
        <v>11</v>
      </c>
      <c r="BQ288" t="s">
        <v>2369</v>
      </c>
      <c r="BR288" t="s">
        <v>1487</v>
      </c>
      <c r="BU288" s="1371">
        <v>18000</v>
      </c>
      <c r="BV288" s="1371">
        <v>0</v>
      </c>
      <c r="BW288" s="1371">
        <v>18000</v>
      </c>
      <c r="BX288" s="1371">
        <v>0</v>
      </c>
      <c r="BY288" s="1371">
        <v>18000</v>
      </c>
      <c r="BZ288">
        <v>19170</v>
      </c>
      <c r="CA288">
        <v>20416</v>
      </c>
      <c r="CB288">
        <v>0</v>
      </c>
      <c r="CC288">
        <v>0</v>
      </c>
      <c r="CD288">
        <v>1750</v>
      </c>
      <c r="CE288">
        <v>1750</v>
      </c>
      <c r="CF288">
        <v>1750</v>
      </c>
      <c r="CG288">
        <v>1750</v>
      </c>
      <c r="CH288">
        <v>1750</v>
      </c>
      <c r="CI288">
        <v>0</v>
      </c>
      <c r="CJ288">
        <v>0</v>
      </c>
      <c r="CK288">
        <v>0</v>
      </c>
      <c r="CL288">
        <v>0</v>
      </c>
      <c r="CM288">
        <v>0</v>
      </c>
      <c r="CR288" t="s">
        <v>2335</v>
      </c>
      <c r="CS288" s="1369" t="str">
        <f>INDEX([8]Sheet1!$H:$H,MATCH(CR:CR,[8]Sheet1!$AU:$AU,0))</f>
        <v>Economic Development/Planning</v>
      </c>
    </row>
    <row r="289" spans="1:97" x14ac:dyDescent="0.2">
      <c r="A289" t="s">
        <v>2802</v>
      </c>
      <c r="B289">
        <v>342</v>
      </c>
      <c r="C289" t="s">
        <v>2802</v>
      </c>
      <c r="D289">
        <v>41452</v>
      </c>
      <c r="E289" t="s">
        <v>2803</v>
      </c>
      <c r="F289">
        <v>2000</v>
      </c>
      <c r="G289" t="s">
        <v>652</v>
      </c>
      <c r="H289" s="1373" t="s">
        <v>2553</v>
      </c>
      <c r="I289" t="s">
        <v>1378</v>
      </c>
      <c r="J289">
        <v>2008</v>
      </c>
      <c r="K289" t="s">
        <v>1378</v>
      </c>
      <c r="L289" s="1373">
        <v>1200</v>
      </c>
      <c r="M289" t="s">
        <v>1480</v>
      </c>
      <c r="N289">
        <v>1204</v>
      </c>
      <c r="O289" t="s">
        <v>1487</v>
      </c>
      <c r="P289" t="s">
        <v>2366</v>
      </c>
      <c r="Q289" t="s">
        <v>2364</v>
      </c>
      <c r="R289" t="s">
        <v>2364</v>
      </c>
      <c r="S289" t="s">
        <v>1881</v>
      </c>
      <c r="T289" t="s">
        <v>1812</v>
      </c>
      <c r="U289" t="s">
        <v>2365</v>
      </c>
      <c r="V289" t="s">
        <v>2365</v>
      </c>
      <c r="W289" t="s">
        <v>2365</v>
      </c>
      <c r="X289" t="s">
        <v>2365</v>
      </c>
      <c r="Y289" t="s">
        <v>2365</v>
      </c>
      <c r="Z289" t="s">
        <v>2365</v>
      </c>
      <c r="AA289" t="s">
        <v>2365</v>
      </c>
      <c r="AB289" t="s">
        <v>2365</v>
      </c>
      <c r="AC289" s="813" t="s">
        <v>2365</v>
      </c>
      <c r="AD289" s="813" t="s">
        <v>2365</v>
      </c>
      <c r="AE289" s="813" t="s">
        <v>2365</v>
      </c>
      <c r="AF289" t="s">
        <v>2365</v>
      </c>
      <c r="AG289" t="s">
        <v>2365</v>
      </c>
      <c r="AH289" t="s">
        <v>2365</v>
      </c>
      <c r="AI289" t="s">
        <v>2365</v>
      </c>
      <c r="AJ289" t="s">
        <v>2365</v>
      </c>
      <c r="AK289" s="1373" t="s">
        <v>2365</v>
      </c>
      <c r="AL289" t="s">
        <v>2365</v>
      </c>
      <c r="AM289" t="s">
        <v>2365</v>
      </c>
      <c r="AN289" t="s">
        <v>2365</v>
      </c>
      <c r="AR289" t="s">
        <v>2365</v>
      </c>
      <c r="AS289" t="s">
        <v>2365</v>
      </c>
      <c r="AT289" t="s">
        <v>2365</v>
      </c>
      <c r="AU289" t="s">
        <v>2365</v>
      </c>
      <c r="AV289" t="s">
        <v>2365</v>
      </c>
      <c r="AW289" t="s">
        <v>2365</v>
      </c>
      <c r="AX289" t="s">
        <v>2365</v>
      </c>
      <c r="AY289" t="s">
        <v>2365</v>
      </c>
      <c r="AZ289" t="s">
        <v>2365</v>
      </c>
      <c r="BA289" t="s">
        <v>2365</v>
      </c>
      <c r="BB289" t="s">
        <v>2365</v>
      </c>
      <c r="BC289" t="s">
        <v>2365</v>
      </c>
      <c r="BD289" t="s">
        <v>2366</v>
      </c>
      <c r="BE289" t="s">
        <v>2365</v>
      </c>
      <c r="BF289" t="s">
        <v>2365</v>
      </c>
      <c r="BG289" t="s">
        <v>2365</v>
      </c>
      <c r="BH289" t="s">
        <v>2365</v>
      </c>
      <c r="BI289" t="s">
        <v>2366</v>
      </c>
      <c r="BJ289" t="s">
        <v>2365</v>
      </c>
      <c r="BK289" t="s">
        <v>2365</v>
      </c>
      <c r="BL289" t="s">
        <v>2365</v>
      </c>
      <c r="BM289" t="s">
        <v>2365</v>
      </c>
      <c r="BN289" t="s">
        <v>2176</v>
      </c>
      <c r="BO289">
        <v>1</v>
      </c>
      <c r="BP289">
        <v>11</v>
      </c>
      <c r="BQ289" t="s">
        <v>2369</v>
      </c>
      <c r="BR289" t="s">
        <v>1487</v>
      </c>
      <c r="BU289" s="1371">
        <v>13200</v>
      </c>
      <c r="BV289" s="1371">
        <v>0</v>
      </c>
      <c r="BW289" s="1371">
        <v>13200</v>
      </c>
      <c r="BX289" s="1371">
        <v>0</v>
      </c>
      <c r="BY289" s="1371">
        <v>13200</v>
      </c>
      <c r="BZ289">
        <v>14058</v>
      </c>
      <c r="CA289">
        <v>14972</v>
      </c>
      <c r="CB289">
        <v>0</v>
      </c>
      <c r="CC289">
        <v>0</v>
      </c>
      <c r="CD289">
        <v>0</v>
      </c>
      <c r="CE289">
        <v>0</v>
      </c>
      <c r="CF289">
        <v>0</v>
      </c>
      <c r="CG289">
        <v>0</v>
      </c>
      <c r="CH289">
        <v>0</v>
      </c>
      <c r="CI289">
        <v>0</v>
      </c>
      <c r="CJ289">
        <v>0</v>
      </c>
      <c r="CK289">
        <v>0</v>
      </c>
      <c r="CL289">
        <v>0</v>
      </c>
      <c r="CM289">
        <v>0</v>
      </c>
      <c r="CR289" t="s">
        <v>2335</v>
      </c>
      <c r="CS289" s="1369" t="str">
        <f>INDEX([8]Sheet1!$H:$H,MATCH(CR:CR,[8]Sheet1!$AU:$AU,0))</f>
        <v>Economic Development/Planning</v>
      </c>
    </row>
    <row r="290" spans="1:97" x14ac:dyDescent="0.2">
      <c r="A290" t="s">
        <v>2804</v>
      </c>
      <c r="B290">
        <v>343</v>
      </c>
      <c r="C290" t="s">
        <v>2804</v>
      </c>
      <c r="D290">
        <v>41453</v>
      </c>
      <c r="E290" t="s">
        <v>2805</v>
      </c>
      <c r="F290">
        <v>2000</v>
      </c>
      <c r="G290" t="s">
        <v>652</v>
      </c>
      <c r="H290" t="s">
        <v>2462</v>
      </c>
      <c r="I290" t="s">
        <v>203</v>
      </c>
      <c r="J290">
        <v>2001</v>
      </c>
      <c r="K290" t="s">
        <v>203</v>
      </c>
      <c r="L290">
        <v>1200</v>
      </c>
      <c r="M290" t="s">
        <v>1480</v>
      </c>
      <c r="N290">
        <v>1204</v>
      </c>
      <c r="O290" t="s">
        <v>1487</v>
      </c>
      <c r="P290" t="s">
        <v>2366</v>
      </c>
      <c r="Q290" t="s">
        <v>2364</v>
      </c>
      <c r="R290" t="s">
        <v>2364</v>
      </c>
      <c r="S290" t="s">
        <v>1881</v>
      </c>
      <c r="T290" t="s">
        <v>1812</v>
      </c>
      <c r="U290" t="s">
        <v>2365</v>
      </c>
      <c r="V290" t="s">
        <v>2365</v>
      </c>
      <c r="W290" t="s">
        <v>2365</v>
      </c>
      <c r="X290" t="s">
        <v>2365</v>
      </c>
      <c r="Y290" t="s">
        <v>2365</v>
      </c>
      <c r="Z290" t="s">
        <v>2365</v>
      </c>
      <c r="AA290" t="s">
        <v>2365</v>
      </c>
      <c r="AB290" t="s">
        <v>2365</v>
      </c>
      <c r="AC290" s="813" t="s">
        <v>2365</v>
      </c>
      <c r="AD290" s="813" t="s">
        <v>2365</v>
      </c>
      <c r="AE290" s="813" t="s">
        <v>2365</v>
      </c>
      <c r="AF290" t="s">
        <v>2365</v>
      </c>
      <c r="AG290" t="s">
        <v>2365</v>
      </c>
      <c r="AH290" t="s">
        <v>2365</v>
      </c>
      <c r="AI290" t="s">
        <v>2365</v>
      </c>
      <c r="AJ290" t="s">
        <v>2365</v>
      </c>
      <c r="AK290" s="1373" t="s">
        <v>2365</v>
      </c>
      <c r="AL290" t="s">
        <v>2365</v>
      </c>
      <c r="AM290" t="s">
        <v>2365</v>
      </c>
      <c r="AN290" t="s">
        <v>2365</v>
      </c>
      <c r="AR290" t="s">
        <v>2365</v>
      </c>
      <c r="AS290" t="s">
        <v>2365</v>
      </c>
      <c r="AT290" t="s">
        <v>2365</v>
      </c>
      <c r="AU290" t="s">
        <v>2365</v>
      </c>
      <c r="AV290" t="s">
        <v>2365</v>
      </c>
      <c r="AW290" t="s">
        <v>2365</v>
      </c>
      <c r="AX290" t="s">
        <v>2365</v>
      </c>
      <c r="AY290" t="s">
        <v>2365</v>
      </c>
      <c r="AZ290" t="s">
        <v>2365</v>
      </c>
      <c r="BA290" t="s">
        <v>2365</v>
      </c>
      <c r="BB290" t="s">
        <v>2365</v>
      </c>
      <c r="BC290" t="s">
        <v>2365</v>
      </c>
      <c r="BD290" t="s">
        <v>2366</v>
      </c>
      <c r="BE290" t="s">
        <v>2365</v>
      </c>
      <c r="BF290" t="s">
        <v>2365</v>
      </c>
      <c r="BG290" t="s">
        <v>2365</v>
      </c>
      <c r="BH290" t="s">
        <v>2365</v>
      </c>
      <c r="BI290" t="s">
        <v>2366</v>
      </c>
      <c r="BJ290" t="s">
        <v>2365</v>
      </c>
      <c r="BK290" t="s">
        <v>2365</v>
      </c>
      <c r="BL290" t="s">
        <v>2365</v>
      </c>
      <c r="BM290" t="s">
        <v>2365</v>
      </c>
      <c r="BN290" t="s">
        <v>2176</v>
      </c>
      <c r="BO290">
        <v>1</v>
      </c>
      <c r="BP290">
        <v>11</v>
      </c>
      <c r="BQ290" t="s">
        <v>2369</v>
      </c>
      <c r="BR290" t="s">
        <v>1487</v>
      </c>
      <c r="BU290">
        <v>984815</v>
      </c>
      <c r="BV290">
        <v>0</v>
      </c>
      <c r="BW290">
        <v>984815</v>
      </c>
      <c r="BX290">
        <v>0</v>
      </c>
      <c r="BY290">
        <v>984815</v>
      </c>
      <c r="BZ290">
        <v>1048827</v>
      </c>
      <c r="CA290">
        <v>1117001</v>
      </c>
      <c r="CB290">
        <v>0</v>
      </c>
      <c r="CC290">
        <v>0</v>
      </c>
      <c r="CD290">
        <v>85381.43</v>
      </c>
      <c r="CE290">
        <v>85381.43</v>
      </c>
      <c r="CF290">
        <v>86958.05</v>
      </c>
      <c r="CG290">
        <v>86958.05</v>
      </c>
      <c r="CH290">
        <v>86958.05</v>
      </c>
      <c r="CI290">
        <v>0</v>
      </c>
      <c r="CJ290">
        <v>0</v>
      </c>
      <c r="CK290">
        <v>0</v>
      </c>
      <c r="CL290">
        <v>0</v>
      </c>
      <c r="CM290">
        <v>0</v>
      </c>
      <c r="CR290" t="s">
        <v>2335</v>
      </c>
      <c r="CS290" s="1369" t="str">
        <f>INDEX([8]Sheet1!$H:$H,MATCH(CR:CR,[8]Sheet1!$AU:$AU,0))</f>
        <v>Economic Development/Planning</v>
      </c>
    </row>
    <row r="291" spans="1:97" x14ac:dyDescent="0.2">
      <c r="A291" t="s">
        <v>2806</v>
      </c>
      <c r="B291">
        <v>344</v>
      </c>
      <c r="C291" t="s">
        <v>2806</v>
      </c>
      <c r="D291">
        <v>41454</v>
      </c>
      <c r="E291" t="s">
        <v>2807</v>
      </c>
      <c r="F291">
        <v>2000</v>
      </c>
      <c r="G291" t="s">
        <v>652</v>
      </c>
      <c r="H291" t="s">
        <v>2547</v>
      </c>
      <c r="I291" t="s">
        <v>200</v>
      </c>
      <c r="J291">
        <v>2005</v>
      </c>
      <c r="K291" t="s">
        <v>200</v>
      </c>
      <c r="L291">
        <v>1200</v>
      </c>
      <c r="M291" t="s">
        <v>1480</v>
      </c>
      <c r="N291">
        <v>1204</v>
      </c>
      <c r="O291" t="s">
        <v>1487</v>
      </c>
      <c r="P291" t="s">
        <v>2366</v>
      </c>
      <c r="Q291" t="s">
        <v>2364</v>
      </c>
      <c r="R291" t="s">
        <v>2364</v>
      </c>
      <c r="S291" t="s">
        <v>1881</v>
      </c>
      <c r="T291" t="s">
        <v>1812</v>
      </c>
      <c r="U291" t="s">
        <v>2365</v>
      </c>
      <c r="V291" t="s">
        <v>2365</v>
      </c>
      <c r="W291" t="s">
        <v>2365</v>
      </c>
      <c r="X291" t="s">
        <v>2365</v>
      </c>
      <c r="Y291" t="s">
        <v>2365</v>
      </c>
      <c r="Z291" t="s">
        <v>2365</v>
      </c>
      <c r="AA291" t="s">
        <v>2365</v>
      </c>
      <c r="AB291" t="s">
        <v>2365</v>
      </c>
      <c r="AC291" s="813" t="s">
        <v>2365</v>
      </c>
      <c r="AD291" s="813" t="s">
        <v>2365</v>
      </c>
      <c r="AE291" s="813" t="s">
        <v>2365</v>
      </c>
      <c r="AF291" t="s">
        <v>2365</v>
      </c>
      <c r="AG291" t="s">
        <v>2365</v>
      </c>
      <c r="AH291" t="s">
        <v>2365</v>
      </c>
      <c r="AI291" t="s">
        <v>2365</v>
      </c>
      <c r="AJ291" t="s">
        <v>2365</v>
      </c>
      <c r="AK291" t="s">
        <v>2365</v>
      </c>
      <c r="AL291" t="s">
        <v>2365</v>
      </c>
      <c r="AM291" t="s">
        <v>2365</v>
      </c>
      <c r="AN291" t="s">
        <v>2365</v>
      </c>
      <c r="AR291" t="s">
        <v>2365</v>
      </c>
      <c r="AS291" t="s">
        <v>2365</v>
      </c>
      <c r="AT291" t="s">
        <v>2365</v>
      </c>
      <c r="AU291" t="s">
        <v>2365</v>
      </c>
      <c r="AV291" t="s">
        <v>2365</v>
      </c>
      <c r="AW291" t="s">
        <v>2365</v>
      </c>
      <c r="AX291" t="s">
        <v>2365</v>
      </c>
      <c r="AY291" t="s">
        <v>2365</v>
      </c>
      <c r="AZ291" t="s">
        <v>2365</v>
      </c>
      <c r="BA291" t="s">
        <v>2365</v>
      </c>
      <c r="BB291" t="s">
        <v>2365</v>
      </c>
      <c r="BC291" t="s">
        <v>2365</v>
      </c>
      <c r="BD291" t="s">
        <v>2366</v>
      </c>
      <c r="BE291" t="s">
        <v>2365</v>
      </c>
      <c r="BF291" t="s">
        <v>2365</v>
      </c>
      <c r="BG291" t="s">
        <v>2365</v>
      </c>
      <c r="BH291" t="s">
        <v>2365</v>
      </c>
      <c r="BI291" t="s">
        <v>2366</v>
      </c>
      <c r="BJ291" t="s">
        <v>2365</v>
      </c>
      <c r="BK291" t="s">
        <v>2365</v>
      </c>
      <c r="BL291" t="s">
        <v>2365</v>
      </c>
      <c r="BM291" t="s">
        <v>2365</v>
      </c>
      <c r="BN291" t="s">
        <v>2176</v>
      </c>
      <c r="BO291">
        <v>1</v>
      </c>
      <c r="BP291">
        <v>11</v>
      </c>
      <c r="BQ291" t="s">
        <v>2369</v>
      </c>
      <c r="BR291" t="s">
        <v>1487</v>
      </c>
      <c r="BU291">
        <v>0</v>
      </c>
      <c r="BV291">
        <v>0</v>
      </c>
      <c r="BW291">
        <v>0</v>
      </c>
      <c r="BX291">
        <v>0</v>
      </c>
      <c r="BY291">
        <v>0</v>
      </c>
      <c r="BZ291">
        <v>0</v>
      </c>
      <c r="CA291">
        <v>0</v>
      </c>
      <c r="CB291">
        <v>0</v>
      </c>
      <c r="CC291">
        <v>0</v>
      </c>
      <c r="CD291">
        <v>0</v>
      </c>
      <c r="CE291">
        <v>0</v>
      </c>
      <c r="CF291">
        <v>0</v>
      </c>
      <c r="CG291">
        <v>0</v>
      </c>
      <c r="CH291">
        <v>0</v>
      </c>
      <c r="CI291">
        <v>0</v>
      </c>
      <c r="CJ291">
        <v>0</v>
      </c>
      <c r="CK291">
        <v>0</v>
      </c>
      <c r="CL291">
        <v>0</v>
      </c>
      <c r="CM291">
        <v>0</v>
      </c>
      <c r="CR291" t="s">
        <v>2335</v>
      </c>
      <c r="CS291" s="1369" t="str">
        <f>INDEX([8]Sheet1!$H:$H,MATCH(CR:CR,[8]Sheet1!$AU:$AU,0))</f>
        <v>Economic Development/Planning</v>
      </c>
    </row>
    <row r="292" spans="1:97" x14ac:dyDescent="0.2">
      <c r="A292" t="s">
        <v>2808</v>
      </c>
      <c r="B292">
        <v>345</v>
      </c>
      <c r="C292" t="s">
        <v>2808</v>
      </c>
      <c r="D292">
        <v>41456</v>
      </c>
      <c r="E292" t="s">
        <v>2809</v>
      </c>
      <c r="F292">
        <v>2000</v>
      </c>
      <c r="G292" t="s">
        <v>652</v>
      </c>
      <c r="H292" t="s">
        <v>2472</v>
      </c>
      <c r="I292" t="s">
        <v>1375</v>
      </c>
      <c r="J292">
        <v>2002</v>
      </c>
      <c r="K292" t="s">
        <v>1375</v>
      </c>
      <c r="L292">
        <v>1200</v>
      </c>
      <c r="M292" t="s">
        <v>1480</v>
      </c>
      <c r="N292">
        <v>1204</v>
      </c>
      <c r="O292" t="s">
        <v>1487</v>
      </c>
      <c r="P292" t="s">
        <v>2366</v>
      </c>
      <c r="Q292" t="s">
        <v>2364</v>
      </c>
      <c r="R292" t="s">
        <v>2364</v>
      </c>
      <c r="S292" t="s">
        <v>1881</v>
      </c>
      <c r="T292" t="s">
        <v>1812</v>
      </c>
      <c r="U292" t="s">
        <v>2365</v>
      </c>
      <c r="V292" t="s">
        <v>2365</v>
      </c>
      <c r="W292" t="s">
        <v>2365</v>
      </c>
      <c r="X292" t="s">
        <v>2365</v>
      </c>
      <c r="Y292" t="s">
        <v>2365</v>
      </c>
      <c r="Z292" t="s">
        <v>2365</v>
      </c>
      <c r="AA292" t="s">
        <v>2365</v>
      </c>
      <c r="AB292" t="s">
        <v>2365</v>
      </c>
      <c r="AC292" s="813" t="s">
        <v>2365</v>
      </c>
      <c r="AD292" s="813" t="s">
        <v>2365</v>
      </c>
      <c r="AE292" s="813" t="s">
        <v>2365</v>
      </c>
      <c r="AF292" t="s">
        <v>2365</v>
      </c>
      <c r="AG292" t="s">
        <v>2365</v>
      </c>
      <c r="AH292" t="s">
        <v>2365</v>
      </c>
      <c r="AI292" t="s">
        <v>2365</v>
      </c>
      <c r="AJ292" t="s">
        <v>2365</v>
      </c>
      <c r="AK292" t="s">
        <v>2365</v>
      </c>
      <c r="AL292" t="s">
        <v>2365</v>
      </c>
      <c r="AM292" t="s">
        <v>2365</v>
      </c>
      <c r="AN292" t="s">
        <v>2365</v>
      </c>
      <c r="AR292" t="s">
        <v>2365</v>
      </c>
      <c r="AS292" t="s">
        <v>2365</v>
      </c>
      <c r="AT292" t="s">
        <v>2365</v>
      </c>
      <c r="AU292" t="s">
        <v>2365</v>
      </c>
      <c r="AV292" t="s">
        <v>2365</v>
      </c>
      <c r="AW292" t="s">
        <v>2365</v>
      </c>
      <c r="AX292" t="s">
        <v>2365</v>
      </c>
      <c r="AY292" t="s">
        <v>2365</v>
      </c>
      <c r="AZ292" t="s">
        <v>2365</v>
      </c>
      <c r="BA292" t="s">
        <v>2365</v>
      </c>
      <c r="BB292" t="s">
        <v>2365</v>
      </c>
      <c r="BC292" t="s">
        <v>2365</v>
      </c>
      <c r="BD292" t="s">
        <v>2366</v>
      </c>
      <c r="BE292" t="s">
        <v>2365</v>
      </c>
      <c r="BF292" t="s">
        <v>2365</v>
      </c>
      <c r="BG292" t="s">
        <v>2365</v>
      </c>
      <c r="BH292" t="s">
        <v>2365</v>
      </c>
      <c r="BI292" t="s">
        <v>2366</v>
      </c>
      <c r="BJ292" t="s">
        <v>2365</v>
      </c>
      <c r="BK292" t="s">
        <v>2365</v>
      </c>
      <c r="BL292" t="s">
        <v>2365</v>
      </c>
      <c r="BM292" t="s">
        <v>2365</v>
      </c>
      <c r="BN292" t="s">
        <v>2176</v>
      </c>
      <c r="BO292">
        <v>1</v>
      </c>
      <c r="BP292">
        <v>11</v>
      </c>
      <c r="BQ292" t="s">
        <v>2369</v>
      </c>
      <c r="BR292" t="s">
        <v>1487</v>
      </c>
      <c r="BU292">
        <v>9848</v>
      </c>
      <c r="BV292">
        <v>0</v>
      </c>
      <c r="BW292">
        <v>9848</v>
      </c>
      <c r="BX292">
        <v>0</v>
      </c>
      <c r="BY292">
        <v>9848</v>
      </c>
      <c r="BZ292">
        <v>10488</v>
      </c>
      <c r="CA292">
        <v>11170</v>
      </c>
      <c r="CB292">
        <v>0</v>
      </c>
      <c r="CC292">
        <v>0</v>
      </c>
      <c r="CD292">
        <v>148.72</v>
      </c>
      <c r="CE292">
        <v>148.72</v>
      </c>
      <c r="CF292">
        <v>297.44</v>
      </c>
      <c r="CG292">
        <v>297.44</v>
      </c>
      <c r="CH292">
        <v>148.72</v>
      </c>
      <c r="CI292">
        <v>0</v>
      </c>
      <c r="CJ292">
        <v>0</v>
      </c>
      <c r="CK292">
        <v>0</v>
      </c>
      <c r="CL292">
        <v>0</v>
      </c>
      <c r="CM292">
        <v>0</v>
      </c>
      <c r="CR292" t="s">
        <v>2335</v>
      </c>
      <c r="CS292" s="1369" t="str">
        <f>INDEX([8]Sheet1!$H:$H,MATCH(CR:CR,[8]Sheet1!$AU:$AU,0))</f>
        <v>Economic Development/Planning</v>
      </c>
    </row>
    <row r="293" spans="1:97" x14ac:dyDescent="0.2">
      <c r="A293" t="s">
        <v>2810</v>
      </c>
      <c r="B293">
        <v>346</v>
      </c>
      <c r="C293" t="s">
        <v>2810</v>
      </c>
      <c r="D293">
        <v>41458</v>
      </c>
      <c r="E293" t="s">
        <v>2811</v>
      </c>
      <c r="F293">
        <v>2000</v>
      </c>
      <c r="G293" t="s">
        <v>652</v>
      </c>
      <c r="H293" t="s">
        <v>2534</v>
      </c>
      <c r="I293" t="s">
        <v>196</v>
      </c>
      <c r="J293">
        <v>2003</v>
      </c>
      <c r="K293" t="s">
        <v>196</v>
      </c>
      <c r="L293">
        <v>1200</v>
      </c>
      <c r="M293" t="s">
        <v>1480</v>
      </c>
      <c r="N293">
        <v>1204</v>
      </c>
      <c r="O293" t="s">
        <v>1487</v>
      </c>
      <c r="P293" t="s">
        <v>2366</v>
      </c>
      <c r="Q293" t="s">
        <v>2364</v>
      </c>
      <c r="R293" t="s">
        <v>2364</v>
      </c>
      <c r="S293" t="s">
        <v>1881</v>
      </c>
      <c r="T293" t="s">
        <v>1812</v>
      </c>
      <c r="U293" t="s">
        <v>2365</v>
      </c>
      <c r="V293" t="s">
        <v>2365</v>
      </c>
      <c r="W293" t="s">
        <v>2365</v>
      </c>
      <c r="X293" t="s">
        <v>2365</v>
      </c>
      <c r="Y293" t="s">
        <v>2365</v>
      </c>
      <c r="Z293" t="s">
        <v>2365</v>
      </c>
      <c r="AA293" t="s">
        <v>2365</v>
      </c>
      <c r="AB293" t="s">
        <v>2365</v>
      </c>
      <c r="AC293" s="813" t="s">
        <v>2365</v>
      </c>
      <c r="AD293" s="813" t="s">
        <v>2365</v>
      </c>
      <c r="AE293" s="813" t="s">
        <v>2365</v>
      </c>
      <c r="AF293" t="s">
        <v>2365</v>
      </c>
      <c r="AG293" t="s">
        <v>2365</v>
      </c>
      <c r="AH293" t="s">
        <v>2365</v>
      </c>
      <c r="AI293" t="s">
        <v>2365</v>
      </c>
      <c r="AJ293" t="s">
        <v>2365</v>
      </c>
      <c r="AK293" t="s">
        <v>2365</v>
      </c>
      <c r="AL293" t="s">
        <v>2365</v>
      </c>
      <c r="AM293" t="s">
        <v>2365</v>
      </c>
      <c r="AN293" t="s">
        <v>2365</v>
      </c>
      <c r="AR293" t="s">
        <v>2365</v>
      </c>
      <c r="AS293" t="s">
        <v>2365</v>
      </c>
      <c r="AT293" t="s">
        <v>2365</v>
      </c>
      <c r="AU293" t="s">
        <v>2365</v>
      </c>
      <c r="AV293" t="s">
        <v>2365</v>
      </c>
      <c r="AW293" t="s">
        <v>2365</v>
      </c>
      <c r="AX293" t="s">
        <v>2365</v>
      </c>
      <c r="AY293" t="s">
        <v>2365</v>
      </c>
      <c r="AZ293" t="s">
        <v>2365</v>
      </c>
      <c r="BA293" t="s">
        <v>2365</v>
      </c>
      <c r="BB293" t="s">
        <v>2365</v>
      </c>
      <c r="BC293" t="s">
        <v>2365</v>
      </c>
      <c r="BD293" t="s">
        <v>2366</v>
      </c>
      <c r="BE293" t="s">
        <v>2365</v>
      </c>
      <c r="BF293" t="s">
        <v>2365</v>
      </c>
      <c r="BG293" t="s">
        <v>2365</v>
      </c>
      <c r="BH293" t="s">
        <v>2365</v>
      </c>
      <c r="BI293" t="s">
        <v>2366</v>
      </c>
      <c r="BJ293" t="s">
        <v>2365</v>
      </c>
      <c r="BK293" t="s">
        <v>2365</v>
      </c>
      <c r="BL293" t="s">
        <v>2365</v>
      </c>
      <c r="BM293" t="s">
        <v>2365</v>
      </c>
      <c r="BN293" t="s">
        <v>2176</v>
      </c>
      <c r="BO293">
        <v>1</v>
      </c>
      <c r="BP293">
        <v>11</v>
      </c>
      <c r="BQ293" t="s">
        <v>2369</v>
      </c>
      <c r="BR293" t="s">
        <v>1487</v>
      </c>
      <c r="BU293">
        <v>0</v>
      </c>
      <c r="BV293">
        <v>0</v>
      </c>
      <c r="BW293">
        <v>0</v>
      </c>
      <c r="BX293">
        <v>40000</v>
      </c>
      <c r="BY293">
        <v>40000</v>
      </c>
      <c r="BZ293">
        <v>0</v>
      </c>
      <c r="CA293">
        <v>0</v>
      </c>
      <c r="CB293">
        <v>0</v>
      </c>
      <c r="CC293">
        <v>0</v>
      </c>
      <c r="CD293">
        <v>5000</v>
      </c>
      <c r="CE293">
        <v>5000</v>
      </c>
      <c r="CF293">
        <v>5000</v>
      </c>
      <c r="CG293">
        <v>5000</v>
      </c>
      <c r="CH293">
        <v>5000</v>
      </c>
      <c r="CI293">
        <v>0</v>
      </c>
      <c r="CJ293">
        <v>0</v>
      </c>
      <c r="CK293">
        <v>0</v>
      </c>
      <c r="CL293">
        <v>0</v>
      </c>
      <c r="CM293">
        <v>0</v>
      </c>
      <c r="CR293" t="s">
        <v>2335</v>
      </c>
      <c r="CS293" s="1369" t="str">
        <f>INDEX([8]Sheet1!$H:$H,MATCH(CR:CR,[8]Sheet1!$AU:$AU,0))</f>
        <v>Economic Development/Planning</v>
      </c>
    </row>
    <row r="294" spans="1:97" x14ac:dyDescent="0.2">
      <c r="A294" t="s">
        <v>2812</v>
      </c>
      <c r="B294">
        <v>347</v>
      </c>
      <c r="C294" t="s">
        <v>2812</v>
      </c>
      <c r="D294">
        <v>41459</v>
      </c>
      <c r="E294" t="s">
        <v>2813</v>
      </c>
      <c r="F294">
        <v>2000</v>
      </c>
      <c r="G294" t="s">
        <v>652</v>
      </c>
      <c r="H294" t="s">
        <v>2472</v>
      </c>
      <c r="I294" t="s">
        <v>1375</v>
      </c>
      <c r="J294">
        <v>2002</v>
      </c>
      <c r="K294" t="s">
        <v>1375</v>
      </c>
      <c r="L294">
        <v>1200</v>
      </c>
      <c r="M294" t="s">
        <v>1480</v>
      </c>
      <c r="N294">
        <v>1204</v>
      </c>
      <c r="O294" t="s">
        <v>1487</v>
      </c>
      <c r="P294" t="s">
        <v>2366</v>
      </c>
      <c r="Q294" t="s">
        <v>2364</v>
      </c>
      <c r="R294" t="s">
        <v>2364</v>
      </c>
      <c r="S294" t="s">
        <v>1881</v>
      </c>
      <c r="T294" t="s">
        <v>1812</v>
      </c>
      <c r="U294" t="s">
        <v>2365</v>
      </c>
      <c r="V294" t="s">
        <v>2365</v>
      </c>
      <c r="W294" t="s">
        <v>2365</v>
      </c>
      <c r="X294" t="s">
        <v>2365</v>
      </c>
      <c r="Y294" t="s">
        <v>2365</v>
      </c>
      <c r="Z294" t="s">
        <v>2365</v>
      </c>
      <c r="AA294" t="s">
        <v>2365</v>
      </c>
      <c r="AB294" t="s">
        <v>2365</v>
      </c>
      <c r="AC294" s="813" t="s">
        <v>2365</v>
      </c>
      <c r="AD294" s="813" t="s">
        <v>2365</v>
      </c>
      <c r="AE294" s="813" t="s">
        <v>2365</v>
      </c>
      <c r="AF294" t="s">
        <v>2365</v>
      </c>
      <c r="AG294" t="s">
        <v>2365</v>
      </c>
      <c r="AH294" t="s">
        <v>2365</v>
      </c>
      <c r="AI294" t="s">
        <v>2365</v>
      </c>
      <c r="AJ294" t="s">
        <v>2365</v>
      </c>
      <c r="AK294" t="s">
        <v>2365</v>
      </c>
      <c r="AL294" t="s">
        <v>2365</v>
      </c>
      <c r="AM294" t="s">
        <v>2365</v>
      </c>
      <c r="AN294" t="s">
        <v>2365</v>
      </c>
      <c r="AR294" t="s">
        <v>2365</v>
      </c>
      <c r="AS294" t="s">
        <v>2365</v>
      </c>
      <c r="AT294" t="s">
        <v>2365</v>
      </c>
      <c r="AU294" t="s">
        <v>2365</v>
      </c>
      <c r="AV294" t="s">
        <v>2365</v>
      </c>
      <c r="AW294" t="s">
        <v>2365</v>
      </c>
      <c r="AX294" t="s">
        <v>2365</v>
      </c>
      <c r="AY294" t="s">
        <v>2365</v>
      </c>
      <c r="AZ294" t="s">
        <v>2365</v>
      </c>
      <c r="BA294" t="s">
        <v>2365</v>
      </c>
      <c r="BB294" t="s">
        <v>2365</v>
      </c>
      <c r="BC294" t="s">
        <v>2365</v>
      </c>
      <c r="BD294" t="s">
        <v>2366</v>
      </c>
      <c r="BE294" t="s">
        <v>2365</v>
      </c>
      <c r="BF294" t="s">
        <v>2365</v>
      </c>
      <c r="BG294" t="s">
        <v>2365</v>
      </c>
      <c r="BH294" t="s">
        <v>2365</v>
      </c>
      <c r="BI294" t="s">
        <v>2366</v>
      </c>
      <c r="BJ294" t="s">
        <v>2365</v>
      </c>
      <c r="BK294" t="s">
        <v>2365</v>
      </c>
      <c r="BL294" t="s">
        <v>2365</v>
      </c>
      <c r="BM294" t="s">
        <v>2365</v>
      </c>
      <c r="BN294" t="s">
        <v>2176</v>
      </c>
      <c r="BO294">
        <v>1</v>
      </c>
      <c r="BP294">
        <v>11</v>
      </c>
      <c r="BQ294" t="s">
        <v>2369</v>
      </c>
      <c r="BR294" t="s">
        <v>1487</v>
      </c>
      <c r="BU294">
        <v>0</v>
      </c>
      <c r="BV294">
        <v>0</v>
      </c>
      <c r="BW294">
        <v>0</v>
      </c>
      <c r="BX294">
        <v>26000</v>
      </c>
      <c r="BY294">
        <v>26000</v>
      </c>
      <c r="BZ294">
        <v>0</v>
      </c>
      <c r="CA294">
        <v>0</v>
      </c>
      <c r="CB294">
        <v>0</v>
      </c>
      <c r="CC294">
        <v>0</v>
      </c>
      <c r="CD294">
        <v>3164.8</v>
      </c>
      <c r="CE294">
        <v>3164.8</v>
      </c>
      <c r="CF294">
        <v>3318.52</v>
      </c>
      <c r="CG294">
        <v>3318.52</v>
      </c>
      <c r="CH294">
        <v>3318.52</v>
      </c>
      <c r="CI294">
        <v>0</v>
      </c>
      <c r="CJ294">
        <v>0</v>
      </c>
      <c r="CK294">
        <v>0</v>
      </c>
      <c r="CL294">
        <v>0</v>
      </c>
      <c r="CM294">
        <v>0</v>
      </c>
      <c r="CR294" t="s">
        <v>2335</v>
      </c>
      <c r="CS294" s="1369" t="str">
        <f>INDEX([8]Sheet1!$H:$H,MATCH(CR:CR,[8]Sheet1!$AU:$AU,0))</f>
        <v>Economic Development/Planning</v>
      </c>
    </row>
    <row r="295" spans="1:97" x14ac:dyDescent="0.2">
      <c r="A295" t="s">
        <v>2814</v>
      </c>
      <c r="B295">
        <v>348</v>
      </c>
      <c r="C295" t="s">
        <v>2814</v>
      </c>
      <c r="D295">
        <v>40924</v>
      </c>
      <c r="E295" t="s">
        <v>2526</v>
      </c>
      <c r="F295">
        <v>2900</v>
      </c>
      <c r="G295" t="s">
        <v>569</v>
      </c>
      <c r="H295" t="s">
        <v>2366</v>
      </c>
      <c r="I295" t="s">
        <v>2366</v>
      </c>
      <c r="J295">
        <v>2904</v>
      </c>
      <c r="K295" t="s">
        <v>1432</v>
      </c>
      <c r="L295">
        <v>1200</v>
      </c>
      <c r="M295" t="s">
        <v>1480</v>
      </c>
      <c r="N295">
        <v>1201</v>
      </c>
      <c r="O295" t="s">
        <v>1486</v>
      </c>
      <c r="P295" t="s">
        <v>2366</v>
      </c>
      <c r="Q295" t="s">
        <v>2364</v>
      </c>
      <c r="R295" t="s">
        <v>2364</v>
      </c>
      <c r="S295" t="s">
        <v>1881</v>
      </c>
      <c r="T295" t="s">
        <v>1812</v>
      </c>
      <c r="U295" t="s">
        <v>2365</v>
      </c>
      <c r="V295" t="s">
        <v>2365</v>
      </c>
      <c r="W295" t="s">
        <v>2365</v>
      </c>
      <c r="X295" t="s">
        <v>2365</v>
      </c>
      <c r="Y295" t="s">
        <v>2365</v>
      </c>
      <c r="Z295" t="s">
        <v>2365</v>
      </c>
      <c r="AA295" t="s">
        <v>2365</v>
      </c>
      <c r="AB295" t="s">
        <v>2365</v>
      </c>
      <c r="AC295" s="813" t="s">
        <v>2365</v>
      </c>
      <c r="AD295" s="813" t="s">
        <v>2365</v>
      </c>
      <c r="AE295" s="813" t="s">
        <v>2365</v>
      </c>
      <c r="AF295" t="s">
        <v>2365</v>
      </c>
      <c r="AG295" t="s">
        <v>2365</v>
      </c>
      <c r="AH295" t="s">
        <v>2365</v>
      </c>
      <c r="AI295" t="s">
        <v>2365</v>
      </c>
      <c r="AJ295" t="s">
        <v>2365</v>
      </c>
      <c r="AK295" t="s">
        <v>2365</v>
      </c>
      <c r="AL295" t="s">
        <v>2365</v>
      </c>
      <c r="AM295" t="s">
        <v>2365</v>
      </c>
      <c r="AN295" t="s">
        <v>2365</v>
      </c>
      <c r="AR295" t="s">
        <v>2365</v>
      </c>
      <c r="AS295" t="s">
        <v>2365</v>
      </c>
      <c r="AT295" t="s">
        <v>2365</v>
      </c>
      <c r="AU295" t="s">
        <v>2365</v>
      </c>
      <c r="AV295" t="s">
        <v>2365</v>
      </c>
      <c r="AW295" t="s">
        <v>2365</v>
      </c>
      <c r="AX295" t="s">
        <v>2365</v>
      </c>
      <c r="AY295" t="s">
        <v>2365</v>
      </c>
      <c r="AZ295" t="s">
        <v>2365</v>
      </c>
      <c r="BA295" t="s">
        <v>2365</v>
      </c>
      <c r="BB295" t="s">
        <v>2365</v>
      </c>
      <c r="BC295" t="s">
        <v>2365</v>
      </c>
      <c r="BD295" t="s">
        <v>2366</v>
      </c>
      <c r="BE295" t="s">
        <v>2365</v>
      </c>
      <c r="BF295" t="s">
        <v>2365</v>
      </c>
      <c r="BG295" t="s">
        <v>2365</v>
      </c>
      <c r="BH295" t="s">
        <v>2365</v>
      </c>
      <c r="BI295" t="s">
        <v>2366</v>
      </c>
      <c r="BJ295" t="s">
        <v>2365</v>
      </c>
      <c r="BK295" t="s">
        <v>2365</v>
      </c>
      <c r="BL295" t="s">
        <v>2365</v>
      </c>
      <c r="BM295" t="s">
        <v>2365</v>
      </c>
      <c r="BO295">
        <v>1</v>
      </c>
      <c r="BP295">
        <v>14</v>
      </c>
      <c r="BQ295" t="s">
        <v>2369</v>
      </c>
      <c r="BR295" t="s">
        <v>1486</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c r="CR295" t="s">
        <v>2335</v>
      </c>
      <c r="CS295" s="1369" t="str">
        <f>INDEX([8]Sheet1!$H:$H,MATCH(CR:CR,[8]Sheet1!$AU:$AU,0))</f>
        <v>Economic Development/Planning</v>
      </c>
    </row>
    <row r="296" spans="1:97" x14ac:dyDescent="0.2">
      <c r="A296" t="s">
        <v>2815</v>
      </c>
      <c r="B296">
        <v>349</v>
      </c>
      <c r="C296" t="s">
        <v>2815</v>
      </c>
      <c r="D296">
        <v>40925</v>
      </c>
      <c r="E296" t="s">
        <v>2528</v>
      </c>
      <c r="F296">
        <v>2900</v>
      </c>
      <c r="G296" t="s">
        <v>569</v>
      </c>
      <c r="H296" t="s">
        <v>2366</v>
      </c>
      <c r="I296" t="s">
        <v>2366</v>
      </c>
      <c r="J296">
        <v>2904</v>
      </c>
      <c r="K296" t="s">
        <v>1432</v>
      </c>
      <c r="L296">
        <v>1200</v>
      </c>
      <c r="M296" t="s">
        <v>1480</v>
      </c>
      <c r="N296">
        <v>1201</v>
      </c>
      <c r="O296" t="s">
        <v>1486</v>
      </c>
      <c r="P296" t="s">
        <v>2366</v>
      </c>
      <c r="Q296" t="s">
        <v>2364</v>
      </c>
      <c r="R296" t="s">
        <v>2364</v>
      </c>
      <c r="S296" t="s">
        <v>1881</v>
      </c>
      <c r="T296" t="s">
        <v>1812</v>
      </c>
      <c r="U296" t="s">
        <v>2365</v>
      </c>
      <c r="V296" t="s">
        <v>2365</v>
      </c>
      <c r="W296" t="s">
        <v>2365</v>
      </c>
      <c r="X296" t="s">
        <v>2365</v>
      </c>
      <c r="Y296" t="s">
        <v>2365</v>
      </c>
      <c r="Z296" t="s">
        <v>2365</v>
      </c>
      <c r="AA296" t="s">
        <v>2365</v>
      </c>
      <c r="AB296" t="s">
        <v>2365</v>
      </c>
      <c r="AC296" s="813" t="s">
        <v>2365</v>
      </c>
      <c r="AD296" s="813" t="s">
        <v>2365</v>
      </c>
      <c r="AE296" s="813" t="s">
        <v>2365</v>
      </c>
      <c r="AF296" t="s">
        <v>2365</v>
      </c>
      <c r="AG296" t="s">
        <v>2365</v>
      </c>
      <c r="AH296" t="s">
        <v>2365</v>
      </c>
      <c r="AI296" t="s">
        <v>2365</v>
      </c>
      <c r="AJ296" t="s">
        <v>2365</v>
      </c>
      <c r="AK296" t="s">
        <v>2365</v>
      </c>
      <c r="AL296" t="s">
        <v>2365</v>
      </c>
      <c r="AM296" t="s">
        <v>2365</v>
      </c>
      <c r="AN296" t="s">
        <v>2365</v>
      </c>
      <c r="AR296" t="s">
        <v>2365</v>
      </c>
      <c r="AS296" t="s">
        <v>2365</v>
      </c>
      <c r="AT296" t="s">
        <v>2365</v>
      </c>
      <c r="AU296" t="s">
        <v>2365</v>
      </c>
      <c r="AV296" t="s">
        <v>2365</v>
      </c>
      <c r="AW296" t="s">
        <v>2365</v>
      </c>
      <c r="AX296" t="s">
        <v>2365</v>
      </c>
      <c r="AY296" t="s">
        <v>2365</v>
      </c>
      <c r="AZ296" t="s">
        <v>2365</v>
      </c>
      <c r="BA296" t="s">
        <v>2365</v>
      </c>
      <c r="BB296" t="s">
        <v>2365</v>
      </c>
      <c r="BC296" t="s">
        <v>2365</v>
      </c>
      <c r="BD296" t="s">
        <v>2366</v>
      </c>
      <c r="BE296" t="s">
        <v>2365</v>
      </c>
      <c r="BF296" t="s">
        <v>2365</v>
      </c>
      <c r="BG296" t="s">
        <v>2365</v>
      </c>
      <c r="BH296" t="s">
        <v>2365</v>
      </c>
      <c r="BI296" t="s">
        <v>2366</v>
      </c>
      <c r="BJ296" t="s">
        <v>2365</v>
      </c>
      <c r="BK296" t="s">
        <v>2365</v>
      </c>
      <c r="BL296" t="s">
        <v>2365</v>
      </c>
      <c r="BM296" t="s">
        <v>2365</v>
      </c>
      <c r="BO296">
        <v>1</v>
      </c>
      <c r="BP296">
        <v>14</v>
      </c>
      <c r="BQ296" t="s">
        <v>2369</v>
      </c>
      <c r="BR296" t="s">
        <v>1486</v>
      </c>
      <c r="BU296">
        <v>0</v>
      </c>
      <c r="BV296">
        <v>0</v>
      </c>
      <c r="BW296">
        <v>0</v>
      </c>
      <c r="BX296">
        <v>50000</v>
      </c>
      <c r="BY296">
        <v>50000</v>
      </c>
      <c r="BZ296">
        <v>0</v>
      </c>
      <c r="CA296">
        <v>0</v>
      </c>
      <c r="CB296">
        <v>0</v>
      </c>
      <c r="CC296">
        <v>6101.33</v>
      </c>
      <c r="CD296">
        <v>3542.46</v>
      </c>
      <c r="CE296">
        <v>3439.84</v>
      </c>
      <c r="CF296">
        <v>3556.42</v>
      </c>
      <c r="CG296">
        <v>3792.1099999999997</v>
      </c>
      <c r="CH296">
        <v>3510.6</v>
      </c>
      <c r="CI296">
        <v>0</v>
      </c>
      <c r="CJ296">
        <v>0</v>
      </c>
      <c r="CK296">
        <v>0</v>
      </c>
      <c r="CL296">
        <v>0</v>
      </c>
      <c r="CM296">
        <v>0</v>
      </c>
      <c r="CR296" t="s">
        <v>2335</v>
      </c>
      <c r="CS296" s="1369" t="str">
        <f>INDEX([8]Sheet1!$H:$H,MATCH(CR:CR,[8]Sheet1!$AU:$AU,0))</f>
        <v>Economic Development/Planning</v>
      </c>
    </row>
    <row r="297" spans="1:97" x14ac:dyDescent="0.2">
      <c r="A297" t="s">
        <v>2816</v>
      </c>
      <c r="B297">
        <v>350</v>
      </c>
      <c r="C297" t="s">
        <v>2816</v>
      </c>
      <c r="D297">
        <v>40926</v>
      </c>
      <c r="E297" t="s">
        <v>2530</v>
      </c>
      <c r="F297">
        <v>2000</v>
      </c>
      <c r="G297" t="s">
        <v>652</v>
      </c>
      <c r="H297" t="s">
        <v>2531</v>
      </c>
      <c r="I297" t="s">
        <v>1185</v>
      </c>
      <c r="J297">
        <v>2009</v>
      </c>
      <c r="K297" t="s">
        <v>1185</v>
      </c>
      <c r="L297">
        <v>1200</v>
      </c>
      <c r="M297" t="s">
        <v>1480</v>
      </c>
      <c r="N297">
        <v>1201</v>
      </c>
      <c r="O297" t="s">
        <v>1486</v>
      </c>
      <c r="P297" t="s">
        <v>2366</v>
      </c>
      <c r="Q297" t="s">
        <v>2364</v>
      </c>
      <c r="R297" t="s">
        <v>2364</v>
      </c>
      <c r="S297" t="s">
        <v>1881</v>
      </c>
      <c r="T297" t="s">
        <v>1812</v>
      </c>
      <c r="U297" t="s">
        <v>2365</v>
      </c>
      <c r="V297" t="s">
        <v>2365</v>
      </c>
      <c r="W297" t="s">
        <v>2365</v>
      </c>
      <c r="X297" t="s">
        <v>2365</v>
      </c>
      <c r="Y297" t="s">
        <v>2365</v>
      </c>
      <c r="Z297" t="s">
        <v>2365</v>
      </c>
      <c r="AA297" t="s">
        <v>2365</v>
      </c>
      <c r="AB297" t="s">
        <v>2365</v>
      </c>
      <c r="AC297" s="813" t="s">
        <v>2365</v>
      </c>
      <c r="AD297" s="813" t="s">
        <v>2365</v>
      </c>
      <c r="AE297" s="813" t="s">
        <v>2365</v>
      </c>
      <c r="AF297" t="s">
        <v>2365</v>
      </c>
      <c r="AG297" t="s">
        <v>2365</v>
      </c>
      <c r="AH297" t="s">
        <v>2365</v>
      </c>
      <c r="AI297" t="s">
        <v>2365</v>
      </c>
      <c r="AJ297" t="s">
        <v>2365</v>
      </c>
      <c r="AK297" t="s">
        <v>2365</v>
      </c>
      <c r="AL297" t="s">
        <v>2365</v>
      </c>
      <c r="AM297" t="s">
        <v>2365</v>
      </c>
      <c r="AN297" t="s">
        <v>2365</v>
      </c>
      <c r="AR297" t="s">
        <v>2365</v>
      </c>
      <c r="AS297" t="s">
        <v>2365</v>
      </c>
      <c r="AT297" t="s">
        <v>2365</v>
      </c>
      <c r="AU297" t="s">
        <v>2365</v>
      </c>
      <c r="AV297" t="s">
        <v>2365</v>
      </c>
      <c r="AW297" t="s">
        <v>2365</v>
      </c>
      <c r="AX297" t="s">
        <v>2365</v>
      </c>
      <c r="AY297" t="s">
        <v>2365</v>
      </c>
      <c r="AZ297" t="s">
        <v>2365</v>
      </c>
      <c r="BA297" t="s">
        <v>2365</v>
      </c>
      <c r="BB297" t="s">
        <v>2365</v>
      </c>
      <c r="BC297" t="s">
        <v>2365</v>
      </c>
      <c r="BD297" t="s">
        <v>2366</v>
      </c>
      <c r="BE297" t="s">
        <v>2365</v>
      </c>
      <c r="BF297" t="s">
        <v>2365</v>
      </c>
      <c r="BG297" t="s">
        <v>2365</v>
      </c>
      <c r="BH297" t="s">
        <v>2365</v>
      </c>
      <c r="BI297" t="s">
        <v>2366</v>
      </c>
      <c r="BJ297" t="s">
        <v>2365</v>
      </c>
      <c r="BK297" t="s">
        <v>2365</v>
      </c>
      <c r="BL297" t="s">
        <v>2365</v>
      </c>
      <c r="BM297" t="s">
        <v>2365</v>
      </c>
      <c r="BN297" t="s">
        <v>2177</v>
      </c>
      <c r="BO297">
        <v>1</v>
      </c>
      <c r="BP297">
        <v>14</v>
      </c>
      <c r="BQ297" t="s">
        <v>2369</v>
      </c>
      <c r="BR297" t="s">
        <v>1486</v>
      </c>
      <c r="BU297">
        <v>1714</v>
      </c>
      <c r="BV297">
        <v>0</v>
      </c>
      <c r="BW297">
        <v>1714</v>
      </c>
      <c r="BX297">
        <v>0</v>
      </c>
      <c r="BY297">
        <v>1714</v>
      </c>
      <c r="BZ297">
        <v>1834</v>
      </c>
      <c r="CA297">
        <v>1962</v>
      </c>
      <c r="CB297">
        <v>6615.8200000000006</v>
      </c>
      <c r="CC297">
        <v>-79.2</v>
      </c>
      <c r="CD297">
        <v>227.70000000000005</v>
      </c>
      <c r="CE297">
        <v>227.7</v>
      </c>
      <c r="CF297">
        <v>227.7</v>
      </c>
      <c r="CG297">
        <v>227.7</v>
      </c>
      <c r="CH297">
        <v>217.8</v>
      </c>
      <c r="CI297">
        <v>0</v>
      </c>
      <c r="CJ297">
        <v>0</v>
      </c>
      <c r="CK297">
        <v>0</v>
      </c>
      <c r="CL297">
        <v>0</v>
      </c>
      <c r="CM297">
        <v>0</v>
      </c>
      <c r="CR297" t="s">
        <v>2335</v>
      </c>
      <c r="CS297" s="1369" t="str">
        <f>INDEX([8]Sheet1!$H:$H,MATCH(CR:CR,[8]Sheet1!$AU:$AU,0))</f>
        <v>Economic Development/Planning</v>
      </c>
    </row>
    <row r="298" spans="1:97" x14ac:dyDescent="0.2">
      <c r="A298" t="s">
        <v>2817</v>
      </c>
      <c r="B298">
        <v>351</v>
      </c>
      <c r="C298" t="s">
        <v>2817</v>
      </c>
      <c r="D298">
        <v>40927</v>
      </c>
      <c r="E298" t="s">
        <v>2533</v>
      </c>
      <c r="F298">
        <v>2000</v>
      </c>
      <c r="G298" t="s">
        <v>652</v>
      </c>
      <c r="H298" t="s">
        <v>2534</v>
      </c>
      <c r="I298" t="s">
        <v>196</v>
      </c>
      <c r="J298">
        <v>2003</v>
      </c>
      <c r="K298" t="s">
        <v>196</v>
      </c>
      <c r="L298">
        <v>1200</v>
      </c>
      <c r="M298" t="s">
        <v>1480</v>
      </c>
      <c r="N298">
        <v>1201</v>
      </c>
      <c r="O298" t="s">
        <v>1486</v>
      </c>
      <c r="P298" t="s">
        <v>2366</v>
      </c>
      <c r="Q298" t="s">
        <v>2364</v>
      </c>
      <c r="R298" t="s">
        <v>2364</v>
      </c>
      <c r="S298" t="s">
        <v>1881</v>
      </c>
      <c r="T298" t="s">
        <v>1812</v>
      </c>
      <c r="U298" t="s">
        <v>2365</v>
      </c>
      <c r="V298" t="s">
        <v>2365</v>
      </c>
      <c r="W298" t="s">
        <v>2365</v>
      </c>
      <c r="X298" t="s">
        <v>2365</v>
      </c>
      <c r="Y298" t="s">
        <v>2365</v>
      </c>
      <c r="Z298" t="s">
        <v>2365</v>
      </c>
      <c r="AA298" t="s">
        <v>2365</v>
      </c>
      <c r="AB298" t="s">
        <v>2365</v>
      </c>
      <c r="AC298" s="813" t="s">
        <v>2365</v>
      </c>
      <c r="AD298" s="813" t="s">
        <v>2365</v>
      </c>
      <c r="AE298" s="813" t="s">
        <v>2365</v>
      </c>
      <c r="AF298" t="s">
        <v>2365</v>
      </c>
      <c r="AG298" t="s">
        <v>2365</v>
      </c>
      <c r="AH298" t="s">
        <v>2365</v>
      </c>
      <c r="AI298" t="s">
        <v>2365</v>
      </c>
      <c r="AJ298" t="s">
        <v>2365</v>
      </c>
      <c r="AK298" t="s">
        <v>2365</v>
      </c>
      <c r="AL298" t="s">
        <v>2365</v>
      </c>
      <c r="AM298" t="s">
        <v>2365</v>
      </c>
      <c r="AN298" t="s">
        <v>2365</v>
      </c>
      <c r="AR298" t="s">
        <v>2365</v>
      </c>
      <c r="AS298" t="s">
        <v>2365</v>
      </c>
      <c r="AT298" t="s">
        <v>2365</v>
      </c>
      <c r="AU298" t="s">
        <v>2365</v>
      </c>
      <c r="AV298" t="s">
        <v>2365</v>
      </c>
      <c r="AW298" t="s">
        <v>2365</v>
      </c>
      <c r="AX298" t="s">
        <v>2365</v>
      </c>
      <c r="AY298" t="s">
        <v>2365</v>
      </c>
      <c r="AZ298" t="s">
        <v>2365</v>
      </c>
      <c r="BA298" t="s">
        <v>2365</v>
      </c>
      <c r="BB298" t="s">
        <v>2365</v>
      </c>
      <c r="BC298" t="s">
        <v>2365</v>
      </c>
      <c r="BD298" t="s">
        <v>2366</v>
      </c>
      <c r="BE298" t="s">
        <v>2365</v>
      </c>
      <c r="BF298" t="s">
        <v>2365</v>
      </c>
      <c r="BG298" t="s">
        <v>2365</v>
      </c>
      <c r="BH298" t="s">
        <v>2365</v>
      </c>
      <c r="BI298" t="s">
        <v>2366</v>
      </c>
      <c r="BJ298" t="s">
        <v>2365</v>
      </c>
      <c r="BK298" t="s">
        <v>2365</v>
      </c>
      <c r="BL298" t="s">
        <v>2365</v>
      </c>
      <c r="BM298" t="s">
        <v>2365</v>
      </c>
      <c r="BN298" t="s">
        <v>2177</v>
      </c>
      <c r="BO298">
        <v>1</v>
      </c>
      <c r="BP298">
        <v>14</v>
      </c>
      <c r="BQ298" t="s">
        <v>2369</v>
      </c>
      <c r="BR298" t="s">
        <v>1486</v>
      </c>
      <c r="BU298">
        <v>359752</v>
      </c>
      <c r="BV298">
        <v>0</v>
      </c>
      <c r="BW298">
        <v>359752</v>
      </c>
      <c r="BX298">
        <v>0</v>
      </c>
      <c r="BY298">
        <v>359752</v>
      </c>
      <c r="BZ298">
        <v>384935</v>
      </c>
      <c r="CA298">
        <v>411880</v>
      </c>
      <c r="CB298">
        <v>45840.520000000004</v>
      </c>
      <c r="CC298">
        <v>591</v>
      </c>
      <c r="CD298">
        <v>126587.76999999999</v>
      </c>
      <c r="CE298">
        <v>32718.2</v>
      </c>
      <c r="CF298">
        <v>32718.2</v>
      </c>
      <c r="CG298">
        <v>32718.2</v>
      </c>
      <c r="CH298">
        <v>33994.92</v>
      </c>
      <c r="CI298">
        <v>0</v>
      </c>
      <c r="CJ298">
        <v>0</v>
      </c>
      <c r="CK298">
        <v>0</v>
      </c>
      <c r="CL298">
        <v>0</v>
      </c>
      <c r="CM298">
        <v>0</v>
      </c>
      <c r="CR298" t="s">
        <v>2335</v>
      </c>
      <c r="CS298" s="1369" t="str">
        <f>INDEX([8]Sheet1!$H:$H,MATCH(CR:CR,[8]Sheet1!$AU:$AU,0))</f>
        <v>Economic Development/Planning</v>
      </c>
    </row>
    <row r="299" spans="1:97" x14ac:dyDescent="0.2">
      <c r="A299" t="s">
        <v>2818</v>
      </c>
      <c r="B299">
        <v>352</v>
      </c>
      <c r="C299" t="s">
        <v>2818</v>
      </c>
      <c r="D299">
        <v>40928</v>
      </c>
      <c r="E299" t="s">
        <v>2536</v>
      </c>
      <c r="F299">
        <v>2000</v>
      </c>
      <c r="G299" t="s">
        <v>652</v>
      </c>
      <c r="H299" t="s">
        <v>2472</v>
      </c>
      <c r="I299" t="s">
        <v>1375</v>
      </c>
      <c r="J299">
        <v>2002</v>
      </c>
      <c r="K299" t="s">
        <v>1375</v>
      </c>
      <c r="L299">
        <v>1200</v>
      </c>
      <c r="M299" t="s">
        <v>1480</v>
      </c>
      <c r="N299">
        <v>1201</v>
      </c>
      <c r="O299" t="s">
        <v>1486</v>
      </c>
      <c r="P299" t="s">
        <v>2366</v>
      </c>
      <c r="Q299" t="s">
        <v>2364</v>
      </c>
      <c r="R299" t="s">
        <v>2364</v>
      </c>
      <c r="S299" t="s">
        <v>1881</v>
      </c>
      <c r="T299" t="s">
        <v>1812</v>
      </c>
      <c r="U299" t="s">
        <v>2365</v>
      </c>
      <c r="V299" t="s">
        <v>2365</v>
      </c>
      <c r="W299" t="s">
        <v>2365</v>
      </c>
      <c r="X299" t="s">
        <v>2365</v>
      </c>
      <c r="Y299" t="s">
        <v>2365</v>
      </c>
      <c r="Z299" t="s">
        <v>2365</v>
      </c>
      <c r="AA299" t="s">
        <v>2365</v>
      </c>
      <c r="AB299" t="s">
        <v>2365</v>
      </c>
      <c r="AC299" s="813" t="s">
        <v>2365</v>
      </c>
      <c r="AD299" s="813" t="s">
        <v>2365</v>
      </c>
      <c r="AE299" s="813" t="s">
        <v>2365</v>
      </c>
      <c r="AF299" t="s">
        <v>2365</v>
      </c>
      <c r="AG299" t="s">
        <v>2365</v>
      </c>
      <c r="AH299" t="s">
        <v>2365</v>
      </c>
      <c r="AI299" t="s">
        <v>2365</v>
      </c>
      <c r="AJ299" t="s">
        <v>2365</v>
      </c>
      <c r="AK299" t="s">
        <v>2365</v>
      </c>
      <c r="AL299" t="s">
        <v>2365</v>
      </c>
      <c r="AM299" t="s">
        <v>2365</v>
      </c>
      <c r="AN299" t="s">
        <v>2365</v>
      </c>
      <c r="AR299" t="s">
        <v>2365</v>
      </c>
      <c r="AS299" t="s">
        <v>2365</v>
      </c>
      <c r="AT299" t="s">
        <v>2365</v>
      </c>
      <c r="AU299" t="s">
        <v>2365</v>
      </c>
      <c r="AV299" t="s">
        <v>2365</v>
      </c>
      <c r="AW299" t="s">
        <v>2365</v>
      </c>
      <c r="AX299" t="s">
        <v>2365</v>
      </c>
      <c r="AY299" t="s">
        <v>2365</v>
      </c>
      <c r="AZ299" t="s">
        <v>2365</v>
      </c>
      <c r="BA299" t="s">
        <v>2365</v>
      </c>
      <c r="BB299" t="s">
        <v>2365</v>
      </c>
      <c r="BC299" t="s">
        <v>2365</v>
      </c>
      <c r="BD299" t="s">
        <v>2366</v>
      </c>
      <c r="BE299" t="s">
        <v>2365</v>
      </c>
      <c r="BF299" t="s">
        <v>2365</v>
      </c>
      <c r="BG299" t="s">
        <v>2365</v>
      </c>
      <c r="BH299" t="s">
        <v>2365</v>
      </c>
      <c r="BI299" t="s">
        <v>2366</v>
      </c>
      <c r="BJ299" t="s">
        <v>2365</v>
      </c>
      <c r="BK299" t="s">
        <v>2365</v>
      </c>
      <c r="BL299" t="s">
        <v>2365</v>
      </c>
      <c r="BM299" t="s">
        <v>2365</v>
      </c>
      <c r="BN299" t="s">
        <v>2177</v>
      </c>
      <c r="BO299">
        <v>1</v>
      </c>
      <c r="BP299">
        <v>14</v>
      </c>
      <c r="BQ299" t="s">
        <v>2369</v>
      </c>
      <c r="BR299" t="s">
        <v>1486</v>
      </c>
      <c r="BU299">
        <v>809442</v>
      </c>
      <c r="BV299">
        <v>0</v>
      </c>
      <c r="BW299">
        <v>809442</v>
      </c>
      <c r="BX299">
        <v>0</v>
      </c>
      <c r="BY299">
        <v>809442</v>
      </c>
      <c r="BZ299">
        <v>866103</v>
      </c>
      <c r="CA299">
        <v>926730</v>
      </c>
      <c r="CB299">
        <v>92400.09</v>
      </c>
      <c r="CC299">
        <v>8543.5300000000025</v>
      </c>
      <c r="CD299">
        <v>75489.330000000016</v>
      </c>
      <c r="CE299">
        <v>75464.36</v>
      </c>
      <c r="CF299">
        <v>79041.97</v>
      </c>
      <c r="CG299">
        <v>84216.5</v>
      </c>
      <c r="CH299">
        <v>78628.34</v>
      </c>
      <c r="CI299">
        <v>0</v>
      </c>
      <c r="CJ299">
        <v>0</v>
      </c>
      <c r="CK299">
        <v>0</v>
      </c>
      <c r="CL299">
        <v>0</v>
      </c>
      <c r="CM299">
        <v>0</v>
      </c>
      <c r="CR299" t="s">
        <v>2335</v>
      </c>
      <c r="CS299" s="1369" t="str">
        <f>INDEX([8]Sheet1!$H:$H,MATCH(CR:CR,[8]Sheet1!$AU:$AU,0))</f>
        <v>Economic Development/Planning</v>
      </c>
    </row>
    <row r="300" spans="1:97" x14ac:dyDescent="0.2">
      <c r="A300" t="s">
        <v>2819</v>
      </c>
      <c r="B300">
        <v>353</v>
      </c>
      <c r="C300" t="s">
        <v>2819</v>
      </c>
      <c r="D300">
        <v>40929</v>
      </c>
      <c r="E300" t="s">
        <v>2471</v>
      </c>
      <c r="F300">
        <v>2000</v>
      </c>
      <c r="G300" t="s">
        <v>652</v>
      </c>
      <c r="H300" t="s">
        <v>2472</v>
      </c>
      <c r="I300" t="s">
        <v>1375</v>
      </c>
      <c r="J300">
        <v>2002</v>
      </c>
      <c r="K300" t="s">
        <v>1375</v>
      </c>
      <c r="L300">
        <v>1200</v>
      </c>
      <c r="M300" t="s">
        <v>1480</v>
      </c>
      <c r="N300">
        <v>1201</v>
      </c>
      <c r="O300" t="s">
        <v>1486</v>
      </c>
      <c r="P300" t="s">
        <v>2366</v>
      </c>
      <c r="Q300" t="s">
        <v>2364</v>
      </c>
      <c r="R300" t="s">
        <v>2364</v>
      </c>
      <c r="S300" t="s">
        <v>1881</v>
      </c>
      <c r="T300" t="s">
        <v>1812</v>
      </c>
      <c r="U300" t="s">
        <v>2365</v>
      </c>
      <c r="V300" t="s">
        <v>2365</v>
      </c>
      <c r="W300" t="s">
        <v>2365</v>
      </c>
      <c r="X300" t="s">
        <v>2365</v>
      </c>
      <c r="Y300" t="s">
        <v>2365</v>
      </c>
      <c r="Z300" t="s">
        <v>2365</v>
      </c>
      <c r="AA300" t="s">
        <v>2365</v>
      </c>
      <c r="AB300" t="s">
        <v>2365</v>
      </c>
      <c r="AC300" s="813" t="s">
        <v>2365</v>
      </c>
      <c r="AD300" s="813" t="s">
        <v>2365</v>
      </c>
      <c r="AE300" s="813" t="s">
        <v>2365</v>
      </c>
      <c r="AF300" t="s">
        <v>2365</v>
      </c>
      <c r="AG300" t="s">
        <v>2365</v>
      </c>
      <c r="AH300" t="s">
        <v>2365</v>
      </c>
      <c r="AI300" t="s">
        <v>2365</v>
      </c>
      <c r="AJ300" t="s">
        <v>2365</v>
      </c>
      <c r="AK300" t="s">
        <v>2365</v>
      </c>
      <c r="AL300" t="s">
        <v>2365</v>
      </c>
      <c r="AM300" t="s">
        <v>2365</v>
      </c>
      <c r="AN300" t="s">
        <v>2365</v>
      </c>
      <c r="AR300" t="s">
        <v>2365</v>
      </c>
      <c r="AS300" t="s">
        <v>2365</v>
      </c>
      <c r="AT300" t="s">
        <v>2365</v>
      </c>
      <c r="AU300" t="s">
        <v>2365</v>
      </c>
      <c r="AV300" t="s">
        <v>2365</v>
      </c>
      <c r="AW300" t="s">
        <v>2365</v>
      </c>
      <c r="AX300" t="s">
        <v>2365</v>
      </c>
      <c r="AY300" t="s">
        <v>2365</v>
      </c>
      <c r="AZ300" t="s">
        <v>2365</v>
      </c>
      <c r="BA300" t="s">
        <v>2365</v>
      </c>
      <c r="BB300" t="s">
        <v>2365</v>
      </c>
      <c r="BC300" t="s">
        <v>2365</v>
      </c>
      <c r="BD300" t="s">
        <v>2366</v>
      </c>
      <c r="BE300" t="s">
        <v>2365</v>
      </c>
      <c r="BF300" t="s">
        <v>2365</v>
      </c>
      <c r="BG300" t="s">
        <v>2365</v>
      </c>
      <c r="BH300" t="s">
        <v>2365</v>
      </c>
      <c r="BI300" t="s">
        <v>2366</v>
      </c>
      <c r="BJ300" t="s">
        <v>2365</v>
      </c>
      <c r="BK300" t="s">
        <v>2365</v>
      </c>
      <c r="BL300" t="s">
        <v>2365</v>
      </c>
      <c r="BM300" t="s">
        <v>2365</v>
      </c>
      <c r="BN300" t="s">
        <v>2177</v>
      </c>
      <c r="BO300">
        <v>1</v>
      </c>
      <c r="BP300">
        <v>14</v>
      </c>
      <c r="BQ300" t="s">
        <v>2369</v>
      </c>
      <c r="BR300" t="s">
        <v>1486</v>
      </c>
      <c r="BU300">
        <v>47172</v>
      </c>
      <c r="BV300">
        <v>0</v>
      </c>
      <c r="BW300">
        <v>47172</v>
      </c>
      <c r="BX300">
        <v>0</v>
      </c>
      <c r="BY300">
        <v>47172</v>
      </c>
      <c r="BZ300">
        <v>50474</v>
      </c>
      <c r="CA300">
        <v>54007</v>
      </c>
      <c r="CB300">
        <v>4484.1899999999996</v>
      </c>
      <c r="CC300">
        <v>3085.13</v>
      </c>
      <c r="CD300">
        <v>0</v>
      </c>
      <c r="CE300">
        <v>0</v>
      </c>
      <c r="CF300">
        <v>0</v>
      </c>
      <c r="CG300">
        <v>0</v>
      </c>
      <c r="CH300">
        <v>0</v>
      </c>
      <c r="CI300">
        <v>0</v>
      </c>
      <c r="CJ300">
        <v>0</v>
      </c>
      <c r="CK300">
        <v>0</v>
      </c>
      <c r="CL300">
        <v>0</v>
      </c>
      <c r="CM300">
        <v>0</v>
      </c>
      <c r="CR300" t="s">
        <v>2335</v>
      </c>
      <c r="CS300" s="1369" t="str">
        <f>INDEX([8]Sheet1!$H:$H,MATCH(CR:CR,[8]Sheet1!$AU:$AU,0))</f>
        <v>Economic Development/Planning</v>
      </c>
    </row>
    <row r="301" spans="1:97" x14ac:dyDescent="0.2">
      <c r="A301" t="s">
        <v>2820</v>
      </c>
      <c r="B301">
        <v>354</v>
      </c>
      <c r="C301" t="s">
        <v>2820</v>
      </c>
      <c r="D301">
        <v>40930</v>
      </c>
      <c r="E301" t="s">
        <v>2539</v>
      </c>
      <c r="F301">
        <v>2000</v>
      </c>
      <c r="G301" t="s">
        <v>652</v>
      </c>
      <c r="H301" t="s">
        <v>2540</v>
      </c>
      <c r="I301" t="s">
        <v>1157</v>
      </c>
      <c r="J301">
        <v>2009</v>
      </c>
      <c r="K301" t="s">
        <v>1185</v>
      </c>
      <c r="L301">
        <v>1200</v>
      </c>
      <c r="M301" t="s">
        <v>1480</v>
      </c>
      <c r="N301">
        <v>1201</v>
      </c>
      <c r="O301" t="s">
        <v>1486</v>
      </c>
      <c r="P301" t="s">
        <v>2366</v>
      </c>
      <c r="Q301" t="s">
        <v>2364</v>
      </c>
      <c r="R301" t="s">
        <v>2364</v>
      </c>
      <c r="S301" t="s">
        <v>1881</v>
      </c>
      <c r="T301" t="s">
        <v>1812</v>
      </c>
      <c r="U301" t="s">
        <v>2365</v>
      </c>
      <c r="V301" t="s">
        <v>2365</v>
      </c>
      <c r="W301" t="s">
        <v>2365</v>
      </c>
      <c r="X301" t="s">
        <v>2365</v>
      </c>
      <c r="Y301" t="s">
        <v>2365</v>
      </c>
      <c r="Z301" t="s">
        <v>2365</v>
      </c>
      <c r="AA301" t="s">
        <v>2365</v>
      </c>
      <c r="AB301" t="s">
        <v>2365</v>
      </c>
      <c r="AC301" s="813" t="s">
        <v>2365</v>
      </c>
      <c r="AD301" s="813" t="s">
        <v>2365</v>
      </c>
      <c r="AE301" s="813" t="s">
        <v>2365</v>
      </c>
      <c r="AF301" t="s">
        <v>2365</v>
      </c>
      <c r="AG301" t="s">
        <v>2365</v>
      </c>
      <c r="AH301" t="s">
        <v>2365</v>
      </c>
      <c r="AI301" t="s">
        <v>2365</v>
      </c>
      <c r="AJ301" t="s">
        <v>2365</v>
      </c>
      <c r="AK301" s="1373" t="s">
        <v>2365</v>
      </c>
      <c r="AL301" t="s">
        <v>2365</v>
      </c>
      <c r="AM301" t="s">
        <v>2365</v>
      </c>
      <c r="AN301" t="s">
        <v>2365</v>
      </c>
      <c r="AR301" t="s">
        <v>2365</v>
      </c>
      <c r="AS301" t="s">
        <v>2365</v>
      </c>
      <c r="AT301" t="s">
        <v>2365</v>
      </c>
      <c r="AU301" t="s">
        <v>2365</v>
      </c>
      <c r="AV301" t="s">
        <v>2365</v>
      </c>
      <c r="AW301" t="s">
        <v>2365</v>
      </c>
      <c r="AX301" t="s">
        <v>2365</v>
      </c>
      <c r="AY301" t="s">
        <v>2365</v>
      </c>
      <c r="AZ301" t="s">
        <v>2365</v>
      </c>
      <c r="BA301" t="s">
        <v>2365</v>
      </c>
      <c r="BB301" t="s">
        <v>2365</v>
      </c>
      <c r="BC301" t="s">
        <v>2365</v>
      </c>
      <c r="BD301" t="s">
        <v>2366</v>
      </c>
      <c r="BE301" t="s">
        <v>2365</v>
      </c>
      <c r="BF301" t="s">
        <v>2365</v>
      </c>
      <c r="BG301" t="s">
        <v>2365</v>
      </c>
      <c r="BH301" t="s">
        <v>2365</v>
      </c>
      <c r="BI301" t="s">
        <v>2366</v>
      </c>
      <c r="BJ301" t="s">
        <v>2365</v>
      </c>
      <c r="BK301" t="s">
        <v>2365</v>
      </c>
      <c r="BL301" t="s">
        <v>2365</v>
      </c>
      <c r="BM301" t="s">
        <v>2365</v>
      </c>
      <c r="BN301" t="s">
        <v>2177</v>
      </c>
      <c r="BO301">
        <v>1</v>
      </c>
      <c r="BP301">
        <v>14</v>
      </c>
      <c r="BQ301" t="s">
        <v>2369</v>
      </c>
      <c r="BR301" t="s">
        <v>1486</v>
      </c>
      <c r="BU301">
        <v>0</v>
      </c>
      <c r="BV301">
        <v>0</v>
      </c>
      <c r="BW301">
        <v>0</v>
      </c>
      <c r="BX301">
        <v>100000</v>
      </c>
      <c r="BY301">
        <v>100000</v>
      </c>
      <c r="BZ301">
        <v>0</v>
      </c>
      <c r="CA301">
        <v>0</v>
      </c>
      <c r="CB301">
        <v>0</v>
      </c>
      <c r="CC301">
        <v>9195.89</v>
      </c>
      <c r="CD301">
        <v>8840.65</v>
      </c>
      <c r="CE301">
        <v>5904.57</v>
      </c>
      <c r="CF301">
        <v>13607.720000000001</v>
      </c>
      <c r="CG301">
        <v>10115.279999999999</v>
      </c>
      <c r="CH301">
        <v>4030.4900000000002</v>
      </c>
      <c r="CI301">
        <v>0</v>
      </c>
      <c r="CJ301">
        <v>0</v>
      </c>
      <c r="CK301">
        <v>0</v>
      </c>
      <c r="CL301">
        <v>0</v>
      </c>
      <c r="CM301">
        <v>0</v>
      </c>
      <c r="CR301" t="s">
        <v>2335</v>
      </c>
      <c r="CS301" s="1369" t="str">
        <f>INDEX([8]Sheet1!$H:$H,MATCH(CR:CR,[8]Sheet1!$AU:$AU,0))</f>
        <v>Economic Development/Planning</v>
      </c>
    </row>
    <row r="302" spans="1:97" x14ac:dyDescent="0.2">
      <c r="A302" t="s">
        <v>2821</v>
      </c>
      <c r="B302">
        <v>355</v>
      </c>
      <c r="C302" t="s">
        <v>2821</v>
      </c>
      <c r="D302">
        <v>40931</v>
      </c>
      <c r="E302" t="s">
        <v>2542</v>
      </c>
      <c r="F302">
        <v>2000</v>
      </c>
      <c r="G302" t="s">
        <v>652</v>
      </c>
      <c r="H302" t="s">
        <v>2540</v>
      </c>
      <c r="I302" t="s">
        <v>1157</v>
      </c>
      <c r="J302">
        <v>2009</v>
      </c>
      <c r="K302" t="s">
        <v>1185</v>
      </c>
      <c r="L302">
        <v>1200</v>
      </c>
      <c r="M302" t="s">
        <v>1480</v>
      </c>
      <c r="N302">
        <v>1201</v>
      </c>
      <c r="O302" t="s">
        <v>1486</v>
      </c>
      <c r="P302" t="s">
        <v>2366</v>
      </c>
      <c r="Q302" t="s">
        <v>2364</v>
      </c>
      <c r="R302" t="s">
        <v>2364</v>
      </c>
      <c r="S302" t="s">
        <v>1881</v>
      </c>
      <c r="T302" t="s">
        <v>1812</v>
      </c>
      <c r="U302" t="s">
        <v>2365</v>
      </c>
      <c r="V302" t="s">
        <v>2365</v>
      </c>
      <c r="W302" t="s">
        <v>2365</v>
      </c>
      <c r="X302" t="s">
        <v>2365</v>
      </c>
      <c r="Y302" t="s">
        <v>2365</v>
      </c>
      <c r="Z302" t="s">
        <v>2365</v>
      </c>
      <c r="AA302" t="s">
        <v>2365</v>
      </c>
      <c r="AB302" t="s">
        <v>2365</v>
      </c>
      <c r="AC302" s="813" t="s">
        <v>2365</v>
      </c>
      <c r="AD302" s="813" t="s">
        <v>2365</v>
      </c>
      <c r="AE302" s="813" t="s">
        <v>2365</v>
      </c>
      <c r="AF302" t="s">
        <v>2365</v>
      </c>
      <c r="AG302" t="s">
        <v>2365</v>
      </c>
      <c r="AH302" t="s">
        <v>2365</v>
      </c>
      <c r="AI302" t="s">
        <v>2365</v>
      </c>
      <c r="AJ302" t="s">
        <v>2365</v>
      </c>
      <c r="AK302" s="1373" t="s">
        <v>2365</v>
      </c>
      <c r="AL302" t="s">
        <v>2365</v>
      </c>
      <c r="AM302" t="s">
        <v>2365</v>
      </c>
      <c r="AN302" t="s">
        <v>2365</v>
      </c>
      <c r="AR302" t="s">
        <v>2365</v>
      </c>
      <c r="AS302" t="s">
        <v>2365</v>
      </c>
      <c r="AT302" t="s">
        <v>2365</v>
      </c>
      <c r="AU302" t="s">
        <v>2365</v>
      </c>
      <c r="AV302" t="s">
        <v>2365</v>
      </c>
      <c r="AW302" t="s">
        <v>2365</v>
      </c>
      <c r="AX302" t="s">
        <v>2365</v>
      </c>
      <c r="AY302" t="s">
        <v>2365</v>
      </c>
      <c r="AZ302" t="s">
        <v>2365</v>
      </c>
      <c r="BA302" t="s">
        <v>2365</v>
      </c>
      <c r="BB302" t="s">
        <v>2365</v>
      </c>
      <c r="BC302" t="s">
        <v>2365</v>
      </c>
      <c r="BD302" t="s">
        <v>2366</v>
      </c>
      <c r="BE302" t="s">
        <v>2365</v>
      </c>
      <c r="BF302" t="s">
        <v>2365</v>
      </c>
      <c r="BG302" t="s">
        <v>2365</v>
      </c>
      <c r="BH302" t="s">
        <v>2365</v>
      </c>
      <c r="BI302" t="s">
        <v>2366</v>
      </c>
      <c r="BJ302" t="s">
        <v>2365</v>
      </c>
      <c r="BK302" t="s">
        <v>2365</v>
      </c>
      <c r="BL302" t="s">
        <v>2365</v>
      </c>
      <c r="BM302" t="s">
        <v>2365</v>
      </c>
      <c r="BN302" t="s">
        <v>2177</v>
      </c>
      <c r="BO302">
        <v>1</v>
      </c>
      <c r="BP302">
        <v>14</v>
      </c>
      <c r="BQ302" t="s">
        <v>2369</v>
      </c>
      <c r="BR302" t="s">
        <v>1486</v>
      </c>
      <c r="BU302">
        <v>281900</v>
      </c>
      <c r="BV302">
        <v>0</v>
      </c>
      <c r="BW302">
        <v>281900</v>
      </c>
      <c r="BX302">
        <v>0</v>
      </c>
      <c r="BY302">
        <v>281900</v>
      </c>
      <c r="BZ302">
        <v>301633</v>
      </c>
      <c r="CA302">
        <v>322747</v>
      </c>
      <c r="CB302">
        <v>0</v>
      </c>
      <c r="CC302">
        <v>0</v>
      </c>
      <c r="CD302">
        <v>2304.1200000000026</v>
      </c>
      <c r="CE302">
        <v>4836.2</v>
      </c>
      <c r="CF302">
        <v>4494.12</v>
      </c>
      <c r="CG302">
        <v>4283.28</v>
      </c>
      <c r="CH302">
        <v>992.48</v>
      </c>
      <c r="CI302">
        <v>0</v>
      </c>
      <c r="CJ302">
        <v>0</v>
      </c>
      <c r="CK302">
        <v>0</v>
      </c>
      <c r="CL302">
        <v>0</v>
      </c>
      <c r="CM302">
        <v>0</v>
      </c>
      <c r="CR302" t="s">
        <v>2335</v>
      </c>
      <c r="CS302" s="1369" t="str">
        <f>INDEX([8]Sheet1!$H:$H,MATCH(CR:CR,[8]Sheet1!$AU:$AU,0))</f>
        <v>Economic Development/Planning</v>
      </c>
    </row>
    <row r="303" spans="1:97" x14ac:dyDescent="0.2">
      <c r="A303" t="s">
        <v>2822</v>
      </c>
      <c r="B303">
        <v>356</v>
      </c>
      <c r="C303" t="s">
        <v>2822</v>
      </c>
      <c r="D303">
        <v>40932</v>
      </c>
      <c r="E303" t="s">
        <v>2544</v>
      </c>
      <c r="F303">
        <v>2000</v>
      </c>
      <c r="G303" t="s">
        <v>652</v>
      </c>
      <c r="H303" t="s">
        <v>2531</v>
      </c>
      <c r="I303" t="s">
        <v>1185</v>
      </c>
      <c r="J303">
        <v>2001</v>
      </c>
      <c r="K303" t="s">
        <v>203</v>
      </c>
      <c r="L303">
        <v>1200</v>
      </c>
      <c r="M303" t="s">
        <v>1480</v>
      </c>
      <c r="N303">
        <v>1201</v>
      </c>
      <c r="O303" t="s">
        <v>1486</v>
      </c>
      <c r="P303" t="s">
        <v>2366</v>
      </c>
      <c r="Q303" t="s">
        <v>2364</v>
      </c>
      <c r="R303" t="s">
        <v>2364</v>
      </c>
      <c r="S303" t="s">
        <v>1881</v>
      </c>
      <c r="T303" t="s">
        <v>1812</v>
      </c>
      <c r="U303" t="s">
        <v>2365</v>
      </c>
      <c r="V303" t="s">
        <v>2365</v>
      </c>
      <c r="W303" t="s">
        <v>2365</v>
      </c>
      <c r="X303" t="s">
        <v>2365</v>
      </c>
      <c r="Y303" t="s">
        <v>2365</v>
      </c>
      <c r="Z303" t="s">
        <v>2365</v>
      </c>
      <c r="AA303" t="s">
        <v>2365</v>
      </c>
      <c r="AB303" t="s">
        <v>2365</v>
      </c>
      <c r="AC303" s="813" t="s">
        <v>2365</v>
      </c>
      <c r="AD303" s="813" t="s">
        <v>2365</v>
      </c>
      <c r="AE303" s="813" t="s">
        <v>2365</v>
      </c>
      <c r="AF303" t="s">
        <v>2365</v>
      </c>
      <c r="AG303" t="s">
        <v>2365</v>
      </c>
      <c r="AH303" t="s">
        <v>2365</v>
      </c>
      <c r="AI303" t="s">
        <v>2365</v>
      </c>
      <c r="AJ303" t="s">
        <v>2365</v>
      </c>
      <c r="AK303" s="1373" t="s">
        <v>2365</v>
      </c>
      <c r="AL303" t="s">
        <v>2365</v>
      </c>
      <c r="AM303" t="s">
        <v>2365</v>
      </c>
      <c r="AN303" t="s">
        <v>2365</v>
      </c>
      <c r="AR303" t="s">
        <v>2365</v>
      </c>
      <c r="AS303" t="s">
        <v>2365</v>
      </c>
      <c r="AT303" t="s">
        <v>2365</v>
      </c>
      <c r="AU303" t="s">
        <v>2365</v>
      </c>
      <c r="AV303" t="s">
        <v>2365</v>
      </c>
      <c r="AW303" t="s">
        <v>2365</v>
      </c>
      <c r="AX303" t="s">
        <v>2365</v>
      </c>
      <c r="AY303" t="s">
        <v>2365</v>
      </c>
      <c r="AZ303" t="s">
        <v>2365</v>
      </c>
      <c r="BA303" t="s">
        <v>2365</v>
      </c>
      <c r="BB303" t="s">
        <v>2365</v>
      </c>
      <c r="BC303" t="s">
        <v>2365</v>
      </c>
      <c r="BD303" t="s">
        <v>2366</v>
      </c>
      <c r="BE303" t="s">
        <v>2365</v>
      </c>
      <c r="BF303" t="s">
        <v>2365</v>
      </c>
      <c r="BG303" t="s">
        <v>2365</v>
      </c>
      <c r="BH303" t="s">
        <v>2365</v>
      </c>
      <c r="BI303" t="s">
        <v>2366</v>
      </c>
      <c r="BJ303" t="s">
        <v>2365</v>
      </c>
      <c r="BK303" t="s">
        <v>2365</v>
      </c>
      <c r="BL303" t="s">
        <v>2365</v>
      </c>
      <c r="BM303" t="s">
        <v>2365</v>
      </c>
      <c r="BN303" t="s">
        <v>2177</v>
      </c>
      <c r="BO303">
        <v>1</v>
      </c>
      <c r="BP303">
        <v>14</v>
      </c>
      <c r="BQ303" t="s">
        <v>2369</v>
      </c>
      <c r="BR303" t="s">
        <v>1486</v>
      </c>
      <c r="BU303">
        <v>0</v>
      </c>
      <c r="BV303">
        <v>0</v>
      </c>
      <c r="BW303">
        <v>0</v>
      </c>
      <c r="BX303">
        <v>60000</v>
      </c>
      <c r="BY303">
        <v>60000</v>
      </c>
      <c r="BZ303">
        <v>0</v>
      </c>
      <c r="CA303">
        <v>0</v>
      </c>
      <c r="CB303">
        <v>0</v>
      </c>
      <c r="CC303">
        <v>0</v>
      </c>
      <c r="CD303">
        <v>0</v>
      </c>
      <c r="CE303">
        <v>0</v>
      </c>
      <c r="CF303">
        <v>20808</v>
      </c>
      <c r="CG303">
        <v>0</v>
      </c>
      <c r="CH303">
        <v>0</v>
      </c>
      <c r="CI303">
        <v>0</v>
      </c>
      <c r="CJ303">
        <v>0</v>
      </c>
      <c r="CK303">
        <v>0</v>
      </c>
      <c r="CL303">
        <v>0</v>
      </c>
      <c r="CM303">
        <v>0</v>
      </c>
      <c r="CR303" t="s">
        <v>2335</v>
      </c>
      <c r="CS303" s="1369" t="str">
        <f>INDEX([8]Sheet1!$H:$H,MATCH(CR:CR,[8]Sheet1!$AU:$AU,0))</f>
        <v>Economic Development/Planning</v>
      </c>
    </row>
    <row r="304" spans="1:97" x14ac:dyDescent="0.2">
      <c r="A304" t="s">
        <v>2823</v>
      </c>
      <c r="B304">
        <v>357</v>
      </c>
      <c r="C304" t="s">
        <v>2823</v>
      </c>
      <c r="D304">
        <v>40933</v>
      </c>
      <c r="E304" t="s">
        <v>2546</v>
      </c>
      <c r="F304">
        <v>2000</v>
      </c>
      <c r="G304" t="s">
        <v>652</v>
      </c>
      <c r="H304" t="s">
        <v>2547</v>
      </c>
      <c r="I304" t="s">
        <v>200</v>
      </c>
      <c r="J304">
        <v>2005</v>
      </c>
      <c r="K304" t="s">
        <v>200</v>
      </c>
      <c r="L304">
        <v>1200</v>
      </c>
      <c r="M304" t="s">
        <v>1480</v>
      </c>
      <c r="N304">
        <v>1201</v>
      </c>
      <c r="O304" t="s">
        <v>1486</v>
      </c>
      <c r="P304" t="s">
        <v>2366</v>
      </c>
      <c r="Q304" t="s">
        <v>2364</v>
      </c>
      <c r="R304" t="s">
        <v>2364</v>
      </c>
      <c r="S304" t="s">
        <v>1881</v>
      </c>
      <c r="T304" t="s">
        <v>1812</v>
      </c>
      <c r="U304" t="s">
        <v>2365</v>
      </c>
      <c r="V304" t="s">
        <v>2365</v>
      </c>
      <c r="W304" t="s">
        <v>2365</v>
      </c>
      <c r="X304" t="s">
        <v>2365</v>
      </c>
      <c r="Y304" t="s">
        <v>2365</v>
      </c>
      <c r="Z304" t="s">
        <v>2365</v>
      </c>
      <c r="AA304" t="s">
        <v>2365</v>
      </c>
      <c r="AB304" t="s">
        <v>2365</v>
      </c>
      <c r="AC304" s="813" t="s">
        <v>2365</v>
      </c>
      <c r="AD304" s="813" t="s">
        <v>2365</v>
      </c>
      <c r="AE304" s="813" t="s">
        <v>2365</v>
      </c>
      <c r="AF304" t="s">
        <v>2365</v>
      </c>
      <c r="AG304" t="s">
        <v>2365</v>
      </c>
      <c r="AH304" t="s">
        <v>2365</v>
      </c>
      <c r="AI304" t="s">
        <v>2365</v>
      </c>
      <c r="AJ304" t="s">
        <v>2365</v>
      </c>
      <c r="AK304" t="s">
        <v>2365</v>
      </c>
      <c r="AL304" t="s">
        <v>2365</v>
      </c>
      <c r="AM304" t="s">
        <v>2365</v>
      </c>
      <c r="AN304" t="s">
        <v>2365</v>
      </c>
      <c r="AR304" t="s">
        <v>2365</v>
      </c>
      <c r="AS304" t="s">
        <v>2365</v>
      </c>
      <c r="AT304" t="s">
        <v>2365</v>
      </c>
      <c r="AU304" t="s">
        <v>2365</v>
      </c>
      <c r="AV304" t="s">
        <v>2365</v>
      </c>
      <c r="AW304" t="s">
        <v>2365</v>
      </c>
      <c r="AX304" t="s">
        <v>2365</v>
      </c>
      <c r="AY304" t="s">
        <v>2365</v>
      </c>
      <c r="AZ304" t="s">
        <v>2365</v>
      </c>
      <c r="BA304" t="s">
        <v>2365</v>
      </c>
      <c r="BB304" t="s">
        <v>2365</v>
      </c>
      <c r="BC304" t="s">
        <v>2365</v>
      </c>
      <c r="BD304" t="s">
        <v>2366</v>
      </c>
      <c r="BE304" t="s">
        <v>2365</v>
      </c>
      <c r="BF304" t="s">
        <v>2365</v>
      </c>
      <c r="BG304" t="s">
        <v>2365</v>
      </c>
      <c r="BH304" t="s">
        <v>2365</v>
      </c>
      <c r="BI304" t="s">
        <v>2366</v>
      </c>
      <c r="BJ304" t="s">
        <v>2365</v>
      </c>
      <c r="BK304" t="s">
        <v>2365</v>
      </c>
      <c r="BL304" t="s">
        <v>2365</v>
      </c>
      <c r="BM304" t="s">
        <v>2365</v>
      </c>
      <c r="BN304" t="s">
        <v>2177</v>
      </c>
      <c r="BO304">
        <v>1</v>
      </c>
      <c r="BP304">
        <v>14</v>
      </c>
      <c r="BQ304" t="s">
        <v>2369</v>
      </c>
      <c r="BR304" t="s">
        <v>1486</v>
      </c>
      <c r="BU304">
        <v>467523</v>
      </c>
      <c r="BV304">
        <v>0</v>
      </c>
      <c r="BW304">
        <v>467523</v>
      </c>
      <c r="BX304" s="1371">
        <v>0</v>
      </c>
      <c r="BY304" s="1371">
        <v>467523</v>
      </c>
      <c r="BZ304">
        <v>500249</v>
      </c>
      <c r="CA304">
        <v>535267</v>
      </c>
      <c r="CB304">
        <v>0</v>
      </c>
      <c r="CC304">
        <v>78146.100000000006</v>
      </c>
      <c r="CD304">
        <v>0</v>
      </c>
      <c r="CE304">
        <v>0</v>
      </c>
      <c r="CF304">
        <v>0</v>
      </c>
      <c r="CG304">
        <v>0</v>
      </c>
      <c r="CH304">
        <v>0</v>
      </c>
      <c r="CI304">
        <v>0</v>
      </c>
      <c r="CJ304">
        <v>0</v>
      </c>
      <c r="CK304">
        <v>0</v>
      </c>
      <c r="CL304">
        <v>0</v>
      </c>
      <c r="CM304">
        <v>0</v>
      </c>
      <c r="CR304" t="s">
        <v>2335</v>
      </c>
      <c r="CS304" s="1369" t="str">
        <f>INDEX([8]Sheet1!$H:$H,MATCH(CR:CR,[8]Sheet1!$AU:$AU,0))</f>
        <v>Economic Development/Planning</v>
      </c>
    </row>
    <row r="305" spans="1:97" x14ac:dyDescent="0.2">
      <c r="A305" t="s">
        <v>2824</v>
      </c>
      <c r="B305">
        <v>358</v>
      </c>
      <c r="C305" t="s">
        <v>2824</v>
      </c>
      <c r="D305">
        <v>40934</v>
      </c>
      <c r="E305" t="s">
        <v>2552</v>
      </c>
      <c r="F305">
        <v>2000</v>
      </c>
      <c r="G305" t="s">
        <v>652</v>
      </c>
      <c r="H305" t="s">
        <v>2553</v>
      </c>
      <c r="I305" t="s">
        <v>1378</v>
      </c>
      <c r="J305">
        <v>2008</v>
      </c>
      <c r="K305" t="s">
        <v>1378</v>
      </c>
      <c r="L305">
        <v>1200</v>
      </c>
      <c r="M305" t="s">
        <v>1480</v>
      </c>
      <c r="N305">
        <v>1201</v>
      </c>
      <c r="O305" t="s">
        <v>1486</v>
      </c>
      <c r="P305" t="s">
        <v>2366</v>
      </c>
      <c r="Q305" t="s">
        <v>2364</v>
      </c>
      <c r="R305" t="s">
        <v>2364</v>
      </c>
      <c r="S305" t="s">
        <v>1881</v>
      </c>
      <c r="T305" t="s">
        <v>1812</v>
      </c>
      <c r="U305" t="s">
        <v>2365</v>
      </c>
      <c r="V305" t="s">
        <v>2365</v>
      </c>
      <c r="W305" t="s">
        <v>2365</v>
      </c>
      <c r="X305" t="s">
        <v>2365</v>
      </c>
      <c r="Y305" t="s">
        <v>2365</v>
      </c>
      <c r="Z305" t="s">
        <v>2365</v>
      </c>
      <c r="AA305" t="s">
        <v>2365</v>
      </c>
      <c r="AB305" t="s">
        <v>2365</v>
      </c>
      <c r="AC305" s="813" t="s">
        <v>2365</v>
      </c>
      <c r="AD305" s="813" t="s">
        <v>2365</v>
      </c>
      <c r="AE305" s="813" t="s">
        <v>2365</v>
      </c>
      <c r="AF305" t="s">
        <v>2365</v>
      </c>
      <c r="AG305" t="s">
        <v>2365</v>
      </c>
      <c r="AH305" t="s">
        <v>2365</v>
      </c>
      <c r="AI305" t="s">
        <v>2365</v>
      </c>
      <c r="AJ305" t="s">
        <v>2365</v>
      </c>
      <c r="AK305" t="s">
        <v>2365</v>
      </c>
      <c r="AL305" t="s">
        <v>2365</v>
      </c>
      <c r="AM305" t="s">
        <v>2365</v>
      </c>
      <c r="AN305" t="s">
        <v>2365</v>
      </c>
      <c r="AR305" t="s">
        <v>2365</v>
      </c>
      <c r="AS305" t="s">
        <v>2365</v>
      </c>
      <c r="AT305" t="s">
        <v>2365</v>
      </c>
      <c r="AU305" t="s">
        <v>2365</v>
      </c>
      <c r="AV305" t="s">
        <v>2365</v>
      </c>
      <c r="AW305" t="s">
        <v>2365</v>
      </c>
      <c r="AX305" t="s">
        <v>2365</v>
      </c>
      <c r="AY305" t="s">
        <v>2365</v>
      </c>
      <c r="AZ305" t="s">
        <v>2365</v>
      </c>
      <c r="BA305" t="s">
        <v>2365</v>
      </c>
      <c r="BB305" t="s">
        <v>2365</v>
      </c>
      <c r="BC305" t="s">
        <v>2365</v>
      </c>
      <c r="BD305" t="s">
        <v>2366</v>
      </c>
      <c r="BE305" t="s">
        <v>2365</v>
      </c>
      <c r="BF305" t="s">
        <v>2365</v>
      </c>
      <c r="BG305" t="s">
        <v>2365</v>
      </c>
      <c r="BH305" t="s">
        <v>2365</v>
      </c>
      <c r="BI305" t="s">
        <v>2366</v>
      </c>
      <c r="BJ305" t="s">
        <v>2365</v>
      </c>
      <c r="BK305" t="s">
        <v>2365</v>
      </c>
      <c r="BL305" t="s">
        <v>2365</v>
      </c>
      <c r="BM305" t="s">
        <v>2365</v>
      </c>
      <c r="BN305" t="s">
        <v>2177</v>
      </c>
      <c r="BO305">
        <v>1</v>
      </c>
      <c r="BP305">
        <v>14</v>
      </c>
      <c r="BQ305" t="s">
        <v>2369</v>
      </c>
      <c r="BR305" t="s">
        <v>1486</v>
      </c>
      <c r="BU305">
        <v>21000</v>
      </c>
      <c r="BV305">
        <v>0</v>
      </c>
      <c r="BW305">
        <v>21000</v>
      </c>
      <c r="BX305">
        <v>0</v>
      </c>
      <c r="BY305">
        <v>21000</v>
      </c>
      <c r="BZ305">
        <v>22470</v>
      </c>
      <c r="CA305">
        <v>24043</v>
      </c>
      <c r="CB305">
        <v>13000</v>
      </c>
      <c r="CC305">
        <v>964.51000000000022</v>
      </c>
      <c r="CD305">
        <v>11529.52</v>
      </c>
      <c r="CE305">
        <v>5425.2199999999993</v>
      </c>
      <c r="CF305">
        <v>1929.02</v>
      </c>
      <c r="CG305">
        <v>1929.02</v>
      </c>
      <c r="CH305">
        <v>1929.02</v>
      </c>
      <c r="CI305">
        <v>0</v>
      </c>
      <c r="CJ305">
        <v>0</v>
      </c>
      <c r="CK305">
        <v>0</v>
      </c>
      <c r="CL305">
        <v>0</v>
      </c>
      <c r="CM305">
        <v>0</v>
      </c>
      <c r="CR305" t="s">
        <v>2335</v>
      </c>
      <c r="CS305" s="1369" t="str">
        <f>INDEX([8]Sheet1!$H:$H,MATCH(CR:CR,[8]Sheet1!$AU:$AU,0))</f>
        <v>Economic Development/Planning</v>
      </c>
    </row>
    <row r="306" spans="1:97" x14ac:dyDescent="0.2">
      <c r="A306" t="s">
        <v>2825</v>
      </c>
      <c r="B306">
        <v>359</v>
      </c>
      <c r="C306" t="s">
        <v>2825</v>
      </c>
      <c r="D306">
        <v>40935</v>
      </c>
      <c r="E306" t="s">
        <v>2555</v>
      </c>
      <c r="F306">
        <v>2000</v>
      </c>
      <c r="G306" t="s">
        <v>652</v>
      </c>
      <c r="H306" t="s">
        <v>2556</v>
      </c>
      <c r="I306" t="s">
        <v>1377</v>
      </c>
      <c r="J306">
        <v>2007</v>
      </c>
      <c r="K306" t="s">
        <v>1377</v>
      </c>
      <c r="L306">
        <v>1200</v>
      </c>
      <c r="M306" t="s">
        <v>1480</v>
      </c>
      <c r="N306">
        <v>1201</v>
      </c>
      <c r="O306" t="s">
        <v>1486</v>
      </c>
      <c r="P306" t="s">
        <v>2366</v>
      </c>
      <c r="Q306" t="s">
        <v>2364</v>
      </c>
      <c r="R306" t="s">
        <v>2364</v>
      </c>
      <c r="S306" t="s">
        <v>1881</v>
      </c>
      <c r="T306" t="s">
        <v>1812</v>
      </c>
      <c r="U306" t="s">
        <v>2365</v>
      </c>
      <c r="V306" t="s">
        <v>2365</v>
      </c>
      <c r="W306" t="s">
        <v>2365</v>
      </c>
      <c r="X306" t="s">
        <v>2365</v>
      </c>
      <c r="Y306" t="s">
        <v>2365</v>
      </c>
      <c r="Z306" t="s">
        <v>2365</v>
      </c>
      <c r="AA306" t="s">
        <v>2365</v>
      </c>
      <c r="AB306" t="s">
        <v>2365</v>
      </c>
      <c r="AC306" s="813" t="s">
        <v>2365</v>
      </c>
      <c r="AD306" s="813" t="s">
        <v>2365</v>
      </c>
      <c r="AE306" s="813" t="s">
        <v>2365</v>
      </c>
      <c r="AF306" t="s">
        <v>2365</v>
      </c>
      <c r="AG306" t="s">
        <v>2365</v>
      </c>
      <c r="AH306" t="s">
        <v>2365</v>
      </c>
      <c r="AI306" t="s">
        <v>2365</v>
      </c>
      <c r="AJ306" t="s">
        <v>2365</v>
      </c>
      <c r="AK306" t="s">
        <v>2365</v>
      </c>
      <c r="AL306" t="s">
        <v>2365</v>
      </c>
      <c r="AM306" t="s">
        <v>2365</v>
      </c>
      <c r="AN306" t="s">
        <v>2365</v>
      </c>
      <c r="AR306" t="s">
        <v>2365</v>
      </c>
      <c r="AS306" t="s">
        <v>2365</v>
      </c>
      <c r="AT306" t="s">
        <v>2365</v>
      </c>
      <c r="AU306" t="s">
        <v>2365</v>
      </c>
      <c r="AV306" t="s">
        <v>2365</v>
      </c>
      <c r="AW306" t="s">
        <v>2365</v>
      </c>
      <c r="AX306" t="s">
        <v>2365</v>
      </c>
      <c r="AY306" t="s">
        <v>2365</v>
      </c>
      <c r="AZ306" t="s">
        <v>2365</v>
      </c>
      <c r="BA306" t="s">
        <v>2365</v>
      </c>
      <c r="BB306" t="s">
        <v>2365</v>
      </c>
      <c r="BC306" t="s">
        <v>2365</v>
      </c>
      <c r="BD306" t="s">
        <v>2366</v>
      </c>
      <c r="BE306" t="s">
        <v>2365</v>
      </c>
      <c r="BF306" t="s">
        <v>2365</v>
      </c>
      <c r="BG306" t="s">
        <v>2365</v>
      </c>
      <c r="BH306" t="s">
        <v>2365</v>
      </c>
      <c r="BI306" t="s">
        <v>2366</v>
      </c>
      <c r="BJ306" t="s">
        <v>2365</v>
      </c>
      <c r="BK306" t="s">
        <v>2365</v>
      </c>
      <c r="BL306" t="s">
        <v>2365</v>
      </c>
      <c r="BM306" t="s">
        <v>2365</v>
      </c>
      <c r="BN306" t="s">
        <v>2177</v>
      </c>
      <c r="BO306">
        <v>1</v>
      </c>
      <c r="BP306">
        <v>14</v>
      </c>
      <c r="BQ306" t="s">
        <v>2369</v>
      </c>
      <c r="BR306" t="s">
        <v>1486</v>
      </c>
      <c r="BU306">
        <v>18000</v>
      </c>
      <c r="BV306">
        <v>0</v>
      </c>
      <c r="BW306">
        <v>18000</v>
      </c>
      <c r="BX306">
        <v>0</v>
      </c>
      <c r="BY306">
        <v>18000</v>
      </c>
      <c r="BZ306">
        <v>19260</v>
      </c>
      <c r="CA306">
        <v>20608</v>
      </c>
      <c r="CB306">
        <v>0</v>
      </c>
      <c r="CC306">
        <v>4150</v>
      </c>
      <c r="CD306">
        <v>0</v>
      </c>
      <c r="CE306">
        <v>0</v>
      </c>
      <c r="CF306">
        <v>0</v>
      </c>
      <c r="CG306">
        <v>0</v>
      </c>
      <c r="CH306">
        <v>0</v>
      </c>
      <c r="CI306">
        <v>0</v>
      </c>
      <c r="CJ306">
        <v>0</v>
      </c>
      <c r="CK306">
        <v>0</v>
      </c>
      <c r="CL306">
        <v>0</v>
      </c>
      <c r="CM306">
        <v>0</v>
      </c>
      <c r="CR306" t="s">
        <v>2328</v>
      </c>
      <c r="CS306" s="1369" t="str">
        <f>INDEX([8]Sheet1!$H:$H,MATCH(CR:CR,[8]Sheet1!$AU:$AU,0))</f>
        <v>Water Distribution</v>
      </c>
    </row>
    <row r="307" spans="1:97" x14ac:dyDescent="0.2">
      <c r="A307" t="s">
        <v>2826</v>
      </c>
      <c r="B307">
        <v>360</v>
      </c>
      <c r="C307" t="s">
        <v>2826</v>
      </c>
      <c r="D307">
        <v>40936</v>
      </c>
      <c r="E307" t="s">
        <v>2461</v>
      </c>
      <c r="F307">
        <v>2000</v>
      </c>
      <c r="G307" t="s">
        <v>652</v>
      </c>
      <c r="H307" t="s">
        <v>2462</v>
      </c>
      <c r="I307" t="s">
        <v>203</v>
      </c>
      <c r="J307">
        <v>2001</v>
      </c>
      <c r="K307" t="s">
        <v>203</v>
      </c>
      <c r="L307">
        <v>1200</v>
      </c>
      <c r="M307" t="s">
        <v>1480</v>
      </c>
      <c r="N307">
        <v>1201</v>
      </c>
      <c r="O307" t="s">
        <v>1486</v>
      </c>
      <c r="P307" t="s">
        <v>2366</v>
      </c>
      <c r="Q307" t="s">
        <v>2364</v>
      </c>
      <c r="R307" t="s">
        <v>2364</v>
      </c>
      <c r="S307" t="s">
        <v>1881</v>
      </c>
      <c r="T307" t="s">
        <v>1812</v>
      </c>
      <c r="U307" t="s">
        <v>2365</v>
      </c>
      <c r="V307" t="s">
        <v>2365</v>
      </c>
      <c r="W307" t="s">
        <v>2365</v>
      </c>
      <c r="X307" t="s">
        <v>2365</v>
      </c>
      <c r="Y307" t="s">
        <v>2365</v>
      </c>
      <c r="Z307" t="s">
        <v>2365</v>
      </c>
      <c r="AA307" t="s">
        <v>2365</v>
      </c>
      <c r="AB307" t="s">
        <v>2365</v>
      </c>
      <c r="AC307" s="813" t="s">
        <v>2365</v>
      </c>
      <c r="AD307" s="813" t="s">
        <v>2365</v>
      </c>
      <c r="AE307" s="813" t="s">
        <v>2365</v>
      </c>
      <c r="AF307" t="s">
        <v>2365</v>
      </c>
      <c r="AG307" t="s">
        <v>2365</v>
      </c>
      <c r="AH307" t="s">
        <v>2365</v>
      </c>
      <c r="AI307" t="s">
        <v>2365</v>
      </c>
      <c r="AJ307" t="s">
        <v>2365</v>
      </c>
      <c r="AK307" t="s">
        <v>2365</v>
      </c>
      <c r="AL307" t="s">
        <v>2365</v>
      </c>
      <c r="AM307" t="s">
        <v>2365</v>
      </c>
      <c r="AN307" t="s">
        <v>2365</v>
      </c>
      <c r="AR307" t="s">
        <v>2365</v>
      </c>
      <c r="AS307" t="s">
        <v>2365</v>
      </c>
      <c r="AT307" t="s">
        <v>2365</v>
      </c>
      <c r="AU307" t="s">
        <v>2365</v>
      </c>
      <c r="AV307" t="s">
        <v>2365</v>
      </c>
      <c r="AW307" t="s">
        <v>2365</v>
      </c>
      <c r="AX307" t="s">
        <v>2365</v>
      </c>
      <c r="AY307" t="s">
        <v>2365</v>
      </c>
      <c r="AZ307" t="s">
        <v>2365</v>
      </c>
      <c r="BA307" t="s">
        <v>2365</v>
      </c>
      <c r="BB307" t="s">
        <v>2365</v>
      </c>
      <c r="BC307" t="s">
        <v>2365</v>
      </c>
      <c r="BD307" t="s">
        <v>2366</v>
      </c>
      <c r="BE307" t="s">
        <v>2365</v>
      </c>
      <c r="BF307" t="s">
        <v>2365</v>
      </c>
      <c r="BG307" t="s">
        <v>2365</v>
      </c>
      <c r="BH307" t="s">
        <v>2365</v>
      </c>
      <c r="BI307" t="s">
        <v>2366</v>
      </c>
      <c r="BJ307" t="s">
        <v>2365</v>
      </c>
      <c r="BK307" t="s">
        <v>2365</v>
      </c>
      <c r="BL307" t="s">
        <v>2365</v>
      </c>
      <c r="BM307" t="s">
        <v>2365</v>
      </c>
      <c r="BN307" t="s">
        <v>2177</v>
      </c>
      <c r="BO307">
        <v>1</v>
      </c>
      <c r="BP307">
        <v>14</v>
      </c>
      <c r="BQ307" t="s">
        <v>2369</v>
      </c>
      <c r="BR307" t="s">
        <v>1486</v>
      </c>
      <c r="BU307">
        <v>5108530</v>
      </c>
      <c r="BV307">
        <v>0</v>
      </c>
      <c r="BW307">
        <v>5108530</v>
      </c>
      <c r="BX307">
        <v>-50000</v>
      </c>
      <c r="BY307">
        <v>5058530</v>
      </c>
      <c r="BZ307">
        <v>5466127</v>
      </c>
      <c r="CA307">
        <v>5848756</v>
      </c>
      <c r="CB307">
        <v>8500</v>
      </c>
      <c r="CC307">
        <v>412863.91999999993</v>
      </c>
      <c r="CD307">
        <v>397615.80999999994</v>
      </c>
      <c r="CE307">
        <v>393551.88</v>
      </c>
      <c r="CF307">
        <v>403209.08999999997</v>
      </c>
      <c r="CG307">
        <v>424344.2</v>
      </c>
      <c r="CH307">
        <v>479254.33</v>
      </c>
      <c r="CI307">
        <v>0</v>
      </c>
      <c r="CJ307">
        <v>0</v>
      </c>
      <c r="CK307">
        <v>0</v>
      </c>
      <c r="CL307">
        <v>0</v>
      </c>
      <c r="CM307">
        <v>0</v>
      </c>
      <c r="CR307" t="s">
        <v>2328</v>
      </c>
      <c r="CS307" s="1369" t="str">
        <f>INDEX([8]Sheet1!$H:$H,MATCH(CR:CR,[8]Sheet1!$AU:$AU,0))</f>
        <v>Water Distribution</v>
      </c>
    </row>
    <row r="308" spans="1:97" x14ac:dyDescent="0.2">
      <c r="A308" t="s">
        <v>2827</v>
      </c>
      <c r="B308">
        <v>361</v>
      </c>
      <c r="C308" t="s">
        <v>2827</v>
      </c>
      <c r="D308">
        <v>40937</v>
      </c>
      <c r="E308" t="s">
        <v>2562</v>
      </c>
      <c r="F308">
        <v>2000</v>
      </c>
      <c r="G308" t="s">
        <v>652</v>
      </c>
      <c r="H308" t="s">
        <v>2563</v>
      </c>
      <c r="I308" t="s">
        <v>1160</v>
      </c>
      <c r="J308">
        <v>2012</v>
      </c>
      <c r="K308" t="s">
        <v>1160</v>
      </c>
      <c r="L308">
        <v>1200</v>
      </c>
      <c r="M308" t="s">
        <v>1480</v>
      </c>
      <c r="N308">
        <v>1201</v>
      </c>
      <c r="O308" t="s">
        <v>1486</v>
      </c>
      <c r="P308" t="s">
        <v>2366</v>
      </c>
      <c r="Q308" t="s">
        <v>2364</v>
      </c>
      <c r="R308" t="s">
        <v>2364</v>
      </c>
      <c r="S308" t="s">
        <v>1881</v>
      </c>
      <c r="T308" t="s">
        <v>1812</v>
      </c>
      <c r="U308" t="s">
        <v>2365</v>
      </c>
      <c r="V308" t="s">
        <v>2365</v>
      </c>
      <c r="W308" t="s">
        <v>2365</v>
      </c>
      <c r="X308" t="s">
        <v>2365</v>
      </c>
      <c r="Y308" t="s">
        <v>2365</v>
      </c>
      <c r="Z308" t="s">
        <v>2365</v>
      </c>
      <c r="AA308" t="s">
        <v>2365</v>
      </c>
      <c r="AB308" t="s">
        <v>2365</v>
      </c>
      <c r="AC308" s="813" t="s">
        <v>2365</v>
      </c>
      <c r="AD308" s="813" t="s">
        <v>2365</v>
      </c>
      <c r="AE308" s="813" t="s">
        <v>2365</v>
      </c>
      <c r="AF308" t="s">
        <v>2365</v>
      </c>
      <c r="AG308" t="s">
        <v>2365</v>
      </c>
      <c r="AH308" t="s">
        <v>2365</v>
      </c>
      <c r="AI308" t="s">
        <v>2365</v>
      </c>
      <c r="AJ308" t="s">
        <v>2365</v>
      </c>
      <c r="AK308" t="s">
        <v>2365</v>
      </c>
      <c r="AL308" t="s">
        <v>2365</v>
      </c>
      <c r="AM308" t="s">
        <v>2365</v>
      </c>
      <c r="AN308" t="s">
        <v>2365</v>
      </c>
      <c r="AR308" t="s">
        <v>2365</v>
      </c>
      <c r="AS308" t="s">
        <v>2365</v>
      </c>
      <c r="AT308" t="s">
        <v>2365</v>
      </c>
      <c r="AU308" t="s">
        <v>2365</v>
      </c>
      <c r="AV308" t="s">
        <v>2365</v>
      </c>
      <c r="AW308" t="s">
        <v>2365</v>
      </c>
      <c r="AX308" t="s">
        <v>2365</v>
      </c>
      <c r="AY308" t="s">
        <v>2365</v>
      </c>
      <c r="AZ308" t="s">
        <v>2365</v>
      </c>
      <c r="BA308" t="s">
        <v>2365</v>
      </c>
      <c r="BB308" t="s">
        <v>2365</v>
      </c>
      <c r="BC308" t="s">
        <v>2365</v>
      </c>
      <c r="BD308" t="s">
        <v>2366</v>
      </c>
      <c r="BE308" t="s">
        <v>2365</v>
      </c>
      <c r="BF308" t="s">
        <v>2365</v>
      </c>
      <c r="BG308" t="s">
        <v>2365</v>
      </c>
      <c r="BH308" t="s">
        <v>2365</v>
      </c>
      <c r="BI308" t="s">
        <v>2366</v>
      </c>
      <c r="BJ308" t="s">
        <v>2365</v>
      </c>
      <c r="BK308" t="s">
        <v>2365</v>
      </c>
      <c r="BL308" t="s">
        <v>2365</v>
      </c>
      <c r="BM308" t="s">
        <v>2365</v>
      </c>
      <c r="BN308" t="s">
        <v>2177</v>
      </c>
      <c r="BO308">
        <v>1</v>
      </c>
      <c r="BP308">
        <v>14</v>
      </c>
      <c r="BQ308" t="s">
        <v>2369</v>
      </c>
      <c r="BR308" t="s">
        <v>1486</v>
      </c>
      <c r="BU308">
        <v>0</v>
      </c>
      <c r="BV308">
        <v>0</v>
      </c>
      <c r="BW308">
        <v>0</v>
      </c>
      <c r="BX308">
        <v>1000</v>
      </c>
      <c r="BY308">
        <v>1000</v>
      </c>
      <c r="BZ308">
        <v>0</v>
      </c>
      <c r="CA308">
        <v>0</v>
      </c>
      <c r="CB308">
        <v>0</v>
      </c>
      <c r="CC308">
        <v>147.4</v>
      </c>
      <c r="CD308">
        <v>0</v>
      </c>
      <c r="CE308">
        <v>0</v>
      </c>
      <c r="CF308">
        <v>0</v>
      </c>
      <c r="CG308">
        <v>0</v>
      </c>
      <c r="CH308">
        <v>0</v>
      </c>
      <c r="CI308">
        <v>0</v>
      </c>
      <c r="CJ308">
        <v>0</v>
      </c>
      <c r="CK308">
        <v>0</v>
      </c>
      <c r="CL308">
        <v>0</v>
      </c>
      <c r="CM308">
        <v>0</v>
      </c>
      <c r="CR308" t="s">
        <v>2322</v>
      </c>
      <c r="CS308" s="1369" t="str">
        <f>INDEX([8]Sheet1!$H:$H,MATCH(CR:CR,[8]Sheet1!$AU:$AU,0))</f>
        <v>Human Resources</v>
      </c>
    </row>
    <row r="309" spans="1:97" x14ac:dyDescent="0.2">
      <c r="A309" t="s">
        <v>2828</v>
      </c>
      <c r="B309">
        <v>362</v>
      </c>
      <c r="C309" t="s">
        <v>2828</v>
      </c>
      <c r="D309">
        <v>40938</v>
      </c>
      <c r="E309" t="s">
        <v>2558</v>
      </c>
      <c r="F309">
        <v>2000</v>
      </c>
      <c r="G309" t="s">
        <v>652</v>
      </c>
      <c r="H309" t="s">
        <v>2559</v>
      </c>
      <c r="I309" t="s">
        <v>1376</v>
      </c>
      <c r="J309">
        <v>2006</v>
      </c>
      <c r="K309" t="s">
        <v>1376</v>
      </c>
      <c r="L309">
        <v>1200</v>
      </c>
      <c r="M309" t="s">
        <v>1480</v>
      </c>
      <c r="N309">
        <v>1201</v>
      </c>
      <c r="O309" t="s">
        <v>1486</v>
      </c>
      <c r="P309" t="s">
        <v>2366</v>
      </c>
      <c r="Q309" t="s">
        <v>2364</v>
      </c>
      <c r="R309" t="s">
        <v>2364</v>
      </c>
      <c r="S309" t="s">
        <v>1881</v>
      </c>
      <c r="T309" t="s">
        <v>1812</v>
      </c>
      <c r="U309" t="s">
        <v>2365</v>
      </c>
      <c r="V309" t="s">
        <v>2365</v>
      </c>
      <c r="W309" t="s">
        <v>2365</v>
      </c>
      <c r="X309" t="s">
        <v>2365</v>
      </c>
      <c r="Y309" t="s">
        <v>2365</v>
      </c>
      <c r="Z309" t="s">
        <v>2365</v>
      </c>
      <c r="AA309" t="s">
        <v>2365</v>
      </c>
      <c r="AB309" t="s">
        <v>2365</v>
      </c>
      <c r="AC309" s="813" t="s">
        <v>2365</v>
      </c>
      <c r="AD309" s="813" t="s">
        <v>2365</v>
      </c>
      <c r="AE309" s="813" t="s">
        <v>2365</v>
      </c>
      <c r="AF309" t="s">
        <v>2365</v>
      </c>
      <c r="AG309" t="s">
        <v>2365</v>
      </c>
      <c r="AH309" t="s">
        <v>2365</v>
      </c>
      <c r="AI309" t="s">
        <v>2365</v>
      </c>
      <c r="AJ309" t="s">
        <v>2365</v>
      </c>
      <c r="AK309" t="s">
        <v>2365</v>
      </c>
      <c r="AL309" t="s">
        <v>2365</v>
      </c>
      <c r="AM309" t="s">
        <v>2365</v>
      </c>
      <c r="AN309" t="s">
        <v>2365</v>
      </c>
      <c r="AR309" t="s">
        <v>2365</v>
      </c>
      <c r="AS309" t="s">
        <v>2365</v>
      </c>
      <c r="AT309" t="s">
        <v>2365</v>
      </c>
      <c r="AU309" t="s">
        <v>2365</v>
      </c>
      <c r="AV309" t="s">
        <v>2365</v>
      </c>
      <c r="AW309" t="s">
        <v>2365</v>
      </c>
      <c r="AX309" t="s">
        <v>2365</v>
      </c>
      <c r="AY309" t="s">
        <v>2365</v>
      </c>
      <c r="AZ309" t="s">
        <v>2365</v>
      </c>
      <c r="BA309" t="s">
        <v>2365</v>
      </c>
      <c r="BB309" t="s">
        <v>2365</v>
      </c>
      <c r="BC309" t="s">
        <v>2365</v>
      </c>
      <c r="BD309" t="s">
        <v>2366</v>
      </c>
      <c r="BE309" t="s">
        <v>2365</v>
      </c>
      <c r="BF309" t="s">
        <v>2365</v>
      </c>
      <c r="BG309" t="s">
        <v>2365</v>
      </c>
      <c r="BH309" t="s">
        <v>2365</v>
      </c>
      <c r="BI309" t="s">
        <v>2366</v>
      </c>
      <c r="BJ309" t="s">
        <v>2365</v>
      </c>
      <c r="BK309" t="s">
        <v>2365</v>
      </c>
      <c r="BL309" t="s">
        <v>2365</v>
      </c>
      <c r="BM309" t="s">
        <v>2365</v>
      </c>
      <c r="BN309" t="s">
        <v>2177</v>
      </c>
      <c r="BO309">
        <v>1</v>
      </c>
      <c r="BP309">
        <v>14</v>
      </c>
      <c r="BQ309" t="s">
        <v>2369</v>
      </c>
      <c r="BR309" t="s">
        <v>1486</v>
      </c>
      <c r="BU309">
        <v>0</v>
      </c>
      <c r="BV309">
        <v>0</v>
      </c>
      <c r="BW309">
        <v>0</v>
      </c>
      <c r="BX309">
        <v>39500</v>
      </c>
      <c r="BY309">
        <v>39500</v>
      </c>
      <c r="BZ309">
        <v>0</v>
      </c>
      <c r="CA309">
        <v>0</v>
      </c>
      <c r="CB309">
        <v>0</v>
      </c>
      <c r="CC309">
        <v>16000</v>
      </c>
      <c r="CD309">
        <v>1250</v>
      </c>
      <c r="CE309">
        <v>750</v>
      </c>
      <c r="CF309">
        <v>750</v>
      </c>
      <c r="CG309">
        <v>750</v>
      </c>
      <c r="CH309">
        <v>10750</v>
      </c>
      <c r="CI309">
        <v>0</v>
      </c>
      <c r="CJ309">
        <v>0</v>
      </c>
      <c r="CK309">
        <v>0</v>
      </c>
      <c r="CL309">
        <v>0</v>
      </c>
      <c r="CM309">
        <v>0</v>
      </c>
      <c r="CR309" t="s">
        <v>2328</v>
      </c>
      <c r="CS309" s="1369" t="str">
        <f>INDEX([8]Sheet1!$H:$H,MATCH(CR:CR,[8]Sheet1!$AU:$AU,0))</f>
        <v>Water Distribution</v>
      </c>
    </row>
    <row r="310" spans="1:97" x14ac:dyDescent="0.2">
      <c r="A310" t="s">
        <v>2829</v>
      </c>
      <c r="B310">
        <v>363</v>
      </c>
      <c r="C310" t="s">
        <v>2829</v>
      </c>
      <c r="D310">
        <v>40939</v>
      </c>
      <c r="E310" t="s">
        <v>2830</v>
      </c>
      <c r="F310">
        <v>2000</v>
      </c>
      <c r="G310" t="s">
        <v>652</v>
      </c>
      <c r="H310" t="s">
        <v>2831</v>
      </c>
      <c r="I310" t="s">
        <v>1158</v>
      </c>
      <c r="J310">
        <v>2011</v>
      </c>
      <c r="K310" t="s">
        <v>1158</v>
      </c>
      <c r="L310">
        <v>1200</v>
      </c>
      <c r="M310" t="s">
        <v>1480</v>
      </c>
      <c r="N310">
        <v>1201</v>
      </c>
      <c r="O310" t="s">
        <v>1486</v>
      </c>
      <c r="P310" t="s">
        <v>2366</v>
      </c>
      <c r="Q310" t="s">
        <v>2364</v>
      </c>
      <c r="R310" t="s">
        <v>2364</v>
      </c>
      <c r="S310" t="s">
        <v>1881</v>
      </c>
      <c r="T310" t="s">
        <v>1812</v>
      </c>
      <c r="U310" t="s">
        <v>2365</v>
      </c>
      <c r="V310" t="s">
        <v>2365</v>
      </c>
      <c r="W310" t="s">
        <v>2365</v>
      </c>
      <c r="X310" t="s">
        <v>2365</v>
      </c>
      <c r="Y310" t="s">
        <v>2365</v>
      </c>
      <c r="Z310" t="s">
        <v>2365</v>
      </c>
      <c r="AA310" t="s">
        <v>2365</v>
      </c>
      <c r="AB310" t="s">
        <v>2365</v>
      </c>
      <c r="AC310" s="813" t="s">
        <v>2365</v>
      </c>
      <c r="AD310" s="813" t="s">
        <v>2365</v>
      </c>
      <c r="AE310" s="813" t="s">
        <v>2365</v>
      </c>
      <c r="AF310" t="s">
        <v>2365</v>
      </c>
      <c r="AG310" t="s">
        <v>2365</v>
      </c>
      <c r="AH310" t="s">
        <v>2365</v>
      </c>
      <c r="AI310" t="s">
        <v>2365</v>
      </c>
      <c r="AJ310" t="s">
        <v>2365</v>
      </c>
      <c r="AK310" t="s">
        <v>2365</v>
      </c>
      <c r="AL310" t="s">
        <v>2365</v>
      </c>
      <c r="AM310" t="s">
        <v>2365</v>
      </c>
      <c r="AN310" t="s">
        <v>2365</v>
      </c>
      <c r="AR310" t="s">
        <v>2365</v>
      </c>
      <c r="AS310" t="s">
        <v>2365</v>
      </c>
      <c r="AT310" t="s">
        <v>2365</v>
      </c>
      <c r="AU310" t="s">
        <v>2365</v>
      </c>
      <c r="AV310" t="s">
        <v>2365</v>
      </c>
      <c r="AW310" t="s">
        <v>2365</v>
      </c>
      <c r="AX310" t="s">
        <v>2365</v>
      </c>
      <c r="AY310" t="s">
        <v>2365</v>
      </c>
      <c r="AZ310" t="s">
        <v>2365</v>
      </c>
      <c r="BA310" t="s">
        <v>2365</v>
      </c>
      <c r="BB310" t="s">
        <v>2365</v>
      </c>
      <c r="BC310" t="s">
        <v>2365</v>
      </c>
      <c r="BD310" t="s">
        <v>2366</v>
      </c>
      <c r="BE310" t="s">
        <v>2365</v>
      </c>
      <c r="BF310" t="s">
        <v>2365</v>
      </c>
      <c r="BG310" t="s">
        <v>2365</v>
      </c>
      <c r="BH310" t="s">
        <v>2365</v>
      </c>
      <c r="BI310" t="s">
        <v>2366</v>
      </c>
      <c r="BJ310" t="s">
        <v>2365</v>
      </c>
      <c r="BK310" t="s">
        <v>2365</v>
      </c>
      <c r="BL310" t="s">
        <v>2365</v>
      </c>
      <c r="BM310" t="s">
        <v>2365</v>
      </c>
      <c r="BN310" t="s">
        <v>2177</v>
      </c>
      <c r="BO310">
        <v>1</v>
      </c>
      <c r="BP310">
        <v>14</v>
      </c>
      <c r="BQ310" t="s">
        <v>2369</v>
      </c>
      <c r="BR310" t="s">
        <v>1486</v>
      </c>
      <c r="BU310">
        <v>0</v>
      </c>
      <c r="BV310">
        <v>0</v>
      </c>
      <c r="BW310">
        <v>0</v>
      </c>
      <c r="BX310">
        <v>450000</v>
      </c>
      <c r="BY310">
        <v>450000</v>
      </c>
      <c r="BZ310">
        <v>0</v>
      </c>
      <c r="CA310">
        <v>0</v>
      </c>
      <c r="CB310">
        <v>0</v>
      </c>
      <c r="CC310">
        <v>0</v>
      </c>
      <c r="CD310">
        <v>0</v>
      </c>
      <c r="CE310">
        <v>0</v>
      </c>
      <c r="CF310">
        <v>0</v>
      </c>
      <c r="CG310">
        <v>391505.63</v>
      </c>
      <c r="CH310">
        <v>0</v>
      </c>
      <c r="CI310">
        <v>0</v>
      </c>
      <c r="CJ310">
        <v>0</v>
      </c>
      <c r="CK310">
        <v>0</v>
      </c>
      <c r="CL310">
        <v>0</v>
      </c>
      <c r="CM310">
        <v>0</v>
      </c>
      <c r="CR310" t="s">
        <v>2336</v>
      </c>
      <c r="CS310" s="1369" t="str">
        <f>INDEX([8]Sheet1!$H:$H,MATCH(CR:CR,[8]Sheet1!$AU:$AU,0))</f>
        <v>Project Management Unit</v>
      </c>
    </row>
    <row r="311" spans="1:97" x14ac:dyDescent="0.2">
      <c r="A311" t="s">
        <v>2832</v>
      </c>
      <c r="B311">
        <v>364</v>
      </c>
      <c r="C311" t="s">
        <v>2832</v>
      </c>
      <c r="D311">
        <v>40940</v>
      </c>
      <c r="E311" t="s">
        <v>2549</v>
      </c>
      <c r="F311">
        <v>2000</v>
      </c>
      <c r="G311" t="s">
        <v>652</v>
      </c>
      <c r="H311" t="s">
        <v>2550</v>
      </c>
      <c r="I311" t="s">
        <v>1159</v>
      </c>
      <c r="J311">
        <v>2010</v>
      </c>
      <c r="K311" t="s">
        <v>1159</v>
      </c>
      <c r="L311">
        <v>1200</v>
      </c>
      <c r="M311" t="s">
        <v>1480</v>
      </c>
      <c r="N311">
        <v>1201</v>
      </c>
      <c r="O311" t="s">
        <v>1486</v>
      </c>
      <c r="P311" t="s">
        <v>2366</v>
      </c>
      <c r="Q311" t="s">
        <v>2364</v>
      </c>
      <c r="R311" t="s">
        <v>2364</v>
      </c>
      <c r="S311" t="s">
        <v>1881</v>
      </c>
      <c r="T311" t="s">
        <v>1812</v>
      </c>
      <c r="U311" t="s">
        <v>2365</v>
      </c>
      <c r="V311" t="s">
        <v>2365</v>
      </c>
      <c r="W311" t="s">
        <v>2365</v>
      </c>
      <c r="X311" t="s">
        <v>2365</v>
      </c>
      <c r="Y311" t="s">
        <v>2365</v>
      </c>
      <c r="Z311" t="s">
        <v>2365</v>
      </c>
      <c r="AA311" t="s">
        <v>2365</v>
      </c>
      <c r="AB311" t="s">
        <v>2365</v>
      </c>
      <c r="AC311" s="813" t="s">
        <v>2365</v>
      </c>
      <c r="AD311" s="813" t="s">
        <v>2365</v>
      </c>
      <c r="AE311" s="813" t="s">
        <v>2365</v>
      </c>
      <c r="AF311" t="s">
        <v>2365</v>
      </c>
      <c r="AG311" t="s">
        <v>2365</v>
      </c>
      <c r="AH311" t="s">
        <v>2365</v>
      </c>
      <c r="AI311" t="s">
        <v>2365</v>
      </c>
      <c r="AJ311" t="s">
        <v>2365</v>
      </c>
      <c r="AK311" t="s">
        <v>2365</v>
      </c>
      <c r="AL311" t="s">
        <v>2365</v>
      </c>
      <c r="AM311" t="s">
        <v>2365</v>
      </c>
      <c r="AN311" t="s">
        <v>2365</v>
      </c>
      <c r="AR311" t="s">
        <v>2365</v>
      </c>
      <c r="AS311" t="s">
        <v>2365</v>
      </c>
      <c r="AT311" t="s">
        <v>2365</v>
      </c>
      <c r="AU311" t="s">
        <v>2365</v>
      </c>
      <c r="AV311" t="s">
        <v>2365</v>
      </c>
      <c r="AW311" t="s">
        <v>2365</v>
      </c>
      <c r="AX311" t="s">
        <v>2365</v>
      </c>
      <c r="AY311" t="s">
        <v>2365</v>
      </c>
      <c r="AZ311" t="s">
        <v>2365</v>
      </c>
      <c r="BA311" t="s">
        <v>2365</v>
      </c>
      <c r="BB311" t="s">
        <v>2365</v>
      </c>
      <c r="BC311" t="s">
        <v>2365</v>
      </c>
      <c r="BD311" t="s">
        <v>2366</v>
      </c>
      <c r="BE311" t="s">
        <v>2365</v>
      </c>
      <c r="BF311" t="s">
        <v>2365</v>
      </c>
      <c r="BG311" t="s">
        <v>2365</v>
      </c>
      <c r="BH311" t="s">
        <v>2365</v>
      </c>
      <c r="BI311" t="s">
        <v>2366</v>
      </c>
      <c r="BJ311" t="s">
        <v>2365</v>
      </c>
      <c r="BK311" t="s">
        <v>2365</v>
      </c>
      <c r="BL311" t="s">
        <v>2365</v>
      </c>
      <c r="BM311" t="s">
        <v>2365</v>
      </c>
      <c r="BN311" t="s">
        <v>2177</v>
      </c>
      <c r="BO311">
        <v>1</v>
      </c>
      <c r="BP311">
        <v>14</v>
      </c>
      <c r="BQ311" t="s">
        <v>2369</v>
      </c>
      <c r="BR311" t="s">
        <v>1486</v>
      </c>
      <c r="BU311">
        <v>338849</v>
      </c>
      <c r="BV311">
        <v>0</v>
      </c>
      <c r="BW311">
        <v>338849</v>
      </c>
      <c r="BX311">
        <v>0</v>
      </c>
      <c r="BY311">
        <v>338849</v>
      </c>
      <c r="BZ311">
        <v>362568</v>
      </c>
      <c r="CA311">
        <v>387948</v>
      </c>
      <c r="CB311">
        <v>0</v>
      </c>
      <c r="CC311">
        <v>67109.679999999993</v>
      </c>
      <c r="CD311">
        <v>0</v>
      </c>
      <c r="CE311">
        <v>21048.25</v>
      </c>
      <c r="CF311">
        <v>0</v>
      </c>
      <c r="CG311">
        <v>0</v>
      </c>
      <c r="CH311">
        <v>0</v>
      </c>
      <c r="CI311">
        <v>0</v>
      </c>
      <c r="CJ311">
        <v>0</v>
      </c>
      <c r="CK311">
        <v>0</v>
      </c>
      <c r="CL311">
        <v>0</v>
      </c>
      <c r="CM311">
        <v>0</v>
      </c>
      <c r="CR311" t="s">
        <v>2337</v>
      </c>
      <c r="CS311" s="1369" t="str">
        <f>INDEX([8]Sheet1!$H:$H,MATCH(CR:CR,[8]Sheet1!$AU:$AU,0))</f>
        <v>Corporate Wide Strategic Planning (IDPs, LEDs)</v>
      </c>
    </row>
    <row r="312" spans="1:97" x14ac:dyDescent="0.2">
      <c r="A312" t="s">
        <v>2833</v>
      </c>
      <c r="B312">
        <v>365</v>
      </c>
      <c r="C312" t="s">
        <v>2833</v>
      </c>
      <c r="D312">
        <v>41493</v>
      </c>
      <c r="E312" t="s">
        <v>2575</v>
      </c>
      <c r="F312">
        <v>2000</v>
      </c>
      <c r="G312" t="s">
        <v>652</v>
      </c>
      <c r="H312" t="s">
        <v>2531</v>
      </c>
      <c r="I312" t="s">
        <v>1185</v>
      </c>
      <c r="J312">
        <v>2009</v>
      </c>
      <c r="K312" t="s">
        <v>1185</v>
      </c>
      <c r="L312">
        <v>1200</v>
      </c>
      <c r="M312" t="s">
        <v>1480</v>
      </c>
      <c r="N312">
        <v>1201</v>
      </c>
      <c r="O312" t="s">
        <v>1486</v>
      </c>
      <c r="P312" t="s">
        <v>2366</v>
      </c>
      <c r="Q312" t="s">
        <v>2364</v>
      </c>
      <c r="R312" t="s">
        <v>2364</v>
      </c>
      <c r="S312" t="s">
        <v>1881</v>
      </c>
      <c r="T312" t="s">
        <v>1812</v>
      </c>
      <c r="U312" t="s">
        <v>2365</v>
      </c>
      <c r="V312" t="s">
        <v>2365</v>
      </c>
      <c r="W312" t="s">
        <v>2365</v>
      </c>
      <c r="X312" t="s">
        <v>2365</v>
      </c>
      <c r="Y312" t="s">
        <v>2365</v>
      </c>
      <c r="Z312" t="s">
        <v>2365</v>
      </c>
      <c r="AA312" t="s">
        <v>2365</v>
      </c>
      <c r="AB312" t="s">
        <v>2365</v>
      </c>
      <c r="AC312" s="813" t="s">
        <v>2365</v>
      </c>
      <c r="AD312" s="813" t="s">
        <v>2365</v>
      </c>
      <c r="AE312" s="813" t="s">
        <v>2365</v>
      </c>
      <c r="AF312" t="s">
        <v>2365</v>
      </c>
      <c r="AG312" t="s">
        <v>2365</v>
      </c>
      <c r="AH312" t="s">
        <v>2365</v>
      </c>
      <c r="AI312" t="s">
        <v>2365</v>
      </c>
      <c r="AJ312" t="s">
        <v>2365</v>
      </c>
      <c r="AK312" t="s">
        <v>2365</v>
      </c>
      <c r="AL312" t="s">
        <v>2365</v>
      </c>
      <c r="AM312" t="s">
        <v>2365</v>
      </c>
      <c r="AN312" t="s">
        <v>2365</v>
      </c>
      <c r="AR312" t="s">
        <v>2365</v>
      </c>
      <c r="AS312" t="s">
        <v>2365</v>
      </c>
      <c r="AT312" t="s">
        <v>2365</v>
      </c>
      <c r="AU312" t="s">
        <v>2365</v>
      </c>
      <c r="AV312" t="s">
        <v>2365</v>
      </c>
      <c r="AW312" t="s">
        <v>2365</v>
      </c>
      <c r="AX312" t="s">
        <v>2365</v>
      </c>
      <c r="AY312" t="s">
        <v>2365</v>
      </c>
      <c r="AZ312" t="s">
        <v>2365</v>
      </c>
      <c r="BA312" t="s">
        <v>2365</v>
      </c>
      <c r="BB312" t="s">
        <v>2365</v>
      </c>
      <c r="BC312" t="s">
        <v>2365</v>
      </c>
      <c r="BD312" t="s">
        <v>2366</v>
      </c>
      <c r="BE312" t="s">
        <v>2365</v>
      </c>
      <c r="BF312" t="s">
        <v>2365</v>
      </c>
      <c r="BG312" t="s">
        <v>2365</v>
      </c>
      <c r="BH312" t="s">
        <v>2365</v>
      </c>
      <c r="BI312" t="s">
        <v>2366</v>
      </c>
      <c r="BJ312" t="s">
        <v>2365</v>
      </c>
      <c r="BK312" t="s">
        <v>2365</v>
      </c>
      <c r="BL312" t="s">
        <v>2365</v>
      </c>
      <c r="BM312" t="s">
        <v>2365</v>
      </c>
      <c r="BN312" t="s">
        <v>2176</v>
      </c>
      <c r="BO312">
        <v>1</v>
      </c>
      <c r="BP312">
        <v>14</v>
      </c>
      <c r="BQ312" t="s">
        <v>2369</v>
      </c>
      <c r="BR312" t="s">
        <v>1486</v>
      </c>
      <c r="BU312">
        <v>71</v>
      </c>
      <c r="BV312">
        <v>0</v>
      </c>
      <c r="BW312">
        <v>71</v>
      </c>
      <c r="BX312">
        <v>0</v>
      </c>
      <c r="BY312">
        <v>71</v>
      </c>
      <c r="BZ312">
        <v>76</v>
      </c>
      <c r="CA312">
        <v>82</v>
      </c>
      <c r="CB312">
        <v>0</v>
      </c>
      <c r="CC312">
        <v>0</v>
      </c>
      <c r="CD312">
        <v>0</v>
      </c>
      <c r="CE312">
        <v>0</v>
      </c>
      <c r="CF312">
        <v>0</v>
      </c>
      <c r="CG312">
        <v>0</v>
      </c>
      <c r="CH312">
        <v>0</v>
      </c>
      <c r="CI312">
        <v>0</v>
      </c>
      <c r="CJ312">
        <v>0</v>
      </c>
      <c r="CK312">
        <v>0</v>
      </c>
      <c r="CL312">
        <v>0</v>
      </c>
      <c r="CM312">
        <v>0</v>
      </c>
      <c r="CR312" t="s">
        <v>2338</v>
      </c>
      <c r="CS312" s="1369" t="str">
        <f>INDEX([8]Sheet1!$H:$H,MATCH(CR:CR,[8]Sheet1!$AU:$AU,0))</f>
        <v>Town Planning, Building Regulations and Enforcement, and City Engineer</v>
      </c>
    </row>
    <row r="313" spans="1:97" x14ac:dyDescent="0.2">
      <c r="A313" t="s">
        <v>2834</v>
      </c>
      <c r="B313">
        <v>366</v>
      </c>
      <c r="C313" t="s">
        <v>2834</v>
      </c>
      <c r="D313">
        <v>41494</v>
      </c>
      <c r="E313" t="s">
        <v>2577</v>
      </c>
      <c r="F313">
        <v>2000</v>
      </c>
      <c r="G313" t="s">
        <v>652</v>
      </c>
      <c r="H313" t="s">
        <v>2534</v>
      </c>
      <c r="I313" t="s">
        <v>196</v>
      </c>
      <c r="J313">
        <v>2003</v>
      </c>
      <c r="K313" t="s">
        <v>196</v>
      </c>
      <c r="L313">
        <v>1200</v>
      </c>
      <c r="M313" t="s">
        <v>1480</v>
      </c>
      <c r="N313">
        <v>1201</v>
      </c>
      <c r="O313" t="s">
        <v>1486</v>
      </c>
      <c r="P313" t="s">
        <v>2366</v>
      </c>
      <c r="Q313" t="s">
        <v>2364</v>
      </c>
      <c r="R313" t="s">
        <v>2364</v>
      </c>
      <c r="S313" t="s">
        <v>1881</v>
      </c>
      <c r="T313" t="s">
        <v>1812</v>
      </c>
      <c r="U313" t="s">
        <v>2365</v>
      </c>
      <c r="V313" t="s">
        <v>2365</v>
      </c>
      <c r="W313" t="s">
        <v>2365</v>
      </c>
      <c r="X313" t="s">
        <v>2365</v>
      </c>
      <c r="Y313" t="s">
        <v>2365</v>
      </c>
      <c r="Z313" t="s">
        <v>2365</v>
      </c>
      <c r="AA313" t="s">
        <v>2365</v>
      </c>
      <c r="AB313" t="s">
        <v>2365</v>
      </c>
      <c r="AC313" s="813" t="s">
        <v>2365</v>
      </c>
      <c r="AD313" s="813" t="s">
        <v>2365</v>
      </c>
      <c r="AE313" s="813" t="s">
        <v>2365</v>
      </c>
      <c r="AF313" t="s">
        <v>2365</v>
      </c>
      <c r="AG313" t="s">
        <v>2365</v>
      </c>
      <c r="AH313" t="s">
        <v>2365</v>
      </c>
      <c r="AI313" t="s">
        <v>2365</v>
      </c>
      <c r="AJ313" t="s">
        <v>2365</v>
      </c>
      <c r="AK313" t="s">
        <v>2365</v>
      </c>
      <c r="AL313" t="s">
        <v>2365</v>
      </c>
      <c r="AM313" t="s">
        <v>2365</v>
      </c>
      <c r="AN313" t="s">
        <v>2365</v>
      </c>
      <c r="AR313" t="s">
        <v>2365</v>
      </c>
      <c r="AS313" t="s">
        <v>2365</v>
      </c>
      <c r="AT313" t="s">
        <v>2365</v>
      </c>
      <c r="AU313" t="s">
        <v>2365</v>
      </c>
      <c r="AV313" t="s">
        <v>2365</v>
      </c>
      <c r="AW313" t="s">
        <v>2365</v>
      </c>
      <c r="AX313" t="s">
        <v>2365</v>
      </c>
      <c r="AY313" t="s">
        <v>2365</v>
      </c>
      <c r="AZ313" t="s">
        <v>2365</v>
      </c>
      <c r="BA313" t="s">
        <v>2365</v>
      </c>
      <c r="BB313" t="s">
        <v>2365</v>
      </c>
      <c r="BC313" t="s">
        <v>2365</v>
      </c>
      <c r="BD313" t="s">
        <v>2366</v>
      </c>
      <c r="BE313" t="s">
        <v>2365</v>
      </c>
      <c r="BF313" t="s">
        <v>2365</v>
      </c>
      <c r="BG313" t="s">
        <v>2365</v>
      </c>
      <c r="BH313" t="s">
        <v>2365</v>
      </c>
      <c r="BI313" t="s">
        <v>2366</v>
      </c>
      <c r="BJ313" t="s">
        <v>2365</v>
      </c>
      <c r="BK313" t="s">
        <v>2365</v>
      </c>
      <c r="BL313" t="s">
        <v>2365</v>
      </c>
      <c r="BM313" t="s">
        <v>2365</v>
      </c>
      <c r="BN313" t="s">
        <v>2176</v>
      </c>
      <c r="BO313">
        <v>1</v>
      </c>
      <c r="BP313">
        <v>14</v>
      </c>
      <c r="BQ313" t="s">
        <v>2369</v>
      </c>
      <c r="BR313" t="s">
        <v>1486</v>
      </c>
      <c r="BU313">
        <v>0</v>
      </c>
      <c r="BV313">
        <v>0</v>
      </c>
      <c r="BW313">
        <v>0</v>
      </c>
      <c r="BX313">
        <v>0</v>
      </c>
      <c r="BY313">
        <v>0</v>
      </c>
      <c r="BZ313">
        <v>0</v>
      </c>
      <c r="CA313">
        <v>0</v>
      </c>
      <c r="CB313">
        <v>0</v>
      </c>
      <c r="CC313">
        <v>0</v>
      </c>
      <c r="CD313">
        <v>0</v>
      </c>
      <c r="CE313">
        <v>0</v>
      </c>
      <c r="CF313">
        <v>0</v>
      </c>
      <c r="CG313">
        <v>0</v>
      </c>
      <c r="CH313">
        <v>0</v>
      </c>
      <c r="CI313">
        <v>0</v>
      </c>
      <c r="CJ313">
        <v>0</v>
      </c>
      <c r="CK313">
        <v>0</v>
      </c>
      <c r="CL313">
        <v>0</v>
      </c>
      <c r="CM313">
        <v>0</v>
      </c>
      <c r="CR313" t="s">
        <v>2337</v>
      </c>
      <c r="CS313" s="1369" t="str">
        <f>INDEX([8]Sheet1!$H:$H,MATCH(CR:CR,[8]Sheet1!$AU:$AU,0))</f>
        <v>Corporate Wide Strategic Planning (IDPs, LEDs)</v>
      </c>
    </row>
    <row r="314" spans="1:97" x14ac:dyDescent="0.2">
      <c r="A314" t="s">
        <v>2835</v>
      </c>
      <c r="B314">
        <v>367</v>
      </c>
      <c r="C314" t="s">
        <v>2835</v>
      </c>
      <c r="D314">
        <v>41495</v>
      </c>
      <c r="E314" t="s">
        <v>2579</v>
      </c>
      <c r="F314">
        <v>2000</v>
      </c>
      <c r="G314" t="s">
        <v>652</v>
      </c>
      <c r="H314" t="s">
        <v>2472</v>
      </c>
      <c r="I314" t="s">
        <v>1375</v>
      </c>
      <c r="J314">
        <v>2002</v>
      </c>
      <c r="K314" t="s">
        <v>1375</v>
      </c>
      <c r="L314">
        <v>1200</v>
      </c>
      <c r="M314" t="s">
        <v>1480</v>
      </c>
      <c r="N314">
        <v>1201</v>
      </c>
      <c r="O314" t="s">
        <v>1486</v>
      </c>
      <c r="P314" t="s">
        <v>2366</v>
      </c>
      <c r="Q314" t="s">
        <v>2364</v>
      </c>
      <c r="R314" t="s">
        <v>2364</v>
      </c>
      <c r="S314" t="s">
        <v>1881</v>
      </c>
      <c r="T314" t="s">
        <v>1812</v>
      </c>
      <c r="U314" t="s">
        <v>2365</v>
      </c>
      <c r="V314" t="s">
        <v>2365</v>
      </c>
      <c r="W314" t="s">
        <v>2365</v>
      </c>
      <c r="X314" t="s">
        <v>2365</v>
      </c>
      <c r="Y314" t="s">
        <v>2365</v>
      </c>
      <c r="Z314" t="s">
        <v>2365</v>
      </c>
      <c r="AA314" t="s">
        <v>2365</v>
      </c>
      <c r="AB314" t="s">
        <v>2365</v>
      </c>
      <c r="AC314" s="813" t="s">
        <v>2365</v>
      </c>
      <c r="AD314" s="813" t="s">
        <v>2365</v>
      </c>
      <c r="AE314" s="813" t="s">
        <v>2365</v>
      </c>
      <c r="AF314" t="s">
        <v>2365</v>
      </c>
      <c r="AG314" t="s">
        <v>2365</v>
      </c>
      <c r="AH314" t="s">
        <v>2365</v>
      </c>
      <c r="AI314" t="s">
        <v>2365</v>
      </c>
      <c r="AJ314" t="s">
        <v>2365</v>
      </c>
      <c r="AK314" t="s">
        <v>2365</v>
      </c>
      <c r="AL314" t="s">
        <v>2365</v>
      </c>
      <c r="AM314" t="s">
        <v>2365</v>
      </c>
      <c r="AN314" t="s">
        <v>2365</v>
      </c>
      <c r="AR314" t="s">
        <v>2365</v>
      </c>
      <c r="AS314" t="s">
        <v>2365</v>
      </c>
      <c r="AT314" t="s">
        <v>2365</v>
      </c>
      <c r="AU314" t="s">
        <v>2365</v>
      </c>
      <c r="AV314" t="s">
        <v>2365</v>
      </c>
      <c r="AW314" t="s">
        <v>2365</v>
      </c>
      <c r="AX314" t="s">
        <v>2365</v>
      </c>
      <c r="AY314" t="s">
        <v>2365</v>
      </c>
      <c r="AZ314" t="s">
        <v>2365</v>
      </c>
      <c r="BA314" t="s">
        <v>2365</v>
      </c>
      <c r="BB314" t="s">
        <v>2365</v>
      </c>
      <c r="BC314" t="s">
        <v>2365</v>
      </c>
      <c r="BD314" t="s">
        <v>2366</v>
      </c>
      <c r="BE314" t="s">
        <v>2365</v>
      </c>
      <c r="BF314" t="s">
        <v>2365</v>
      </c>
      <c r="BG314" t="s">
        <v>2365</v>
      </c>
      <c r="BH314" t="s">
        <v>2365</v>
      </c>
      <c r="BI314" t="s">
        <v>2366</v>
      </c>
      <c r="BJ314" t="s">
        <v>2365</v>
      </c>
      <c r="BK314" t="s">
        <v>2365</v>
      </c>
      <c r="BL314" t="s">
        <v>2365</v>
      </c>
      <c r="BM314" t="s">
        <v>2365</v>
      </c>
      <c r="BN314" t="s">
        <v>2176</v>
      </c>
      <c r="BO314">
        <v>1</v>
      </c>
      <c r="BP314">
        <v>14</v>
      </c>
      <c r="BQ314" t="s">
        <v>2369</v>
      </c>
      <c r="BR314" t="s">
        <v>1486</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R314" t="s">
        <v>2338</v>
      </c>
      <c r="CS314" s="1369" t="str">
        <f>INDEX([8]Sheet1!$H:$H,MATCH(CR:CR,[8]Sheet1!$AU:$AU,0))</f>
        <v>Town Planning, Building Regulations and Enforcement, and City Engineer</v>
      </c>
    </row>
    <row r="315" spans="1:97" x14ac:dyDescent="0.2">
      <c r="A315" t="s">
        <v>2836</v>
      </c>
      <c r="B315">
        <v>368</v>
      </c>
      <c r="C315" t="s">
        <v>2836</v>
      </c>
      <c r="D315">
        <v>41496</v>
      </c>
      <c r="E315" t="s">
        <v>2581</v>
      </c>
      <c r="F315">
        <v>2000</v>
      </c>
      <c r="G315" t="s">
        <v>652</v>
      </c>
      <c r="H315" t="s">
        <v>2472</v>
      </c>
      <c r="I315" t="s">
        <v>1375</v>
      </c>
      <c r="J315">
        <v>2002</v>
      </c>
      <c r="K315" t="s">
        <v>1375</v>
      </c>
      <c r="L315">
        <v>1200</v>
      </c>
      <c r="M315" t="s">
        <v>1480</v>
      </c>
      <c r="N315">
        <v>1201</v>
      </c>
      <c r="O315" t="s">
        <v>1486</v>
      </c>
      <c r="P315" t="s">
        <v>2366</v>
      </c>
      <c r="Q315" t="s">
        <v>2364</v>
      </c>
      <c r="R315" t="s">
        <v>2364</v>
      </c>
      <c r="S315" t="s">
        <v>1881</v>
      </c>
      <c r="T315" t="s">
        <v>1812</v>
      </c>
      <c r="U315" t="s">
        <v>2365</v>
      </c>
      <c r="V315" t="s">
        <v>2365</v>
      </c>
      <c r="W315" t="s">
        <v>2365</v>
      </c>
      <c r="X315" t="s">
        <v>2365</v>
      </c>
      <c r="Y315" t="s">
        <v>2365</v>
      </c>
      <c r="Z315" t="s">
        <v>2365</v>
      </c>
      <c r="AA315" t="s">
        <v>2365</v>
      </c>
      <c r="AB315" t="s">
        <v>2365</v>
      </c>
      <c r="AC315" s="813" t="s">
        <v>2365</v>
      </c>
      <c r="AD315" s="813" t="s">
        <v>2365</v>
      </c>
      <c r="AE315" s="813" t="s">
        <v>2365</v>
      </c>
      <c r="AF315" t="s">
        <v>2365</v>
      </c>
      <c r="AG315" t="s">
        <v>2365</v>
      </c>
      <c r="AH315" t="s">
        <v>2365</v>
      </c>
      <c r="AI315" t="s">
        <v>2365</v>
      </c>
      <c r="AJ315" t="s">
        <v>2365</v>
      </c>
      <c r="AK315" t="s">
        <v>2365</v>
      </c>
      <c r="AL315" t="s">
        <v>2365</v>
      </c>
      <c r="AM315" t="s">
        <v>2365</v>
      </c>
      <c r="AN315" t="s">
        <v>2365</v>
      </c>
      <c r="AR315" t="s">
        <v>2365</v>
      </c>
      <c r="AS315" t="s">
        <v>2365</v>
      </c>
      <c r="AT315" t="s">
        <v>2365</v>
      </c>
      <c r="AU315" t="s">
        <v>2365</v>
      </c>
      <c r="AV315" t="s">
        <v>2365</v>
      </c>
      <c r="AW315" t="s">
        <v>2365</v>
      </c>
      <c r="AX315" t="s">
        <v>2365</v>
      </c>
      <c r="AY315" t="s">
        <v>2365</v>
      </c>
      <c r="AZ315" t="s">
        <v>2365</v>
      </c>
      <c r="BA315" t="s">
        <v>2365</v>
      </c>
      <c r="BB315" t="s">
        <v>2365</v>
      </c>
      <c r="BC315" t="s">
        <v>2365</v>
      </c>
      <c r="BD315" t="s">
        <v>2366</v>
      </c>
      <c r="BE315" t="s">
        <v>2365</v>
      </c>
      <c r="BF315" t="s">
        <v>2365</v>
      </c>
      <c r="BG315" t="s">
        <v>2365</v>
      </c>
      <c r="BH315" t="s">
        <v>2365</v>
      </c>
      <c r="BI315" t="s">
        <v>2366</v>
      </c>
      <c r="BJ315" t="s">
        <v>2365</v>
      </c>
      <c r="BK315" t="s">
        <v>2365</v>
      </c>
      <c r="BL315" t="s">
        <v>2365</v>
      </c>
      <c r="BM315" t="s">
        <v>2365</v>
      </c>
      <c r="BN315" t="s">
        <v>2176</v>
      </c>
      <c r="BO315">
        <v>1</v>
      </c>
      <c r="BP315">
        <v>14</v>
      </c>
      <c r="BQ315" t="s">
        <v>2369</v>
      </c>
      <c r="BR315" t="s">
        <v>1486</v>
      </c>
      <c r="BU315">
        <v>9303</v>
      </c>
      <c r="BV315">
        <v>0</v>
      </c>
      <c r="BW315">
        <v>9303</v>
      </c>
      <c r="BX315">
        <v>0</v>
      </c>
      <c r="BY315">
        <v>9303</v>
      </c>
      <c r="BZ315">
        <v>9954</v>
      </c>
      <c r="CA315">
        <v>10651</v>
      </c>
      <c r="CB315">
        <v>0</v>
      </c>
      <c r="CC315">
        <v>0</v>
      </c>
      <c r="CD315">
        <v>0</v>
      </c>
      <c r="CE315">
        <v>0</v>
      </c>
      <c r="CF315">
        <v>0</v>
      </c>
      <c r="CG315">
        <v>0</v>
      </c>
      <c r="CH315">
        <v>0</v>
      </c>
      <c r="CI315">
        <v>0</v>
      </c>
      <c r="CJ315">
        <v>0</v>
      </c>
      <c r="CK315">
        <v>0</v>
      </c>
      <c r="CL315">
        <v>0</v>
      </c>
      <c r="CM315">
        <v>0</v>
      </c>
      <c r="CR315" t="s">
        <v>2337</v>
      </c>
      <c r="CS315" s="1369" t="str">
        <f>INDEX([8]Sheet1!$H:$H,MATCH(CR:CR,[8]Sheet1!$AU:$AU,0))</f>
        <v>Corporate Wide Strategic Planning (IDPs, LEDs)</v>
      </c>
    </row>
    <row r="316" spans="1:97" x14ac:dyDescent="0.2">
      <c r="A316" t="s">
        <v>2837</v>
      </c>
      <c r="B316">
        <v>369</v>
      </c>
      <c r="C316" t="s">
        <v>2837</v>
      </c>
      <c r="D316">
        <v>41497</v>
      </c>
      <c r="E316" t="s">
        <v>2565</v>
      </c>
      <c r="F316">
        <v>2000</v>
      </c>
      <c r="G316" t="s">
        <v>652</v>
      </c>
      <c r="H316" t="s">
        <v>2531</v>
      </c>
      <c r="I316" t="s">
        <v>1185</v>
      </c>
      <c r="J316">
        <v>2001</v>
      </c>
      <c r="K316" t="s">
        <v>203</v>
      </c>
      <c r="L316">
        <v>1200</v>
      </c>
      <c r="M316" t="s">
        <v>1480</v>
      </c>
      <c r="N316">
        <v>1201</v>
      </c>
      <c r="O316" t="s">
        <v>1486</v>
      </c>
      <c r="P316" t="s">
        <v>2366</v>
      </c>
      <c r="Q316" t="s">
        <v>2364</v>
      </c>
      <c r="R316" t="s">
        <v>2364</v>
      </c>
      <c r="S316" t="s">
        <v>1881</v>
      </c>
      <c r="T316" t="s">
        <v>1812</v>
      </c>
      <c r="U316" t="s">
        <v>2365</v>
      </c>
      <c r="V316" t="s">
        <v>2365</v>
      </c>
      <c r="W316" t="s">
        <v>2365</v>
      </c>
      <c r="X316" t="s">
        <v>2365</v>
      </c>
      <c r="Y316" t="s">
        <v>2365</v>
      </c>
      <c r="Z316" t="s">
        <v>2365</v>
      </c>
      <c r="AA316" t="s">
        <v>2365</v>
      </c>
      <c r="AB316" t="s">
        <v>2365</v>
      </c>
      <c r="AC316" s="813" t="s">
        <v>2365</v>
      </c>
      <c r="AD316" s="813" t="s">
        <v>2365</v>
      </c>
      <c r="AE316" s="813" t="s">
        <v>2365</v>
      </c>
      <c r="AF316" t="s">
        <v>2365</v>
      </c>
      <c r="AG316" t="s">
        <v>2365</v>
      </c>
      <c r="AH316" t="s">
        <v>2365</v>
      </c>
      <c r="AI316" t="s">
        <v>2365</v>
      </c>
      <c r="AJ316" t="s">
        <v>2365</v>
      </c>
      <c r="AK316" t="s">
        <v>2365</v>
      </c>
      <c r="AL316" t="s">
        <v>2365</v>
      </c>
      <c r="AM316" t="s">
        <v>2365</v>
      </c>
      <c r="AN316" t="s">
        <v>2365</v>
      </c>
      <c r="AR316" t="s">
        <v>2365</v>
      </c>
      <c r="AS316" t="s">
        <v>2365</v>
      </c>
      <c r="AT316" t="s">
        <v>2365</v>
      </c>
      <c r="AU316" t="s">
        <v>2365</v>
      </c>
      <c r="AV316" t="s">
        <v>2365</v>
      </c>
      <c r="AW316" t="s">
        <v>2365</v>
      </c>
      <c r="AX316" t="s">
        <v>2365</v>
      </c>
      <c r="AY316" t="s">
        <v>2365</v>
      </c>
      <c r="AZ316" t="s">
        <v>2365</v>
      </c>
      <c r="BA316" t="s">
        <v>2365</v>
      </c>
      <c r="BB316" t="s">
        <v>2365</v>
      </c>
      <c r="BC316" t="s">
        <v>2365</v>
      </c>
      <c r="BD316" t="s">
        <v>2366</v>
      </c>
      <c r="BE316" t="s">
        <v>2365</v>
      </c>
      <c r="BF316" t="s">
        <v>2365</v>
      </c>
      <c r="BG316" t="s">
        <v>2365</v>
      </c>
      <c r="BH316" t="s">
        <v>2365</v>
      </c>
      <c r="BI316" t="s">
        <v>2366</v>
      </c>
      <c r="BJ316" t="s">
        <v>2365</v>
      </c>
      <c r="BK316" t="s">
        <v>2365</v>
      </c>
      <c r="BL316" t="s">
        <v>2365</v>
      </c>
      <c r="BM316" t="s">
        <v>2365</v>
      </c>
      <c r="BN316" t="s">
        <v>2176</v>
      </c>
      <c r="BO316">
        <v>1</v>
      </c>
      <c r="BP316">
        <v>14</v>
      </c>
      <c r="BQ316" t="s">
        <v>2369</v>
      </c>
      <c r="BR316" t="s">
        <v>1486</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R316" t="s">
        <v>2336</v>
      </c>
      <c r="CS316" s="1369" t="str">
        <f>INDEX([8]Sheet1!$H:$H,MATCH(CR:CR,[8]Sheet1!$AU:$AU,0))</f>
        <v>Project Management Unit</v>
      </c>
    </row>
    <row r="317" spans="1:97" x14ac:dyDescent="0.2">
      <c r="A317" t="s">
        <v>2838</v>
      </c>
      <c r="B317">
        <v>370</v>
      </c>
      <c r="C317" t="s">
        <v>2838</v>
      </c>
      <c r="D317">
        <v>41498</v>
      </c>
      <c r="E317" t="s">
        <v>2567</v>
      </c>
      <c r="F317">
        <v>2000</v>
      </c>
      <c r="G317" t="s">
        <v>652</v>
      </c>
      <c r="H317" t="s">
        <v>2550</v>
      </c>
      <c r="I317" t="s">
        <v>1159</v>
      </c>
      <c r="J317">
        <v>2010</v>
      </c>
      <c r="K317" t="s">
        <v>1159</v>
      </c>
      <c r="L317">
        <v>1200</v>
      </c>
      <c r="M317" t="s">
        <v>1480</v>
      </c>
      <c r="N317">
        <v>1201</v>
      </c>
      <c r="O317" t="s">
        <v>1486</v>
      </c>
      <c r="P317" t="s">
        <v>2366</v>
      </c>
      <c r="Q317" t="s">
        <v>2364</v>
      </c>
      <c r="R317" t="s">
        <v>2364</v>
      </c>
      <c r="S317" t="s">
        <v>1881</v>
      </c>
      <c r="T317" t="s">
        <v>1812</v>
      </c>
      <c r="U317" t="s">
        <v>2365</v>
      </c>
      <c r="V317" t="s">
        <v>2365</v>
      </c>
      <c r="W317" t="s">
        <v>2365</v>
      </c>
      <c r="X317" t="s">
        <v>2365</v>
      </c>
      <c r="Y317" t="s">
        <v>2365</v>
      </c>
      <c r="Z317" t="s">
        <v>2365</v>
      </c>
      <c r="AA317" t="s">
        <v>2365</v>
      </c>
      <c r="AB317" t="s">
        <v>2365</v>
      </c>
      <c r="AC317" s="813" t="s">
        <v>2365</v>
      </c>
      <c r="AD317" s="813" t="s">
        <v>2365</v>
      </c>
      <c r="AE317" s="813" t="s">
        <v>2365</v>
      </c>
      <c r="AF317" t="s">
        <v>2365</v>
      </c>
      <c r="AG317" t="s">
        <v>2365</v>
      </c>
      <c r="AH317" t="s">
        <v>2365</v>
      </c>
      <c r="AI317" t="s">
        <v>2365</v>
      </c>
      <c r="AJ317" t="s">
        <v>2365</v>
      </c>
      <c r="AK317" t="s">
        <v>2365</v>
      </c>
      <c r="AL317" t="s">
        <v>2365</v>
      </c>
      <c r="AM317" t="s">
        <v>2365</v>
      </c>
      <c r="AN317" t="s">
        <v>2365</v>
      </c>
      <c r="AR317" t="s">
        <v>2365</v>
      </c>
      <c r="AS317" t="s">
        <v>2365</v>
      </c>
      <c r="AT317" t="s">
        <v>2365</v>
      </c>
      <c r="AU317" t="s">
        <v>2365</v>
      </c>
      <c r="AV317" t="s">
        <v>2365</v>
      </c>
      <c r="AW317" t="s">
        <v>2365</v>
      </c>
      <c r="AX317" t="s">
        <v>2365</v>
      </c>
      <c r="AY317" t="s">
        <v>2365</v>
      </c>
      <c r="AZ317" t="s">
        <v>2365</v>
      </c>
      <c r="BA317" t="s">
        <v>2365</v>
      </c>
      <c r="BB317" t="s">
        <v>2365</v>
      </c>
      <c r="BC317" t="s">
        <v>2365</v>
      </c>
      <c r="BD317" t="s">
        <v>2366</v>
      </c>
      <c r="BE317" t="s">
        <v>2365</v>
      </c>
      <c r="BF317" t="s">
        <v>2365</v>
      </c>
      <c r="BG317" t="s">
        <v>2365</v>
      </c>
      <c r="BH317" t="s">
        <v>2365</v>
      </c>
      <c r="BI317" t="s">
        <v>2366</v>
      </c>
      <c r="BJ317" t="s">
        <v>2365</v>
      </c>
      <c r="BK317" t="s">
        <v>2365</v>
      </c>
      <c r="BL317" t="s">
        <v>2365</v>
      </c>
      <c r="BM317" t="s">
        <v>2365</v>
      </c>
      <c r="BN317" t="s">
        <v>2176</v>
      </c>
      <c r="BO317">
        <v>1</v>
      </c>
      <c r="BP317">
        <v>14</v>
      </c>
      <c r="BQ317" t="s">
        <v>2369</v>
      </c>
      <c r="BR317" t="s">
        <v>1486</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c r="CR317" t="s">
        <v>2338</v>
      </c>
      <c r="CS317" s="1369" t="str">
        <f>INDEX([8]Sheet1!$H:$H,MATCH(CR:CR,[8]Sheet1!$AU:$AU,0))</f>
        <v>Town Planning, Building Regulations and Enforcement, and City Engineer</v>
      </c>
    </row>
    <row r="318" spans="1:97" x14ac:dyDescent="0.2">
      <c r="A318" t="s">
        <v>2839</v>
      </c>
      <c r="B318">
        <v>371</v>
      </c>
      <c r="C318" t="s">
        <v>2839</v>
      </c>
      <c r="D318">
        <v>41499</v>
      </c>
      <c r="E318" t="s">
        <v>2569</v>
      </c>
      <c r="F318">
        <v>2000</v>
      </c>
      <c r="G318" t="s">
        <v>652</v>
      </c>
      <c r="H318" t="s">
        <v>2556</v>
      </c>
      <c r="I318" t="s">
        <v>1377</v>
      </c>
      <c r="J318">
        <v>2007</v>
      </c>
      <c r="K318" t="s">
        <v>1377</v>
      </c>
      <c r="L318">
        <v>1200</v>
      </c>
      <c r="M318" t="s">
        <v>1480</v>
      </c>
      <c r="N318">
        <v>1201</v>
      </c>
      <c r="O318" t="s">
        <v>1486</v>
      </c>
      <c r="P318" t="s">
        <v>2366</v>
      </c>
      <c r="Q318" t="s">
        <v>2364</v>
      </c>
      <c r="R318" t="s">
        <v>2364</v>
      </c>
      <c r="S318" t="s">
        <v>1881</v>
      </c>
      <c r="T318" t="s">
        <v>1812</v>
      </c>
      <c r="U318" t="s">
        <v>2365</v>
      </c>
      <c r="V318" t="s">
        <v>2365</v>
      </c>
      <c r="W318" t="s">
        <v>2365</v>
      </c>
      <c r="X318" t="s">
        <v>2365</v>
      </c>
      <c r="Y318" t="s">
        <v>2365</v>
      </c>
      <c r="Z318" t="s">
        <v>2365</v>
      </c>
      <c r="AA318" t="s">
        <v>2365</v>
      </c>
      <c r="AB318" t="s">
        <v>2365</v>
      </c>
      <c r="AC318" s="813" t="s">
        <v>2365</v>
      </c>
      <c r="AD318" s="813" t="s">
        <v>2365</v>
      </c>
      <c r="AE318" s="813" t="s">
        <v>2365</v>
      </c>
      <c r="AF318" t="s">
        <v>2365</v>
      </c>
      <c r="AG318" t="s">
        <v>2365</v>
      </c>
      <c r="AH318" t="s">
        <v>2365</v>
      </c>
      <c r="AI318" t="s">
        <v>2365</v>
      </c>
      <c r="AJ318" t="s">
        <v>2365</v>
      </c>
      <c r="AK318" t="s">
        <v>2365</v>
      </c>
      <c r="AL318" t="s">
        <v>2365</v>
      </c>
      <c r="AM318" t="s">
        <v>2365</v>
      </c>
      <c r="AN318" t="s">
        <v>2365</v>
      </c>
      <c r="AR318" t="s">
        <v>2365</v>
      </c>
      <c r="AS318" t="s">
        <v>2365</v>
      </c>
      <c r="AT318" t="s">
        <v>2365</v>
      </c>
      <c r="AU318" t="s">
        <v>2365</v>
      </c>
      <c r="AV318" t="s">
        <v>2365</v>
      </c>
      <c r="AW318" t="s">
        <v>2365</v>
      </c>
      <c r="AX318" t="s">
        <v>2365</v>
      </c>
      <c r="AY318" t="s">
        <v>2365</v>
      </c>
      <c r="AZ318" t="s">
        <v>2365</v>
      </c>
      <c r="BA318" t="s">
        <v>2365</v>
      </c>
      <c r="BB318" t="s">
        <v>2365</v>
      </c>
      <c r="BC318" t="s">
        <v>2365</v>
      </c>
      <c r="BD318" t="s">
        <v>2366</v>
      </c>
      <c r="BE318" t="s">
        <v>2365</v>
      </c>
      <c r="BF318" t="s">
        <v>2365</v>
      </c>
      <c r="BG318" t="s">
        <v>2365</v>
      </c>
      <c r="BH318" t="s">
        <v>2365</v>
      </c>
      <c r="BI318" t="s">
        <v>2366</v>
      </c>
      <c r="BJ318" t="s">
        <v>2365</v>
      </c>
      <c r="BK318" t="s">
        <v>2365</v>
      </c>
      <c r="BL318" t="s">
        <v>2365</v>
      </c>
      <c r="BM318" t="s">
        <v>2365</v>
      </c>
      <c r="BN318" t="s">
        <v>2176</v>
      </c>
      <c r="BO318">
        <v>1</v>
      </c>
      <c r="BP318">
        <v>14</v>
      </c>
      <c r="BQ318" t="s">
        <v>2369</v>
      </c>
      <c r="BR318" t="s">
        <v>1486</v>
      </c>
      <c r="BU318">
        <v>9000</v>
      </c>
      <c r="BV318">
        <v>0</v>
      </c>
      <c r="BW318">
        <v>9000</v>
      </c>
      <c r="BX318">
        <v>0</v>
      </c>
      <c r="BY318">
        <v>9000</v>
      </c>
      <c r="BZ318">
        <v>9630</v>
      </c>
      <c r="CA318">
        <v>10304</v>
      </c>
      <c r="CB318">
        <v>0</v>
      </c>
      <c r="CC318">
        <v>0</v>
      </c>
      <c r="CD318">
        <v>0</v>
      </c>
      <c r="CE318">
        <v>0</v>
      </c>
      <c r="CF318">
        <v>0</v>
      </c>
      <c r="CG318">
        <v>0</v>
      </c>
      <c r="CH318">
        <v>0</v>
      </c>
      <c r="CI318">
        <v>0</v>
      </c>
      <c r="CJ318">
        <v>0</v>
      </c>
      <c r="CK318">
        <v>0</v>
      </c>
      <c r="CL318">
        <v>0</v>
      </c>
      <c r="CM318">
        <v>0</v>
      </c>
      <c r="CR318" t="s">
        <v>2336</v>
      </c>
      <c r="CS318" s="1369" t="str">
        <f>INDEX([8]Sheet1!$H:$H,MATCH(CR:CR,[8]Sheet1!$AU:$AU,0))</f>
        <v>Project Management Unit</v>
      </c>
    </row>
    <row r="319" spans="1:97" x14ac:dyDescent="0.2">
      <c r="A319" t="s">
        <v>2840</v>
      </c>
      <c r="B319">
        <v>372</v>
      </c>
      <c r="C319" t="s">
        <v>2840</v>
      </c>
      <c r="D319">
        <v>41500</v>
      </c>
      <c r="E319" t="s">
        <v>2841</v>
      </c>
      <c r="F319">
        <v>2000</v>
      </c>
      <c r="G319" t="s">
        <v>652</v>
      </c>
      <c r="H319" t="s">
        <v>2553</v>
      </c>
      <c r="I319" t="s">
        <v>1378</v>
      </c>
      <c r="J319">
        <v>2008</v>
      </c>
      <c r="K319" t="s">
        <v>1378</v>
      </c>
      <c r="L319">
        <v>1200</v>
      </c>
      <c r="M319" t="s">
        <v>1480</v>
      </c>
      <c r="N319">
        <v>1201</v>
      </c>
      <c r="O319" t="s">
        <v>1486</v>
      </c>
      <c r="P319" t="s">
        <v>2366</v>
      </c>
      <c r="Q319" t="s">
        <v>2364</v>
      </c>
      <c r="R319" t="s">
        <v>2364</v>
      </c>
      <c r="S319" t="s">
        <v>1881</v>
      </c>
      <c r="T319" t="s">
        <v>1812</v>
      </c>
      <c r="U319" t="s">
        <v>2365</v>
      </c>
      <c r="V319" t="s">
        <v>2365</v>
      </c>
      <c r="W319" t="s">
        <v>2365</v>
      </c>
      <c r="X319" t="s">
        <v>2365</v>
      </c>
      <c r="Y319" t="s">
        <v>2365</v>
      </c>
      <c r="Z319" t="s">
        <v>2365</v>
      </c>
      <c r="AA319" t="s">
        <v>2365</v>
      </c>
      <c r="AB319" t="s">
        <v>2365</v>
      </c>
      <c r="AC319" s="813" t="s">
        <v>2365</v>
      </c>
      <c r="AD319" s="813" t="s">
        <v>2365</v>
      </c>
      <c r="AE319" s="813" t="s">
        <v>2365</v>
      </c>
      <c r="AF319" t="s">
        <v>2365</v>
      </c>
      <c r="AG319" t="s">
        <v>2365</v>
      </c>
      <c r="AH319" t="s">
        <v>2365</v>
      </c>
      <c r="AI319" t="s">
        <v>2365</v>
      </c>
      <c r="AJ319" t="s">
        <v>2365</v>
      </c>
      <c r="AK319" t="s">
        <v>2365</v>
      </c>
      <c r="AL319" t="s">
        <v>2365</v>
      </c>
      <c r="AM319" t="s">
        <v>2365</v>
      </c>
      <c r="AN319" t="s">
        <v>2365</v>
      </c>
      <c r="AR319" t="s">
        <v>2365</v>
      </c>
      <c r="AS319" t="s">
        <v>2365</v>
      </c>
      <c r="AT319" t="s">
        <v>2365</v>
      </c>
      <c r="AU319" t="s">
        <v>2365</v>
      </c>
      <c r="AV319" t="s">
        <v>2365</v>
      </c>
      <c r="AW319" t="s">
        <v>2365</v>
      </c>
      <c r="AX319" t="s">
        <v>2365</v>
      </c>
      <c r="AY319" t="s">
        <v>2365</v>
      </c>
      <c r="AZ319" t="s">
        <v>2365</v>
      </c>
      <c r="BA319" t="s">
        <v>2365</v>
      </c>
      <c r="BB319" t="s">
        <v>2365</v>
      </c>
      <c r="BC319" t="s">
        <v>2365</v>
      </c>
      <c r="BD319" t="s">
        <v>2366</v>
      </c>
      <c r="BE319" t="s">
        <v>2365</v>
      </c>
      <c r="BF319" t="s">
        <v>2365</v>
      </c>
      <c r="BG319" t="s">
        <v>2365</v>
      </c>
      <c r="BH319" t="s">
        <v>2365</v>
      </c>
      <c r="BI319" t="s">
        <v>2366</v>
      </c>
      <c r="BJ319" t="s">
        <v>2365</v>
      </c>
      <c r="BK319" t="s">
        <v>2365</v>
      </c>
      <c r="BL319" t="s">
        <v>2365</v>
      </c>
      <c r="BM319" t="s">
        <v>2365</v>
      </c>
      <c r="BN319" t="s">
        <v>2176</v>
      </c>
      <c r="BO319">
        <v>1</v>
      </c>
      <c r="BP319">
        <v>14</v>
      </c>
      <c r="BQ319" t="s">
        <v>2369</v>
      </c>
      <c r="BR319" t="s">
        <v>1486</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R319" t="s">
        <v>2337</v>
      </c>
      <c r="CS319" s="1369" t="str">
        <f>INDEX([8]Sheet1!$H:$H,MATCH(CR:CR,[8]Sheet1!$AU:$AU,0))</f>
        <v>Corporate Wide Strategic Planning (IDPs, LEDs)</v>
      </c>
    </row>
    <row r="320" spans="1:97" x14ac:dyDescent="0.2">
      <c r="A320" t="s">
        <v>2842</v>
      </c>
      <c r="B320">
        <v>373</v>
      </c>
      <c r="C320" t="s">
        <v>2842</v>
      </c>
      <c r="D320">
        <v>41501</v>
      </c>
      <c r="E320" t="s">
        <v>2571</v>
      </c>
      <c r="F320">
        <v>2000</v>
      </c>
      <c r="G320" t="s">
        <v>652</v>
      </c>
      <c r="H320" t="s">
        <v>2462</v>
      </c>
      <c r="I320" t="s">
        <v>203</v>
      </c>
      <c r="J320">
        <v>2001</v>
      </c>
      <c r="K320" t="s">
        <v>203</v>
      </c>
      <c r="L320">
        <v>1200</v>
      </c>
      <c r="M320" t="s">
        <v>1480</v>
      </c>
      <c r="N320">
        <v>1201</v>
      </c>
      <c r="O320" t="s">
        <v>1486</v>
      </c>
      <c r="P320" t="s">
        <v>2366</v>
      </c>
      <c r="Q320" t="s">
        <v>2364</v>
      </c>
      <c r="R320" t="s">
        <v>2364</v>
      </c>
      <c r="S320" t="s">
        <v>1881</v>
      </c>
      <c r="T320" t="s">
        <v>1812</v>
      </c>
      <c r="U320" t="s">
        <v>2365</v>
      </c>
      <c r="V320" t="s">
        <v>2365</v>
      </c>
      <c r="W320" t="s">
        <v>2365</v>
      </c>
      <c r="X320" t="s">
        <v>2365</v>
      </c>
      <c r="Y320" t="s">
        <v>2365</v>
      </c>
      <c r="Z320" t="s">
        <v>2365</v>
      </c>
      <c r="AA320" t="s">
        <v>2365</v>
      </c>
      <c r="AB320" t="s">
        <v>2365</v>
      </c>
      <c r="AC320" s="813" t="s">
        <v>2365</v>
      </c>
      <c r="AD320" s="813" t="s">
        <v>2365</v>
      </c>
      <c r="AE320" s="813" t="s">
        <v>2365</v>
      </c>
      <c r="AF320" t="s">
        <v>2365</v>
      </c>
      <c r="AG320" t="s">
        <v>2365</v>
      </c>
      <c r="AH320" t="s">
        <v>2365</v>
      </c>
      <c r="AI320" t="s">
        <v>2365</v>
      </c>
      <c r="AJ320" t="s">
        <v>2365</v>
      </c>
      <c r="AK320" t="s">
        <v>2365</v>
      </c>
      <c r="AL320" t="s">
        <v>2365</v>
      </c>
      <c r="AM320" t="s">
        <v>2365</v>
      </c>
      <c r="AN320" t="s">
        <v>2365</v>
      </c>
      <c r="AR320" t="s">
        <v>2365</v>
      </c>
      <c r="AS320" t="s">
        <v>2365</v>
      </c>
      <c r="AT320" t="s">
        <v>2365</v>
      </c>
      <c r="AU320" t="s">
        <v>2365</v>
      </c>
      <c r="AV320" t="s">
        <v>2365</v>
      </c>
      <c r="AW320" t="s">
        <v>2365</v>
      </c>
      <c r="AX320" t="s">
        <v>2365</v>
      </c>
      <c r="AY320" t="s">
        <v>2365</v>
      </c>
      <c r="AZ320" t="s">
        <v>2365</v>
      </c>
      <c r="BA320" t="s">
        <v>2365</v>
      </c>
      <c r="BB320" t="s">
        <v>2365</v>
      </c>
      <c r="BC320" t="s">
        <v>2365</v>
      </c>
      <c r="BD320" t="s">
        <v>2366</v>
      </c>
      <c r="BE320" t="s">
        <v>2365</v>
      </c>
      <c r="BF320" t="s">
        <v>2365</v>
      </c>
      <c r="BG320" t="s">
        <v>2365</v>
      </c>
      <c r="BH320" t="s">
        <v>2365</v>
      </c>
      <c r="BI320" t="s">
        <v>2366</v>
      </c>
      <c r="BJ320" t="s">
        <v>2365</v>
      </c>
      <c r="BK320" t="s">
        <v>2365</v>
      </c>
      <c r="BL320" t="s">
        <v>2365</v>
      </c>
      <c r="BM320" t="s">
        <v>2365</v>
      </c>
      <c r="BN320" t="s">
        <v>2176</v>
      </c>
      <c r="BO320">
        <v>1</v>
      </c>
      <c r="BP320">
        <v>14</v>
      </c>
      <c r="BQ320" t="s">
        <v>2369</v>
      </c>
      <c r="BR320" t="s">
        <v>1486</v>
      </c>
      <c r="BU320">
        <v>930270</v>
      </c>
      <c r="BV320">
        <v>0</v>
      </c>
      <c r="BW320">
        <v>930270</v>
      </c>
      <c r="BX320">
        <v>-650000</v>
      </c>
      <c r="BY320">
        <v>280270</v>
      </c>
      <c r="BZ320">
        <v>995388</v>
      </c>
      <c r="CA320">
        <v>1065066</v>
      </c>
      <c r="CB320">
        <v>0</v>
      </c>
      <c r="CC320">
        <v>0</v>
      </c>
      <c r="CD320">
        <v>0</v>
      </c>
      <c r="CE320">
        <v>0</v>
      </c>
      <c r="CF320">
        <v>0</v>
      </c>
      <c r="CG320">
        <v>0</v>
      </c>
      <c r="CH320">
        <v>0</v>
      </c>
      <c r="CI320">
        <v>0</v>
      </c>
      <c r="CJ320">
        <v>0</v>
      </c>
      <c r="CK320">
        <v>0</v>
      </c>
      <c r="CL320">
        <v>0</v>
      </c>
      <c r="CM320">
        <v>0</v>
      </c>
      <c r="CR320" t="s">
        <v>2338</v>
      </c>
      <c r="CS320" s="1369" t="str">
        <f>INDEX([8]Sheet1!$H:$H,MATCH(CR:CR,[8]Sheet1!$AU:$AU,0))</f>
        <v>Town Planning, Building Regulations and Enforcement, and City Engineer</v>
      </c>
    </row>
    <row r="321" spans="1:97" x14ac:dyDescent="0.2">
      <c r="A321" t="s">
        <v>2843</v>
      </c>
      <c r="B321">
        <v>374</v>
      </c>
      <c r="C321" t="s">
        <v>2843</v>
      </c>
      <c r="D321">
        <v>41502</v>
      </c>
      <c r="E321" t="s">
        <v>2573</v>
      </c>
      <c r="F321">
        <v>2000</v>
      </c>
      <c r="G321" t="s">
        <v>652</v>
      </c>
      <c r="H321" t="s">
        <v>2547</v>
      </c>
      <c r="I321" t="s">
        <v>200</v>
      </c>
      <c r="J321">
        <v>2005</v>
      </c>
      <c r="K321" t="s">
        <v>200</v>
      </c>
      <c r="L321">
        <v>1200</v>
      </c>
      <c r="M321" t="s">
        <v>1480</v>
      </c>
      <c r="N321">
        <v>1201</v>
      </c>
      <c r="O321" t="s">
        <v>1486</v>
      </c>
      <c r="P321" t="s">
        <v>2366</v>
      </c>
      <c r="Q321" t="s">
        <v>2364</v>
      </c>
      <c r="R321" t="s">
        <v>2364</v>
      </c>
      <c r="S321" t="s">
        <v>1881</v>
      </c>
      <c r="T321" t="s">
        <v>1812</v>
      </c>
      <c r="U321" t="s">
        <v>2365</v>
      </c>
      <c r="V321" t="s">
        <v>2365</v>
      </c>
      <c r="W321" t="s">
        <v>2365</v>
      </c>
      <c r="X321" t="s">
        <v>2365</v>
      </c>
      <c r="Y321" t="s">
        <v>2365</v>
      </c>
      <c r="Z321" t="s">
        <v>2365</v>
      </c>
      <c r="AA321" t="s">
        <v>2365</v>
      </c>
      <c r="AB321" t="s">
        <v>2365</v>
      </c>
      <c r="AC321" s="813" t="s">
        <v>2365</v>
      </c>
      <c r="AD321" s="813" t="s">
        <v>2365</v>
      </c>
      <c r="AE321" s="813" t="s">
        <v>2365</v>
      </c>
      <c r="AF321" t="s">
        <v>2365</v>
      </c>
      <c r="AG321" t="s">
        <v>2365</v>
      </c>
      <c r="AH321" t="s">
        <v>2365</v>
      </c>
      <c r="AI321" t="s">
        <v>2365</v>
      </c>
      <c r="AJ321" t="s">
        <v>2365</v>
      </c>
      <c r="AK321" t="s">
        <v>2365</v>
      </c>
      <c r="AL321" t="s">
        <v>2365</v>
      </c>
      <c r="AM321" t="s">
        <v>2365</v>
      </c>
      <c r="AN321" t="s">
        <v>2365</v>
      </c>
      <c r="AR321" t="s">
        <v>2365</v>
      </c>
      <c r="AS321" t="s">
        <v>2365</v>
      </c>
      <c r="AT321" t="s">
        <v>2365</v>
      </c>
      <c r="AU321" t="s">
        <v>2365</v>
      </c>
      <c r="AV321" t="s">
        <v>2365</v>
      </c>
      <c r="AW321" t="s">
        <v>2365</v>
      </c>
      <c r="AX321" t="s">
        <v>2365</v>
      </c>
      <c r="AY321" t="s">
        <v>2365</v>
      </c>
      <c r="AZ321" t="s">
        <v>2365</v>
      </c>
      <c r="BA321" t="s">
        <v>2365</v>
      </c>
      <c r="BB321" t="s">
        <v>2365</v>
      </c>
      <c r="BC321" t="s">
        <v>2365</v>
      </c>
      <c r="BD321" t="s">
        <v>2366</v>
      </c>
      <c r="BE321" t="s">
        <v>2365</v>
      </c>
      <c r="BF321" t="s">
        <v>2365</v>
      </c>
      <c r="BG321" t="s">
        <v>2365</v>
      </c>
      <c r="BH321" t="s">
        <v>2365</v>
      </c>
      <c r="BI321" t="s">
        <v>2366</v>
      </c>
      <c r="BJ321" t="s">
        <v>2365</v>
      </c>
      <c r="BK321" t="s">
        <v>2365</v>
      </c>
      <c r="BL321" t="s">
        <v>2365</v>
      </c>
      <c r="BM321" t="s">
        <v>2365</v>
      </c>
      <c r="BN321" t="s">
        <v>2176</v>
      </c>
      <c r="BO321">
        <v>1</v>
      </c>
      <c r="BP321">
        <v>14</v>
      </c>
      <c r="BQ321" t="s">
        <v>2369</v>
      </c>
      <c r="BR321" t="s">
        <v>1486</v>
      </c>
      <c r="BU321">
        <v>0</v>
      </c>
      <c r="BV321">
        <v>0</v>
      </c>
      <c r="BW321">
        <v>0</v>
      </c>
      <c r="BX321">
        <v>0</v>
      </c>
      <c r="BY321">
        <v>0</v>
      </c>
      <c r="BZ321">
        <v>0</v>
      </c>
      <c r="CA321">
        <v>0</v>
      </c>
      <c r="CB321">
        <v>0</v>
      </c>
      <c r="CC321">
        <v>0</v>
      </c>
      <c r="CD321">
        <v>0</v>
      </c>
      <c r="CE321">
        <v>0</v>
      </c>
      <c r="CF321">
        <v>0</v>
      </c>
      <c r="CG321">
        <v>0</v>
      </c>
      <c r="CH321">
        <v>0</v>
      </c>
      <c r="CI321">
        <v>0</v>
      </c>
      <c r="CJ321">
        <v>0</v>
      </c>
      <c r="CK321">
        <v>0</v>
      </c>
      <c r="CL321">
        <v>0</v>
      </c>
      <c r="CM321">
        <v>0</v>
      </c>
      <c r="CR321" t="s">
        <v>2338</v>
      </c>
      <c r="CS321" s="1369" t="str">
        <f>INDEX([8]Sheet1!$H:$H,MATCH(CR:CR,[8]Sheet1!$AU:$AU,0))</f>
        <v>Town Planning, Building Regulations and Enforcement, and City Engineer</v>
      </c>
    </row>
    <row r="322" spans="1:97" x14ac:dyDescent="0.2">
      <c r="A322" t="s">
        <v>2844</v>
      </c>
      <c r="B322">
        <v>375</v>
      </c>
      <c r="C322" t="s">
        <v>2844</v>
      </c>
      <c r="D322">
        <v>41204</v>
      </c>
      <c r="E322" t="s">
        <v>2549</v>
      </c>
      <c r="F322">
        <v>2000</v>
      </c>
      <c r="G322" t="s">
        <v>652</v>
      </c>
      <c r="H322" t="s">
        <v>2550</v>
      </c>
      <c r="I322" t="s">
        <v>1159</v>
      </c>
      <c r="J322">
        <v>2010</v>
      </c>
      <c r="K322" t="s">
        <v>1159</v>
      </c>
      <c r="L322">
        <v>1100</v>
      </c>
      <c r="M322" t="s">
        <v>616</v>
      </c>
      <c r="N322">
        <v>1110</v>
      </c>
      <c r="O322" t="s">
        <v>995</v>
      </c>
      <c r="P322" t="s">
        <v>2366</v>
      </c>
      <c r="Q322" t="s">
        <v>2364</v>
      </c>
      <c r="R322" t="s">
        <v>2364</v>
      </c>
      <c r="S322" t="s">
        <v>1881</v>
      </c>
      <c r="T322" t="s">
        <v>1812</v>
      </c>
      <c r="U322" t="s">
        <v>2365</v>
      </c>
      <c r="V322" t="s">
        <v>2365</v>
      </c>
      <c r="W322" t="s">
        <v>2365</v>
      </c>
      <c r="X322" t="s">
        <v>2365</v>
      </c>
      <c r="Y322" t="s">
        <v>2365</v>
      </c>
      <c r="Z322" t="s">
        <v>2365</v>
      </c>
      <c r="AA322" t="s">
        <v>2365</v>
      </c>
      <c r="AB322" t="s">
        <v>2365</v>
      </c>
      <c r="AC322" s="813" t="s">
        <v>2365</v>
      </c>
      <c r="AD322" s="813" t="s">
        <v>2365</v>
      </c>
      <c r="AE322" s="813" t="s">
        <v>2365</v>
      </c>
      <c r="AF322" t="s">
        <v>2365</v>
      </c>
      <c r="AG322" t="s">
        <v>2365</v>
      </c>
      <c r="AH322" t="s">
        <v>2365</v>
      </c>
      <c r="AI322" t="s">
        <v>2365</v>
      </c>
      <c r="AJ322" t="s">
        <v>2365</v>
      </c>
      <c r="AK322" s="1373" t="s">
        <v>2365</v>
      </c>
      <c r="AL322" t="s">
        <v>2365</v>
      </c>
      <c r="AM322" t="s">
        <v>2365</v>
      </c>
      <c r="AN322" t="s">
        <v>2365</v>
      </c>
      <c r="AR322" t="s">
        <v>2365</v>
      </c>
      <c r="AS322" t="s">
        <v>2365</v>
      </c>
      <c r="AT322" t="s">
        <v>2365</v>
      </c>
      <c r="AU322" t="s">
        <v>2365</v>
      </c>
      <c r="AV322" t="s">
        <v>2365</v>
      </c>
      <c r="AW322" t="s">
        <v>2365</v>
      </c>
      <c r="AX322" t="s">
        <v>2365</v>
      </c>
      <c r="AY322" t="s">
        <v>2365</v>
      </c>
      <c r="AZ322" t="s">
        <v>2365</v>
      </c>
      <c r="BA322" t="s">
        <v>2365</v>
      </c>
      <c r="BB322" t="s">
        <v>2365</v>
      </c>
      <c r="BC322" t="s">
        <v>2365</v>
      </c>
      <c r="BD322" t="s">
        <v>2366</v>
      </c>
      <c r="BE322" t="s">
        <v>2365</v>
      </c>
      <c r="BF322" t="s">
        <v>2365</v>
      </c>
      <c r="BG322" t="s">
        <v>2365</v>
      </c>
      <c r="BH322" t="s">
        <v>2365</v>
      </c>
      <c r="BI322" t="s">
        <v>2366</v>
      </c>
      <c r="BJ322" t="s">
        <v>2365</v>
      </c>
      <c r="BK322" t="s">
        <v>2365</v>
      </c>
      <c r="BL322" t="s">
        <v>2365</v>
      </c>
      <c r="BM322" t="s">
        <v>2365</v>
      </c>
      <c r="BN322" t="s">
        <v>2177</v>
      </c>
      <c r="BO322">
        <v>3</v>
      </c>
      <c r="BP322">
        <v>32</v>
      </c>
      <c r="BQ322" t="s">
        <v>2716</v>
      </c>
      <c r="BR322" t="s">
        <v>995</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c r="CR322" t="s">
        <v>2337</v>
      </c>
      <c r="CS322" s="1369" t="str">
        <f>INDEX([8]Sheet1!$H:$H,MATCH(CR:CR,[8]Sheet1!$AU:$AU,0))</f>
        <v>Corporate Wide Strategic Planning (IDPs, LEDs)</v>
      </c>
    </row>
    <row r="323" spans="1:97" x14ac:dyDescent="0.2">
      <c r="A323" t="s">
        <v>2845</v>
      </c>
      <c r="B323">
        <v>376</v>
      </c>
      <c r="C323" t="s">
        <v>2845</v>
      </c>
      <c r="D323">
        <v>41205</v>
      </c>
      <c r="E323" t="s">
        <v>2526</v>
      </c>
      <c r="F323">
        <v>2900</v>
      </c>
      <c r="G323" t="s">
        <v>569</v>
      </c>
      <c r="H323" t="s">
        <v>2366</v>
      </c>
      <c r="I323" t="s">
        <v>2366</v>
      </c>
      <c r="J323">
        <v>2904</v>
      </c>
      <c r="K323" t="s">
        <v>1432</v>
      </c>
      <c r="L323">
        <v>1100</v>
      </c>
      <c r="M323" t="s">
        <v>616</v>
      </c>
      <c r="N323">
        <v>1110</v>
      </c>
      <c r="O323" t="s">
        <v>995</v>
      </c>
      <c r="P323" t="s">
        <v>2366</v>
      </c>
      <c r="Q323" t="s">
        <v>2364</v>
      </c>
      <c r="R323" t="s">
        <v>2364</v>
      </c>
      <c r="S323" t="s">
        <v>1881</v>
      </c>
      <c r="T323" t="s">
        <v>1812</v>
      </c>
      <c r="U323" t="s">
        <v>2365</v>
      </c>
      <c r="V323" t="s">
        <v>2365</v>
      </c>
      <c r="W323" t="s">
        <v>2365</v>
      </c>
      <c r="X323" t="s">
        <v>2365</v>
      </c>
      <c r="Y323" t="s">
        <v>2365</v>
      </c>
      <c r="Z323" t="s">
        <v>2365</v>
      </c>
      <c r="AA323" t="s">
        <v>2365</v>
      </c>
      <c r="AB323" t="s">
        <v>2365</v>
      </c>
      <c r="AC323" s="813" t="s">
        <v>2365</v>
      </c>
      <c r="AD323" s="813" t="s">
        <v>2365</v>
      </c>
      <c r="AE323" s="813" t="s">
        <v>2365</v>
      </c>
      <c r="AF323" t="s">
        <v>2365</v>
      </c>
      <c r="AG323" t="s">
        <v>2365</v>
      </c>
      <c r="AH323" t="s">
        <v>2365</v>
      </c>
      <c r="AI323" t="s">
        <v>2365</v>
      </c>
      <c r="AJ323" t="s">
        <v>2365</v>
      </c>
      <c r="AK323" s="1373" t="s">
        <v>2365</v>
      </c>
      <c r="AL323" t="s">
        <v>2365</v>
      </c>
      <c r="AM323" t="s">
        <v>2365</v>
      </c>
      <c r="AN323" t="s">
        <v>2365</v>
      </c>
      <c r="AR323" t="s">
        <v>2365</v>
      </c>
      <c r="AS323" t="s">
        <v>2365</v>
      </c>
      <c r="AT323" t="s">
        <v>2365</v>
      </c>
      <c r="AU323" t="s">
        <v>2365</v>
      </c>
      <c r="AV323" t="s">
        <v>2365</v>
      </c>
      <c r="AW323" t="s">
        <v>2365</v>
      </c>
      <c r="AX323" t="s">
        <v>2365</v>
      </c>
      <c r="AY323" t="s">
        <v>2365</v>
      </c>
      <c r="AZ323" t="s">
        <v>2365</v>
      </c>
      <c r="BA323" t="s">
        <v>2365</v>
      </c>
      <c r="BB323" t="s">
        <v>2365</v>
      </c>
      <c r="BC323" t="s">
        <v>2365</v>
      </c>
      <c r="BD323" t="s">
        <v>2366</v>
      </c>
      <c r="BE323" t="s">
        <v>2365</v>
      </c>
      <c r="BF323" t="s">
        <v>2365</v>
      </c>
      <c r="BG323" t="s">
        <v>2365</v>
      </c>
      <c r="BH323" t="s">
        <v>2365</v>
      </c>
      <c r="BI323" t="s">
        <v>2366</v>
      </c>
      <c r="BJ323" t="s">
        <v>2365</v>
      </c>
      <c r="BK323" t="s">
        <v>2365</v>
      </c>
      <c r="BL323" t="s">
        <v>2365</v>
      </c>
      <c r="BM323" t="s">
        <v>2365</v>
      </c>
      <c r="BO323">
        <v>3</v>
      </c>
      <c r="BP323">
        <v>32</v>
      </c>
      <c r="BQ323" t="s">
        <v>2716</v>
      </c>
      <c r="BR323" t="s">
        <v>995</v>
      </c>
      <c r="BU323">
        <v>3000</v>
      </c>
      <c r="BV323">
        <v>0</v>
      </c>
      <c r="BW323">
        <v>3000</v>
      </c>
      <c r="BX323">
        <v>0</v>
      </c>
      <c r="BY323">
        <v>3000</v>
      </c>
      <c r="BZ323">
        <v>3120</v>
      </c>
      <c r="CA323">
        <v>3245</v>
      </c>
      <c r="CB323">
        <v>0</v>
      </c>
      <c r="CC323">
        <v>0</v>
      </c>
      <c r="CD323">
        <v>0</v>
      </c>
      <c r="CE323">
        <v>0</v>
      </c>
      <c r="CF323">
        <v>0</v>
      </c>
      <c r="CG323">
        <v>0</v>
      </c>
      <c r="CH323">
        <v>0</v>
      </c>
      <c r="CI323">
        <v>0</v>
      </c>
      <c r="CJ323">
        <v>0</v>
      </c>
      <c r="CK323">
        <v>0</v>
      </c>
      <c r="CL323">
        <v>0</v>
      </c>
      <c r="CM323">
        <v>0</v>
      </c>
      <c r="CR323" t="s">
        <v>2336</v>
      </c>
      <c r="CS323" s="1369" t="str">
        <f>INDEX([8]Sheet1!$H:$H,MATCH(CR:CR,[8]Sheet1!$AU:$AU,0))</f>
        <v>Project Management Unit</v>
      </c>
    </row>
    <row r="324" spans="1:97" x14ac:dyDescent="0.2">
      <c r="A324" t="s">
        <v>2846</v>
      </c>
      <c r="B324">
        <v>377</v>
      </c>
      <c r="C324" t="s">
        <v>2846</v>
      </c>
      <c r="D324">
        <v>41206</v>
      </c>
      <c r="E324" t="s">
        <v>2528</v>
      </c>
      <c r="F324">
        <v>2900</v>
      </c>
      <c r="G324" t="s">
        <v>569</v>
      </c>
      <c r="H324" t="s">
        <v>2366</v>
      </c>
      <c r="I324" t="s">
        <v>2366</v>
      </c>
      <c r="J324">
        <v>2904</v>
      </c>
      <c r="K324" t="s">
        <v>1432</v>
      </c>
      <c r="L324">
        <v>1100</v>
      </c>
      <c r="M324" t="s">
        <v>616</v>
      </c>
      <c r="N324">
        <v>1110</v>
      </c>
      <c r="O324" t="s">
        <v>995</v>
      </c>
      <c r="P324" t="s">
        <v>2366</v>
      </c>
      <c r="Q324" t="s">
        <v>2364</v>
      </c>
      <c r="R324" t="s">
        <v>2364</v>
      </c>
      <c r="S324" t="s">
        <v>1881</v>
      </c>
      <c r="T324" t="s">
        <v>1812</v>
      </c>
      <c r="U324" t="s">
        <v>2365</v>
      </c>
      <c r="V324" t="s">
        <v>2365</v>
      </c>
      <c r="W324" t="s">
        <v>2365</v>
      </c>
      <c r="X324" t="s">
        <v>2365</v>
      </c>
      <c r="Y324" t="s">
        <v>2365</v>
      </c>
      <c r="Z324" t="s">
        <v>2365</v>
      </c>
      <c r="AA324" t="s">
        <v>2365</v>
      </c>
      <c r="AB324" t="s">
        <v>2365</v>
      </c>
      <c r="AC324" s="813" t="s">
        <v>2365</v>
      </c>
      <c r="AD324" s="813" t="s">
        <v>2365</v>
      </c>
      <c r="AE324" s="813" t="s">
        <v>2365</v>
      </c>
      <c r="AF324" t="s">
        <v>2365</v>
      </c>
      <c r="AG324" t="s">
        <v>2365</v>
      </c>
      <c r="AH324" t="s">
        <v>2365</v>
      </c>
      <c r="AI324" t="s">
        <v>2365</v>
      </c>
      <c r="AJ324" t="s">
        <v>2365</v>
      </c>
      <c r="AK324" t="s">
        <v>2365</v>
      </c>
      <c r="AL324" t="s">
        <v>2365</v>
      </c>
      <c r="AM324" t="s">
        <v>2365</v>
      </c>
      <c r="AN324" t="s">
        <v>2365</v>
      </c>
      <c r="AR324" t="s">
        <v>2365</v>
      </c>
      <c r="AS324" t="s">
        <v>2365</v>
      </c>
      <c r="AT324" t="s">
        <v>2365</v>
      </c>
      <c r="AU324" t="s">
        <v>2365</v>
      </c>
      <c r="AV324" t="s">
        <v>2365</v>
      </c>
      <c r="AW324" t="s">
        <v>2365</v>
      </c>
      <c r="AX324" t="s">
        <v>2365</v>
      </c>
      <c r="AY324" t="s">
        <v>2365</v>
      </c>
      <c r="AZ324" t="s">
        <v>2365</v>
      </c>
      <c r="BA324" t="s">
        <v>2365</v>
      </c>
      <c r="BB324" t="s">
        <v>2365</v>
      </c>
      <c r="BC324" t="s">
        <v>2365</v>
      </c>
      <c r="BD324" t="s">
        <v>2366</v>
      </c>
      <c r="BE324" t="s">
        <v>2365</v>
      </c>
      <c r="BF324" t="s">
        <v>2365</v>
      </c>
      <c r="BG324" t="s">
        <v>2365</v>
      </c>
      <c r="BH324" t="s">
        <v>2365</v>
      </c>
      <c r="BI324" t="s">
        <v>2366</v>
      </c>
      <c r="BJ324" t="s">
        <v>2365</v>
      </c>
      <c r="BK324" t="s">
        <v>2365</v>
      </c>
      <c r="BL324" t="s">
        <v>2365</v>
      </c>
      <c r="BM324" t="s">
        <v>2365</v>
      </c>
      <c r="BO324">
        <v>3</v>
      </c>
      <c r="BP324">
        <v>32</v>
      </c>
      <c r="BQ324" t="s">
        <v>2716</v>
      </c>
      <c r="BR324" t="s">
        <v>995</v>
      </c>
      <c r="BU324">
        <v>20000</v>
      </c>
      <c r="BV324">
        <v>0</v>
      </c>
      <c r="BW324">
        <v>20000</v>
      </c>
      <c r="BX324">
        <v>0</v>
      </c>
      <c r="BY324">
        <v>20000</v>
      </c>
      <c r="BZ324">
        <v>20800</v>
      </c>
      <c r="CA324">
        <v>21632</v>
      </c>
      <c r="CB324">
        <v>0</v>
      </c>
      <c r="CC324">
        <v>875.89</v>
      </c>
      <c r="CD324">
        <v>594.88</v>
      </c>
      <c r="CE324">
        <v>594.88</v>
      </c>
      <c r="CF324">
        <v>594.88</v>
      </c>
      <c r="CG324">
        <v>446.16</v>
      </c>
      <c r="CH324">
        <v>446.16</v>
      </c>
      <c r="CI324">
        <v>0</v>
      </c>
      <c r="CJ324">
        <v>0</v>
      </c>
      <c r="CK324">
        <v>0</v>
      </c>
      <c r="CL324">
        <v>0</v>
      </c>
      <c r="CM324">
        <v>0</v>
      </c>
      <c r="CR324" t="s">
        <v>2336</v>
      </c>
      <c r="CS324" s="1369" t="str">
        <f>INDEX([8]Sheet1!$H:$H,MATCH(CR:CR,[8]Sheet1!$AU:$AU,0))</f>
        <v>Project Management Unit</v>
      </c>
    </row>
    <row r="325" spans="1:97" x14ac:dyDescent="0.2">
      <c r="A325" t="s">
        <v>2847</v>
      </c>
      <c r="B325">
        <v>378</v>
      </c>
      <c r="C325" t="s">
        <v>2847</v>
      </c>
      <c r="D325">
        <v>41207</v>
      </c>
      <c r="E325" t="s">
        <v>2530</v>
      </c>
      <c r="F325">
        <v>2000</v>
      </c>
      <c r="G325" t="s">
        <v>652</v>
      </c>
      <c r="H325" t="s">
        <v>2531</v>
      </c>
      <c r="I325" t="s">
        <v>1185</v>
      </c>
      <c r="J325">
        <v>2009</v>
      </c>
      <c r="K325" t="s">
        <v>1185</v>
      </c>
      <c r="L325">
        <v>1100</v>
      </c>
      <c r="M325" t="s">
        <v>616</v>
      </c>
      <c r="N325">
        <v>1110</v>
      </c>
      <c r="O325" t="s">
        <v>995</v>
      </c>
      <c r="P325" t="s">
        <v>2366</v>
      </c>
      <c r="Q325" t="s">
        <v>2364</v>
      </c>
      <c r="R325" t="s">
        <v>2364</v>
      </c>
      <c r="S325" t="s">
        <v>1881</v>
      </c>
      <c r="T325" t="s">
        <v>1812</v>
      </c>
      <c r="U325" t="s">
        <v>2365</v>
      </c>
      <c r="V325" t="s">
        <v>2365</v>
      </c>
      <c r="W325" t="s">
        <v>2365</v>
      </c>
      <c r="X325" t="s">
        <v>2365</v>
      </c>
      <c r="Y325" t="s">
        <v>2365</v>
      </c>
      <c r="Z325" t="s">
        <v>2365</v>
      </c>
      <c r="AA325" t="s">
        <v>2365</v>
      </c>
      <c r="AB325" t="s">
        <v>2365</v>
      </c>
      <c r="AC325" s="813" t="s">
        <v>2365</v>
      </c>
      <c r="AD325" s="813" t="s">
        <v>2365</v>
      </c>
      <c r="AE325" s="813" t="s">
        <v>2365</v>
      </c>
      <c r="AF325" t="s">
        <v>2365</v>
      </c>
      <c r="AG325" t="s">
        <v>2365</v>
      </c>
      <c r="AH325" t="s">
        <v>2365</v>
      </c>
      <c r="AI325" t="s">
        <v>2365</v>
      </c>
      <c r="AJ325" t="s">
        <v>2365</v>
      </c>
      <c r="AK325" t="s">
        <v>2365</v>
      </c>
      <c r="AL325" t="s">
        <v>2365</v>
      </c>
      <c r="AM325" t="s">
        <v>2365</v>
      </c>
      <c r="AN325" t="s">
        <v>2365</v>
      </c>
      <c r="AR325" t="s">
        <v>2365</v>
      </c>
      <c r="AS325" t="s">
        <v>2365</v>
      </c>
      <c r="AT325" t="s">
        <v>2365</v>
      </c>
      <c r="AU325" t="s">
        <v>2365</v>
      </c>
      <c r="AV325" t="s">
        <v>2365</v>
      </c>
      <c r="AW325" t="s">
        <v>2365</v>
      </c>
      <c r="AX325" t="s">
        <v>2365</v>
      </c>
      <c r="AY325" t="s">
        <v>2365</v>
      </c>
      <c r="AZ325" t="s">
        <v>2365</v>
      </c>
      <c r="BA325" t="s">
        <v>2365</v>
      </c>
      <c r="BB325" t="s">
        <v>2365</v>
      </c>
      <c r="BC325" t="s">
        <v>2365</v>
      </c>
      <c r="BD325" t="s">
        <v>2366</v>
      </c>
      <c r="BE325" t="s">
        <v>2365</v>
      </c>
      <c r="BF325" t="s">
        <v>2365</v>
      </c>
      <c r="BG325" t="s">
        <v>2365</v>
      </c>
      <c r="BH325" t="s">
        <v>2365</v>
      </c>
      <c r="BI325" t="s">
        <v>2366</v>
      </c>
      <c r="BJ325" t="s">
        <v>2365</v>
      </c>
      <c r="BK325" t="s">
        <v>2365</v>
      </c>
      <c r="BL325" t="s">
        <v>2365</v>
      </c>
      <c r="BM325" t="s">
        <v>2365</v>
      </c>
      <c r="BN325" t="s">
        <v>2177</v>
      </c>
      <c r="BO325">
        <v>3</v>
      </c>
      <c r="BP325">
        <v>32</v>
      </c>
      <c r="BQ325" t="s">
        <v>2716</v>
      </c>
      <c r="BR325" t="s">
        <v>995</v>
      </c>
      <c r="BU325">
        <v>0</v>
      </c>
      <c r="BV325">
        <v>0</v>
      </c>
      <c r="BW325">
        <v>0</v>
      </c>
      <c r="BX325">
        <v>0</v>
      </c>
      <c r="BY325">
        <v>0</v>
      </c>
      <c r="BZ325">
        <v>0</v>
      </c>
      <c r="CA325">
        <v>0</v>
      </c>
      <c r="CB325">
        <v>0</v>
      </c>
      <c r="CC325">
        <v>0</v>
      </c>
      <c r="CD325">
        <v>39.6</v>
      </c>
      <c r="CE325">
        <v>39.6</v>
      </c>
      <c r="CF325">
        <v>39.6</v>
      </c>
      <c r="CG325">
        <v>39.6</v>
      </c>
      <c r="CH325">
        <v>29.7</v>
      </c>
      <c r="CI325">
        <v>0</v>
      </c>
      <c r="CJ325">
        <v>0</v>
      </c>
      <c r="CK325">
        <v>0</v>
      </c>
      <c r="CL325">
        <v>0</v>
      </c>
      <c r="CM325">
        <v>0</v>
      </c>
      <c r="CR325" t="s">
        <v>2336</v>
      </c>
      <c r="CS325" s="1369" t="str">
        <f>INDEX([8]Sheet1!$H:$H,MATCH(CR:CR,[8]Sheet1!$AU:$AU,0))</f>
        <v>Project Management Unit</v>
      </c>
    </row>
    <row r="326" spans="1:97" x14ac:dyDescent="0.2">
      <c r="A326" t="s">
        <v>2848</v>
      </c>
      <c r="B326">
        <v>379</v>
      </c>
      <c r="C326" t="s">
        <v>2848</v>
      </c>
      <c r="D326">
        <v>41208</v>
      </c>
      <c r="E326" t="s">
        <v>2533</v>
      </c>
      <c r="F326">
        <v>2000</v>
      </c>
      <c r="G326" t="s">
        <v>652</v>
      </c>
      <c r="H326" t="s">
        <v>2534</v>
      </c>
      <c r="I326" t="s">
        <v>196</v>
      </c>
      <c r="J326">
        <v>2003</v>
      </c>
      <c r="K326" t="s">
        <v>196</v>
      </c>
      <c r="L326">
        <v>1100</v>
      </c>
      <c r="M326" t="s">
        <v>616</v>
      </c>
      <c r="N326">
        <v>1110</v>
      </c>
      <c r="O326" t="s">
        <v>995</v>
      </c>
      <c r="P326" t="s">
        <v>2366</v>
      </c>
      <c r="Q326" t="s">
        <v>2364</v>
      </c>
      <c r="R326" t="s">
        <v>2364</v>
      </c>
      <c r="S326" t="s">
        <v>1881</v>
      </c>
      <c r="T326" t="s">
        <v>1812</v>
      </c>
      <c r="U326" t="s">
        <v>2365</v>
      </c>
      <c r="V326" t="s">
        <v>2365</v>
      </c>
      <c r="W326" t="s">
        <v>2365</v>
      </c>
      <c r="X326" t="s">
        <v>2365</v>
      </c>
      <c r="Y326" t="s">
        <v>2365</v>
      </c>
      <c r="Z326" t="s">
        <v>2365</v>
      </c>
      <c r="AA326" t="s">
        <v>2365</v>
      </c>
      <c r="AB326" t="s">
        <v>2365</v>
      </c>
      <c r="AC326" s="813" t="s">
        <v>2365</v>
      </c>
      <c r="AD326" s="813" t="s">
        <v>2365</v>
      </c>
      <c r="AE326" s="813" t="s">
        <v>2365</v>
      </c>
      <c r="AF326" t="s">
        <v>2365</v>
      </c>
      <c r="AG326" t="s">
        <v>2365</v>
      </c>
      <c r="AH326" t="s">
        <v>2365</v>
      </c>
      <c r="AI326" t="s">
        <v>2365</v>
      </c>
      <c r="AJ326" t="s">
        <v>2365</v>
      </c>
      <c r="AK326" t="s">
        <v>2365</v>
      </c>
      <c r="AL326" t="s">
        <v>2365</v>
      </c>
      <c r="AM326" t="s">
        <v>2365</v>
      </c>
      <c r="AN326" t="s">
        <v>2365</v>
      </c>
      <c r="AR326" t="s">
        <v>2365</v>
      </c>
      <c r="AS326" t="s">
        <v>2365</v>
      </c>
      <c r="AT326" t="s">
        <v>2365</v>
      </c>
      <c r="AU326" t="s">
        <v>2365</v>
      </c>
      <c r="AV326" t="s">
        <v>2365</v>
      </c>
      <c r="AW326" t="s">
        <v>2365</v>
      </c>
      <c r="AX326" t="s">
        <v>2365</v>
      </c>
      <c r="AY326" t="s">
        <v>2365</v>
      </c>
      <c r="AZ326" t="s">
        <v>2365</v>
      </c>
      <c r="BA326" t="s">
        <v>2365</v>
      </c>
      <c r="BB326" t="s">
        <v>2365</v>
      </c>
      <c r="BC326" t="s">
        <v>2365</v>
      </c>
      <c r="BD326" t="s">
        <v>2366</v>
      </c>
      <c r="BE326" t="s">
        <v>2365</v>
      </c>
      <c r="BF326" t="s">
        <v>2365</v>
      </c>
      <c r="BG326" t="s">
        <v>2365</v>
      </c>
      <c r="BH326" t="s">
        <v>2365</v>
      </c>
      <c r="BI326" t="s">
        <v>2366</v>
      </c>
      <c r="BJ326" t="s">
        <v>2365</v>
      </c>
      <c r="BK326" t="s">
        <v>2365</v>
      </c>
      <c r="BL326" t="s">
        <v>2365</v>
      </c>
      <c r="BM326" t="s">
        <v>2365</v>
      </c>
      <c r="BN326" t="s">
        <v>2177</v>
      </c>
      <c r="BO326">
        <v>3</v>
      </c>
      <c r="BP326">
        <v>32</v>
      </c>
      <c r="BQ326" t="s">
        <v>2716</v>
      </c>
      <c r="BR326" t="s">
        <v>995</v>
      </c>
      <c r="BU326">
        <v>0</v>
      </c>
      <c r="BV326">
        <v>0</v>
      </c>
      <c r="BW326">
        <v>0</v>
      </c>
      <c r="BX326">
        <v>0</v>
      </c>
      <c r="BY326">
        <v>0</v>
      </c>
      <c r="BZ326">
        <v>0</v>
      </c>
      <c r="CA326">
        <v>0</v>
      </c>
      <c r="CB326">
        <v>0</v>
      </c>
      <c r="CC326">
        <v>0</v>
      </c>
      <c r="CD326">
        <v>4600.2</v>
      </c>
      <c r="CE326">
        <v>4600.2</v>
      </c>
      <c r="CF326">
        <v>4600.2</v>
      </c>
      <c r="CG326">
        <v>4600.2</v>
      </c>
      <c r="CH326">
        <v>4773.12</v>
      </c>
      <c r="CI326">
        <v>0</v>
      </c>
      <c r="CJ326">
        <v>0</v>
      </c>
      <c r="CK326">
        <v>0</v>
      </c>
      <c r="CL326">
        <v>0</v>
      </c>
      <c r="CM326">
        <v>0</v>
      </c>
      <c r="CR326" t="s">
        <v>2337</v>
      </c>
      <c r="CS326" s="1369" t="str">
        <f>INDEX([8]Sheet1!$H:$H,MATCH(CR:CR,[8]Sheet1!$AU:$AU,0))</f>
        <v>Corporate Wide Strategic Planning (IDPs, LEDs)</v>
      </c>
    </row>
    <row r="327" spans="1:97" x14ac:dyDescent="0.2">
      <c r="A327" t="s">
        <v>2849</v>
      </c>
      <c r="B327">
        <v>380</v>
      </c>
      <c r="C327" t="s">
        <v>2849</v>
      </c>
      <c r="D327">
        <v>41209</v>
      </c>
      <c r="E327" t="s">
        <v>2536</v>
      </c>
      <c r="F327">
        <v>2000</v>
      </c>
      <c r="G327" t="s">
        <v>652</v>
      </c>
      <c r="H327" t="s">
        <v>2472</v>
      </c>
      <c r="I327" t="s">
        <v>1375</v>
      </c>
      <c r="J327">
        <v>2002</v>
      </c>
      <c r="K327" t="s">
        <v>1375</v>
      </c>
      <c r="L327">
        <v>1100</v>
      </c>
      <c r="M327" t="s">
        <v>616</v>
      </c>
      <c r="N327">
        <v>1110</v>
      </c>
      <c r="O327" t="s">
        <v>995</v>
      </c>
      <c r="P327" t="s">
        <v>2366</v>
      </c>
      <c r="Q327" t="s">
        <v>2364</v>
      </c>
      <c r="R327" t="s">
        <v>2364</v>
      </c>
      <c r="S327" t="s">
        <v>1881</v>
      </c>
      <c r="T327" t="s">
        <v>1812</v>
      </c>
      <c r="U327" t="s">
        <v>2365</v>
      </c>
      <c r="V327" t="s">
        <v>2365</v>
      </c>
      <c r="W327" t="s">
        <v>2365</v>
      </c>
      <c r="X327" t="s">
        <v>2365</v>
      </c>
      <c r="Y327" t="s">
        <v>2365</v>
      </c>
      <c r="Z327" t="s">
        <v>2365</v>
      </c>
      <c r="AA327" t="s">
        <v>2365</v>
      </c>
      <c r="AB327" t="s">
        <v>2365</v>
      </c>
      <c r="AC327" s="813" t="s">
        <v>2365</v>
      </c>
      <c r="AD327" s="813" t="s">
        <v>2365</v>
      </c>
      <c r="AE327" s="813" t="s">
        <v>2365</v>
      </c>
      <c r="AF327" t="s">
        <v>2365</v>
      </c>
      <c r="AG327" t="s">
        <v>2365</v>
      </c>
      <c r="AH327" t="s">
        <v>2365</v>
      </c>
      <c r="AI327" t="s">
        <v>2365</v>
      </c>
      <c r="AJ327" t="s">
        <v>2365</v>
      </c>
      <c r="AK327" t="s">
        <v>2365</v>
      </c>
      <c r="AL327" t="s">
        <v>2365</v>
      </c>
      <c r="AM327" t="s">
        <v>2365</v>
      </c>
      <c r="AN327" t="s">
        <v>2365</v>
      </c>
      <c r="AR327" t="s">
        <v>2365</v>
      </c>
      <c r="AS327" t="s">
        <v>2365</v>
      </c>
      <c r="AT327" t="s">
        <v>2365</v>
      </c>
      <c r="AU327" t="s">
        <v>2365</v>
      </c>
      <c r="AV327" t="s">
        <v>2365</v>
      </c>
      <c r="AW327" t="s">
        <v>2365</v>
      </c>
      <c r="AX327" t="s">
        <v>2365</v>
      </c>
      <c r="AY327" t="s">
        <v>2365</v>
      </c>
      <c r="AZ327" t="s">
        <v>2365</v>
      </c>
      <c r="BA327" t="s">
        <v>2365</v>
      </c>
      <c r="BB327" t="s">
        <v>2365</v>
      </c>
      <c r="BC327" t="s">
        <v>2365</v>
      </c>
      <c r="BD327" t="s">
        <v>2366</v>
      </c>
      <c r="BE327" t="s">
        <v>2365</v>
      </c>
      <c r="BF327" t="s">
        <v>2365</v>
      </c>
      <c r="BG327" t="s">
        <v>2365</v>
      </c>
      <c r="BH327" t="s">
        <v>2365</v>
      </c>
      <c r="BI327" t="s">
        <v>2366</v>
      </c>
      <c r="BJ327" t="s">
        <v>2365</v>
      </c>
      <c r="BK327" t="s">
        <v>2365</v>
      </c>
      <c r="BL327" t="s">
        <v>2365</v>
      </c>
      <c r="BM327" t="s">
        <v>2365</v>
      </c>
      <c r="BN327" t="s">
        <v>2177</v>
      </c>
      <c r="BO327">
        <v>3</v>
      </c>
      <c r="BP327">
        <v>32</v>
      </c>
      <c r="BQ327" t="s">
        <v>2716</v>
      </c>
      <c r="BR327" t="s">
        <v>995</v>
      </c>
      <c r="BU327">
        <v>0</v>
      </c>
      <c r="BV327">
        <v>0</v>
      </c>
      <c r="BW327">
        <v>0</v>
      </c>
      <c r="BX327">
        <v>0</v>
      </c>
      <c r="BY327">
        <v>0</v>
      </c>
      <c r="BZ327">
        <v>0</v>
      </c>
      <c r="CA327">
        <v>0</v>
      </c>
      <c r="CB327">
        <v>0</v>
      </c>
      <c r="CC327">
        <v>6487.68</v>
      </c>
      <c r="CD327">
        <v>7399.72</v>
      </c>
      <c r="CE327">
        <v>7375.6200000000008</v>
      </c>
      <c r="CF327">
        <v>7502.12</v>
      </c>
      <c r="CG327">
        <v>7997.06</v>
      </c>
      <c r="CH327">
        <v>7298.97</v>
      </c>
      <c r="CI327">
        <v>0</v>
      </c>
      <c r="CJ327">
        <v>0</v>
      </c>
      <c r="CK327">
        <v>0</v>
      </c>
      <c r="CL327">
        <v>0</v>
      </c>
      <c r="CM327">
        <v>0</v>
      </c>
      <c r="CR327" t="s">
        <v>2338</v>
      </c>
      <c r="CS327" s="1369" t="str">
        <f>INDEX([8]Sheet1!$H:$H,MATCH(CR:CR,[8]Sheet1!$AU:$AU,0))</f>
        <v>Town Planning, Building Regulations and Enforcement, and City Engineer</v>
      </c>
    </row>
    <row r="328" spans="1:97" x14ac:dyDescent="0.2">
      <c r="A328" t="s">
        <v>2850</v>
      </c>
      <c r="B328">
        <v>381</v>
      </c>
      <c r="C328" t="s">
        <v>2850</v>
      </c>
      <c r="D328">
        <v>41210</v>
      </c>
      <c r="E328" t="s">
        <v>2471</v>
      </c>
      <c r="F328">
        <v>2000</v>
      </c>
      <c r="G328" t="s">
        <v>652</v>
      </c>
      <c r="H328" t="s">
        <v>2472</v>
      </c>
      <c r="I328" t="s">
        <v>1375</v>
      </c>
      <c r="J328">
        <v>2002</v>
      </c>
      <c r="K328" t="s">
        <v>1375</v>
      </c>
      <c r="L328">
        <v>1100</v>
      </c>
      <c r="M328" t="s">
        <v>616</v>
      </c>
      <c r="N328">
        <v>1110</v>
      </c>
      <c r="O328" t="s">
        <v>995</v>
      </c>
      <c r="P328" t="s">
        <v>2366</v>
      </c>
      <c r="Q328" t="s">
        <v>2364</v>
      </c>
      <c r="R328" t="s">
        <v>2364</v>
      </c>
      <c r="S328" t="s">
        <v>1881</v>
      </c>
      <c r="T328" t="s">
        <v>1812</v>
      </c>
      <c r="U328" t="s">
        <v>2365</v>
      </c>
      <c r="V328" t="s">
        <v>2365</v>
      </c>
      <c r="W328" t="s">
        <v>2365</v>
      </c>
      <c r="X328" t="s">
        <v>2365</v>
      </c>
      <c r="Y328" t="s">
        <v>2365</v>
      </c>
      <c r="Z328" t="s">
        <v>2365</v>
      </c>
      <c r="AA328" t="s">
        <v>2365</v>
      </c>
      <c r="AB328" t="s">
        <v>2365</v>
      </c>
      <c r="AC328" s="813" t="s">
        <v>2365</v>
      </c>
      <c r="AD328" s="813" t="s">
        <v>2365</v>
      </c>
      <c r="AE328" s="813" t="s">
        <v>2365</v>
      </c>
      <c r="AF328" t="s">
        <v>2365</v>
      </c>
      <c r="AG328" t="s">
        <v>2365</v>
      </c>
      <c r="AH328" t="s">
        <v>2365</v>
      </c>
      <c r="AI328" t="s">
        <v>2365</v>
      </c>
      <c r="AJ328" t="s">
        <v>2365</v>
      </c>
      <c r="AK328" t="s">
        <v>2365</v>
      </c>
      <c r="AL328" t="s">
        <v>2365</v>
      </c>
      <c r="AM328" t="s">
        <v>2365</v>
      </c>
      <c r="AN328" t="s">
        <v>2365</v>
      </c>
      <c r="AR328" t="s">
        <v>2365</v>
      </c>
      <c r="AS328" t="s">
        <v>2365</v>
      </c>
      <c r="AT328" t="s">
        <v>2365</v>
      </c>
      <c r="AU328" t="s">
        <v>2365</v>
      </c>
      <c r="AV328" t="s">
        <v>2365</v>
      </c>
      <c r="AW328" t="s">
        <v>2365</v>
      </c>
      <c r="AX328" t="s">
        <v>2365</v>
      </c>
      <c r="AY328" t="s">
        <v>2365</v>
      </c>
      <c r="AZ328" t="s">
        <v>2365</v>
      </c>
      <c r="BA328" t="s">
        <v>2365</v>
      </c>
      <c r="BB328" t="s">
        <v>2365</v>
      </c>
      <c r="BC328" t="s">
        <v>2365</v>
      </c>
      <c r="BD328" t="s">
        <v>2366</v>
      </c>
      <c r="BE328" t="s">
        <v>2365</v>
      </c>
      <c r="BF328" t="s">
        <v>2365</v>
      </c>
      <c r="BG328" t="s">
        <v>2365</v>
      </c>
      <c r="BH328" t="s">
        <v>2365</v>
      </c>
      <c r="BI328" t="s">
        <v>2366</v>
      </c>
      <c r="BJ328" t="s">
        <v>2365</v>
      </c>
      <c r="BK328" t="s">
        <v>2365</v>
      </c>
      <c r="BL328" t="s">
        <v>2365</v>
      </c>
      <c r="BM328" t="s">
        <v>2365</v>
      </c>
      <c r="BN328" t="s">
        <v>2177</v>
      </c>
      <c r="BO328">
        <v>3</v>
      </c>
      <c r="BP328">
        <v>32</v>
      </c>
      <c r="BQ328" t="s">
        <v>2716</v>
      </c>
      <c r="BR328" t="s">
        <v>995</v>
      </c>
      <c r="BU328">
        <v>0</v>
      </c>
      <c r="BV328">
        <v>0</v>
      </c>
      <c r="BW328">
        <v>0</v>
      </c>
      <c r="BX328">
        <v>0</v>
      </c>
      <c r="BY328">
        <v>0</v>
      </c>
      <c r="BZ328">
        <v>0</v>
      </c>
      <c r="CA328">
        <v>0</v>
      </c>
      <c r="CB328">
        <v>0</v>
      </c>
      <c r="CC328">
        <v>594.88</v>
      </c>
      <c r="CD328">
        <v>0</v>
      </c>
      <c r="CE328">
        <v>0</v>
      </c>
      <c r="CF328">
        <v>0</v>
      </c>
      <c r="CG328">
        <v>0</v>
      </c>
      <c r="CH328">
        <v>0</v>
      </c>
      <c r="CI328">
        <v>0</v>
      </c>
      <c r="CJ328">
        <v>0</v>
      </c>
      <c r="CK328">
        <v>0</v>
      </c>
      <c r="CL328">
        <v>0</v>
      </c>
      <c r="CM328">
        <v>0</v>
      </c>
      <c r="CR328" t="s">
        <v>2336</v>
      </c>
      <c r="CS328" s="1369" t="str">
        <f>INDEX([8]Sheet1!$H:$H,MATCH(CR:CR,[8]Sheet1!$AU:$AU,0))</f>
        <v>Project Management Unit</v>
      </c>
    </row>
    <row r="329" spans="1:97" x14ac:dyDescent="0.2">
      <c r="A329" t="s">
        <v>2851</v>
      </c>
      <c r="B329">
        <v>382</v>
      </c>
      <c r="C329" t="s">
        <v>2851</v>
      </c>
      <c r="D329">
        <v>41211</v>
      </c>
      <c r="E329" t="s">
        <v>2539</v>
      </c>
      <c r="F329">
        <v>2000</v>
      </c>
      <c r="G329" t="s">
        <v>652</v>
      </c>
      <c r="H329" t="s">
        <v>2540</v>
      </c>
      <c r="I329" t="s">
        <v>1157</v>
      </c>
      <c r="J329">
        <v>2009</v>
      </c>
      <c r="K329" t="s">
        <v>1185</v>
      </c>
      <c r="L329">
        <v>1100</v>
      </c>
      <c r="M329" t="s">
        <v>616</v>
      </c>
      <c r="N329">
        <v>1110</v>
      </c>
      <c r="O329" t="s">
        <v>995</v>
      </c>
      <c r="P329" t="s">
        <v>2366</v>
      </c>
      <c r="Q329" t="s">
        <v>2364</v>
      </c>
      <c r="R329" t="s">
        <v>2364</v>
      </c>
      <c r="S329" t="s">
        <v>1881</v>
      </c>
      <c r="T329" t="s">
        <v>1812</v>
      </c>
      <c r="U329" t="s">
        <v>2365</v>
      </c>
      <c r="V329" t="s">
        <v>2365</v>
      </c>
      <c r="W329" t="s">
        <v>2365</v>
      </c>
      <c r="X329" t="s">
        <v>2365</v>
      </c>
      <c r="Y329" t="s">
        <v>2365</v>
      </c>
      <c r="Z329" t="s">
        <v>2365</v>
      </c>
      <c r="AA329" t="s">
        <v>2365</v>
      </c>
      <c r="AB329" t="s">
        <v>2365</v>
      </c>
      <c r="AC329" s="813" t="s">
        <v>2365</v>
      </c>
      <c r="AD329" s="813" t="s">
        <v>2365</v>
      </c>
      <c r="AE329" s="813" t="s">
        <v>2365</v>
      </c>
      <c r="AF329" t="s">
        <v>2365</v>
      </c>
      <c r="AG329" t="s">
        <v>2365</v>
      </c>
      <c r="AH329" t="s">
        <v>2365</v>
      </c>
      <c r="AI329" t="s">
        <v>2365</v>
      </c>
      <c r="AJ329" t="s">
        <v>2365</v>
      </c>
      <c r="AK329" t="s">
        <v>2365</v>
      </c>
      <c r="AL329" t="s">
        <v>2365</v>
      </c>
      <c r="AM329" t="s">
        <v>2365</v>
      </c>
      <c r="AN329" t="s">
        <v>2365</v>
      </c>
      <c r="AR329" t="s">
        <v>2365</v>
      </c>
      <c r="AS329" t="s">
        <v>2365</v>
      </c>
      <c r="AT329" t="s">
        <v>2365</v>
      </c>
      <c r="AU329" t="s">
        <v>2365</v>
      </c>
      <c r="AV329" t="s">
        <v>2365</v>
      </c>
      <c r="AW329" t="s">
        <v>2365</v>
      </c>
      <c r="AX329" t="s">
        <v>2365</v>
      </c>
      <c r="AY329" t="s">
        <v>2365</v>
      </c>
      <c r="AZ329" t="s">
        <v>2365</v>
      </c>
      <c r="BA329" t="s">
        <v>2365</v>
      </c>
      <c r="BB329" t="s">
        <v>2365</v>
      </c>
      <c r="BC329" t="s">
        <v>2365</v>
      </c>
      <c r="BD329" t="s">
        <v>2366</v>
      </c>
      <c r="BE329" t="s">
        <v>2365</v>
      </c>
      <c r="BF329" t="s">
        <v>2365</v>
      </c>
      <c r="BG329" t="s">
        <v>2365</v>
      </c>
      <c r="BH329" t="s">
        <v>2365</v>
      </c>
      <c r="BI329" t="s">
        <v>2366</v>
      </c>
      <c r="BJ329" t="s">
        <v>2365</v>
      </c>
      <c r="BK329" t="s">
        <v>2365</v>
      </c>
      <c r="BL329" t="s">
        <v>2365</v>
      </c>
      <c r="BM329" t="s">
        <v>2365</v>
      </c>
      <c r="BN329" t="s">
        <v>2177</v>
      </c>
      <c r="BO329">
        <v>3</v>
      </c>
      <c r="BP329">
        <v>32</v>
      </c>
      <c r="BQ329" t="s">
        <v>2716</v>
      </c>
      <c r="BR329" t="s">
        <v>995</v>
      </c>
      <c r="BU329">
        <v>0</v>
      </c>
      <c r="BV329">
        <v>0</v>
      </c>
      <c r="BW329">
        <v>0</v>
      </c>
      <c r="BX329">
        <v>0</v>
      </c>
      <c r="BY329">
        <v>0</v>
      </c>
      <c r="BZ329">
        <v>0</v>
      </c>
      <c r="CA329">
        <v>0</v>
      </c>
      <c r="CB329">
        <v>0</v>
      </c>
      <c r="CC329">
        <v>0</v>
      </c>
      <c r="CD329">
        <v>0</v>
      </c>
      <c r="CE329">
        <v>0</v>
      </c>
      <c r="CF329">
        <v>0</v>
      </c>
      <c r="CG329">
        <v>0</v>
      </c>
      <c r="CH329">
        <v>0</v>
      </c>
      <c r="CI329">
        <v>0</v>
      </c>
      <c r="CJ329">
        <v>0</v>
      </c>
      <c r="CK329">
        <v>0</v>
      </c>
      <c r="CL329">
        <v>0</v>
      </c>
      <c r="CM329">
        <v>0</v>
      </c>
      <c r="CR329" t="s">
        <v>2337</v>
      </c>
      <c r="CS329" s="1369" t="str">
        <f>INDEX([8]Sheet1!$H:$H,MATCH(CR:CR,[8]Sheet1!$AU:$AU,0))</f>
        <v>Corporate Wide Strategic Planning (IDPs, LEDs)</v>
      </c>
    </row>
    <row r="330" spans="1:97" x14ac:dyDescent="0.2">
      <c r="A330" t="s">
        <v>2852</v>
      </c>
      <c r="B330">
        <v>383</v>
      </c>
      <c r="C330" t="s">
        <v>2852</v>
      </c>
      <c r="D330">
        <v>41212</v>
      </c>
      <c r="E330" t="s">
        <v>2542</v>
      </c>
      <c r="F330">
        <v>2000</v>
      </c>
      <c r="G330" t="s">
        <v>652</v>
      </c>
      <c r="H330" t="s">
        <v>2540</v>
      </c>
      <c r="I330" t="s">
        <v>1157</v>
      </c>
      <c r="J330">
        <v>2009</v>
      </c>
      <c r="K330" t="s">
        <v>1185</v>
      </c>
      <c r="L330">
        <v>1100</v>
      </c>
      <c r="M330" t="s">
        <v>616</v>
      </c>
      <c r="N330">
        <v>1110</v>
      </c>
      <c r="O330" t="s">
        <v>995</v>
      </c>
      <c r="P330" t="s">
        <v>2366</v>
      </c>
      <c r="Q330" t="s">
        <v>2364</v>
      </c>
      <c r="R330" t="s">
        <v>2364</v>
      </c>
      <c r="S330" t="s">
        <v>1881</v>
      </c>
      <c r="T330" t="s">
        <v>1812</v>
      </c>
      <c r="U330" t="s">
        <v>2365</v>
      </c>
      <c r="V330" t="s">
        <v>2365</v>
      </c>
      <c r="W330" t="s">
        <v>2365</v>
      </c>
      <c r="X330" t="s">
        <v>2365</v>
      </c>
      <c r="Y330" t="s">
        <v>2365</v>
      </c>
      <c r="Z330" t="s">
        <v>2365</v>
      </c>
      <c r="AA330" t="s">
        <v>2365</v>
      </c>
      <c r="AB330" t="s">
        <v>2365</v>
      </c>
      <c r="AC330" s="813" t="s">
        <v>2365</v>
      </c>
      <c r="AD330" s="813" t="s">
        <v>2365</v>
      </c>
      <c r="AE330" s="813" t="s">
        <v>2365</v>
      </c>
      <c r="AF330" t="s">
        <v>2365</v>
      </c>
      <c r="AG330" t="s">
        <v>2365</v>
      </c>
      <c r="AH330" t="s">
        <v>2365</v>
      </c>
      <c r="AI330" t="s">
        <v>2365</v>
      </c>
      <c r="AJ330" t="s">
        <v>2365</v>
      </c>
      <c r="AK330" t="s">
        <v>2365</v>
      </c>
      <c r="AL330" t="s">
        <v>2365</v>
      </c>
      <c r="AM330" t="s">
        <v>2365</v>
      </c>
      <c r="AN330" t="s">
        <v>2365</v>
      </c>
      <c r="AR330" t="s">
        <v>2365</v>
      </c>
      <c r="AS330" t="s">
        <v>2365</v>
      </c>
      <c r="AT330" t="s">
        <v>2365</v>
      </c>
      <c r="AU330" t="s">
        <v>2365</v>
      </c>
      <c r="AV330" t="s">
        <v>2365</v>
      </c>
      <c r="AW330" t="s">
        <v>2365</v>
      </c>
      <c r="AX330" t="s">
        <v>2365</v>
      </c>
      <c r="AY330" t="s">
        <v>2365</v>
      </c>
      <c r="AZ330" t="s">
        <v>2365</v>
      </c>
      <c r="BA330" t="s">
        <v>2365</v>
      </c>
      <c r="BB330" t="s">
        <v>2365</v>
      </c>
      <c r="BC330" t="s">
        <v>2365</v>
      </c>
      <c r="BD330" t="s">
        <v>2366</v>
      </c>
      <c r="BE330" t="s">
        <v>2365</v>
      </c>
      <c r="BF330" t="s">
        <v>2365</v>
      </c>
      <c r="BG330" t="s">
        <v>2365</v>
      </c>
      <c r="BH330" t="s">
        <v>2365</v>
      </c>
      <c r="BI330" t="s">
        <v>2366</v>
      </c>
      <c r="BJ330" t="s">
        <v>2365</v>
      </c>
      <c r="BK330" t="s">
        <v>2365</v>
      </c>
      <c r="BL330" t="s">
        <v>2365</v>
      </c>
      <c r="BM330" t="s">
        <v>2365</v>
      </c>
      <c r="BN330" t="s">
        <v>2177</v>
      </c>
      <c r="BO330">
        <v>3</v>
      </c>
      <c r="BP330">
        <v>32</v>
      </c>
      <c r="BQ330" t="s">
        <v>2716</v>
      </c>
      <c r="BR330" t="s">
        <v>995</v>
      </c>
      <c r="BU330">
        <v>0</v>
      </c>
      <c r="BV330">
        <v>0</v>
      </c>
      <c r="BW330">
        <v>0</v>
      </c>
      <c r="BX330">
        <v>0</v>
      </c>
      <c r="BY330">
        <v>0</v>
      </c>
      <c r="BZ330">
        <v>0</v>
      </c>
      <c r="CA330">
        <v>0</v>
      </c>
      <c r="CB330">
        <v>0</v>
      </c>
      <c r="CC330">
        <v>0</v>
      </c>
      <c r="CD330">
        <v>0</v>
      </c>
      <c r="CE330">
        <v>0</v>
      </c>
      <c r="CF330">
        <v>0</v>
      </c>
      <c r="CG330">
        <v>0</v>
      </c>
      <c r="CH330">
        <v>0</v>
      </c>
      <c r="CI330">
        <v>0</v>
      </c>
      <c r="CJ330">
        <v>0</v>
      </c>
      <c r="CK330">
        <v>0</v>
      </c>
      <c r="CL330">
        <v>0</v>
      </c>
      <c r="CM330">
        <v>0</v>
      </c>
      <c r="CR330" t="s">
        <v>2338</v>
      </c>
      <c r="CS330" s="1369" t="str">
        <f>INDEX([8]Sheet1!$H:$H,MATCH(CR:CR,[8]Sheet1!$AU:$AU,0))</f>
        <v>Town Planning, Building Regulations and Enforcement, and City Engineer</v>
      </c>
    </row>
    <row r="331" spans="1:97" x14ac:dyDescent="0.2">
      <c r="A331" t="s">
        <v>2853</v>
      </c>
      <c r="B331">
        <v>384</v>
      </c>
      <c r="C331" t="s">
        <v>2853</v>
      </c>
      <c r="D331">
        <v>41213</v>
      </c>
      <c r="E331" t="s">
        <v>2546</v>
      </c>
      <c r="F331">
        <v>2000</v>
      </c>
      <c r="G331" t="s">
        <v>652</v>
      </c>
      <c r="H331" t="s">
        <v>2547</v>
      </c>
      <c r="I331" t="s">
        <v>200</v>
      </c>
      <c r="J331">
        <v>2005</v>
      </c>
      <c r="K331" t="s">
        <v>200</v>
      </c>
      <c r="L331">
        <v>1100</v>
      </c>
      <c r="M331" t="s">
        <v>616</v>
      </c>
      <c r="N331">
        <v>1110</v>
      </c>
      <c r="O331" t="s">
        <v>995</v>
      </c>
      <c r="P331" t="s">
        <v>2366</v>
      </c>
      <c r="Q331" t="s">
        <v>2364</v>
      </c>
      <c r="R331" t="s">
        <v>2364</v>
      </c>
      <c r="S331" t="s">
        <v>1881</v>
      </c>
      <c r="T331" t="s">
        <v>1812</v>
      </c>
      <c r="U331" t="s">
        <v>2365</v>
      </c>
      <c r="V331" t="s">
        <v>2365</v>
      </c>
      <c r="W331" t="s">
        <v>2365</v>
      </c>
      <c r="X331" t="s">
        <v>2365</v>
      </c>
      <c r="Y331" t="s">
        <v>2365</v>
      </c>
      <c r="Z331" t="s">
        <v>2365</v>
      </c>
      <c r="AA331" t="s">
        <v>2365</v>
      </c>
      <c r="AB331" t="s">
        <v>2365</v>
      </c>
      <c r="AC331" s="813" t="s">
        <v>2365</v>
      </c>
      <c r="AD331" s="813" t="s">
        <v>2365</v>
      </c>
      <c r="AE331" s="813" t="s">
        <v>2365</v>
      </c>
      <c r="AF331" t="s">
        <v>2365</v>
      </c>
      <c r="AG331" t="s">
        <v>2365</v>
      </c>
      <c r="AH331" t="s">
        <v>2365</v>
      </c>
      <c r="AI331" t="s">
        <v>2365</v>
      </c>
      <c r="AJ331" t="s">
        <v>2365</v>
      </c>
      <c r="AK331" t="s">
        <v>2365</v>
      </c>
      <c r="AL331" t="s">
        <v>2365</v>
      </c>
      <c r="AM331" t="s">
        <v>2365</v>
      </c>
      <c r="AN331" t="s">
        <v>2365</v>
      </c>
      <c r="AR331" t="s">
        <v>2365</v>
      </c>
      <c r="AS331" t="s">
        <v>2365</v>
      </c>
      <c r="AT331" t="s">
        <v>2365</v>
      </c>
      <c r="AU331" t="s">
        <v>2365</v>
      </c>
      <c r="AV331" t="s">
        <v>2365</v>
      </c>
      <c r="AW331" t="s">
        <v>2365</v>
      </c>
      <c r="AX331" t="s">
        <v>2365</v>
      </c>
      <c r="AY331" t="s">
        <v>2365</v>
      </c>
      <c r="AZ331" t="s">
        <v>2365</v>
      </c>
      <c r="BA331" t="s">
        <v>2365</v>
      </c>
      <c r="BB331" t="s">
        <v>2365</v>
      </c>
      <c r="BC331" t="s">
        <v>2365</v>
      </c>
      <c r="BD331" t="s">
        <v>2366</v>
      </c>
      <c r="BE331" t="s">
        <v>2365</v>
      </c>
      <c r="BF331" t="s">
        <v>2365</v>
      </c>
      <c r="BG331" t="s">
        <v>2365</v>
      </c>
      <c r="BH331" t="s">
        <v>2365</v>
      </c>
      <c r="BI331" t="s">
        <v>2366</v>
      </c>
      <c r="BJ331" t="s">
        <v>2365</v>
      </c>
      <c r="BK331" t="s">
        <v>2365</v>
      </c>
      <c r="BL331" t="s">
        <v>2365</v>
      </c>
      <c r="BM331" t="s">
        <v>2365</v>
      </c>
      <c r="BN331" t="s">
        <v>2177</v>
      </c>
      <c r="BO331">
        <v>3</v>
      </c>
      <c r="BP331">
        <v>32</v>
      </c>
      <c r="BQ331" t="s">
        <v>2716</v>
      </c>
      <c r="BR331" t="s">
        <v>995</v>
      </c>
      <c r="BU331">
        <v>0</v>
      </c>
      <c r="BV331">
        <v>0</v>
      </c>
      <c r="BW331">
        <v>0</v>
      </c>
      <c r="BX331">
        <v>0</v>
      </c>
      <c r="BY331">
        <v>0</v>
      </c>
      <c r="BZ331">
        <v>0</v>
      </c>
      <c r="CA331">
        <v>0</v>
      </c>
      <c r="CB331">
        <v>0</v>
      </c>
      <c r="CC331">
        <v>0</v>
      </c>
      <c r="CD331">
        <v>0</v>
      </c>
      <c r="CE331">
        <v>0</v>
      </c>
      <c r="CF331">
        <v>0</v>
      </c>
      <c r="CG331">
        <v>0</v>
      </c>
      <c r="CH331">
        <v>0</v>
      </c>
      <c r="CI331">
        <v>0</v>
      </c>
      <c r="CJ331">
        <v>0</v>
      </c>
      <c r="CK331">
        <v>0</v>
      </c>
      <c r="CL331">
        <v>0</v>
      </c>
      <c r="CM331">
        <v>0</v>
      </c>
      <c r="CR331" t="s">
        <v>2337</v>
      </c>
      <c r="CS331" s="1369" t="str">
        <f>INDEX([8]Sheet1!$H:$H,MATCH(CR:CR,[8]Sheet1!$AU:$AU,0))</f>
        <v>Corporate Wide Strategic Planning (IDPs, LEDs)</v>
      </c>
    </row>
    <row r="332" spans="1:97" x14ac:dyDescent="0.2">
      <c r="A332" t="s">
        <v>2854</v>
      </c>
      <c r="B332">
        <v>385</v>
      </c>
      <c r="C332" t="s">
        <v>2854</v>
      </c>
      <c r="D332">
        <v>41214</v>
      </c>
      <c r="E332" t="s">
        <v>2552</v>
      </c>
      <c r="F332">
        <v>2000</v>
      </c>
      <c r="G332" t="s">
        <v>652</v>
      </c>
      <c r="H332" t="s">
        <v>2553</v>
      </c>
      <c r="I332" t="s">
        <v>1378</v>
      </c>
      <c r="J332">
        <v>2008</v>
      </c>
      <c r="K332" t="s">
        <v>1378</v>
      </c>
      <c r="L332">
        <v>1100</v>
      </c>
      <c r="M332" t="s">
        <v>616</v>
      </c>
      <c r="N332">
        <v>1110</v>
      </c>
      <c r="O332" t="s">
        <v>995</v>
      </c>
      <c r="P332" t="s">
        <v>2366</v>
      </c>
      <c r="Q332" t="s">
        <v>2364</v>
      </c>
      <c r="R332" t="s">
        <v>2364</v>
      </c>
      <c r="S332" t="s">
        <v>1881</v>
      </c>
      <c r="T332" t="s">
        <v>1812</v>
      </c>
      <c r="U332" t="s">
        <v>2365</v>
      </c>
      <c r="V332" t="s">
        <v>2365</v>
      </c>
      <c r="W332" t="s">
        <v>2365</v>
      </c>
      <c r="X332" t="s">
        <v>2365</v>
      </c>
      <c r="Y332" t="s">
        <v>2365</v>
      </c>
      <c r="Z332" t="s">
        <v>2365</v>
      </c>
      <c r="AA332" t="s">
        <v>2365</v>
      </c>
      <c r="AB332" t="s">
        <v>2365</v>
      </c>
      <c r="AC332" s="813" t="s">
        <v>2365</v>
      </c>
      <c r="AD332" s="813" t="s">
        <v>2365</v>
      </c>
      <c r="AE332" s="813" t="s">
        <v>2365</v>
      </c>
      <c r="AF332" t="s">
        <v>2365</v>
      </c>
      <c r="AG332" t="s">
        <v>2365</v>
      </c>
      <c r="AH332" t="s">
        <v>2365</v>
      </c>
      <c r="AI332" t="s">
        <v>2365</v>
      </c>
      <c r="AJ332" t="s">
        <v>2365</v>
      </c>
      <c r="AK332" t="s">
        <v>2365</v>
      </c>
      <c r="AL332" t="s">
        <v>2365</v>
      </c>
      <c r="AM332" t="s">
        <v>2365</v>
      </c>
      <c r="AN332" t="s">
        <v>2365</v>
      </c>
      <c r="AR332" t="s">
        <v>2365</v>
      </c>
      <c r="AS332" t="s">
        <v>2365</v>
      </c>
      <c r="AT332" t="s">
        <v>2365</v>
      </c>
      <c r="AU332" t="s">
        <v>2365</v>
      </c>
      <c r="AV332" t="s">
        <v>2365</v>
      </c>
      <c r="AW332" t="s">
        <v>2365</v>
      </c>
      <c r="AX332" t="s">
        <v>2365</v>
      </c>
      <c r="AY332" t="s">
        <v>2365</v>
      </c>
      <c r="AZ332" t="s">
        <v>2365</v>
      </c>
      <c r="BA332" t="s">
        <v>2365</v>
      </c>
      <c r="BB332" t="s">
        <v>2365</v>
      </c>
      <c r="BC332" t="s">
        <v>2365</v>
      </c>
      <c r="BD332" t="s">
        <v>2366</v>
      </c>
      <c r="BE332" t="s">
        <v>2365</v>
      </c>
      <c r="BF332" t="s">
        <v>2365</v>
      </c>
      <c r="BG332" t="s">
        <v>2365</v>
      </c>
      <c r="BH332" t="s">
        <v>2365</v>
      </c>
      <c r="BI332" t="s">
        <v>2366</v>
      </c>
      <c r="BJ332" t="s">
        <v>2365</v>
      </c>
      <c r="BK332" t="s">
        <v>2365</v>
      </c>
      <c r="BL332" t="s">
        <v>2365</v>
      </c>
      <c r="BM332" t="s">
        <v>2365</v>
      </c>
      <c r="BN332" t="s">
        <v>2177</v>
      </c>
      <c r="BO332">
        <v>3</v>
      </c>
      <c r="BP332">
        <v>32</v>
      </c>
      <c r="BQ332" t="s">
        <v>2716</v>
      </c>
      <c r="BR332" t="s">
        <v>995</v>
      </c>
      <c r="BU332">
        <v>0</v>
      </c>
      <c r="BV332">
        <v>0</v>
      </c>
      <c r="BW332">
        <v>0</v>
      </c>
      <c r="BX332">
        <v>0</v>
      </c>
      <c r="BY332">
        <v>0</v>
      </c>
      <c r="BZ332">
        <v>0</v>
      </c>
      <c r="CA332">
        <v>0</v>
      </c>
      <c r="CB332">
        <v>0</v>
      </c>
      <c r="CC332">
        <v>0</v>
      </c>
      <c r="CD332">
        <v>2410.34</v>
      </c>
      <c r="CE332">
        <v>0</v>
      </c>
      <c r="CF332">
        <v>0</v>
      </c>
      <c r="CG332">
        <v>0</v>
      </c>
      <c r="CH332">
        <v>0</v>
      </c>
      <c r="CI332">
        <v>0</v>
      </c>
      <c r="CJ332">
        <v>0</v>
      </c>
      <c r="CK332">
        <v>0</v>
      </c>
      <c r="CL332">
        <v>0</v>
      </c>
      <c r="CM332">
        <v>0</v>
      </c>
      <c r="CR332" t="s">
        <v>2336</v>
      </c>
      <c r="CS332" s="1369" t="str">
        <f>INDEX([8]Sheet1!$H:$H,MATCH(CR:CR,[8]Sheet1!$AU:$AU,0))</f>
        <v>Project Management Unit</v>
      </c>
    </row>
    <row r="333" spans="1:97" x14ac:dyDescent="0.2">
      <c r="A333" t="s">
        <v>2855</v>
      </c>
      <c r="B333">
        <v>386</v>
      </c>
      <c r="C333" t="s">
        <v>2855</v>
      </c>
      <c r="D333">
        <v>41215</v>
      </c>
      <c r="E333" t="s">
        <v>2555</v>
      </c>
      <c r="F333">
        <v>2000</v>
      </c>
      <c r="G333" t="s">
        <v>652</v>
      </c>
      <c r="H333" t="s">
        <v>2556</v>
      </c>
      <c r="I333" t="s">
        <v>1377</v>
      </c>
      <c r="J333">
        <v>2007</v>
      </c>
      <c r="K333" t="s">
        <v>1377</v>
      </c>
      <c r="L333">
        <v>1100</v>
      </c>
      <c r="M333" t="s">
        <v>616</v>
      </c>
      <c r="N333">
        <v>1110</v>
      </c>
      <c r="O333" t="s">
        <v>995</v>
      </c>
      <c r="P333" t="s">
        <v>2366</v>
      </c>
      <c r="Q333" t="s">
        <v>2364</v>
      </c>
      <c r="R333" t="s">
        <v>2364</v>
      </c>
      <c r="S333" t="s">
        <v>1881</v>
      </c>
      <c r="T333" t="s">
        <v>1812</v>
      </c>
      <c r="U333" t="s">
        <v>2365</v>
      </c>
      <c r="V333" t="s">
        <v>2365</v>
      </c>
      <c r="W333" t="s">
        <v>2365</v>
      </c>
      <c r="X333" t="s">
        <v>2365</v>
      </c>
      <c r="Y333" t="s">
        <v>2365</v>
      </c>
      <c r="Z333" t="s">
        <v>2365</v>
      </c>
      <c r="AA333" t="s">
        <v>2365</v>
      </c>
      <c r="AB333" t="s">
        <v>2365</v>
      </c>
      <c r="AC333" s="813" t="s">
        <v>2365</v>
      </c>
      <c r="AD333" s="813" t="s">
        <v>2365</v>
      </c>
      <c r="AE333" s="813" t="s">
        <v>2365</v>
      </c>
      <c r="AF333" t="s">
        <v>2365</v>
      </c>
      <c r="AG333" t="s">
        <v>2365</v>
      </c>
      <c r="AH333" t="s">
        <v>2365</v>
      </c>
      <c r="AI333" t="s">
        <v>2365</v>
      </c>
      <c r="AJ333" t="s">
        <v>2365</v>
      </c>
      <c r="AK333" t="s">
        <v>2365</v>
      </c>
      <c r="AL333" t="s">
        <v>2365</v>
      </c>
      <c r="AM333" t="s">
        <v>2365</v>
      </c>
      <c r="AN333" t="s">
        <v>2365</v>
      </c>
      <c r="AR333" t="s">
        <v>2365</v>
      </c>
      <c r="AS333" t="s">
        <v>2365</v>
      </c>
      <c r="AT333" t="s">
        <v>2365</v>
      </c>
      <c r="AU333" t="s">
        <v>2365</v>
      </c>
      <c r="AV333" t="s">
        <v>2365</v>
      </c>
      <c r="AW333" t="s">
        <v>2365</v>
      </c>
      <c r="AX333" t="s">
        <v>2365</v>
      </c>
      <c r="AY333" t="s">
        <v>2365</v>
      </c>
      <c r="AZ333" t="s">
        <v>2365</v>
      </c>
      <c r="BA333" t="s">
        <v>2365</v>
      </c>
      <c r="BB333" t="s">
        <v>2365</v>
      </c>
      <c r="BC333" t="s">
        <v>2365</v>
      </c>
      <c r="BD333" t="s">
        <v>2366</v>
      </c>
      <c r="BE333" t="s">
        <v>2365</v>
      </c>
      <c r="BF333" t="s">
        <v>2365</v>
      </c>
      <c r="BG333" t="s">
        <v>2365</v>
      </c>
      <c r="BH333" t="s">
        <v>2365</v>
      </c>
      <c r="BI333" t="s">
        <v>2366</v>
      </c>
      <c r="BJ333" t="s">
        <v>2365</v>
      </c>
      <c r="BK333" t="s">
        <v>2365</v>
      </c>
      <c r="BL333" t="s">
        <v>2365</v>
      </c>
      <c r="BM333" t="s">
        <v>2365</v>
      </c>
      <c r="BN333" t="s">
        <v>2177</v>
      </c>
      <c r="BO333">
        <v>3</v>
      </c>
      <c r="BP333">
        <v>32</v>
      </c>
      <c r="BQ333" t="s">
        <v>2716</v>
      </c>
      <c r="BR333" t="s">
        <v>995</v>
      </c>
      <c r="BU333">
        <v>0</v>
      </c>
      <c r="BV333">
        <v>0</v>
      </c>
      <c r="BW333">
        <v>0</v>
      </c>
      <c r="BX333">
        <v>444000</v>
      </c>
      <c r="BY333">
        <v>444000</v>
      </c>
      <c r="BZ333">
        <v>444000</v>
      </c>
      <c r="CA333">
        <v>444000</v>
      </c>
      <c r="CB333">
        <v>37000</v>
      </c>
      <c r="CC333">
        <v>0</v>
      </c>
      <c r="CD333">
        <v>0</v>
      </c>
      <c r="CE333">
        <v>0</v>
      </c>
      <c r="CF333">
        <v>0</v>
      </c>
      <c r="CG333">
        <v>0</v>
      </c>
      <c r="CH333">
        <v>0</v>
      </c>
      <c r="CI333">
        <v>0</v>
      </c>
      <c r="CJ333">
        <v>0</v>
      </c>
      <c r="CK333">
        <v>0</v>
      </c>
      <c r="CL333">
        <v>0</v>
      </c>
      <c r="CM333">
        <v>0</v>
      </c>
      <c r="CR333" t="s">
        <v>2338</v>
      </c>
      <c r="CS333" s="1369" t="str">
        <f>INDEX([8]Sheet1!$H:$H,MATCH(CR:CR,[8]Sheet1!$AU:$AU,0))</f>
        <v>Town Planning, Building Regulations and Enforcement, and City Engineer</v>
      </c>
    </row>
    <row r="334" spans="1:97" x14ac:dyDescent="0.2">
      <c r="A334" t="s">
        <v>2856</v>
      </c>
      <c r="B334">
        <v>387</v>
      </c>
      <c r="C334" t="s">
        <v>2856</v>
      </c>
      <c r="D334">
        <v>41388</v>
      </c>
      <c r="E334" t="s">
        <v>2461</v>
      </c>
      <c r="F334">
        <v>2000</v>
      </c>
      <c r="G334" t="s">
        <v>652</v>
      </c>
      <c r="H334" t="s">
        <v>2462</v>
      </c>
      <c r="I334" t="s">
        <v>203</v>
      </c>
      <c r="J334">
        <v>2001</v>
      </c>
      <c r="K334" t="s">
        <v>203</v>
      </c>
      <c r="L334">
        <v>1100</v>
      </c>
      <c r="M334" t="s">
        <v>616</v>
      </c>
      <c r="N334">
        <v>1110</v>
      </c>
      <c r="O334" t="s">
        <v>995</v>
      </c>
      <c r="P334" t="s">
        <v>2366</v>
      </c>
      <c r="Q334" t="s">
        <v>2364</v>
      </c>
      <c r="R334" t="s">
        <v>2364</v>
      </c>
      <c r="S334" t="s">
        <v>1881</v>
      </c>
      <c r="T334" t="s">
        <v>1812</v>
      </c>
      <c r="U334" t="s">
        <v>2365</v>
      </c>
      <c r="V334" t="s">
        <v>2365</v>
      </c>
      <c r="W334" t="s">
        <v>2365</v>
      </c>
      <c r="X334" t="s">
        <v>2365</v>
      </c>
      <c r="Y334" t="s">
        <v>2365</v>
      </c>
      <c r="Z334" t="s">
        <v>2365</v>
      </c>
      <c r="AA334" t="s">
        <v>2365</v>
      </c>
      <c r="AB334" t="s">
        <v>2365</v>
      </c>
      <c r="AC334" s="813" t="s">
        <v>2365</v>
      </c>
      <c r="AD334" s="813" t="s">
        <v>2365</v>
      </c>
      <c r="AE334" s="813" t="s">
        <v>2365</v>
      </c>
      <c r="AF334" t="s">
        <v>2365</v>
      </c>
      <c r="AG334" t="s">
        <v>2365</v>
      </c>
      <c r="AH334" t="s">
        <v>2365</v>
      </c>
      <c r="AI334" t="s">
        <v>2365</v>
      </c>
      <c r="AJ334" t="s">
        <v>2365</v>
      </c>
      <c r="AK334" t="s">
        <v>2365</v>
      </c>
      <c r="AL334" t="s">
        <v>2365</v>
      </c>
      <c r="AM334" t="s">
        <v>2365</v>
      </c>
      <c r="AN334" t="s">
        <v>2365</v>
      </c>
      <c r="AR334" t="s">
        <v>2365</v>
      </c>
      <c r="AS334" t="s">
        <v>2365</v>
      </c>
      <c r="AT334" t="s">
        <v>2365</v>
      </c>
      <c r="AU334" t="s">
        <v>2365</v>
      </c>
      <c r="AV334" t="s">
        <v>2365</v>
      </c>
      <c r="AW334" t="s">
        <v>2365</v>
      </c>
      <c r="AX334" t="s">
        <v>2365</v>
      </c>
      <c r="AY334" t="s">
        <v>2365</v>
      </c>
      <c r="AZ334" t="s">
        <v>2365</v>
      </c>
      <c r="BA334" t="s">
        <v>2365</v>
      </c>
      <c r="BB334" t="s">
        <v>2365</v>
      </c>
      <c r="BC334" t="s">
        <v>2365</v>
      </c>
      <c r="BD334" t="s">
        <v>2366</v>
      </c>
      <c r="BE334" t="s">
        <v>2365</v>
      </c>
      <c r="BF334" t="s">
        <v>2365</v>
      </c>
      <c r="BG334" t="s">
        <v>2365</v>
      </c>
      <c r="BH334" t="s">
        <v>2365</v>
      </c>
      <c r="BI334" t="s">
        <v>2366</v>
      </c>
      <c r="BJ334" t="s">
        <v>2365</v>
      </c>
      <c r="BK334" t="s">
        <v>2365</v>
      </c>
      <c r="BL334" t="s">
        <v>2365</v>
      </c>
      <c r="BM334" t="s">
        <v>2365</v>
      </c>
      <c r="BN334" t="s">
        <v>2177</v>
      </c>
      <c r="BO334">
        <v>3</v>
      </c>
      <c r="BP334">
        <v>32</v>
      </c>
      <c r="BQ334" t="s">
        <v>2716</v>
      </c>
      <c r="BR334" t="s">
        <v>995</v>
      </c>
      <c r="BU334">
        <v>0</v>
      </c>
      <c r="BV334">
        <v>0</v>
      </c>
      <c r="BW334">
        <v>0</v>
      </c>
      <c r="BX334">
        <v>2698324</v>
      </c>
      <c r="BY334">
        <v>2698324</v>
      </c>
      <c r="BZ334">
        <v>2833260</v>
      </c>
      <c r="CA334">
        <v>2855445</v>
      </c>
      <c r="CB334">
        <v>81025.060000000012</v>
      </c>
      <c r="CC334">
        <v>85016.5</v>
      </c>
      <c r="CD334">
        <v>86221.67</v>
      </c>
      <c r="CE334">
        <v>86221.67</v>
      </c>
      <c r="CF334">
        <v>90469.57</v>
      </c>
      <c r="CG334">
        <v>69981.81</v>
      </c>
      <c r="CH334">
        <v>69981.77</v>
      </c>
      <c r="CI334">
        <v>0</v>
      </c>
      <c r="CJ334">
        <v>0</v>
      </c>
      <c r="CK334">
        <v>0</v>
      </c>
      <c r="CL334">
        <v>0</v>
      </c>
      <c r="CM334">
        <v>0</v>
      </c>
      <c r="CR334" t="s">
        <v>2336</v>
      </c>
      <c r="CS334" s="1369" t="str">
        <f>INDEX([8]Sheet1!$H:$H,MATCH(CR:CR,[8]Sheet1!$AU:$AU,0))</f>
        <v>Project Management Unit</v>
      </c>
    </row>
    <row r="335" spans="1:97" x14ac:dyDescent="0.2">
      <c r="A335" t="s">
        <v>2857</v>
      </c>
      <c r="B335">
        <v>388</v>
      </c>
      <c r="C335" t="s">
        <v>2857</v>
      </c>
      <c r="D335">
        <v>41389</v>
      </c>
      <c r="E335" t="s">
        <v>2858</v>
      </c>
      <c r="F335">
        <v>2100</v>
      </c>
      <c r="G335" t="s">
        <v>565</v>
      </c>
      <c r="H335">
        <v>210001</v>
      </c>
      <c r="I335" t="s">
        <v>203</v>
      </c>
      <c r="J335" t="s">
        <v>2365</v>
      </c>
      <c r="K335" t="s">
        <v>2365</v>
      </c>
      <c r="L335">
        <v>1100</v>
      </c>
      <c r="M335" t="s">
        <v>616</v>
      </c>
      <c r="N335">
        <v>1110</v>
      </c>
      <c r="O335" t="s">
        <v>995</v>
      </c>
      <c r="P335" t="s">
        <v>2366</v>
      </c>
      <c r="Q335" t="s">
        <v>2364</v>
      </c>
      <c r="R335" t="s">
        <v>2364</v>
      </c>
      <c r="S335" t="s">
        <v>1881</v>
      </c>
      <c r="T335" t="s">
        <v>1812</v>
      </c>
      <c r="U335" t="s">
        <v>2365</v>
      </c>
      <c r="V335" t="s">
        <v>2365</v>
      </c>
      <c r="W335" t="s">
        <v>2365</v>
      </c>
      <c r="X335" t="s">
        <v>2365</v>
      </c>
      <c r="Y335" t="s">
        <v>2365</v>
      </c>
      <c r="Z335" t="s">
        <v>2365</v>
      </c>
      <c r="AA335" t="s">
        <v>2365</v>
      </c>
      <c r="AB335" t="s">
        <v>2365</v>
      </c>
      <c r="AC335" s="813" t="s">
        <v>2365</v>
      </c>
      <c r="AD335" s="813" t="s">
        <v>2365</v>
      </c>
      <c r="AE335" s="813" t="s">
        <v>2365</v>
      </c>
      <c r="AF335" t="s">
        <v>2365</v>
      </c>
      <c r="AG335" t="s">
        <v>2365</v>
      </c>
      <c r="AH335" t="s">
        <v>2365</v>
      </c>
      <c r="AI335" t="s">
        <v>2365</v>
      </c>
      <c r="AJ335" t="s">
        <v>2365</v>
      </c>
      <c r="AK335" t="s">
        <v>2365</v>
      </c>
      <c r="AL335" t="s">
        <v>2365</v>
      </c>
      <c r="AM335" t="s">
        <v>2365</v>
      </c>
      <c r="AN335" t="s">
        <v>2365</v>
      </c>
      <c r="AR335" t="s">
        <v>2365</v>
      </c>
      <c r="AS335" t="s">
        <v>2365</v>
      </c>
      <c r="AT335" t="s">
        <v>2365</v>
      </c>
      <c r="AU335" t="s">
        <v>2365</v>
      </c>
      <c r="AV335" t="s">
        <v>2365</v>
      </c>
      <c r="AW335" t="s">
        <v>2365</v>
      </c>
      <c r="AX335" t="s">
        <v>2365</v>
      </c>
      <c r="AY335" t="s">
        <v>2365</v>
      </c>
      <c r="AZ335" t="s">
        <v>2365</v>
      </c>
      <c r="BA335" t="s">
        <v>2365</v>
      </c>
      <c r="BB335" t="s">
        <v>2365</v>
      </c>
      <c r="BC335" t="s">
        <v>2365</v>
      </c>
      <c r="BD335" t="s">
        <v>2366</v>
      </c>
      <c r="BE335" t="s">
        <v>2365</v>
      </c>
      <c r="BF335" t="s">
        <v>2365</v>
      </c>
      <c r="BG335" t="s">
        <v>2365</v>
      </c>
      <c r="BH335" t="s">
        <v>2365</v>
      </c>
      <c r="BI335" t="s">
        <v>2366</v>
      </c>
      <c r="BJ335" t="s">
        <v>2365</v>
      </c>
      <c r="BK335" t="s">
        <v>2365</v>
      </c>
      <c r="BL335" t="s">
        <v>2365</v>
      </c>
      <c r="BM335" t="s">
        <v>2365</v>
      </c>
      <c r="BO335">
        <v>3</v>
      </c>
      <c r="BP335">
        <v>32</v>
      </c>
      <c r="BQ335" t="s">
        <v>2716</v>
      </c>
      <c r="BR335" t="s">
        <v>995</v>
      </c>
      <c r="BU335">
        <v>912993</v>
      </c>
      <c r="BV335">
        <v>0</v>
      </c>
      <c r="BW335">
        <v>912993</v>
      </c>
      <c r="BX335">
        <v>0</v>
      </c>
      <c r="BY335">
        <v>912993</v>
      </c>
      <c r="BZ335">
        <v>958223</v>
      </c>
      <c r="CA335">
        <v>964567</v>
      </c>
      <c r="CB335">
        <v>71738.25</v>
      </c>
      <c r="CC335">
        <v>71738.25</v>
      </c>
      <c r="CD335">
        <v>71738.25</v>
      </c>
      <c r="CE335">
        <v>71738.25</v>
      </c>
      <c r="CF335">
        <v>71738.25</v>
      </c>
      <c r="CG335">
        <v>71738.25</v>
      </c>
      <c r="CH335">
        <v>71738.25</v>
      </c>
      <c r="CI335">
        <v>0</v>
      </c>
      <c r="CJ335">
        <v>0</v>
      </c>
      <c r="CK335">
        <v>0</v>
      </c>
      <c r="CL335">
        <v>0</v>
      </c>
      <c r="CM335">
        <v>0</v>
      </c>
      <c r="CR335" t="s">
        <v>2338</v>
      </c>
      <c r="CS335" s="1369" t="str">
        <f>INDEX([8]Sheet1!$H:$H,MATCH(CR:CR,[8]Sheet1!$AU:$AU,0))</f>
        <v>Town Planning, Building Regulations and Enforcement, and City Engineer</v>
      </c>
    </row>
    <row r="336" spans="1:97" x14ac:dyDescent="0.2">
      <c r="A336" t="s">
        <v>2859</v>
      </c>
      <c r="B336">
        <v>389</v>
      </c>
      <c r="C336" t="s">
        <v>2859</v>
      </c>
      <c r="D336">
        <v>41390</v>
      </c>
      <c r="E336" t="s">
        <v>2860</v>
      </c>
      <c r="F336">
        <v>2100</v>
      </c>
      <c r="G336" t="s">
        <v>565</v>
      </c>
      <c r="H336">
        <v>210005</v>
      </c>
      <c r="I336" t="s">
        <v>1377</v>
      </c>
      <c r="J336" t="s">
        <v>2365</v>
      </c>
      <c r="K336" t="s">
        <v>2365</v>
      </c>
      <c r="L336">
        <v>1100</v>
      </c>
      <c r="M336" t="s">
        <v>616</v>
      </c>
      <c r="N336">
        <v>1110</v>
      </c>
      <c r="O336" t="s">
        <v>995</v>
      </c>
      <c r="P336" t="s">
        <v>2366</v>
      </c>
      <c r="Q336" t="s">
        <v>2364</v>
      </c>
      <c r="R336" t="s">
        <v>2364</v>
      </c>
      <c r="S336" t="s">
        <v>1881</v>
      </c>
      <c r="T336" t="s">
        <v>1812</v>
      </c>
      <c r="U336" t="s">
        <v>2365</v>
      </c>
      <c r="V336" t="s">
        <v>2365</v>
      </c>
      <c r="W336" t="s">
        <v>2365</v>
      </c>
      <c r="X336" t="s">
        <v>2365</v>
      </c>
      <c r="Y336" t="s">
        <v>2365</v>
      </c>
      <c r="Z336" t="s">
        <v>2365</v>
      </c>
      <c r="AA336" t="s">
        <v>2365</v>
      </c>
      <c r="AB336" t="s">
        <v>2365</v>
      </c>
      <c r="AC336" s="813" t="s">
        <v>2365</v>
      </c>
      <c r="AD336" s="813" t="s">
        <v>2365</v>
      </c>
      <c r="AE336" s="813" t="s">
        <v>2365</v>
      </c>
      <c r="AF336" t="s">
        <v>2365</v>
      </c>
      <c r="AG336" t="s">
        <v>2365</v>
      </c>
      <c r="AH336" t="s">
        <v>2365</v>
      </c>
      <c r="AI336" t="s">
        <v>2365</v>
      </c>
      <c r="AJ336" t="s">
        <v>2365</v>
      </c>
      <c r="AK336" t="s">
        <v>2365</v>
      </c>
      <c r="AL336" t="s">
        <v>2365</v>
      </c>
      <c r="AM336" t="s">
        <v>2365</v>
      </c>
      <c r="AN336" t="s">
        <v>2365</v>
      </c>
      <c r="AR336" t="s">
        <v>2365</v>
      </c>
      <c r="AS336" t="s">
        <v>2365</v>
      </c>
      <c r="AT336" t="s">
        <v>2365</v>
      </c>
      <c r="AU336" t="s">
        <v>2365</v>
      </c>
      <c r="AV336" t="s">
        <v>2365</v>
      </c>
      <c r="AW336" t="s">
        <v>2365</v>
      </c>
      <c r="AX336" t="s">
        <v>2365</v>
      </c>
      <c r="AY336" t="s">
        <v>2365</v>
      </c>
      <c r="AZ336" t="s">
        <v>2365</v>
      </c>
      <c r="BA336" t="s">
        <v>2365</v>
      </c>
      <c r="BB336" t="s">
        <v>2365</v>
      </c>
      <c r="BC336" t="s">
        <v>2365</v>
      </c>
      <c r="BD336" t="s">
        <v>2366</v>
      </c>
      <c r="BE336" t="s">
        <v>2365</v>
      </c>
      <c r="BF336" t="s">
        <v>2365</v>
      </c>
      <c r="BG336" t="s">
        <v>2365</v>
      </c>
      <c r="BH336" t="s">
        <v>2365</v>
      </c>
      <c r="BI336" t="s">
        <v>2366</v>
      </c>
      <c r="BJ336" t="s">
        <v>2365</v>
      </c>
      <c r="BK336" t="s">
        <v>2365</v>
      </c>
      <c r="BL336" t="s">
        <v>2365</v>
      </c>
      <c r="BM336" t="s">
        <v>2365</v>
      </c>
      <c r="BO336">
        <v>3</v>
      </c>
      <c r="BP336">
        <v>32</v>
      </c>
      <c r="BQ336" t="s">
        <v>2716</v>
      </c>
      <c r="BR336" t="s">
        <v>995</v>
      </c>
      <c r="BU336">
        <v>44400</v>
      </c>
      <c r="BV336">
        <v>0</v>
      </c>
      <c r="BW336">
        <v>44400</v>
      </c>
      <c r="BX336">
        <v>0</v>
      </c>
      <c r="BY336">
        <v>44400</v>
      </c>
      <c r="BZ336">
        <v>44400</v>
      </c>
      <c r="CA336">
        <v>44400</v>
      </c>
      <c r="CB336">
        <v>3700</v>
      </c>
      <c r="CC336">
        <v>3700</v>
      </c>
      <c r="CD336">
        <v>3700</v>
      </c>
      <c r="CE336">
        <v>3700</v>
      </c>
      <c r="CF336">
        <v>3700</v>
      </c>
      <c r="CG336">
        <v>3700</v>
      </c>
      <c r="CH336">
        <v>3700</v>
      </c>
      <c r="CI336">
        <v>0</v>
      </c>
      <c r="CJ336">
        <v>0</v>
      </c>
      <c r="CK336">
        <v>0</v>
      </c>
      <c r="CL336">
        <v>0</v>
      </c>
      <c r="CM336">
        <v>0</v>
      </c>
      <c r="CR336" t="s">
        <v>2337</v>
      </c>
      <c r="CS336" s="1369" t="str">
        <f>INDEX([8]Sheet1!$H:$H,MATCH(CR:CR,[8]Sheet1!$AU:$AU,0))</f>
        <v>Corporate Wide Strategic Planning (IDPs, LEDs)</v>
      </c>
    </row>
    <row r="337" spans="1:97" x14ac:dyDescent="0.2">
      <c r="A337" t="s">
        <v>2861</v>
      </c>
      <c r="B337">
        <v>390</v>
      </c>
      <c r="C337" t="s">
        <v>2861</v>
      </c>
      <c r="D337">
        <v>41391</v>
      </c>
      <c r="E337" t="s">
        <v>2862</v>
      </c>
      <c r="F337">
        <v>200</v>
      </c>
      <c r="G337" t="s">
        <v>559</v>
      </c>
      <c r="H337">
        <v>200</v>
      </c>
      <c r="I337" t="s">
        <v>2863</v>
      </c>
      <c r="J337" t="s">
        <v>2365</v>
      </c>
      <c r="K337" t="s">
        <v>2365</v>
      </c>
      <c r="L337">
        <v>1200</v>
      </c>
      <c r="M337" t="s">
        <v>1480</v>
      </c>
      <c r="N337">
        <v>1204</v>
      </c>
      <c r="O337" t="s">
        <v>1487</v>
      </c>
      <c r="P337" t="s">
        <v>2366</v>
      </c>
      <c r="Q337" t="s">
        <v>2364</v>
      </c>
      <c r="R337" t="s">
        <v>2364</v>
      </c>
      <c r="S337" t="s">
        <v>1881</v>
      </c>
      <c r="T337" t="s">
        <v>1811</v>
      </c>
      <c r="U337" t="s">
        <v>2365</v>
      </c>
      <c r="V337" t="s">
        <v>2365</v>
      </c>
      <c r="W337" t="s">
        <v>2365</v>
      </c>
      <c r="X337" t="s">
        <v>2365</v>
      </c>
      <c r="Y337" t="s">
        <v>2365</v>
      </c>
      <c r="Z337" t="s">
        <v>2365</v>
      </c>
      <c r="AA337" t="s">
        <v>2365</v>
      </c>
      <c r="AB337" t="s">
        <v>2365</v>
      </c>
      <c r="AC337" s="813" t="s">
        <v>2365</v>
      </c>
      <c r="AD337" s="813" t="s">
        <v>2365</v>
      </c>
      <c r="AE337" s="813" t="s">
        <v>2365</v>
      </c>
      <c r="AF337" t="s">
        <v>2365</v>
      </c>
      <c r="AG337" t="s">
        <v>2365</v>
      </c>
      <c r="AH337" t="s">
        <v>2365</v>
      </c>
      <c r="AI337" t="s">
        <v>2365</v>
      </c>
      <c r="AJ337" t="s">
        <v>2365</v>
      </c>
      <c r="AK337" t="s">
        <v>2365</v>
      </c>
      <c r="AL337" t="s">
        <v>2365</v>
      </c>
      <c r="AM337" t="s">
        <v>2365</v>
      </c>
      <c r="AN337" t="s">
        <v>2365</v>
      </c>
      <c r="AR337" t="s">
        <v>2365</v>
      </c>
      <c r="AS337" t="s">
        <v>2365</v>
      </c>
      <c r="AT337" t="s">
        <v>2365</v>
      </c>
      <c r="AU337" t="s">
        <v>2365</v>
      </c>
      <c r="AV337" t="s">
        <v>2365</v>
      </c>
      <c r="AW337" t="s">
        <v>2365</v>
      </c>
      <c r="AX337" t="s">
        <v>2365</v>
      </c>
      <c r="AY337" t="s">
        <v>2365</v>
      </c>
      <c r="AZ337" t="s">
        <v>2365</v>
      </c>
      <c r="BA337" t="s">
        <v>2365</v>
      </c>
      <c r="BB337" t="s">
        <v>2365</v>
      </c>
      <c r="BC337" t="s">
        <v>2365</v>
      </c>
      <c r="BD337" t="s">
        <v>2366</v>
      </c>
      <c r="BE337" t="s">
        <v>2365</v>
      </c>
      <c r="BF337" t="s">
        <v>2365</v>
      </c>
      <c r="BG337" t="s">
        <v>2365</v>
      </c>
      <c r="BH337" t="s">
        <v>2365</v>
      </c>
      <c r="BI337" t="s">
        <v>2366</v>
      </c>
      <c r="BJ337" t="s">
        <v>2365</v>
      </c>
      <c r="BK337" t="s">
        <v>2365</v>
      </c>
      <c r="BL337" t="s">
        <v>2365</v>
      </c>
      <c r="BM337" t="s">
        <v>2365</v>
      </c>
      <c r="BO337">
        <v>1</v>
      </c>
      <c r="BP337">
        <v>11</v>
      </c>
      <c r="BQ337" t="s">
        <v>2369</v>
      </c>
      <c r="BR337" t="s">
        <v>1487</v>
      </c>
      <c r="BU337">
        <v>0</v>
      </c>
      <c r="BV337">
        <v>0</v>
      </c>
      <c r="BW337">
        <v>0</v>
      </c>
      <c r="BX337">
        <v>0</v>
      </c>
      <c r="BY337">
        <v>0</v>
      </c>
      <c r="BZ337">
        <v>0</v>
      </c>
      <c r="CA337">
        <v>0</v>
      </c>
      <c r="CB337">
        <v>0</v>
      </c>
      <c r="CC337">
        <v>0</v>
      </c>
      <c r="CD337">
        <v>0</v>
      </c>
      <c r="CE337">
        <v>0</v>
      </c>
      <c r="CF337">
        <v>0</v>
      </c>
      <c r="CG337">
        <v>0</v>
      </c>
      <c r="CH337">
        <v>0</v>
      </c>
      <c r="CI337">
        <v>0</v>
      </c>
      <c r="CJ337">
        <v>0</v>
      </c>
      <c r="CK337">
        <v>0</v>
      </c>
      <c r="CL337">
        <v>0</v>
      </c>
      <c r="CM337">
        <v>0</v>
      </c>
      <c r="CR337" t="s">
        <v>2336</v>
      </c>
      <c r="CS337" s="1369" t="str">
        <f>INDEX([8]Sheet1!$H:$H,MATCH(CR:CR,[8]Sheet1!$AU:$AU,0))</f>
        <v>Project Management Unit</v>
      </c>
    </row>
    <row r="338" spans="1:97" x14ac:dyDescent="0.2">
      <c r="A338" t="s">
        <v>2864</v>
      </c>
      <c r="B338">
        <v>391</v>
      </c>
      <c r="C338" t="s">
        <v>2864</v>
      </c>
      <c r="D338">
        <v>41392</v>
      </c>
      <c r="E338" t="s">
        <v>2865</v>
      </c>
      <c r="F338">
        <v>2100</v>
      </c>
      <c r="G338" t="s">
        <v>565</v>
      </c>
      <c r="H338">
        <v>210001</v>
      </c>
      <c r="I338" t="s">
        <v>203</v>
      </c>
      <c r="J338" t="s">
        <v>2365</v>
      </c>
      <c r="K338" t="s">
        <v>2365</v>
      </c>
      <c r="L338">
        <v>1100</v>
      </c>
      <c r="M338" t="s">
        <v>616</v>
      </c>
      <c r="N338">
        <v>1110</v>
      </c>
      <c r="O338" t="s">
        <v>995</v>
      </c>
      <c r="P338" t="s">
        <v>2366</v>
      </c>
      <c r="Q338" t="s">
        <v>2364</v>
      </c>
      <c r="R338" t="s">
        <v>2364</v>
      </c>
      <c r="S338" t="s">
        <v>1881</v>
      </c>
      <c r="T338" t="s">
        <v>1812</v>
      </c>
      <c r="U338" t="s">
        <v>2365</v>
      </c>
      <c r="V338" t="s">
        <v>2365</v>
      </c>
      <c r="W338" t="s">
        <v>2365</v>
      </c>
      <c r="X338" t="s">
        <v>2365</v>
      </c>
      <c r="Y338" t="s">
        <v>2365</v>
      </c>
      <c r="Z338" t="s">
        <v>2365</v>
      </c>
      <c r="AA338" t="s">
        <v>2365</v>
      </c>
      <c r="AB338" t="s">
        <v>2365</v>
      </c>
      <c r="AC338" s="813" t="s">
        <v>2365</v>
      </c>
      <c r="AD338" s="813" t="s">
        <v>2365</v>
      </c>
      <c r="AE338" s="813" t="s">
        <v>2365</v>
      </c>
      <c r="AF338" t="s">
        <v>2365</v>
      </c>
      <c r="AG338" t="s">
        <v>2365</v>
      </c>
      <c r="AH338" t="s">
        <v>2365</v>
      </c>
      <c r="AI338" t="s">
        <v>2365</v>
      </c>
      <c r="AJ338" t="s">
        <v>2365</v>
      </c>
      <c r="AK338" t="s">
        <v>2365</v>
      </c>
      <c r="AL338" t="s">
        <v>2365</v>
      </c>
      <c r="AM338" t="s">
        <v>2365</v>
      </c>
      <c r="AN338" t="s">
        <v>2365</v>
      </c>
      <c r="AR338" t="s">
        <v>2365</v>
      </c>
      <c r="AS338" t="s">
        <v>2365</v>
      </c>
      <c r="AT338" t="s">
        <v>2365</v>
      </c>
      <c r="AU338" t="s">
        <v>2365</v>
      </c>
      <c r="AV338" t="s">
        <v>2365</v>
      </c>
      <c r="AW338" t="s">
        <v>2365</v>
      </c>
      <c r="AX338" t="s">
        <v>2365</v>
      </c>
      <c r="AY338" t="s">
        <v>2365</v>
      </c>
      <c r="AZ338" t="s">
        <v>2365</v>
      </c>
      <c r="BA338" t="s">
        <v>2365</v>
      </c>
      <c r="BB338" t="s">
        <v>2365</v>
      </c>
      <c r="BC338" t="s">
        <v>2365</v>
      </c>
      <c r="BD338" t="s">
        <v>2366</v>
      </c>
      <c r="BE338" t="s">
        <v>2365</v>
      </c>
      <c r="BF338" t="s">
        <v>2365</v>
      </c>
      <c r="BG338" t="s">
        <v>2365</v>
      </c>
      <c r="BH338" t="s">
        <v>2365</v>
      </c>
      <c r="BI338" t="s">
        <v>2366</v>
      </c>
      <c r="BJ338" t="s">
        <v>2365</v>
      </c>
      <c r="BK338" t="s">
        <v>2365</v>
      </c>
      <c r="BL338" t="s">
        <v>2365</v>
      </c>
      <c r="BM338" t="s">
        <v>2365</v>
      </c>
      <c r="BO338">
        <v>3</v>
      </c>
      <c r="BP338">
        <v>32</v>
      </c>
      <c r="BQ338" t="s">
        <v>2716</v>
      </c>
      <c r="BR338" t="s">
        <v>995</v>
      </c>
      <c r="BU338">
        <v>685976</v>
      </c>
      <c r="BV338">
        <v>0</v>
      </c>
      <c r="BW338">
        <v>685976</v>
      </c>
      <c r="BX338">
        <v>0</v>
      </c>
      <c r="BY338">
        <v>685976</v>
      </c>
      <c r="BZ338">
        <v>720274</v>
      </c>
      <c r="CA338">
        <v>724998</v>
      </c>
      <c r="CB338">
        <v>57390.67</v>
      </c>
      <c r="CC338">
        <v>61090.67</v>
      </c>
      <c r="CD338">
        <v>61090.67</v>
      </c>
      <c r="CE338">
        <v>100820.08</v>
      </c>
      <c r="CF338">
        <v>61090.67</v>
      </c>
      <c r="CG338">
        <v>61090.67</v>
      </c>
      <c r="CH338">
        <v>61090.67</v>
      </c>
      <c r="CI338">
        <v>0</v>
      </c>
      <c r="CJ338">
        <v>0</v>
      </c>
      <c r="CK338">
        <v>0</v>
      </c>
      <c r="CL338">
        <v>0</v>
      </c>
      <c r="CM338">
        <v>0</v>
      </c>
      <c r="CR338" t="s">
        <v>2337</v>
      </c>
      <c r="CS338" s="1369" t="str">
        <f>INDEX([8]Sheet1!$H:$H,MATCH(CR:CR,[8]Sheet1!$AU:$AU,0))</f>
        <v>Corporate Wide Strategic Planning (IDPs, LEDs)</v>
      </c>
    </row>
    <row r="339" spans="1:97" x14ac:dyDescent="0.2">
      <c r="A339" t="s">
        <v>2866</v>
      </c>
      <c r="B339">
        <v>392</v>
      </c>
      <c r="C339" t="s">
        <v>2866</v>
      </c>
      <c r="D339">
        <v>41393</v>
      </c>
      <c r="E339" t="s">
        <v>2867</v>
      </c>
      <c r="F339">
        <v>2100</v>
      </c>
      <c r="G339" t="s">
        <v>565</v>
      </c>
      <c r="H339">
        <v>210001</v>
      </c>
      <c r="I339" t="s">
        <v>203</v>
      </c>
      <c r="J339" t="s">
        <v>2365</v>
      </c>
      <c r="K339" t="s">
        <v>2365</v>
      </c>
      <c r="L339">
        <v>1100</v>
      </c>
      <c r="M339" t="s">
        <v>616</v>
      </c>
      <c r="N339">
        <v>1110</v>
      </c>
      <c r="O339" t="s">
        <v>995</v>
      </c>
      <c r="P339" t="s">
        <v>2366</v>
      </c>
      <c r="Q339" t="s">
        <v>2364</v>
      </c>
      <c r="R339" t="s">
        <v>2364</v>
      </c>
      <c r="S339" t="s">
        <v>1881</v>
      </c>
      <c r="T339" t="s">
        <v>1812</v>
      </c>
      <c r="U339" t="s">
        <v>2365</v>
      </c>
      <c r="V339" t="s">
        <v>2365</v>
      </c>
      <c r="W339" t="s">
        <v>2365</v>
      </c>
      <c r="X339" t="s">
        <v>2365</v>
      </c>
      <c r="Y339" t="s">
        <v>2365</v>
      </c>
      <c r="Z339" t="s">
        <v>2365</v>
      </c>
      <c r="AA339" t="s">
        <v>2365</v>
      </c>
      <c r="AB339" t="s">
        <v>2365</v>
      </c>
      <c r="AC339" s="813" t="s">
        <v>2365</v>
      </c>
      <c r="AD339" s="813" t="s">
        <v>2365</v>
      </c>
      <c r="AE339" s="813" t="s">
        <v>2365</v>
      </c>
      <c r="AF339" t="s">
        <v>2365</v>
      </c>
      <c r="AG339" t="s">
        <v>2365</v>
      </c>
      <c r="AH339" t="s">
        <v>2365</v>
      </c>
      <c r="AI339" t="s">
        <v>2365</v>
      </c>
      <c r="AJ339" t="s">
        <v>2365</v>
      </c>
      <c r="AK339" t="s">
        <v>2365</v>
      </c>
      <c r="AL339" t="s">
        <v>2365</v>
      </c>
      <c r="AM339" t="s">
        <v>2365</v>
      </c>
      <c r="AN339" t="s">
        <v>2365</v>
      </c>
      <c r="AR339" t="s">
        <v>2365</v>
      </c>
      <c r="AS339" t="s">
        <v>2365</v>
      </c>
      <c r="AT339" t="s">
        <v>2365</v>
      </c>
      <c r="AU339" t="s">
        <v>2365</v>
      </c>
      <c r="AV339" t="s">
        <v>2365</v>
      </c>
      <c r="AW339" t="s">
        <v>2365</v>
      </c>
      <c r="AX339" t="s">
        <v>2365</v>
      </c>
      <c r="AY339" t="s">
        <v>2365</v>
      </c>
      <c r="AZ339" t="s">
        <v>2365</v>
      </c>
      <c r="BA339" t="s">
        <v>2365</v>
      </c>
      <c r="BB339" t="s">
        <v>2365</v>
      </c>
      <c r="BC339" t="s">
        <v>2365</v>
      </c>
      <c r="BD339" t="s">
        <v>2366</v>
      </c>
      <c r="BE339" t="s">
        <v>2365</v>
      </c>
      <c r="BF339" t="s">
        <v>2365</v>
      </c>
      <c r="BG339" t="s">
        <v>2365</v>
      </c>
      <c r="BH339" t="s">
        <v>2365</v>
      </c>
      <c r="BI339" t="s">
        <v>2366</v>
      </c>
      <c r="BJ339" t="s">
        <v>2365</v>
      </c>
      <c r="BK339" t="s">
        <v>2365</v>
      </c>
      <c r="BL339" t="s">
        <v>2365</v>
      </c>
      <c r="BM339" t="s">
        <v>2365</v>
      </c>
      <c r="BO339">
        <v>3</v>
      </c>
      <c r="BP339">
        <v>32</v>
      </c>
      <c r="BQ339" t="s">
        <v>2716</v>
      </c>
      <c r="BR339" t="s">
        <v>995</v>
      </c>
      <c r="BU339">
        <v>685976</v>
      </c>
      <c r="BV339">
        <v>0</v>
      </c>
      <c r="BW339">
        <v>685976</v>
      </c>
      <c r="BX339">
        <v>0</v>
      </c>
      <c r="BY339">
        <v>685976</v>
      </c>
      <c r="BZ339">
        <v>720274</v>
      </c>
      <c r="CA339">
        <v>724998</v>
      </c>
      <c r="CB339">
        <v>57390.67</v>
      </c>
      <c r="CC339">
        <v>57390.67</v>
      </c>
      <c r="CD339">
        <v>57390.67</v>
      </c>
      <c r="CE339">
        <v>81190.67</v>
      </c>
      <c r="CF339">
        <v>57390.67</v>
      </c>
      <c r="CG339">
        <v>57390.67</v>
      </c>
      <c r="CH339">
        <v>57390.67</v>
      </c>
      <c r="CI339">
        <v>0</v>
      </c>
      <c r="CJ339">
        <v>0</v>
      </c>
      <c r="CK339">
        <v>0</v>
      </c>
      <c r="CL339">
        <v>0</v>
      </c>
      <c r="CM339">
        <v>0</v>
      </c>
      <c r="CR339" t="s">
        <v>2338</v>
      </c>
      <c r="CS339" s="1369" t="str">
        <f>INDEX([8]Sheet1!$H:$H,MATCH(CR:CR,[8]Sheet1!$AU:$AU,0))</f>
        <v>Town Planning, Building Regulations and Enforcement, and City Engineer</v>
      </c>
    </row>
    <row r="340" spans="1:97" x14ac:dyDescent="0.2">
      <c r="A340" t="s">
        <v>2868</v>
      </c>
      <c r="B340">
        <v>393</v>
      </c>
      <c r="C340" t="s">
        <v>2868</v>
      </c>
      <c r="D340">
        <v>41394</v>
      </c>
      <c r="E340" t="s">
        <v>2869</v>
      </c>
      <c r="F340">
        <v>2100</v>
      </c>
      <c r="G340" t="s">
        <v>565</v>
      </c>
      <c r="H340">
        <v>210005</v>
      </c>
      <c r="I340" t="s">
        <v>1377</v>
      </c>
      <c r="J340" t="s">
        <v>2365</v>
      </c>
      <c r="K340" t="s">
        <v>2365</v>
      </c>
      <c r="L340">
        <v>1100</v>
      </c>
      <c r="M340" t="s">
        <v>616</v>
      </c>
      <c r="N340">
        <v>1110</v>
      </c>
      <c r="O340" t="s">
        <v>995</v>
      </c>
      <c r="P340" t="s">
        <v>2366</v>
      </c>
      <c r="Q340" t="s">
        <v>2364</v>
      </c>
      <c r="R340" t="s">
        <v>2364</v>
      </c>
      <c r="S340" t="s">
        <v>1881</v>
      </c>
      <c r="T340" t="s">
        <v>1812</v>
      </c>
      <c r="U340" t="s">
        <v>2365</v>
      </c>
      <c r="V340" t="s">
        <v>2365</v>
      </c>
      <c r="W340" t="s">
        <v>2365</v>
      </c>
      <c r="X340" t="s">
        <v>2365</v>
      </c>
      <c r="Y340" t="s">
        <v>2365</v>
      </c>
      <c r="Z340" t="s">
        <v>2365</v>
      </c>
      <c r="AA340" t="s">
        <v>2365</v>
      </c>
      <c r="AB340" t="s">
        <v>2365</v>
      </c>
      <c r="AC340" s="813" t="s">
        <v>2365</v>
      </c>
      <c r="AD340" s="813" t="s">
        <v>2365</v>
      </c>
      <c r="AE340" s="813" t="s">
        <v>2365</v>
      </c>
      <c r="AF340" t="s">
        <v>2365</v>
      </c>
      <c r="AG340" t="s">
        <v>2365</v>
      </c>
      <c r="AH340" t="s">
        <v>2365</v>
      </c>
      <c r="AI340" t="s">
        <v>2365</v>
      </c>
      <c r="AJ340" t="s">
        <v>2365</v>
      </c>
      <c r="AK340" t="s">
        <v>2365</v>
      </c>
      <c r="AL340" t="s">
        <v>2365</v>
      </c>
      <c r="AM340" t="s">
        <v>2365</v>
      </c>
      <c r="AN340" t="s">
        <v>2365</v>
      </c>
      <c r="AR340" t="s">
        <v>2365</v>
      </c>
      <c r="AS340" t="s">
        <v>2365</v>
      </c>
      <c r="AT340" t="s">
        <v>2365</v>
      </c>
      <c r="AU340" t="s">
        <v>2365</v>
      </c>
      <c r="AV340" t="s">
        <v>2365</v>
      </c>
      <c r="AW340" t="s">
        <v>2365</v>
      </c>
      <c r="AX340" t="s">
        <v>2365</v>
      </c>
      <c r="AY340" t="s">
        <v>2365</v>
      </c>
      <c r="AZ340" t="s">
        <v>2365</v>
      </c>
      <c r="BA340" t="s">
        <v>2365</v>
      </c>
      <c r="BB340" t="s">
        <v>2365</v>
      </c>
      <c r="BC340" t="s">
        <v>2365</v>
      </c>
      <c r="BD340" t="s">
        <v>2366</v>
      </c>
      <c r="BE340" t="s">
        <v>2365</v>
      </c>
      <c r="BF340" t="s">
        <v>2365</v>
      </c>
      <c r="BG340" t="s">
        <v>2365</v>
      </c>
      <c r="BH340" t="s">
        <v>2365</v>
      </c>
      <c r="BI340" t="s">
        <v>2366</v>
      </c>
      <c r="BJ340" t="s">
        <v>2365</v>
      </c>
      <c r="BK340" t="s">
        <v>2365</v>
      </c>
      <c r="BL340" t="s">
        <v>2365</v>
      </c>
      <c r="BM340" t="s">
        <v>2365</v>
      </c>
      <c r="BO340">
        <v>3</v>
      </c>
      <c r="BP340">
        <v>32</v>
      </c>
      <c r="BQ340" t="s">
        <v>2716</v>
      </c>
      <c r="BR340" t="s">
        <v>995</v>
      </c>
      <c r="BU340">
        <v>44400</v>
      </c>
      <c r="BV340">
        <v>0</v>
      </c>
      <c r="BW340">
        <v>44400</v>
      </c>
      <c r="BX340">
        <v>0</v>
      </c>
      <c r="BY340">
        <v>44400</v>
      </c>
      <c r="BZ340">
        <v>44400</v>
      </c>
      <c r="CA340">
        <v>44400</v>
      </c>
      <c r="CB340">
        <v>3700</v>
      </c>
      <c r="CC340">
        <v>3700</v>
      </c>
      <c r="CD340">
        <v>3700</v>
      </c>
      <c r="CE340">
        <v>3700</v>
      </c>
      <c r="CF340">
        <v>3700</v>
      </c>
      <c r="CG340">
        <v>3700</v>
      </c>
      <c r="CH340">
        <v>3700</v>
      </c>
      <c r="CI340">
        <v>0</v>
      </c>
      <c r="CJ340">
        <v>0</v>
      </c>
      <c r="CK340">
        <v>0</v>
      </c>
      <c r="CL340">
        <v>0</v>
      </c>
      <c r="CM340">
        <v>0</v>
      </c>
      <c r="CR340" t="s">
        <v>2337</v>
      </c>
      <c r="CS340" s="1369" t="str">
        <f>INDEX([8]Sheet1!$H:$H,MATCH(CR:CR,[8]Sheet1!$AU:$AU,0))</f>
        <v>Corporate Wide Strategic Planning (IDPs, LEDs)</v>
      </c>
    </row>
    <row r="341" spans="1:97" x14ac:dyDescent="0.2">
      <c r="A341" t="s">
        <v>2870</v>
      </c>
      <c r="B341">
        <v>394</v>
      </c>
      <c r="C341" t="s">
        <v>2870</v>
      </c>
      <c r="D341">
        <v>41395</v>
      </c>
      <c r="E341" t="s">
        <v>2871</v>
      </c>
      <c r="F341">
        <v>2100</v>
      </c>
      <c r="G341" t="s">
        <v>565</v>
      </c>
      <c r="H341">
        <v>210001</v>
      </c>
      <c r="I341" t="s">
        <v>203</v>
      </c>
      <c r="J341" t="s">
        <v>2365</v>
      </c>
      <c r="K341" t="s">
        <v>2365</v>
      </c>
      <c r="L341">
        <v>1100</v>
      </c>
      <c r="M341" t="s">
        <v>616</v>
      </c>
      <c r="N341">
        <v>1110</v>
      </c>
      <c r="O341" t="s">
        <v>995</v>
      </c>
      <c r="P341" t="s">
        <v>2366</v>
      </c>
      <c r="Q341" t="s">
        <v>2364</v>
      </c>
      <c r="R341" t="s">
        <v>2364</v>
      </c>
      <c r="S341" t="s">
        <v>1881</v>
      </c>
      <c r="T341" t="s">
        <v>1812</v>
      </c>
      <c r="U341" t="s">
        <v>2365</v>
      </c>
      <c r="V341" t="s">
        <v>2365</v>
      </c>
      <c r="W341" t="s">
        <v>2365</v>
      </c>
      <c r="X341" t="s">
        <v>2365</v>
      </c>
      <c r="Y341" t="s">
        <v>2365</v>
      </c>
      <c r="Z341" t="s">
        <v>2365</v>
      </c>
      <c r="AA341" t="s">
        <v>2365</v>
      </c>
      <c r="AB341" t="s">
        <v>2365</v>
      </c>
      <c r="AC341" s="813" t="s">
        <v>2365</v>
      </c>
      <c r="AD341" s="813" t="s">
        <v>2365</v>
      </c>
      <c r="AE341" s="813" t="s">
        <v>2365</v>
      </c>
      <c r="AF341" t="s">
        <v>2365</v>
      </c>
      <c r="AG341" t="s">
        <v>2365</v>
      </c>
      <c r="AH341" t="s">
        <v>2365</v>
      </c>
      <c r="AI341" t="s">
        <v>2365</v>
      </c>
      <c r="AJ341" t="s">
        <v>2365</v>
      </c>
      <c r="AK341" t="s">
        <v>2365</v>
      </c>
      <c r="AL341" t="s">
        <v>2365</v>
      </c>
      <c r="AM341" t="s">
        <v>2365</v>
      </c>
      <c r="AN341" t="s">
        <v>2365</v>
      </c>
      <c r="AR341" t="s">
        <v>2365</v>
      </c>
      <c r="AS341" t="s">
        <v>2365</v>
      </c>
      <c r="AT341" t="s">
        <v>2365</v>
      </c>
      <c r="AU341" t="s">
        <v>2365</v>
      </c>
      <c r="AV341" t="s">
        <v>2365</v>
      </c>
      <c r="AW341" t="s">
        <v>2365</v>
      </c>
      <c r="AX341" t="s">
        <v>2365</v>
      </c>
      <c r="AY341" t="s">
        <v>2365</v>
      </c>
      <c r="AZ341" t="s">
        <v>2365</v>
      </c>
      <c r="BA341" t="s">
        <v>2365</v>
      </c>
      <c r="BB341" t="s">
        <v>2365</v>
      </c>
      <c r="BC341" t="s">
        <v>2365</v>
      </c>
      <c r="BD341" t="s">
        <v>2366</v>
      </c>
      <c r="BE341" t="s">
        <v>2365</v>
      </c>
      <c r="BF341" t="s">
        <v>2365</v>
      </c>
      <c r="BG341" t="s">
        <v>2365</v>
      </c>
      <c r="BH341" t="s">
        <v>2365</v>
      </c>
      <c r="BI341" t="s">
        <v>2366</v>
      </c>
      <c r="BJ341" t="s">
        <v>2365</v>
      </c>
      <c r="BK341" t="s">
        <v>2365</v>
      </c>
      <c r="BL341" t="s">
        <v>2365</v>
      </c>
      <c r="BM341" t="s">
        <v>2365</v>
      </c>
      <c r="BO341">
        <v>3</v>
      </c>
      <c r="BP341">
        <v>32</v>
      </c>
      <c r="BQ341" t="s">
        <v>2716</v>
      </c>
      <c r="BR341" t="s">
        <v>995</v>
      </c>
      <c r="BU341">
        <v>390131</v>
      </c>
      <c r="BV341">
        <v>0</v>
      </c>
      <c r="BW341">
        <v>390131</v>
      </c>
      <c r="BX341">
        <v>0</v>
      </c>
      <c r="BY341">
        <v>390131</v>
      </c>
      <c r="BZ341">
        <v>410037</v>
      </c>
      <c r="CA341">
        <v>413022</v>
      </c>
      <c r="CB341">
        <v>0</v>
      </c>
      <c r="CC341">
        <v>119188.16</v>
      </c>
      <c r="CD341">
        <v>119188.16</v>
      </c>
      <c r="CE341">
        <v>119188.16</v>
      </c>
      <c r="CF341">
        <v>119188.16</v>
      </c>
      <c r="CG341">
        <v>119188.16</v>
      </c>
      <c r="CH341">
        <v>119188.16</v>
      </c>
      <c r="CI341">
        <v>0</v>
      </c>
      <c r="CJ341">
        <v>0</v>
      </c>
      <c r="CK341">
        <v>0</v>
      </c>
      <c r="CL341">
        <v>0</v>
      </c>
      <c r="CM341">
        <v>0</v>
      </c>
      <c r="CR341" t="s">
        <v>2338</v>
      </c>
      <c r="CS341" s="1369" t="str">
        <f>INDEX([8]Sheet1!$H:$H,MATCH(CR:CR,[8]Sheet1!$AU:$AU,0))</f>
        <v>Town Planning, Building Regulations and Enforcement, and City Engineer</v>
      </c>
    </row>
    <row r="342" spans="1:97" x14ac:dyDescent="0.2">
      <c r="A342" t="s">
        <v>2872</v>
      </c>
      <c r="B342">
        <v>395</v>
      </c>
      <c r="C342" t="s">
        <v>2872</v>
      </c>
      <c r="D342">
        <v>41396</v>
      </c>
      <c r="E342" t="s">
        <v>2873</v>
      </c>
      <c r="F342">
        <v>2100</v>
      </c>
      <c r="G342" t="s">
        <v>565</v>
      </c>
      <c r="H342">
        <v>210005</v>
      </c>
      <c r="I342" t="s">
        <v>1377</v>
      </c>
      <c r="J342" t="s">
        <v>2365</v>
      </c>
      <c r="K342" t="s">
        <v>2365</v>
      </c>
      <c r="L342">
        <v>1100</v>
      </c>
      <c r="M342" t="s">
        <v>616</v>
      </c>
      <c r="N342">
        <v>1110</v>
      </c>
      <c r="O342" t="s">
        <v>995</v>
      </c>
      <c r="P342" t="s">
        <v>2366</v>
      </c>
      <c r="Q342" t="s">
        <v>2364</v>
      </c>
      <c r="R342" t="s">
        <v>2364</v>
      </c>
      <c r="S342" t="s">
        <v>1881</v>
      </c>
      <c r="T342" t="s">
        <v>1812</v>
      </c>
      <c r="U342" t="s">
        <v>2365</v>
      </c>
      <c r="V342" t="s">
        <v>2365</v>
      </c>
      <c r="W342" t="s">
        <v>2365</v>
      </c>
      <c r="X342" t="s">
        <v>2365</v>
      </c>
      <c r="Y342" t="s">
        <v>2365</v>
      </c>
      <c r="Z342" t="s">
        <v>2365</v>
      </c>
      <c r="AA342" t="s">
        <v>2365</v>
      </c>
      <c r="AB342" t="s">
        <v>2365</v>
      </c>
      <c r="AC342" s="813" t="s">
        <v>2365</v>
      </c>
      <c r="AD342" s="813" t="s">
        <v>2365</v>
      </c>
      <c r="AE342" s="813" t="s">
        <v>2365</v>
      </c>
      <c r="AF342" t="s">
        <v>2365</v>
      </c>
      <c r="AG342" t="s">
        <v>2365</v>
      </c>
      <c r="AH342" t="s">
        <v>2365</v>
      </c>
      <c r="AI342" t="s">
        <v>2365</v>
      </c>
      <c r="AJ342" t="s">
        <v>2365</v>
      </c>
      <c r="AK342" t="s">
        <v>2365</v>
      </c>
      <c r="AL342" t="s">
        <v>2365</v>
      </c>
      <c r="AM342" t="s">
        <v>2365</v>
      </c>
      <c r="AN342" t="s">
        <v>2365</v>
      </c>
      <c r="AR342" t="s">
        <v>2365</v>
      </c>
      <c r="AS342" t="s">
        <v>2365</v>
      </c>
      <c r="AT342" t="s">
        <v>2365</v>
      </c>
      <c r="AU342" t="s">
        <v>2365</v>
      </c>
      <c r="AV342" t="s">
        <v>2365</v>
      </c>
      <c r="AW342" t="s">
        <v>2365</v>
      </c>
      <c r="AX342" t="s">
        <v>2365</v>
      </c>
      <c r="AY342" t="s">
        <v>2365</v>
      </c>
      <c r="AZ342" t="s">
        <v>2365</v>
      </c>
      <c r="BA342" t="s">
        <v>2365</v>
      </c>
      <c r="BB342" t="s">
        <v>2365</v>
      </c>
      <c r="BC342" t="s">
        <v>2365</v>
      </c>
      <c r="BD342" t="s">
        <v>2366</v>
      </c>
      <c r="BE342" t="s">
        <v>2365</v>
      </c>
      <c r="BF342" t="s">
        <v>2365</v>
      </c>
      <c r="BG342" t="s">
        <v>2365</v>
      </c>
      <c r="BH342" t="s">
        <v>2365</v>
      </c>
      <c r="BI342" t="s">
        <v>2366</v>
      </c>
      <c r="BJ342" t="s">
        <v>2365</v>
      </c>
      <c r="BK342" t="s">
        <v>2365</v>
      </c>
      <c r="BL342" t="s">
        <v>2365</v>
      </c>
      <c r="BM342" t="s">
        <v>2365</v>
      </c>
      <c r="BO342">
        <v>3</v>
      </c>
      <c r="BP342">
        <v>32</v>
      </c>
      <c r="BQ342" t="s">
        <v>2716</v>
      </c>
      <c r="BR342" t="s">
        <v>995</v>
      </c>
      <c r="BU342">
        <v>44400</v>
      </c>
      <c r="BV342">
        <v>0</v>
      </c>
      <c r="BW342">
        <v>44400</v>
      </c>
      <c r="BX342">
        <v>0</v>
      </c>
      <c r="BY342">
        <v>44400</v>
      </c>
      <c r="BZ342">
        <v>44400</v>
      </c>
      <c r="CA342">
        <v>44400</v>
      </c>
      <c r="CB342">
        <v>3700</v>
      </c>
      <c r="CC342">
        <v>0</v>
      </c>
      <c r="CD342">
        <v>0</v>
      </c>
      <c r="CE342">
        <v>0</v>
      </c>
      <c r="CF342">
        <v>0</v>
      </c>
      <c r="CG342">
        <v>0</v>
      </c>
      <c r="CH342">
        <v>0</v>
      </c>
      <c r="CI342">
        <v>0</v>
      </c>
      <c r="CJ342">
        <v>0</v>
      </c>
      <c r="CK342">
        <v>0</v>
      </c>
      <c r="CL342">
        <v>0</v>
      </c>
      <c r="CM342">
        <v>0</v>
      </c>
      <c r="CR342" t="s">
        <v>2336</v>
      </c>
      <c r="CS342" s="1369" t="str">
        <f>INDEX([8]Sheet1!$H:$H,MATCH(CR:CR,[8]Sheet1!$AU:$AU,0))</f>
        <v>Project Management Unit</v>
      </c>
    </row>
    <row r="343" spans="1:97" x14ac:dyDescent="0.2">
      <c r="A343" t="s">
        <v>2874</v>
      </c>
      <c r="B343">
        <v>396</v>
      </c>
      <c r="C343" t="s">
        <v>2874</v>
      </c>
      <c r="D343">
        <v>41397</v>
      </c>
      <c r="E343" t="s">
        <v>2875</v>
      </c>
      <c r="F343">
        <v>2900</v>
      </c>
      <c r="G343" t="s">
        <v>569</v>
      </c>
      <c r="H343" t="s">
        <v>2366</v>
      </c>
      <c r="I343" t="s">
        <v>2366</v>
      </c>
      <c r="J343">
        <v>2904</v>
      </c>
      <c r="K343" t="s">
        <v>1432</v>
      </c>
      <c r="L343">
        <v>1100</v>
      </c>
      <c r="M343" t="s">
        <v>616</v>
      </c>
      <c r="N343">
        <v>1110</v>
      </c>
      <c r="O343" t="s">
        <v>995</v>
      </c>
      <c r="P343" t="s">
        <v>2366</v>
      </c>
      <c r="Q343" t="s">
        <v>2364</v>
      </c>
      <c r="R343" t="s">
        <v>2364</v>
      </c>
      <c r="S343" t="s">
        <v>1881</v>
      </c>
      <c r="T343" t="s">
        <v>1812</v>
      </c>
      <c r="U343" t="s">
        <v>2365</v>
      </c>
      <c r="V343" t="s">
        <v>2365</v>
      </c>
      <c r="W343" t="s">
        <v>2365</v>
      </c>
      <c r="X343" t="s">
        <v>2365</v>
      </c>
      <c r="Y343" t="s">
        <v>2365</v>
      </c>
      <c r="Z343" t="s">
        <v>2365</v>
      </c>
      <c r="AA343" t="s">
        <v>2365</v>
      </c>
      <c r="AB343" t="s">
        <v>2365</v>
      </c>
      <c r="AC343" s="813" t="s">
        <v>2365</v>
      </c>
      <c r="AD343" s="813" t="s">
        <v>2365</v>
      </c>
      <c r="AE343" s="813" t="s">
        <v>2365</v>
      </c>
      <c r="AF343" t="s">
        <v>2365</v>
      </c>
      <c r="AG343" t="s">
        <v>2365</v>
      </c>
      <c r="AH343" t="s">
        <v>2365</v>
      </c>
      <c r="AI343" t="s">
        <v>2365</v>
      </c>
      <c r="AJ343" t="s">
        <v>2365</v>
      </c>
      <c r="AK343" t="s">
        <v>2365</v>
      </c>
      <c r="AL343" t="s">
        <v>2365</v>
      </c>
      <c r="AM343" t="s">
        <v>2365</v>
      </c>
      <c r="AN343" t="s">
        <v>2365</v>
      </c>
      <c r="AR343" t="s">
        <v>2365</v>
      </c>
      <c r="AS343" t="s">
        <v>2365</v>
      </c>
      <c r="AT343" t="s">
        <v>2365</v>
      </c>
      <c r="AU343" t="s">
        <v>2365</v>
      </c>
      <c r="AV343" t="s">
        <v>2365</v>
      </c>
      <c r="AW343" t="s">
        <v>2365</v>
      </c>
      <c r="AX343" t="s">
        <v>2365</v>
      </c>
      <c r="AY343" t="s">
        <v>2365</v>
      </c>
      <c r="AZ343" t="s">
        <v>2365</v>
      </c>
      <c r="BA343" t="s">
        <v>2365</v>
      </c>
      <c r="BB343" t="s">
        <v>2365</v>
      </c>
      <c r="BC343" t="s">
        <v>2365</v>
      </c>
      <c r="BD343" t="s">
        <v>2366</v>
      </c>
      <c r="BE343" t="s">
        <v>2365</v>
      </c>
      <c r="BF343" t="s">
        <v>2365</v>
      </c>
      <c r="BG343" t="s">
        <v>2365</v>
      </c>
      <c r="BH343" t="s">
        <v>2365</v>
      </c>
      <c r="BI343" t="s">
        <v>2366</v>
      </c>
      <c r="BJ343" t="s">
        <v>2365</v>
      </c>
      <c r="BK343" t="s">
        <v>2365</v>
      </c>
      <c r="BL343" t="s">
        <v>2365</v>
      </c>
      <c r="BM343" t="s">
        <v>2365</v>
      </c>
      <c r="BO343">
        <v>3</v>
      </c>
      <c r="BP343">
        <v>32</v>
      </c>
      <c r="BQ343" t="s">
        <v>2716</v>
      </c>
      <c r="BR343" t="s">
        <v>995</v>
      </c>
      <c r="BU343">
        <v>0</v>
      </c>
      <c r="BV343">
        <v>0</v>
      </c>
      <c r="BW343">
        <v>0</v>
      </c>
      <c r="BX343">
        <v>0</v>
      </c>
      <c r="BY343">
        <v>0</v>
      </c>
      <c r="BZ343">
        <v>0</v>
      </c>
      <c r="CA343">
        <v>0</v>
      </c>
      <c r="CB343">
        <v>0</v>
      </c>
      <c r="CC343">
        <v>0</v>
      </c>
      <c r="CD343">
        <v>0</v>
      </c>
      <c r="CE343">
        <v>0</v>
      </c>
      <c r="CF343">
        <v>0</v>
      </c>
      <c r="CG343">
        <v>0</v>
      </c>
      <c r="CH343">
        <v>0</v>
      </c>
      <c r="CI343">
        <v>0</v>
      </c>
      <c r="CJ343">
        <v>0</v>
      </c>
      <c r="CK343">
        <v>0</v>
      </c>
      <c r="CL343">
        <v>0</v>
      </c>
      <c r="CM343">
        <v>0</v>
      </c>
      <c r="CR343" t="s">
        <v>2336</v>
      </c>
      <c r="CS343" s="1369" t="str">
        <f>INDEX([8]Sheet1!$H:$H,MATCH(CR:CR,[8]Sheet1!$AU:$AU,0))</f>
        <v>Project Management Unit</v>
      </c>
    </row>
    <row r="344" spans="1:97" x14ac:dyDescent="0.2">
      <c r="A344" t="s">
        <v>2876</v>
      </c>
      <c r="B344">
        <v>397</v>
      </c>
      <c r="C344" t="s">
        <v>2876</v>
      </c>
      <c r="D344">
        <v>41398</v>
      </c>
      <c r="E344" t="s">
        <v>2877</v>
      </c>
      <c r="F344">
        <v>2100</v>
      </c>
      <c r="G344" t="s">
        <v>565</v>
      </c>
      <c r="H344">
        <v>210001</v>
      </c>
      <c r="I344" t="s">
        <v>203</v>
      </c>
      <c r="J344" t="s">
        <v>2365</v>
      </c>
      <c r="K344" t="s">
        <v>2365</v>
      </c>
      <c r="L344">
        <v>1100</v>
      </c>
      <c r="M344" t="s">
        <v>616</v>
      </c>
      <c r="N344">
        <v>1110</v>
      </c>
      <c r="O344" t="s">
        <v>995</v>
      </c>
      <c r="P344" t="s">
        <v>2366</v>
      </c>
      <c r="Q344" t="s">
        <v>2364</v>
      </c>
      <c r="R344" t="s">
        <v>2364</v>
      </c>
      <c r="S344" t="s">
        <v>1881</v>
      </c>
      <c r="T344" t="s">
        <v>1812</v>
      </c>
      <c r="U344" t="s">
        <v>2365</v>
      </c>
      <c r="V344" t="s">
        <v>2365</v>
      </c>
      <c r="W344" t="s">
        <v>2365</v>
      </c>
      <c r="X344" t="s">
        <v>2365</v>
      </c>
      <c r="Y344" t="s">
        <v>2365</v>
      </c>
      <c r="Z344" t="s">
        <v>2365</v>
      </c>
      <c r="AA344" t="s">
        <v>2365</v>
      </c>
      <c r="AB344" t="s">
        <v>2365</v>
      </c>
      <c r="AC344" s="813" t="s">
        <v>2365</v>
      </c>
      <c r="AD344" s="813" t="s">
        <v>2365</v>
      </c>
      <c r="AE344" s="813" t="s">
        <v>2365</v>
      </c>
      <c r="AF344" t="s">
        <v>2365</v>
      </c>
      <c r="AG344" t="s">
        <v>2365</v>
      </c>
      <c r="AH344" t="s">
        <v>2365</v>
      </c>
      <c r="AI344" t="s">
        <v>2365</v>
      </c>
      <c r="AJ344" t="s">
        <v>2365</v>
      </c>
      <c r="AK344" t="s">
        <v>2365</v>
      </c>
      <c r="AL344" t="s">
        <v>2365</v>
      </c>
      <c r="AM344" t="s">
        <v>2365</v>
      </c>
      <c r="AN344" t="s">
        <v>2365</v>
      </c>
      <c r="AR344" t="s">
        <v>2365</v>
      </c>
      <c r="AS344" t="s">
        <v>2365</v>
      </c>
      <c r="AT344" t="s">
        <v>2365</v>
      </c>
      <c r="AU344" t="s">
        <v>2365</v>
      </c>
      <c r="AV344" t="s">
        <v>2365</v>
      </c>
      <c r="AW344" t="s">
        <v>2365</v>
      </c>
      <c r="AX344" t="s">
        <v>2365</v>
      </c>
      <c r="AY344" t="s">
        <v>2365</v>
      </c>
      <c r="AZ344" t="s">
        <v>2365</v>
      </c>
      <c r="BA344" t="s">
        <v>2365</v>
      </c>
      <c r="BB344" t="s">
        <v>2365</v>
      </c>
      <c r="BC344" t="s">
        <v>2365</v>
      </c>
      <c r="BD344" t="s">
        <v>2366</v>
      </c>
      <c r="BE344" t="s">
        <v>2365</v>
      </c>
      <c r="BF344" t="s">
        <v>2365</v>
      </c>
      <c r="BG344" t="s">
        <v>2365</v>
      </c>
      <c r="BH344" t="s">
        <v>2365</v>
      </c>
      <c r="BI344" t="s">
        <v>2366</v>
      </c>
      <c r="BJ344" t="s">
        <v>2365</v>
      </c>
      <c r="BK344" t="s">
        <v>2365</v>
      </c>
      <c r="BL344" t="s">
        <v>2365</v>
      </c>
      <c r="BM344" t="s">
        <v>2365</v>
      </c>
      <c r="BO344">
        <v>3</v>
      </c>
      <c r="BP344">
        <v>32</v>
      </c>
      <c r="BQ344" t="s">
        <v>2716</v>
      </c>
      <c r="BR344" t="s">
        <v>995</v>
      </c>
      <c r="BU344">
        <v>3077245</v>
      </c>
      <c r="BV344">
        <v>0</v>
      </c>
      <c r="BW344">
        <v>3077245</v>
      </c>
      <c r="BX344">
        <v>-2698324</v>
      </c>
      <c r="BY344">
        <v>378921</v>
      </c>
      <c r="BZ344">
        <v>397867</v>
      </c>
      <c r="CA344">
        <v>400771</v>
      </c>
      <c r="CB344">
        <v>263473.51</v>
      </c>
      <c r="CC344">
        <v>159085.35</v>
      </c>
      <c r="CD344">
        <v>159085.35</v>
      </c>
      <c r="CE344">
        <v>119355.94</v>
      </c>
      <c r="CF344">
        <v>159085.35</v>
      </c>
      <c r="CG344">
        <v>159085.35</v>
      </c>
      <c r="CH344">
        <v>159085.35</v>
      </c>
      <c r="CI344">
        <v>0</v>
      </c>
      <c r="CJ344">
        <v>0</v>
      </c>
      <c r="CK344">
        <v>0</v>
      </c>
      <c r="CL344">
        <v>0</v>
      </c>
      <c r="CM344">
        <v>0</v>
      </c>
      <c r="CR344" t="s">
        <v>2337</v>
      </c>
      <c r="CS344" s="1369" t="str">
        <f>INDEX([8]Sheet1!$H:$H,MATCH(CR:CR,[8]Sheet1!$AU:$AU,0))</f>
        <v>Corporate Wide Strategic Planning (IDPs, LEDs)</v>
      </c>
    </row>
    <row r="345" spans="1:97" x14ac:dyDescent="0.2">
      <c r="A345" t="s">
        <v>2878</v>
      </c>
      <c r="B345">
        <v>398</v>
      </c>
      <c r="C345" t="s">
        <v>2878</v>
      </c>
      <c r="D345">
        <v>41399</v>
      </c>
      <c r="E345" t="s">
        <v>2879</v>
      </c>
      <c r="F345">
        <v>2100</v>
      </c>
      <c r="G345" t="s">
        <v>565</v>
      </c>
      <c r="H345" s="1373">
        <v>210005</v>
      </c>
      <c r="I345" t="s">
        <v>1377</v>
      </c>
      <c r="J345" t="s">
        <v>2365</v>
      </c>
      <c r="K345" t="s">
        <v>2365</v>
      </c>
      <c r="L345" s="1373">
        <v>1100</v>
      </c>
      <c r="M345" t="s">
        <v>616</v>
      </c>
      <c r="N345">
        <v>1110</v>
      </c>
      <c r="O345" t="s">
        <v>995</v>
      </c>
      <c r="P345" t="s">
        <v>2366</v>
      </c>
      <c r="Q345" t="s">
        <v>2364</v>
      </c>
      <c r="R345" t="s">
        <v>2364</v>
      </c>
      <c r="S345" t="s">
        <v>1881</v>
      </c>
      <c r="T345" t="s">
        <v>1812</v>
      </c>
      <c r="U345" t="s">
        <v>2365</v>
      </c>
      <c r="V345" t="s">
        <v>2365</v>
      </c>
      <c r="W345" t="s">
        <v>2365</v>
      </c>
      <c r="X345" t="s">
        <v>2365</v>
      </c>
      <c r="Y345" t="s">
        <v>2365</v>
      </c>
      <c r="Z345" t="s">
        <v>2365</v>
      </c>
      <c r="AA345" t="s">
        <v>2365</v>
      </c>
      <c r="AB345" t="s">
        <v>2365</v>
      </c>
      <c r="AC345" s="813" t="s">
        <v>2365</v>
      </c>
      <c r="AD345" s="813" t="s">
        <v>2365</v>
      </c>
      <c r="AE345" s="813" t="s">
        <v>2365</v>
      </c>
      <c r="AF345" t="s">
        <v>2365</v>
      </c>
      <c r="AG345" t="s">
        <v>2365</v>
      </c>
      <c r="AH345" t="s">
        <v>2365</v>
      </c>
      <c r="AI345" t="s">
        <v>2365</v>
      </c>
      <c r="AJ345" t="s">
        <v>2365</v>
      </c>
      <c r="AK345" t="s">
        <v>2365</v>
      </c>
      <c r="AL345" t="s">
        <v>2365</v>
      </c>
      <c r="AM345" t="s">
        <v>2365</v>
      </c>
      <c r="AN345" t="s">
        <v>2365</v>
      </c>
      <c r="AR345" t="s">
        <v>2365</v>
      </c>
      <c r="AS345" t="s">
        <v>2365</v>
      </c>
      <c r="AT345" t="s">
        <v>2365</v>
      </c>
      <c r="AU345" t="s">
        <v>2365</v>
      </c>
      <c r="AV345" t="s">
        <v>2365</v>
      </c>
      <c r="AW345" t="s">
        <v>2365</v>
      </c>
      <c r="AX345" t="s">
        <v>2365</v>
      </c>
      <c r="AY345" t="s">
        <v>2365</v>
      </c>
      <c r="AZ345" t="s">
        <v>2365</v>
      </c>
      <c r="BA345" t="s">
        <v>2365</v>
      </c>
      <c r="BB345" t="s">
        <v>2365</v>
      </c>
      <c r="BC345" t="s">
        <v>2365</v>
      </c>
      <c r="BD345" t="s">
        <v>2366</v>
      </c>
      <c r="BE345" t="s">
        <v>2365</v>
      </c>
      <c r="BF345" t="s">
        <v>2365</v>
      </c>
      <c r="BG345" t="s">
        <v>2365</v>
      </c>
      <c r="BH345" t="s">
        <v>2365</v>
      </c>
      <c r="BI345" t="s">
        <v>2366</v>
      </c>
      <c r="BJ345" t="s">
        <v>2365</v>
      </c>
      <c r="BK345" t="s">
        <v>2365</v>
      </c>
      <c r="BL345" t="s">
        <v>2365</v>
      </c>
      <c r="BM345" t="s">
        <v>2365</v>
      </c>
      <c r="BO345">
        <v>3</v>
      </c>
      <c r="BP345">
        <v>32</v>
      </c>
      <c r="BQ345" t="s">
        <v>2716</v>
      </c>
      <c r="BR345" t="s">
        <v>995</v>
      </c>
      <c r="BU345" s="1371">
        <v>488400</v>
      </c>
      <c r="BV345" s="1371">
        <v>0</v>
      </c>
      <c r="BW345" s="1371">
        <v>488400</v>
      </c>
      <c r="BX345" s="1371">
        <v>-444000</v>
      </c>
      <c r="BY345" s="1371">
        <v>44400</v>
      </c>
      <c r="BZ345">
        <v>44400</v>
      </c>
      <c r="CA345">
        <v>44400</v>
      </c>
      <c r="CB345">
        <v>3700</v>
      </c>
      <c r="CC345">
        <v>25900</v>
      </c>
      <c r="CD345">
        <v>25900</v>
      </c>
      <c r="CE345">
        <v>2100</v>
      </c>
      <c r="CF345">
        <v>25900</v>
      </c>
      <c r="CG345">
        <v>25900</v>
      </c>
      <c r="CH345">
        <v>25900</v>
      </c>
      <c r="CI345">
        <v>0</v>
      </c>
      <c r="CJ345">
        <v>0</v>
      </c>
      <c r="CK345">
        <v>0</v>
      </c>
      <c r="CL345">
        <v>0</v>
      </c>
      <c r="CM345">
        <v>0</v>
      </c>
      <c r="CR345" t="s">
        <v>2337</v>
      </c>
      <c r="CS345" s="1369" t="str">
        <f>INDEX([8]Sheet1!$H:$H,MATCH(CR:CR,[8]Sheet1!$AU:$AU,0))</f>
        <v>Corporate Wide Strategic Planning (IDPs, LEDs)</v>
      </c>
    </row>
    <row r="346" spans="1:97" x14ac:dyDescent="0.2">
      <c r="A346" t="s">
        <v>2880</v>
      </c>
      <c r="B346">
        <v>399</v>
      </c>
      <c r="C346" t="s">
        <v>2880</v>
      </c>
      <c r="D346">
        <v>40955</v>
      </c>
      <c r="E346" t="s">
        <v>2526</v>
      </c>
      <c r="F346">
        <v>2900</v>
      </c>
      <c r="G346" t="s">
        <v>569</v>
      </c>
      <c r="H346" s="1373" t="s">
        <v>2366</v>
      </c>
      <c r="I346" t="s">
        <v>2366</v>
      </c>
      <c r="J346">
        <v>2904</v>
      </c>
      <c r="K346" t="s">
        <v>1432</v>
      </c>
      <c r="L346" s="1373">
        <v>3200</v>
      </c>
      <c r="M346" t="s">
        <v>625</v>
      </c>
      <c r="N346">
        <v>3205</v>
      </c>
      <c r="O346" t="s">
        <v>1002</v>
      </c>
      <c r="P346" t="s">
        <v>2366</v>
      </c>
      <c r="Q346" t="s">
        <v>2364</v>
      </c>
      <c r="R346" t="s">
        <v>2364</v>
      </c>
      <c r="S346" t="s">
        <v>1881</v>
      </c>
      <c r="T346" t="s">
        <v>1812</v>
      </c>
      <c r="U346" t="s">
        <v>2365</v>
      </c>
      <c r="V346" t="s">
        <v>2365</v>
      </c>
      <c r="W346" t="s">
        <v>2365</v>
      </c>
      <c r="X346" t="s">
        <v>2365</v>
      </c>
      <c r="Y346" t="s">
        <v>2365</v>
      </c>
      <c r="Z346" t="s">
        <v>2365</v>
      </c>
      <c r="AA346" t="s">
        <v>2365</v>
      </c>
      <c r="AB346" t="s">
        <v>2365</v>
      </c>
      <c r="AC346" s="813" t="s">
        <v>2365</v>
      </c>
      <c r="AD346" s="813" t="s">
        <v>2365</v>
      </c>
      <c r="AE346" s="813" t="s">
        <v>2365</v>
      </c>
      <c r="AF346" t="s">
        <v>2365</v>
      </c>
      <c r="AG346" t="s">
        <v>2365</v>
      </c>
      <c r="AH346" t="s">
        <v>2365</v>
      </c>
      <c r="AI346" t="s">
        <v>2365</v>
      </c>
      <c r="AJ346" t="s">
        <v>2365</v>
      </c>
      <c r="AK346" t="s">
        <v>2365</v>
      </c>
      <c r="AL346" t="s">
        <v>2365</v>
      </c>
      <c r="AM346" t="s">
        <v>2365</v>
      </c>
      <c r="AN346" t="s">
        <v>2365</v>
      </c>
      <c r="AR346" t="s">
        <v>2365</v>
      </c>
      <c r="AS346" t="s">
        <v>2365</v>
      </c>
      <c r="AT346" t="s">
        <v>2365</v>
      </c>
      <c r="AU346" t="s">
        <v>2365</v>
      </c>
      <c r="AV346" t="s">
        <v>2365</v>
      </c>
      <c r="AW346" t="s">
        <v>2365</v>
      </c>
      <c r="AX346" t="s">
        <v>2365</v>
      </c>
      <c r="AY346" t="s">
        <v>2365</v>
      </c>
      <c r="AZ346" t="s">
        <v>2365</v>
      </c>
      <c r="BA346" t="s">
        <v>2365</v>
      </c>
      <c r="BB346" t="s">
        <v>2365</v>
      </c>
      <c r="BC346" t="s">
        <v>2365</v>
      </c>
      <c r="BD346" t="s">
        <v>2366</v>
      </c>
      <c r="BE346" t="s">
        <v>2365</v>
      </c>
      <c r="BF346" t="s">
        <v>2365</v>
      </c>
      <c r="BG346" t="s">
        <v>2365</v>
      </c>
      <c r="BH346" t="s">
        <v>2365</v>
      </c>
      <c r="BI346" t="s">
        <v>2366</v>
      </c>
      <c r="BJ346" t="s">
        <v>2365</v>
      </c>
      <c r="BK346" t="s">
        <v>2365</v>
      </c>
      <c r="BL346" t="s">
        <v>2365</v>
      </c>
      <c r="BM346" t="s">
        <v>2365</v>
      </c>
      <c r="BO346">
        <v>7</v>
      </c>
      <c r="BP346">
        <v>71</v>
      </c>
      <c r="BQ346" t="s">
        <v>2665</v>
      </c>
      <c r="BR346" t="s">
        <v>1002</v>
      </c>
      <c r="BU346" s="1371">
        <v>10000</v>
      </c>
      <c r="BV346" s="1371">
        <v>0</v>
      </c>
      <c r="BW346" s="1371">
        <v>10000</v>
      </c>
      <c r="BX346" s="1371">
        <v>-10000</v>
      </c>
      <c r="BY346" s="1371">
        <v>0</v>
      </c>
      <c r="BZ346">
        <v>11000</v>
      </c>
      <c r="CA346">
        <v>12100</v>
      </c>
      <c r="CB346">
        <v>0</v>
      </c>
      <c r="CC346">
        <v>0</v>
      </c>
      <c r="CD346">
        <v>0</v>
      </c>
      <c r="CE346">
        <v>0</v>
      </c>
      <c r="CF346">
        <v>0</v>
      </c>
      <c r="CG346">
        <v>0</v>
      </c>
      <c r="CH346">
        <v>0</v>
      </c>
      <c r="CI346">
        <v>0</v>
      </c>
      <c r="CJ346">
        <v>0</v>
      </c>
      <c r="CK346">
        <v>0</v>
      </c>
      <c r="CL346">
        <v>0</v>
      </c>
      <c r="CM346">
        <v>0</v>
      </c>
      <c r="CR346" t="s">
        <v>2337</v>
      </c>
      <c r="CS346" s="1369" t="str">
        <f>INDEX([8]Sheet1!$H:$H,MATCH(CR:CR,[8]Sheet1!$AU:$AU,0))</f>
        <v>Corporate Wide Strategic Planning (IDPs, LEDs)</v>
      </c>
    </row>
    <row r="347" spans="1:97" x14ac:dyDescent="0.2">
      <c r="A347" t="s">
        <v>2881</v>
      </c>
      <c r="B347">
        <v>400</v>
      </c>
      <c r="C347" t="s">
        <v>2881</v>
      </c>
      <c r="D347">
        <v>40956</v>
      </c>
      <c r="E347" t="s">
        <v>2530</v>
      </c>
      <c r="F347">
        <v>2000</v>
      </c>
      <c r="G347" t="s">
        <v>652</v>
      </c>
      <c r="H347" s="1373" t="s">
        <v>2531</v>
      </c>
      <c r="I347" t="s">
        <v>1185</v>
      </c>
      <c r="J347">
        <v>2009</v>
      </c>
      <c r="K347" t="s">
        <v>1185</v>
      </c>
      <c r="L347" s="1373">
        <v>3200</v>
      </c>
      <c r="M347" t="s">
        <v>625</v>
      </c>
      <c r="N347">
        <v>3205</v>
      </c>
      <c r="O347" t="s">
        <v>1002</v>
      </c>
      <c r="P347" t="s">
        <v>2366</v>
      </c>
      <c r="Q347" t="s">
        <v>2364</v>
      </c>
      <c r="R347" t="s">
        <v>2364</v>
      </c>
      <c r="S347" t="s">
        <v>1881</v>
      </c>
      <c r="T347" t="s">
        <v>1812</v>
      </c>
      <c r="U347" t="s">
        <v>2365</v>
      </c>
      <c r="V347" t="s">
        <v>2365</v>
      </c>
      <c r="W347" t="s">
        <v>2365</v>
      </c>
      <c r="X347" t="s">
        <v>2365</v>
      </c>
      <c r="Y347" t="s">
        <v>2365</v>
      </c>
      <c r="Z347" t="s">
        <v>2365</v>
      </c>
      <c r="AA347" t="s">
        <v>2365</v>
      </c>
      <c r="AB347" t="s">
        <v>2365</v>
      </c>
      <c r="AC347" s="813" t="s">
        <v>2365</v>
      </c>
      <c r="AD347" s="813" t="s">
        <v>2365</v>
      </c>
      <c r="AE347" s="813" t="s">
        <v>2365</v>
      </c>
      <c r="AF347" t="s">
        <v>2365</v>
      </c>
      <c r="AG347" t="s">
        <v>2365</v>
      </c>
      <c r="AH347" t="s">
        <v>2365</v>
      </c>
      <c r="AI347" t="s">
        <v>2365</v>
      </c>
      <c r="AJ347" t="s">
        <v>2365</v>
      </c>
      <c r="AK347" t="s">
        <v>2365</v>
      </c>
      <c r="AL347" t="s">
        <v>2365</v>
      </c>
      <c r="AM347" t="s">
        <v>2365</v>
      </c>
      <c r="AN347" t="s">
        <v>2365</v>
      </c>
      <c r="AR347" t="s">
        <v>2365</v>
      </c>
      <c r="AS347" t="s">
        <v>2365</v>
      </c>
      <c r="AT347" t="s">
        <v>2365</v>
      </c>
      <c r="AU347" t="s">
        <v>2365</v>
      </c>
      <c r="AV347" t="s">
        <v>2365</v>
      </c>
      <c r="AW347" t="s">
        <v>2365</v>
      </c>
      <c r="AX347" t="s">
        <v>2365</v>
      </c>
      <c r="AY347" t="s">
        <v>2365</v>
      </c>
      <c r="AZ347" t="s">
        <v>2365</v>
      </c>
      <c r="BA347" t="s">
        <v>2365</v>
      </c>
      <c r="BB347" t="s">
        <v>2365</v>
      </c>
      <c r="BC347" t="s">
        <v>2365</v>
      </c>
      <c r="BD347" t="s">
        <v>2366</v>
      </c>
      <c r="BE347" t="s">
        <v>2365</v>
      </c>
      <c r="BF347" t="s">
        <v>2365</v>
      </c>
      <c r="BG347" t="s">
        <v>2365</v>
      </c>
      <c r="BH347" t="s">
        <v>2365</v>
      </c>
      <c r="BI347" t="s">
        <v>2366</v>
      </c>
      <c r="BJ347" t="s">
        <v>2365</v>
      </c>
      <c r="BK347" t="s">
        <v>2365</v>
      </c>
      <c r="BL347" t="s">
        <v>2365</v>
      </c>
      <c r="BM347" t="s">
        <v>2365</v>
      </c>
      <c r="BN347" t="s">
        <v>2177</v>
      </c>
      <c r="BO347">
        <v>7</v>
      </c>
      <c r="BP347">
        <v>71</v>
      </c>
      <c r="BQ347" t="s">
        <v>2665</v>
      </c>
      <c r="BR347" t="s">
        <v>1002</v>
      </c>
      <c r="BU347" s="1371">
        <v>1285</v>
      </c>
      <c r="BV347" s="1371">
        <v>0</v>
      </c>
      <c r="BW347" s="1371">
        <v>1285</v>
      </c>
      <c r="BX347" s="1371">
        <v>2000</v>
      </c>
      <c r="BY347" s="1371">
        <v>3285</v>
      </c>
      <c r="BZ347">
        <v>1375</v>
      </c>
      <c r="CA347">
        <v>1471</v>
      </c>
      <c r="CB347">
        <v>148.5</v>
      </c>
      <c r="CC347">
        <v>0</v>
      </c>
      <c r="CD347">
        <v>158.4</v>
      </c>
      <c r="CE347">
        <v>168.3</v>
      </c>
      <c r="CF347">
        <v>158.4</v>
      </c>
      <c r="CG347">
        <v>178.20000000000002</v>
      </c>
      <c r="CH347">
        <v>168.3</v>
      </c>
      <c r="CI347">
        <v>0</v>
      </c>
      <c r="CJ347">
        <v>0</v>
      </c>
      <c r="CK347">
        <v>0</v>
      </c>
      <c r="CL347">
        <v>0</v>
      </c>
      <c r="CM347">
        <v>0</v>
      </c>
      <c r="CR347" t="s">
        <v>2338</v>
      </c>
      <c r="CS347" s="1369" t="str">
        <f>INDEX([8]Sheet1!$H:$H,MATCH(CR:CR,[8]Sheet1!$AU:$AU,0))</f>
        <v>Town Planning, Building Regulations and Enforcement, and City Engineer</v>
      </c>
    </row>
    <row r="348" spans="1:97" x14ac:dyDescent="0.2">
      <c r="A348" t="s">
        <v>2882</v>
      </c>
      <c r="B348">
        <v>401</v>
      </c>
      <c r="C348" t="s">
        <v>2882</v>
      </c>
      <c r="D348">
        <v>40957</v>
      </c>
      <c r="E348" t="s">
        <v>2528</v>
      </c>
      <c r="F348">
        <v>2900</v>
      </c>
      <c r="G348" t="s">
        <v>569</v>
      </c>
      <c r="H348" s="1373" t="s">
        <v>2366</v>
      </c>
      <c r="I348" t="s">
        <v>2366</v>
      </c>
      <c r="J348">
        <v>2904</v>
      </c>
      <c r="K348" t="s">
        <v>1432</v>
      </c>
      <c r="L348" s="1373">
        <v>3200</v>
      </c>
      <c r="M348" t="s">
        <v>625</v>
      </c>
      <c r="N348">
        <v>3205</v>
      </c>
      <c r="O348" t="s">
        <v>1002</v>
      </c>
      <c r="P348" t="s">
        <v>2366</v>
      </c>
      <c r="Q348" t="s">
        <v>2364</v>
      </c>
      <c r="R348" t="s">
        <v>2364</v>
      </c>
      <c r="S348" t="s">
        <v>1881</v>
      </c>
      <c r="T348" t="s">
        <v>1812</v>
      </c>
      <c r="U348" t="s">
        <v>2365</v>
      </c>
      <c r="V348" t="s">
        <v>2365</v>
      </c>
      <c r="W348" t="s">
        <v>2365</v>
      </c>
      <c r="X348" t="s">
        <v>2365</v>
      </c>
      <c r="Y348" t="s">
        <v>2365</v>
      </c>
      <c r="Z348" t="s">
        <v>2365</v>
      </c>
      <c r="AA348" t="s">
        <v>2365</v>
      </c>
      <c r="AB348" t="s">
        <v>2365</v>
      </c>
      <c r="AC348" s="813" t="s">
        <v>2365</v>
      </c>
      <c r="AD348" s="813" t="s">
        <v>2365</v>
      </c>
      <c r="AE348" s="813" t="s">
        <v>2365</v>
      </c>
      <c r="AF348" t="s">
        <v>2365</v>
      </c>
      <c r="AG348" t="s">
        <v>2365</v>
      </c>
      <c r="AH348" t="s">
        <v>2365</v>
      </c>
      <c r="AI348" t="s">
        <v>2365</v>
      </c>
      <c r="AJ348" t="s">
        <v>2365</v>
      </c>
      <c r="AK348" t="s">
        <v>2365</v>
      </c>
      <c r="AL348" t="s">
        <v>2365</v>
      </c>
      <c r="AM348" t="s">
        <v>2365</v>
      </c>
      <c r="AN348" t="s">
        <v>2365</v>
      </c>
      <c r="AR348" t="s">
        <v>2365</v>
      </c>
      <c r="AS348" t="s">
        <v>2365</v>
      </c>
      <c r="AT348" t="s">
        <v>2365</v>
      </c>
      <c r="AU348" t="s">
        <v>2365</v>
      </c>
      <c r="AV348" t="s">
        <v>2365</v>
      </c>
      <c r="AW348" t="s">
        <v>2365</v>
      </c>
      <c r="AX348" t="s">
        <v>2365</v>
      </c>
      <c r="AY348" t="s">
        <v>2365</v>
      </c>
      <c r="AZ348" t="s">
        <v>2365</v>
      </c>
      <c r="BA348" t="s">
        <v>2365</v>
      </c>
      <c r="BB348" t="s">
        <v>2365</v>
      </c>
      <c r="BC348" t="s">
        <v>2365</v>
      </c>
      <c r="BD348" t="s">
        <v>2366</v>
      </c>
      <c r="BE348" t="s">
        <v>2365</v>
      </c>
      <c r="BF348" t="s">
        <v>2365</v>
      </c>
      <c r="BG348" t="s">
        <v>2365</v>
      </c>
      <c r="BH348" t="s">
        <v>2365</v>
      </c>
      <c r="BI348" t="s">
        <v>2366</v>
      </c>
      <c r="BJ348" t="s">
        <v>2365</v>
      </c>
      <c r="BK348" t="s">
        <v>2365</v>
      </c>
      <c r="BL348" t="s">
        <v>2365</v>
      </c>
      <c r="BM348" t="s">
        <v>2365</v>
      </c>
      <c r="BO348">
        <v>7</v>
      </c>
      <c r="BP348">
        <v>71</v>
      </c>
      <c r="BQ348" t="s">
        <v>2665</v>
      </c>
      <c r="BR348" t="s">
        <v>1002</v>
      </c>
      <c r="BU348" s="1371">
        <v>0</v>
      </c>
      <c r="BV348" s="1371">
        <v>0</v>
      </c>
      <c r="BW348" s="1371">
        <v>0</v>
      </c>
      <c r="BX348" s="1371">
        <v>0</v>
      </c>
      <c r="BY348" s="1371">
        <v>0</v>
      </c>
      <c r="BZ348">
        <v>0</v>
      </c>
      <c r="CA348">
        <v>0</v>
      </c>
      <c r="CB348">
        <v>0</v>
      </c>
      <c r="CC348">
        <v>4207.8999999999996</v>
      </c>
      <c r="CD348">
        <v>2511.34</v>
      </c>
      <c r="CE348">
        <v>2714.99</v>
      </c>
      <c r="CF348">
        <v>2540.21</v>
      </c>
      <c r="CG348">
        <v>2844.7699999999995</v>
      </c>
      <c r="CH348">
        <v>2692.02</v>
      </c>
      <c r="CI348">
        <v>0</v>
      </c>
      <c r="CJ348">
        <v>0</v>
      </c>
      <c r="CK348">
        <v>0</v>
      </c>
      <c r="CL348">
        <v>0</v>
      </c>
      <c r="CM348">
        <v>0</v>
      </c>
      <c r="CR348" t="s">
        <v>2336</v>
      </c>
      <c r="CS348" s="1369" t="str">
        <f>INDEX([8]Sheet1!$H:$H,MATCH(CR:CR,[8]Sheet1!$AU:$AU,0))</f>
        <v>Project Management Unit</v>
      </c>
    </row>
    <row r="349" spans="1:97" x14ac:dyDescent="0.2">
      <c r="A349" t="s">
        <v>2883</v>
      </c>
      <c r="B349">
        <v>402</v>
      </c>
      <c r="C349" t="s">
        <v>2883</v>
      </c>
      <c r="D349">
        <v>40958</v>
      </c>
      <c r="E349" t="s">
        <v>2533</v>
      </c>
      <c r="F349">
        <v>2000</v>
      </c>
      <c r="G349" t="s">
        <v>652</v>
      </c>
      <c r="H349" t="s">
        <v>2534</v>
      </c>
      <c r="I349" t="s">
        <v>196</v>
      </c>
      <c r="J349">
        <v>2003</v>
      </c>
      <c r="K349" t="s">
        <v>196</v>
      </c>
      <c r="L349">
        <v>3200</v>
      </c>
      <c r="M349" t="s">
        <v>625</v>
      </c>
      <c r="N349">
        <v>3205</v>
      </c>
      <c r="O349" t="s">
        <v>1002</v>
      </c>
      <c r="P349" t="s">
        <v>2366</v>
      </c>
      <c r="Q349" t="s">
        <v>2364</v>
      </c>
      <c r="R349" t="s">
        <v>2364</v>
      </c>
      <c r="S349" t="s">
        <v>1881</v>
      </c>
      <c r="T349" t="s">
        <v>1812</v>
      </c>
      <c r="U349" t="s">
        <v>2365</v>
      </c>
      <c r="V349" t="s">
        <v>2365</v>
      </c>
      <c r="W349" t="s">
        <v>2365</v>
      </c>
      <c r="X349" t="s">
        <v>2365</v>
      </c>
      <c r="Y349" t="s">
        <v>2365</v>
      </c>
      <c r="Z349" t="s">
        <v>2365</v>
      </c>
      <c r="AA349" t="s">
        <v>2365</v>
      </c>
      <c r="AB349" t="s">
        <v>2365</v>
      </c>
      <c r="AC349" s="813" t="s">
        <v>2365</v>
      </c>
      <c r="AD349" s="813" t="s">
        <v>2365</v>
      </c>
      <c r="AE349" s="813" t="s">
        <v>2365</v>
      </c>
      <c r="AF349" t="s">
        <v>2365</v>
      </c>
      <c r="AG349" t="s">
        <v>2365</v>
      </c>
      <c r="AH349" t="s">
        <v>2365</v>
      </c>
      <c r="AI349" t="s">
        <v>2365</v>
      </c>
      <c r="AJ349" t="s">
        <v>2365</v>
      </c>
      <c r="AK349" t="s">
        <v>2365</v>
      </c>
      <c r="AL349" t="s">
        <v>2365</v>
      </c>
      <c r="AM349" t="s">
        <v>2365</v>
      </c>
      <c r="AN349" t="s">
        <v>2365</v>
      </c>
      <c r="AR349" t="s">
        <v>2365</v>
      </c>
      <c r="AS349" t="s">
        <v>2365</v>
      </c>
      <c r="AT349" t="s">
        <v>2365</v>
      </c>
      <c r="AU349" t="s">
        <v>2365</v>
      </c>
      <c r="AV349" t="s">
        <v>2365</v>
      </c>
      <c r="AW349" t="s">
        <v>2365</v>
      </c>
      <c r="AX349" t="s">
        <v>2365</v>
      </c>
      <c r="AY349" t="s">
        <v>2365</v>
      </c>
      <c r="AZ349" t="s">
        <v>2365</v>
      </c>
      <c r="BA349" t="s">
        <v>2365</v>
      </c>
      <c r="BB349" t="s">
        <v>2365</v>
      </c>
      <c r="BC349" t="s">
        <v>2365</v>
      </c>
      <c r="BD349" t="s">
        <v>2366</v>
      </c>
      <c r="BE349" t="s">
        <v>2365</v>
      </c>
      <c r="BF349" t="s">
        <v>2365</v>
      </c>
      <c r="BG349" t="s">
        <v>2365</v>
      </c>
      <c r="BH349" t="s">
        <v>2365</v>
      </c>
      <c r="BI349" t="s">
        <v>2366</v>
      </c>
      <c r="BJ349" t="s">
        <v>2365</v>
      </c>
      <c r="BK349" t="s">
        <v>2365</v>
      </c>
      <c r="BL349" t="s">
        <v>2365</v>
      </c>
      <c r="BM349" t="s">
        <v>2365</v>
      </c>
      <c r="BN349" t="s">
        <v>2177</v>
      </c>
      <c r="BO349">
        <v>7</v>
      </c>
      <c r="BP349">
        <v>71</v>
      </c>
      <c r="BQ349" t="s">
        <v>2665</v>
      </c>
      <c r="BR349" t="s">
        <v>1002</v>
      </c>
      <c r="BU349">
        <v>283086</v>
      </c>
      <c r="BV349">
        <v>0</v>
      </c>
      <c r="BW349">
        <v>283086</v>
      </c>
      <c r="BX349">
        <v>0</v>
      </c>
      <c r="BY349">
        <v>283086</v>
      </c>
      <c r="BZ349">
        <v>302902</v>
      </c>
      <c r="CA349">
        <v>324105</v>
      </c>
      <c r="CB349">
        <v>22594.2</v>
      </c>
      <c r="CC349">
        <v>15854.4</v>
      </c>
      <c r="CD349">
        <v>22594.2</v>
      </c>
      <c r="CE349">
        <v>22594.2</v>
      </c>
      <c r="CF349">
        <v>22594.2</v>
      </c>
      <c r="CG349">
        <v>24329.399999999998</v>
      </c>
      <c r="CH349">
        <v>25501.8</v>
      </c>
      <c r="CI349">
        <v>0</v>
      </c>
      <c r="CJ349">
        <v>0</v>
      </c>
      <c r="CK349">
        <v>0</v>
      </c>
      <c r="CL349">
        <v>0</v>
      </c>
      <c r="CM349">
        <v>0</v>
      </c>
      <c r="CR349" t="s">
        <v>2338</v>
      </c>
      <c r="CS349" s="1369" t="str">
        <f>INDEX([8]Sheet1!$H:$H,MATCH(CR:CR,[8]Sheet1!$AU:$AU,0))</f>
        <v>Town Planning, Building Regulations and Enforcement, and City Engineer</v>
      </c>
    </row>
    <row r="350" spans="1:97" x14ac:dyDescent="0.2">
      <c r="A350" t="s">
        <v>2884</v>
      </c>
      <c r="B350">
        <v>403</v>
      </c>
      <c r="C350" t="s">
        <v>2884</v>
      </c>
      <c r="D350">
        <v>40959</v>
      </c>
      <c r="E350" t="s">
        <v>2536</v>
      </c>
      <c r="F350">
        <v>2000</v>
      </c>
      <c r="G350" t="s">
        <v>652</v>
      </c>
      <c r="H350" t="s">
        <v>2472</v>
      </c>
      <c r="I350" t="s">
        <v>1375</v>
      </c>
      <c r="J350">
        <v>2002</v>
      </c>
      <c r="K350" t="s">
        <v>1375</v>
      </c>
      <c r="L350">
        <v>3200</v>
      </c>
      <c r="M350" t="s">
        <v>625</v>
      </c>
      <c r="N350">
        <v>3205</v>
      </c>
      <c r="O350" t="s">
        <v>1002</v>
      </c>
      <c r="P350" t="s">
        <v>2366</v>
      </c>
      <c r="Q350" t="s">
        <v>2364</v>
      </c>
      <c r="R350" t="s">
        <v>2364</v>
      </c>
      <c r="S350" t="s">
        <v>1881</v>
      </c>
      <c r="T350" t="s">
        <v>1812</v>
      </c>
      <c r="U350" t="s">
        <v>2365</v>
      </c>
      <c r="V350" t="s">
        <v>2365</v>
      </c>
      <c r="W350" t="s">
        <v>2365</v>
      </c>
      <c r="X350" t="s">
        <v>2365</v>
      </c>
      <c r="Y350" t="s">
        <v>2365</v>
      </c>
      <c r="Z350" t="s">
        <v>2365</v>
      </c>
      <c r="AA350" t="s">
        <v>2365</v>
      </c>
      <c r="AB350" t="s">
        <v>2365</v>
      </c>
      <c r="AC350" s="813" t="s">
        <v>2365</v>
      </c>
      <c r="AD350" s="813" t="s">
        <v>2365</v>
      </c>
      <c r="AE350" s="813" t="s">
        <v>2365</v>
      </c>
      <c r="AF350" t="s">
        <v>2365</v>
      </c>
      <c r="AG350" t="s">
        <v>2365</v>
      </c>
      <c r="AH350" t="s">
        <v>2365</v>
      </c>
      <c r="AI350" t="s">
        <v>2365</v>
      </c>
      <c r="AJ350" t="s">
        <v>2365</v>
      </c>
      <c r="AK350" t="s">
        <v>2365</v>
      </c>
      <c r="AL350" t="s">
        <v>2365</v>
      </c>
      <c r="AM350" t="s">
        <v>2365</v>
      </c>
      <c r="AN350" t="s">
        <v>2365</v>
      </c>
      <c r="AR350" t="s">
        <v>2365</v>
      </c>
      <c r="AS350" t="s">
        <v>2365</v>
      </c>
      <c r="AT350" t="s">
        <v>2365</v>
      </c>
      <c r="AU350" t="s">
        <v>2365</v>
      </c>
      <c r="AV350" t="s">
        <v>2365</v>
      </c>
      <c r="AW350" t="s">
        <v>2365</v>
      </c>
      <c r="AX350" t="s">
        <v>2365</v>
      </c>
      <c r="AY350" t="s">
        <v>2365</v>
      </c>
      <c r="AZ350" t="s">
        <v>2365</v>
      </c>
      <c r="BA350" t="s">
        <v>2365</v>
      </c>
      <c r="BB350" t="s">
        <v>2365</v>
      </c>
      <c r="BC350" t="s">
        <v>2365</v>
      </c>
      <c r="BD350" t="s">
        <v>2366</v>
      </c>
      <c r="BE350" t="s">
        <v>2365</v>
      </c>
      <c r="BF350" t="s">
        <v>2365</v>
      </c>
      <c r="BG350" t="s">
        <v>2365</v>
      </c>
      <c r="BH350" t="s">
        <v>2365</v>
      </c>
      <c r="BI350" t="s">
        <v>2366</v>
      </c>
      <c r="BJ350" t="s">
        <v>2365</v>
      </c>
      <c r="BK350" t="s">
        <v>2365</v>
      </c>
      <c r="BL350" t="s">
        <v>2365</v>
      </c>
      <c r="BM350" t="s">
        <v>2365</v>
      </c>
      <c r="BN350" t="s">
        <v>2177</v>
      </c>
      <c r="BO350">
        <v>7</v>
      </c>
      <c r="BP350">
        <v>71</v>
      </c>
      <c r="BQ350" t="s">
        <v>2665</v>
      </c>
      <c r="BR350" t="s">
        <v>1002</v>
      </c>
      <c r="BU350">
        <v>636944</v>
      </c>
      <c r="BV350">
        <v>0</v>
      </c>
      <c r="BW350">
        <v>636944</v>
      </c>
      <c r="BX350">
        <v>0</v>
      </c>
      <c r="BY350">
        <v>636944</v>
      </c>
      <c r="BZ350">
        <v>681530</v>
      </c>
      <c r="CA350">
        <v>729237</v>
      </c>
      <c r="CB350">
        <v>74907.33</v>
      </c>
      <c r="CC350">
        <v>44749.46</v>
      </c>
      <c r="CD350">
        <v>74115.5</v>
      </c>
      <c r="CE350">
        <v>74083.41</v>
      </c>
      <c r="CF350">
        <v>75850.990000000005</v>
      </c>
      <c r="CG350">
        <v>83471.459999999992</v>
      </c>
      <c r="CH350">
        <v>80959.900000000009</v>
      </c>
      <c r="CI350">
        <v>0</v>
      </c>
      <c r="CJ350">
        <v>0</v>
      </c>
      <c r="CK350">
        <v>0</v>
      </c>
      <c r="CL350">
        <v>0</v>
      </c>
      <c r="CM350">
        <v>0</v>
      </c>
      <c r="CR350" t="s">
        <v>2338</v>
      </c>
      <c r="CS350" s="1369" t="str">
        <f>INDEX([8]Sheet1!$H:$H,MATCH(CR:CR,[8]Sheet1!$AU:$AU,0))</f>
        <v>Town Planning, Building Regulations and Enforcement, and City Engineer</v>
      </c>
    </row>
    <row r="351" spans="1:97" x14ac:dyDescent="0.2">
      <c r="A351" t="s">
        <v>2885</v>
      </c>
      <c r="B351">
        <v>404</v>
      </c>
      <c r="C351" t="s">
        <v>2885</v>
      </c>
      <c r="D351">
        <v>40960</v>
      </c>
      <c r="E351" t="s">
        <v>2471</v>
      </c>
      <c r="F351">
        <v>2000</v>
      </c>
      <c r="G351" t="s">
        <v>652</v>
      </c>
      <c r="H351" t="s">
        <v>2472</v>
      </c>
      <c r="I351" t="s">
        <v>1375</v>
      </c>
      <c r="J351">
        <v>2002</v>
      </c>
      <c r="K351" t="s">
        <v>1375</v>
      </c>
      <c r="L351">
        <v>3200</v>
      </c>
      <c r="M351" t="s">
        <v>625</v>
      </c>
      <c r="N351">
        <v>3205</v>
      </c>
      <c r="O351" t="s">
        <v>1002</v>
      </c>
      <c r="P351" t="s">
        <v>2366</v>
      </c>
      <c r="Q351" t="s">
        <v>2364</v>
      </c>
      <c r="R351" t="s">
        <v>2364</v>
      </c>
      <c r="S351" t="s">
        <v>1881</v>
      </c>
      <c r="T351" t="s">
        <v>1812</v>
      </c>
      <c r="U351" t="s">
        <v>2365</v>
      </c>
      <c r="V351" t="s">
        <v>2365</v>
      </c>
      <c r="W351" t="s">
        <v>2365</v>
      </c>
      <c r="X351" t="s">
        <v>2365</v>
      </c>
      <c r="Y351" t="s">
        <v>2365</v>
      </c>
      <c r="Z351" t="s">
        <v>2365</v>
      </c>
      <c r="AA351" t="s">
        <v>2365</v>
      </c>
      <c r="AB351" t="s">
        <v>2365</v>
      </c>
      <c r="AC351" s="813" t="s">
        <v>2365</v>
      </c>
      <c r="AD351" s="813" t="s">
        <v>2365</v>
      </c>
      <c r="AE351" s="813" t="s">
        <v>2365</v>
      </c>
      <c r="AF351" t="s">
        <v>2365</v>
      </c>
      <c r="AG351" t="s">
        <v>2365</v>
      </c>
      <c r="AH351" t="s">
        <v>2365</v>
      </c>
      <c r="AI351" t="s">
        <v>2365</v>
      </c>
      <c r="AJ351" t="s">
        <v>2365</v>
      </c>
      <c r="AK351" t="s">
        <v>2365</v>
      </c>
      <c r="AL351" t="s">
        <v>2365</v>
      </c>
      <c r="AM351" t="s">
        <v>2365</v>
      </c>
      <c r="AN351" t="s">
        <v>2365</v>
      </c>
      <c r="AR351" t="s">
        <v>2365</v>
      </c>
      <c r="AS351" t="s">
        <v>2365</v>
      </c>
      <c r="AT351" t="s">
        <v>2365</v>
      </c>
      <c r="AU351" t="s">
        <v>2365</v>
      </c>
      <c r="AV351" t="s">
        <v>2365</v>
      </c>
      <c r="AW351" t="s">
        <v>2365</v>
      </c>
      <c r="AX351" t="s">
        <v>2365</v>
      </c>
      <c r="AY351" t="s">
        <v>2365</v>
      </c>
      <c r="AZ351" t="s">
        <v>2365</v>
      </c>
      <c r="BA351" t="s">
        <v>2365</v>
      </c>
      <c r="BB351" t="s">
        <v>2365</v>
      </c>
      <c r="BC351" t="s">
        <v>2365</v>
      </c>
      <c r="BD351" t="s">
        <v>2366</v>
      </c>
      <c r="BE351" t="s">
        <v>2365</v>
      </c>
      <c r="BF351" t="s">
        <v>2365</v>
      </c>
      <c r="BG351" t="s">
        <v>2365</v>
      </c>
      <c r="BH351" t="s">
        <v>2365</v>
      </c>
      <c r="BI351" t="s">
        <v>2366</v>
      </c>
      <c r="BJ351" t="s">
        <v>2365</v>
      </c>
      <c r="BK351" t="s">
        <v>2365</v>
      </c>
      <c r="BL351" t="s">
        <v>2365</v>
      </c>
      <c r="BM351" t="s">
        <v>2365</v>
      </c>
      <c r="BN351" t="s">
        <v>2177</v>
      </c>
      <c r="BO351">
        <v>7</v>
      </c>
      <c r="BP351">
        <v>71</v>
      </c>
      <c r="BQ351" t="s">
        <v>2665</v>
      </c>
      <c r="BR351" t="s">
        <v>1002</v>
      </c>
      <c r="BU351">
        <v>36991</v>
      </c>
      <c r="BV351">
        <v>0</v>
      </c>
      <c r="BW351">
        <v>36991</v>
      </c>
      <c r="BX351">
        <v>0</v>
      </c>
      <c r="BY351">
        <v>36991</v>
      </c>
      <c r="BZ351">
        <v>39580</v>
      </c>
      <c r="CA351">
        <v>42351</v>
      </c>
      <c r="CB351">
        <v>6398.53</v>
      </c>
      <c r="CC351">
        <v>2482.4499999999998</v>
      </c>
      <c r="CD351">
        <v>0</v>
      </c>
      <c r="CE351">
        <v>148.72</v>
      </c>
      <c r="CF351">
        <v>0</v>
      </c>
      <c r="CG351">
        <v>0</v>
      </c>
      <c r="CH351">
        <v>0</v>
      </c>
      <c r="CI351">
        <v>0</v>
      </c>
      <c r="CJ351">
        <v>0</v>
      </c>
      <c r="CK351">
        <v>0</v>
      </c>
      <c r="CL351">
        <v>0</v>
      </c>
      <c r="CM351">
        <v>0</v>
      </c>
      <c r="CR351" t="s">
        <v>2336</v>
      </c>
      <c r="CS351" s="1369" t="str">
        <f>INDEX([8]Sheet1!$H:$H,MATCH(CR:CR,[8]Sheet1!$AU:$AU,0))</f>
        <v>Project Management Unit</v>
      </c>
    </row>
    <row r="352" spans="1:97" x14ac:dyDescent="0.2">
      <c r="A352" t="s">
        <v>2886</v>
      </c>
      <c r="B352">
        <v>405</v>
      </c>
      <c r="C352" t="s">
        <v>2886</v>
      </c>
      <c r="D352">
        <v>40961</v>
      </c>
      <c r="E352" t="s">
        <v>2539</v>
      </c>
      <c r="F352">
        <v>2000</v>
      </c>
      <c r="G352" t="s">
        <v>652</v>
      </c>
      <c r="H352" t="s">
        <v>2540</v>
      </c>
      <c r="I352" t="s">
        <v>1157</v>
      </c>
      <c r="J352">
        <v>2009</v>
      </c>
      <c r="K352" t="s">
        <v>1185</v>
      </c>
      <c r="L352">
        <v>3200</v>
      </c>
      <c r="M352" t="s">
        <v>625</v>
      </c>
      <c r="N352">
        <v>3205</v>
      </c>
      <c r="O352" t="s">
        <v>1002</v>
      </c>
      <c r="P352" t="s">
        <v>2366</v>
      </c>
      <c r="Q352" t="s">
        <v>2364</v>
      </c>
      <c r="R352" t="s">
        <v>2364</v>
      </c>
      <c r="S352" t="s">
        <v>1881</v>
      </c>
      <c r="T352" t="s">
        <v>1812</v>
      </c>
      <c r="U352" t="s">
        <v>2365</v>
      </c>
      <c r="V352" t="s">
        <v>2365</v>
      </c>
      <c r="W352" t="s">
        <v>2365</v>
      </c>
      <c r="X352" t="s">
        <v>2365</v>
      </c>
      <c r="Y352" t="s">
        <v>2365</v>
      </c>
      <c r="Z352" t="s">
        <v>2365</v>
      </c>
      <c r="AA352" t="s">
        <v>2365</v>
      </c>
      <c r="AB352" t="s">
        <v>2365</v>
      </c>
      <c r="AC352" s="813" t="s">
        <v>2365</v>
      </c>
      <c r="AD352" s="813" t="s">
        <v>2365</v>
      </c>
      <c r="AE352" s="813" t="s">
        <v>2365</v>
      </c>
      <c r="AF352" t="s">
        <v>2365</v>
      </c>
      <c r="AG352" t="s">
        <v>2365</v>
      </c>
      <c r="AH352" t="s">
        <v>2365</v>
      </c>
      <c r="AI352" t="s">
        <v>2365</v>
      </c>
      <c r="AJ352" t="s">
        <v>2365</v>
      </c>
      <c r="AK352" t="s">
        <v>2365</v>
      </c>
      <c r="AL352" t="s">
        <v>2365</v>
      </c>
      <c r="AM352" t="s">
        <v>2365</v>
      </c>
      <c r="AN352" t="s">
        <v>2365</v>
      </c>
      <c r="AR352" t="s">
        <v>2365</v>
      </c>
      <c r="AS352" t="s">
        <v>2365</v>
      </c>
      <c r="AT352" t="s">
        <v>2365</v>
      </c>
      <c r="AU352" t="s">
        <v>2365</v>
      </c>
      <c r="AV352" t="s">
        <v>2365</v>
      </c>
      <c r="AW352" t="s">
        <v>2365</v>
      </c>
      <c r="AX352" t="s">
        <v>2365</v>
      </c>
      <c r="AY352" t="s">
        <v>2365</v>
      </c>
      <c r="AZ352" t="s">
        <v>2365</v>
      </c>
      <c r="BA352" t="s">
        <v>2365</v>
      </c>
      <c r="BB352" t="s">
        <v>2365</v>
      </c>
      <c r="BC352" t="s">
        <v>2365</v>
      </c>
      <c r="BD352" t="s">
        <v>2366</v>
      </c>
      <c r="BE352" t="s">
        <v>2365</v>
      </c>
      <c r="BF352" t="s">
        <v>2365</v>
      </c>
      <c r="BG352" t="s">
        <v>2365</v>
      </c>
      <c r="BH352" t="s">
        <v>2365</v>
      </c>
      <c r="BI352" t="s">
        <v>2366</v>
      </c>
      <c r="BJ352" t="s">
        <v>2365</v>
      </c>
      <c r="BK352" t="s">
        <v>2365</v>
      </c>
      <c r="BL352" t="s">
        <v>2365</v>
      </c>
      <c r="BM352" t="s">
        <v>2365</v>
      </c>
      <c r="BN352" t="s">
        <v>2177</v>
      </c>
      <c r="BO352">
        <v>7</v>
      </c>
      <c r="BP352">
        <v>71</v>
      </c>
      <c r="BQ352" t="s">
        <v>2665</v>
      </c>
      <c r="BR352" t="s">
        <v>1002</v>
      </c>
      <c r="BU352">
        <v>0</v>
      </c>
      <c r="BV352">
        <v>0</v>
      </c>
      <c r="BW352">
        <v>0</v>
      </c>
      <c r="BX352">
        <v>70000</v>
      </c>
      <c r="BY352">
        <v>70000</v>
      </c>
      <c r="BZ352">
        <v>0</v>
      </c>
      <c r="CA352">
        <v>0</v>
      </c>
      <c r="CB352">
        <v>0</v>
      </c>
      <c r="CC352">
        <v>13787.259999999998</v>
      </c>
      <c r="CD352">
        <v>5151.3999999999996</v>
      </c>
      <c r="CE352">
        <v>0</v>
      </c>
      <c r="CF352">
        <v>15109.279999999999</v>
      </c>
      <c r="CG352">
        <v>0</v>
      </c>
      <c r="CH352">
        <v>17427.009999999998</v>
      </c>
      <c r="CI352">
        <v>0</v>
      </c>
      <c r="CJ352">
        <v>0</v>
      </c>
      <c r="CK352">
        <v>0</v>
      </c>
      <c r="CL352">
        <v>0</v>
      </c>
      <c r="CM352">
        <v>0</v>
      </c>
      <c r="CR352" t="s">
        <v>2330</v>
      </c>
      <c r="CS352" s="1369" t="str">
        <f>INDEX([8]Sheet1!$H:$H,MATCH(CR:CR,[8]Sheet1!$AU:$AU,0))</f>
        <v>Water Treatment</v>
      </c>
    </row>
    <row r="353" spans="1:97" x14ac:dyDescent="0.2">
      <c r="A353" t="s">
        <v>2887</v>
      </c>
      <c r="B353">
        <v>406</v>
      </c>
      <c r="C353" t="s">
        <v>2887</v>
      </c>
      <c r="D353">
        <v>40962</v>
      </c>
      <c r="E353" t="s">
        <v>2542</v>
      </c>
      <c r="F353">
        <v>2000</v>
      </c>
      <c r="G353" t="s">
        <v>652</v>
      </c>
      <c r="H353" t="s">
        <v>2540</v>
      </c>
      <c r="I353" t="s">
        <v>1157</v>
      </c>
      <c r="J353">
        <v>2009</v>
      </c>
      <c r="K353" t="s">
        <v>1185</v>
      </c>
      <c r="L353">
        <v>3200</v>
      </c>
      <c r="M353" t="s">
        <v>625</v>
      </c>
      <c r="N353">
        <v>3205</v>
      </c>
      <c r="O353" t="s">
        <v>1002</v>
      </c>
      <c r="P353" t="s">
        <v>2366</v>
      </c>
      <c r="Q353" t="s">
        <v>2364</v>
      </c>
      <c r="R353" t="s">
        <v>2364</v>
      </c>
      <c r="S353" t="s">
        <v>1881</v>
      </c>
      <c r="T353" t="s">
        <v>1812</v>
      </c>
      <c r="U353" t="s">
        <v>2365</v>
      </c>
      <c r="V353" t="s">
        <v>2365</v>
      </c>
      <c r="W353" t="s">
        <v>2365</v>
      </c>
      <c r="X353" t="s">
        <v>2365</v>
      </c>
      <c r="Y353" t="s">
        <v>2365</v>
      </c>
      <c r="Z353" t="s">
        <v>2365</v>
      </c>
      <c r="AA353" t="s">
        <v>2365</v>
      </c>
      <c r="AB353" t="s">
        <v>2365</v>
      </c>
      <c r="AC353" s="813" t="s">
        <v>2365</v>
      </c>
      <c r="AD353" s="813" t="s">
        <v>2365</v>
      </c>
      <c r="AE353" s="813" t="s">
        <v>2365</v>
      </c>
      <c r="AF353" t="s">
        <v>2365</v>
      </c>
      <c r="AG353" t="s">
        <v>2365</v>
      </c>
      <c r="AH353" t="s">
        <v>2365</v>
      </c>
      <c r="AI353" t="s">
        <v>2365</v>
      </c>
      <c r="AJ353" t="s">
        <v>2365</v>
      </c>
      <c r="AK353" t="s">
        <v>2365</v>
      </c>
      <c r="AL353" t="s">
        <v>2365</v>
      </c>
      <c r="AM353" t="s">
        <v>2365</v>
      </c>
      <c r="AN353" t="s">
        <v>2365</v>
      </c>
      <c r="AR353" t="s">
        <v>2365</v>
      </c>
      <c r="AS353" t="s">
        <v>2365</v>
      </c>
      <c r="AT353" t="s">
        <v>2365</v>
      </c>
      <c r="AU353" t="s">
        <v>2365</v>
      </c>
      <c r="AV353" t="s">
        <v>2365</v>
      </c>
      <c r="AW353" t="s">
        <v>2365</v>
      </c>
      <c r="AX353" t="s">
        <v>2365</v>
      </c>
      <c r="AY353" t="s">
        <v>2365</v>
      </c>
      <c r="AZ353" t="s">
        <v>2365</v>
      </c>
      <c r="BA353" t="s">
        <v>2365</v>
      </c>
      <c r="BB353" t="s">
        <v>2365</v>
      </c>
      <c r="BC353" t="s">
        <v>2365</v>
      </c>
      <c r="BD353" t="s">
        <v>2366</v>
      </c>
      <c r="BE353" t="s">
        <v>2365</v>
      </c>
      <c r="BF353" t="s">
        <v>2365</v>
      </c>
      <c r="BG353" t="s">
        <v>2365</v>
      </c>
      <c r="BH353" t="s">
        <v>2365</v>
      </c>
      <c r="BI353" t="s">
        <v>2366</v>
      </c>
      <c r="BJ353" t="s">
        <v>2365</v>
      </c>
      <c r="BK353" t="s">
        <v>2365</v>
      </c>
      <c r="BL353" t="s">
        <v>2365</v>
      </c>
      <c r="BM353" t="s">
        <v>2365</v>
      </c>
      <c r="BN353" t="s">
        <v>2177</v>
      </c>
      <c r="BO353">
        <v>7</v>
      </c>
      <c r="BP353">
        <v>71</v>
      </c>
      <c r="BQ353" t="s">
        <v>2665</v>
      </c>
      <c r="BR353" t="s">
        <v>1002</v>
      </c>
      <c r="BU353">
        <v>82754</v>
      </c>
      <c r="BV353">
        <v>0</v>
      </c>
      <c r="BW353">
        <v>82754</v>
      </c>
      <c r="BX353">
        <v>0</v>
      </c>
      <c r="BY353">
        <v>82754</v>
      </c>
      <c r="BZ353">
        <v>88547</v>
      </c>
      <c r="CA353">
        <v>94745</v>
      </c>
      <c r="CB353">
        <v>0</v>
      </c>
      <c r="CC353">
        <v>0</v>
      </c>
      <c r="CD353">
        <v>0</v>
      </c>
      <c r="CE353">
        <v>0</v>
      </c>
      <c r="CF353">
        <v>0</v>
      </c>
      <c r="CG353">
        <v>0</v>
      </c>
      <c r="CH353">
        <v>0</v>
      </c>
      <c r="CI353">
        <v>0</v>
      </c>
      <c r="CJ353">
        <v>0</v>
      </c>
      <c r="CK353">
        <v>0</v>
      </c>
      <c r="CL353">
        <v>0</v>
      </c>
      <c r="CM353">
        <v>0</v>
      </c>
      <c r="CR353" t="s">
        <v>2327</v>
      </c>
      <c r="CS353" s="1369" t="str">
        <f>INDEX([8]Sheet1!$H:$H,MATCH(CR:CR,[8]Sheet1!$AU:$AU,0))</f>
        <v>Education</v>
      </c>
    </row>
    <row r="354" spans="1:97" x14ac:dyDescent="0.2">
      <c r="A354" t="s">
        <v>2888</v>
      </c>
      <c r="B354">
        <v>407</v>
      </c>
      <c r="C354" t="s">
        <v>2888</v>
      </c>
      <c r="D354">
        <v>40963</v>
      </c>
      <c r="E354" t="s">
        <v>2544</v>
      </c>
      <c r="F354">
        <v>2000</v>
      </c>
      <c r="G354" t="s">
        <v>652</v>
      </c>
      <c r="H354" t="s">
        <v>2531</v>
      </c>
      <c r="I354" t="s">
        <v>1185</v>
      </c>
      <c r="J354">
        <v>2001</v>
      </c>
      <c r="K354" t="s">
        <v>203</v>
      </c>
      <c r="L354">
        <v>3200</v>
      </c>
      <c r="M354" t="s">
        <v>625</v>
      </c>
      <c r="N354">
        <v>3205</v>
      </c>
      <c r="O354" t="s">
        <v>1002</v>
      </c>
      <c r="P354" t="s">
        <v>2366</v>
      </c>
      <c r="Q354" t="s">
        <v>2364</v>
      </c>
      <c r="R354" t="s">
        <v>2364</v>
      </c>
      <c r="S354" t="s">
        <v>1881</v>
      </c>
      <c r="T354" t="s">
        <v>1812</v>
      </c>
      <c r="U354" t="s">
        <v>2365</v>
      </c>
      <c r="V354" t="s">
        <v>2365</v>
      </c>
      <c r="W354" t="s">
        <v>2365</v>
      </c>
      <c r="X354" t="s">
        <v>2365</v>
      </c>
      <c r="Y354" t="s">
        <v>2365</v>
      </c>
      <c r="Z354" t="s">
        <v>2365</v>
      </c>
      <c r="AA354" t="s">
        <v>2365</v>
      </c>
      <c r="AB354" t="s">
        <v>2365</v>
      </c>
      <c r="AC354" s="813" t="s">
        <v>2365</v>
      </c>
      <c r="AD354" s="813" t="s">
        <v>2365</v>
      </c>
      <c r="AE354" s="813" t="s">
        <v>2365</v>
      </c>
      <c r="AF354" t="s">
        <v>2365</v>
      </c>
      <c r="AG354" t="s">
        <v>2365</v>
      </c>
      <c r="AH354" t="s">
        <v>2365</v>
      </c>
      <c r="AI354" t="s">
        <v>2365</v>
      </c>
      <c r="AJ354" t="s">
        <v>2365</v>
      </c>
      <c r="AK354" t="s">
        <v>2365</v>
      </c>
      <c r="AL354" t="s">
        <v>2365</v>
      </c>
      <c r="AM354" t="s">
        <v>2365</v>
      </c>
      <c r="AN354" t="s">
        <v>2365</v>
      </c>
      <c r="AR354" t="s">
        <v>2365</v>
      </c>
      <c r="AS354" t="s">
        <v>2365</v>
      </c>
      <c r="AT354" t="s">
        <v>2365</v>
      </c>
      <c r="AU354" t="s">
        <v>2365</v>
      </c>
      <c r="AV354" t="s">
        <v>2365</v>
      </c>
      <c r="AW354" t="s">
        <v>2365</v>
      </c>
      <c r="AX354" t="s">
        <v>2365</v>
      </c>
      <c r="AY354" t="s">
        <v>2365</v>
      </c>
      <c r="AZ354" t="s">
        <v>2365</v>
      </c>
      <c r="BA354" t="s">
        <v>2365</v>
      </c>
      <c r="BB354" t="s">
        <v>2365</v>
      </c>
      <c r="BC354" t="s">
        <v>2365</v>
      </c>
      <c r="BD354" t="s">
        <v>2366</v>
      </c>
      <c r="BE354" t="s">
        <v>2365</v>
      </c>
      <c r="BF354" t="s">
        <v>2365</v>
      </c>
      <c r="BG354" t="s">
        <v>2365</v>
      </c>
      <c r="BH354" t="s">
        <v>2365</v>
      </c>
      <c r="BI354" t="s">
        <v>2366</v>
      </c>
      <c r="BJ354" t="s">
        <v>2365</v>
      </c>
      <c r="BK354" t="s">
        <v>2365</v>
      </c>
      <c r="BL354" t="s">
        <v>2365</v>
      </c>
      <c r="BM354" t="s">
        <v>2365</v>
      </c>
      <c r="BN354" t="s">
        <v>2177</v>
      </c>
      <c r="BO354">
        <v>7</v>
      </c>
      <c r="BP354">
        <v>71</v>
      </c>
      <c r="BQ354" t="s">
        <v>2665</v>
      </c>
      <c r="BR354" t="s">
        <v>1002</v>
      </c>
      <c r="BU354">
        <v>0</v>
      </c>
      <c r="BV354">
        <v>0</v>
      </c>
      <c r="BW354">
        <v>0</v>
      </c>
      <c r="BX354">
        <v>0</v>
      </c>
      <c r="BY354">
        <v>0</v>
      </c>
      <c r="BZ354">
        <v>0</v>
      </c>
      <c r="CA354">
        <v>0</v>
      </c>
      <c r="CB354">
        <v>0</v>
      </c>
      <c r="CC354">
        <v>0</v>
      </c>
      <c r="CD354">
        <v>0</v>
      </c>
      <c r="CE354">
        <v>0</v>
      </c>
      <c r="CF354">
        <v>0</v>
      </c>
      <c r="CG354">
        <v>0</v>
      </c>
      <c r="CH354">
        <v>22698.880000000001</v>
      </c>
      <c r="CI354">
        <v>0</v>
      </c>
      <c r="CJ354">
        <v>0</v>
      </c>
      <c r="CK354">
        <v>0</v>
      </c>
      <c r="CL354">
        <v>0</v>
      </c>
      <c r="CM354">
        <v>0</v>
      </c>
      <c r="CR354" t="s">
        <v>2327</v>
      </c>
      <c r="CS354" s="1369" t="str">
        <f>INDEX([8]Sheet1!$H:$H,MATCH(CR:CR,[8]Sheet1!$AU:$AU,0))</f>
        <v>Education</v>
      </c>
    </row>
    <row r="355" spans="1:97" x14ac:dyDescent="0.2">
      <c r="A355" t="s">
        <v>2889</v>
      </c>
      <c r="B355">
        <v>408</v>
      </c>
      <c r="C355" t="s">
        <v>2889</v>
      </c>
      <c r="D355">
        <v>40964</v>
      </c>
      <c r="E355" t="s">
        <v>2546</v>
      </c>
      <c r="F355">
        <v>2000</v>
      </c>
      <c r="G355" t="s">
        <v>652</v>
      </c>
      <c r="H355" t="s">
        <v>2547</v>
      </c>
      <c r="I355" t="s">
        <v>200</v>
      </c>
      <c r="J355">
        <v>2005</v>
      </c>
      <c r="K355" t="s">
        <v>200</v>
      </c>
      <c r="L355">
        <v>3200</v>
      </c>
      <c r="M355" t="s">
        <v>625</v>
      </c>
      <c r="N355">
        <v>3205</v>
      </c>
      <c r="O355" t="s">
        <v>1002</v>
      </c>
      <c r="P355" t="s">
        <v>2366</v>
      </c>
      <c r="Q355" t="s">
        <v>2364</v>
      </c>
      <c r="R355" t="s">
        <v>2364</v>
      </c>
      <c r="S355" t="s">
        <v>1881</v>
      </c>
      <c r="T355" t="s">
        <v>1812</v>
      </c>
      <c r="U355" t="s">
        <v>2365</v>
      </c>
      <c r="V355" t="s">
        <v>2365</v>
      </c>
      <c r="W355" t="s">
        <v>2365</v>
      </c>
      <c r="X355" t="s">
        <v>2365</v>
      </c>
      <c r="Y355" t="s">
        <v>2365</v>
      </c>
      <c r="Z355" t="s">
        <v>2365</v>
      </c>
      <c r="AA355" t="s">
        <v>2365</v>
      </c>
      <c r="AB355" t="s">
        <v>2365</v>
      </c>
      <c r="AC355" s="813" t="s">
        <v>2365</v>
      </c>
      <c r="AD355" s="813" t="s">
        <v>2365</v>
      </c>
      <c r="AE355" s="813" t="s">
        <v>2365</v>
      </c>
      <c r="AF355" t="s">
        <v>2365</v>
      </c>
      <c r="AG355" t="s">
        <v>2365</v>
      </c>
      <c r="AH355" t="s">
        <v>2365</v>
      </c>
      <c r="AI355" t="s">
        <v>2365</v>
      </c>
      <c r="AJ355" t="s">
        <v>2365</v>
      </c>
      <c r="AK355" t="s">
        <v>2365</v>
      </c>
      <c r="AL355" t="s">
        <v>2365</v>
      </c>
      <c r="AM355" t="s">
        <v>2365</v>
      </c>
      <c r="AN355" t="s">
        <v>2365</v>
      </c>
      <c r="AR355" t="s">
        <v>2365</v>
      </c>
      <c r="AS355" t="s">
        <v>2365</v>
      </c>
      <c r="AT355" t="s">
        <v>2365</v>
      </c>
      <c r="AU355" t="s">
        <v>2365</v>
      </c>
      <c r="AV355" t="s">
        <v>2365</v>
      </c>
      <c r="AW355" t="s">
        <v>2365</v>
      </c>
      <c r="AX355" t="s">
        <v>2365</v>
      </c>
      <c r="AY355" t="s">
        <v>2365</v>
      </c>
      <c r="AZ355" t="s">
        <v>2365</v>
      </c>
      <c r="BA355" t="s">
        <v>2365</v>
      </c>
      <c r="BB355" t="s">
        <v>2365</v>
      </c>
      <c r="BC355" t="s">
        <v>2365</v>
      </c>
      <c r="BD355" t="s">
        <v>2366</v>
      </c>
      <c r="BE355" t="s">
        <v>2365</v>
      </c>
      <c r="BF355" t="s">
        <v>2365</v>
      </c>
      <c r="BG355" t="s">
        <v>2365</v>
      </c>
      <c r="BH355" t="s">
        <v>2365</v>
      </c>
      <c r="BI355" t="s">
        <v>2366</v>
      </c>
      <c r="BJ355" t="s">
        <v>2365</v>
      </c>
      <c r="BK355" t="s">
        <v>2365</v>
      </c>
      <c r="BL355" t="s">
        <v>2365</v>
      </c>
      <c r="BM355" t="s">
        <v>2365</v>
      </c>
      <c r="BN355" t="s">
        <v>2177</v>
      </c>
      <c r="BO355">
        <v>7</v>
      </c>
      <c r="BP355">
        <v>71</v>
      </c>
      <c r="BQ355" t="s">
        <v>2665</v>
      </c>
      <c r="BR355" t="s">
        <v>1002</v>
      </c>
      <c r="BU355">
        <v>294881</v>
      </c>
      <c r="BV355">
        <v>0</v>
      </c>
      <c r="BW355">
        <v>294881</v>
      </c>
      <c r="BX355">
        <v>0</v>
      </c>
      <c r="BY355">
        <v>294881</v>
      </c>
      <c r="BZ355">
        <v>315523</v>
      </c>
      <c r="CA355">
        <v>337610</v>
      </c>
      <c r="CB355">
        <v>0</v>
      </c>
      <c r="CC355">
        <v>70331.399999999994</v>
      </c>
      <c r="CD355">
        <v>0</v>
      </c>
      <c r="CE355">
        <v>0</v>
      </c>
      <c r="CF355">
        <v>0</v>
      </c>
      <c r="CG355">
        <v>291502.90999999997</v>
      </c>
      <c r="CH355">
        <v>0</v>
      </c>
      <c r="CI355">
        <v>0</v>
      </c>
      <c r="CJ355">
        <v>0</v>
      </c>
      <c r="CK355">
        <v>0</v>
      </c>
      <c r="CL355">
        <v>0</v>
      </c>
      <c r="CM355">
        <v>0</v>
      </c>
      <c r="CR355" t="s">
        <v>2327</v>
      </c>
      <c r="CS355" s="1369" t="str">
        <f>INDEX([8]Sheet1!$H:$H,MATCH(CR:CR,[8]Sheet1!$AU:$AU,0))</f>
        <v>Education</v>
      </c>
    </row>
    <row r="356" spans="1:97" x14ac:dyDescent="0.2">
      <c r="A356" t="s">
        <v>2890</v>
      </c>
      <c r="B356">
        <v>409</v>
      </c>
      <c r="C356" t="s">
        <v>2890</v>
      </c>
      <c r="D356">
        <v>40965</v>
      </c>
      <c r="E356" t="s">
        <v>2549</v>
      </c>
      <c r="F356">
        <v>2000</v>
      </c>
      <c r="G356" t="s">
        <v>652</v>
      </c>
      <c r="H356" t="s">
        <v>2550</v>
      </c>
      <c r="I356" t="s">
        <v>1159</v>
      </c>
      <c r="J356">
        <v>2010</v>
      </c>
      <c r="K356" t="s">
        <v>1159</v>
      </c>
      <c r="L356">
        <v>3200</v>
      </c>
      <c r="M356" t="s">
        <v>625</v>
      </c>
      <c r="N356">
        <v>3205</v>
      </c>
      <c r="O356" t="s">
        <v>1002</v>
      </c>
      <c r="P356" t="s">
        <v>2366</v>
      </c>
      <c r="Q356" t="s">
        <v>2364</v>
      </c>
      <c r="R356" t="s">
        <v>2364</v>
      </c>
      <c r="S356" t="s">
        <v>1881</v>
      </c>
      <c r="T356" t="s">
        <v>1812</v>
      </c>
      <c r="U356" t="s">
        <v>2365</v>
      </c>
      <c r="V356" t="s">
        <v>2365</v>
      </c>
      <c r="W356" t="s">
        <v>2365</v>
      </c>
      <c r="X356" t="s">
        <v>2365</v>
      </c>
      <c r="Y356" t="s">
        <v>2365</v>
      </c>
      <c r="Z356" t="s">
        <v>2365</v>
      </c>
      <c r="AA356" t="s">
        <v>2365</v>
      </c>
      <c r="AB356" t="s">
        <v>2365</v>
      </c>
      <c r="AC356" s="813" t="s">
        <v>2365</v>
      </c>
      <c r="AD356" s="813" t="s">
        <v>2365</v>
      </c>
      <c r="AE356" s="813" t="s">
        <v>2365</v>
      </c>
      <c r="AF356" t="s">
        <v>2365</v>
      </c>
      <c r="AG356" t="s">
        <v>2365</v>
      </c>
      <c r="AH356" t="s">
        <v>2365</v>
      </c>
      <c r="AI356" t="s">
        <v>2365</v>
      </c>
      <c r="AJ356" t="s">
        <v>2365</v>
      </c>
      <c r="AK356" t="s">
        <v>2365</v>
      </c>
      <c r="AL356" t="s">
        <v>2365</v>
      </c>
      <c r="AM356" t="s">
        <v>2365</v>
      </c>
      <c r="AN356" t="s">
        <v>2365</v>
      </c>
      <c r="AR356" t="s">
        <v>2365</v>
      </c>
      <c r="AS356" t="s">
        <v>2365</v>
      </c>
      <c r="AT356" t="s">
        <v>2365</v>
      </c>
      <c r="AU356" t="s">
        <v>2365</v>
      </c>
      <c r="AV356" t="s">
        <v>2365</v>
      </c>
      <c r="AW356" t="s">
        <v>2365</v>
      </c>
      <c r="AX356" t="s">
        <v>2365</v>
      </c>
      <c r="AY356" t="s">
        <v>2365</v>
      </c>
      <c r="AZ356" t="s">
        <v>2365</v>
      </c>
      <c r="BA356" t="s">
        <v>2365</v>
      </c>
      <c r="BB356" t="s">
        <v>2365</v>
      </c>
      <c r="BC356" t="s">
        <v>2365</v>
      </c>
      <c r="BD356" t="s">
        <v>2366</v>
      </c>
      <c r="BE356" t="s">
        <v>2365</v>
      </c>
      <c r="BF356" t="s">
        <v>2365</v>
      </c>
      <c r="BG356" t="s">
        <v>2365</v>
      </c>
      <c r="BH356" t="s">
        <v>2365</v>
      </c>
      <c r="BI356" t="s">
        <v>2366</v>
      </c>
      <c r="BJ356" t="s">
        <v>2365</v>
      </c>
      <c r="BK356" t="s">
        <v>2365</v>
      </c>
      <c r="BL356" t="s">
        <v>2365</v>
      </c>
      <c r="BM356" t="s">
        <v>2365</v>
      </c>
      <c r="BN356" t="s">
        <v>2177</v>
      </c>
      <c r="BO356">
        <v>7</v>
      </c>
      <c r="BP356">
        <v>71</v>
      </c>
      <c r="BQ356" t="s">
        <v>2665</v>
      </c>
      <c r="BR356" t="s">
        <v>1002</v>
      </c>
      <c r="BU356">
        <v>275124</v>
      </c>
      <c r="BV356">
        <v>0</v>
      </c>
      <c r="BW356">
        <v>275124</v>
      </c>
      <c r="BX356">
        <v>0</v>
      </c>
      <c r="BY356">
        <v>275124</v>
      </c>
      <c r="BZ356">
        <v>294383</v>
      </c>
      <c r="CA356">
        <v>314990</v>
      </c>
      <c r="CB356">
        <v>0</v>
      </c>
      <c r="CC356">
        <v>0</v>
      </c>
      <c r="CD356">
        <v>0</v>
      </c>
      <c r="CE356">
        <v>0</v>
      </c>
      <c r="CF356">
        <v>0</v>
      </c>
      <c r="CG356">
        <v>0</v>
      </c>
      <c r="CH356">
        <v>0</v>
      </c>
      <c r="CI356">
        <v>0</v>
      </c>
      <c r="CJ356">
        <v>0</v>
      </c>
      <c r="CK356">
        <v>0</v>
      </c>
      <c r="CL356">
        <v>0</v>
      </c>
      <c r="CM356">
        <v>0</v>
      </c>
      <c r="CR356" t="s">
        <v>2327</v>
      </c>
      <c r="CS356" s="1369" t="str">
        <f>INDEX([8]Sheet1!$H:$H,MATCH(CR:CR,[8]Sheet1!$AU:$AU,0))</f>
        <v>Education</v>
      </c>
    </row>
    <row r="357" spans="1:97" x14ac:dyDescent="0.2">
      <c r="A357" t="s">
        <v>2891</v>
      </c>
      <c r="B357">
        <v>410</v>
      </c>
      <c r="C357" t="s">
        <v>2891</v>
      </c>
      <c r="D357">
        <v>40966</v>
      </c>
      <c r="E357" t="s">
        <v>2552</v>
      </c>
      <c r="F357">
        <v>2000</v>
      </c>
      <c r="G357" t="s">
        <v>652</v>
      </c>
      <c r="H357" t="s">
        <v>2553</v>
      </c>
      <c r="I357" t="s">
        <v>1378</v>
      </c>
      <c r="J357">
        <v>2008</v>
      </c>
      <c r="K357" t="s">
        <v>1378</v>
      </c>
      <c r="L357">
        <v>3200</v>
      </c>
      <c r="M357" t="s">
        <v>625</v>
      </c>
      <c r="N357">
        <v>3205</v>
      </c>
      <c r="O357" t="s">
        <v>1002</v>
      </c>
      <c r="P357" t="s">
        <v>2366</v>
      </c>
      <c r="Q357" t="s">
        <v>2364</v>
      </c>
      <c r="R357" t="s">
        <v>2364</v>
      </c>
      <c r="S357" t="s">
        <v>1881</v>
      </c>
      <c r="T357" t="s">
        <v>1812</v>
      </c>
      <c r="U357" t="s">
        <v>2365</v>
      </c>
      <c r="V357" t="s">
        <v>2365</v>
      </c>
      <c r="W357" t="s">
        <v>2365</v>
      </c>
      <c r="X357" t="s">
        <v>2365</v>
      </c>
      <c r="Y357" t="s">
        <v>2365</v>
      </c>
      <c r="Z357" t="s">
        <v>2365</v>
      </c>
      <c r="AA357" t="s">
        <v>2365</v>
      </c>
      <c r="AB357" t="s">
        <v>2365</v>
      </c>
      <c r="AC357" s="813" t="s">
        <v>2365</v>
      </c>
      <c r="AD357" s="813" t="s">
        <v>2365</v>
      </c>
      <c r="AE357" s="813" t="s">
        <v>2365</v>
      </c>
      <c r="AF357" t="s">
        <v>2365</v>
      </c>
      <c r="AG357" t="s">
        <v>2365</v>
      </c>
      <c r="AH357" t="s">
        <v>2365</v>
      </c>
      <c r="AI357" t="s">
        <v>2365</v>
      </c>
      <c r="AJ357" t="s">
        <v>2365</v>
      </c>
      <c r="AK357" t="s">
        <v>2365</v>
      </c>
      <c r="AL357" t="s">
        <v>2365</v>
      </c>
      <c r="AM357" t="s">
        <v>2365</v>
      </c>
      <c r="AN357" t="s">
        <v>2365</v>
      </c>
      <c r="AR357" t="s">
        <v>2365</v>
      </c>
      <c r="AS357" t="s">
        <v>2365</v>
      </c>
      <c r="AT357" t="s">
        <v>2365</v>
      </c>
      <c r="AU357" t="s">
        <v>2365</v>
      </c>
      <c r="AV357" t="s">
        <v>2365</v>
      </c>
      <c r="AW357" t="s">
        <v>2365</v>
      </c>
      <c r="AX357" t="s">
        <v>2365</v>
      </c>
      <c r="AY357" t="s">
        <v>2365</v>
      </c>
      <c r="AZ357" t="s">
        <v>2365</v>
      </c>
      <c r="BA357" t="s">
        <v>2365</v>
      </c>
      <c r="BB357" t="s">
        <v>2365</v>
      </c>
      <c r="BC357" t="s">
        <v>2365</v>
      </c>
      <c r="BD357" t="s">
        <v>2366</v>
      </c>
      <c r="BE357" t="s">
        <v>2365</v>
      </c>
      <c r="BF357" t="s">
        <v>2365</v>
      </c>
      <c r="BG357" t="s">
        <v>2365</v>
      </c>
      <c r="BH357" t="s">
        <v>2365</v>
      </c>
      <c r="BI357" t="s">
        <v>2366</v>
      </c>
      <c r="BJ357" t="s">
        <v>2365</v>
      </c>
      <c r="BK357" t="s">
        <v>2365</v>
      </c>
      <c r="BL357" t="s">
        <v>2365</v>
      </c>
      <c r="BM357" t="s">
        <v>2365</v>
      </c>
      <c r="BN357" t="s">
        <v>2177</v>
      </c>
      <c r="BO357">
        <v>7</v>
      </c>
      <c r="BP357">
        <v>71</v>
      </c>
      <c r="BQ357" t="s">
        <v>2665</v>
      </c>
      <c r="BR357" t="s">
        <v>1002</v>
      </c>
      <c r="BU357">
        <v>46201</v>
      </c>
      <c r="BV357">
        <v>0</v>
      </c>
      <c r="BW357">
        <v>46201</v>
      </c>
      <c r="BX357">
        <v>0</v>
      </c>
      <c r="BY357">
        <v>46201</v>
      </c>
      <c r="BZ357">
        <v>49435</v>
      </c>
      <c r="CA357">
        <v>52896</v>
      </c>
      <c r="CB357">
        <v>0</v>
      </c>
      <c r="CC357">
        <v>964.51</v>
      </c>
      <c r="CD357">
        <v>964.51</v>
      </c>
      <c r="CE357">
        <v>964.51</v>
      </c>
      <c r="CF357">
        <v>964.51</v>
      </c>
      <c r="CG357">
        <v>964.51</v>
      </c>
      <c r="CH357">
        <v>964.51</v>
      </c>
      <c r="CI357">
        <v>0</v>
      </c>
      <c r="CJ357">
        <v>0</v>
      </c>
      <c r="CK357">
        <v>0</v>
      </c>
      <c r="CL357">
        <v>0</v>
      </c>
      <c r="CM357">
        <v>0</v>
      </c>
      <c r="CR357" t="s">
        <v>2327</v>
      </c>
      <c r="CS357" s="1369" t="str">
        <f>INDEX([8]Sheet1!$H:$H,MATCH(CR:CR,[8]Sheet1!$AU:$AU,0))</f>
        <v>Education</v>
      </c>
    </row>
    <row r="358" spans="1:97" x14ac:dyDescent="0.2">
      <c r="A358" t="s">
        <v>2892</v>
      </c>
      <c r="B358">
        <v>411</v>
      </c>
      <c r="C358" t="s">
        <v>2892</v>
      </c>
      <c r="D358">
        <v>40967</v>
      </c>
      <c r="E358" t="s">
        <v>2555</v>
      </c>
      <c r="F358">
        <v>2000</v>
      </c>
      <c r="G358" t="s">
        <v>652</v>
      </c>
      <c r="H358" t="s">
        <v>2556</v>
      </c>
      <c r="I358" t="s">
        <v>1377</v>
      </c>
      <c r="J358">
        <v>2007</v>
      </c>
      <c r="K358" t="s">
        <v>1377</v>
      </c>
      <c r="L358">
        <v>3200</v>
      </c>
      <c r="M358" t="s">
        <v>625</v>
      </c>
      <c r="N358">
        <v>3205</v>
      </c>
      <c r="O358" t="s">
        <v>1002</v>
      </c>
      <c r="P358" t="s">
        <v>2366</v>
      </c>
      <c r="Q358" t="s">
        <v>2364</v>
      </c>
      <c r="R358" t="s">
        <v>2364</v>
      </c>
      <c r="S358" t="s">
        <v>1881</v>
      </c>
      <c r="T358" t="s">
        <v>1812</v>
      </c>
      <c r="U358" t="s">
        <v>2365</v>
      </c>
      <c r="V358" t="s">
        <v>2365</v>
      </c>
      <c r="W358" t="s">
        <v>2365</v>
      </c>
      <c r="X358" t="s">
        <v>2365</v>
      </c>
      <c r="Y358" t="s">
        <v>2365</v>
      </c>
      <c r="Z358" t="s">
        <v>2365</v>
      </c>
      <c r="AA358" t="s">
        <v>2365</v>
      </c>
      <c r="AB358" t="s">
        <v>2365</v>
      </c>
      <c r="AC358" s="813" t="s">
        <v>2365</v>
      </c>
      <c r="AD358" s="813" t="s">
        <v>2365</v>
      </c>
      <c r="AE358" s="813" t="s">
        <v>2365</v>
      </c>
      <c r="AF358" t="s">
        <v>2365</v>
      </c>
      <c r="AG358" t="s">
        <v>2365</v>
      </c>
      <c r="AH358" t="s">
        <v>2365</v>
      </c>
      <c r="AI358" t="s">
        <v>2365</v>
      </c>
      <c r="AJ358" t="s">
        <v>2365</v>
      </c>
      <c r="AK358" t="s">
        <v>2365</v>
      </c>
      <c r="AL358" t="s">
        <v>2365</v>
      </c>
      <c r="AM358" t="s">
        <v>2365</v>
      </c>
      <c r="AN358" t="s">
        <v>2365</v>
      </c>
      <c r="AR358" t="s">
        <v>2365</v>
      </c>
      <c r="AS358" t="s">
        <v>2365</v>
      </c>
      <c r="AT358" t="s">
        <v>2365</v>
      </c>
      <c r="AU358" t="s">
        <v>2365</v>
      </c>
      <c r="AV358" t="s">
        <v>2365</v>
      </c>
      <c r="AW358" t="s">
        <v>2365</v>
      </c>
      <c r="AX358" t="s">
        <v>2365</v>
      </c>
      <c r="AY358" t="s">
        <v>2365</v>
      </c>
      <c r="AZ358" t="s">
        <v>2365</v>
      </c>
      <c r="BA358" t="s">
        <v>2365</v>
      </c>
      <c r="BB358" t="s">
        <v>2365</v>
      </c>
      <c r="BC358" t="s">
        <v>2365</v>
      </c>
      <c r="BD358" t="s">
        <v>2366</v>
      </c>
      <c r="BE358" t="s">
        <v>2365</v>
      </c>
      <c r="BF358" t="s">
        <v>2365</v>
      </c>
      <c r="BG358" t="s">
        <v>2365</v>
      </c>
      <c r="BH358" t="s">
        <v>2365</v>
      </c>
      <c r="BI358" t="s">
        <v>2366</v>
      </c>
      <c r="BJ358" t="s">
        <v>2365</v>
      </c>
      <c r="BK358" t="s">
        <v>2365</v>
      </c>
      <c r="BL358" t="s">
        <v>2365</v>
      </c>
      <c r="BM358" t="s">
        <v>2365</v>
      </c>
      <c r="BN358" t="s">
        <v>2177</v>
      </c>
      <c r="BO358">
        <v>7</v>
      </c>
      <c r="BP358">
        <v>71</v>
      </c>
      <c r="BQ358" t="s">
        <v>2665</v>
      </c>
      <c r="BR358" t="s">
        <v>1002</v>
      </c>
      <c r="BU358">
        <v>18000</v>
      </c>
      <c r="BV358">
        <v>0</v>
      </c>
      <c r="BW358">
        <v>18000</v>
      </c>
      <c r="BX358">
        <v>0</v>
      </c>
      <c r="BY358">
        <v>18000</v>
      </c>
      <c r="BZ358">
        <v>19260</v>
      </c>
      <c r="CA358">
        <v>20608</v>
      </c>
      <c r="CB358">
        <v>0</v>
      </c>
      <c r="CC358">
        <v>3120</v>
      </c>
      <c r="CD358">
        <v>0</v>
      </c>
      <c r="CE358">
        <v>0</v>
      </c>
      <c r="CF358">
        <v>0</v>
      </c>
      <c r="CG358">
        <v>0</v>
      </c>
      <c r="CH358">
        <v>0</v>
      </c>
      <c r="CI358">
        <v>0</v>
      </c>
      <c r="CJ358">
        <v>0</v>
      </c>
      <c r="CK358">
        <v>0</v>
      </c>
      <c r="CL358">
        <v>0</v>
      </c>
      <c r="CM358">
        <v>0</v>
      </c>
      <c r="CR358" t="s">
        <v>2327</v>
      </c>
      <c r="CS358" s="1369" t="str">
        <f>INDEX([8]Sheet1!$H:$H,MATCH(CR:CR,[8]Sheet1!$AU:$AU,0))</f>
        <v>Education</v>
      </c>
    </row>
    <row r="359" spans="1:97" x14ac:dyDescent="0.2">
      <c r="A359" t="s">
        <v>2893</v>
      </c>
      <c r="B359">
        <v>412</v>
      </c>
      <c r="C359" t="s">
        <v>2893</v>
      </c>
      <c r="D359">
        <v>40968</v>
      </c>
      <c r="E359" t="s">
        <v>2558</v>
      </c>
      <c r="F359">
        <v>2000</v>
      </c>
      <c r="G359" t="s">
        <v>652</v>
      </c>
      <c r="H359" t="s">
        <v>2559</v>
      </c>
      <c r="I359" t="s">
        <v>1376</v>
      </c>
      <c r="J359">
        <v>2006</v>
      </c>
      <c r="K359" t="s">
        <v>1376</v>
      </c>
      <c r="L359">
        <v>3200</v>
      </c>
      <c r="M359" t="s">
        <v>625</v>
      </c>
      <c r="N359">
        <v>3205</v>
      </c>
      <c r="O359" t="s">
        <v>1002</v>
      </c>
      <c r="P359" t="s">
        <v>2366</v>
      </c>
      <c r="Q359" t="s">
        <v>2364</v>
      </c>
      <c r="R359" t="s">
        <v>2364</v>
      </c>
      <c r="S359" t="s">
        <v>1881</v>
      </c>
      <c r="T359" t="s">
        <v>1812</v>
      </c>
      <c r="U359" t="s">
        <v>2365</v>
      </c>
      <c r="V359" t="s">
        <v>2365</v>
      </c>
      <c r="W359" t="s">
        <v>2365</v>
      </c>
      <c r="X359" t="s">
        <v>2365</v>
      </c>
      <c r="Y359" t="s">
        <v>2365</v>
      </c>
      <c r="Z359" t="s">
        <v>2365</v>
      </c>
      <c r="AA359" t="s">
        <v>2365</v>
      </c>
      <c r="AB359" t="s">
        <v>2365</v>
      </c>
      <c r="AC359" s="813" t="s">
        <v>2365</v>
      </c>
      <c r="AD359" s="813" t="s">
        <v>2365</v>
      </c>
      <c r="AE359" s="813" t="s">
        <v>2365</v>
      </c>
      <c r="AF359" t="s">
        <v>2365</v>
      </c>
      <c r="AG359" t="s">
        <v>2365</v>
      </c>
      <c r="AH359" t="s">
        <v>2365</v>
      </c>
      <c r="AI359" t="s">
        <v>2365</v>
      </c>
      <c r="AJ359" t="s">
        <v>2365</v>
      </c>
      <c r="AK359" t="s">
        <v>2365</v>
      </c>
      <c r="AL359" t="s">
        <v>2365</v>
      </c>
      <c r="AM359" t="s">
        <v>2365</v>
      </c>
      <c r="AN359" t="s">
        <v>2365</v>
      </c>
      <c r="AR359" t="s">
        <v>2365</v>
      </c>
      <c r="AS359" t="s">
        <v>2365</v>
      </c>
      <c r="AT359" t="s">
        <v>2365</v>
      </c>
      <c r="AU359" t="s">
        <v>2365</v>
      </c>
      <c r="AV359" t="s">
        <v>2365</v>
      </c>
      <c r="AW359" t="s">
        <v>2365</v>
      </c>
      <c r="AX359" t="s">
        <v>2365</v>
      </c>
      <c r="AY359" t="s">
        <v>2365</v>
      </c>
      <c r="AZ359" t="s">
        <v>2365</v>
      </c>
      <c r="BA359" t="s">
        <v>2365</v>
      </c>
      <c r="BB359" t="s">
        <v>2365</v>
      </c>
      <c r="BC359" t="s">
        <v>2365</v>
      </c>
      <c r="BD359" t="s">
        <v>2366</v>
      </c>
      <c r="BE359" t="s">
        <v>2365</v>
      </c>
      <c r="BF359" t="s">
        <v>2365</v>
      </c>
      <c r="BG359" t="s">
        <v>2365</v>
      </c>
      <c r="BH359" t="s">
        <v>2365</v>
      </c>
      <c r="BI359" t="s">
        <v>2366</v>
      </c>
      <c r="BJ359" t="s">
        <v>2365</v>
      </c>
      <c r="BK359" t="s">
        <v>2365</v>
      </c>
      <c r="BL359" t="s">
        <v>2365</v>
      </c>
      <c r="BM359" t="s">
        <v>2365</v>
      </c>
      <c r="BN359" t="s">
        <v>2177</v>
      </c>
      <c r="BO359">
        <v>7</v>
      </c>
      <c r="BP359">
        <v>71</v>
      </c>
      <c r="BQ359" t="s">
        <v>2665</v>
      </c>
      <c r="BR359" t="s">
        <v>1002</v>
      </c>
      <c r="BU359">
        <v>0</v>
      </c>
      <c r="BV359">
        <v>0</v>
      </c>
      <c r="BW359">
        <v>0</v>
      </c>
      <c r="BX359">
        <v>100000</v>
      </c>
      <c r="BY359">
        <v>100000</v>
      </c>
      <c r="BZ359">
        <v>0</v>
      </c>
      <c r="CA359">
        <v>0</v>
      </c>
      <c r="CB359">
        <v>0</v>
      </c>
      <c r="CC359">
        <v>10000</v>
      </c>
      <c r="CD359">
        <v>10620</v>
      </c>
      <c r="CE359">
        <v>10620</v>
      </c>
      <c r="CF359">
        <v>10620</v>
      </c>
      <c r="CG359">
        <v>10620</v>
      </c>
      <c r="CH359">
        <v>10620</v>
      </c>
      <c r="CI359">
        <v>0</v>
      </c>
      <c r="CJ359">
        <v>0</v>
      </c>
      <c r="CK359">
        <v>0</v>
      </c>
      <c r="CL359">
        <v>0</v>
      </c>
      <c r="CM359">
        <v>0</v>
      </c>
      <c r="CR359" t="s">
        <v>2327</v>
      </c>
      <c r="CS359" s="1369" t="str">
        <f>INDEX([8]Sheet1!$H:$H,MATCH(CR:CR,[8]Sheet1!$AU:$AU,0))</f>
        <v>Education</v>
      </c>
    </row>
    <row r="360" spans="1:97" x14ac:dyDescent="0.2">
      <c r="A360" t="s">
        <v>2894</v>
      </c>
      <c r="B360">
        <v>413</v>
      </c>
      <c r="C360" t="s">
        <v>2894</v>
      </c>
      <c r="D360">
        <v>40969</v>
      </c>
      <c r="E360" t="s">
        <v>2461</v>
      </c>
      <c r="F360">
        <v>2000</v>
      </c>
      <c r="G360" t="s">
        <v>652</v>
      </c>
      <c r="H360" t="s">
        <v>2462</v>
      </c>
      <c r="I360" t="s">
        <v>203</v>
      </c>
      <c r="J360">
        <v>2001</v>
      </c>
      <c r="K360" t="s">
        <v>203</v>
      </c>
      <c r="L360">
        <v>3200</v>
      </c>
      <c r="M360" t="s">
        <v>625</v>
      </c>
      <c r="N360">
        <v>3205</v>
      </c>
      <c r="O360" t="s">
        <v>1002</v>
      </c>
      <c r="P360" t="s">
        <v>2366</v>
      </c>
      <c r="Q360" t="s">
        <v>2364</v>
      </c>
      <c r="R360" t="s">
        <v>2364</v>
      </c>
      <c r="S360" t="s">
        <v>1881</v>
      </c>
      <c r="T360" t="s">
        <v>1812</v>
      </c>
      <c r="U360" t="s">
        <v>2365</v>
      </c>
      <c r="V360" t="s">
        <v>2365</v>
      </c>
      <c r="W360" t="s">
        <v>2365</v>
      </c>
      <c r="X360" t="s">
        <v>2365</v>
      </c>
      <c r="Y360" t="s">
        <v>2365</v>
      </c>
      <c r="Z360" t="s">
        <v>2365</v>
      </c>
      <c r="AA360" t="s">
        <v>2365</v>
      </c>
      <c r="AB360" t="s">
        <v>2365</v>
      </c>
      <c r="AC360" s="813" t="s">
        <v>2365</v>
      </c>
      <c r="AD360" s="813" t="s">
        <v>2365</v>
      </c>
      <c r="AE360" s="813" t="s">
        <v>2365</v>
      </c>
      <c r="AF360" t="s">
        <v>2365</v>
      </c>
      <c r="AG360" t="s">
        <v>2365</v>
      </c>
      <c r="AH360" t="s">
        <v>2365</v>
      </c>
      <c r="AI360" t="s">
        <v>2365</v>
      </c>
      <c r="AJ360" t="s">
        <v>2365</v>
      </c>
      <c r="AK360" t="s">
        <v>2365</v>
      </c>
      <c r="AL360" t="s">
        <v>2365</v>
      </c>
      <c r="AM360" t="s">
        <v>2365</v>
      </c>
      <c r="AN360" t="s">
        <v>2365</v>
      </c>
      <c r="AR360" t="s">
        <v>2365</v>
      </c>
      <c r="AS360" t="s">
        <v>2365</v>
      </c>
      <c r="AT360" t="s">
        <v>2365</v>
      </c>
      <c r="AU360" t="s">
        <v>2365</v>
      </c>
      <c r="AV360" t="s">
        <v>2365</v>
      </c>
      <c r="AW360" t="s">
        <v>2365</v>
      </c>
      <c r="AX360" t="s">
        <v>2365</v>
      </c>
      <c r="AY360" t="s">
        <v>2365</v>
      </c>
      <c r="AZ360" t="s">
        <v>2365</v>
      </c>
      <c r="BA360" t="s">
        <v>2365</v>
      </c>
      <c r="BB360" t="s">
        <v>2365</v>
      </c>
      <c r="BC360" t="s">
        <v>2365</v>
      </c>
      <c r="BD360" t="s">
        <v>2366</v>
      </c>
      <c r="BE360" t="s">
        <v>2365</v>
      </c>
      <c r="BF360" t="s">
        <v>2365</v>
      </c>
      <c r="BG360" t="s">
        <v>2365</v>
      </c>
      <c r="BH360" t="s">
        <v>2365</v>
      </c>
      <c r="BI360" t="s">
        <v>2366</v>
      </c>
      <c r="BJ360" t="s">
        <v>2365</v>
      </c>
      <c r="BK360" t="s">
        <v>2365</v>
      </c>
      <c r="BL360" t="s">
        <v>2365</v>
      </c>
      <c r="BM360" t="s">
        <v>2365</v>
      </c>
      <c r="BN360" t="s">
        <v>2177</v>
      </c>
      <c r="BO360">
        <v>7</v>
      </c>
      <c r="BP360">
        <v>71</v>
      </c>
      <c r="BQ360" t="s">
        <v>2665</v>
      </c>
      <c r="BR360" t="s">
        <v>1002</v>
      </c>
      <c r="BU360">
        <v>3699076</v>
      </c>
      <c r="BV360">
        <v>0</v>
      </c>
      <c r="BW360">
        <v>3699076</v>
      </c>
      <c r="BX360">
        <v>0</v>
      </c>
      <c r="BY360">
        <v>3699076</v>
      </c>
      <c r="BZ360">
        <v>3958011</v>
      </c>
      <c r="CA360">
        <v>4235072</v>
      </c>
      <c r="CB360">
        <v>388093.3</v>
      </c>
      <c r="CC360">
        <v>323832.35000000003</v>
      </c>
      <c r="CD360">
        <v>289859.84999999998</v>
      </c>
      <c r="CE360">
        <v>314991.61</v>
      </c>
      <c r="CF360">
        <v>301882.68</v>
      </c>
      <c r="CG360">
        <v>301882.68</v>
      </c>
      <c r="CH360">
        <v>327488.59999999998</v>
      </c>
      <c r="CI360">
        <v>0</v>
      </c>
      <c r="CJ360">
        <v>0</v>
      </c>
      <c r="CK360">
        <v>0</v>
      </c>
      <c r="CL360">
        <v>0</v>
      </c>
      <c r="CM360">
        <v>0</v>
      </c>
      <c r="CR360" t="s">
        <v>2327</v>
      </c>
      <c r="CS360" s="1369" t="str">
        <f>INDEX([8]Sheet1!$H:$H,MATCH(CR:CR,[8]Sheet1!$AU:$AU,0))</f>
        <v>Education</v>
      </c>
    </row>
    <row r="361" spans="1:97" x14ac:dyDescent="0.2">
      <c r="A361" t="s">
        <v>2895</v>
      </c>
      <c r="B361">
        <v>414</v>
      </c>
      <c r="C361" t="s">
        <v>2895</v>
      </c>
      <c r="D361">
        <v>40970</v>
      </c>
      <c r="E361" t="s">
        <v>2562</v>
      </c>
      <c r="F361">
        <v>2000</v>
      </c>
      <c r="G361" t="s">
        <v>652</v>
      </c>
      <c r="H361" t="s">
        <v>2563</v>
      </c>
      <c r="I361" t="s">
        <v>1160</v>
      </c>
      <c r="J361">
        <v>2012</v>
      </c>
      <c r="K361" t="s">
        <v>1160</v>
      </c>
      <c r="L361">
        <v>3200</v>
      </c>
      <c r="M361" t="s">
        <v>625</v>
      </c>
      <c r="N361">
        <v>3205</v>
      </c>
      <c r="O361" t="s">
        <v>1002</v>
      </c>
      <c r="P361" t="s">
        <v>2366</v>
      </c>
      <c r="Q361" t="s">
        <v>2364</v>
      </c>
      <c r="R361" t="s">
        <v>2364</v>
      </c>
      <c r="S361" t="s">
        <v>1881</v>
      </c>
      <c r="T361" t="s">
        <v>1812</v>
      </c>
      <c r="U361" t="s">
        <v>2365</v>
      </c>
      <c r="V361" t="s">
        <v>2365</v>
      </c>
      <c r="W361" t="s">
        <v>2365</v>
      </c>
      <c r="X361" t="s">
        <v>2365</v>
      </c>
      <c r="Y361" t="s">
        <v>2365</v>
      </c>
      <c r="Z361" t="s">
        <v>2365</v>
      </c>
      <c r="AA361" t="s">
        <v>2365</v>
      </c>
      <c r="AB361" t="s">
        <v>2365</v>
      </c>
      <c r="AC361" s="813" t="s">
        <v>2365</v>
      </c>
      <c r="AD361" s="813" t="s">
        <v>2365</v>
      </c>
      <c r="AE361" s="813" t="s">
        <v>2365</v>
      </c>
      <c r="AF361" t="s">
        <v>2365</v>
      </c>
      <c r="AG361" t="s">
        <v>2365</v>
      </c>
      <c r="AH361" t="s">
        <v>2365</v>
      </c>
      <c r="AI361" t="s">
        <v>2365</v>
      </c>
      <c r="AJ361" t="s">
        <v>2365</v>
      </c>
      <c r="AK361" t="s">
        <v>2365</v>
      </c>
      <c r="AL361" t="s">
        <v>2365</v>
      </c>
      <c r="AM361" t="s">
        <v>2365</v>
      </c>
      <c r="AN361" t="s">
        <v>2365</v>
      </c>
      <c r="AR361" t="s">
        <v>2365</v>
      </c>
      <c r="AS361" t="s">
        <v>2365</v>
      </c>
      <c r="AT361" t="s">
        <v>2365</v>
      </c>
      <c r="AU361" t="s">
        <v>2365</v>
      </c>
      <c r="AV361" t="s">
        <v>2365</v>
      </c>
      <c r="AW361" t="s">
        <v>2365</v>
      </c>
      <c r="AX361" t="s">
        <v>2365</v>
      </c>
      <c r="AY361" t="s">
        <v>2365</v>
      </c>
      <c r="AZ361" t="s">
        <v>2365</v>
      </c>
      <c r="BA361" t="s">
        <v>2365</v>
      </c>
      <c r="BB361" t="s">
        <v>2365</v>
      </c>
      <c r="BC361" t="s">
        <v>2365</v>
      </c>
      <c r="BD361" t="s">
        <v>2366</v>
      </c>
      <c r="BE361" t="s">
        <v>2365</v>
      </c>
      <c r="BF361" t="s">
        <v>2365</v>
      </c>
      <c r="BG361" t="s">
        <v>2365</v>
      </c>
      <c r="BH361" t="s">
        <v>2365</v>
      </c>
      <c r="BI361" t="s">
        <v>2366</v>
      </c>
      <c r="BJ361" t="s">
        <v>2365</v>
      </c>
      <c r="BK361" t="s">
        <v>2365</v>
      </c>
      <c r="BL361" t="s">
        <v>2365</v>
      </c>
      <c r="BM361" t="s">
        <v>2365</v>
      </c>
      <c r="BN361" t="s">
        <v>2177</v>
      </c>
      <c r="BO361">
        <v>7</v>
      </c>
      <c r="BP361">
        <v>71</v>
      </c>
      <c r="BQ361" t="s">
        <v>2665</v>
      </c>
      <c r="BR361" t="s">
        <v>1002</v>
      </c>
      <c r="BU361">
        <v>0</v>
      </c>
      <c r="BV361">
        <v>0</v>
      </c>
      <c r="BW361">
        <v>0</v>
      </c>
      <c r="BX361">
        <v>0</v>
      </c>
      <c r="BY361">
        <v>0</v>
      </c>
      <c r="BZ361">
        <v>0</v>
      </c>
      <c r="CA361">
        <v>0</v>
      </c>
      <c r="CB361">
        <v>0</v>
      </c>
      <c r="CC361">
        <v>0</v>
      </c>
      <c r="CD361">
        <v>0</v>
      </c>
      <c r="CE361">
        <v>0</v>
      </c>
      <c r="CF361">
        <v>0</v>
      </c>
      <c r="CG361">
        <v>0</v>
      </c>
      <c r="CH361">
        <v>0</v>
      </c>
      <c r="CI361">
        <v>0</v>
      </c>
      <c r="CJ361">
        <v>0</v>
      </c>
      <c r="CK361">
        <v>0</v>
      </c>
      <c r="CL361">
        <v>0</v>
      </c>
      <c r="CM361">
        <v>0</v>
      </c>
      <c r="CR361" t="s">
        <v>2327</v>
      </c>
      <c r="CS361" s="1369" t="str">
        <f>INDEX([8]Sheet1!$H:$H,MATCH(CR:CR,[8]Sheet1!$AU:$AU,0))</f>
        <v>Education</v>
      </c>
    </row>
    <row r="362" spans="1:97" x14ac:dyDescent="0.2">
      <c r="A362" t="s">
        <v>2896</v>
      </c>
      <c r="B362">
        <v>415</v>
      </c>
      <c r="C362" t="s">
        <v>2896</v>
      </c>
      <c r="D362">
        <v>41463</v>
      </c>
      <c r="E362" t="s">
        <v>2565</v>
      </c>
      <c r="F362">
        <v>2000</v>
      </c>
      <c r="G362" t="s">
        <v>652</v>
      </c>
      <c r="H362" t="s">
        <v>2531</v>
      </c>
      <c r="I362" t="s">
        <v>1185</v>
      </c>
      <c r="J362">
        <v>2001</v>
      </c>
      <c r="K362" t="s">
        <v>203</v>
      </c>
      <c r="L362">
        <v>3200</v>
      </c>
      <c r="M362" t="s">
        <v>625</v>
      </c>
      <c r="N362">
        <v>3205</v>
      </c>
      <c r="O362" t="s">
        <v>1002</v>
      </c>
      <c r="P362" t="s">
        <v>2366</v>
      </c>
      <c r="Q362" t="s">
        <v>2364</v>
      </c>
      <c r="R362" t="s">
        <v>2364</v>
      </c>
      <c r="S362" t="s">
        <v>1881</v>
      </c>
      <c r="T362" t="s">
        <v>1812</v>
      </c>
      <c r="U362" t="s">
        <v>2365</v>
      </c>
      <c r="V362" t="s">
        <v>2365</v>
      </c>
      <c r="W362" t="s">
        <v>2365</v>
      </c>
      <c r="X362" t="s">
        <v>2365</v>
      </c>
      <c r="Y362" t="s">
        <v>2365</v>
      </c>
      <c r="Z362" t="s">
        <v>2365</v>
      </c>
      <c r="AA362" t="s">
        <v>2365</v>
      </c>
      <c r="AB362" t="s">
        <v>2365</v>
      </c>
      <c r="AC362" s="813" t="s">
        <v>2365</v>
      </c>
      <c r="AD362" s="813" t="s">
        <v>2365</v>
      </c>
      <c r="AE362" s="813" t="s">
        <v>2365</v>
      </c>
      <c r="AF362" t="s">
        <v>2365</v>
      </c>
      <c r="AG362" t="s">
        <v>2365</v>
      </c>
      <c r="AH362" t="s">
        <v>2365</v>
      </c>
      <c r="AI362" t="s">
        <v>2365</v>
      </c>
      <c r="AJ362" t="s">
        <v>2365</v>
      </c>
      <c r="AK362" t="s">
        <v>2365</v>
      </c>
      <c r="AL362" t="s">
        <v>2365</v>
      </c>
      <c r="AM362" t="s">
        <v>2365</v>
      </c>
      <c r="AN362" t="s">
        <v>2365</v>
      </c>
      <c r="AR362" t="s">
        <v>2365</v>
      </c>
      <c r="AS362" t="s">
        <v>2365</v>
      </c>
      <c r="AT362" t="s">
        <v>2365</v>
      </c>
      <c r="AU362" t="s">
        <v>2365</v>
      </c>
      <c r="AV362" t="s">
        <v>2365</v>
      </c>
      <c r="AW362" t="s">
        <v>2365</v>
      </c>
      <c r="AX362" t="s">
        <v>2365</v>
      </c>
      <c r="AY362" t="s">
        <v>2365</v>
      </c>
      <c r="AZ362" t="s">
        <v>2365</v>
      </c>
      <c r="BA362" t="s">
        <v>2365</v>
      </c>
      <c r="BB362" t="s">
        <v>2365</v>
      </c>
      <c r="BC362" t="s">
        <v>2365</v>
      </c>
      <c r="BD362" t="s">
        <v>2366</v>
      </c>
      <c r="BE362" t="s">
        <v>2365</v>
      </c>
      <c r="BF362" t="s">
        <v>2365</v>
      </c>
      <c r="BG362" t="s">
        <v>2365</v>
      </c>
      <c r="BH362" t="s">
        <v>2365</v>
      </c>
      <c r="BI362" t="s">
        <v>2366</v>
      </c>
      <c r="BJ362" t="s">
        <v>2365</v>
      </c>
      <c r="BK362" t="s">
        <v>2365</v>
      </c>
      <c r="BL362" t="s">
        <v>2365</v>
      </c>
      <c r="BM362" t="s">
        <v>2365</v>
      </c>
      <c r="BN362" t="s">
        <v>2176</v>
      </c>
      <c r="BO362">
        <v>7</v>
      </c>
      <c r="BP362">
        <v>71</v>
      </c>
      <c r="BQ362" t="s">
        <v>2665</v>
      </c>
      <c r="BR362" t="s">
        <v>1002</v>
      </c>
      <c r="BU362">
        <v>0</v>
      </c>
      <c r="BV362">
        <v>0</v>
      </c>
      <c r="BW362">
        <v>0</v>
      </c>
      <c r="BX362">
        <v>0</v>
      </c>
      <c r="BY362">
        <v>0</v>
      </c>
      <c r="BZ362">
        <v>0</v>
      </c>
      <c r="CA362">
        <v>0</v>
      </c>
      <c r="CB362">
        <v>0</v>
      </c>
      <c r="CC362">
        <v>0</v>
      </c>
      <c r="CD362">
        <v>0</v>
      </c>
      <c r="CE362">
        <v>0</v>
      </c>
      <c r="CF362">
        <v>0</v>
      </c>
      <c r="CG362">
        <v>0</v>
      </c>
      <c r="CH362">
        <v>0</v>
      </c>
      <c r="CI362">
        <v>0</v>
      </c>
      <c r="CJ362">
        <v>0</v>
      </c>
      <c r="CK362">
        <v>0</v>
      </c>
      <c r="CL362">
        <v>0</v>
      </c>
      <c r="CM362">
        <v>0</v>
      </c>
      <c r="CR362" t="s">
        <v>2327</v>
      </c>
      <c r="CS362" s="1369" t="str">
        <f>INDEX([8]Sheet1!$H:$H,MATCH(CR:CR,[8]Sheet1!$AU:$AU,0))</f>
        <v>Education</v>
      </c>
    </row>
    <row r="363" spans="1:97" x14ac:dyDescent="0.2">
      <c r="A363" t="s">
        <v>2897</v>
      </c>
      <c r="B363">
        <v>416</v>
      </c>
      <c r="C363" t="s">
        <v>2897</v>
      </c>
      <c r="D363">
        <v>41464</v>
      </c>
      <c r="E363" t="s">
        <v>2567</v>
      </c>
      <c r="F363">
        <v>2000</v>
      </c>
      <c r="G363" t="s">
        <v>652</v>
      </c>
      <c r="H363" t="s">
        <v>2550</v>
      </c>
      <c r="I363" t="s">
        <v>1159</v>
      </c>
      <c r="J363">
        <v>2010</v>
      </c>
      <c r="K363" t="s">
        <v>1159</v>
      </c>
      <c r="L363">
        <v>3200</v>
      </c>
      <c r="M363" t="s">
        <v>625</v>
      </c>
      <c r="N363">
        <v>3205</v>
      </c>
      <c r="O363" t="s">
        <v>1002</v>
      </c>
      <c r="P363" t="s">
        <v>2366</v>
      </c>
      <c r="Q363" t="s">
        <v>2364</v>
      </c>
      <c r="R363" t="s">
        <v>2364</v>
      </c>
      <c r="S363" t="s">
        <v>1881</v>
      </c>
      <c r="T363" t="s">
        <v>1812</v>
      </c>
      <c r="U363" t="s">
        <v>2365</v>
      </c>
      <c r="V363" t="s">
        <v>2365</v>
      </c>
      <c r="W363" t="s">
        <v>2365</v>
      </c>
      <c r="X363" t="s">
        <v>2365</v>
      </c>
      <c r="Y363" t="s">
        <v>2365</v>
      </c>
      <c r="Z363" t="s">
        <v>2365</v>
      </c>
      <c r="AA363" t="s">
        <v>2365</v>
      </c>
      <c r="AB363" t="s">
        <v>2365</v>
      </c>
      <c r="AC363" s="813" t="s">
        <v>2365</v>
      </c>
      <c r="AD363" s="813" t="s">
        <v>2365</v>
      </c>
      <c r="AE363" s="813" t="s">
        <v>2365</v>
      </c>
      <c r="AF363" t="s">
        <v>2365</v>
      </c>
      <c r="AG363" t="s">
        <v>2365</v>
      </c>
      <c r="AH363" t="s">
        <v>2365</v>
      </c>
      <c r="AI363" t="s">
        <v>2365</v>
      </c>
      <c r="AJ363" t="s">
        <v>2365</v>
      </c>
      <c r="AK363" t="s">
        <v>2365</v>
      </c>
      <c r="AL363" t="s">
        <v>2365</v>
      </c>
      <c r="AM363" t="s">
        <v>2365</v>
      </c>
      <c r="AN363" t="s">
        <v>2365</v>
      </c>
      <c r="AR363" t="s">
        <v>2365</v>
      </c>
      <c r="AS363" t="s">
        <v>2365</v>
      </c>
      <c r="AT363" t="s">
        <v>2365</v>
      </c>
      <c r="AU363" t="s">
        <v>2365</v>
      </c>
      <c r="AV363" t="s">
        <v>2365</v>
      </c>
      <c r="AW363" t="s">
        <v>2365</v>
      </c>
      <c r="AX363" t="s">
        <v>2365</v>
      </c>
      <c r="AY363" t="s">
        <v>2365</v>
      </c>
      <c r="AZ363" t="s">
        <v>2365</v>
      </c>
      <c r="BA363" t="s">
        <v>2365</v>
      </c>
      <c r="BB363" t="s">
        <v>2365</v>
      </c>
      <c r="BC363" t="s">
        <v>2365</v>
      </c>
      <c r="BD363" t="s">
        <v>2366</v>
      </c>
      <c r="BE363" t="s">
        <v>2365</v>
      </c>
      <c r="BF363" t="s">
        <v>2365</v>
      </c>
      <c r="BG363" t="s">
        <v>2365</v>
      </c>
      <c r="BH363" t="s">
        <v>2365</v>
      </c>
      <c r="BI363" t="s">
        <v>2366</v>
      </c>
      <c r="BJ363" t="s">
        <v>2365</v>
      </c>
      <c r="BK363" t="s">
        <v>2365</v>
      </c>
      <c r="BL363" t="s">
        <v>2365</v>
      </c>
      <c r="BM363" t="s">
        <v>2365</v>
      </c>
      <c r="BN363" t="s">
        <v>2176</v>
      </c>
      <c r="BO363">
        <v>7</v>
      </c>
      <c r="BP363">
        <v>71</v>
      </c>
      <c r="BQ363" t="s">
        <v>2665</v>
      </c>
      <c r="BR363" t="s">
        <v>1002</v>
      </c>
      <c r="BU363">
        <v>0</v>
      </c>
      <c r="BV363">
        <v>0</v>
      </c>
      <c r="BW363">
        <v>0</v>
      </c>
      <c r="BX363">
        <v>0</v>
      </c>
      <c r="BY363">
        <v>0</v>
      </c>
      <c r="BZ363">
        <v>0</v>
      </c>
      <c r="CA363">
        <v>0</v>
      </c>
      <c r="CB363">
        <v>0</v>
      </c>
      <c r="CC363">
        <v>0</v>
      </c>
      <c r="CD363">
        <v>0</v>
      </c>
      <c r="CE363">
        <v>0</v>
      </c>
      <c r="CF363">
        <v>0</v>
      </c>
      <c r="CG363">
        <v>0</v>
      </c>
      <c r="CH363">
        <v>0</v>
      </c>
      <c r="CI363">
        <v>0</v>
      </c>
      <c r="CJ363">
        <v>0</v>
      </c>
      <c r="CK363">
        <v>0</v>
      </c>
      <c r="CL363">
        <v>0</v>
      </c>
      <c r="CM363">
        <v>0</v>
      </c>
      <c r="CR363" t="s">
        <v>2327</v>
      </c>
      <c r="CS363" s="1369" t="str">
        <f>INDEX([8]Sheet1!$H:$H,MATCH(CR:CR,[8]Sheet1!$AU:$AU,0))</f>
        <v>Education</v>
      </c>
    </row>
    <row r="364" spans="1:97" x14ac:dyDescent="0.2">
      <c r="A364" t="s">
        <v>2898</v>
      </c>
      <c r="B364">
        <v>417</v>
      </c>
      <c r="C364" t="s">
        <v>2898</v>
      </c>
      <c r="D364">
        <v>41465</v>
      </c>
      <c r="E364" t="s">
        <v>2569</v>
      </c>
      <c r="F364">
        <v>2000</v>
      </c>
      <c r="G364" t="s">
        <v>652</v>
      </c>
      <c r="H364" t="s">
        <v>2556</v>
      </c>
      <c r="I364" t="s">
        <v>1377</v>
      </c>
      <c r="J364">
        <v>2007</v>
      </c>
      <c r="K364" t="s">
        <v>1377</v>
      </c>
      <c r="L364">
        <v>3200</v>
      </c>
      <c r="M364" t="s">
        <v>625</v>
      </c>
      <c r="N364">
        <v>3205</v>
      </c>
      <c r="O364" t="s">
        <v>1002</v>
      </c>
      <c r="P364" t="s">
        <v>2366</v>
      </c>
      <c r="Q364" t="s">
        <v>2364</v>
      </c>
      <c r="R364" t="s">
        <v>2364</v>
      </c>
      <c r="S364" t="s">
        <v>1881</v>
      </c>
      <c r="T364" t="s">
        <v>1812</v>
      </c>
      <c r="U364" t="s">
        <v>2365</v>
      </c>
      <c r="V364" t="s">
        <v>2365</v>
      </c>
      <c r="W364" t="s">
        <v>2365</v>
      </c>
      <c r="X364" t="s">
        <v>2365</v>
      </c>
      <c r="Y364" t="s">
        <v>2365</v>
      </c>
      <c r="Z364" t="s">
        <v>2365</v>
      </c>
      <c r="AA364" t="s">
        <v>2365</v>
      </c>
      <c r="AB364" t="s">
        <v>2365</v>
      </c>
      <c r="AC364" s="813" t="s">
        <v>2365</v>
      </c>
      <c r="AD364" s="813" t="s">
        <v>2365</v>
      </c>
      <c r="AE364" s="813" t="s">
        <v>2365</v>
      </c>
      <c r="AF364" t="s">
        <v>2365</v>
      </c>
      <c r="AG364" t="s">
        <v>2365</v>
      </c>
      <c r="AH364" t="s">
        <v>2365</v>
      </c>
      <c r="AI364" t="s">
        <v>2365</v>
      </c>
      <c r="AJ364" t="s">
        <v>2365</v>
      </c>
      <c r="AK364" t="s">
        <v>2365</v>
      </c>
      <c r="AL364" t="s">
        <v>2365</v>
      </c>
      <c r="AM364" t="s">
        <v>2365</v>
      </c>
      <c r="AN364" t="s">
        <v>2365</v>
      </c>
      <c r="AR364" t="s">
        <v>2365</v>
      </c>
      <c r="AS364" t="s">
        <v>2365</v>
      </c>
      <c r="AT364" t="s">
        <v>2365</v>
      </c>
      <c r="AU364" t="s">
        <v>2365</v>
      </c>
      <c r="AV364" t="s">
        <v>2365</v>
      </c>
      <c r="AW364" t="s">
        <v>2365</v>
      </c>
      <c r="AX364" t="s">
        <v>2365</v>
      </c>
      <c r="AY364" t="s">
        <v>2365</v>
      </c>
      <c r="AZ364" t="s">
        <v>2365</v>
      </c>
      <c r="BA364" t="s">
        <v>2365</v>
      </c>
      <c r="BB364" t="s">
        <v>2365</v>
      </c>
      <c r="BC364" t="s">
        <v>2365</v>
      </c>
      <c r="BD364" t="s">
        <v>2366</v>
      </c>
      <c r="BE364" t="s">
        <v>2365</v>
      </c>
      <c r="BF364" t="s">
        <v>2365</v>
      </c>
      <c r="BG364" t="s">
        <v>2365</v>
      </c>
      <c r="BH364" t="s">
        <v>2365</v>
      </c>
      <c r="BI364" t="s">
        <v>2366</v>
      </c>
      <c r="BJ364" t="s">
        <v>2365</v>
      </c>
      <c r="BK364" t="s">
        <v>2365</v>
      </c>
      <c r="BL364" t="s">
        <v>2365</v>
      </c>
      <c r="BM364" t="s">
        <v>2365</v>
      </c>
      <c r="BN364" t="s">
        <v>2176</v>
      </c>
      <c r="BO364">
        <v>7</v>
      </c>
      <c r="BP364">
        <v>71</v>
      </c>
      <c r="BQ364" t="s">
        <v>2665</v>
      </c>
      <c r="BR364" t="s">
        <v>1002</v>
      </c>
      <c r="BU364">
        <v>6000</v>
      </c>
      <c r="BV364">
        <v>0</v>
      </c>
      <c r="BW364">
        <v>6000</v>
      </c>
      <c r="BX364">
        <v>0</v>
      </c>
      <c r="BY364">
        <v>6000</v>
      </c>
      <c r="BZ364">
        <v>6420</v>
      </c>
      <c r="CA364">
        <v>6869</v>
      </c>
      <c r="CB364">
        <v>0</v>
      </c>
      <c r="CC364">
        <v>0</v>
      </c>
      <c r="CD364">
        <v>2500</v>
      </c>
      <c r="CE364">
        <v>2500</v>
      </c>
      <c r="CF364">
        <v>2500</v>
      </c>
      <c r="CG364">
        <v>2500</v>
      </c>
      <c r="CH364">
        <v>2500</v>
      </c>
      <c r="CI364">
        <v>0</v>
      </c>
      <c r="CJ364">
        <v>0</v>
      </c>
      <c r="CK364">
        <v>0</v>
      </c>
      <c r="CL364">
        <v>0</v>
      </c>
      <c r="CM364">
        <v>0</v>
      </c>
      <c r="CR364" t="s">
        <v>2327</v>
      </c>
      <c r="CS364" s="1369" t="str">
        <f>INDEX([8]Sheet1!$H:$H,MATCH(CR:CR,[8]Sheet1!$AU:$AU,0))</f>
        <v>Education</v>
      </c>
    </row>
    <row r="365" spans="1:97" x14ac:dyDescent="0.2">
      <c r="A365" t="s">
        <v>2899</v>
      </c>
      <c r="B365">
        <v>418</v>
      </c>
      <c r="C365" t="s">
        <v>2899</v>
      </c>
      <c r="D365">
        <v>41466</v>
      </c>
      <c r="E365" t="s">
        <v>2841</v>
      </c>
      <c r="F365">
        <v>2000</v>
      </c>
      <c r="G365" t="s">
        <v>652</v>
      </c>
      <c r="H365" t="s">
        <v>2553</v>
      </c>
      <c r="I365" t="s">
        <v>1378</v>
      </c>
      <c r="J365">
        <v>2008</v>
      </c>
      <c r="K365" t="s">
        <v>1378</v>
      </c>
      <c r="L365">
        <v>3200</v>
      </c>
      <c r="M365" t="s">
        <v>625</v>
      </c>
      <c r="N365">
        <v>3205</v>
      </c>
      <c r="O365" t="s">
        <v>1002</v>
      </c>
      <c r="P365" t="s">
        <v>2366</v>
      </c>
      <c r="Q365" t="s">
        <v>2364</v>
      </c>
      <c r="R365" t="s">
        <v>2364</v>
      </c>
      <c r="S365" t="s">
        <v>1881</v>
      </c>
      <c r="T365" t="s">
        <v>1812</v>
      </c>
      <c r="U365" t="s">
        <v>2365</v>
      </c>
      <c r="V365" t="s">
        <v>2365</v>
      </c>
      <c r="W365" t="s">
        <v>2365</v>
      </c>
      <c r="X365" t="s">
        <v>2365</v>
      </c>
      <c r="Y365" t="s">
        <v>2365</v>
      </c>
      <c r="Z365" t="s">
        <v>2365</v>
      </c>
      <c r="AA365" t="s">
        <v>2365</v>
      </c>
      <c r="AB365" t="s">
        <v>2365</v>
      </c>
      <c r="AC365" s="813" t="s">
        <v>2365</v>
      </c>
      <c r="AD365" s="813" t="s">
        <v>2365</v>
      </c>
      <c r="AE365" s="813" t="s">
        <v>2365</v>
      </c>
      <c r="AF365" t="s">
        <v>2365</v>
      </c>
      <c r="AG365" t="s">
        <v>2365</v>
      </c>
      <c r="AH365" t="s">
        <v>2365</v>
      </c>
      <c r="AI365" t="s">
        <v>2365</v>
      </c>
      <c r="AJ365" t="s">
        <v>2365</v>
      </c>
      <c r="AK365" t="s">
        <v>2365</v>
      </c>
      <c r="AL365" t="s">
        <v>2365</v>
      </c>
      <c r="AM365" t="s">
        <v>2365</v>
      </c>
      <c r="AN365" t="s">
        <v>2365</v>
      </c>
      <c r="AR365" t="s">
        <v>2365</v>
      </c>
      <c r="AS365" t="s">
        <v>2365</v>
      </c>
      <c r="AT365" t="s">
        <v>2365</v>
      </c>
      <c r="AU365" t="s">
        <v>2365</v>
      </c>
      <c r="AV365" t="s">
        <v>2365</v>
      </c>
      <c r="AW365" t="s">
        <v>2365</v>
      </c>
      <c r="AX365" t="s">
        <v>2365</v>
      </c>
      <c r="AY365" t="s">
        <v>2365</v>
      </c>
      <c r="AZ365" t="s">
        <v>2365</v>
      </c>
      <c r="BA365" t="s">
        <v>2365</v>
      </c>
      <c r="BB365" t="s">
        <v>2365</v>
      </c>
      <c r="BC365" t="s">
        <v>2365</v>
      </c>
      <c r="BD365" t="s">
        <v>2366</v>
      </c>
      <c r="BE365" t="s">
        <v>2365</v>
      </c>
      <c r="BF365" t="s">
        <v>2365</v>
      </c>
      <c r="BG365" t="s">
        <v>2365</v>
      </c>
      <c r="BH365" t="s">
        <v>2365</v>
      </c>
      <c r="BI365" t="s">
        <v>2366</v>
      </c>
      <c r="BJ365" t="s">
        <v>2365</v>
      </c>
      <c r="BK365" t="s">
        <v>2365</v>
      </c>
      <c r="BL365" t="s">
        <v>2365</v>
      </c>
      <c r="BM365" t="s">
        <v>2365</v>
      </c>
      <c r="BN365" t="s">
        <v>2176</v>
      </c>
      <c r="BO365">
        <v>7</v>
      </c>
      <c r="BP365">
        <v>71</v>
      </c>
      <c r="BQ365" t="s">
        <v>2665</v>
      </c>
      <c r="BR365" t="s">
        <v>1002</v>
      </c>
      <c r="BU365">
        <v>0</v>
      </c>
      <c r="BV365">
        <v>0</v>
      </c>
      <c r="BW365">
        <v>0</v>
      </c>
      <c r="BX365">
        <v>0</v>
      </c>
      <c r="BY365">
        <v>0</v>
      </c>
      <c r="BZ365">
        <v>0</v>
      </c>
      <c r="CA365">
        <v>0</v>
      </c>
      <c r="CB365">
        <v>0</v>
      </c>
      <c r="CC365">
        <v>0</v>
      </c>
      <c r="CD365">
        <v>0</v>
      </c>
      <c r="CE365">
        <v>0</v>
      </c>
      <c r="CF365">
        <v>0</v>
      </c>
      <c r="CG365">
        <v>0</v>
      </c>
      <c r="CH365">
        <v>0</v>
      </c>
      <c r="CI365">
        <v>0</v>
      </c>
      <c r="CJ365">
        <v>0</v>
      </c>
      <c r="CK365">
        <v>0</v>
      </c>
      <c r="CL365">
        <v>0</v>
      </c>
      <c r="CM365">
        <v>0</v>
      </c>
      <c r="CR365" t="s">
        <v>2327</v>
      </c>
      <c r="CS365" s="1369" t="str">
        <f>INDEX([8]Sheet1!$H:$H,MATCH(CR:CR,[8]Sheet1!$AU:$AU,0))</f>
        <v>Education</v>
      </c>
    </row>
    <row r="366" spans="1:97" x14ac:dyDescent="0.2">
      <c r="A366" t="s">
        <v>2900</v>
      </c>
      <c r="B366">
        <v>419</v>
      </c>
      <c r="C366" t="s">
        <v>2900</v>
      </c>
      <c r="D366">
        <v>41467</v>
      </c>
      <c r="E366" t="s">
        <v>2571</v>
      </c>
      <c r="F366">
        <v>2000</v>
      </c>
      <c r="G366" t="s">
        <v>652</v>
      </c>
      <c r="H366" t="s">
        <v>2462</v>
      </c>
      <c r="I366" t="s">
        <v>203</v>
      </c>
      <c r="J366">
        <v>2001</v>
      </c>
      <c r="K366" t="s">
        <v>203</v>
      </c>
      <c r="L366">
        <v>3200</v>
      </c>
      <c r="M366" t="s">
        <v>625</v>
      </c>
      <c r="N366">
        <v>3205</v>
      </c>
      <c r="O366" t="s">
        <v>1002</v>
      </c>
      <c r="P366" t="s">
        <v>2366</v>
      </c>
      <c r="Q366" t="s">
        <v>2364</v>
      </c>
      <c r="R366" t="s">
        <v>2364</v>
      </c>
      <c r="S366" t="s">
        <v>1881</v>
      </c>
      <c r="T366" t="s">
        <v>1812</v>
      </c>
      <c r="U366" t="s">
        <v>2365</v>
      </c>
      <c r="V366" t="s">
        <v>2365</v>
      </c>
      <c r="W366" t="s">
        <v>2365</v>
      </c>
      <c r="X366" t="s">
        <v>2365</v>
      </c>
      <c r="Y366" t="s">
        <v>2365</v>
      </c>
      <c r="Z366" t="s">
        <v>2365</v>
      </c>
      <c r="AA366" t="s">
        <v>2365</v>
      </c>
      <c r="AB366" t="s">
        <v>2365</v>
      </c>
      <c r="AC366" s="813" t="s">
        <v>2365</v>
      </c>
      <c r="AD366" s="813" t="s">
        <v>2365</v>
      </c>
      <c r="AE366" s="813" t="s">
        <v>2365</v>
      </c>
      <c r="AF366" t="s">
        <v>2365</v>
      </c>
      <c r="AG366" t="s">
        <v>2365</v>
      </c>
      <c r="AH366" t="s">
        <v>2365</v>
      </c>
      <c r="AI366" t="s">
        <v>2365</v>
      </c>
      <c r="AJ366" t="s">
        <v>2365</v>
      </c>
      <c r="AK366" t="s">
        <v>2365</v>
      </c>
      <c r="AL366" t="s">
        <v>2365</v>
      </c>
      <c r="AM366" t="s">
        <v>2365</v>
      </c>
      <c r="AN366" t="s">
        <v>2365</v>
      </c>
      <c r="AR366" t="s">
        <v>2365</v>
      </c>
      <c r="AS366" t="s">
        <v>2365</v>
      </c>
      <c r="AT366" t="s">
        <v>2365</v>
      </c>
      <c r="AU366" t="s">
        <v>2365</v>
      </c>
      <c r="AV366" t="s">
        <v>2365</v>
      </c>
      <c r="AW366" t="s">
        <v>2365</v>
      </c>
      <c r="AX366" t="s">
        <v>2365</v>
      </c>
      <c r="AY366" t="s">
        <v>2365</v>
      </c>
      <c r="AZ366" t="s">
        <v>2365</v>
      </c>
      <c r="BA366" t="s">
        <v>2365</v>
      </c>
      <c r="BB366" t="s">
        <v>2365</v>
      </c>
      <c r="BC366" t="s">
        <v>2365</v>
      </c>
      <c r="BD366" t="s">
        <v>2366</v>
      </c>
      <c r="BE366" t="s">
        <v>2365</v>
      </c>
      <c r="BF366" t="s">
        <v>2365</v>
      </c>
      <c r="BG366" t="s">
        <v>2365</v>
      </c>
      <c r="BH366" t="s">
        <v>2365</v>
      </c>
      <c r="BI366" t="s">
        <v>2366</v>
      </c>
      <c r="BJ366" t="s">
        <v>2365</v>
      </c>
      <c r="BK366" t="s">
        <v>2365</v>
      </c>
      <c r="BL366" t="s">
        <v>2365</v>
      </c>
      <c r="BM366" t="s">
        <v>2365</v>
      </c>
      <c r="BN366" t="s">
        <v>2176</v>
      </c>
      <c r="BO366">
        <v>7</v>
      </c>
      <c r="BP366">
        <v>71</v>
      </c>
      <c r="BQ366" t="s">
        <v>2665</v>
      </c>
      <c r="BR366" t="s">
        <v>1002</v>
      </c>
      <c r="BU366">
        <v>886332</v>
      </c>
      <c r="BV366">
        <v>0</v>
      </c>
      <c r="BW366">
        <v>886332</v>
      </c>
      <c r="BX366">
        <v>0</v>
      </c>
      <c r="BY366">
        <v>886332</v>
      </c>
      <c r="BZ366">
        <v>948375</v>
      </c>
      <c r="CA366">
        <v>1014761</v>
      </c>
      <c r="CB366">
        <v>0</v>
      </c>
      <c r="CC366">
        <v>0</v>
      </c>
      <c r="CD366">
        <v>56921.919999999998</v>
      </c>
      <c r="CE366">
        <v>56921.919999999998</v>
      </c>
      <c r="CF366">
        <v>56921.919999999998</v>
      </c>
      <c r="CG366">
        <v>56921.919999999998</v>
      </c>
      <c r="CH366">
        <v>56921.919999999998</v>
      </c>
      <c r="CI366">
        <v>0</v>
      </c>
      <c r="CJ366">
        <v>0</v>
      </c>
      <c r="CK366">
        <v>0</v>
      </c>
      <c r="CL366">
        <v>0</v>
      </c>
      <c r="CM366">
        <v>0</v>
      </c>
      <c r="CR366" t="s">
        <v>2327</v>
      </c>
      <c r="CS366" s="1369" t="str">
        <f>INDEX([8]Sheet1!$H:$H,MATCH(CR:CR,[8]Sheet1!$AU:$AU,0))</f>
        <v>Education</v>
      </c>
    </row>
    <row r="367" spans="1:97" x14ac:dyDescent="0.2">
      <c r="A367" t="s">
        <v>2901</v>
      </c>
      <c r="B367">
        <v>420</v>
      </c>
      <c r="C367" t="s">
        <v>2901</v>
      </c>
      <c r="D367">
        <v>41468</v>
      </c>
      <c r="E367" t="s">
        <v>2573</v>
      </c>
      <c r="F367">
        <v>2000</v>
      </c>
      <c r="G367" t="s">
        <v>652</v>
      </c>
      <c r="H367" t="s">
        <v>2547</v>
      </c>
      <c r="I367" t="s">
        <v>200</v>
      </c>
      <c r="J367">
        <v>2005</v>
      </c>
      <c r="K367" t="s">
        <v>200</v>
      </c>
      <c r="L367">
        <v>3200</v>
      </c>
      <c r="M367" t="s">
        <v>625</v>
      </c>
      <c r="N367">
        <v>3205</v>
      </c>
      <c r="O367" t="s">
        <v>1002</v>
      </c>
      <c r="P367" t="s">
        <v>2366</v>
      </c>
      <c r="Q367" t="s">
        <v>2364</v>
      </c>
      <c r="R367" t="s">
        <v>2364</v>
      </c>
      <c r="S367" t="s">
        <v>1881</v>
      </c>
      <c r="T367" t="s">
        <v>1812</v>
      </c>
      <c r="U367" t="s">
        <v>2365</v>
      </c>
      <c r="V367" t="s">
        <v>2365</v>
      </c>
      <c r="W367" t="s">
        <v>2365</v>
      </c>
      <c r="X367" t="s">
        <v>2365</v>
      </c>
      <c r="Y367" t="s">
        <v>2365</v>
      </c>
      <c r="Z367" t="s">
        <v>2365</v>
      </c>
      <c r="AA367" t="s">
        <v>2365</v>
      </c>
      <c r="AB367" t="s">
        <v>2365</v>
      </c>
      <c r="AC367" s="813" t="s">
        <v>2365</v>
      </c>
      <c r="AD367" s="813" t="s">
        <v>2365</v>
      </c>
      <c r="AE367" s="813" t="s">
        <v>2365</v>
      </c>
      <c r="AF367" t="s">
        <v>2365</v>
      </c>
      <c r="AG367" t="s">
        <v>2365</v>
      </c>
      <c r="AH367" t="s">
        <v>2365</v>
      </c>
      <c r="AI367" t="s">
        <v>2365</v>
      </c>
      <c r="AJ367" t="s">
        <v>2365</v>
      </c>
      <c r="AK367" t="s">
        <v>2365</v>
      </c>
      <c r="AL367" t="s">
        <v>2365</v>
      </c>
      <c r="AM367" t="s">
        <v>2365</v>
      </c>
      <c r="AN367" t="s">
        <v>2365</v>
      </c>
      <c r="AR367" t="s">
        <v>2365</v>
      </c>
      <c r="AS367" t="s">
        <v>2365</v>
      </c>
      <c r="AT367" t="s">
        <v>2365</v>
      </c>
      <c r="AU367" t="s">
        <v>2365</v>
      </c>
      <c r="AV367" t="s">
        <v>2365</v>
      </c>
      <c r="AW367" t="s">
        <v>2365</v>
      </c>
      <c r="AX367" t="s">
        <v>2365</v>
      </c>
      <c r="AY367" t="s">
        <v>2365</v>
      </c>
      <c r="AZ367" t="s">
        <v>2365</v>
      </c>
      <c r="BA367" t="s">
        <v>2365</v>
      </c>
      <c r="BB367" t="s">
        <v>2365</v>
      </c>
      <c r="BC367" t="s">
        <v>2365</v>
      </c>
      <c r="BD367" t="s">
        <v>2366</v>
      </c>
      <c r="BE367" t="s">
        <v>2365</v>
      </c>
      <c r="BF367" t="s">
        <v>2365</v>
      </c>
      <c r="BG367" t="s">
        <v>2365</v>
      </c>
      <c r="BH367" t="s">
        <v>2365</v>
      </c>
      <c r="BI367" t="s">
        <v>2366</v>
      </c>
      <c r="BJ367" t="s">
        <v>2365</v>
      </c>
      <c r="BK367" t="s">
        <v>2365</v>
      </c>
      <c r="BL367" t="s">
        <v>2365</v>
      </c>
      <c r="BM367" t="s">
        <v>2365</v>
      </c>
      <c r="BN367" t="s">
        <v>2176</v>
      </c>
      <c r="BO367">
        <v>7</v>
      </c>
      <c r="BP367">
        <v>71</v>
      </c>
      <c r="BQ367" t="s">
        <v>2665</v>
      </c>
      <c r="BR367" t="s">
        <v>1002</v>
      </c>
      <c r="BU367">
        <v>0</v>
      </c>
      <c r="BV367">
        <v>0</v>
      </c>
      <c r="BW367">
        <v>0</v>
      </c>
      <c r="BX367">
        <v>0</v>
      </c>
      <c r="BY367">
        <v>0</v>
      </c>
      <c r="BZ367">
        <v>0</v>
      </c>
      <c r="CA367">
        <v>0</v>
      </c>
      <c r="CB367">
        <v>0</v>
      </c>
      <c r="CC367">
        <v>0</v>
      </c>
      <c r="CD367">
        <v>0</v>
      </c>
      <c r="CE367">
        <v>0</v>
      </c>
      <c r="CF367">
        <v>0</v>
      </c>
      <c r="CG367">
        <v>0</v>
      </c>
      <c r="CH367">
        <v>0</v>
      </c>
      <c r="CI367">
        <v>0</v>
      </c>
      <c r="CJ367">
        <v>0</v>
      </c>
      <c r="CK367">
        <v>0</v>
      </c>
      <c r="CL367">
        <v>0</v>
      </c>
      <c r="CM367">
        <v>0</v>
      </c>
      <c r="CR367" t="s">
        <v>2327</v>
      </c>
      <c r="CS367" s="1369" t="str">
        <f>INDEX([8]Sheet1!$H:$H,MATCH(CR:CR,[8]Sheet1!$AU:$AU,0))</f>
        <v>Education</v>
      </c>
    </row>
    <row r="368" spans="1:97" x14ac:dyDescent="0.2">
      <c r="A368" t="s">
        <v>2902</v>
      </c>
      <c r="B368">
        <v>421</v>
      </c>
      <c r="C368" t="s">
        <v>2902</v>
      </c>
      <c r="D368">
        <v>41469</v>
      </c>
      <c r="E368" t="s">
        <v>2528</v>
      </c>
      <c r="F368">
        <v>2900</v>
      </c>
      <c r="G368" t="s">
        <v>569</v>
      </c>
      <c r="H368" t="s">
        <v>2366</v>
      </c>
      <c r="I368" t="s">
        <v>2366</v>
      </c>
      <c r="J368">
        <v>2904</v>
      </c>
      <c r="K368" t="s">
        <v>1432</v>
      </c>
      <c r="L368">
        <v>1200</v>
      </c>
      <c r="M368" t="s">
        <v>1480</v>
      </c>
      <c r="N368">
        <v>1204</v>
      </c>
      <c r="O368" t="s">
        <v>1487</v>
      </c>
      <c r="P368" t="s">
        <v>2366</v>
      </c>
      <c r="Q368" t="s">
        <v>2364</v>
      </c>
      <c r="R368" t="s">
        <v>2364</v>
      </c>
      <c r="S368" t="s">
        <v>1881</v>
      </c>
      <c r="T368" t="s">
        <v>1812</v>
      </c>
      <c r="U368" t="s">
        <v>2365</v>
      </c>
      <c r="V368" t="s">
        <v>2365</v>
      </c>
      <c r="W368" t="s">
        <v>2365</v>
      </c>
      <c r="X368" t="s">
        <v>2365</v>
      </c>
      <c r="Y368" t="s">
        <v>2365</v>
      </c>
      <c r="Z368" t="s">
        <v>2365</v>
      </c>
      <c r="AA368" t="s">
        <v>2365</v>
      </c>
      <c r="AB368" t="s">
        <v>2365</v>
      </c>
      <c r="AC368" s="813" t="s">
        <v>2365</v>
      </c>
      <c r="AD368" s="813" t="s">
        <v>2365</v>
      </c>
      <c r="AE368" s="813" t="s">
        <v>2365</v>
      </c>
      <c r="AF368" t="s">
        <v>2365</v>
      </c>
      <c r="AG368" t="s">
        <v>2365</v>
      </c>
      <c r="AH368" t="s">
        <v>2365</v>
      </c>
      <c r="AI368" t="s">
        <v>2365</v>
      </c>
      <c r="AJ368" t="s">
        <v>2365</v>
      </c>
      <c r="AK368" t="s">
        <v>2365</v>
      </c>
      <c r="AL368" t="s">
        <v>2365</v>
      </c>
      <c r="AM368" t="s">
        <v>2365</v>
      </c>
      <c r="AN368" t="s">
        <v>2365</v>
      </c>
      <c r="AR368" t="s">
        <v>2365</v>
      </c>
      <c r="AS368" t="s">
        <v>2365</v>
      </c>
      <c r="AT368" t="s">
        <v>2365</v>
      </c>
      <c r="AU368" t="s">
        <v>2365</v>
      </c>
      <c r="AV368" t="s">
        <v>2365</v>
      </c>
      <c r="AW368" t="s">
        <v>2365</v>
      </c>
      <c r="AX368" t="s">
        <v>2365</v>
      </c>
      <c r="AY368" t="s">
        <v>2365</v>
      </c>
      <c r="AZ368" t="s">
        <v>2365</v>
      </c>
      <c r="BA368" t="s">
        <v>2365</v>
      </c>
      <c r="BB368" t="s">
        <v>2365</v>
      </c>
      <c r="BC368" t="s">
        <v>2365</v>
      </c>
      <c r="BD368" t="s">
        <v>2366</v>
      </c>
      <c r="BE368" t="s">
        <v>2365</v>
      </c>
      <c r="BF368" t="s">
        <v>2365</v>
      </c>
      <c r="BG368" t="s">
        <v>2365</v>
      </c>
      <c r="BH368" t="s">
        <v>2365</v>
      </c>
      <c r="BI368" t="s">
        <v>2366</v>
      </c>
      <c r="BJ368" t="s">
        <v>2365</v>
      </c>
      <c r="BK368" t="s">
        <v>2365</v>
      </c>
      <c r="BL368" t="s">
        <v>2365</v>
      </c>
      <c r="BM368" t="s">
        <v>2365</v>
      </c>
      <c r="BO368">
        <v>1</v>
      </c>
      <c r="BP368">
        <v>11</v>
      </c>
      <c r="BQ368" t="s">
        <v>2369</v>
      </c>
      <c r="BR368" t="s">
        <v>1487</v>
      </c>
      <c r="BU368">
        <v>0</v>
      </c>
      <c r="BV368">
        <v>0</v>
      </c>
      <c r="BW368">
        <v>0</v>
      </c>
      <c r="BX368">
        <v>0</v>
      </c>
      <c r="BY368">
        <v>0</v>
      </c>
      <c r="BZ368">
        <v>0</v>
      </c>
      <c r="CA368">
        <v>0</v>
      </c>
      <c r="CB368">
        <v>0</v>
      </c>
      <c r="CC368">
        <v>0</v>
      </c>
      <c r="CD368">
        <v>0</v>
      </c>
      <c r="CE368">
        <v>0</v>
      </c>
      <c r="CF368">
        <v>0</v>
      </c>
      <c r="CG368">
        <v>0</v>
      </c>
      <c r="CH368">
        <v>0</v>
      </c>
      <c r="CI368">
        <v>0</v>
      </c>
      <c r="CJ368">
        <v>0</v>
      </c>
      <c r="CK368">
        <v>0</v>
      </c>
      <c r="CL368">
        <v>0</v>
      </c>
      <c r="CM368">
        <v>0</v>
      </c>
      <c r="CR368" t="s">
        <v>2327</v>
      </c>
      <c r="CS368" s="1369" t="str">
        <f>INDEX([8]Sheet1!$H:$H,MATCH(CR:CR,[8]Sheet1!$AU:$AU,0))</f>
        <v>Education</v>
      </c>
    </row>
    <row r="369" spans="1:97" x14ac:dyDescent="0.2">
      <c r="A369" t="s">
        <v>2903</v>
      </c>
      <c r="B369">
        <v>422</v>
      </c>
      <c r="C369" t="s">
        <v>2903</v>
      </c>
      <c r="D369">
        <v>41470</v>
      </c>
      <c r="E369" t="s">
        <v>2526</v>
      </c>
      <c r="F369">
        <v>2900</v>
      </c>
      <c r="G369" t="s">
        <v>569</v>
      </c>
      <c r="H369" t="s">
        <v>2366</v>
      </c>
      <c r="I369" t="s">
        <v>2366</v>
      </c>
      <c r="J369">
        <v>2904</v>
      </c>
      <c r="K369" t="s">
        <v>1432</v>
      </c>
      <c r="L369">
        <v>1200</v>
      </c>
      <c r="M369" t="s">
        <v>1480</v>
      </c>
      <c r="N369">
        <v>1204</v>
      </c>
      <c r="O369" t="s">
        <v>1487</v>
      </c>
      <c r="P369" t="s">
        <v>2366</v>
      </c>
      <c r="Q369" t="s">
        <v>2364</v>
      </c>
      <c r="R369" t="s">
        <v>2364</v>
      </c>
      <c r="S369" t="s">
        <v>1881</v>
      </c>
      <c r="T369" t="s">
        <v>1812</v>
      </c>
      <c r="U369" t="s">
        <v>2365</v>
      </c>
      <c r="V369" t="s">
        <v>2365</v>
      </c>
      <c r="W369" t="s">
        <v>2365</v>
      </c>
      <c r="X369" t="s">
        <v>2365</v>
      </c>
      <c r="Y369" t="s">
        <v>2365</v>
      </c>
      <c r="Z369" t="s">
        <v>2365</v>
      </c>
      <c r="AA369" t="s">
        <v>2365</v>
      </c>
      <c r="AB369" t="s">
        <v>2365</v>
      </c>
      <c r="AC369" s="813" t="s">
        <v>2365</v>
      </c>
      <c r="AD369" s="813" t="s">
        <v>2365</v>
      </c>
      <c r="AE369" s="813" t="s">
        <v>2365</v>
      </c>
      <c r="AF369" t="s">
        <v>2365</v>
      </c>
      <c r="AG369" t="s">
        <v>2365</v>
      </c>
      <c r="AH369" t="s">
        <v>2365</v>
      </c>
      <c r="AI369" t="s">
        <v>2365</v>
      </c>
      <c r="AJ369" t="s">
        <v>2365</v>
      </c>
      <c r="AK369" t="s">
        <v>2365</v>
      </c>
      <c r="AL369" t="s">
        <v>2365</v>
      </c>
      <c r="AM369" t="s">
        <v>2365</v>
      </c>
      <c r="AN369" t="s">
        <v>2365</v>
      </c>
      <c r="AR369" t="s">
        <v>2365</v>
      </c>
      <c r="AS369" t="s">
        <v>2365</v>
      </c>
      <c r="AT369" t="s">
        <v>2365</v>
      </c>
      <c r="AU369" t="s">
        <v>2365</v>
      </c>
      <c r="AV369" t="s">
        <v>2365</v>
      </c>
      <c r="AW369" t="s">
        <v>2365</v>
      </c>
      <c r="AX369" t="s">
        <v>2365</v>
      </c>
      <c r="AY369" t="s">
        <v>2365</v>
      </c>
      <c r="AZ369" t="s">
        <v>2365</v>
      </c>
      <c r="BA369" t="s">
        <v>2365</v>
      </c>
      <c r="BB369" t="s">
        <v>2365</v>
      </c>
      <c r="BC369" t="s">
        <v>2365</v>
      </c>
      <c r="BD369" t="s">
        <v>2366</v>
      </c>
      <c r="BE369" t="s">
        <v>2365</v>
      </c>
      <c r="BF369" t="s">
        <v>2365</v>
      </c>
      <c r="BG369" t="s">
        <v>2365</v>
      </c>
      <c r="BH369" t="s">
        <v>2365</v>
      </c>
      <c r="BI369" t="s">
        <v>2366</v>
      </c>
      <c r="BJ369" t="s">
        <v>2365</v>
      </c>
      <c r="BK369" t="s">
        <v>2365</v>
      </c>
      <c r="BL369" t="s">
        <v>2365</v>
      </c>
      <c r="BM369" t="s">
        <v>2365</v>
      </c>
      <c r="BO369">
        <v>1</v>
      </c>
      <c r="BP369">
        <v>11</v>
      </c>
      <c r="BQ369" t="s">
        <v>2369</v>
      </c>
      <c r="BR369" t="s">
        <v>1487</v>
      </c>
      <c r="BU369">
        <v>0</v>
      </c>
      <c r="BV369">
        <v>0</v>
      </c>
      <c r="BW369">
        <v>0</v>
      </c>
      <c r="BX369">
        <v>0</v>
      </c>
      <c r="BY369">
        <v>0</v>
      </c>
      <c r="BZ369">
        <v>0</v>
      </c>
      <c r="CA369">
        <v>0</v>
      </c>
      <c r="CB369">
        <v>0</v>
      </c>
      <c r="CC369">
        <v>0</v>
      </c>
      <c r="CD369">
        <v>0</v>
      </c>
      <c r="CE369">
        <v>0</v>
      </c>
      <c r="CF369">
        <v>0</v>
      </c>
      <c r="CG369">
        <v>0</v>
      </c>
      <c r="CH369">
        <v>0</v>
      </c>
      <c r="CI369">
        <v>0</v>
      </c>
      <c r="CJ369">
        <v>0</v>
      </c>
      <c r="CK369">
        <v>0</v>
      </c>
      <c r="CL369">
        <v>0</v>
      </c>
      <c r="CM369">
        <v>0</v>
      </c>
      <c r="CR369" t="s">
        <v>2327</v>
      </c>
      <c r="CS369" s="1369" t="str">
        <f>INDEX([8]Sheet1!$H:$H,MATCH(CR:CR,[8]Sheet1!$AU:$AU,0))</f>
        <v>Education</v>
      </c>
    </row>
    <row r="370" spans="1:97" x14ac:dyDescent="0.2">
      <c r="A370" t="s">
        <v>2904</v>
      </c>
      <c r="B370">
        <v>423</v>
      </c>
      <c r="C370" t="s">
        <v>2904</v>
      </c>
      <c r="D370">
        <v>41471</v>
      </c>
      <c r="E370" t="s">
        <v>2575</v>
      </c>
      <c r="F370">
        <v>2000</v>
      </c>
      <c r="G370" t="s">
        <v>652</v>
      </c>
      <c r="H370" t="s">
        <v>2531</v>
      </c>
      <c r="I370" t="s">
        <v>1185</v>
      </c>
      <c r="J370">
        <v>2009</v>
      </c>
      <c r="K370" t="s">
        <v>1185</v>
      </c>
      <c r="L370">
        <v>3200</v>
      </c>
      <c r="M370" t="s">
        <v>625</v>
      </c>
      <c r="N370">
        <v>3205</v>
      </c>
      <c r="O370" t="s">
        <v>1002</v>
      </c>
      <c r="P370" t="s">
        <v>2366</v>
      </c>
      <c r="Q370" t="s">
        <v>2364</v>
      </c>
      <c r="R370" t="s">
        <v>2364</v>
      </c>
      <c r="S370" t="s">
        <v>1881</v>
      </c>
      <c r="T370" t="s">
        <v>1812</v>
      </c>
      <c r="U370" t="s">
        <v>2365</v>
      </c>
      <c r="V370" t="s">
        <v>2365</v>
      </c>
      <c r="W370" t="s">
        <v>2365</v>
      </c>
      <c r="X370" t="s">
        <v>2365</v>
      </c>
      <c r="Y370" t="s">
        <v>2365</v>
      </c>
      <c r="Z370" t="s">
        <v>2365</v>
      </c>
      <c r="AA370" t="s">
        <v>2365</v>
      </c>
      <c r="AB370" t="s">
        <v>2365</v>
      </c>
      <c r="AC370" s="813" t="s">
        <v>2365</v>
      </c>
      <c r="AD370" s="813" t="s">
        <v>2365</v>
      </c>
      <c r="AE370" s="813" t="s">
        <v>2365</v>
      </c>
      <c r="AF370" t="s">
        <v>2365</v>
      </c>
      <c r="AG370" t="s">
        <v>2365</v>
      </c>
      <c r="AH370" t="s">
        <v>2365</v>
      </c>
      <c r="AI370" t="s">
        <v>2365</v>
      </c>
      <c r="AJ370" t="s">
        <v>2365</v>
      </c>
      <c r="AK370" s="1373" t="s">
        <v>2365</v>
      </c>
      <c r="AL370" t="s">
        <v>2365</v>
      </c>
      <c r="AM370" t="s">
        <v>2365</v>
      </c>
      <c r="AN370" t="s">
        <v>2365</v>
      </c>
      <c r="AR370" t="s">
        <v>2365</v>
      </c>
      <c r="AS370" t="s">
        <v>2365</v>
      </c>
      <c r="AT370" t="s">
        <v>2365</v>
      </c>
      <c r="AU370" t="s">
        <v>2365</v>
      </c>
      <c r="AV370" t="s">
        <v>2365</v>
      </c>
      <c r="AW370" t="s">
        <v>2365</v>
      </c>
      <c r="AX370" t="s">
        <v>2365</v>
      </c>
      <c r="AY370" t="s">
        <v>2365</v>
      </c>
      <c r="AZ370" t="s">
        <v>2365</v>
      </c>
      <c r="BA370" t="s">
        <v>2365</v>
      </c>
      <c r="BB370" t="s">
        <v>2365</v>
      </c>
      <c r="BC370" t="s">
        <v>2365</v>
      </c>
      <c r="BD370" t="s">
        <v>2366</v>
      </c>
      <c r="BE370" t="s">
        <v>2365</v>
      </c>
      <c r="BF370" t="s">
        <v>2365</v>
      </c>
      <c r="BG370" t="s">
        <v>2365</v>
      </c>
      <c r="BH370" t="s">
        <v>2365</v>
      </c>
      <c r="BI370" t="s">
        <v>2366</v>
      </c>
      <c r="BJ370" t="s">
        <v>2365</v>
      </c>
      <c r="BK370" t="s">
        <v>2365</v>
      </c>
      <c r="BL370" t="s">
        <v>2365</v>
      </c>
      <c r="BM370" t="s">
        <v>2365</v>
      </c>
      <c r="BN370" t="s">
        <v>2176</v>
      </c>
      <c r="BO370">
        <v>7</v>
      </c>
      <c r="BP370">
        <v>71</v>
      </c>
      <c r="BQ370" t="s">
        <v>2665</v>
      </c>
      <c r="BR370" t="s">
        <v>1002</v>
      </c>
      <c r="BU370">
        <v>0</v>
      </c>
      <c r="BV370">
        <v>0</v>
      </c>
      <c r="BW370">
        <v>0</v>
      </c>
      <c r="BX370">
        <v>0</v>
      </c>
      <c r="BY370">
        <v>0</v>
      </c>
      <c r="BZ370">
        <v>0</v>
      </c>
      <c r="CA370">
        <v>0</v>
      </c>
      <c r="CB370">
        <v>0</v>
      </c>
      <c r="CC370">
        <v>0</v>
      </c>
      <c r="CD370">
        <v>0</v>
      </c>
      <c r="CE370">
        <v>0</v>
      </c>
      <c r="CF370">
        <v>0</v>
      </c>
      <c r="CG370">
        <v>0</v>
      </c>
      <c r="CH370">
        <v>0</v>
      </c>
      <c r="CI370">
        <v>0</v>
      </c>
      <c r="CJ370">
        <v>0</v>
      </c>
      <c r="CK370">
        <v>0</v>
      </c>
      <c r="CL370">
        <v>0</v>
      </c>
      <c r="CM370">
        <v>0</v>
      </c>
      <c r="CR370" t="s">
        <v>2327</v>
      </c>
      <c r="CS370" s="1369" t="str">
        <f>INDEX([8]Sheet1!$H:$H,MATCH(CR:CR,[8]Sheet1!$AU:$AU,0))</f>
        <v>Education</v>
      </c>
    </row>
    <row r="371" spans="1:97" x14ac:dyDescent="0.2">
      <c r="A371" t="s">
        <v>2905</v>
      </c>
      <c r="B371">
        <v>424</v>
      </c>
      <c r="C371" t="s">
        <v>2905</v>
      </c>
      <c r="D371">
        <v>41472</v>
      </c>
      <c r="E371" t="s">
        <v>2577</v>
      </c>
      <c r="F371">
        <v>2000</v>
      </c>
      <c r="G371" t="s">
        <v>652</v>
      </c>
      <c r="H371" t="s">
        <v>2534</v>
      </c>
      <c r="I371" t="s">
        <v>196</v>
      </c>
      <c r="J371">
        <v>2003</v>
      </c>
      <c r="K371" t="s">
        <v>196</v>
      </c>
      <c r="L371">
        <v>3200</v>
      </c>
      <c r="M371" t="s">
        <v>625</v>
      </c>
      <c r="N371">
        <v>3205</v>
      </c>
      <c r="O371" t="s">
        <v>1002</v>
      </c>
      <c r="P371" t="s">
        <v>2366</v>
      </c>
      <c r="Q371" t="s">
        <v>2364</v>
      </c>
      <c r="R371" t="s">
        <v>2364</v>
      </c>
      <c r="S371" t="s">
        <v>1881</v>
      </c>
      <c r="T371" t="s">
        <v>1812</v>
      </c>
      <c r="U371" t="s">
        <v>2365</v>
      </c>
      <c r="V371" t="s">
        <v>2365</v>
      </c>
      <c r="W371" t="s">
        <v>2365</v>
      </c>
      <c r="X371" t="s">
        <v>2365</v>
      </c>
      <c r="Y371" t="s">
        <v>2365</v>
      </c>
      <c r="Z371" t="s">
        <v>2365</v>
      </c>
      <c r="AA371" t="s">
        <v>2365</v>
      </c>
      <c r="AB371" t="s">
        <v>2365</v>
      </c>
      <c r="AC371" s="813" t="s">
        <v>2365</v>
      </c>
      <c r="AD371" s="813" t="s">
        <v>2365</v>
      </c>
      <c r="AE371" s="813" t="s">
        <v>2365</v>
      </c>
      <c r="AF371" t="s">
        <v>2365</v>
      </c>
      <c r="AG371" t="s">
        <v>2365</v>
      </c>
      <c r="AH371" t="s">
        <v>2365</v>
      </c>
      <c r="AI371" t="s">
        <v>2365</v>
      </c>
      <c r="AJ371" t="s">
        <v>2365</v>
      </c>
      <c r="AK371" s="1373" t="s">
        <v>2365</v>
      </c>
      <c r="AL371" t="s">
        <v>2365</v>
      </c>
      <c r="AM371" t="s">
        <v>2365</v>
      </c>
      <c r="AN371" t="s">
        <v>2365</v>
      </c>
      <c r="AR371" t="s">
        <v>2365</v>
      </c>
      <c r="AS371" t="s">
        <v>2365</v>
      </c>
      <c r="AT371" t="s">
        <v>2365</v>
      </c>
      <c r="AU371" t="s">
        <v>2365</v>
      </c>
      <c r="AV371" t="s">
        <v>2365</v>
      </c>
      <c r="AW371" t="s">
        <v>2365</v>
      </c>
      <c r="AX371" t="s">
        <v>2365</v>
      </c>
      <c r="AY371" t="s">
        <v>2365</v>
      </c>
      <c r="AZ371" t="s">
        <v>2365</v>
      </c>
      <c r="BA371" t="s">
        <v>2365</v>
      </c>
      <c r="BB371" t="s">
        <v>2365</v>
      </c>
      <c r="BC371" t="s">
        <v>2365</v>
      </c>
      <c r="BD371" t="s">
        <v>2366</v>
      </c>
      <c r="BE371" t="s">
        <v>2365</v>
      </c>
      <c r="BF371" t="s">
        <v>2365</v>
      </c>
      <c r="BG371" t="s">
        <v>2365</v>
      </c>
      <c r="BH371" t="s">
        <v>2365</v>
      </c>
      <c r="BI371" t="s">
        <v>2366</v>
      </c>
      <c r="BJ371" t="s">
        <v>2365</v>
      </c>
      <c r="BK371" t="s">
        <v>2365</v>
      </c>
      <c r="BL371" t="s">
        <v>2365</v>
      </c>
      <c r="BM371" t="s">
        <v>2365</v>
      </c>
      <c r="BN371" t="s">
        <v>2176</v>
      </c>
      <c r="BO371">
        <v>7</v>
      </c>
      <c r="BP371">
        <v>71</v>
      </c>
      <c r="BQ371" t="s">
        <v>2665</v>
      </c>
      <c r="BR371" t="s">
        <v>1002</v>
      </c>
      <c r="BU371">
        <v>0</v>
      </c>
      <c r="BV371">
        <v>0</v>
      </c>
      <c r="BW371">
        <v>0</v>
      </c>
      <c r="BX371">
        <v>0</v>
      </c>
      <c r="BY371">
        <v>0</v>
      </c>
      <c r="BZ371">
        <v>0</v>
      </c>
      <c r="CA371">
        <v>0</v>
      </c>
      <c r="CB371">
        <v>0</v>
      </c>
      <c r="CC371">
        <v>0</v>
      </c>
      <c r="CD371">
        <v>0</v>
      </c>
      <c r="CE371">
        <v>0</v>
      </c>
      <c r="CF371">
        <v>0</v>
      </c>
      <c r="CG371">
        <v>0</v>
      </c>
      <c r="CH371">
        <v>0</v>
      </c>
      <c r="CI371">
        <v>0</v>
      </c>
      <c r="CJ371">
        <v>0</v>
      </c>
      <c r="CK371">
        <v>0</v>
      </c>
      <c r="CL371">
        <v>0</v>
      </c>
      <c r="CM371">
        <v>0</v>
      </c>
      <c r="CR371" t="s">
        <v>2327</v>
      </c>
      <c r="CS371" s="1369" t="str">
        <f>INDEX([8]Sheet1!$H:$H,MATCH(CR:CR,[8]Sheet1!$AU:$AU,0))</f>
        <v>Education</v>
      </c>
    </row>
    <row r="372" spans="1:97" x14ac:dyDescent="0.2">
      <c r="A372" t="s">
        <v>2906</v>
      </c>
      <c r="B372">
        <v>425</v>
      </c>
      <c r="C372" t="s">
        <v>2906</v>
      </c>
      <c r="D372">
        <v>41473</v>
      </c>
      <c r="E372" t="s">
        <v>2579</v>
      </c>
      <c r="F372">
        <v>2000</v>
      </c>
      <c r="G372" t="s">
        <v>652</v>
      </c>
      <c r="H372" t="s">
        <v>2472</v>
      </c>
      <c r="I372" t="s">
        <v>1375</v>
      </c>
      <c r="J372">
        <v>2002</v>
      </c>
      <c r="K372" t="s">
        <v>1375</v>
      </c>
      <c r="L372">
        <v>3200</v>
      </c>
      <c r="M372" t="s">
        <v>625</v>
      </c>
      <c r="N372">
        <v>3205</v>
      </c>
      <c r="O372" t="s">
        <v>1002</v>
      </c>
      <c r="P372" t="s">
        <v>2366</v>
      </c>
      <c r="Q372" t="s">
        <v>2364</v>
      </c>
      <c r="R372" t="s">
        <v>2364</v>
      </c>
      <c r="S372" t="s">
        <v>1881</v>
      </c>
      <c r="T372" t="s">
        <v>1812</v>
      </c>
      <c r="U372" t="s">
        <v>2365</v>
      </c>
      <c r="V372" t="s">
        <v>2365</v>
      </c>
      <c r="W372" t="s">
        <v>2365</v>
      </c>
      <c r="X372" t="s">
        <v>2365</v>
      </c>
      <c r="Y372" t="s">
        <v>2365</v>
      </c>
      <c r="Z372" t="s">
        <v>2365</v>
      </c>
      <c r="AA372" t="s">
        <v>2365</v>
      </c>
      <c r="AB372" t="s">
        <v>2365</v>
      </c>
      <c r="AC372" s="813" t="s">
        <v>2365</v>
      </c>
      <c r="AD372" s="813" t="s">
        <v>2365</v>
      </c>
      <c r="AE372" s="813" t="s">
        <v>2365</v>
      </c>
      <c r="AF372" t="s">
        <v>2365</v>
      </c>
      <c r="AG372" t="s">
        <v>2365</v>
      </c>
      <c r="AH372" t="s">
        <v>2365</v>
      </c>
      <c r="AI372" t="s">
        <v>2365</v>
      </c>
      <c r="AJ372" t="s">
        <v>2365</v>
      </c>
      <c r="AK372" s="1373" t="s">
        <v>2365</v>
      </c>
      <c r="AL372" t="s">
        <v>2365</v>
      </c>
      <c r="AM372" t="s">
        <v>2365</v>
      </c>
      <c r="AN372" t="s">
        <v>2365</v>
      </c>
      <c r="AR372" t="s">
        <v>2365</v>
      </c>
      <c r="AS372" t="s">
        <v>2365</v>
      </c>
      <c r="AT372" t="s">
        <v>2365</v>
      </c>
      <c r="AU372" t="s">
        <v>2365</v>
      </c>
      <c r="AV372" t="s">
        <v>2365</v>
      </c>
      <c r="AW372" t="s">
        <v>2365</v>
      </c>
      <c r="AX372" t="s">
        <v>2365</v>
      </c>
      <c r="AY372" t="s">
        <v>2365</v>
      </c>
      <c r="AZ372" t="s">
        <v>2365</v>
      </c>
      <c r="BA372" t="s">
        <v>2365</v>
      </c>
      <c r="BB372" t="s">
        <v>2365</v>
      </c>
      <c r="BC372" t="s">
        <v>2365</v>
      </c>
      <c r="BD372" t="s">
        <v>2366</v>
      </c>
      <c r="BE372" t="s">
        <v>2365</v>
      </c>
      <c r="BF372" t="s">
        <v>2365</v>
      </c>
      <c r="BG372" t="s">
        <v>2365</v>
      </c>
      <c r="BH372" t="s">
        <v>2365</v>
      </c>
      <c r="BI372" t="s">
        <v>2366</v>
      </c>
      <c r="BJ372" t="s">
        <v>2365</v>
      </c>
      <c r="BK372" t="s">
        <v>2365</v>
      </c>
      <c r="BL372" t="s">
        <v>2365</v>
      </c>
      <c r="BM372" t="s">
        <v>2365</v>
      </c>
      <c r="BN372" t="s">
        <v>2176</v>
      </c>
      <c r="BO372">
        <v>7</v>
      </c>
      <c r="BP372">
        <v>71</v>
      </c>
      <c r="BQ372" t="s">
        <v>2665</v>
      </c>
      <c r="BR372" t="s">
        <v>1002</v>
      </c>
      <c r="BU372">
        <v>0</v>
      </c>
      <c r="BV372">
        <v>0</v>
      </c>
      <c r="BW372">
        <v>0</v>
      </c>
      <c r="BX372">
        <v>0</v>
      </c>
      <c r="BY372">
        <v>0</v>
      </c>
      <c r="BZ372">
        <v>0</v>
      </c>
      <c r="CA372">
        <v>0</v>
      </c>
      <c r="CB372">
        <v>0</v>
      </c>
      <c r="CC372">
        <v>0</v>
      </c>
      <c r="CD372">
        <v>0</v>
      </c>
      <c r="CE372">
        <v>0</v>
      </c>
      <c r="CF372">
        <v>0</v>
      </c>
      <c r="CG372">
        <v>0</v>
      </c>
      <c r="CH372">
        <v>0</v>
      </c>
      <c r="CI372">
        <v>0</v>
      </c>
      <c r="CJ372">
        <v>0</v>
      </c>
      <c r="CK372">
        <v>0</v>
      </c>
      <c r="CL372">
        <v>0</v>
      </c>
      <c r="CM372">
        <v>0</v>
      </c>
      <c r="CR372" t="s">
        <v>2327</v>
      </c>
      <c r="CS372" s="1369" t="str">
        <f>INDEX([8]Sheet1!$H:$H,MATCH(CR:CR,[8]Sheet1!$AU:$AU,0))</f>
        <v>Education</v>
      </c>
    </row>
    <row r="373" spans="1:97" x14ac:dyDescent="0.2">
      <c r="A373" t="s">
        <v>2907</v>
      </c>
      <c r="B373">
        <v>426</v>
      </c>
      <c r="C373" t="s">
        <v>2907</v>
      </c>
      <c r="D373">
        <v>41474</v>
      </c>
      <c r="E373" t="s">
        <v>2581</v>
      </c>
      <c r="F373">
        <v>2000</v>
      </c>
      <c r="G373" t="s">
        <v>652</v>
      </c>
      <c r="H373" t="s">
        <v>2472</v>
      </c>
      <c r="I373" t="s">
        <v>1375</v>
      </c>
      <c r="J373">
        <v>2002</v>
      </c>
      <c r="K373" t="s">
        <v>1375</v>
      </c>
      <c r="L373">
        <v>3200</v>
      </c>
      <c r="M373" t="s">
        <v>625</v>
      </c>
      <c r="N373">
        <v>3205</v>
      </c>
      <c r="O373" t="s">
        <v>1002</v>
      </c>
      <c r="P373" t="s">
        <v>2366</v>
      </c>
      <c r="Q373" t="s">
        <v>2364</v>
      </c>
      <c r="R373" t="s">
        <v>2364</v>
      </c>
      <c r="S373" t="s">
        <v>1881</v>
      </c>
      <c r="T373" t="s">
        <v>1812</v>
      </c>
      <c r="U373" t="s">
        <v>2365</v>
      </c>
      <c r="V373" t="s">
        <v>2365</v>
      </c>
      <c r="W373" t="s">
        <v>2365</v>
      </c>
      <c r="X373" t="s">
        <v>2365</v>
      </c>
      <c r="Y373" t="s">
        <v>2365</v>
      </c>
      <c r="Z373" t="s">
        <v>2365</v>
      </c>
      <c r="AA373" t="s">
        <v>2365</v>
      </c>
      <c r="AB373" t="s">
        <v>2365</v>
      </c>
      <c r="AC373" s="813" t="s">
        <v>2365</v>
      </c>
      <c r="AD373" s="813" t="s">
        <v>2365</v>
      </c>
      <c r="AE373" s="813" t="s">
        <v>2365</v>
      </c>
      <c r="AF373" t="s">
        <v>2365</v>
      </c>
      <c r="AG373" t="s">
        <v>2365</v>
      </c>
      <c r="AH373" t="s">
        <v>2365</v>
      </c>
      <c r="AI373" t="s">
        <v>2365</v>
      </c>
      <c r="AJ373" t="s">
        <v>2365</v>
      </c>
      <c r="AK373" s="1373" t="s">
        <v>2365</v>
      </c>
      <c r="AL373" t="s">
        <v>2365</v>
      </c>
      <c r="AM373" t="s">
        <v>2365</v>
      </c>
      <c r="AN373" t="s">
        <v>2365</v>
      </c>
      <c r="AR373" t="s">
        <v>2365</v>
      </c>
      <c r="AS373" t="s">
        <v>2365</v>
      </c>
      <c r="AT373" t="s">
        <v>2365</v>
      </c>
      <c r="AU373" t="s">
        <v>2365</v>
      </c>
      <c r="AV373" t="s">
        <v>2365</v>
      </c>
      <c r="AW373" t="s">
        <v>2365</v>
      </c>
      <c r="AX373" t="s">
        <v>2365</v>
      </c>
      <c r="AY373" t="s">
        <v>2365</v>
      </c>
      <c r="AZ373" t="s">
        <v>2365</v>
      </c>
      <c r="BA373" t="s">
        <v>2365</v>
      </c>
      <c r="BB373" t="s">
        <v>2365</v>
      </c>
      <c r="BC373" t="s">
        <v>2365</v>
      </c>
      <c r="BD373" t="s">
        <v>2366</v>
      </c>
      <c r="BE373" t="s">
        <v>2365</v>
      </c>
      <c r="BF373" t="s">
        <v>2365</v>
      </c>
      <c r="BG373" t="s">
        <v>2365</v>
      </c>
      <c r="BH373" t="s">
        <v>2365</v>
      </c>
      <c r="BI373" t="s">
        <v>2366</v>
      </c>
      <c r="BJ373" t="s">
        <v>2365</v>
      </c>
      <c r="BK373" t="s">
        <v>2365</v>
      </c>
      <c r="BL373" t="s">
        <v>2365</v>
      </c>
      <c r="BM373" t="s">
        <v>2365</v>
      </c>
      <c r="BN373" t="s">
        <v>2176</v>
      </c>
      <c r="BO373">
        <v>7</v>
      </c>
      <c r="BP373">
        <v>71</v>
      </c>
      <c r="BQ373" t="s">
        <v>2665</v>
      </c>
      <c r="BR373" t="s">
        <v>1002</v>
      </c>
      <c r="BU373">
        <v>0</v>
      </c>
      <c r="BV373">
        <v>0</v>
      </c>
      <c r="BW373">
        <v>0</v>
      </c>
      <c r="BX373">
        <v>0</v>
      </c>
      <c r="BY373">
        <v>0</v>
      </c>
      <c r="BZ373">
        <v>0</v>
      </c>
      <c r="CA373">
        <v>0</v>
      </c>
      <c r="CB373">
        <v>0</v>
      </c>
      <c r="CC373">
        <v>0</v>
      </c>
      <c r="CD373">
        <v>0</v>
      </c>
      <c r="CE373">
        <v>4609.07</v>
      </c>
      <c r="CF373">
        <v>0</v>
      </c>
      <c r="CG373">
        <v>0</v>
      </c>
      <c r="CH373">
        <v>0</v>
      </c>
      <c r="CI373">
        <v>0</v>
      </c>
      <c r="CJ373">
        <v>0</v>
      </c>
      <c r="CK373">
        <v>0</v>
      </c>
      <c r="CL373">
        <v>0</v>
      </c>
      <c r="CM373">
        <v>0</v>
      </c>
      <c r="CR373" t="s">
        <v>2327</v>
      </c>
      <c r="CS373" s="1369" t="str">
        <f>INDEX([8]Sheet1!$H:$H,MATCH(CR:CR,[8]Sheet1!$AU:$AU,0))</f>
        <v>Education</v>
      </c>
    </row>
    <row r="374" spans="1:97" x14ac:dyDescent="0.2">
      <c r="A374" t="s">
        <v>2908</v>
      </c>
      <c r="B374">
        <v>427</v>
      </c>
      <c r="C374" t="s">
        <v>2908</v>
      </c>
      <c r="D374">
        <v>41250</v>
      </c>
      <c r="E374" t="s">
        <v>2504</v>
      </c>
      <c r="F374">
        <v>2900</v>
      </c>
      <c r="G374" t="s">
        <v>569</v>
      </c>
      <c r="H374" t="s">
        <v>2366</v>
      </c>
      <c r="I374" t="s">
        <v>2366</v>
      </c>
      <c r="J374">
        <v>2904</v>
      </c>
      <c r="K374" t="s">
        <v>1432</v>
      </c>
      <c r="L374">
        <v>2100</v>
      </c>
      <c r="M374" t="s">
        <v>618</v>
      </c>
      <c r="N374">
        <v>2106</v>
      </c>
      <c r="O374" t="s">
        <v>1499</v>
      </c>
      <c r="P374" t="s">
        <v>2366</v>
      </c>
      <c r="Q374" t="s">
        <v>2364</v>
      </c>
      <c r="R374" t="s">
        <v>2364</v>
      </c>
      <c r="S374" t="s">
        <v>1881</v>
      </c>
      <c r="T374" t="s">
        <v>1812</v>
      </c>
      <c r="U374" t="s">
        <v>2365</v>
      </c>
      <c r="V374" t="s">
        <v>2365</v>
      </c>
      <c r="W374" t="s">
        <v>2365</v>
      </c>
      <c r="X374" t="s">
        <v>2365</v>
      </c>
      <c r="Y374" t="s">
        <v>2365</v>
      </c>
      <c r="Z374" t="s">
        <v>2365</v>
      </c>
      <c r="AA374" t="s">
        <v>2365</v>
      </c>
      <c r="AB374" t="s">
        <v>2365</v>
      </c>
      <c r="AC374" s="813" t="s">
        <v>2365</v>
      </c>
      <c r="AD374" s="813" t="s">
        <v>2365</v>
      </c>
      <c r="AE374" s="813" t="s">
        <v>2365</v>
      </c>
      <c r="AF374" t="s">
        <v>2365</v>
      </c>
      <c r="AG374" t="s">
        <v>2365</v>
      </c>
      <c r="AH374" t="s">
        <v>2365</v>
      </c>
      <c r="AI374" t="s">
        <v>2365</v>
      </c>
      <c r="AJ374" t="s">
        <v>2365</v>
      </c>
      <c r="AK374" s="1373" t="s">
        <v>2365</v>
      </c>
      <c r="AL374" t="s">
        <v>2365</v>
      </c>
      <c r="AM374" t="s">
        <v>2365</v>
      </c>
      <c r="AN374" t="s">
        <v>2365</v>
      </c>
      <c r="AR374" t="s">
        <v>2365</v>
      </c>
      <c r="AS374" t="s">
        <v>2365</v>
      </c>
      <c r="AT374" t="s">
        <v>2365</v>
      </c>
      <c r="AU374" t="s">
        <v>2365</v>
      </c>
      <c r="AV374" t="s">
        <v>2365</v>
      </c>
      <c r="AW374" t="s">
        <v>2365</v>
      </c>
      <c r="AX374" t="s">
        <v>2365</v>
      </c>
      <c r="AY374" t="s">
        <v>2365</v>
      </c>
      <c r="AZ374" t="s">
        <v>2365</v>
      </c>
      <c r="BA374" t="s">
        <v>2365</v>
      </c>
      <c r="BB374" t="s">
        <v>2365</v>
      </c>
      <c r="BC374" t="s">
        <v>2365</v>
      </c>
      <c r="BD374" t="s">
        <v>2366</v>
      </c>
      <c r="BE374" t="s">
        <v>2365</v>
      </c>
      <c r="BF374" t="s">
        <v>2365</v>
      </c>
      <c r="BG374" t="s">
        <v>2365</v>
      </c>
      <c r="BH374" t="s">
        <v>2365</v>
      </c>
      <c r="BI374" t="s">
        <v>2366</v>
      </c>
      <c r="BJ374" t="s">
        <v>2365</v>
      </c>
      <c r="BK374" t="s">
        <v>2365</v>
      </c>
      <c r="BL374" t="s">
        <v>2365</v>
      </c>
      <c r="BM374" t="s">
        <v>2365</v>
      </c>
      <c r="BO374">
        <v>5</v>
      </c>
      <c r="BP374">
        <v>53</v>
      </c>
      <c r="BQ374" t="s">
        <v>2438</v>
      </c>
      <c r="BR374" t="s">
        <v>1499</v>
      </c>
      <c r="BU374">
        <v>0</v>
      </c>
      <c r="BV374">
        <v>0</v>
      </c>
      <c r="BW374">
        <v>0</v>
      </c>
      <c r="BX374">
        <v>0</v>
      </c>
      <c r="BY374">
        <v>0</v>
      </c>
      <c r="BZ374">
        <v>0</v>
      </c>
      <c r="CA374">
        <v>0</v>
      </c>
      <c r="CB374">
        <v>0</v>
      </c>
      <c r="CC374">
        <v>0</v>
      </c>
      <c r="CD374">
        <v>0</v>
      </c>
      <c r="CE374">
        <v>0</v>
      </c>
      <c r="CF374">
        <v>0</v>
      </c>
      <c r="CG374">
        <v>0</v>
      </c>
      <c r="CH374">
        <v>0</v>
      </c>
      <c r="CI374">
        <v>0</v>
      </c>
      <c r="CJ374">
        <v>0</v>
      </c>
      <c r="CK374">
        <v>0</v>
      </c>
      <c r="CL374">
        <v>0</v>
      </c>
      <c r="CM374">
        <v>0</v>
      </c>
      <c r="CR374" t="s">
        <v>2327</v>
      </c>
      <c r="CS374" s="1369" t="str">
        <f>INDEX([8]Sheet1!$H:$H,MATCH(CR:CR,[8]Sheet1!$AU:$AU,0))</f>
        <v>Education</v>
      </c>
    </row>
    <row r="375" spans="1:97" x14ac:dyDescent="0.2">
      <c r="A375" t="s">
        <v>2909</v>
      </c>
      <c r="B375">
        <v>428</v>
      </c>
      <c r="C375" t="s">
        <v>2909</v>
      </c>
      <c r="D375">
        <v>41251</v>
      </c>
      <c r="E375" t="s">
        <v>2453</v>
      </c>
      <c r="F375">
        <v>2900</v>
      </c>
      <c r="G375" t="s">
        <v>569</v>
      </c>
      <c r="H375" t="s">
        <v>2366</v>
      </c>
      <c r="I375" t="s">
        <v>2366</v>
      </c>
      <c r="J375">
        <v>2904</v>
      </c>
      <c r="K375" t="s">
        <v>1432</v>
      </c>
      <c r="L375">
        <v>2100</v>
      </c>
      <c r="M375" t="s">
        <v>618</v>
      </c>
      <c r="N375">
        <v>2106</v>
      </c>
      <c r="O375" t="s">
        <v>1499</v>
      </c>
      <c r="P375" t="s">
        <v>2366</v>
      </c>
      <c r="Q375" t="s">
        <v>2364</v>
      </c>
      <c r="R375" t="s">
        <v>2364</v>
      </c>
      <c r="S375" t="s">
        <v>1881</v>
      </c>
      <c r="T375" t="s">
        <v>1812</v>
      </c>
      <c r="U375" t="s">
        <v>2365</v>
      </c>
      <c r="V375" t="s">
        <v>2365</v>
      </c>
      <c r="W375" t="s">
        <v>2365</v>
      </c>
      <c r="X375" t="s">
        <v>2365</v>
      </c>
      <c r="Y375" t="s">
        <v>2365</v>
      </c>
      <c r="Z375" t="s">
        <v>2365</v>
      </c>
      <c r="AA375" t="s">
        <v>2365</v>
      </c>
      <c r="AB375" t="s">
        <v>2365</v>
      </c>
      <c r="AC375" s="813" t="s">
        <v>2365</v>
      </c>
      <c r="AD375" s="813" t="s">
        <v>2365</v>
      </c>
      <c r="AE375" s="813" t="s">
        <v>2365</v>
      </c>
      <c r="AF375" t="s">
        <v>2365</v>
      </c>
      <c r="AG375" t="s">
        <v>2365</v>
      </c>
      <c r="AH375" t="s">
        <v>2365</v>
      </c>
      <c r="AI375" t="s">
        <v>2365</v>
      </c>
      <c r="AJ375" t="s">
        <v>2365</v>
      </c>
      <c r="AK375" s="1373" t="s">
        <v>2365</v>
      </c>
      <c r="AL375" t="s">
        <v>2365</v>
      </c>
      <c r="AM375" t="s">
        <v>2365</v>
      </c>
      <c r="AN375" t="s">
        <v>2365</v>
      </c>
      <c r="AR375" t="s">
        <v>2365</v>
      </c>
      <c r="AS375" t="s">
        <v>2365</v>
      </c>
      <c r="AT375" t="s">
        <v>2365</v>
      </c>
      <c r="AU375" t="s">
        <v>2365</v>
      </c>
      <c r="AV375" t="s">
        <v>2365</v>
      </c>
      <c r="AW375" t="s">
        <v>2365</v>
      </c>
      <c r="AX375" t="s">
        <v>2365</v>
      </c>
      <c r="AY375" t="s">
        <v>2365</v>
      </c>
      <c r="AZ375" t="s">
        <v>2365</v>
      </c>
      <c r="BA375" t="s">
        <v>2365</v>
      </c>
      <c r="BB375" t="s">
        <v>2365</v>
      </c>
      <c r="BC375" t="s">
        <v>2365</v>
      </c>
      <c r="BD375" t="s">
        <v>2366</v>
      </c>
      <c r="BE375" t="s">
        <v>2365</v>
      </c>
      <c r="BF375" t="s">
        <v>2365</v>
      </c>
      <c r="BG375" t="s">
        <v>2365</v>
      </c>
      <c r="BH375" t="s">
        <v>2365</v>
      </c>
      <c r="BI375" t="s">
        <v>2366</v>
      </c>
      <c r="BJ375" t="s">
        <v>2365</v>
      </c>
      <c r="BK375" t="s">
        <v>2365</v>
      </c>
      <c r="BL375" t="s">
        <v>2365</v>
      </c>
      <c r="BM375" t="s">
        <v>2365</v>
      </c>
      <c r="BO375">
        <v>5</v>
      </c>
      <c r="BP375">
        <v>53</v>
      </c>
      <c r="BQ375" t="s">
        <v>2438</v>
      </c>
      <c r="BR375" t="s">
        <v>1499</v>
      </c>
      <c r="BU375">
        <v>0</v>
      </c>
      <c r="BV375">
        <v>0</v>
      </c>
      <c r="BW375">
        <v>0</v>
      </c>
      <c r="BX375">
        <v>0</v>
      </c>
      <c r="BY375">
        <v>0</v>
      </c>
      <c r="BZ375">
        <v>0</v>
      </c>
      <c r="CA375">
        <v>0</v>
      </c>
      <c r="CB375">
        <v>0</v>
      </c>
      <c r="CC375">
        <v>0</v>
      </c>
      <c r="CD375">
        <v>0</v>
      </c>
      <c r="CE375">
        <v>0</v>
      </c>
      <c r="CF375">
        <v>0</v>
      </c>
      <c r="CG375">
        <v>0</v>
      </c>
      <c r="CH375">
        <v>0</v>
      </c>
      <c r="CI375">
        <v>0</v>
      </c>
      <c r="CJ375">
        <v>0</v>
      </c>
      <c r="CK375">
        <v>0</v>
      </c>
      <c r="CL375">
        <v>0</v>
      </c>
      <c r="CM375">
        <v>0</v>
      </c>
      <c r="CR375" t="s">
        <v>2327</v>
      </c>
      <c r="CS375" s="1369" t="str">
        <f>INDEX([8]Sheet1!$H:$H,MATCH(CR:CR,[8]Sheet1!$AU:$AU,0))</f>
        <v>Education</v>
      </c>
    </row>
    <row r="376" spans="1:97" x14ac:dyDescent="0.2">
      <c r="A376" t="s">
        <v>2910</v>
      </c>
      <c r="B376">
        <v>429</v>
      </c>
      <c r="C376" t="s">
        <v>2910</v>
      </c>
      <c r="D376">
        <v>41252</v>
      </c>
      <c r="E376" t="s">
        <v>2911</v>
      </c>
      <c r="F376">
        <v>2900</v>
      </c>
      <c r="G376" t="s">
        <v>569</v>
      </c>
      <c r="H376" t="s">
        <v>2366</v>
      </c>
      <c r="I376" t="s">
        <v>2366</v>
      </c>
      <c r="J376">
        <v>2904</v>
      </c>
      <c r="K376" t="s">
        <v>1432</v>
      </c>
      <c r="L376">
        <v>2100</v>
      </c>
      <c r="M376" t="s">
        <v>618</v>
      </c>
      <c r="N376">
        <v>2106</v>
      </c>
      <c r="O376" t="s">
        <v>1499</v>
      </c>
      <c r="P376" t="s">
        <v>2366</v>
      </c>
      <c r="Q376" t="s">
        <v>2364</v>
      </c>
      <c r="R376" t="s">
        <v>2364</v>
      </c>
      <c r="S376" t="s">
        <v>1881</v>
      </c>
      <c r="T376" t="s">
        <v>1812</v>
      </c>
      <c r="U376" t="s">
        <v>2365</v>
      </c>
      <c r="V376" t="s">
        <v>2365</v>
      </c>
      <c r="W376" t="s">
        <v>2365</v>
      </c>
      <c r="X376" t="s">
        <v>2365</v>
      </c>
      <c r="Y376" t="s">
        <v>2365</v>
      </c>
      <c r="Z376" t="s">
        <v>2365</v>
      </c>
      <c r="AA376" t="s">
        <v>2365</v>
      </c>
      <c r="AB376" t="s">
        <v>2365</v>
      </c>
      <c r="AC376" s="813" t="s">
        <v>2365</v>
      </c>
      <c r="AD376" s="813" t="s">
        <v>2365</v>
      </c>
      <c r="AE376" s="813" t="s">
        <v>2365</v>
      </c>
      <c r="AF376" t="s">
        <v>2365</v>
      </c>
      <c r="AG376" t="s">
        <v>2365</v>
      </c>
      <c r="AH376" t="s">
        <v>2365</v>
      </c>
      <c r="AI376" t="s">
        <v>2365</v>
      </c>
      <c r="AJ376" t="s">
        <v>2365</v>
      </c>
      <c r="AK376" s="1373" t="s">
        <v>2365</v>
      </c>
      <c r="AL376" t="s">
        <v>2365</v>
      </c>
      <c r="AM376" t="s">
        <v>2365</v>
      </c>
      <c r="AN376" t="s">
        <v>2365</v>
      </c>
      <c r="AR376" t="s">
        <v>2365</v>
      </c>
      <c r="AS376" t="s">
        <v>2365</v>
      </c>
      <c r="AT376" t="s">
        <v>2365</v>
      </c>
      <c r="AU376" t="s">
        <v>2365</v>
      </c>
      <c r="AV376" t="s">
        <v>2365</v>
      </c>
      <c r="AW376" t="s">
        <v>2365</v>
      </c>
      <c r="AX376" t="s">
        <v>2365</v>
      </c>
      <c r="AY376" t="s">
        <v>2365</v>
      </c>
      <c r="AZ376" t="s">
        <v>2365</v>
      </c>
      <c r="BA376" t="s">
        <v>2365</v>
      </c>
      <c r="BB376" t="s">
        <v>2365</v>
      </c>
      <c r="BC376" t="s">
        <v>2365</v>
      </c>
      <c r="BD376" t="s">
        <v>2366</v>
      </c>
      <c r="BE376" t="s">
        <v>2365</v>
      </c>
      <c r="BF376" t="s">
        <v>2365</v>
      </c>
      <c r="BG376" t="s">
        <v>2365</v>
      </c>
      <c r="BH376" t="s">
        <v>2365</v>
      </c>
      <c r="BI376" t="s">
        <v>2366</v>
      </c>
      <c r="BJ376" t="s">
        <v>2365</v>
      </c>
      <c r="BK376" t="s">
        <v>2365</v>
      </c>
      <c r="BL376" t="s">
        <v>2365</v>
      </c>
      <c r="BM376" t="s">
        <v>2365</v>
      </c>
      <c r="BO376">
        <v>5</v>
      </c>
      <c r="BP376">
        <v>53</v>
      </c>
      <c r="BQ376" t="s">
        <v>2438</v>
      </c>
      <c r="BR376" t="s">
        <v>1499</v>
      </c>
      <c r="BU376">
        <v>0</v>
      </c>
      <c r="BV376">
        <v>0</v>
      </c>
      <c r="BW376">
        <v>0</v>
      </c>
      <c r="BX376">
        <v>0</v>
      </c>
      <c r="BY376">
        <v>0</v>
      </c>
      <c r="BZ376">
        <v>0</v>
      </c>
      <c r="CA376">
        <v>0</v>
      </c>
      <c r="CB376">
        <v>0</v>
      </c>
      <c r="CC376">
        <v>0</v>
      </c>
      <c r="CD376">
        <v>0</v>
      </c>
      <c r="CE376">
        <v>0</v>
      </c>
      <c r="CF376">
        <v>0</v>
      </c>
      <c r="CG376">
        <v>0</v>
      </c>
      <c r="CH376">
        <v>0</v>
      </c>
      <c r="CI376">
        <v>0</v>
      </c>
      <c r="CJ376">
        <v>0</v>
      </c>
      <c r="CK376">
        <v>0</v>
      </c>
      <c r="CL376">
        <v>0</v>
      </c>
      <c r="CM376">
        <v>0</v>
      </c>
      <c r="CR376" t="s">
        <v>2330</v>
      </c>
      <c r="CS376" s="1369" t="str">
        <f>INDEX([8]Sheet1!$H:$H,MATCH(CR:CR,[8]Sheet1!$AU:$AU,0))</f>
        <v>Water Treatment</v>
      </c>
    </row>
    <row r="377" spans="1:97" x14ac:dyDescent="0.2">
      <c r="A377" t="s">
        <v>2912</v>
      </c>
      <c r="B377">
        <v>430</v>
      </c>
      <c r="C377" t="s">
        <v>2912</v>
      </c>
      <c r="D377">
        <v>41253</v>
      </c>
      <c r="E377" t="s">
        <v>2913</v>
      </c>
      <c r="F377">
        <v>2900</v>
      </c>
      <c r="G377" t="s">
        <v>569</v>
      </c>
      <c r="H377" t="s">
        <v>2366</v>
      </c>
      <c r="I377" t="s">
        <v>2366</v>
      </c>
      <c r="J377">
        <v>2904</v>
      </c>
      <c r="K377" t="s">
        <v>1432</v>
      </c>
      <c r="L377">
        <v>2100</v>
      </c>
      <c r="M377" t="s">
        <v>618</v>
      </c>
      <c r="N377">
        <v>2106</v>
      </c>
      <c r="O377" t="s">
        <v>1499</v>
      </c>
      <c r="P377" t="s">
        <v>2366</v>
      </c>
      <c r="Q377" t="s">
        <v>2364</v>
      </c>
      <c r="R377" t="s">
        <v>2364</v>
      </c>
      <c r="S377" t="s">
        <v>1881</v>
      </c>
      <c r="T377" t="s">
        <v>1812</v>
      </c>
      <c r="U377" t="s">
        <v>2365</v>
      </c>
      <c r="V377" t="s">
        <v>2365</v>
      </c>
      <c r="W377" t="s">
        <v>2365</v>
      </c>
      <c r="X377" t="s">
        <v>2365</v>
      </c>
      <c r="Y377" t="s">
        <v>2365</v>
      </c>
      <c r="Z377" t="s">
        <v>2365</v>
      </c>
      <c r="AA377" t="s">
        <v>2365</v>
      </c>
      <c r="AB377" t="s">
        <v>2365</v>
      </c>
      <c r="AC377" s="813" t="s">
        <v>2365</v>
      </c>
      <c r="AD377" s="813" t="s">
        <v>2365</v>
      </c>
      <c r="AE377" s="813" t="s">
        <v>2365</v>
      </c>
      <c r="AF377" t="s">
        <v>2365</v>
      </c>
      <c r="AG377" t="s">
        <v>2365</v>
      </c>
      <c r="AH377" t="s">
        <v>2365</v>
      </c>
      <c r="AI377" t="s">
        <v>2365</v>
      </c>
      <c r="AJ377" t="s">
        <v>2365</v>
      </c>
      <c r="AK377" t="s">
        <v>2365</v>
      </c>
      <c r="AL377" t="s">
        <v>2365</v>
      </c>
      <c r="AM377" t="s">
        <v>2365</v>
      </c>
      <c r="AN377" t="s">
        <v>2365</v>
      </c>
      <c r="AR377" t="s">
        <v>2365</v>
      </c>
      <c r="AS377" t="s">
        <v>2365</v>
      </c>
      <c r="AT377" t="s">
        <v>2365</v>
      </c>
      <c r="AU377" t="s">
        <v>2365</v>
      </c>
      <c r="AV377" t="s">
        <v>2365</v>
      </c>
      <c r="AW377" t="s">
        <v>2365</v>
      </c>
      <c r="AX377" t="s">
        <v>2365</v>
      </c>
      <c r="AY377" t="s">
        <v>2365</v>
      </c>
      <c r="AZ377" t="s">
        <v>2365</v>
      </c>
      <c r="BA377" t="s">
        <v>2365</v>
      </c>
      <c r="BB377" t="s">
        <v>2365</v>
      </c>
      <c r="BC377" t="s">
        <v>2365</v>
      </c>
      <c r="BD377" t="s">
        <v>2366</v>
      </c>
      <c r="BE377" t="s">
        <v>2365</v>
      </c>
      <c r="BF377" t="s">
        <v>2365</v>
      </c>
      <c r="BG377" t="s">
        <v>2365</v>
      </c>
      <c r="BH377" t="s">
        <v>2365</v>
      </c>
      <c r="BI377" t="s">
        <v>2366</v>
      </c>
      <c r="BJ377" t="s">
        <v>2365</v>
      </c>
      <c r="BK377" t="s">
        <v>2365</v>
      </c>
      <c r="BL377" t="s">
        <v>2365</v>
      </c>
      <c r="BM377" t="s">
        <v>2365</v>
      </c>
      <c r="BO377">
        <v>5</v>
      </c>
      <c r="BP377">
        <v>53</v>
      </c>
      <c r="BQ377" t="s">
        <v>2438</v>
      </c>
      <c r="BR377" t="s">
        <v>1499</v>
      </c>
      <c r="BU377">
        <v>0</v>
      </c>
      <c r="BV377">
        <v>0</v>
      </c>
      <c r="BW377">
        <v>0</v>
      </c>
      <c r="BX377">
        <v>0</v>
      </c>
      <c r="BY377">
        <v>0</v>
      </c>
      <c r="BZ377">
        <v>0</v>
      </c>
      <c r="CA377">
        <v>0</v>
      </c>
      <c r="CB377">
        <v>0</v>
      </c>
      <c r="CC377">
        <v>0</v>
      </c>
      <c r="CD377">
        <v>0</v>
      </c>
      <c r="CE377">
        <v>0</v>
      </c>
      <c r="CF377">
        <v>0</v>
      </c>
      <c r="CG377">
        <v>0</v>
      </c>
      <c r="CH377">
        <v>0</v>
      </c>
      <c r="CI377">
        <v>0</v>
      </c>
      <c r="CJ377">
        <v>0</v>
      </c>
      <c r="CK377">
        <v>0</v>
      </c>
      <c r="CL377">
        <v>0</v>
      </c>
      <c r="CM377">
        <v>0</v>
      </c>
      <c r="CR377" t="s">
        <v>2339</v>
      </c>
      <c r="CS377" s="1369" t="str">
        <f>INDEX([8]Sheet1!$H:$H,MATCH(CR:CR,[8]Sheet1!$AU:$AU,0))</f>
        <v>Nature Conservation</v>
      </c>
    </row>
    <row r="378" spans="1:97" x14ac:dyDescent="0.2">
      <c r="A378" t="s">
        <v>2914</v>
      </c>
      <c r="B378">
        <v>431</v>
      </c>
      <c r="C378" t="s">
        <v>2914</v>
      </c>
      <c r="D378">
        <v>41254</v>
      </c>
      <c r="E378" t="s">
        <v>2508</v>
      </c>
      <c r="F378">
        <v>2900</v>
      </c>
      <c r="G378" t="s">
        <v>569</v>
      </c>
      <c r="H378" t="s">
        <v>2366</v>
      </c>
      <c r="I378" t="s">
        <v>2366</v>
      </c>
      <c r="J378">
        <v>2904</v>
      </c>
      <c r="K378" t="s">
        <v>1432</v>
      </c>
      <c r="L378">
        <v>2100</v>
      </c>
      <c r="M378" t="s">
        <v>618</v>
      </c>
      <c r="N378">
        <v>2106</v>
      </c>
      <c r="O378" t="s">
        <v>1499</v>
      </c>
      <c r="P378" t="s">
        <v>2366</v>
      </c>
      <c r="Q378" t="s">
        <v>2364</v>
      </c>
      <c r="R378" t="s">
        <v>2364</v>
      </c>
      <c r="S378" t="s">
        <v>1881</v>
      </c>
      <c r="T378" t="s">
        <v>1812</v>
      </c>
      <c r="U378" t="s">
        <v>2365</v>
      </c>
      <c r="V378" t="s">
        <v>2365</v>
      </c>
      <c r="W378" t="s">
        <v>2365</v>
      </c>
      <c r="X378" t="s">
        <v>2365</v>
      </c>
      <c r="Y378" t="s">
        <v>2365</v>
      </c>
      <c r="Z378" t="s">
        <v>2365</v>
      </c>
      <c r="AA378" t="s">
        <v>2365</v>
      </c>
      <c r="AB378" t="s">
        <v>2365</v>
      </c>
      <c r="AC378" s="813" t="s">
        <v>2365</v>
      </c>
      <c r="AD378" s="813" t="s">
        <v>2365</v>
      </c>
      <c r="AE378" s="813" t="s">
        <v>2365</v>
      </c>
      <c r="AF378" t="s">
        <v>2365</v>
      </c>
      <c r="AG378" t="s">
        <v>2365</v>
      </c>
      <c r="AH378" t="s">
        <v>2365</v>
      </c>
      <c r="AI378" t="s">
        <v>2365</v>
      </c>
      <c r="AJ378" t="s">
        <v>2365</v>
      </c>
      <c r="AK378" t="s">
        <v>2365</v>
      </c>
      <c r="AL378" t="s">
        <v>2365</v>
      </c>
      <c r="AM378" t="s">
        <v>2365</v>
      </c>
      <c r="AN378" t="s">
        <v>2365</v>
      </c>
      <c r="AR378" t="s">
        <v>2365</v>
      </c>
      <c r="AS378" t="s">
        <v>2365</v>
      </c>
      <c r="AT378" t="s">
        <v>2365</v>
      </c>
      <c r="AU378" t="s">
        <v>2365</v>
      </c>
      <c r="AV378" t="s">
        <v>2365</v>
      </c>
      <c r="AW378" t="s">
        <v>2365</v>
      </c>
      <c r="AX378" t="s">
        <v>2365</v>
      </c>
      <c r="AY378" t="s">
        <v>2365</v>
      </c>
      <c r="AZ378" t="s">
        <v>2365</v>
      </c>
      <c r="BA378" t="s">
        <v>2365</v>
      </c>
      <c r="BB378" t="s">
        <v>2365</v>
      </c>
      <c r="BC378" t="s">
        <v>2365</v>
      </c>
      <c r="BD378" t="s">
        <v>2366</v>
      </c>
      <c r="BE378" t="s">
        <v>2365</v>
      </c>
      <c r="BF378" t="s">
        <v>2365</v>
      </c>
      <c r="BG378" t="s">
        <v>2365</v>
      </c>
      <c r="BH378" t="s">
        <v>2365</v>
      </c>
      <c r="BI378" t="s">
        <v>2366</v>
      </c>
      <c r="BJ378" t="s">
        <v>2365</v>
      </c>
      <c r="BK378" t="s">
        <v>2365</v>
      </c>
      <c r="BL378" t="s">
        <v>2365</v>
      </c>
      <c r="BM378" t="s">
        <v>2365</v>
      </c>
      <c r="BO378">
        <v>5</v>
      </c>
      <c r="BP378">
        <v>53</v>
      </c>
      <c r="BQ378" t="s">
        <v>2438</v>
      </c>
      <c r="BR378" t="s">
        <v>1499</v>
      </c>
      <c r="BU378">
        <v>0</v>
      </c>
      <c r="BV378">
        <v>0</v>
      </c>
      <c r="BW378">
        <v>0</v>
      </c>
      <c r="BX378">
        <v>0</v>
      </c>
      <c r="BY378">
        <v>0</v>
      </c>
      <c r="BZ378">
        <v>0</v>
      </c>
      <c r="CA378">
        <v>0</v>
      </c>
      <c r="CB378">
        <v>0</v>
      </c>
      <c r="CC378">
        <v>0</v>
      </c>
      <c r="CD378">
        <v>0</v>
      </c>
      <c r="CE378">
        <v>0</v>
      </c>
      <c r="CF378">
        <v>0</v>
      </c>
      <c r="CG378">
        <v>0</v>
      </c>
      <c r="CH378">
        <v>0</v>
      </c>
      <c r="CI378">
        <v>0</v>
      </c>
      <c r="CJ378">
        <v>0</v>
      </c>
      <c r="CK378">
        <v>0</v>
      </c>
      <c r="CL378">
        <v>0</v>
      </c>
      <c r="CM378">
        <v>0</v>
      </c>
      <c r="CR378" t="s">
        <v>2340</v>
      </c>
      <c r="CS378" s="1369" t="str">
        <f>INDEX([8]Sheet1!$H:$H,MATCH(CR:CR,[8]Sheet1!$AU:$AU,0))</f>
        <v>Disaster Management</v>
      </c>
    </row>
    <row r="379" spans="1:97" x14ac:dyDescent="0.2">
      <c r="A379" t="s">
        <v>2915</v>
      </c>
      <c r="B379">
        <v>432</v>
      </c>
      <c r="C379" t="s">
        <v>2915</v>
      </c>
      <c r="D379">
        <v>41255</v>
      </c>
      <c r="E379" t="s">
        <v>2916</v>
      </c>
      <c r="F379">
        <v>2900</v>
      </c>
      <c r="G379" t="s">
        <v>569</v>
      </c>
      <c r="H379" t="s">
        <v>2366</v>
      </c>
      <c r="I379" t="s">
        <v>2366</v>
      </c>
      <c r="J379">
        <v>2904</v>
      </c>
      <c r="K379" t="s">
        <v>1432</v>
      </c>
      <c r="L379">
        <v>2100</v>
      </c>
      <c r="M379" t="s">
        <v>618</v>
      </c>
      <c r="N379">
        <v>2106</v>
      </c>
      <c r="O379" t="s">
        <v>1499</v>
      </c>
      <c r="P379" t="s">
        <v>2366</v>
      </c>
      <c r="Q379" t="s">
        <v>2364</v>
      </c>
      <c r="R379" t="s">
        <v>2364</v>
      </c>
      <c r="S379" t="s">
        <v>1881</v>
      </c>
      <c r="T379" t="s">
        <v>1812</v>
      </c>
      <c r="U379" t="s">
        <v>2365</v>
      </c>
      <c r="V379" t="s">
        <v>2365</v>
      </c>
      <c r="W379" t="s">
        <v>2365</v>
      </c>
      <c r="X379" t="s">
        <v>2365</v>
      </c>
      <c r="Y379" t="s">
        <v>2365</v>
      </c>
      <c r="Z379" t="s">
        <v>2365</v>
      </c>
      <c r="AA379" t="s">
        <v>2365</v>
      </c>
      <c r="AB379" t="s">
        <v>2365</v>
      </c>
      <c r="AC379" s="813" t="s">
        <v>2365</v>
      </c>
      <c r="AD379" s="813" t="s">
        <v>2365</v>
      </c>
      <c r="AE379" s="813" t="s">
        <v>2365</v>
      </c>
      <c r="AF379" t="s">
        <v>2365</v>
      </c>
      <c r="AG379" t="s">
        <v>2365</v>
      </c>
      <c r="AH379" t="s">
        <v>2365</v>
      </c>
      <c r="AI379" t="s">
        <v>2365</v>
      </c>
      <c r="AJ379" t="s">
        <v>2365</v>
      </c>
      <c r="AK379" t="s">
        <v>2365</v>
      </c>
      <c r="AL379" t="s">
        <v>2365</v>
      </c>
      <c r="AM379" t="s">
        <v>2365</v>
      </c>
      <c r="AN379" t="s">
        <v>2365</v>
      </c>
      <c r="AR379" t="s">
        <v>2365</v>
      </c>
      <c r="AS379" t="s">
        <v>2365</v>
      </c>
      <c r="AT379" t="s">
        <v>2365</v>
      </c>
      <c r="AU379" t="s">
        <v>2365</v>
      </c>
      <c r="AV379" t="s">
        <v>2365</v>
      </c>
      <c r="AW379" t="s">
        <v>2365</v>
      </c>
      <c r="AX379" t="s">
        <v>2365</v>
      </c>
      <c r="AY379" t="s">
        <v>2365</v>
      </c>
      <c r="AZ379" t="s">
        <v>2365</v>
      </c>
      <c r="BA379" t="s">
        <v>2365</v>
      </c>
      <c r="BB379" t="s">
        <v>2365</v>
      </c>
      <c r="BC379" t="s">
        <v>2365</v>
      </c>
      <c r="BD379" t="s">
        <v>2366</v>
      </c>
      <c r="BE379" t="s">
        <v>2365</v>
      </c>
      <c r="BF379" t="s">
        <v>2365</v>
      </c>
      <c r="BG379" t="s">
        <v>2365</v>
      </c>
      <c r="BH379" t="s">
        <v>2365</v>
      </c>
      <c r="BI379" t="s">
        <v>2366</v>
      </c>
      <c r="BJ379" t="s">
        <v>2365</v>
      </c>
      <c r="BK379" t="s">
        <v>2365</v>
      </c>
      <c r="BL379" t="s">
        <v>2365</v>
      </c>
      <c r="BM379" t="s">
        <v>2365</v>
      </c>
      <c r="BO379">
        <v>5</v>
      </c>
      <c r="BP379">
        <v>53</v>
      </c>
      <c r="BQ379" t="s">
        <v>2438</v>
      </c>
      <c r="BR379" t="s">
        <v>1499</v>
      </c>
      <c r="BU379">
        <v>0</v>
      </c>
      <c r="BV379">
        <v>0</v>
      </c>
      <c r="BW379">
        <v>0</v>
      </c>
      <c r="BX379">
        <v>0</v>
      </c>
      <c r="BY379">
        <v>0</v>
      </c>
      <c r="BZ379">
        <v>0</v>
      </c>
      <c r="CA379">
        <v>0</v>
      </c>
      <c r="CB379">
        <v>0</v>
      </c>
      <c r="CC379">
        <v>0</v>
      </c>
      <c r="CD379">
        <v>0</v>
      </c>
      <c r="CE379">
        <v>0</v>
      </c>
      <c r="CF379">
        <v>0</v>
      </c>
      <c r="CG379">
        <v>0</v>
      </c>
      <c r="CH379">
        <v>0</v>
      </c>
      <c r="CI379">
        <v>0</v>
      </c>
      <c r="CJ379">
        <v>0</v>
      </c>
      <c r="CK379">
        <v>0</v>
      </c>
      <c r="CL379">
        <v>0</v>
      </c>
      <c r="CM379">
        <v>0</v>
      </c>
      <c r="CR379" t="s">
        <v>2339</v>
      </c>
      <c r="CS379" s="1369" t="str">
        <f>INDEX([8]Sheet1!$H:$H,MATCH(CR:CR,[8]Sheet1!$AU:$AU,0))</f>
        <v>Nature Conservation</v>
      </c>
    </row>
    <row r="380" spans="1:97" x14ac:dyDescent="0.2">
      <c r="A380" t="s">
        <v>2917</v>
      </c>
      <c r="B380">
        <v>433</v>
      </c>
      <c r="C380" t="s">
        <v>2917</v>
      </c>
      <c r="D380">
        <v>41256</v>
      </c>
      <c r="E380" t="s">
        <v>2510</v>
      </c>
      <c r="F380">
        <v>2900</v>
      </c>
      <c r="G380" t="s">
        <v>569</v>
      </c>
      <c r="H380" t="s">
        <v>2366</v>
      </c>
      <c r="I380" t="s">
        <v>2366</v>
      </c>
      <c r="J380">
        <v>2904</v>
      </c>
      <c r="K380" t="s">
        <v>1432</v>
      </c>
      <c r="L380">
        <v>2100</v>
      </c>
      <c r="M380" t="s">
        <v>618</v>
      </c>
      <c r="N380">
        <v>2106</v>
      </c>
      <c r="O380" t="s">
        <v>1499</v>
      </c>
      <c r="P380" t="s">
        <v>2366</v>
      </c>
      <c r="Q380" t="s">
        <v>2364</v>
      </c>
      <c r="R380" t="s">
        <v>2364</v>
      </c>
      <c r="S380" t="s">
        <v>1881</v>
      </c>
      <c r="T380" t="s">
        <v>1812</v>
      </c>
      <c r="U380" t="s">
        <v>2365</v>
      </c>
      <c r="V380" t="s">
        <v>2365</v>
      </c>
      <c r="W380" t="s">
        <v>2365</v>
      </c>
      <c r="X380" t="s">
        <v>2365</v>
      </c>
      <c r="Y380" t="s">
        <v>2365</v>
      </c>
      <c r="Z380" t="s">
        <v>2365</v>
      </c>
      <c r="AA380" t="s">
        <v>2365</v>
      </c>
      <c r="AB380" t="s">
        <v>2365</v>
      </c>
      <c r="AC380" s="813" t="s">
        <v>2365</v>
      </c>
      <c r="AD380" s="813" t="s">
        <v>2365</v>
      </c>
      <c r="AE380" s="813" t="s">
        <v>2365</v>
      </c>
      <c r="AF380" t="s">
        <v>2365</v>
      </c>
      <c r="AG380" t="s">
        <v>2365</v>
      </c>
      <c r="AH380" t="s">
        <v>2365</v>
      </c>
      <c r="AI380" t="s">
        <v>2365</v>
      </c>
      <c r="AJ380" t="s">
        <v>2365</v>
      </c>
      <c r="AK380" t="s">
        <v>2365</v>
      </c>
      <c r="AL380" t="s">
        <v>2365</v>
      </c>
      <c r="AM380" t="s">
        <v>2365</v>
      </c>
      <c r="AN380" t="s">
        <v>2365</v>
      </c>
      <c r="AR380" t="s">
        <v>2365</v>
      </c>
      <c r="AS380" t="s">
        <v>2365</v>
      </c>
      <c r="AT380" t="s">
        <v>2365</v>
      </c>
      <c r="AU380" t="s">
        <v>2365</v>
      </c>
      <c r="AV380" t="s">
        <v>2365</v>
      </c>
      <c r="AW380" t="s">
        <v>2365</v>
      </c>
      <c r="AX380" t="s">
        <v>2365</v>
      </c>
      <c r="AY380" t="s">
        <v>2365</v>
      </c>
      <c r="AZ380" t="s">
        <v>2365</v>
      </c>
      <c r="BA380" t="s">
        <v>2365</v>
      </c>
      <c r="BB380" t="s">
        <v>2365</v>
      </c>
      <c r="BC380" t="s">
        <v>2365</v>
      </c>
      <c r="BD380" t="s">
        <v>2366</v>
      </c>
      <c r="BE380" t="s">
        <v>2365</v>
      </c>
      <c r="BF380" t="s">
        <v>2365</v>
      </c>
      <c r="BG380" t="s">
        <v>2365</v>
      </c>
      <c r="BH380" t="s">
        <v>2365</v>
      </c>
      <c r="BI380" t="s">
        <v>2366</v>
      </c>
      <c r="BJ380" t="s">
        <v>2365</v>
      </c>
      <c r="BK380" t="s">
        <v>2365</v>
      </c>
      <c r="BL380" t="s">
        <v>2365</v>
      </c>
      <c r="BM380" t="s">
        <v>2365</v>
      </c>
      <c r="BO380">
        <v>5</v>
      </c>
      <c r="BP380">
        <v>53</v>
      </c>
      <c r="BQ380" t="s">
        <v>2438</v>
      </c>
      <c r="BR380" t="s">
        <v>1499</v>
      </c>
      <c r="BU380">
        <v>0</v>
      </c>
      <c r="BV380">
        <v>0</v>
      </c>
      <c r="BW380">
        <v>0</v>
      </c>
      <c r="BX380">
        <v>0</v>
      </c>
      <c r="BY380">
        <v>0</v>
      </c>
      <c r="BZ380">
        <v>0</v>
      </c>
      <c r="CA380">
        <v>0</v>
      </c>
      <c r="CB380">
        <v>0</v>
      </c>
      <c r="CC380">
        <v>0</v>
      </c>
      <c r="CD380">
        <v>0</v>
      </c>
      <c r="CE380">
        <v>0</v>
      </c>
      <c r="CF380">
        <v>0</v>
      </c>
      <c r="CG380">
        <v>0</v>
      </c>
      <c r="CH380">
        <v>0</v>
      </c>
      <c r="CI380">
        <v>0</v>
      </c>
      <c r="CJ380">
        <v>0</v>
      </c>
      <c r="CK380">
        <v>0</v>
      </c>
      <c r="CL380">
        <v>0</v>
      </c>
      <c r="CM380">
        <v>0</v>
      </c>
      <c r="CR380" t="s">
        <v>2339</v>
      </c>
      <c r="CS380" s="1369" t="str">
        <f>INDEX([8]Sheet1!$H:$H,MATCH(CR:CR,[8]Sheet1!$AU:$AU,0))</f>
        <v>Nature Conservation</v>
      </c>
    </row>
    <row r="381" spans="1:97" x14ac:dyDescent="0.2">
      <c r="A381" t="s">
        <v>2918</v>
      </c>
      <c r="B381">
        <v>434</v>
      </c>
      <c r="C381" t="s">
        <v>2918</v>
      </c>
      <c r="D381">
        <v>41257</v>
      </c>
      <c r="E381" t="s">
        <v>2919</v>
      </c>
      <c r="F381">
        <v>2900</v>
      </c>
      <c r="G381" t="s">
        <v>569</v>
      </c>
      <c r="H381" t="s">
        <v>2366</v>
      </c>
      <c r="I381" t="s">
        <v>2366</v>
      </c>
      <c r="J381">
        <v>2904</v>
      </c>
      <c r="K381" t="s">
        <v>1432</v>
      </c>
      <c r="L381">
        <v>2100</v>
      </c>
      <c r="M381" t="s">
        <v>618</v>
      </c>
      <c r="N381">
        <v>2106</v>
      </c>
      <c r="O381" t="s">
        <v>1499</v>
      </c>
      <c r="P381" t="s">
        <v>2366</v>
      </c>
      <c r="Q381" t="s">
        <v>2364</v>
      </c>
      <c r="R381" t="s">
        <v>2364</v>
      </c>
      <c r="S381" t="s">
        <v>1881</v>
      </c>
      <c r="T381" t="s">
        <v>1812</v>
      </c>
      <c r="U381" t="s">
        <v>2365</v>
      </c>
      <c r="V381" t="s">
        <v>2365</v>
      </c>
      <c r="W381" t="s">
        <v>2365</v>
      </c>
      <c r="X381" t="s">
        <v>2365</v>
      </c>
      <c r="Y381" t="s">
        <v>2365</v>
      </c>
      <c r="Z381" t="s">
        <v>2365</v>
      </c>
      <c r="AA381" t="s">
        <v>2365</v>
      </c>
      <c r="AB381" t="s">
        <v>2365</v>
      </c>
      <c r="AC381" s="813" t="s">
        <v>2365</v>
      </c>
      <c r="AD381" s="813" t="s">
        <v>2365</v>
      </c>
      <c r="AE381" s="813" t="s">
        <v>2365</v>
      </c>
      <c r="AF381" t="s">
        <v>2365</v>
      </c>
      <c r="AG381" t="s">
        <v>2365</v>
      </c>
      <c r="AH381" t="s">
        <v>2365</v>
      </c>
      <c r="AI381" t="s">
        <v>2365</v>
      </c>
      <c r="AJ381" t="s">
        <v>2365</v>
      </c>
      <c r="AK381" t="s">
        <v>2365</v>
      </c>
      <c r="AL381" t="s">
        <v>2365</v>
      </c>
      <c r="AM381" t="s">
        <v>2365</v>
      </c>
      <c r="AN381" t="s">
        <v>2365</v>
      </c>
      <c r="AR381" t="s">
        <v>2365</v>
      </c>
      <c r="AS381" t="s">
        <v>2365</v>
      </c>
      <c r="AT381" t="s">
        <v>2365</v>
      </c>
      <c r="AU381" t="s">
        <v>2365</v>
      </c>
      <c r="AV381" t="s">
        <v>2365</v>
      </c>
      <c r="AW381" t="s">
        <v>2365</v>
      </c>
      <c r="AX381" t="s">
        <v>2365</v>
      </c>
      <c r="AY381" t="s">
        <v>2365</v>
      </c>
      <c r="AZ381" t="s">
        <v>2365</v>
      </c>
      <c r="BA381" t="s">
        <v>2365</v>
      </c>
      <c r="BB381" t="s">
        <v>2365</v>
      </c>
      <c r="BC381" t="s">
        <v>2365</v>
      </c>
      <c r="BD381" t="s">
        <v>2366</v>
      </c>
      <c r="BE381" t="s">
        <v>2365</v>
      </c>
      <c r="BF381" t="s">
        <v>2365</v>
      </c>
      <c r="BG381" t="s">
        <v>2365</v>
      </c>
      <c r="BH381" t="s">
        <v>2365</v>
      </c>
      <c r="BI381" t="s">
        <v>2366</v>
      </c>
      <c r="BJ381" t="s">
        <v>2365</v>
      </c>
      <c r="BK381" t="s">
        <v>2365</v>
      </c>
      <c r="BL381" t="s">
        <v>2365</v>
      </c>
      <c r="BM381" t="s">
        <v>2365</v>
      </c>
      <c r="BO381">
        <v>5</v>
      </c>
      <c r="BP381">
        <v>53</v>
      </c>
      <c r="BQ381" t="s">
        <v>2438</v>
      </c>
      <c r="BR381" t="s">
        <v>1499</v>
      </c>
      <c r="BU381">
        <v>0</v>
      </c>
      <c r="BV381">
        <v>0</v>
      </c>
      <c r="BW381">
        <v>0</v>
      </c>
      <c r="BX381">
        <v>0</v>
      </c>
      <c r="BY381">
        <v>0</v>
      </c>
      <c r="BZ381">
        <v>0</v>
      </c>
      <c r="CA381">
        <v>0</v>
      </c>
      <c r="CB381">
        <v>0</v>
      </c>
      <c r="CC381">
        <v>0</v>
      </c>
      <c r="CD381">
        <v>0</v>
      </c>
      <c r="CE381">
        <v>0</v>
      </c>
      <c r="CF381">
        <v>0</v>
      </c>
      <c r="CG381">
        <v>0</v>
      </c>
      <c r="CH381">
        <v>0</v>
      </c>
      <c r="CI381">
        <v>0</v>
      </c>
      <c r="CJ381">
        <v>0</v>
      </c>
      <c r="CK381">
        <v>0</v>
      </c>
      <c r="CL381">
        <v>0</v>
      </c>
      <c r="CM381">
        <v>0</v>
      </c>
      <c r="CR381" t="s">
        <v>2339</v>
      </c>
      <c r="CS381" s="1369" t="str">
        <f>INDEX([8]Sheet1!$H:$H,MATCH(CR:CR,[8]Sheet1!$AU:$AU,0))</f>
        <v>Nature Conservation</v>
      </c>
    </row>
    <row r="382" spans="1:97" x14ac:dyDescent="0.2">
      <c r="A382" t="s">
        <v>2920</v>
      </c>
      <c r="B382">
        <v>435</v>
      </c>
      <c r="C382" t="s">
        <v>2920</v>
      </c>
      <c r="D382">
        <v>41258</v>
      </c>
      <c r="E382" t="s">
        <v>2921</v>
      </c>
      <c r="F382">
        <v>2800</v>
      </c>
      <c r="G382" t="s">
        <v>1477</v>
      </c>
      <c r="H382">
        <v>28000105</v>
      </c>
      <c r="I382" t="s">
        <v>2922</v>
      </c>
      <c r="J382" t="s">
        <v>2365</v>
      </c>
      <c r="K382" t="s">
        <v>2365</v>
      </c>
      <c r="L382">
        <v>1200</v>
      </c>
      <c r="M382" t="s">
        <v>1480</v>
      </c>
      <c r="N382">
        <v>1204</v>
      </c>
      <c r="O382" t="s">
        <v>1487</v>
      </c>
      <c r="P382" t="s">
        <v>2366</v>
      </c>
      <c r="Q382" t="s">
        <v>2364</v>
      </c>
      <c r="R382" t="s">
        <v>2364</v>
      </c>
      <c r="S382" t="s">
        <v>1881</v>
      </c>
      <c r="T382" t="s">
        <v>1812</v>
      </c>
      <c r="U382" t="s">
        <v>2365</v>
      </c>
      <c r="V382" t="s">
        <v>2365</v>
      </c>
      <c r="W382" t="s">
        <v>2365</v>
      </c>
      <c r="X382" t="s">
        <v>2365</v>
      </c>
      <c r="Y382" t="s">
        <v>2365</v>
      </c>
      <c r="Z382" t="s">
        <v>2365</v>
      </c>
      <c r="AA382" t="s">
        <v>2365</v>
      </c>
      <c r="AB382" t="s">
        <v>2365</v>
      </c>
      <c r="AC382" s="813" t="s">
        <v>2365</v>
      </c>
      <c r="AD382" s="813" t="s">
        <v>2365</v>
      </c>
      <c r="AE382" s="813" t="s">
        <v>2365</v>
      </c>
      <c r="AF382" t="s">
        <v>2365</v>
      </c>
      <c r="AG382" t="s">
        <v>2365</v>
      </c>
      <c r="AH382" t="s">
        <v>2365</v>
      </c>
      <c r="AI382" t="s">
        <v>2365</v>
      </c>
      <c r="AJ382" t="s">
        <v>2365</v>
      </c>
      <c r="AK382" t="s">
        <v>2365</v>
      </c>
      <c r="AL382" t="s">
        <v>2365</v>
      </c>
      <c r="AM382" t="s">
        <v>2365</v>
      </c>
      <c r="AN382" t="s">
        <v>2365</v>
      </c>
      <c r="AR382" t="s">
        <v>2365</v>
      </c>
      <c r="AS382" t="s">
        <v>2365</v>
      </c>
      <c r="AT382" t="s">
        <v>2365</v>
      </c>
      <c r="AU382" t="s">
        <v>2365</v>
      </c>
      <c r="AV382" t="s">
        <v>2365</v>
      </c>
      <c r="AW382" t="s">
        <v>2365</v>
      </c>
      <c r="AX382" t="s">
        <v>2365</v>
      </c>
      <c r="AY382" t="s">
        <v>2365</v>
      </c>
      <c r="AZ382" t="s">
        <v>2365</v>
      </c>
      <c r="BA382" t="s">
        <v>2365</v>
      </c>
      <c r="BB382" t="s">
        <v>2365</v>
      </c>
      <c r="BC382" t="s">
        <v>2365</v>
      </c>
      <c r="BD382" t="s">
        <v>2366</v>
      </c>
      <c r="BE382" t="s">
        <v>2365</v>
      </c>
      <c r="BF382" t="s">
        <v>2365</v>
      </c>
      <c r="BG382" t="s">
        <v>2365</v>
      </c>
      <c r="BH382" t="s">
        <v>2365</v>
      </c>
      <c r="BI382" t="s">
        <v>2366</v>
      </c>
      <c r="BJ382" t="s">
        <v>2365</v>
      </c>
      <c r="BK382" t="s">
        <v>2365</v>
      </c>
      <c r="BL382" t="s">
        <v>2365</v>
      </c>
      <c r="BM382" t="s">
        <v>2365</v>
      </c>
      <c r="BO382">
        <v>1</v>
      </c>
      <c r="BP382">
        <v>11</v>
      </c>
      <c r="BQ382" t="s">
        <v>2369</v>
      </c>
      <c r="BR382" t="s">
        <v>1487</v>
      </c>
      <c r="BU382">
        <v>309425</v>
      </c>
      <c r="BV382">
        <v>0</v>
      </c>
      <c r="BW382">
        <v>309425</v>
      </c>
      <c r="BX382">
        <v>0</v>
      </c>
      <c r="BY382">
        <v>309425</v>
      </c>
      <c r="BZ382">
        <v>340367</v>
      </c>
      <c r="CA382">
        <v>374404</v>
      </c>
      <c r="CB382">
        <v>12680.26</v>
      </c>
      <c r="CC382">
        <v>14109.44</v>
      </c>
      <c r="CD382">
        <v>13356</v>
      </c>
      <c r="CE382">
        <v>13483.2</v>
      </c>
      <c r="CF382">
        <v>12656.4</v>
      </c>
      <c r="CG382">
        <v>0</v>
      </c>
      <c r="CH382">
        <v>24104.400000000001</v>
      </c>
      <c r="CI382">
        <v>11765.97</v>
      </c>
      <c r="CJ382">
        <v>0</v>
      </c>
      <c r="CK382">
        <v>0</v>
      </c>
      <c r="CL382">
        <v>0</v>
      </c>
      <c r="CM382">
        <v>0</v>
      </c>
      <c r="CR382" t="s">
        <v>2340</v>
      </c>
      <c r="CS382" s="1369" t="str">
        <f>INDEX([8]Sheet1!$H:$H,MATCH(CR:CR,[8]Sheet1!$AU:$AU,0))</f>
        <v>Disaster Management</v>
      </c>
    </row>
    <row r="383" spans="1:97" x14ac:dyDescent="0.2">
      <c r="A383" t="s">
        <v>2923</v>
      </c>
      <c r="B383">
        <v>436</v>
      </c>
      <c r="C383" t="s">
        <v>2923</v>
      </c>
      <c r="D383">
        <v>41259</v>
      </c>
      <c r="E383" t="s">
        <v>2924</v>
      </c>
      <c r="F383">
        <v>2900</v>
      </c>
      <c r="G383" t="s">
        <v>569</v>
      </c>
      <c r="H383" t="s">
        <v>2366</v>
      </c>
      <c r="I383" t="s">
        <v>2366</v>
      </c>
      <c r="J383">
        <v>2904</v>
      </c>
      <c r="K383" t="s">
        <v>1432</v>
      </c>
      <c r="L383">
        <v>4400</v>
      </c>
      <c r="M383" t="s">
        <v>631</v>
      </c>
      <c r="N383">
        <v>4402</v>
      </c>
      <c r="O383" t="s">
        <v>1556</v>
      </c>
      <c r="P383" t="s">
        <v>2366</v>
      </c>
      <c r="Q383" t="s">
        <v>2364</v>
      </c>
      <c r="R383" t="s">
        <v>2364</v>
      </c>
      <c r="S383" t="s">
        <v>1881</v>
      </c>
      <c r="T383" t="s">
        <v>1812</v>
      </c>
      <c r="U383" t="s">
        <v>2365</v>
      </c>
      <c r="V383" t="s">
        <v>2365</v>
      </c>
      <c r="W383" t="s">
        <v>2365</v>
      </c>
      <c r="X383" t="s">
        <v>2365</v>
      </c>
      <c r="Y383" t="s">
        <v>2365</v>
      </c>
      <c r="Z383" t="s">
        <v>2365</v>
      </c>
      <c r="AA383" t="s">
        <v>2365</v>
      </c>
      <c r="AB383" t="s">
        <v>2365</v>
      </c>
      <c r="AC383" s="813" t="s">
        <v>2365</v>
      </c>
      <c r="AD383" s="813" t="s">
        <v>2365</v>
      </c>
      <c r="AE383" s="813" t="s">
        <v>2365</v>
      </c>
      <c r="AF383" t="s">
        <v>2365</v>
      </c>
      <c r="AG383" t="s">
        <v>2365</v>
      </c>
      <c r="AH383" t="s">
        <v>2365</v>
      </c>
      <c r="AI383" t="s">
        <v>2365</v>
      </c>
      <c r="AJ383" t="s">
        <v>2365</v>
      </c>
      <c r="AK383" t="s">
        <v>2365</v>
      </c>
      <c r="AL383" t="s">
        <v>2365</v>
      </c>
      <c r="AM383" t="s">
        <v>2365</v>
      </c>
      <c r="AN383" t="s">
        <v>2365</v>
      </c>
      <c r="AR383" t="s">
        <v>2365</v>
      </c>
      <c r="AS383" t="s">
        <v>2365</v>
      </c>
      <c r="AT383" t="s">
        <v>2365</v>
      </c>
      <c r="AU383" t="s">
        <v>2365</v>
      </c>
      <c r="AV383" t="s">
        <v>2365</v>
      </c>
      <c r="AW383" t="s">
        <v>2365</v>
      </c>
      <c r="AX383" t="s">
        <v>2365</v>
      </c>
      <c r="AY383" t="s">
        <v>2365</v>
      </c>
      <c r="AZ383" t="s">
        <v>2365</v>
      </c>
      <c r="BA383" t="s">
        <v>2365</v>
      </c>
      <c r="BB383" t="s">
        <v>2365</v>
      </c>
      <c r="BC383" t="s">
        <v>2365</v>
      </c>
      <c r="BD383" t="s">
        <v>2366</v>
      </c>
      <c r="BE383" t="s">
        <v>2365</v>
      </c>
      <c r="BF383" t="s">
        <v>2365</v>
      </c>
      <c r="BG383" t="s">
        <v>2365</v>
      </c>
      <c r="BH383" t="s">
        <v>2365</v>
      </c>
      <c r="BI383" t="s">
        <v>2366</v>
      </c>
      <c r="BJ383" t="s">
        <v>2365</v>
      </c>
      <c r="BK383" t="s">
        <v>2365</v>
      </c>
      <c r="BL383" t="s">
        <v>2365</v>
      </c>
      <c r="BM383" t="s">
        <v>2365</v>
      </c>
      <c r="BO383">
        <v>12</v>
      </c>
      <c r="BP383">
        <v>123</v>
      </c>
      <c r="BQ383" t="s">
        <v>1369</v>
      </c>
      <c r="BR383" t="s">
        <v>1556</v>
      </c>
      <c r="BU383">
        <v>0</v>
      </c>
      <c r="BV383">
        <v>0</v>
      </c>
      <c r="BW383">
        <v>0</v>
      </c>
      <c r="BX383">
        <v>0</v>
      </c>
      <c r="BY383">
        <v>0</v>
      </c>
      <c r="BZ383">
        <v>0</v>
      </c>
      <c r="CA383">
        <v>0</v>
      </c>
      <c r="CB383">
        <v>0</v>
      </c>
      <c r="CC383">
        <v>0</v>
      </c>
      <c r="CD383">
        <v>0</v>
      </c>
      <c r="CE383">
        <v>0</v>
      </c>
      <c r="CF383">
        <v>0</v>
      </c>
      <c r="CG383">
        <v>0</v>
      </c>
      <c r="CH383">
        <v>0</v>
      </c>
      <c r="CI383">
        <v>0</v>
      </c>
      <c r="CJ383">
        <v>0</v>
      </c>
      <c r="CK383">
        <v>0</v>
      </c>
      <c r="CL383">
        <v>0</v>
      </c>
      <c r="CM383">
        <v>0</v>
      </c>
      <c r="CR383" t="s">
        <v>2340</v>
      </c>
      <c r="CS383" s="1369" t="str">
        <f>INDEX([8]Sheet1!$H:$H,MATCH(CR:CR,[8]Sheet1!$AU:$AU,0))</f>
        <v>Disaster Management</v>
      </c>
    </row>
    <row r="384" spans="1:97" x14ac:dyDescent="0.2">
      <c r="A384" t="s">
        <v>2925</v>
      </c>
      <c r="B384">
        <v>437</v>
      </c>
      <c r="C384" t="s">
        <v>2925</v>
      </c>
      <c r="D384">
        <v>41260</v>
      </c>
      <c r="E384" t="s">
        <v>2926</v>
      </c>
      <c r="F384">
        <v>2700</v>
      </c>
      <c r="G384" t="s">
        <v>656</v>
      </c>
      <c r="H384" t="s">
        <v>2428</v>
      </c>
      <c r="I384" t="s">
        <v>1800</v>
      </c>
      <c r="J384">
        <v>2701</v>
      </c>
      <c r="K384" t="s">
        <v>1800</v>
      </c>
      <c r="L384">
        <v>2100</v>
      </c>
      <c r="M384" t="s">
        <v>618</v>
      </c>
      <c r="N384">
        <v>2103</v>
      </c>
      <c r="O384" t="s">
        <v>1496</v>
      </c>
      <c r="P384" t="s">
        <v>2366</v>
      </c>
      <c r="Q384" t="s">
        <v>2364</v>
      </c>
      <c r="R384" t="s">
        <v>2364</v>
      </c>
      <c r="S384" t="s">
        <v>1881</v>
      </c>
      <c r="T384" t="s">
        <v>1812</v>
      </c>
      <c r="U384" t="s">
        <v>2365</v>
      </c>
      <c r="V384" t="s">
        <v>2365</v>
      </c>
      <c r="W384" t="s">
        <v>2365</v>
      </c>
      <c r="X384" t="s">
        <v>2365</v>
      </c>
      <c r="Y384" t="s">
        <v>2365</v>
      </c>
      <c r="Z384" t="s">
        <v>2365</v>
      </c>
      <c r="AA384" t="s">
        <v>2365</v>
      </c>
      <c r="AB384" t="s">
        <v>2365</v>
      </c>
      <c r="AC384" s="813" t="s">
        <v>2365</v>
      </c>
      <c r="AD384" s="813" t="s">
        <v>2365</v>
      </c>
      <c r="AE384" s="813" t="s">
        <v>2365</v>
      </c>
      <c r="AF384" t="s">
        <v>2365</v>
      </c>
      <c r="AG384" t="s">
        <v>2365</v>
      </c>
      <c r="AH384" t="s">
        <v>2365</v>
      </c>
      <c r="AI384" t="s">
        <v>2365</v>
      </c>
      <c r="AJ384" t="s">
        <v>2365</v>
      </c>
      <c r="AK384" t="s">
        <v>2365</v>
      </c>
      <c r="AL384" t="s">
        <v>2365</v>
      </c>
      <c r="AM384" t="s">
        <v>2365</v>
      </c>
      <c r="AN384" t="s">
        <v>2365</v>
      </c>
      <c r="AR384" t="s">
        <v>2365</v>
      </c>
      <c r="AS384" t="s">
        <v>2365</v>
      </c>
      <c r="AT384" t="s">
        <v>2365</v>
      </c>
      <c r="AU384" t="s">
        <v>2365</v>
      </c>
      <c r="AV384" t="s">
        <v>2365</v>
      </c>
      <c r="AW384" t="s">
        <v>2365</v>
      </c>
      <c r="AX384" t="s">
        <v>2365</v>
      </c>
      <c r="AY384" t="s">
        <v>2365</v>
      </c>
      <c r="AZ384" t="s">
        <v>2365</v>
      </c>
      <c r="BA384" t="s">
        <v>2365</v>
      </c>
      <c r="BB384" t="s">
        <v>2365</v>
      </c>
      <c r="BC384" t="s">
        <v>2365</v>
      </c>
      <c r="BD384" t="s">
        <v>2366</v>
      </c>
      <c r="BE384" t="s">
        <v>2365</v>
      </c>
      <c r="BF384" t="s">
        <v>2365</v>
      </c>
      <c r="BG384" t="s">
        <v>2365</v>
      </c>
      <c r="BH384" t="s">
        <v>2365</v>
      </c>
      <c r="BI384" t="s">
        <v>2366</v>
      </c>
      <c r="BJ384" t="s">
        <v>2365</v>
      </c>
      <c r="BK384" t="s">
        <v>2365</v>
      </c>
      <c r="BL384" t="s">
        <v>2365</v>
      </c>
      <c r="BM384" t="s">
        <v>2365</v>
      </c>
      <c r="BO384">
        <v>4</v>
      </c>
      <c r="BP384">
        <v>50</v>
      </c>
      <c r="BQ384" t="s">
        <v>2433</v>
      </c>
      <c r="BR384" t="s">
        <v>1496</v>
      </c>
      <c r="BU384">
        <v>0</v>
      </c>
      <c r="BV384">
        <v>0</v>
      </c>
      <c r="BW384">
        <v>0</v>
      </c>
      <c r="BX384">
        <v>0</v>
      </c>
      <c r="BY384">
        <v>0</v>
      </c>
      <c r="BZ384">
        <v>0</v>
      </c>
      <c r="CA384">
        <v>0</v>
      </c>
      <c r="CB384">
        <v>0</v>
      </c>
      <c r="CC384">
        <v>0</v>
      </c>
      <c r="CD384">
        <v>0</v>
      </c>
      <c r="CE384">
        <v>0</v>
      </c>
      <c r="CF384">
        <v>0</v>
      </c>
      <c r="CG384">
        <v>0</v>
      </c>
      <c r="CH384">
        <v>0</v>
      </c>
      <c r="CI384">
        <v>0</v>
      </c>
      <c r="CJ384">
        <v>0</v>
      </c>
      <c r="CK384">
        <v>0</v>
      </c>
      <c r="CL384">
        <v>0</v>
      </c>
      <c r="CM384">
        <v>0</v>
      </c>
      <c r="CR384" t="s">
        <v>2340</v>
      </c>
      <c r="CS384" s="1369" t="str">
        <f>INDEX([8]Sheet1!$H:$H,MATCH(CR:CR,[8]Sheet1!$AU:$AU,0))</f>
        <v>Disaster Management</v>
      </c>
    </row>
    <row r="385" spans="1:97" x14ac:dyDescent="0.2">
      <c r="A385" t="s">
        <v>2927</v>
      </c>
      <c r="B385">
        <v>438</v>
      </c>
      <c r="C385" t="s">
        <v>2927</v>
      </c>
      <c r="D385">
        <v>41371</v>
      </c>
      <c r="E385" t="s">
        <v>2468</v>
      </c>
      <c r="F385">
        <v>2600</v>
      </c>
      <c r="G385" t="s">
        <v>655</v>
      </c>
      <c r="H385">
        <v>2600</v>
      </c>
      <c r="I385" t="s">
        <v>655</v>
      </c>
      <c r="J385" t="s">
        <v>2365</v>
      </c>
      <c r="K385" t="s">
        <v>2365</v>
      </c>
      <c r="L385">
        <v>4400</v>
      </c>
      <c r="M385" t="s">
        <v>631</v>
      </c>
      <c r="N385">
        <v>4403</v>
      </c>
      <c r="O385" t="s">
        <v>1557</v>
      </c>
      <c r="P385" t="s">
        <v>2366</v>
      </c>
      <c r="Q385" t="s">
        <v>2364</v>
      </c>
      <c r="R385" t="s">
        <v>2364</v>
      </c>
      <c r="S385" t="s">
        <v>1881</v>
      </c>
      <c r="T385" t="s">
        <v>1812</v>
      </c>
      <c r="U385" t="s">
        <v>2365</v>
      </c>
      <c r="V385" t="s">
        <v>2365</v>
      </c>
      <c r="W385" t="s">
        <v>2365</v>
      </c>
      <c r="X385" t="s">
        <v>2365</v>
      </c>
      <c r="Y385" t="s">
        <v>2365</v>
      </c>
      <c r="Z385" t="s">
        <v>2365</v>
      </c>
      <c r="AA385" t="s">
        <v>2365</v>
      </c>
      <c r="AB385" t="s">
        <v>2365</v>
      </c>
      <c r="AC385" s="813" t="s">
        <v>2365</v>
      </c>
      <c r="AD385" s="813" t="s">
        <v>2365</v>
      </c>
      <c r="AE385" s="813" t="s">
        <v>2365</v>
      </c>
      <c r="AF385" t="s">
        <v>2365</v>
      </c>
      <c r="AG385" t="s">
        <v>2365</v>
      </c>
      <c r="AH385" t="s">
        <v>2365</v>
      </c>
      <c r="AI385" t="s">
        <v>2365</v>
      </c>
      <c r="AJ385" t="s">
        <v>2365</v>
      </c>
      <c r="AK385" t="s">
        <v>2365</v>
      </c>
      <c r="AL385" t="s">
        <v>2365</v>
      </c>
      <c r="AM385" t="s">
        <v>2365</v>
      </c>
      <c r="AN385" t="s">
        <v>2365</v>
      </c>
      <c r="AR385" t="s">
        <v>2365</v>
      </c>
      <c r="AS385" t="s">
        <v>2365</v>
      </c>
      <c r="AT385" t="s">
        <v>2365</v>
      </c>
      <c r="AU385" t="s">
        <v>2365</v>
      </c>
      <c r="AV385" t="s">
        <v>2365</v>
      </c>
      <c r="AW385" t="s">
        <v>2365</v>
      </c>
      <c r="AX385" t="s">
        <v>2365</v>
      </c>
      <c r="AY385" t="s">
        <v>2365</v>
      </c>
      <c r="AZ385" t="s">
        <v>2365</v>
      </c>
      <c r="BA385" t="s">
        <v>2365</v>
      </c>
      <c r="BB385" t="s">
        <v>2365</v>
      </c>
      <c r="BC385" t="s">
        <v>2365</v>
      </c>
      <c r="BD385" t="s">
        <v>2366</v>
      </c>
      <c r="BE385" t="s">
        <v>2365</v>
      </c>
      <c r="BF385" t="s">
        <v>2365</v>
      </c>
      <c r="BG385" t="s">
        <v>2365</v>
      </c>
      <c r="BH385" t="s">
        <v>2365</v>
      </c>
      <c r="BI385" t="s">
        <v>2366</v>
      </c>
      <c r="BJ385" t="s">
        <v>2365</v>
      </c>
      <c r="BK385" t="s">
        <v>2365</v>
      </c>
      <c r="BL385" t="s">
        <v>2365</v>
      </c>
      <c r="BM385" t="s">
        <v>2365</v>
      </c>
      <c r="BO385">
        <v>12</v>
      </c>
      <c r="BP385">
        <v>121</v>
      </c>
      <c r="BQ385" t="s">
        <v>1369</v>
      </c>
      <c r="BR385" t="s">
        <v>1557</v>
      </c>
      <c r="BU385">
        <v>0</v>
      </c>
      <c r="BV385">
        <v>0</v>
      </c>
      <c r="BW385">
        <v>0</v>
      </c>
      <c r="BX385">
        <v>0</v>
      </c>
      <c r="BY385">
        <v>0</v>
      </c>
      <c r="BZ385">
        <v>0</v>
      </c>
      <c r="CA385">
        <v>0</v>
      </c>
      <c r="CB385">
        <v>0</v>
      </c>
      <c r="CC385">
        <v>0</v>
      </c>
      <c r="CD385">
        <v>0</v>
      </c>
      <c r="CE385">
        <v>0</v>
      </c>
      <c r="CF385">
        <v>0</v>
      </c>
      <c r="CG385">
        <v>0</v>
      </c>
      <c r="CH385">
        <v>0</v>
      </c>
      <c r="CI385">
        <v>0</v>
      </c>
      <c r="CJ385">
        <v>0</v>
      </c>
      <c r="CK385">
        <v>0</v>
      </c>
      <c r="CL385">
        <v>0</v>
      </c>
      <c r="CM385">
        <v>0</v>
      </c>
      <c r="CR385" t="s">
        <v>2340</v>
      </c>
      <c r="CS385" s="1369" t="str">
        <f>INDEX([8]Sheet1!$H:$H,MATCH(CR:CR,[8]Sheet1!$AU:$AU,0))</f>
        <v>Disaster Management</v>
      </c>
    </row>
    <row r="386" spans="1:97" x14ac:dyDescent="0.2">
      <c r="A386" t="s">
        <v>2928</v>
      </c>
      <c r="B386">
        <v>439</v>
      </c>
      <c r="C386" t="s">
        <v>2928</v>
      </c>
      <c r="D386">
        <v>41372</v>
      </c>
      <c r="E386" t="s">
        <v>2432</v>
      </c>
      <c r="F386">
        <v>2600</v>
      </c>
      <c r="G386" t="s">
        <v>655</v>
      </c>
      <c r="H386">
        <v>2600</v>
      </c>
      <c r="I386" t="s">
        <v>655</v>
      </c>
      <c r="J386" t="s">
        <v>2365</v>
      </c>
      <c r="K386" t="s">
        <v>2365</v>
      </c>
      <c r="L386">
        <v>4400</v>
      </c>
      <c r="M386" t="s">
        <v>631</v>
      </c>
      <c r="N386">
        <v>4403</v>
      </c>
      <c r="O386" t="s">
        <v>1557</v>
      </c>
      <c r="P386" t="s">
        <v>2366</v>
      </c>
      <c r="Q386" t="s">
        <v>2364</v>
      </c>
      <c r="R386" t="s">
        <v>2364</v>
      </c>
      <c r="S386" t="s">
        <v>1881</v>
      </c>
      <c r="T386" t="s">
        <v>1812</v>
      </c>
      <c r="U386" t="s">
        <v>2365</v>
      </c>
      <c r="V386" t="s">
        <v>2365</v>
      </c>
      <c r="W386" t="s">
        <v>2365</v>
      </c>
      <c r="X386" t="s">
        <v>2365</v>
      </c>
      <c r="Y386" t="s">
        <v>2365</v>
      </c>
      <c r="Z386" t="s">
        <v>2365</v>
      </c>
      <c r="AA386" t="s">
        <v>2365</v>
      </c>
      <c r="AB386" t="s">
        <v>2365</v>
      </c>
      <c r="AC386" s="813" t="s">
        <v>2365</v>
      </c>
      <c r="AD386" s="813" t="s">
        <v>2365</v>
      </c>
      <c r="AE386" s="813" t="s">
        <v>2365</v>
      </c>
      <c r="AF386" t="s">
        <v>2365</v>
      </c>
      <c r="AG386" t="s">
        <v>2365</v>
      </c>
      <c r="AH386" t="s">
        <v>2365</v>
      </c>
      <c r="AI386" t="s">
        <v>2365</v>
      </c>
      <c r="AJ386" t="s">
        <v>2365</v>
      </c>
      <c r="AK386" t="s">
        <v>2365</v>
      </c>
      <c r="AL386" t="s">
        <v>2365</v>
      </c>
      <c r="AM386" t="s">
        <v>2365</v>
      </c>
      <c r="AN386" t="s">
        <v>2365</v>
      </c>
      <c r="AR386" t="s">
        <v>2365</v>
      </c>
      <c r="AS386" t="s">
        <v>2365</v>
      </c>
      <c r="AT386" t="s">
        <v>2365</v>
      </c>
      <c r="AU386" t="s">
        <v>2365</v>
      </c>
      <c r="AV386" t="s">
        <v>2365</v>
      </c>
      <c r="AW386" t="s">
        <v>2365</v>
      </c>
      <c r="AX386" t="s">
        <v>2365</v>
      </c>
      <c r="AY386" t="s">
        <v>2365</v>
      </c>
      <c r="AZ386" t="s">
        <v>2365</v>
      </c>
      <c r="BA386" t="s">
        <v>2365</v>
      </c>
      <c r="BB386" t="s">
        <v>2365</v>
      </c>
      <c r="BC386" t="s">
        <v>2365</v>
      </c>
      <c r="BD386" t="s">
        <v>2366</v>
      </c>
      <c r="BE386" t="s">
        <v>2365</v>
      </c>
      <c r="BF386" t="s">
        <v>2365</v>
      </c>
      <c r="BG386" t="s">
        <v>2365</v>
      </c>
      <c r="BH386" t="s">
        <v>2365</v>
      </c>
      <c r="BI386" t="s">
        <v>2366</v>
      </c>
      <c r="BJ386" t="s">
        <v>2365</v>
      </c>
      <c r="BK386" t="s">
        <v>2365</v>
      </c>
      <c r="BL386" t="s">
        <v>2365</v>
      </c>
      <c r="BM386" t="s">
        <v>2365</v>
      </c>
      <c r="BO386">
        <v>12</v>
      </c>
      <c r="BP386">
        <v>121</v>
      </c>
      <c r="BQ386" t="s">
        <v>1369</v>
      </c>
      <c r="BR386" t="s">
        <v>1557</v>
      </c>
      <c r="BU386">
        <v>0</v>
      </c>
      <c r="BV386">
        <v>0</v>
      </c>
      <c r="BW386">
        <v>0</v>
      </c>
      <c r="BX386">
        <v>0</v>
      </c>
      <c r="BY386">
        <v>0</v>
      </c>
      <c r="BZ386">
        <v>0</v>
      </c>
      <c r="CA386">
        <v>0</v>
      </c>
      <c r="CB386">
        <v>0</v>
      </c>
      <c r="CC386">
        <v>0</v>
      </c>
      <c r="CD386">
        <v>0</v>
      </c>
      <c r="CE386">
        <v>0</v>
      </c>
      <c r="CF386">
        <v>0</v>
      </c>
      <c r="CG386">
        <v>0</v>
      </c>
      <c r="CH386">
        <v>0</v>
      </c>
      <c r="CI386">
        <v>0</v>
      </c>
      <c r="CJ386">
        <v>0</v>
      </c>
      <c r="CK386">
        <v>0</v>
      </c>
      <c r="CL386">
        <v>0</v>
      </c>
      <c r="CM386">
        <v>0</v>
      </c>
      <c r="CR386" t="s">
        <v>2339</v>
      </c>
      <c r="CS386" s="1369" t="str">
        <f>INDEX([8]Sheet1!$H:$H,MATCH(CR:CR,[8]Sheet1!$AU:$AU,0))</f>
        <v>Nature Conservation</v>
      </c>
    </row>
    <row r="387" spans="1:97" x14ac:dyDescent="0.2">
      <c r="A387" t="s">
        <v>2929</v>
      </c>
      <c r="B387">
        <v>440</v>
      </c>
      <c r="C387" t="s">
        <v>2929</v>
      </c>
      <c r="D387">
        <v>41373</v>
      </c>
      <c r="E387" t="s">
        <v>2427</v>
      </c>
      <c r="F387">
        <v>2700</v>
      </c>
      <c r="G387" t="s">
        <v>656</v>
      </c>
      <c r="H387" t="s">
        <v>2428</v>
      </c>
      <c r="I387" t="s">
        <v>1800</v>
      </c>
      <c r="J387">
        <v>2701</v>
      </c>
      <c r="K387" t="s">
        <v>1800</v>
      </c>
      <c r="L387">
        <v>4400</v>
      </c>
      <c r="M387" t="s">
        <v>631</v>
      </c>
      <c r="N387">
        <v>4403</v>
      </c>
      <c r="O387" t="s">
        <v>1557</v>
      </c>
      <c r="P387" t="s">
        <v>2366</v>
      </c>
      <c r="Q387" t="s">
        <v>2364</v>
      </c>
      <c r="R387" t="s">
        <v>2364</v>
      </c>
      <c r="S387" t="s">
        <v>1881</v>
      </c>
      <c r="T387" t="s">
        <v>1812</v>
      </c>
      <c r="U387" t="s">
        <v>2365</v>
      </c>
      <c r="V387" t="s">
        <v>2365</v>
      </c>
      <c r="W387" t="s">
        <v>2365</v>
      </c>
      <c r="X387" t="s">
        <v>2365</v>
      </c>
      <c r="Y387" t="s">
        <v>2365</v>
      </c>
      <c r="Z387" t="s">
        <v>2365</v>
      </c>
      <c r="AA387" t="s">
        <v>2365</v>
      </c>
      <c r="AB387" t="s">
        <v>2365</v>
      </c>
      <c r="AC387" s="813" t="s">
        <v>2365</v>
      </c>
      <c r="AD387" s="813" t="s">
        <v>2365</v>
      </c>
      <c r="AE387" s="813" t="s">
        <v>2365</v>
      </c>
      <c r="AF387" t="s">
        <v>2365</v>
      </c>
      <c r="AG387" t="s">
        <v>2365</v>
      </c>
      <c r="AH387" t="s">
        <v>2365</v>
      </c>
      <c r="AI387" t="s">
        <v>2365</v>
      </c>
      <c r="AJ387" t="s">
        <v>2365</v>
      </c>
      <c r="AK387" t="s">
        <v>2365</v>
      </c>
      <c r="AL387" t="s">
        <v>2365</v>
      </c>
      <c r="AM387" t="s">
        <v>2365</v>
      </c>
      <c r="AN387" t="s">
        <v>2365</v>
      </c>
      <c r="AR387" t="s">
        <v>2365</v>
      </c>
      <c r="AS387" t="s">
        <v>2365</v>
      </c>
      <c r="AT387" t="s">
        <v>2365</v>
      </c>
      <c r="AU387" t="s">
        <v>2365</v>
      </c>
      <c r="AV387" t="s">
        <v>2365</v>
      </c>
      <c r="AW387" t="s">
        <v>2365</v>
      </c>
      <c r="AX387" t="s">
        <v>2365</v>
      </c>
      <c r="AY387" t="s">
        <v>2365</v>
      </c>
      <c r="AZ387" t="s">
        <v>2365</v>
      </c>
      <c r="BA387" t="s">
        <v>2365</v>
      </c>
      <c r="BB387" t="s">
        <v>2365</v>
      </c>
      <c r="BC387" t="s">
        <v>2365</v>
      </c>
      <c r="BD387" t="s">
        <v>2366</v>
      </c>
      <c r="BE387" t="s">
        <v>2365</v>
      </c>
      <c r="BF387" t="s">
        <v>2365</v>
      </c>
      <c r="BG387" t="s">
        <v>2365</v>
      </c>
      <c r="BH387" t="s">
        <v>2365</v>
      </c>
      <c r="BI387" t="s">
        <v>2366</v>
      </c>
      <c r="BJ387" t="s">
        <v>2365</v>
      </c>
      <c r="BK387" t="s">
        <v>2365</v>
      </c>
      <c r="BL387" t="s">
        <v>2365</v>
      </c>
      <c r="BM387" t="s">
        <v>2365</v>
      </c>
      <c r="BO387">
        <v>12</v>
      </c>
      <c r="BP387">
        <v>121</v>
      </c>
      <c r="BQ387" t="s">
        <v>1369</v>
      </c>
      <c r="BR387" t="s">
        <v>1557</v>
      </c>
      <c r="BU387">
        <v>0</v>
      </c>
      <c r="BV387">
        <v>0</v>
      </c>
      <c r="BW387">
        <v>0</v>
      </c>
      <c r="BX387">
        <v>0</v>
      </c>
      <c r="BY387">
        <v>0</v>
      </c>
      <c r="BZ387">
        <v>0</v>
      </c>
      <c r="CA387">
        <v>0</v>
      </c>
      <c r="CB387">
        <v>0</v>
      </c>
      <c r="CC387">
        <v>0</v>
      </c>
      <c r="CD387">
        <v>0</v>
      </c>
      <c r="CE387">
        <v>0</v>
      </c>
      <c r="CF387">
        <v>0</v>
      </c>
      <c r="CG387">
        <v>0</v>
      </c>
      <c r="CH387">
        <v>0</v>
      </c>
      <c r="CI387">
        <v>0</v>
      </c>
      <c r="CJ387">
        <v>0</v>
      </c>
      <c r="CK387">
        <v>0</v>
      </c>
      <c r="CL387">
        <v>0</v>
      </c>
      <c r="CM387">
        <v>0</v>
      </c>
      <c r="CR387" t="s">
        <v>2339</v>
      </c>
      <c r="CS387" s="1369" t="str">
        <f>INDEX([8]Sheet1!$H:$H,MATCH(CR:CR,[8]Sheet1!$AU:$AU,0))</f>
        <v>Nature Conservation</v>
      </c>
    </row>
    <row r="388" spans="1:97" x14ac:dyDescent="0.2">
      <c r="A388" t="s">
        <v>2930</v>
      </c>
      <c r="B388">
        <v>441</v>
      </c>
      <c r="C388" t="s">
        <v>2930</v>
      </c>
      <c r="D388">
        <v>41067</v>
      </c>
      <c r="E388" t="s">
        <v>2504</v>
      </c>
      <c r="F388">
        <v>2900</v>
      </c>
      <c r="G388" t="s">
        <v>569</v>
      </c>
      <c r="H388" t="s">
        <v>2366</v>
      </c>
      <c r="I388" t="s">
        <v>2366</v>
      </c>
      <c r="J388">
        <v>2904</v>
      </c>
      <c r="K388" t="s">
        <v>1432</v>
      </c>
      <c r="L388">
        <v>4400</v>
      </c>
      <c r="M388" t="s">
        <v>631</v>
      </c>
      <c r="N388">
        <v>4403</v>
      </c>
      <c r="O388" t="s">
        <v>1557</v>
      </c>
      <c r="P388" t="s">
        <v>2366</v>
      </c>
      <c r="Q388" t="s">
        <v>2364</v>
      </c>
      <c r="R388" t="s">
        <v>2364</v>
      </c>
      <c r="S388" t="s">
        <v>1881</v>
      </c>
      <c r="T388" t="s">
        <v>1812</v>
      </c>
      <c r="U388" t="s">
        <v>2365</v>
      </c>
      <c r="V388" t="s">
        <v>2365</v>
      </c>
      <c r="W388" t="s">
        <v>2365</v>
      </c>
      <c r="X388" t="s">
        <v>2365</v>
      </c>
      <c r="Y388" t="s">
        <v>2365</v>
      </c>
      <c r="Z388" t="s">
        <v>2365</v>
      </c>
      <c r="AA388" t="s">
        <v>2365</v>
      </c>
      <c r="AB388" t="s">
        <v>2365</v>
      </c>
      <c r="AC388" s="813" t="s">
        <v>2365</v>
      </c>
      <c r="AD388" s="813" t="s">
        <v>2365</v>
      </c>
      <c r="AE388" s="813" t="s">
        <v>2365</v>
      </c>
      <c r="AF388" t="s">
        <v>2365</v>
      </c>
      <c r="AG388" t="s">
        <v>2365</v>
      </c>
      <c r="AH388" t="s">
        <v>2365</v>
      </c>
      <c r="AI388" t="s">
        <v>2365</v>
      </c>
      <c r="AJ388" t="s">
        <v>2365</v>
      </c>
      <c r="AK388" t="s">
        <v>2365</v>
      </c>
      <c r="AL388" t="s">
        <v>2365</v>
      </c>
      <c r="AM388" t="s">
        <v>2365</v>
      </c>
      <c r="AN388" t="s">
        <v>2365</v>
      </c>
      <c r="AR388" t="s">
        <v>2365</v>
      </c>
      <c r="AS388" t="s">
        <v>2365</v>
      </c>
      <c r="AT388" t="s">
        <v>2365</v>
      </c>
      <c r="AU388" t="s">
        <v>2365</v>
      </c>
      <c r="AV388" t="s">
        <v>2365</v>
      </c>
      <c r="AW388" t="s">
        <v>2365</v>
      </c>
      <c r="AX388" t="s">
        <v>2365</v>
      </c>
      <c r="AY388" t="s">
        <v>2365</v>
      </c>
      <c r="AZ388" t="s">
        <v>2365</v>
      </c>
      <c r="BA388" t="s">
        <v>2365</v>
      </c>
      <c r="BB388" t="s">
        <v>2365</v>
      </c>
      <c r="BC388" t="s">
        <v>2365</v>
      </c>
      <c r="BD388" t="s">
        <v>2366</v>
      </c>
      <c r="BE388" t="s">
        <v>2365</v>
      </c>
      <c r="BF388" t="s">
        <v>2365</v>
      </c>
      <c r="BG388" t="s">
        <v>2365</v>
      </c>
      <c r="BH388" t="s">
        <v>2365</v>
      </c>
      <c r="BI388" t="s">
        <v>2366</v>
      </c>
      <c r="BJ388" t="s">
        <v>2365</v>
      </c>
      <c r="BK388" t="s">
        <v>2365</v>
      </c>
      <c r="BL388" t="s">
        <v>2365</v>
      </c>
      <c r="BM388" t="s">
        <v>2365</v>
      </c>
      <c r="BO388">
        <v>12</v>
      </c>
      <c r="BP388">
        <v>121</v>
      </c>
      <c r="BQ388" t="s">
        <v>1369</v>
      </c>
      <c r="BR388" t="s">
        <v>1557</v>
      </c>
      <c r="BU388">
        <v>0</v>
      </c>
      <c r="BV388">
        <v>0</v>
      </c>
      <c r="BW388">
        <v>0</v>
      </c>
      <c r="BX388">
        <v>0</v>
      </c>
      <c r="BY388">
        <v>0</v>
      </c>
      <c r="BZ388">
        <v>0</v>
      </c>
      <c r="CA388">
        <v>0</v>
      </c>
      <c r="CB388">
        <v>0</v>
      </c>
      <c r="CC388">
        <v>0</v>
      </c>
      <c r="CD388">
        <v>0</v>
      </c>
      <c r="CE388">
        <v>0</v>
      </c>
      <c r="CF388">
        <v>0</v>
      </c>
      <c r="CG388">
        <v>0</v>
      </c>
      <c r="CH388">
        <v>0</v>
      </c>
      <c r="CI388">
        <v>0</v>
      </c>
      <c r="CJ388">
        <v>0</v>
      </c>
      <c r="CK388">
        <v>0</v>
      </c>
      <c r="CL388">
        <v>0</v>
      </c>
      <c r="CM388">
        <v>0</v>
      </c>
      <c r="CR388" t="s">
        <v>2339</v>
      </c>
      <c r="CS388" s="1369" t="str">
        <f>INDEX([8]Sheet1!$H:$H,MATCH(CR:CR,[8]Sheet1!$AU:$AU,0))</f>
        <v>Nature Conservation</v>
      </c>
    </row>
    <row r="389" spans="1:97" x14ac:dyDescent="0.2">
      <c r="A389" t="s">
        <v>2931</v>
      </c>
      <c r="B389">
        <v>442</v>
      </c>
      <c r="C389" t="s">
        <v>2931</v>
      </c>
      <c r="D389">
        <v>41071</v>
      </c>
      <c r="E389" t="s">
        <v>2508</v>
      </c>
      <c r="F389">
        <v>2900</v>
      </c>
      <c r="G389" t="s">
        <v>569</v>
      </c>
      <c r="H389" t="s">
        <v>2366</v>
      </c>
      <c r="I389" t="s">
        <v>2366</v>
      </c>
      <c r="J389">
        <v>2904</v>
      </c>
      <c r="K389" t="s">
        <v>1432</v>
      </c>
      <c r="L389">
        <v>4400</v>
      </c>
      <c r="M389" t="s">
        <v>631</v>
      </c>
      <c r="N389">
        <v>4403</v>
      </c>
      <c r="O389" t="s">
        <v>1557</v>
      </c>
      <c r="P389" t="s">
        <v>2366</v>
      </c>
      <c r="Q389" t="s">
        <v>2364</v>
      </c>
      <c r="R389" t="s">
        <v>2364</v>
      </c>
      <c r="S389" t="s">
        <v>1881</v>
      </c>
      <c r="T389" t="s">
        <v>1812</v>
      </c>
      <c r="U389" t="s">
        <v>2365</v>
      </c>
      <c r="V389" t="s">
        <v>2365</v>
      </c>
      <c r="W389" t="s">
        <v>2365</v>
      </c>
      <c r="X389" t="s">
        <v>2365</v>
      </c>
      <c r="Y389" t="s">
        <v>2365</v>
      </c>
      <c r="Z389" t="s">
        <v>2365</v>
      </c>
      <c r="AA389" t="s">
        <v>2365</v>
      </c>
      <c r="AB389" t="s">
        <v>2365</v>
      </c>
      <c r="AC389" s="813" t="s">
        <v>2365</v>
      </c>
      <c r="AD389" s="813" t="s">
        <v>2365</v>
      </c>
      <c r="AE389" s="813" t="s">
        <v>2365</v>
      </c>
      <c r="AF389" t="s">
        <v>2365</v>
      </c>
      <c r="AG389" t="s">
        <v>2365</v>
      </c>
      <c r="AH389" t="s">
        <v>2365</v>
      </c>
      <c r="AI389" t="s">
        <v>2365</v>
      </c>
      <c r="AJ389" t="s">
        <v>2365</v>
      </c>
      <c r="AK389" t="s">
        <v>2365</v>
      </c>
      <c r="AL389" t="s">
        <v>2365</v>
      </c>
      <c r="AM389" t="s">
        <v>2365</v>
      </c>
      <c r="AN389" t="s">
        <v>2365</v>
      </c>
      <c r="AR389" t="s">
        <v>2365</v>
      </c>
      <c r="AS389" t="s">
        <v>2365</v>
      </c>
      <c r="AT389" t="s">
        <v>2365</v>
      </c>
      <c r="AU389" t="s">
        <v>2365</v>
      </c>
      <c r="AV389" t="s">
        <v>2365</v>
      </c>
      <c r="AW389" t="s">
        <v>2365</v>
      </c>
      <c r="AX389" t="s">
        <v>2365</v>
      </c>
      <c r="AY389" t="s">
        <v>2365</v>
      </c>
      <c r="AZ389" t="s">
        <v>2365</v>
      </c>
      <c r="BA389" t="s">
        <v>2365</v>
      </c>
      <c r="BB389" t="s">
        <v>2365</v>
      </c>
      <c r="BC389" t="s">
        <v>2365</v>
      </c>
      <c r="BD389" t="s">
        <v>2366</v>
      </c>
      <c r="BE389" t="s">
        <v>2365</v>
      </c>
      <c r="BF389" t="s">
        <v>2365</v>
      </c>
      <c r="BG389" t="s">
        <v>2365</v>
      </c>
      <c r="BH389" t="s">
        <v>2365</v>
      </c>
      <c r="BI389" t="s">
        <v>2366</v>
      </c>
      <c r="BJ389" t="s">
        <v>2365</v>
      </c>
      <c r="BK389" t="s">
        <v>2365</v>
      </c>
      <c r="BL389" t="s">
        <v>2365</v>
      </c>
      <c r="BM389" t="s">
        <v>2365</v>
      </c>
      <c r="BO389">
        <v>12</v>
      </c>
      <c r="BP389">
        <v>121</v>
      </c>
      <c r="BQ389" t="s">
        <v>1369</v>
      </c>
      <c r="BR389" t="s">
        <v>1557</v>
      </c>
      <c r="BU389">
        <v>0</v>
      </c>
      <c r="BV389">
        <v>0</v>
      </c>
      <c r="BW389">
        <v>0</v>
      </c>
      <c r="BX389">
        <v>0</v>
      </c>
      <c r="BY389">
        <v>0</v>
      </c>
      <c r="BZ389">
        <v>0</v>
      </c>
      <c r="CA389">
        <v>0</v>
      </c>
      <c r="CB389">
        <v>0</v>
      </c>
      <c r="CC389">
        <v>0</v>
      </c>
      <c r="CD389">
        <v>0</v>
      </c>
      <c r="CE389">
        <v>0</v>
      </c>
      <c r="CF389">
        <v>0</v>
      </c>
      <c r="CG389">
        <v>0</v>
      </c>
      <c r="CH389">
        <v>0</v>
      </c>
      <c r="CI389">
        <v>0</v>
      </c>
      <c r="CJ389">
        <v>0</v>
      </c>
      <c r="CK389">
        <v>0</v>
      </c>
      <c r="CL389">
        <v>0</v>
      </c>
      <c r="CM389">
        <v>0</v>
      </c>
      <c r="CR389" t="s">
        <v>2340</v>
      </c>
      <c r="CS389" s="1369" t="str">
        <f>INDEX([8]Sheet1!$H:$H,MATCH(CR:CR,[8]Sheet1!$AU:$AU,0))</f>
        <v>Disaster Management</v>
      </c>
    </row>
    <row r="390" spans="1:97" x14ac:dyDescent="0.2">
      <c r="A390" t="s">
        <v>2932</v>
      </c>
      <c r="B390">
        <v>443</v>
      </c>
      <c r="C390" t="s">
        <v>2932</v>
      </c>
      <c r="D390">
        <v>41075</v>
      </c>
      <c r="E390" t="s">
        <v>2510</v>
      </c>
      <c r="F390">
        <v>2900</v>
      </c>
      <c r="G390" t="s">
        <v>569</v>
      </c>
      <c r="H390" t="s">
        <v>2366</v>
      </c>
      <c r="I390" t="s">
        <v>2366</v>
      </c>
      <c r="J390">
        <v>2904</v>
      </c>
      <c r="K390" t="s">
        <v>1432</v>
      </c>
      <c r="L390">
        <v>4400</v>
      </c>
      <c r="M390" t="s">
        <v>631</v>
      </c>
      <c r="N390">
        <v>4403</v>
      </c>
      <c r="O390" t="s">
        <v>1557</v>
      </c>
      <c r="P390" t="s">
        <v>2366</v>
      </c>
      <c r="Q390" t="s">
        <v>2364</v>
      </c>
      <c r="R390" t="s">
        <v>2364</v>
      </c>
      <c r="S390" t="s">
        <v>1881</v>
      </c>
      <c r="T390" t="s">
        <v>1812</v>
      </c>
      <c r="U390" t="s">
        <v>2365</v>
      </c>
      <c r="V390" t="s">
        <v>2365</v>
      </c>
      <c r="W390" t="s">
        <v>2365</v>
      </c>
      <c r="X390" t="s">
        <v>2365</v>
      </c>
      <c r="Y390" t="s">
        <v>2365</v>
      </c>
      <c r="Z390" t="s">
        <v>2365</v>
      </c>
      <c r="AA390" t="s">
        <v>2365</v>
      </c>
      <c r="AB390" t="s">
        <v>2365</v>
      </c>
      <c r="AC390" s="813" t="s">
        <v>2365</v>
      </c>
      <c r="AD390" s="813" t="s">
        <v>2365</v>
      </c>
      <c r="AE390" s="813" t="s">
        <v>2365</v>
      </c>
      <c r="AF390" t="s">
        <v>2365</v>
      </c>
      <c r="AG390" t="s">
        <v>2365</v>
      </c>
      <c r="AH390" t="s">
        <v>2365</v>
      </c>
      <c r="AI390" t="s">
        <v>2365</v>
      </c>
      <c r="AJ390" t="s">
        <v>2365</v>
      </c>
      <c r="AK390" t="s">
        <v>2365</v>
      </c>
      <c r="AL390" t="s">
        <v>2365</v>
      </c>
      <c r="AM390" t="s">
        <v>2365</v>
      </c>
      <c r="AN390" t="s">
        <v>2365</v>
      </c>
      <c r="AR390" t="s">
        <v>2365</v>
      </c>
      <c r="AS390" t="s">
        <v>2365</v>
      </c>
      <c r="AT390" t="s">
        <v>2365</v>
      </c>
      <c r="AU390" t="s">
        <v>2365</v>
      </c>
      <c r="AV390" t="s">
        <v>2365</v>
      </c>
      <c r="AW390" t="s">
        <v>2365</v>
      </c>
      <c r="AX390" t="s">
        <v>2365</v>
      </c>
      <c r="AY390" t="s">
        <v>2365</v>
      </c>
      <c r="AZ390" t="s">
        <v>2365</v>
      </c>
      <c r="BA390" t="s">
        <v>2365</v>
      </c>
      <c r="BB390" t="s">
        <v>2365</v>
      </c>
      <c r="BC390" t="s">
        <v>2365</v>
      </c>
      <c r="BD390" t="s">
        <v>2366</v>
      </c>
      <c r="BE390" t="s">
        <v>2365</v>
      </c>
      <c r="BF390" t="s">
        <v>2365</v>
      </c>
      <c r="BG390" t="s">
        <v>2365</v>
      </c>
      <c r="BH390" t="s">
        <v>2365</v>
      </c>
      <c r="BI390" t="s">
        <v>2366</v>
      </c>
      <c r="BJ390" t="s">
        <v>2365</v>
      </c>
      <c r="BK390" t="s">
        <v>2365</v>
      </c>
      <c r="BL390" t="s">
        <v>2365</v>
      </c>
      <c r="BM390" t="s">
        <v>2365</v>
      </c>
      <c r="BO390">
        <v>12</v>
      </c>
      <c r="BP390">
        <v>121</v>
      </c>
      <c r="BQ390" t="s">
        <v>1369</v>
      </c>
      <c r="BR390" t="s">
        <v>1557</v>
      </c>
      <c r="BU390">
        <v>0</v>
      </c>
      <c r="BV390">
        <v>0</v>
      </c>
      <c r="BW390">
        <v>0</v>
      </c>
      <c r="BX390">
        <v>0</v>
      </c>
      <c r="BY390">
        <v>0</v>
      </c>
      <c r="BZ390">
        <v>0</v>
      </c>
      <c r="CA390">
        <v>0</v>
      </c>
      <c r="CB390">
        <v>0</v>
      </c>
      <c r="CC390">
        <v>0</v>
      </c>
      <c r="CD390">
        <v>0</v>
      </c>
      <c r="CE390">
        <v>0</v>
      </c>
      <c r="CF390">
        <v>0</v>
      </c>
      <c r="CG390">
        <v>0</v>
      </c>
      <c r="CH390">
        <v>0</v>
      </c>
      <c r="CI390">
        <v>0</v>
      </c>
      <c r="CJ390">
        <v>0</v>
      </c>
      <c r="CK390">
        <v>0</v>
      </c>
      <c r="CL390">
        <v>0</v>
      </c>
      <c r="CM390">
        <v>0</v>
      </c>
      <c r="CR390" t="s">
        <v>2340</v>
      </c>
      <c r="CS390" s="1369" t="str">
        <f>INDEX([8]Sheet1!$H:$H,MATCH(CR:CR,[8]Sheet1!$AU:$AU,0))</f>
        <v>Disaster Management</v>
      </c>
    </row>
    <row r="391" spans="1:97" x14ac:dyDescent="0.2">
      <c r="A391" t="s">
        <v>2933</v>
      </c>
      <c r="B391">
        <v>444</v>
      </c>
      <c r="C391" t="s">
        <v>2933</v>
      </c>
      <c r="D391">
        <v>41079</v>
      </c>
      <c r="E391" t="s">
        <v>2610</v>
      </c>
      <c r="F391">
        <v>2900</v>
      </c>
      <c r="G391" t="s">
        <v>569</v>
      </c>
      <c r="H391" t="s">
        <v>2366</v>
      </c>
      <c r="I391" t="s">
        <v>2366</v>
      </c>
      <c r="J391">
        <v>2904</v>
      </c>
      <c r="K391" t="s">
        <v>1432</v>
      </c>
      <c r="L391">
        <v>4400</v>
      </c>
      <c r="M391" t="s">
        <v>631</v>
      </c>
      <c r="N391">
        <v>4403</v>
      </c>
      <c r="O391" t="s">
        <v>1557</v>
      </c>
      <c r="P391" t="s">
        <v>2366</v>
      </c>
      <c r="Q391" t="s">
        <v>2364</v>
      </c>
      <c r="R391" t="s">
        <v>2364</v>
      </c>
      <c r="S391" t="s">
        <v>1881</v>
      </c>
      <c r="T391" t="s">
        <v>1812</v>
      </c>
      <c r="U391" t="s">
        <v>2365</v>
      </c>
      <c r="V391" t="s">
        <v>2365</v>
      </c>
      <c r="W391" t="s">
        <v>2365</v>
      </c>
      <c r="X391" t="s">
        <v>2365</v>
      </c>
      <c r="Y391" t="s">
        <v>2365</v>
      </c>
      <c r="Z391" t="s">
        <v>2365</v>
      </c>
      <c r="AA391" t="s">
        <v>2365</v>
      </c>
      <c r="AB391" t="s">
        <v>2365</v>
      </c>
      <c r="AC391" s="813" t="s">
        <v>2365</v>
      </c>
      <c r="AD391" s="813" t="s">
        <v>2365</v>
      </c>
      <c r="AE391" s="813" t="s">
        <v>2365</v>
      </c>
      <c r="AF391" t="s">
        <v>2365</v>
      </c>
      <c r="AG391" t="s">
        <v>2365</v>
      </c>
      <c r="AH391" t="s">
        <v>2365</v>
      </c>
      <c r="AI391" t="s">
        <v>2365</v>
      </c>
      <c r="AJ391" t="s">
        <v>2365</v>
      </c>
      <c r="AK391" t="s">
        <v>2365</v>
      </c>
      <c r="AL391" t="s">
        <v>2365</v>
      </c>
      <c r="AM391" t="s">
        <v>2365</v>
      </c>
      <c r="AN391" t="s">
        <v>2365</v>
      </c>
      <c r="AR391" t="s">
        <v>2365</v>
      </c>
      <c r="AS391" t="s">
        <v>2365</v>
      </c>
      <c r="AT391" t="s">
        <v>2365</v>
      </c>
      <c r="AU391" t="s">
        <v>2365</v>
      </c>
      <c r="AV391" t="s">
        <v>2365</v>
      </c>
      <c r="AW391" t="s">
        <v>2365</v>
      </c>
      <c r="AX391" t="s">
        <v>2365</v>
      </c>
      <c r="AY391" t="s">
        <v>2365</v>
      </c>
      <c r="AZ391" t="s">
        <v>2365</v>
      </c>
      <c r="BA391" t="s">
        <v>2365</v>
      </c>
      <c r="BB391" t="s">
        <v>2365</v>
      </c>
      <c r="BC391" t="s">
        <v>2365</v>
      </c>
      <c r="BD391" t="s">
        <v>2366</v>
      </c>
      <c r="BE391" t="s">
        <v>2365</v>
      </c>
      <c r="BF391" t="s">
        <v>2365</v>
      </c>
      <c r="BG391" t="s">
        <v>2365</v>
      </c>
      <c r="BH391" t="s">
        <v>2365</v>
      </c>
      <c r="BI391" t="s">
        <v>2366</v>
      </c>
      <c r="BJ391" t="s">
        <v>2365</v>
      </c>
      <c r="BK391" t="s">
        <v>2365</v>
      </c>
      <c r="BL391" t="s">
        <v>2365</v>
      </c>
      <c r="BM391" t="s">
        <v>2365</v>
      </c>
      <c r="BO391">
        <v>12</v>
      </c>
      <c r="BP391">
        <v>121</v>
      </c>
      <c r="BQ391" t="s">
        <v>1369</v>
      </c>
      <c r="BR391" t="s">
        <v>1557</v>
      </c>
      <c r="BU391">
        <v>0</v>
      </c>
      <c r="BV391">
        <v>0</v>
      </c>
      <c r="BW391">
        <v>0</v>
      </c>
      <c r="BX391">
        <v>0</v>
      </c>
      <c r="BY391">
        <v>0</v>
      </c>
      <c r="BZ391">
        <v>0</v>
      </c>
      <c r="CA391">
        <v>0</v>
      </c>
      <c r="CB391">
        <v>0</v>
      </c>
      <c r="CC391">
        <v>0</v>
      </c>
      <c r="CD391">
        <v>0</v>
      </c>
      <c r="CE391">
        <v>0</v>
      </c>
      <c r="CF391">
        <v>0</v>
      </c>
      <c r="CG391">
        <v>0</v>
      </c>
      <c r="CH391">
        <v>0</v>
      </c>
      <c r="CI391">
        <v>0</v>
      </c>
      <c r="CJ391">
        <v>0</v>
      </c>
      <c r="CK391">
        <v>0</v>
      </c>
      <c r="CL391">
        <v>0</v>
      </c>
      <c r="CM391">
        <v>0</v>
      </c>
      <c r="CR391" t="s">
        <v>2340</v>
      </c>
      <c r="CS391" s="1369" t="str">
        <f>INDEX([8]Sheet1!$H:$H,MATCH(CR:CR,[8]Sheet1!$AU:$AU,0))</f>
        <v>Disaster Management</v>
      </c>
    </row>
    <row r="392" spans="1:97" x14ac:dyDescent="0.2">
      <c r="A392" t="s">
        <v>2934</v>
      </c>
      <c r="B392">
        <v>445</v>
      </c>
      <c r="C392" t="s">
        <v>2934</v>
      </c>
      <c r="D392">
        <v>41085</v>
      </c>
      <c r="E392" t="s">
        <v>2600</v>
      </c>
      <c r="F392">
        <v>2900</v>
      </c>
      <c r="G392" t="s">
        <v>569</v>
      </c>
      <c r="H392" t="s">
        <v>2366</v>
      </c>
      <c r="I392" t="s">
        <v>2366</v>
      </c>
      <c r="J392">
        <v>2904</v>
      </c>
      <c r="K392" t="s">
        <v>1432</v>
      </c>
      <c r="L392">
        <v>2200</v>
      </c>
      <c r="M392" t="s">
        <v>619</v>
      </c>
      <c r="N392">
        <v>2205</v>
      </c>
      <c r="O392" t="s">
        <v>1517</v>
      </c>
      <c r="P392" t="s">
        <v>2366</v>
      </c>
      <c r="Q392" t="s">
        <v>2364</v>
      </c>
      <c r="R392" t="s">
        <v>2364</v>
      </c>
      <c r="S392" t="s">
        <v>1881</v>
      </c>
      <c r="T392" t="s">
        <v>1812</v>
      </c>
      <c r="U392" t="s">
        <v>2365</v>
      </c>
      <c r="V392" t="s">
        <v>2365</v>
      </c>
      <c r="W392" t="s">
        <v>2365</v>
      </c>
      <c r="X392" t="s">
        <v>2365</v>
      </c>
      <c r="Y392" t="s">
        <v>2365</v>
      </c>
      <c r="Z392" t="s">
        <v>2365</v>
      </c>
      <c r="AA392" t="s">
        <v>2365</v>
      </c>
      <c r="AB392" t="s">
        <v>2365</v>
      </c>
      <c r="AC392" s="813" t="s">
        <v>2365</v>
      </c>
      <c r="AD392" s="813" t="s">
        <v>2365</v>
      </c>
      <c r="AE392" s="813" t="s">
        <v>2365</v>
      </c>
      <c r="AF392" t="s">
        <v>2365</v>
      </c>
      <c r="AG392" t="s">
        <v>2365</v>
      </c>
      <c r="AH392" t="s">
        <v>2365</v>
      </c>
      <c r="AI392" t="s">
        <v>2365</v>
      </c>
      <c r="AJ392" t="s">
        <v>2365</v>
      </c>
      <c r="AK392" t="s">
        <v>2365</v>
      </c>
      <c r="AL392" t="s">
        <v>2365</v>
      </c>
      <c r="AM392" t="s">
        <v>2365</v>
      </c>
      <c r="AN392" t="s">
        <v>2365</v>
      </c>
      <c r="AR392" t="s">
        <v>2365</v>
      </c>
      <c r="AS392" t="s">
        <v>2365</v>
      </c>
      <c r="AT392" t="s">
        <v>2365</v>
      </c>
      <c r="AU392" t="s">
        <v>2365</v>
      </c>
      <c r="AV392" t="s">
        <v>2365</v>
      </c>
      <c r="AW392" t="s">
        <v>2365</v>
      </c>
      <c r="AX392" t="s">
        <v>2365</v>
      </c>
      <c r="AY392" t="s">
        <v>2365</v>
      </c>
      <c r="AZ392" t="s">
        <v>2365</v>
      </c>
      <c r="BA392" t="s">
        <v>2365</v>
      </c>
      <c r="BB392" t="s">
        <v>2365</v>
      </c>
      <c r="BC392" t="s">
        <v>2365</v>
      </c>
      <c r="BD392" t="s">
        <v>2366</v>
      </c>
      <c r="BE392" t="s">
        <v>2365</v>
      </c>
      <c r="BF392" t="s">
        <v>2365</v>
      </c>
      <c r="BG392" t="s">
        <v>2365</v>
      </c>
      <c r="BH392" t="s">
        <v>2365</v>
      </c>
      <c r="BI392" t="s">
        <v>2366</v>
      </c>
      <c r="BJ392" t="s">
        <v>2365</v>
      </c>
      <c r="BK392" t="s">
        <v>2365</v>
      </c>
      <c r="BL392" t="s">
        <v>2365</v>
      </c>
      <c r="BM392" t="s">
        <v>2365</v>
      </c>
      <c r="BO392">
        <v>9</v>
      </c>
      <c r="BP392">
        <v>91</v>
      </c>
      <c r="BQ392" t="s">
        <v>265</v>
      </c>
      <c r="BR392" t="s">
        <v>1517</v>
      </c>
      <c r="BU392">
        <v>0</v>
      </c>
      <c r="BV392">
        <v>0</v>
      </c>
      <c r="BW392">
        <v>0</v>
      </c>
      <c r="BX392">
        <v>0</v>
      </c>
      <c r="BY392">
        <v>0</v>
      </c>
      <c r="BZ392">
        <v>0</v>
      </c>
      <c r="CA392">
        <v>0</v>
      </c>
      <c r="CB392">
        <v>0</v>
      </c>
      <c r="CC392">
        <v>0</v>
      </c>
      <c r="CD392">
        <v>0</v>
      </c>
      <c r="CE392">
        <v>0</v>
      </c>
      <c r="CF392">
        <v>0</v>
      </c>
      <c r="CG392">
        <v>234000</v>
      </c>
      <c r="CH392">
        <v>0</v>
      </c>
      <c r="CI392">
        <v>0</v>
      </c>
      <c r="CJ392">
        <v>0</v>
      </c>
      <c r="CK392">
        <v>0</v>
      </c>
      <c r="CL392">
        <v>0</v>
      </c>
      <c r="CM392">
        <v>0</v>
      </c>
      <c r="CR392" t="s">
        <v>2340</v>
      </c>
      <c r="CS392" s="1369" t="str">
        <f>INDEX([8]Sheet1!$H:$H,MATCH(CR:CR,[8]Sheet1!$AU:$AU,0))</f>
        <v>Disaster Management</v>
      </c>
    </row>
    <row r="393" spans="1:97" x14ac:dyDescent="0.2">
      <c r="A393" t="s">
        <v>2935</v>
      </c>
      <c r="B393">
        <v>446</v>
      </c>
      <c r="C393" t="s">
        <v>2935</v>
      </c>
      <c r="D393">
        <v>41087</v>
      </c>
      <c r="E393" t="s">
        <v>2464</v>
      </c>
      <c r="F393">
        <v>2900</v>
      </c>
      <c r="G393" t="s">
        <v>569</v>
      </c>
      <c r="H393" t="s">
        <v>2366</v>
      </c>
      <c r="I393" t="s">
        <v>2366</v>
      </c>
      <c r="J393">
        <v>2904</v>
      </c>
      <c r="K393" t="s">
        <v>1432</v>
      </c>
      <c r="L393">
        <v>4400</v>
      </c>
      <c r="M393" t="s">
        <v>631</v>
      </c>
      <c r="N393">
        <v>4403</v>
      </c>
      <c r="O393" t="s">
        <v>1557</v>
      </c>
      <c r="P393" t="s">
        <v>2366</v>
      </c>
      <c r="Q393" t="s">
        <v>2364</v>
      </c>
      <c r="R393" t="s">
        <v>2364</v>
      </c>
      <c r="S393" t="s">
        <v>1881</v>
      </c>
      <c r="T393" t="s">
        <v>1812</v>
      </c>
      <c r="U393" t="s">
        <v>2365</v>
      </c>
      <c r="V393" t="s">
        <v>2365</v>
      </c>
      <c r="W393" t="s">
        <v>2365</v>
      </c>
      <c r="X393" t="s">
        <v>2365</v>
      </c>
      <c r="Y393" t="s">
        <v>2365</v>
      </c>
      <c r="Z393" t="s">
        <v>2365</v>
      </c>
      <c r="AA393" t="s">
        <v>2365</v>
      </c>
      <c r="AB393" t="s">
        <v>2365</v>
      </c>
      <c r="AC393" s="813" t="s">
        <v>2365</v>
      </c>
      <c r="AD393" s="813" t="s">
        <v>2365</v>
      </c>
      <c r="AE393" s="813" t="s">
        <v>2365</v>
      </c>
      <c r="AF393" t="s">
        <v>2365</v>
      </c>
      <c r="AG393" t="s">
        <v>2365</v>
      </c>
      <c r="AH393" t="s">
        <v>2365</v>
      </c>
      <c r="AI393" t="s">
        <v>2365</v>
      </c>
      <c r="AJ393" t="s">
        <v>2365</v>
      </c>
      <c r="AK393" t="s">
        <v>2365</v>
      </c>
      <c r="AL393" t="s">
        <v>2365</v>
      </c>
      <c r="AM393" t="s">
        <v>2365</v>
      </c>
      <c r="AN393" t="s">
        <v>2365</v>
      </c>
      <c r="AR393" t="s">
        <v>2365</v>
      </c>
      <c r="AS393" t="s">
        <v>2365</v>
      </c>
      <c r="AT393" t="s">
        <v>2365</v>
      </c>
      <c r="AU393" t="s">
        <v>2365</v>
      </c>
      <c r="AV393" t="s">
        <v>2365</v>
      </c>
      <c r="AW393" t="s">
        <v>2365</v>
      </c>
      <c r="AX393" t="s">
        <v>2365</v>
      </c>
      <c r="AY393" t="s">
        <v>2365</v>
      </c>
      <c r="AZ393" t="s">
        <v>2365</v>
      </c>
      <c r="BA393" t="s">
        <v>2365</v>
      </c>
      <c r="BB393" t="s">
        <v>2365</v>
      </c>
      <c r="BC393" t="s">
        <v>2365</v>
      </c>
      <c r="BD393" t="s">
        <v>2366</v>
      </c>
      <c r="BE393" t="s">
        <v>2365</v>
      </c>
      <c r="BF393" t="s">
        <v>2365</v>
      </c>
      <c r="BG393" t="s">
        <v>2365</v>
      </c>
      <c r="BH393" t="s">
        <v>2365</v>
      </c>
      <c r="BI393" t="s">
        <v>2366</v>
      </c>
      <c r="BJ393" t="s">
        <v>2365</v>
      </c>
      <c r="BK393" t="s">
        <v>2365</v>
      </c>
      <c r="BL393" t="s">
        <v>2365</v>
      </c>
      <c r="BM393" t="s">
        <v>2365</v>
      </c>
      <c r="BO393">
        <v>12</v>
      </c>
      <c r="BP393">
        <v>121</v>
      </c>
      <c r="BQ393" t="s">
        <v>1369</v>
      </c>
      <c r="BR393" t="s">
        <v>1557</v>
      </c>
      <c r="BU393">
        <v>143000</v>
      </c>
      <c r="BV393">
        <v>0</v>
      </c>
      <c r="BW393">
        <v>143000</v>
      </c>
      <c r="BX393">
        <v>0</v>
      </c>
      <c r="BY393">
        <v>143000</v>
      </c>
      <c r="BZ393">
        <v>151580</v>
      </c>
      <c r="CA393">
        <v>160675</v>
      </c>
      <c r="CB393">
        <v>0</v>
      </c>
      <c r="CC393">
        <v>0</v>
      </c>
      <c r="CD393">
        <v>0</v>
      </c>
      <c r="CE393">
        <v>0</v>
      </c>
      <c r="CF393">
        <v>0</v>
      </c>
      <c r="CG393">
        <v>0</v>
      </c>
      <c r="CH393">
        <v>6251.34</v>
      </c>
      <c r="CI393">
        <v>0</v>
      </c>
      <c r="CJ393">
        <v>0</v>
      </c>
      <c r="CK393">
        <v>0</v>
      </c>
      <c r="CL393">
        <v>0</v>
      </c>
      <c r="CM393">
        <v>0</v>
      </c>
      <c r="CR393" t="s">
        <v>2339</v>
      </c>
      <c r="CS393" s="1369" t="str">
        <f>INDEX([8]Sheet1!$H:$H,MATCH(CR:CR,[8]Sheet1!$AU:$AU,0))</f>
        <v>Nature Conservation</v>
      </c>
    </row>
    <row r="394" spans="1:97" x14ac:dyDescent="0.2">
      <c r="A394" t="s">
        <v>2936</v>
      </c>
      <c r="B394">
        <v>447</v>
      </c>
      <c r="C394" t="s">
        <v>2936</v>
      </c>
      <c r="D394">
        <v>41088</v>
      </c>
      <c r="E394" t="s">
        <v>2464</v>
      </c>
      <c r="F394">
        <v>2900</v>
      </c>
      <c r="G394" t="s">
        <v>569</v>
      </c>
      <c r="H394" t="s">
        <v>2366</v>
      </c>
      <c r="I394" t="s">
        <v>2366</v>
      </c>
      <c r="J394">
        <v>2904</v>
      </c>
      <c r="K394" t="s">
        <v>1432</v>
      </c>
      <c r="L394">
        <v>4400</v>
      </c>
      <c r="M394" t="s">
        <v>631</v>
      </c>
      <c r="N394">
        <v>4404</v>
      </c>
      <c r="O394" t="s">
        <v>1558</v>
      </c>
      <c r="P394" t="s">
        <v>2366</v>
      </c>
      <c r="Q394" t="s">
        <v>2364</v>
      </c>
      <c r="R394" t="s">
        <v>2364</v>
      </c>
      <c r="S394" t="s">
        <v>1881</v>
      </c>
      <c r="T394" t="s">
        <v>1812</v>
      </c>
      <c r="U394" t="s">
        <v>2365</v>
      </c>
      <c r="V394" t="s">
        <v>2365</v>
      </c>
      <c r="W394" t="s">
        <v>2365</v>
      </c>
      <c r="X394" t="s">
        <v>2365</v>
      </c>
      <c r="Y394" t="s">
        <v>2365</v>
      </c>
      <c r="Z394" t="s">
        <v>2365</v>
      </c>
      <c r="AA394" t="s">
        <v>2365</v>
      </c>
      <c r="AB394" t="s">
        <v>2365</v>
      </c>
      <c r="AC394" s="813" t="s">
        <v>2365</v>
      </c>
      <c r="AD394" s="813" t="s">
        <v>2365</v>
      </c>
      <c r="AE394" s="813" t="s">
        <v>2365</v>
      </c>
      <c r="AF394" t="s">
        <v>2365</v>
      </c>
      <c r="AG394" t="s">
        <v>2365</v>
      </c>
      <c r="AH394" t="s">
        <v>2365</v>
      </c>
      <c r="AI394" t="s">
        <v>2365</v>
      </c>
      <c r="AJ394" t="s">
        <v>2365</v>
      </c>
      <c r="AK394" t="s">
        <v>2365</v>
      </c>
      <c r="AL394" t="s">
        <v>2365</v>
      </c>
      <c r="AM394" t="s">
        <v>2365</v>
      </c>
      <c r="AN394" t="s">
        <v>2365</v>
      </c>
      <c r="AR394" t="s">
        <v>2365</v>
      </c>
      <c r="AS394" t="s">
        <v>2365</v>
      </c>
      <c r="AT394" t="s">
        <v>2365</v>
      </c>
      <c r="AU394" t="s">
        <v>2365</v>
      </c>
      <c r="AV394" t="s">
        <v>2365</v>
      </c>
      <c r="AW394" t="s">
        <v>2365</v>
      </c>
      <c r="AX394" t="s">
        <v>2365</v>
      </c>
      <c r="AY394" t="s">
        <v>2365</v>
      </c>
      <c r="AZ394" t="s">
        <v>2365</v>
      </c>
      <c r="BA394" t="s">
        <v>2365</v>
      </c>
      <c r="BB394" t="s">
        <v>2365</v>
      </c>
      <c r="BC394" t="s">
        <v>2365</v>
      </c>
      <c r="BD394" t="s">
        <v>2366</v>
      </c>
      <c r="BE394" t="s">
        <v>2365</v>
      </c>
      <c r="BF394" t="s">
        <v>2365</v>
      </c>
      <c r="BG394" t="s">
        <v>2365</v>
      </c>
      <c r="BH394" t="s">
        <v>2365</v>
      </c>
      <c r="BI394" t="s">
        <v>2366</v>
      </c>
      <c r="BJ394" t="s">
        <v>2365</v>
      </c>
      <c r="BK394" t="s">
        <v>2365</v>
      </c>
      <c r="BL394" t="s">
        <v>2365</v>
      </c>
      <c r="BM394" t="s">
        <v>2365</v>
      </c>
      <c r="BO394">
        <v>12</v>
      </c>
      <c r="BP394">
        <v>122</v>
      </c>
      <c r="BQ394" t="s">
        <v>1369</v>
      </c>
      <c r="BR394" t="s">
        <v>1558</v>
      </c>
      <c r="BU394">
        <v>0</v>
      </c>
      <c r="BV394">
        <v>0</v>
      </c>
      <c r="BW394">
        <v>0</v>
      </c>
      <c r="BX394">
        <v>0</v>
      </c>
      <c r="BY394">
        <v>0</v>
      </c>
      <c r="BZ394">
        <v>0</v>
      </c>
      <c r="CA394">
        <v>0</v>
      </c>
      <c r="CB394">
        <v>0</v>
      </c>
      <c r="CC394">
        <v>0</v>
      </c>
      <c r="CD394">
        <v>0</v>
      </c>
      <c r="CE394">
        <v>0</v>
      </c>
      <c r="CF394">
        <v>0</v>
      </c>
      <c r="CG394">
        <v>0</v>
      </c>
      <c r="CH394">
        <v>0</v>
      </c>
      <c r="CI394">
        <v>0</v>
      </c>
      <c r="CJ394">
        <v>0</v>
      </c>
      <c r="CK394">
        <v>0</v>
      </c>
      <c r="CL394">
        <v>0</v>
      </c>
      <c r="CM394">
        <v>0</v>
      </c>
      <c r="CR394" t="s">
        <v>2339</v>
      </c>
      <c r="CS394" s="1369" t="str">
        <f>INDEX([8]Sheet1!$H:$H,MATCH(CR:CR,[8]Sheet1!$AU:$AU,0))</f>
        <v>Nature Conservation</v>
      </c>
    </row>
    <row r="395" spans="1:97" x14ac:dyDescent="0.2">
      <c r="A395" t="s">
        <v>2937</v>
      </c>
      <c r="B395">
        <v>448</v>
      </c>
      <c r="C395" t="s">
        <v>2937</v>
      </c>
      <c r="D395">
        <v>41089</v>
      </c>
      <c r="E395" t="s">
        <v>2464</v>
      </c>
      <c r="F395">
        <v>2900</v>
      </c>
      <c r="G395" t="s">
        <v>569</v>
      </c>
      <c r="H395" t="s">
        <v>2366</v>
      </c>
      <c r="I395" t="s">
        <v>2366</v>
      </c>
      <c r="J395">
        <v>2904</v>
      </c>
      <c r="K395" t="s">
        <v>1432</v>
      </c>
      <c r="L395">
        <v>2200</v>
      </c>
      <c r="M395" t="s">
        <v>619</v>
      </c>
      <c r="N395">
        <v>2205</v>
      </c>
      <c r="O395" t="s">
        <v>1517</v>
      </c>
      <c r="P395" t="s">
        <v>2366</v>
      </c>
      <c r="Q395" t="s">
        <v>2364</v>
      </c>
      <c r="R395" t="s">
        <v>2364</v>
      </c>
      <c r="S395" t="s">
        <v>1881</v>
      </c>
      <c r="T395" t="s">
        <v>1812</v>
      </c>
      <c r="U395" t="s">
        <v>2365</v>
      </c>
      <c r="V395" t="s">
        <v>2365</v>
      </c>
      <c r="W395" t="s">
        <v>2365</v>
      </c>
      <c r="X395" t="s">
        <v>2365</v>
      </c>
      <c r="Y395" t="s">
        <v>2365</v>
      </c>
      <c r="Z395" t="s">
        <v>2365</v>
      </c>
      <c r="AA395" t="s">
        <v>2365</v>
      </c>
      <c r="AB395" t="s">
        <v>2365</v>
      </c>
      <c r="AC395" s="813" t="s">
        <v>2365</v>
      </c>
      <c r="AD395" s="813" t="s">
        <v>2365</v>
      </c>
      <c r="AE395" s="813" t="s">
        <v>2365</v>
      </c>
      <c r="AF395" t="s">
        <v>2365</v>
      </c>
      <c r="AG395" t="s">
        <v>2365</v>
      </c>
      <c r="AH395" t="s">
        <v>2365</v>
      </c>
      <c r="AI395" t="s">
        <v>2365</v>
      </c>
      <c r="AJ395" t="s">
        <v>2365</v>
      </c>
      <c r="AK395" t="s">
        <v>2365</v>
      </c>
      <c r="AL395" t="s">
        <v>2365</v>
      </c>
      <c r="AM395" t="s">
        <v>2365</v>
      </c>
      <c r="AN395" t="s">
        <v>2365</v>
      </c>
      <c r="AR395" t="s">
        <v>2365</v>
      </c>
      <c r="AS395" t="s">
        <v>2365</v>
      </c>
      <c r="AT395" t="s">
        <v>2365</v>
      </c>
      <c r="AU395" t="s">
        <v>2365</v>
      </c>
      <c r="AV395" t="s">
        <v>2365</v>
      </c>
      <c r="AW395" t="s">
        <v>2365</v>
      </c>
      <c r="AX395" t="s">
        <v>2365</v>
      </c>
      <c r="AY395" t="s">
        <v>2365</v>
      </c>
      <c r="AZ395" t="s">
        <v>2365</v>
      </c>
      <c r="BA395" t="s">
        <v>2365</v>
      </c>
      <c r="BB395" t="s">
        <v>2365</v>
      </c>
      <c r="BC395" t="s">
        <v>2365</v>
      </c>
      <c r="BD395" t="s">
        <v>2366</v>
      </c>
      <c r="BE395" t="s">
        <v>2365</v>
      </c>
      <c r="BF395" t="s">
        <v>2365</v>
      </c>
      <c r="BG395" t="s">
        <v>2365</v>
      </c>
      <c r="BH395" t="s">
        <v>2365</v>
      </c>
      <c r="BI395" t="s">
        <v>2366</v>
      </c>
      <c r="BJ395" t="s">
        <v>2365</v>
      </c>
      <c r="BK395" t="s">
        <v>2365</v>
      </c>
      <c r="BL395" t="s">
        <v>2365</v>
      </c>
      <c r="BM395" t="s">
        <v>2365</v>
      </c>
      <c r="BO395">
        <v>9</v>
      </c>
      <c r="BP395">
        <v>91</v>
      </c>
      <c r="BQ395" t="s">
        <v>265</v>
      </c>
      <c r="BR395" t="s">
        <v>1517</v>
      </c>
      <c r="BU395">
        <v>0</v>
      </c>
      <c r="BV395">
        <v>0</v>
      </c>
      <c r="BW395">
        <v>0</v>
      </c>
      <c r="BX395">
        <v>0</v>
      </c>
      <c r="BY395">
        <v>0</v>
      </c>
      <c r="BZ395">
        <v>0</v>
      </c>
      <c r="CA395">
        <v>0</v>
      </c>
      <c r="CB395">
        <v>0</v>
      </c>
      <c r="CC395">
        <v>0</v>
      </c>
      <c r="CD395">
        <v>0</v>
      </c>
      <c r="CE395">
        <v>0</v>
      </c>
      <c r="CF395">
        <v>0</v>
      </c>
      <c r="CG395">
        <v>0</v>
      </c>
      <c r="CH395">
        <v>0</v>
      </c>
      <c r="CI395">
        <v>0</v>
      </c>
      <c r="CJ395">
        <v>0</v>
      </c>
      <c r="CK395">
        <v>0</v>
      </c>
      <c r="CL395">
        <v>0</v>
      </c>
      <c r="CM395">
        <v>0</v>
      </c>
      <c r="CR395" t="s">
        <v>2340</v>
      </c>
      <c r="CS395" s="1369" t="str">
        <f>INDEX([8]Sheet1!$H:$H,MATCH(CR:CR,[8]Sheet1!$AU:$AU,0))</f>
        <v>Disaster Management</v>
      </c>
    </row>
    <row r="396" spans="1:97" x14ac:dyDescent="0.2">
      <c r="A396" t="s">
        <v>2938</v>
      </c>
      <c r="B396">
        <v>449</v>
      </c>
      <c r="C396" t="s">
        <v>2938</v>
      </c>
      <c r="D396">
        <v>41090</v>
      </c>
      <c r="E396" t="s">
        <v>2464</v>
      </c>
      <c r="F396">
        <v>2900</v>
      </c>
      <c r="G396" t="s">
        <v>569</v>
      </c>
      <c r="H396" t="s">
        <v>2366</v>
      </c>
      <c r="I396" t="s">
        <v>2366</v>
      </c>
      <c r="J396">
        <v>2904</v>
      </c>
      <c r="K396" t="s">
        <v>1432</v>
      </c>
      <c r="L396">
        <v>5000</v>
      </c>
      <c r="M396" t="s">
        <v>632</v>
      </c>
      <c r="N396">
        <v>5006</v>
      </c>
      <c r="O396" t="s">
        <v>1010</v>
      </c>
      <c r="P396" t="s">
        <v>2366</v>
      </c>
      <c r="Q396" t="s">
        <v>2364</v>
      </c>
      <c r="R396" t="s">
        <v>2364</v>
      </c>
      <c r="S396" t="s">
        <v>1881</v>
      </c>
      <c r="T396" t="s">
        <v>1812</v>
      </c>
      <c r="U396" t="s">
        <v>2365</v>
      </c>
      <c r="V396" t="s">
        <v>2365</v>
      </c>
      <c r="W396" t="s">
        <v>2365</v>
      </c>
      <c r="X396" t="s">
        <v>2365</v>
      </c>
      <c r="Y396" t="s">
        <v>2365</v>
      </c>
      <c r="Z396" t="s">
        <v>2365</v>
      </c>
      <c r="AA396" t="s">
        <v>2365</v>
      </c>
      <c r="AB396" t="s">
        <v>2365</v>
      </c>
      <c r="AC396" s="813" t="s">
        <v>2365</v>
      </c>
      <c r="AD396" s="813" t="s">
        <v>2365</v>
      </c>
      <c r="AE396" s="813" t="s">
        <v>2365</v>
      </c>
      <c r="AF396" t="s">
        <v>2365</v>
      </c>
      <c r="AG396" t="s">
        <v>2365</v>
      </c>
      <c r="AH396" t="s">
        <v>2365</v>
      </c>
      <c r="AI396" t="s">
        <v>2365</v>
      </c>
      <c r="AJ396" t="s">
        <v>2365</v>
      </c>
      <c r="AK396" t="s">
        <v>2365</v>
      </c>
      <c r="AL396" t="s">
        <v>2365</v>
      </c>
      <c r="AM396" t="s">
        <v>2365</v>
      </c>
      <c r="AN396" t="s">
        <v>2365</v>
      </c>
      <c r="AR396" t="s">
        <v>2365</v>
      </c>
      <c r="AS396" t="s">
        <v>2365</v>
      </c>
      <c r="AT396" t="s">
        <v>2365</v>
      </c>
      <c r="AU396" t="s">
        <v>2365</v>
      </c>
      <c r="AV396" t="s">
        <v>2365</v>
      </c>
      <c r="AW396" t="s">
        <v>2365</v>
      </c>
      <c r="AX396" t="s">
        <v>2365</v>
      </c>
      <c r="AY396" t="s">
        <v>2365</v>
      </c>
      <c r="AZ396" t="s">
        <v>2365</v>
      </c>
      <c r="BA396" t="s">
        <v>2365</v>
      </c>
      <c r="BB396" t="s">
        <v>2365</v>
      </c>
      <c r="BC396" t="s">
        <v>2365</v>
      </c>
      <c r="BD396" t="s">
        <v>2366</v>
      </c>
      <c r="BE396" t="s">
        <v>2365</v>
      </c>
      <c r="BF396" t="s">
        <v>2365</v>
      </c>
      <c r="BG396" t="s">
        <v>2365</v>
      </c>
      <c r="BH396" t="s">
        <v>2365</v>
      </c>
      <c r="BI396" t="s">
        <v>2366</v>
      </c>
      <c r="BJ396" t="s">
        <v>2365</v>
      </c>
      <c r="BK396" t="s">
        <v>2365</v>
      </c>
      <c r="BL396" t="s">
        <v>2365</v>
      </c>
      <c r="BM396" t="s">
        <v>2365</v>
      </c>
      <c r="BP396">
        <v>0</v>
      </c>
      <c r="BQ396" t="s">
        <v>2365</v>
      </c>
      <c r="BR396" t="s">
        <v>1010</v>
      </c>
      <c r="BU396">
        <v>0</v>
      </c>
      <c r="BV396">
        <v>0</v>
      </c>
      <c r="BW396">
        <v>0</v>
      </c>
      <c r="BX396">
        <v>0</v>
      </c>
      <c r="BY396">
        <v>0</v>
      </c>
      <c r="BZ396">
        <v>0</v>
      </c>
      <c r="CA396">
        <v>0</v>
      </c>
      <c r="CB396">
        <v>0</v>
      </c>
      <c r="CC396">
        <v>0</v>
      </c>
      <c r="CD396">
        <v>0</v>
      </c>
      <c r="CE396">
        <v>0</v>
      </c>
      <c r="CF396">
        <v>0</v>
      </c>
      <c r="CG396">
        <v>0</v>
      </c>
      <c r="CH396">
        <v>-553.51</v>
      </c>
      <c r="CI396">
        <v>0</v>
      </c>
      <c r="CJ396">
        <v>0</v>
      </c>
      <c r="CK396">
        <v>0</v>
      </c>
      <c r="CL396">
        <v>0</v>
      </c>
      <c r="CM396">
        <v>0</v>
      </c>
      <c r="CR396" t="s">
        <v>2339</v>
      </c>
      <c r="CS396" s="1369" t="str">
        <f>INDEX([8]Sheet1!$H:$H,MATCH(CR:CR,[8]Sheet1!$AU:$AU,0))</f>
        <v>Nature Conservation</v>
      </c>
    </row>
    <row r="397" spans="1:97" x14ac:dyDescent="0.2">
      <c r="A397" t="s">
        <v>2939</v>
      </c>
      <c r="B397">
        <v>450</v>
      </c>
      <c r="C397" t="s">
        <v>2939</v>
      </c>
      <c r="D397">
        <v>41091</v>
      </c>
      <c r="E397" t="s">
        <v>2432</v>
      </c>
      <c r="F397">
        <v>2600</v>
      </c>
      <c r="G397" t="s">
        <v>655</v>
      </c>
      <c r="H397">
        <v>2600</v>
      </c>
      <c r="I397" t="s">
        <v>655</v>
      </c>
      <c r="J397" t="s">
        <v>2365</v>
      </c>
      <c r="K397" t="s">
        <v>2365</v>
      </c>
      <c r="L397">
        <v>4400</v>
      </c>
      <c r="M397" t="s">
        <v>631</v>
      </c>
      <c r="N397">
        <v>4403</v>
      </c>
      <c r="O397" t="s">
        <v>1557</v>
      </c>
      <c r="P397" t="s">
        <v>2366</v>
      </c>
      <c r="Q397" t="s">
        <v>2364</v>
      </c>
      <c r="R397" t="s">
        <v>2364</v>
      </c>
      <c r="S397" t="s">
        <v>1881</v>
      </c>
      <c r="T397" t="s">
        <v>1812</v>
      </c>
      <c r="U397" t="s">
        <v>2365</v>
      </c>
      <c r="V397" t="s">
        <v>2365</v>
      </c>
      <c r="W397" t="s">
        <v>2365</v>
      </c>
      <c r="X397" t="s">
        <v>2365</v>
      </c>
      <c r="Y397" t="s">
        <v>2365</v>
      </c>
      <c r="Z397" t="s">
        <v>2365</v>
      </c>
      <c r="AA397" t="s">
        <v>2365</v>
      </c>
      <c r="AB397" t="s">
        <v>2365</v>
      </c>
      <c r="AC397" s="813" t="s">
        <v>2365</v>
      </c>
      <c r="AD397" s="813" t="s">
        <v>2365</v>
      </c>
      <c r="AE397" s="813" t="s">
        <v>2365</v>
      </c>
      <c r="AF397" t="s">
        <v>2365</v>
      </c>
      <c r="AG397" t="s">
        <v>2365</v>
      </c>
      <c r="AH397" t="s">
        <v>2365</v>
      </c>
      <c r="AI397" t="s">
        <v>2365</v>
      </c>
      <c r="AJ397" t="s">
        <v>2365</v>
      </c>
      <c r="AK397" t="s">
        <v>2365</v>
      </c>
      <c r="AL397" t="s">
        <v>2365</v>
      </c>
      <c r="AM397" t="s">
        <v>2365</v>
      </c>
      <c r="AN397" t="s">
        <v>2365</v>
      </c>
      <c r="AR397" t="s">
        <v>2365</v>
      </c>
      <c r="AS397" t="s">
        <v>2365</v>
      </c>
      <c r="AT397" t="s">
        <v>2365</v>
      </c>
      <c r="AU397" t="s">
        <v>2365</v>
      </c>
      <c r="AV397" t="s">
        <v>2365</v>
      </c>
      <c r="AW397" t="s">
        <v>2365</v>
      </c>
      <c r="AX397" t="s">
        <v>2365</v>
      </c>
      <c r="AY397" t="s">
        <v>2365</v>
      </c>
      <c r="AZ397" t="s">
        <v>2365</v>
      </c>
      <c r="BA397" t="s">
        <v>2365</v>
      </c>
      <c r="BB397" t="s">
        <v>2365</v>
      </c>
      <c r="BC397" t="s">
        <v>2365</v>
      </c>
      <c r="BD397" t="s">
        <v>2366</v>
      </c>
      <c r="BE397" t="s">
        <v>2365</v>
      </c>
      <c r="BF397" t="s">
        <v>2365</v>
      </c>
      <c r="BG397" t="s">
        <v>2365</v>
      </c>
      <c r="BH397" t="s">
        <v>2365</v>
      </c>
      <c r="BI397" t="s">
        <v>2366</v>
      </c>
      <c r="BJ397" t="s">
        <v>2365</v>
      </c>
      <c r="BK397" t="s">
        <v>2365</v>
      </c>
      <c r="BL397" t="s">
        <v>2365</v>
      </c>
      <c r="BM397" t="s">
        <v>2365</v>
      </c>
      <c r="BO397">
        <v>12</v>
      </c>
      <c r="BP397">
        <v>121</v>
      </c>
      <c r="BQ397" t="s">
        <v>1369</v>
      </c>
      <c r="BR397" t="s">
        <v>1557</v>
      </c>
      <c r="BU397">
        <v>0</v>
      </c>
      <c r="BV397">
        <v>0</v>
      </c>
      <c r="BW397">
        <v>0</v>
      </c>
      <c r="BX397">
        <v>0</v>
      </c>
      <c r="BY397">
        <v>0</v>
      </c>
      <c r="BZ397">
        <v>0</v>
      </c>
      <c r="CA397">
        <v>0</v>
      </c>
      <c r="CB397">
        <v>0</v>
      </c>
      <c r="CC397">
        <v>0</v>
      </c>
      <c r="CD397">
        <v>0</v>
      </c>
      <c r="CE397">
        <v>0</v>
      </c>
      <c r="CF397">
        <v>0</v>
      </c>
      <c r="CG397">
        <v>0</v>
      </c>
      <c r="CH397">
        <v>0</v>
      </c>
      <c r="CI397">
        <v>0</v>
      </c>
      <c r="CJ397">
        <v>0</v>
      </c>
      <c r="CK397">
        <v>0</v>
      </c>
      <c r="CL397">
        <v>0</v>
      </c>
      <c r="CM397">
        <v>0</v>
      </c>
      <c r="CR397" t="s">
        <v>2340</v>
      </c>
      <c r="CS397" s="1369" t="str">
        <f>INDEX([8]Sheet1!$H:$H,MATCH(CR:CR,[8]Sheet1!$AU:$AU,0))</f>
        <v>Disaster Management</v>
      </c>
    </row>
    <row r="398" spans="1:97" x14ac:dyDescent="0.2">
      <c r="A398" t="s">
        <v>2940</v>
      </c>
      <c r="B398">
        <v>451</v>
      </c>
      <c r="C398" t="s">
        <v>2940</v>
      </c>
      <c r="D398">
        <v>41092</v>
      </c>
      <c r="E398" t="s">
        <v>2432</v>
      </c>
      <c r="F398">
        <v>2600</v>
      </c>
      <c r="G398" t="s">
        <v>655</v>
      </c>
      <c r="H398">
        <v>2600</v>
      </c>
      <c r="I398" t="s">
        <v>655</v>
      </c>
      <c r="J398" t="s">
        <v>2365</v>
      </c>
      <c r="K398" t="s">
        <v>2365</v>
      </c>
      <c r="L398">
        <v>4400</v>
      </c>
      <c r="M398" t="s">
        <v>631</v>
      </c>
      <c r="N398">
        <v>4404</v>
      </c>
      <c r="O398" t="s">
        <v>1558</v>
      </c>
      <c r="P398" t="s">
        <v>2366</v>
      </c>
      <c r="Q398" t="s">
        <v>2364</v>
      </c>
      <c r="R398" t="s">
        <v>2364</v>
      </c>
      <c r="S398" t="s">
        <v>1881</v>
      </c>
      <c r="T398" t="s">
        <v>1812</v>
      </c>
      <c r="U398" t="s">
        <v>2365</v>
      </c>
      <c r="V398" t="s">
        <v>2365</v>
      </c>
      <c r="W398" t="s">
        <v>2365</v>
      </c>
      <c r="X398" t="s">
        <v>2365</v>
      </c>
      <c r="Y398" t="s">
        <v>2365</v>
      </c>
      <c r="Z398" t="s">
        <v>2365</v>
      </c>
      <c r="AA398" t="s">
        <v>2365</v>
      </c>
      <c r="AB398" t="s">
        <v>2365</v>
      </c>
      <c r="AC398" s="813" t="s">
        <v>2365</v>
      </c>
      <c r="AD398" s="813" t="s">
        <v>2365</v>
      </c>
      <c r="AE398" s="813" t="s">
        <v>2365</v>
      </c>
      <c r="AF398" t="s">
        <v>2365</v>
      </c>
      <c r="AG398" t="s">
        <v>2365</v>
      </c>
      <c r="AH398" t="s">
        <v>2365</v>
      </c>
      <c r="AI398" t="s">
        <v>2365</v>
      </c>
      <c r="AJ398" t="s">
        <v>2365</v>
      </c>
      <c r="AK398" t="s">
        <v>2365</v>
      </c>
      <c r="AL398" t="s">
        <v>2365</v>
      </c>
      <c r="AM398" t="s">
        <v>2365</v>
      </c>
      <c r="AN398" t="s">
        <v>2365</v>
      </c>
      <c r="AR398" t="s">
        <v>2365</v>
      </c>
      <c r="AS398" t="s">
        <v>2365</v>
      </c>
      <c r="AT398" t="s">
        <v>2365</v>
      </c>
      <c r="AU398" t="s">
        <v>2365</v>
      </c>
      <c r="AV398" t="s">
        <v>2365</v>
      </c>
      <c r="AW398" t="s">
        <v>2365</v>
      </c>
      <c r="AX398" t="s">
        <v>2365</v>
      </c>
      <c r="AY398" t="s">
        <v>2365</v>
      </c>
      <c r="AZ398" t="s">
        <v>2365</v>
      </c>
      <c r="BA398" t="s">
        <v>2365</v>
      </c>
      <c r="BB398" t="s">
        <v>2365</v>
      </c>
      <c r="BC398" t="s">
        <v>2365</v>
      </c>
      <c r="BD398" t="s">
        <v>2366</v>
      </c>
      <c r="BE398" t="s">
        <v>2365</v>
      </c>
      <c r="BF398" t="s">
        <v>2365</v>
      </c>
      <c r="BG398" t="s">
        <v>2365</v>
      </c>
      <c r="BH398" t="s">
        <v>2365</v>
      </c>
      <c r="BI398" t="s">
        <v>2366</v>
      </c>
      <c r="BJ398" t="s">
        <v>2365</v>
      </c>
      <c r="BK398" t="s">
        <v>2365</v>
      </c>
      <c r="BL398" t="s">
        <v>2365</v>
      </c>
      <c r="BM398" t="s">
        <v>2365</v>
      </c>
      <c r="BO398">
        <v>12</v>
      </c>
      <c r="BP398">
        <v>122</v>
      </c>
      <c r="BQ398" t="s">
        <v>1369</v>
      </c>
      <c r="BR398" t="s">
        <v>1558</v>
      </c>
      <c r="BU398">
        <v>0</v>
      </c>
      <c r="BV398">
        <v>0</v>
      </c>
      <c r="BW398">
        <v>0</v>
      </c>
      <c r="BX398">
        <v>0</v>
      </c>
      <c r="BY398">
        <v>0</v>
      </c>
      <c r="BZ398">
        <v>0</v>
      </c>
      <c r="CA398">
        <v>0</v>
      </c>
      <c r="CB398">
        <v>0</v>
      </c>
      <c r="CC398">
        <v>0</v>
      </c>
      <c r="CD398">
        <v>0</v>
      </c>
      <c r="CE398">
        <v>0</v>
      </c>
      <c r="CF398">
        <v>0</v>
      </c>
      <c r="CG398">
        <v>0</v>
      </c>
      <c r="CH398">
        <v>0</v>
      </c>
      <c r="CI398">
        <v>0</v>
      </c>
      <c r="CJ398">
        <v>0</v>
      </c>
      <c r="CK398">
        <v>0</v>
      </c>
      <c r="CL398">
        <v>0</v>
      </c>
      <c r="CM398">
        <v>0</v>
      </c>
      <c r="CR398" t="s">
        <v>2339</v>
      </c>
      <c r="CS398" s="1369" t="str">
        <f>INDEX([8]Sheet1!$H:$H,MATCH(CR:CR,[8]Sheet1!$AU:$AU,0))</f>
        <v>Nature Conservation</v>
      </c>
    </row>
    <row r="399" spans="1:97" x14ac:dyDescent="0.2">
      <c r="A399" t="s">
        <v>2941</v>
      </c>
      <c r="B399">
        <v>452</v>
      </c>
      <c r="C399" t="s">
        <v>2941</v>
      </c>
      <c r="D399">
        <v>41093</v>
      </c>
      <c r="E399" t="s">
        <v>2432</v>
      </c>
      <c r="F399">
        <v>2600</v>
      </c>
      <c r="G399" t="s">
        <v>655</v>
      </c>
      <c r="H399">
        <v>2600</v>
      </c>
      <c r="I399" t="s">
        <v>655</v>
      </c>
      <c r="J399" t="s">
        <v>2365</v>
      </c>
      <c r="K399" t="s">
        <v>2365</v>
      </c>
      <c r="L399">
        <v>2200</v>
      </c>
      <c r="M399" t="s">
        <v>619</v>
      </c>
      <c r="N399">
        <v>2205</v>
      </c>
      <c r="O399" t="s">
        <v>1517</v>
      </c>
      <c r="P399" t="s">
        <v>2366</v>
      </c>
      <c r="Q399" t="s">
        <v>2364</v>
      </c>
      <c r="R399" t="s">
        <v>2364</v>
      </c>
      <c r="S399" t="s">
        <v>1881</v>
      </c>
      <c r="T399" t="s">
        <v>1812</v>
      </c>
      <c r="U399" t="s">
        <v>2365</v>
      </c>
      <c r="V399" t="s">
        <v>2365</v>
      </c>
      <c r="W399" t="s">
        <v>2365</v>
      </c>
      <c r="X399" t="s">
        <v>2365</v>
      </c>
      <c r="Y399" t="s">
        <v>2365</v>
      </c>
      <c r="Z399" t="s">
        <v>2365</v>
      </c>
      <c r="AA399" t="s">
        <v>2365</v>
      </c>
      <c r="AB399" t="s">
        <v>2365</v>
      </c>
      <c r="AC399" s="813" t="s">
        <v>2365</v>
      </c>
      <c r="AD399" s="813" t="s">
        <v>2365</v>
      </c>
      <c r="AE399" s="813" t="s">
        <v>2365</v>
      </c>
      <c r="AF399" t="s">
        <v>2365</v>
      </c>
      <c r="AG399" t="s">
        <v>2365</v>
      </c>
      <c r="AH399" t="s">
        <v>2365</v>
      </c>
      <c r="AI399" t="s">
        <v>2365</v>
      </c>
      <c r="AJ399" t="s">
        <v>2365</v>
      </c>
      <c r="AK399" t="s">
        <v>2365</v>
      </c>
      <c r="AL399" t="s">
        <v>2365</v>
      </c>
      <c r="AM399" t="s">
        <v>2365</v>
      </c>
      <c r="AN399" t="s">
        <v>2365</v>
      </c>
      <c r="AR399" t="s">
        <v>2365</v>
      </c>
      <c r="AS399" t="s">
        <v>2365</v>
      </c>
      <c r="AT399" t="s">
        <v>2365</v>
      </c>
      <c r="AU399" t="s">
        <v>2365</v>
      </c>
      <c r="AV399" t="s">
        <v>2365</v>
      </c>
      <c r="AW399" t="s">
        <v>2365</v>
      </c>
      <c r="AX399" t="s">
        <v>2365</v>
      </c>
      <c r="AY399" t="s">
        <v>2365</v>
      </c>
      <c r="AZ399" t="s">
        <v>2365</v>
      </c>
      <c r="BA399" t="s">
        <v>2365</v>
      </c>
      <c r="BB399" t="s">
        <v>2365</v>
      </c>
      <c r="BC399" t="s">
        <v>2365</v>
      </c>
      <c r="BD399" t="s">
        <v>2366</v>
      </c>
      <c r="BE399" t="s">
        <v>2365</v>
      </c>
      <c r="BF399" t="s">
        <v>2365</v>
      </c>
      <c r="BG399" t="s">
        <v>2365</v>
      </c>
      <c r="BH399" t="s">
        <v>2365</v>
      </c>
      <c r="BI399" t="s">
        <v>2366</v>
      </c>
      <c r="BJ399" t="s">
        <v>2365</v>
      </c>
      <c r="BK399" t="s">
        <v>2365</v>
      </c>
      <c r="BL399" t="s">
        <v>2365</v>
      </c>
      <c r="BM399" t="s">
        <v>2365</v>
      </c>
      <c r="BO399">
        <v>9</v>
      </c>
      <c r="BP399">
        <v>91</v>
      </c>
      <c r="BQ399" t="s">
        <v>265</v>
      </c>
      <c r="BR399" t="s">
        <v>1517</v>
      </c>
      <c r="BU399">
        <v>0</v>
      </c>
      <c r="BV399">
        <v>0</v>
      </c>
      <c r="BW399">
        <v>0</v>
      </c>
      <c r="BX399">
        <v>0</v>
      </c>
      <c r="BY399">
        <v>0</v>
      </c>
      <c r="BZ399">
        <v>0</v>
      </c>
      <c r="CA399">
        <v>0</v>
      </c>
      <c r="CB399">
        <v>0</v>
      </c>
      <c r="CC399">
        <v>0</v>
      </c>
      <c r="CD399">
        <v>0</v>
      </c>
      <c r="CE399">
        <v>0</v>
      </c>
      <c r="CF399">
        <v>0</v>
      </c>
      <c r="CG399">
        <v>0</v>
      </c>
      <c r="CH399">
        <v>0</v>
      </c>
      <c r="CI399">
        <v>0</v>
      </c>
      <c r="CJ399">
        <v>0</v>
      </c>
      <c r="CK399">
        <v>0</v>
      </c>
      <c r="CL399">
        <v>0</v>
      </c>
      <c r="CM399">
        <v>0</v>
      </c>
      <c r="CR399" t="s">
        <v>2340</v>
      </c>
      <c r="CS399" s="1369" t="str">
        <f>INDEX([8]Sheet1!$H:$H,MATCH(CR:CR,[8]Sheet1!$AU:$AU,0))</f>
        <v>Disaster Management</v>
      </c>
    </row>
    <row r="400" spans="1:97" x14ac:dyDescent="0.2">
      <c r="A400" t="s">
        <v>2942</v>
      </c>
      <c r="B400">
        <v>453</v>
      </c>
      <c r="C400" t="s">
        <v>2942</v>
      </c>
      <c r="D400">
        <v>41094</v>
      </c>
      <c r="E400" t="s">
        <v>2432</v>
      </c>
      <c r="F400">
        <v>2600</v>
      </c>
      <c r="G400" t="s">
        <v>655</v>
      </c>
      <c r="H400">
        <v>2600</v>
      </c>
      <c r="I400" t="s">
        <v>655</v>
      </c>
      <c r="J400" t="s">
        <v>2365</v>
      </c>
      <c r="K400" t="s">
        <v>2365</v>
      </c>
      <c r="L400">
        <v>5000</v>
      </c>
      <c r="M400" t="s">
        <v>632</v>
      </c>
      <c r="N400">
        <v>5006</v>
      </c>
      <c r="O400" t="s">
        <v>1010</v>
      </c>
      <c r="P400" t="s">
        <v>2366</v>
      </c>
      <c r="Q400" t="s">
        <v>2364</v>
      </c>
      <c r="R400" t="s">
        <v>2364</v>
      </c>
      <c r="S400" t="s">
        <v>1881</v>
      </c>
      <c r="T400" t="s">
        <v>1812</v>
      </c>
      <c r="U400" t="s">
        <v>2365</v>
      </c>
      <c r="V400" t="s">
        <v>2365</v>
      </c>
      <c r="W400" t="s">
        <v>2365</v>
      </c>
      <c r="X400" t="s">
        <v>2365</v>
      </c>
      <c r="Y400" t="s">
        <v>2365</v>
      </c>
      <c r="Z400" t="s">
        <v>2365</v>
      </c>
      <c r="AA400" t="s">
        <v>2365</v>
      </c>
      <c r="AB400" t="s">
        <v>2365</v>
      </c>
      <c r="AC400" s="813" t="s">
        <v>2365</v>
      </c>
      <c r="AD400" s="813" t="s">
        <v>2365</v>
      </c>
      <c r="AE400" s="813" t="s">
        <v>2365</v>
      </c>
      <c r="AF400" t="s">
        <v>2365</v>
      </c>
      <c r="AG400" t="s">
        <v>2365</v>
      </c>
      <c r="AH400" t="s">
        <v>2365</v>
      </c>
      <c r="AI400" t="s">
        <v>2365</v>
      </c>
      <c r="AJ400" t="s">
        <v>2365</v>
      </c>
      <c r="AK400" t="s">
        <v>2365</v>
      </c>
      <c r="AL400" t="s">
        <v>2365</v>
      </c>
      <c r="AM400" t="s">
        <v>2365</v>
      </c>
      <c r="AN400" t="s">
        <v>2365</v>
      </c>
      <c r="AR400" t="s">
        <v>2365</v>
      </c>
      <c r="AS400" t="s">
        <v>2365</v>
      </c>
      <c r="AT400" t="s">
        <v>2365</v>
      </c>
      <c r="AU400" t="s">
        <v>2365</v>
      </c>
      <c r="AV400" t="s">
        <v>2365</v>
      </c>
      <c r="AW400" t="s">
        <v>2365</v>
      </c>
      <c r="AX400" t="s">
        <v>2365</v>
      </c>
      <c r="AY400" t="s">
        <v>2365</v>
      </c>
      <c r="AZ400" t="s">
        <v>2365</v>
      </c>
      <c r="BA400" t="s">
        <v>2365</v>
      </c>
      <c r="BB400" t="s">
        <v>2365</v>
      </c>
      <c r="BC400" t="s">
        <v>2365</v>
      </c>
      <c r="BD400" t="s">
        <v>2366</v>
      </c>
      <c r="BE400" t="s">
        <v>2365</v>
      </c>
      <c r="BF400" t="s">
        <v>2365</v>
      </c>
      <c r="BG400" t="s">
        <v>2365</v>
      </c>
      <c r="BH400" t="s">
        <v>2365</v>
      </c>
      <c r="BI400" t="s">
        <v>2366</v>
      </c>
      <c r="BJ400" t="s">
        <v>2365</v>
      </c>
      <c r="BK400" t="s">
        <v>2365</v>
      </c>
      <c r="BL400" t="s">
        <v>2365</v>
      </c>
      <c r="BM400" t="s">
        <v>2365</v>
      </c>
      <c r="BP400">
        <v>0</v>
      </c>
      <c r="BQ400" t="s">
        <v>2365</v>
      </c>
      <c r="BR400" t="s">
        <v>1010</v>
      </c>
      <c r="BU400">
        <v>0</v>
      </c>
      <c r="BV400">
        <v>0</v>
      </c>
      <c r="BW400">
        <v>0</v>
      </c>
      <c r="BX400">
        <v>0</v>
      </c>
      <c r="BY400">
        <v>0</v>
      </c>
      <c r="BZ400">
        <v>0</v>
      </c>
      <c r="CA400">
        <v>0</v>
      </c>
      <c r="CB400">
        <v>0</v>
      </c>
      <c r="CC400">
        <v>0</v>
      </c>
      <c r="CD400">
        <v>0</v>
      </c>
      <c r="CE400">
        <v>0</v>
      </c>
      <c r="CF400">
        <v>0</v>
      </c>
      <c r="CG400">
        <v>0</v>
      </c>
      <c r="CH400">
        <v>0</v>
      </c>
      <c r="CI400">
        <v>0</v>
      </c>
      <c r="CJ400">
        <v>0</v>
      </c>
      <c r="CK400">
        <v>0</v>
      </c>
      <c r="CL400">
        <v>0</v>
      </c>
      <c r="CM400">
        <v>0</v>
      </c>
      <c r="CR400" t="s">
        <v>2340</v>
      </c>
      <c r="CS400" s="1369" t="str">
        <f>INDEX([8]Sheet1!$H:$H,MATCH(CR:CR,[8]Sheet1!$AU:$AU,0))</f>
        <v>Disaster Management</v>
      </c>
    </row>
    <row r="401" spans="1:97" x14ac:dyDescent="0.2">
      <c r="A401" t="s">
        <v>2943</v>
      </c>
      <c r="B401">
        <v>454</v>
      </c>
      <c r="C401" t="s">
        <v>2943</v>
      </c>
      <c r="D401">
        <v>41095</v>
      </c>
      <c r="E401" t="s">
        <v>2471</v>
      </c>
      <c r="F401">
        <v>2000</v>
      </c>
      <c r="G401" t="s">
        <v>652</v>
      </c>
      <c r="H401" t="s">
        <v>2472</v>
      </c>
      <c r="I401" t="s">
        <v>1375</v>
      </c>
      <c r="J401">
        <v>2002</v>
      </c>
      <c r="K401" t="s">
        <v>1375</v>
      </c>
      <c r="L401">
        <v>4400</v>
      </c>
      <c r="M401" t="s">
        <v>631</v>
      </c>
      <c r="N401">
        <v>4403</v>
      </c>
      <c r="O401" t="s">
        <v>1557</v>
      </c>
      <c r="P401" t="s">
        <v>2366</v>
      </c>
      <c r="Q401" t="s">
        <v>2364</v>
      </c>
      <c r="R401" t="s">
        <v>2364</v>
      </c>
      <c r="S401" t="s">
        <v>1881</v>
      </c>
      <c r="T401" t="s">
        <v>1812</v>
      </c>
      <c r="U401" t="s">
        <v>2365</v>
      </c>
      <c r="V401" t="s">
        <v>2365</v>
      </c>
      <c r="W401" t="s">
        <v>2365</v>
      </c>
      <c r="X401" t="s">
        <v>2365</v>
      </c>
      <c r="Y401" t="s">
        <v>2365</v>
      </c>
      <c r="Z401" t="s">
        <v>2365</v>
      </c>
      <c r="AA401" t="s">
        <v>2365</v>
      </c>
      <c r="AB401" t="s">
        <v>2365</v>
      </c>
      <c r="AC401" s="813" t="s">
        <v>2365</v>
      </c>
      <c r="AD401" s="813" t="s">
        <v>2365</v>
      </c>
      <c r="AE401" s="813" t="s">
        <v>2365</v>
      </c>
      <c r="AF401" t="s">
        <v>2365</v>
      </c>
      <c r="AG401" t="s">
        <v>2365</v>
      </c>
      <c r="AH401" t="s">
        <v>2365</v>
      </c>
      <c r="AI401" t="s">
        <v>2365</v>
      </c>
      <c r="AJ401" t="s">
        <v>2365</v>
      </c>
      <c r="AK401" t="s">
        <v>2365</v>
      </c>
      <c r="AL401" t="s">
        <v>2365</v>
      </c>
      <c r="AM401" t="s">
        <v>2365</v>
      </c>
      <c r="AN401" t="s">
        <v>2365</v>
      </c>
      <c r="AR401" t="s">
        <v>2365</v>
      </c>
      <c r="AS401" t="s">
        <v>2365</v>
      </c>
      <c r="AT401" t="s">
        <v>2365</v>
      </c>
      <c r="AU401" t="s">
        <v>2365</v>
      </c>
      <c r="AV401" t="s">
        <v>2365</v>
      </c>
      <c r="AW401" t="s">
        <v>2365</v>
      </c>
      <c r="AX401" t="s">
        <v>2365</v>
      </c>
      <c r="AY401" t="s">
        <v>2365</v>
      </c>
      <c r="AZ401" t="s">
        <v>2365</v>
      </c>
      <c r="BA401" t="s">
        <v>2365</v>
      </c>
      <c r="BB401" t="s">
        <v>2365</v>
      </c>
      <c r="BC401" t="s">
        <v>2365</v>
      </c>
      <c r="BD401" t="s">
        <v>2366</v>
      </c>
      <c r="BE401" t="s">
        <v>2365</v>
      </c>
      <c r="BF401" t="s">
        <v>2365</v>
      </c>
      <c r="BG401" t="s">
        <v>2365</v>
      </c>
      <c r="BH401" t="s">
        <v>2365</v>
      </c>
      <c r="BI401" t="s">
        <v>2366</v>
      </c>
      <c r="BJ401" t="s">
        <v>2365</v>
      </c>
      <c r="BK401" t="s">
        <v>2365</v>
      </c>
      <c r="BL401" t="s">
        <v>2365</v>
      </c>
      <c r="BM401" t="s">
        <v>2365</v>
      </c>
      <c r="BN401" t="s">
        <v>2177</v>
      </c>
      <c r="BO401">
        <v>12</v>
      </c>
      <c r="BP401">
        <v>121</v>
      </c>
      <c r="BQ401" t="s">
        <v>1369</v>
      </c>
      <c r="BR401" t="s">
        <v>1557</v>
      </c>
      <c r="BU401">
        <v>0</v>
      </c>
      <c r="BV401">
        <v>0</v>
      </c>
      <c r="BW401">
        <v>0</v>
      </c>
      <c r="BX401">
        <v>0</v>
      </c>
      <c r="BY401">
        <v>0</v>
      </c>
      <c r="BZ401">
        <v>0</v>
      </c>
      <c r="CA401">
        <v>0</v>
      </c>
      <c r="CB401">
        <v>0</v>
      </c>
      <c r="CC401">
        <v>0</v>
      </c>
      <c r="CD401">
        <v>0</v>
      </c>
      <c r="CE401">
        <v>0</v>
      </c>
      <c r="CF401">
        <v>0</v>
      </c>
      <c r="CG401">
        <v>0</v>
      </c>
      <c r="CH401">
        <v>0</v>
      </c>
      <c r="CI401">
        <v>0</v>
      </c>
      <c r="CJ401">
        <v>0</v>
      </c>
      <c r="CK401">
        <v>0</v>
      </c>
      <c r="CL401">
        <v>0</v>
      </c>
      <c r="CM401">
        <v>0</v>
      </c>
      <c r="CR401" t="s">
        <v>2339</v>
      </c>
      <c r="CS401" s="1369" t="str">
        <f>INDEX([8]Sheet1!$H:$H,MATCH(CR:CR,[8]Sheet1!$AU:$AU,0))</f>
        <v>Nature Conservation</v>
      </c>
    </row>
    <row r="402" spans="1:97" x14ac:dyDescent="0.2">
      <c r="A402" t="s">
        <v>2944</v>
      </c>
      <c r="B402">
        <v>455</v>
      </c>
      <c r="C402" t="s">
        <v>2944</v>
      </c>
      <c r="D402">
        <v>41096</v>
      </c>
      <c r="E402" t="s">
        <v>2471</v>
      </c>
      <c r="F402">
        <v>2000</v>
      </c>
      <c r="G402" t="s">
        <v>652</v>
      </c>
      <c r="H402" t="s">
        <v>2472</v>
      </c>
      <c r="I402" t="s">
        <v>1375</v>
      </c>
      <c r="J402">
        <v>2002</v>
      </c>
      <c r="K402" t="s">
        <v>1375</v>
      </c>
      <c r="L402">
        <v>4400</v>
      </c>
      <c r="M402" t="s">
        <v>631</v>
      </c>
      <c r="N402">
        <v>4404</v>
      </c>
      <c r="O402" t="s">
        <v>1558</v>
      </c>
      <c r="P402" t="s">
        <v>2366</v>
      </c>
      <c r="Q402" t="s">
        <v>2364</v>
      </c>
      <c r="R402" t="s">
        <v>2364</v>
      </c>
      <c r="S402" t="s">
        <v>1881</v>
      </c>
      <c r="T402" t="s">
        <v>1812</v>
      </c>
      <c r="U402" t="s">
        <v>2365</v>
      </c>
      <c r="V402" t="s">
        <v>2365</v>
      </c>
      <c r="W402" t="s">
        <v>2365</v>
      </c>
      <c r="X402" t="s">
        <v>2365</v>
      </c>
      <c r="Y402" t="s">
        <v>2365</v>
      </c>
      <c r="Z402" t="s">
        <v>2365</v>
      </c>
      <c r="AA402" t="s">
        <v>2365</v>
      </c>
      <c r="AB402" t="s">
        <v>2365</v>
      </c>
      <c r="AC402" s="813" t="s">
        <v>2365</v>
      </c>
      <c r="AD402" s="813" t="s">
        <v>2365</v>
      </c>
      <c r="AE402" s="813" t="s">
        <v>2365</v>
      </c>
      <c r="AF402" t="s">
        <v>2365</v>
      </c>
      <c r="AG402" t="s">
        <v>2365</v>
      </c>
      <c r="AH402" t="s">
        <v>2365</v>
      </c>
      <c r="AI402" t="s">
        <v>2365</v>
      </c>
      <c r="AJ402" t="s">
        <v>2365</v>
      </c>
      <c r="AK402" t="s">
        <v>2365</v>
      </c>
      <c r="AL402" t="s">
        <v>2365</v>
      </c>
      <c r="AM402" t="s">
        <v>2365</v>
      </c>
      <c r="AN402" t="s">
        <v>2365</v>
      </c>
      <c r="AR402" t="s">
        <v>2365</v>
      </c>
      <c r="AS402" t="s">
        <v>2365</v>
      </c>
      <c r="AT402" t="s">
        <v>2365</v>
      </c>
      <c r="AU402" t="s">
        <v>2365</v>
      </c>
      <c r="AV402" t="s">
        <v>2365</v>
      </c>
      <c r="AW402" t="s">
        <v>2365</v>
      </c>
      <c r="AX402" t="s">
        <v>2365</v>
      </c>
      <c r="AY402" t="s">
        <v>2365</v>
      </c>
      <c r="AZ402" t="s">
        <v>2365</v>
      </c>
      <c r="BA402" t="s">
        <v>2365</v>
      </c>
      <c r="BB402" t="s">
        <v>2365</v>
      </c>
      <c r="BC402" t="s">
        <v>2365</v>
      </c>
      <c r="BD402" t="s">
        <v>2366</v>
      </c>
      <c r="BE402" t="s">
        <v>2365</v>
      </c>
      <c r="BF402" t="s">
        <v>2365</v>
      </c>
      <c r="BG402" t="s">
        <v>2365</v>
      </c>
      <c r="BH402" t="s">
        <v>2365</v>
      </c>
      <c r="BI402" t="s">
        <v>2366</v>
      </c>
      <c r="BJ402" t="s">
        <v>2365</v>
      </c>
      <c r="BK402" t="s">
        <v>2365</v>
      </c>
      <c r="BL402" t="s">
        <v>2365</v>
      </c>
      <c r="BM402" t="s">
        <v>2365</v>
      </c>
      <c r="BN402" t="s">
        <v>2177</v>
      </c>
      <c r="BO402">
        <v>12</v>
      </c>
      <c r="BP402">
        <v>122</v>
      </c>
      <c r="BQ402" t="s">
        <v>1369</v>
      </c>
      <c r="BR402" t="s">
        <v>1558</v>
      </c>
      <c r="BU402">
        <v>0</v>
      </c>
      <c r="BV402">
        <v>0</v>
      </c>
      <c r="BW402">
        <v>0</v>
      </c>
      <c r="BX402">
        <v>0</v>
      </c>
      <c r="BY402">
        <v>0</v>
      </c>
      <c r="BZ402">
        <v>0</v>
      </c>
      <c r="CA402">
        <v>0</v>
      </c>
      <c r="CB402">
        <v>0</v>
      </c>
      <c r="CC402">
        <v>0</v>
      </c>
      <c r="CD402">
        <v>0</v>
      </c>
      <c r="CE402">
        <v>0</v>
      </c>
      <c r="CF402">
        <v>0</v>
      </c>
      <c r="CG402">
        <v>0</v>
      </c>
      <c r="CH402">
        <v>0</v>
      </c>
      <c r="CI402">
        <v>0</v>
      </c>
      <c r="CJ402">
        <v>0</v>
      </c>
      <c r="CK402">
        <v>0</v>
      </c>
      <c r="CL402">
        <v>0</v>
      </c>
      <c r="CM402">
        <v>0</v>
      </c>
      <c r="CR402" t="s">
        <v>2339</v>
      </c>
      <c r="CS402" s="1369" t="str">
        <f>INDEX([8]Sheet1!$H:$H,MATCH(CR:CR,[8]Sheet1!$AU:$AU,0))</f>
        <v>Nature Conservation</v>
      </c>
    </row>
    <row r="403" spans="1:97" x14ac:dyDescent="0.2">
      <c r="A403" t="s">
        <v>2945</v>
      </c>
      <c r="B403">
        <v>456</v>
      </c>
      <c r="C403" t="s">
        <v>2945</v>
      </c>
      <c r="D403">
        <v>41097</v>
      </c>
      <c r="E403" t="s">
        <v>2471</v>
      </c>
      <c r="F403">
        <v>2000</v>
      </c>
      <c r="G403" t="s">
        <v>652</v>
      </c>
      <c r="H403" t="s">
        <v>2472</v>
      </c>
      <c r="I403" t="s">
        <v>1375</v>
      </c>
      <c r="J403">
        <v>2002</v>
      </c>
      <c r="K403" t="s">
        <v>1375</v>
      </c>
      <c r="L403">
        <v>2200</v>
      </c>
      <c r="M403" t="s">
        <v>619</v>
      </c>
      <c r="N403">
        <v>2205</v>
      </c>
      <c r="O403" t="s">
        <v>1517</v>
      </c>
      <c r="P403" t="s">
        <v>2366</v>
      </c>
      <c r="Q403" t="s">
        <v>2364</v>
      </c>
      <c r="R403" t="s">
        <v>2364</v>
      </c>
      <c r="S403" t="s">
        <v>1881</v>
      </c>
      <c r="T403" t="s">
        <v>1812</v>
      </c>
      <c r="U403" t="s">
        <v>2365</v>
      </c>
      <c r="V403" t="s">
        <v>2365</v>
      </c>
      <c r="W403" t="s">
        <v>2365</v>
      </c>
      <c r="X403" t="s">
        <v>2365</v>
      </c>
      <c r="Y403" t="s">
        <v>2365</v>
      </c>
      <c r="Z403" t="s">
        <v>2365</v>
      </c>
      <c r="AA403" t="s">
        <v>2365</v>
      </c>
      <c r="AB403" t="s">
        <v>2365</v>
      </c>
      <c r="AC403" s="813" t="s">
        <v>2365</v>
      </c>
      <c r="AD403" s="813" t="s">
        <v>2365</v>
      </c>
      <c r="AE403" s="813" t="s">
        <v>2365</v>
      </c>
      <c r="AF403" t="s">
        <v>2365</v>
      </c>
      <c r="AG403" t="s">
        <v>2365</v>
      </c>
      <c r="AH403" t="s">
        <v>2365</v>
      </c>
      <c r="AI403" t="s">
        <v>2365</v>
      </c>
      <c r="AJ403" t="s">
        <v>2365</v>
      </c>
      <c r="AK403" t="s">
        <v>2365</v>
      </c>
      <c r="AL403" t="s">
        <v>2365</v>
      </c>
      <c r="AM403" t="s">
        <v>2365</v>
      </c>
      <c r="AN403" t="s">
        <v>2365</v>
      </c>
      <c r="AR403" t="s">
        <v>2365</v>
      </c>
      <c r="AS403" t="s">
        <v>2365</v>
      </c>
      <c r="AT403" t="s">
        <v>2365</v>
      </c>
      <c r="AU403" t="s">
        <v>2365</v>
      </c>
      <c r="AV403" t="s">
        <v>2365</v>
      </c>
      <c r="AW403" t="s">
        <v>2365</v>
      </c>
      <c r="AX403" t="s">
        <v>2365</v>
      </c>
      <c r="AY403" t="s">
        <v>2365</v>
      </c>
      <c r="AZ403" t="s">
        <v>2365</v>
      </c>
      <c r="BA403" t="s">
        <v>2365</v>
      </c>
      <c r="BB403" t="s">
        <v>2365</v>
      </c>
      <c r="BC403" t="s">
        <v>2365</v>
      </c>
      <c r="BD403" t="s">
        <v>2366</v>
      </c>
      <c r="BE403" t="s">
        <v>2365</v>
      </c>
      <c r="BF403" t="s">
        <v>2365</v>
      </c>
      <c r="BG403" t="s">
        <v>2365</v>
      </c>
      <c r="BH403" t="s">
        <v>2365</v>
      </c>
      <c r="BI403" t="s">
        <v>2366</v>
      </c>
      <c r="BJ403" t="s">
        <v>2365</v>
      </c>
      <c r="BK403" t="s">
        <v>2365</v>
      </c>
      <c r="BL403" t="s">
        <v>2365</v>
      </c>
      <c r="BM403" t="s">
        <v>2365</v>
      </c>
      <c r="BN403" t="s">
        <v>2177</v>
      </c>
      <c r="BO403">
        <v>9</v>
      </c>
      <c r="BP403">
        <v>91</v>
      </c>
      <c r="BQ403" t="s">
        <v>265</v>
      </c>
      <c r="BR403" t="s">
        <v>1517</v>
      </c>
      <c r="BU403">
        <v>0</v>
      </c>
      <c r="BV403">
        <v>0</v>
      </c>
      <c r="BW403">
        <v>0</v>
      </c>
      <c r="BX403">
        <v>0</v>
      </c>
      <c r="BY403">
        <v>0</v>
      </c>
      <c r="BZ403">
        <v>0</v>
      </c>
      <c r="CA403">
        <v>0</v>
      </c>
      <c r="CB403">
        <v>0</v>
      </c>
      <c r="CC403">
        <v>0</v>
      </c>
      <c r="CD403">
        <v>0</v>
      </c>
      <c r="CE403">
        <v>0</v>
      </c>
      <c r="CF403">
        <v>0</v>
      </c>
      <c r="CG403">
        <v>0</v>
      </c>
      <c r="CH403">
        <v>0</v>
      </c>
      <c r="CI403">
        <v>0</v>
      </c>
      <c r="CJ403">
        <v>0</v>
      </c>
      <c r="CK403">
        <v>0</v>
      </c>
      <c r="CL403">
        <v>0</v>
      </c>
      <c r="CM403">
        <v>0</v>
      </c>
      <c r="CR403" t="s">
        <v>2328</v>
      </c>
      <c r="CS403" s="1369" t="str">
        <f>INDEX([8]Sheet1!$H:$H,MATCH(CR:CR,[8]Sheet1!$AU:$AU,0))</f>
        <v>Water Distribution</v>
      </c>
    </row>
    <row r="404" spans="1:97" x14ac:dyDescent="0.2">
      <c r="A404" t="s">
        <v>2946</v>
      </c>
      <c r="B404">
        <v>457</v>
      </c>
      <c r="C404" t="s">
        <v>2946</v>
      </c>
      <c r="D404">
        <v>41098</v>
      </c>
      <c r="E404" t="s">
        <v>2471</v>
      </c>
      <c r="F404">
        <v>2000</v>
      </c>
      <c r="G404" t="s">
        <v>652</v>
      </c>
      <c r="H404" t="s">
        <v>2472</v>
      </c>
      <c r="I404" t="s">
        <v>1375</v>
      </c>
      <c r="J404">
        <v>2002</v>
      </c>
      <c r="K404" t="s">
        <v>1375</v>
      </c>
      <c r="L404">
        <v>5000</v>
      </c>
      <c r="M404" t="s">
        <v>632</v>
      </c>
      <c r="N404">
        <v>5006</v>
      </c>
      <c r="O404" t="s">
        <v>1010</v>
      </c>
      <c r="P404" t="s">
        <v>2366</v>
      </c>
      <c r="Q404" t="s">
        <v>2364</v>
      </c>
      <c r="R404" t="s">
        <v>2364</v>
      </c>
      <c r="S404" t="s">
        <v>1881</v>
      </c>
      <c r="T404" t="s">
        <v>1812</v>
      </c>
      <c r="U404" t="s">
        <v>2365</v>
      </c>
      <c r="V404" t="s">
        <v>2365</v>
      </c>
      <c r="W404" t="s">
        <v>2365</v>
      </c>
      <c r="X404" t="s">
        <v>2365</v>
      </c>
      <c r="Y404" t="s">
        <v>2365</v>
      </c>
      <c r="Z404" t="s">
        <v>2365</v>
      </c>
      <c r="AA404" t="s">
        <v>2365</v>
      </c>
      <c r="AB404" t="s">
        <v>2365</v>
      </c>
      <c r="AC404" s="813" t="s">
        <v>2365</v>
      </c>
      <c r="AD404" s="813" t="s">
        <v>2365</v>
      </c>
      <c r="AE404" s="813" t="s">
        <v>2365</v>
      </c>
      <c r="AF404" t="s">
        <v>2365</v>
      </c>
      <c r="AG404" t="s">
        <v>2365</v>
      </c>
      <c r="AH404" t="s">
        <v>2365</v>
      </c>
      <c r="AI404" t="s">
        <v>2365</v>
      </c>
      <c r="AJ404" t="s">
        <v>2365</v>
      </c>
      <c r="AK404" t="s">
        <v>2365</v>
      </c>
      <c r="AL404" t="s">
        <v>2365</v>
      </c>
      <c r="AM404" t="s">
        <v>2365</v>
      </c>
      <c r="AN404" t="s">
        <v>2365</v>
      </c>
      <c r="AR404" t="s">
        <v>2365</v>
      </c>
      <c r="AS404" t="s">
        <v>2365</v>
      </c>
      <c r="AT404" t="s">
        <v>2365</v>
      </c>
      <c r="AU404" t="s">
        <v>2365</v>
      </c>
      <c r="AV404" t="s">
        <v>2365</v>
      </c>
      <c r="AW404" t="s">
        <v>2365</v>
      </c>
      <c r="AX404" t="s">
        <v>2365</v>
      </c>
      <c r="AY404" t="s">
        <v>2365</v>
      </c>
      <c r="AZ404" t="s">
        <v>2365</v>
      </c>
      <c r="BA404" t="s">
        <v>2365</v>
      </c>
      <c r="BB404" t="s">
        <v>2365</v>
      </c>
      <c r="BC404" t="s">
        <v>2365</v>
      </c>
      <c r="BD404" t="s">
        <v>2366</v>
      </c>
      <c r="BE404" t="s">
        <v>2365</v>
      </c>
      <c r="BF404" t="s">
        <v>2365</v>
      </c>
      <c r="BG404" t="s">
        <v>2365</v>
      </c>
      <c r="BH404" t="s">
        <v>2365</v>
      </c>
      <c r="BI404" t="s">
        <v>2366</v>
      </c>
      <c r="BJ404" t="s">
        <v>2365</v>
      </c>
      <c r="BK404" t="s">
        <v>2365</v>
      </c>
      <c r="BL404" t="s">
        <v>2365</v>
      </c>
      <c r="BM404" t="s">
        <v>2365</v>
      </c>
      <c r="BN404" t="s">
        <v>2177</v>
      </c>
      <c r="BP404">
        <v>0</v>
      </c>
      <c r="BQ404" t="s">
        <v>2365</v>
      </c>
      <c r="BR404" t="s">
        <v>1010</v>
      </c>
      <c r="BU404">
        <v>0</v>
      </c>
      <c r="BV404">
        <v>0</v>
      </c>
      <c r="BW404">
        <v>0</v>
      </c>
      <c r="BX404">
        <v>0</v>
      </c>
      <c r="BY404">
        <v>0</v>
      </c>
      <c r="BZ404">
        <v>0</v>
      </c>
      <c r="CA404">
        <v>0</v>
      </c>
      <c r="CB404">
        <v>0</v>
      </c>
      <c r="CC404">
        <v>0</v>
      </c>
      <c r="CD404">
        <v>2069.5</v>
      </c>
      <c r="CE404">
        <v>0</v>
      </c>
      <c r="CF404">
        <v>0</v>
      </c>
      <c r="CG404">
        <v>0</v>
      </c>
      <c r="CH404">
        <v>0</v>
      </c>
      <c r="CI404">
        <v>0</v>
      </c>
      <c r="CJ404">
        <v>0</v>
      </c>
      <c r="CK404">
        <v>0</v>
      </c>
      <c r="CL404">
        <v>0</v>
      </c>
      <c r="CM404">
        <v>0</v>
      </c>
      <c r="CR404" t="s">
        <v>2327</v>
      </c>
      <c r="CS404" s="1369" t="str">
        <f>INDEX([8]Sheet1!$H:$H,MATCH(CR:CR,[8]Sheet1!$AU:$AU,0))</f>
        <v>Education</v>
      </c>
    </row>
    <row r="405" spans="1:97" x14ac:dyDescent="0.2">
      <c r="A405" t="s">
        <v>2947</v>
      </c>
      <c r="B405">
        <v>458</v>
      </c>
      <c r="C405" t="s">
        <v>2947</v>
      </c>
      <c r="D405">
        <v>41099</v>
      </c>
      <c r="E405" t="s">
        <v>2461</v>
      </c>
      <c r="F405">
        <v>2000</v>
      </c>
      <c r="G405" t="s">
        <v>652</v>
      </c>
      <c r="H405" t="s">
        <v>2462</v>
      </c>
      <c r="I405" t="s">
        <v>203</v>
      </c>
      <c r="J405">
        <v>2001</v>
      </c>
      <c r="K405" t="s">
        <v>203</v>
      </c>
      <c r="L405">
        <v>4400</v>
      </c>
      <c r="M405" t="s">
        <v>631</v>
      </c>
      <c r="N405">
        <v>4403</v>
      </c>
      <c r="O405" t="s">
        <v>1557</v>
      </c>
      <c r="P405" t="s">
        <v>2366</v>
      </c>
      <c r="Q405" t="s">
        <v>2364</v>
      </c>
      <c r="R405" t="s">
        <v>2364</v>
      </c>
      <c r="S405" t="s">
        <v>1881</v>
      </c>
      <c r="T405" t="s">
        <v>1812</v>
      </c>
      <c r="U405" t="s">
        <v>2365</v>
      </c>
      <c r="V405" t="s">
        <v>2365</v>
      </c>
      <c r="W405" t="s">
        <v>2365</v>
      </c>
      <c r="X405" t="s">
        <v>2365</v>
      </c>
      <c r="Y405" t="s">
        <v>2365</v>
      </c>
      <c r="Z405" t="s">
        <v>2365</v>
      </c>
      <c r="AA405" t="s">
        <v>2365</v>
      </c>
      <c r="AB405" t="s">
        <v>2365</v>
      </c>
      <c r="AC405" s="813" t="s">
        <v>2365</v>
      </c>
      <c r="AD405" s="813" t="s">
        <v>2365</v>
      </c>
      <c r="AE405" s="813" t="s">
        <v>2365</v>
      </c>
      <c r="AF405" t="s">
        <v>2365</v>
      </c>
      <c r="AG405" t="s">
        <v>2365</v>
      </c>
      <c r="AH405" t="s">
        <v>2365</v>
      </c>
      <c r="AI405" t="s">
        <v>2365</v>
      </c>
      <c r="AJ405" t="s">
        <v>2365</v>
      </c>
      <c r="AK405" t="s">
        <v>2365</v>
      </c>
      <c r="AL405" t="s">
        <v>2365</v>
      </c>
      <c r="AM405" t="s">
        <v>2365</v>
      </c>
      <c r="AN405" t="s">
        <v>2365</v>
      </c>
      <c r="AR405" t="s">
        <v>2365</v>
      </c>
      <c r="AS405" t="s">
        <v>2365</v>
      </c>
      <c r="AT405" t="s">
        <v>2365</v>
      </c>
      <c r="AU405" t="s">
        <v>2365</v>
      </c>
      <c r="AV405" t="s">
        <v>2365</v>
      </c>
      <c r="AW405" t="s">
        <v>2365</v>
      </c>
      <c r="AX405" t="s">
        <v>2365</v>
      </c>
      <c r="AY405" t="s">
        <v>2365</v>
      </c>
      <c r="AZ405" t="s">
        <v>2365</v>
      </c>
      <c r="BA405" t="s">
        <v>2365</v>
      </c>
      <c r="BB405" t="s">
        <v>2365</v>
      </c>
      <c r="BC405" t="s">
        <v>2365</v>
      </c>
      <c r="BD405" t="s">
        <v>2366</v>
      </c>
      <c r="BE405" t="s">
        <v>2365</v>
      </c>
      <c r="BF405" t="s">
        <v>2365</v>
      </c>
      <c r="BG405" t="s">
        <v>2365</v>
      </c>
      <c r="BH405" t="s">
        <v>2365</v>
      </c>
      <c r="BI405" t="s">
        <v>2366</v>
      </c>
      <c r="BJ405" t="s">
        <v>2365</v>
      </c>
      <c r="BK405" t="s">
        <v>2365</v>
      </c>
      <c r="BL405" t="s">
        <v>2365</v>
      </c>
      <c r="BM405" t="s">
        <v>2365</v>
      </c>
      <c r="BN405" t="s">
        <v>2177</v>
      </c>
      <c r="BO405">
        <v>12</v>
      </c>
      <c r="BP405">
        <v>121</v>
      </c>
      <c r="BQ405" t="s">
        <v>1369</v>
      </c>
      <c r="BR405" t="s">
        <v>1557</v>
      </c>
      <c r="BU405">
        <v>1000000</v>
      </c>
      <c r="BV405">
        <v>0</v>
      </c>
      <c r="BW405">
        <v>1000000</v>
      </c>
      <c r="BX405">
        <v>0</v>
      </c>
      <c r="BY405">
        <v>1000000</v>
      </c>
      <c r="BZ405">
        <v>1040000</v>
      </c>
      <c r="CA405">
        <v>1081600</v>
      </c>
      <c r="CB405">
        <v>0</v>
      </c>
      <c r="CC405">
        <v>0</v>
      </c>
      <c r="CD405">
        <v>206950</v>
      </c>
      <c r="CE405">
        <v>174553.25</v>
      </c>
      <c r="CF405">
        <v>206229.25</v>
      </c>
      <c r="CG405">
        <v>208823.75</v>
      </c>
      <c r="CH405">
        <v>184956.25</v>
      </c>
      <c r="CI405">
        <v>0</v>
      </c>
      <c r="CJ405">
        <v>0</v>
      </c>
      <c r="CK405">
        <v>0</v>
      </c>
      <c r="CL405">
        <v>0</v>
      </c>
      <c r="CM405">
        <v>0</v>
      </c>
      <c r="CR405" t="s">
        <v>2327</v>
      </c>
      <c r="CS405" s="1369" t="str">
        <f>INDEX([8]Sheet1!$H:$H,MATCH(CR:CR,[8]Sheet1!$AU:$AU,0))</f>
        <v>Education</v>
      </c>
    </row>
    <row r="406" spans="1:97" x14ac:dyDescent="0.2">
      <c r="A406" t="s">
        <v>2948</v>
      </c>
      <c r="B406">
        <v>459</v>
      </c>
      <c r="C406" t="s">
        <v>2948</v>
      </c>
      <c r="D406">
        <v>41100</v>
      </c>
      <c r="E406" t="s">
        <v>2461</v>
      </c>
      <c r="F406">
        <v>2000</v>
      </c>
      <c r="G406" t="s">
        <v>652</v>
      </c>
      <c r="H406" t="s">
        <v>2462</v>
      </c>
      <c r="I406" t="s">
        <v>203</v>
      </c>
      <c r="J406">
        <v>2001</v>
      </c>
      <c r="K406" t="s">
        <v>203</v>
      </c>
      <c r="L406">
        <v>4400</v>
      </c>
      <c r="M406" t="s">
        <v>631</v>
      </c>
      <c r="N406">
        <v>4404</v>
      </c>
      <c r="O406" t="s">
        <v>1558</v>
      </c>
      <c r="P406" t="s">
        <v>2366</v>
      </c>
      <c r="Q406" t="s">
        <v>2364</v>
      </c>
      <c r="R406" t="s">
        <v>2364</v>
      </c>
      <c r="S406" t="s">
        <v>1881</v>
      </c>
      <c r="T406" t="s">
        <v>1812</v>
      </c>
      <c r="U406" t="s">
        <v>2365</v>
      </c>
      <c r="V406" t="s">
        <v>2365</v>
      </c>
      <c r="W406" t="s">
        <v>2365</v>
      </c>
      <c r="X406" t="s">
        <v>2365</v>
      </c>
      <c r="Y406" t="s">
        <v>2365</v>
      </c>
      <c r="Z406" t="s">
        <v>2365</v>
      </c>
      <c r="AA406" t="s">
        <v>2365</v>
      </c>
      <c r="AB406" t="s">
        <v>2365</v>
      </c>
      <c r="AC406" s="813" t="s">
        <v>2365</v>
      </c>
      <c r="AD406" s="813" t="s">
        <v>2365</v>
      </c>
      <c r="AE406" s="813" t="s">
        <v>2365</v>
      </c>
      <c r="AF406" t="s">
        <v>2365</v>
      </c>
      <c r="AG406" t="s">
        <v>2365</v>
      </c>
      <c r="AH406" t="s">
        <v>2365</v>
      </c>
      <c r="AI406" t="s">
        <v>2365</v>
      </c>
      <c r="AJ406" t="s">
        <v>2365</v>
      </c>
      <c r="AK406" t="s">
        <v>2365</v>
      </c>
      <c r="AL406" t="s">
        <v>2365</v>
      </c>
      <c r="AM406" t="s">
        <v>2365</v>
      </c>
      <c r="AN406" t="s">
        <v>2365</v>
      </c>
      <c r="AR406" t="s">
        <v>2365</v>
      </c>
      <c r="AS406" t="s">
        <v>2365</v>
      </c>
      <c r="AT406" t="s">
        <v>2365</v>
      </c>
      <c r="AU406" t="s">
        <v>2365</v>
      </c>
      <c r="AV406" t="s">
        <v>2365</v>
      </c>
      <c r="AW406" t="s">
        <v>2365</v>
      </c>
      <c r="AX406" t="s">
        <v>2365</v>
      </c>
      <c r="AY406" t="s">
        <v>2365</v>
      </c>
      <c r="AZ406" t="s">
        <v>2365</v>
      </c>
      <c r="BA406" t="s">
        <v>2365</v>
      </c>
      <c r="BB406" t="s">
        <v>2365</v>
      </c>
      <c r="BC406" t="s">
        <v>2365</v>
      </c>
      <c r="BD406" t="s">
        <v>2366</v>
      </c>
      <c r="BE406" t="s">
        <v>2365</v>
      </c>
      <c r="BF406" t="s">
        <v>2365</v>
      </c>
      <c r="BG406" t="s">
        <v>2365</v>
      </c>
      <c r="BH406" t="s">
        <v>2365</v>
      </c>
      <c r="BI406" t="s">
        <v>2366</v>
      </c>
      <c r="BJ406" t="s">
        <v>2365</v>
      </c>
      <c r="BK406" t="s">
        <v>2365</v>
      </c>
      <c r="BL406" t="s">
        <v>2365</v>
      </c>
      <c r="BM406" t="s">
        <v>2365</v>
      </c>
      <c r="BN406" t="s">
        <v>2177</v>
      </c>
      <c r="BO406">
        <v>12</v>
      </c>
      <c r="BP406">
        <v>122</v>
      </c>
      <c r="BQ406" t="s">
        <v>1369</v>
      </c>
      <c r="BR406" t="s">
        <v>1558</v>
      </c>
      <c r="BU406">
        <v>0</v>
      </c>
      <c r="BV406">
        <v>0</v>
      </c>
      <c r="BW406">
        <v>0</v>
      </c>
      <c r="BX406">
        <v>0</v>
      </c>
      <c r="BY406">
        <v>0</v>
      </c>
      <c r="BZ406">
        <v>0</v>
      </c>
      <c r="CA406">
        <v>0</v>
      </c>
      <c r="CB406">
        <v>0</v>
      </c>
      <c r="CC406">
        <v>0</v>
      </c>
      <c r="CD406">
        <v>0</v>
      </c>
      <c r="CE406">
        <v>0</v>
      </c>
      <c r="CF406">
        <v>0</v>
      </c>
      <c r="CG406">
        <v>0</v>
      </c>
      <c r="CH406">
        <v>0</v>
      </c>
      <c r="CI406">
        <v>0</v>
      </c>
      <c r="CJ406">
        <v>0</v>
      </c>
      <c r="CK406">
        <v>0</v>
      </c>
      <c r="CL406">
        <v>0</v>
      </c>
      <c r="CM406">
        <v>0</v>
      </c>
      <c r="CR406" t="s">
        <v>2327</v>
      </c>
      <c r="CS406" s="1369" t="str">
        <f>INDEX([8]Sheet1!$H:$H,MATCH(CR:CR,[8]Sheet1!$AU:$AU,0))</f>
        <v>Education</v>
      </c>
    </row>
    <row r="407" spans="1:97" x14ac:dyDescent="0.2">
      <c r="A407" t="s">
        <v>2949</v>
      </c>
      <c r="B407">
        <v>460</v>
      </c>
      <c r="C407" t="s">
        <v>2949</v>
      </c>
      <c r="D407">
        <v>41101</v>
      </c>
      <c r="E407" t="s">
        <v>2461</v>
      </c>
      <c r="F407">
        <v>2000</v>
      </c>
      <c r="G407" t="s">
        <v>652</v>
      </c>
      <c r="H407" t="s">
        <v>2462</v>
      </c>
      <c r="I407" t="s">
        <v>203</v>
      </c>
      <c r="J407">
        <v>2001</v>
      </c>
      <c r="K407" t="s">
        <v>203</v>
      </c>
      <c r="L407">
        <v>2200</v>
      </c>
      <c r="M407" t="s">
        <v>619</v>
      </c>
      <c r="N407">
        <v>2205</v>
      </c>
      <c r="O407" t="s">
        <v>1517</v>
      </c>
      <c r="P407" t="s">
        <v>2366</v>
      </c>
      <c r="Q407" t="s">
        <v>2364</v>
      </c>
      <c r="R407" t="s">
        <v>2364</v>
      </c>
      <c r="S407" t="s">
        <v>1881</v>
      </c>
      <c r="T407" t="s">
        <v>1812</v>
      </c>
      <c r="U407" t="s">
        <v>2365</v>
      </c>
      <c r="V407" t="s">
        <v>2365</v>
      </c>
      <c r="W407" t="s">
        <v>2365</v>
      </c>
      <c r="X407" t="s">
        <v>2365</v>
      </c>
      <c r="Y407" t="s">
        <v>2365</v>
      </c>
      <c r="Z407" t="s">
        <v>2365</v>
      </c>
      <c r="AA407" t="s">
        <v>2365</v>
      </c>
      <c r="AB407" t="s">
        <v>2365</v>
      </c>
      <c r="AC407" s="813" t="s">
        <v>2365</v>
      </c>
      <c r="AD407" s="813" t="s">
        <v>2365</v>
      </c>
      <c r="AE407" s="813" t="s">
        <v>2365</v>
      </c>
      <c r="AF407" t="s">
        <v>2365</v>
      </c>
      <c r="AG407" t="s">
        <v>2365</v>
      </c>
      <c r="AH407" t="s">
        <v>2365</v>
      </c>
      <c r="AI407" t="s">
        <v>2365</v>
      </c>
      <c r="AJ407" t="s">
        <v>2365</v>
      </c>
      <c r="AK407" t="s">
        <v>2365</v>
      </c>
      <c r="AL407" t="s">
        <v>2365</v>
      </c>
      <c r="AM407" t="s">
        <v>2365</v>
      </c>
      <c r="AN407" t="s">
        <v>2365</v>
      </c>
      <c r="AR407" t="s">
        <v>2365</v>
      </c>
      <c r="AS407" t="s">
        <v>2365</v>
      </c>
      <c r="AT407" t="s">
        <v>2365</v>
      </c>
      <c r="AU407" t="s">
        <v>2365</v>
      </c>
      <c r="AV407" t="s">
        <v>2365</v>
      </c>
      <c r="AW407" t="s">
        <v>2365</v>
      </c>
      <c r="AX407" t="s">
        <v>2365</v>
      </c>
      <c r="AY407" t="s">
        <v>2365</v>
      </c>
      <c r="AZ407" t="s">
        <v>2365</v>
      </c>
      <c r="BA407" t="s">
        <v>2365</v>
      </c>
      <c r="BB407" t="s">
        <v>2365</v>
      </c>
      <c r="BC407" t="s">
        <v>2365</v>
      </c>
      <c r="BD407" t="s">
        <v>2366</v>
      </c>
      <c r="BE407" t="s">
        <v>2365</v>
      </c>
      <c r="BF407" t="s">
        <v>2365</v>
      </c>
      <c r="BG407" t="s">
        <v>2365</v>
      </c>
      <c r="BH407" t="s">
        <v>2365</v>
      </c>
      <c r="BI407" t="s">
        <v>2366</v>
      </c>
      <c r="BJ407" t="s">
        <v>2365</v>
      </c>
      <c r="BK407" t="s">
        <v>2365</v>
      </c>
      <c r="BL407" t="s">
        <v>2365</v>
      </c>
      <c r="BM407" t="s">
        <v>2365</v>
      </c>
      <c r="BN407" t="s">
        <v>2177</v>
      </c>
      <c r="BO407">
        <v>9</v>
      </c>
      <c r="BP407">
        <v>91</v>
      </c>
      <c r="BQ407" t="s">
        <v>265</v>
      </c>
      <c r="BR407" t="s">
        <v>1517</v>
      </c>
      <c r="BU407">
        <v>0</v>
      </c>
      <c r="BV407">
        <v>0</v>
      </c>
      <c r="BW407">
        <v>0</v>
      </c>
      <c r="BX407">
        <v>0</v>
      </c>
      <c r="BY407">
        <v>0</v>
      </c>
      <c r="BZ407">
        <v>0</v>
      </c>
      <c r="CA407">
        <v>0</v>
      </c>
      <c r="CB407">
        <v>0</v>
      </c>
      <c r="CC407">
        <v>0</v>
      </c>
      <c r="CD407">
        <v>0</v>
      </c>
      <c r="CE407">
        <v>0</v>
      </c>
      <c r="CF407">
        <v>0</v>
      </c>
      <c r="CG407">
        <v>0</v>
      </c>
      <c r="CH407">
        <v>0</v>
      </c>
      <c r="CI407">
        <v>0</v>
      </c>
      <c r="CJ407">
        <v>0</v>
      </c>
      <c r="CK407">
        <v>0</v>
      </c>
      <c r="CL407">
        <v>0</v>
      </c>
      <c r="CM407">
        <v>0</v>
      </c>
      <c r="CR407" t="s">
        <v>2327</v>
      </c>
      <c r="CS407" s="1369" t="str">
        <f>INDEX([8]Sheet1!$H:$H,MATCH(CR:CR,[8]Sheet1!$AU:$AU,0))</f>
        <v>Education</v>
      </c>
    </row>
    <row r="408" spans="1:97" x14ac:dyDescent="0.2">
      <c r="A408" t="s">
        <v>2950</v>
      </c>
      <c r="B408">
        <v>461</v>
      </c>
      <c r="C408" t="s">
        <v>2950</v>
      </c>
      <c r="D408">
        <v>41102</v>
      </c>
      <c r="E408" t="s">
        <v>2461</v>
      </c>
      <c r="F408">
        <v>2000</v>
      </c>
      <c r="G408" t="s">
        <v>652</v>
      </c>
      <c r="H408" t="s">
        <v>2462</v>
      </c>
      <c r="I408" t="s">
        <v>203</v>
      </c>
      <c r="J408">
        <v>2001</v>
      </c>
      <c r="K408" t="s">
        <v>203</v>
      </c>
      <c r="L408">
        <v>5000</v>
      </c>
      <c r="M408" t="s">
        <v>632</v>
      </c>
      <c r="N408">
        <v>5006</v>
      </c>
      <c r="O408" t="s">
        <v>1010</v>
      </c>
      <c r="P408" t="s">
        <v>2366</v>
      </c>
      <c r="Q408" t="s">
        <v>2364</v>
      </c>
      <c r="R408" t="s">
        <v>2364</v>
      </c>
      <c r="S408" t="s">
        <v>1881</v>
      </c>
      <c r="T408" t="s">
        <v>1812</v>
      </c>
      <c r="U408" t="s">
        <v>2365</v>
      </c>
      <c r="V408" t="s">
        <v>2365</v>
      </c>
      <c r="W408" t="s">
        <v>2365</v>
      </c>
      <c r="X408" t="s">
        <v>2365</v>
      </c>
      <c r="Y408" t="s">
        <v>2365</v>
      </c>
      <c r="Z408" t="s">
        <v>2365</v>
      </c>
      <c r="AA408" t="s">
        <v>2365</v>
      </c>
      <c r="AB408" t="s">
        <v>2365</v>
      </c>
      <c r="AC408" s="813" t="s">
        <v>2365</v>
      </c>
      <c r="AD408" s="813" t="s">
        <v>2365</v>
      </c>
      <c r="AE408" s="813" t="s">
        <v>2365</v>
      </c>
      <c r="AF408" t="s">
        <v>2365</v>
      </c>
      <c r="AG408" t="s">
        <v>2365</v>
      </c>
      <c r="AH408" t="s">
        <v>2365</v>
      </c>
      <c r="AI408" t="s">
        <v>2365</v>
      </c>
      <c r="AJ408" t="s">
        <v>2365</v>
      </c>
      <c r="AK408" t="s">
        <v>2365</v>
      </c>
      <c r="AL408" t="s">
        <v>2365</v>
      </c>
      <c r="AM408" t="s">
        <v>2365</v>
      </c>
      <c r="AN408" t="s">
        <v>2365</v>
      </c>
      <c r="AR408" t="s">
        <v>2365</v>
      </c>
      <c r="AS408" t="s">
        <v>2365</v>
      </c>
      <c r="AT408" t="s">
        <v>2365</v>
      </c>
      <c r="AU408" t="s">
        <v>2365</v>
      </c>
      <c r="AV408" t="s">
        <v>2365</v>
      </c>
      <c r="AW408" t="s">
        <v>2365</v>
      </c>
      <c r="AX408" t="s">
        <v>2365</v>
      </c>
      <c r="AY408" t="s">
        <v>2365</v>
      </c>
      <c r="AZ408" t="s">
        <v>2365</v>
      </c>
      <c r="BA408" t="s">
        <v>2365</v>
      </c>
      <c r="BB408" t="s">
        <v>2365</v>
      </c>
      <c r="BC408" t="s">
        <v>2365</v>
      </c>
      <c r="BD408" t="s">
        <v>2366</v>
      </c>
      <c r="BE408" t="s">
        <v>2365</v>
      </c>
      <c r="BF408" t="s">
        <v>2365</v>
      </c>
      <c r="BG408" t="s">
        <v>2365</v>
      </c>
      <c r="BH408" t="s">
        <v>2365</v>
      </c>
      <c r="BI408" t="s">
        <v>2366</v>
      </c>
      <c r="BJ408" t="s">
        <v>2365</v>
      </c>
      <c r="BK408" t="s">
        <v>2365</v>
      </c>
      <c r="BL408" t="s">
        <v>2365</v>
      </c>
      <c r="BM408" t="s">
        <v>2365</v>
      </c>
      <c r="BN408" t="s">
        <v>2177</v>
      </c>
      <c r="BP408">
        <v>0</v>
      </c>
      <c r="BQ408" t="s">
        <v>2365</v>
      </c>
      <c r="BR408" t="s">
        <v>1010</v>
      </c>
      <c r="BU408">
        <v>0</v>
      </c>
      <c r="BV408">
        <v>0</v>
      </c>
      <c r="BW408">
        <v>0</v>
      </c>
      <c r="BX408">
        <v>0</v>
      </c>
      <c r="BY408">
        <v>0</v>
      </c>
      <c r="BZ408">
        <v>0</v>
      </c>
      <c r="CA408">
        <v>0</v>
      </c>
      <c r="CB408">
        <v>0</v>
      </c>
      <c r="CC408">
        <v>331179</v>
      </c>
      <c r="CD408">
        <v>0</v>
      </c>
      <c r="CE408">
        <v>0</v>
      </c>
      <c r="CF408">
        <v>0</v>
      </c>
      <c r="CG408">
        <v>0</v>
      </c>
      <c r="CH408">
        <v>0</v>
      </c>
      <c r="CI408">
        <v>0</v>
      </c>
      <c r="CJ408">
        <v>0</v>
      </c>
      <c r="CK408">
        <v>0</v>
      </c>
      <c r="CL408">
        <v>0</v>
      </c>
      <c r="CM408">
        <v>0</v>
      </c>
      <c r="CR408" t="s">
        <v>2327</v>
      </c>
      <c r="CS408" s="1369" t="str">
        <f>INDEX([8]Sheet1!$H:$H,MATCH(CR:CR,[8]Sheet1!$AU:$AU,0))</f>
        <v>Education</v>
      </c>
    </row>
    <row r="409" spans="1:97" x14ac:dyDescent="0.2">
      <c r="A409" t="s">
        <v>2951</v>
      </c>
      <c r="B409">
        <v>462</v>
      </c>
      <c r="C409" t="s">
        <v>2951</v>
      </c>
      <c r="D409">
        <v>41106</v>
      </c>
      <c r="E409" t="s">
        <v>2952</v>
      </c>
      <c r="F409">
        <v>2700</v>
      </c>
      <c r="G409" t="s">
        <v>656</v>
      </c>
      <c r="H409" t="s">
        <v>2428</v>
      </c>
      <c r="I409" t="s">
        <v>1800</v>
      </c>
      <c r="J409">
        <v>2701</v>
      </c>
      <c r="K409" t="s">
        <v>1800</v>
      </c>
      <c r="L409">
        <v>5000</v>
      </c>
      <c r="M409" t="s">
        <v>632</v>
      </c>
      <c r="N409">
        <v>5006</v>
      </c>
      <c r="O409" t="s">
        <v>1010</v>
      </c>
      <c r="P409" t="s">
        <v>2366</v>
      </c>
      <c r="Q409" t="s">
        <v>2364</v>
      </c>
      <c r="R409" t="s">
        <v>2364</v>
      </c>
      <c r="S409" t="s">
        <v>1881</v>
      </c>
      <c r="T409" t="s">
        <v>1812</v>
      </c>
      <c r="U409" t="s">
        <v>2365</v>
      </c>
      <c r="V409" t="s">
        <v>2365</v>
      </c>
      <c r="W409" t="s">
        <v>2365</v>
      </c>
      <c r="X409" t="s">
        <v>2365</v>
      </c>
      <c r="Y409" t="s">
        <v>2365</v>
      </c>
      <c r="Z409" t="s">
        <v>2365</v>
      </c>
      <c r="AA409" t="s">
        <v>2365</v>
      </c>
      <c r="AB409" t="s">
        <v>2365</v>
      </c>
      <c r="AC409" s="813" t="s">
        <v>2365</v>
      </c>
      <c r="AD409" s="813" t="s">
        <v>2365</v>
      </c>
      <c r="AE409" s="813" t="s">
        <v>2365</v>
      </c>
      <c r="AF409" t="s">
        <v>2365</v>
      </c>
      <c r="AG409" t="s">
        <v>2365</v>
      </c>
      <c r="AH409" t="s">
        <v>2365</v>
      </c>
      <c r="AI409" t="s">
        <v>2365</v>
      </c>
      <c r="AJ409" t="s">
        <v>2365</v>
      </c>
      <c r="AK409" t="s">
        <v>2365</v>
      </c>
      <c r="AL409" t="s">
        <v>2365</v>
      </c>
      <c r="AM409" t="s">
        <v>2365</v>
      </c>
      <c r="AN409" t="s">
        <v>2365</v>
      </c>
      <c r="AR409" t="s">
        <v>2365</v>
      </c>
      <c r="AS409" t="s">
        <v>2365</v>
      </c>
      <c r="AT409" t="s">
        <v>2365</v>
      </c>
      <c r="AU409" t="s">
        <v>2365</v>
      </c>
      <c r="AV409" t="s">
        <v>2365</v>
      </c>
      <c r="AW409" t="s">
        <v>2365</v>
      </c>
      <c r="AX409" t="s">
        <v>2365</v>
      </c>
      <c r="AY409" t="s">
        <v>2365</v>
      </c>
      <c r="AZ409" t="s">
        <v>2365</v>
      </c>
      <c r="BA409" t="s">
        <v>2365</v>
      </c>
      <c r="BB409" t="s">
        <v>2365</v>
      </c>
      <c r="BC409" t="s">
        <v>2365</v>
      </c>
      <c r="BD409" t="s">
        <v>2366</v>
      </c>
      <c r="BE409" t="s">
        <v>2365</v>
      </c>
      <c r="BF409" t="s">
        <v>2365</v>
      </c>
      <c r="BG409" t="s">
        <v>2365</v>
      </c>
      <c r="BH409" t="s">
        <v>2365</v>
      </c>
      <c r="BI409" t="s">
        <v>2366</v>
      </c>
      <c r="BJ409" t="s">
        <v>2365</v>
      </c>
      <c r="BK409" t="s">
        <v>2365</v>
      </c>
      <c r="BL409" t="s">
        <v>2365</v>
      </c>
      <c r="BM409" t="s">
        <v>2365</v>
      </c>
      <c r="BP409">
        <v>0</v>
      </c>
      <c r="BQ409" t="s">
        <v>2365</v>
      </c>
      <c r="BR409" t="s">
        <v>1010</v>
      </c>
      <c r="BU409">
        <v>0</v>
      </c>
      <c r="BV409">
        <v>0</v>
      </c>
      <c r="BW409">
        <v>0</v>
      </c>
      <c r="BX409">
        <v>0</v>
      </c>
      <c r="BY409">
        <v>0</v>
      </c>
      <c r="BZ409">
        <v>0</v>
      </c>
      <c r="CA409">
        <v>0</v>
      </c>
      <c r="CB409">
        <v>0</v>
      </c>
      <c r="CC409">
        <v>0</v>
      </c>
      <c r="CD409">
        <v>0</v>
      </c>
      <c r="CE409">
        <v>0</v>
      </c>
      <c r="CF409">
        <v>0</v>
      </c>
      <c r="CG409">
        <v>0</v>
      </c>
      <c r="CH409">
        <v>0</v>
      </c>
      <c r="CI409">
        <v>0</v>
      </c>
      <c r="CJ409">
        <v>0</v>
      </c>
      <c r="CK409">
        <v>0</v>
      </c>
      <c r="CL409">
        <v>0</v>
      </c>
      <c r="CM409">
        <v>0</v>
      </c>
      <c r="CR409" t="s">
        <v>2327</v>
      </c>
      <c r="CS409" s="1369" t="str">
        <f>INDEX([8]Sheet1!$H:$H,MATCH(CR:CR,[8]Sheet1!$AU:$AU,0))</f>
        <v>Education</v>
      </c>
    </row>
    <row r="410" spans="1:97" x14ac:dyDescent="0.2">
      <c r="A410" t="s">
        <v>2953</v>
      </c>
      <c r="B410">
        <v>463</v>
      </c>
      <c r="C410" t="s">
        <v>2953</v>
      </c>
      <c r="D410">
        <v>41107</v>
      </c>
      <c r="E410" t="s">
        <v>2427</v>
      </c>
      <c r="F410">
        <v>2700</v>
      </c>
      <c r="G410" t="s">
        <v>656</v>
      </c>
      <c r="H410" t="s">
        <v>2428</v>
      </c>
      <c r="I410" t="s">
        <v>1800</v>
      </c>
      <c r="J410">
        <v>2701</v>
      </c>
      <c r="K410" t="s">
        <v>1800</v>
      </c>
      <c r="L410">
        <v>4400</v>
      </c>
      <c r="M410" t="s">
        <v>631</v>
      </c>
      <c r="N410">
        <v>4403</v>
      </c>
      <c r="O410" t="s">
        <v>1557</v>
      </c>
      <c r="P410" t="s">
        <v>2366</v>
      </c>
      <c r="Q410" t="s">
        <v>2364</v>
      </c>
      <c r="R410" t="s">
        <v>2364</v>
      </c>
      <c r="S410" t="s">
        <v>1881</v>
      </c>
      <c r="T410" t="s">
        <v>1812</v>
      </c>
      <c r="U410" t="s">
        <v>2365</v>
      </c>
      <c r="V410" t="s">
        <v>2365</v>
      </c>
      <c r="W410" t="s">
        <v>2365</v>
      </c>
      <c r="X410" t="s">
        <v>2365</v>
      </c>
      <c r="Y410" t="s">
        <v>2365</v>
      </c>
      <c r="Z410" t="s">
        <v>2365</v>
      </c>
      <c r="AA410" t="s">
        <v>2365</v>
      </c>
      <c r="AB410" t="s">
        <v>2365</v>
      </c>
      <c r="AC410" s="813" t="s">
        <v>2365</v>
      </c>
      <c r="AD410" s="813" t="s">
        <v>2365</v>
      </c>
      <c r="AE410" s="813" t="s">
        <v>2365</v>
      </c>
      <c r="AF410" t="s">
        <v>2365</v>
      </c>
      <c r="AG410" t="s">
        <v>2365</v>
      </c>
      <c r="AH410" t="s">
        <v>2365</v>
      </c>
      <c r="AI410" t="s">
        <v>2365</v>
      </c>
      <c r="AJ410" t="s">
        <v>2365</v>
      </c>
      <c r="AK410" t="s">
        <v>2365</v>
      </c>
      <c r="AL410" t="s">
        <v>2365</v>
      </c>
      <c r="AM410" t="s">
        <v>2365</v>
      </c>
      <c r="AN410" t="s">
        <v>2365</v>
      </c>
      <c r="AR410" t="s">
        <v>2365</v>
      </c>
      <c r="AS410" t="s">
        <v>2365</v>
      </c>
      <c r="AT410" t="s">
        <v>2365</v>
      </c>
      <c r="AU410" t="s">
        <v>2365</v>
      </c>
      <c r="AV410" t="s">
        <v>2365</v>
      </c>
      <c r="AW410" t="s">
        <v>2365</v>
      </c>
      <c r="AX410" t="s">
        <v>2365</v>
      </c>
      <c r="AY410" t="s">
        <v>2365</v>
      </c>
      <c r="AZ410" t="s">
        <v>2365</v>
      </c>
      <c r="BA410" t="s">
        <v>2365</v>
      </c>
      <c r="BB410" t="s">
        <v>2365</v>
      </c>
      <c r="BC410" t="s">
        <v>2365</v>
      </c>
      <c r="BD410" t="s">
        <v>2366</v>
      </c>
      <c r="BE410" t="s">
        <v>2365</v>
      </c>
      <c r="BF410" t="s">
        <v>2365</v>
      </c>
      <c r="BG410" t="s">
        <v>2365</v>
      </c>
      <c r="BH410" t="s">
        <v>2365</v>
      </c>
      <c r="BI410" t="s">
        <v>2366</v>
      </c>
      <c r="BJ410" t="s">
        <v>2365</v>
      </c>
      <c r="BK410" t="s">
        <v>2365</v>
      </c>
      <c r="BL410" t="s">
        <v>2365</v>
      </c>
      <c r="BM410" t="s">
        <v>2365</v>
      </c>
      <c r="BO410">
        <v>12</v>
      </c>
      <c r="BP410">
        <v>121</v>
      </c>
      <c r="BQ410" t="s">
        <v>1369</v>
      </c>
      <c r="BR410" t="s">
        <v>1557</v>
      </c>
      <c r="BU410">
        <v>0</v>
      </c>
      <c r="BV410">
        <v>0</v>
      </c>
      <c r="BW410">
        <v>0</v>
      </c>
      <c r="BX410">
        <v>0</v>
      </c>
      <c r="BY410">
        <v>0</v>
      </c>
      <c r="BZ410">
        <v>0</v>
      </c>
      <c r="CA410">
        <v>0</v>
      </c>
      <c r="CB410">
        <v>0</v>
      </c>
      <c r="CC410">
        <v>0</v>
      </c>
      <c r="CD410">
        <v>0</v>
      </c>
      <c r="CE410">
        <v>0</v>
      </c>
      <c r="CF410">
        <v>5500</v>
      </c>
      <c r="CG410">
        <v>0</v>
      </c>
      <c r="CH410">
        <v>0</v>
      </c>
      <c r="CI410">
        <v>0</v>
      </c>
      <c r="CJ410">
        <v>0</v>
      </c>
      <c r="CK410">
        <v>0</v>
      </c>
      <c r="CL410">
        <v>0</v>
      </c>
      <c r="CM410">
        <v>0</v>
      </c>
      <c r="CR410" t="s">
        <v>2327</v>
      </c>
      <c r="CS410" s="1369" t="str">
        <f>INDEX([8]Sheet1!$H:$H,MATCH(CR:CR,[8]Sheet1!$AU:$AU,0))</f>
        <v>Education</v>
      </c>
    </row>
    <row r="411" spans="1:97" x14ac:dyDescent="0.2">
      <c r="A411" t="s">
        <v>2954</v>
      </c>
      <c r="B411">
        <v>464</v>
      </c>
      <c r="C411" t="s">
        <v>2954</v>
      </c>
      <c r="D411">
        <v>41111</v>
      </c>
      <c r="E411" t="s">
        <v>2430</v>
      </c>
      <c r="F411">
        <v>2700</v>
      </c>
      <c r="G411" t="s">
        <v>656</v>
      </c>
      <c r="H411" t="s">
        <v>2428</v>
      </c>
      <c r="I411" t="s">
        <v>1800</v>
      </c>
      <c r="J411">
        <v>2701</v>
      </c>
      <c r="K411" t="s">
        <v>1800</v>
      </c>
      <c r="L411">
        <v>4400</v>
      </c>
      <c r="M411" t="s">
        <v>631</v>
      </c>
      <c r="N411">
        <v>4403</v>
      </c>
      <c r="O411" t="s">
        <v>1557</v>
      </c>
      <c r="P411" t="s">
        <v>2366</v>
      </c>
      <c r="Q411" t="s">
        <v>2364</v>
      </c>
      <c r="R411" t="s">
        <v>2364</v>
      </c>
      <c r="S411" t="s">
        <v>1881</v>
      </c>
      <c r="T411" t="s">
        <v>1812</v>
      </c>
      <c r="U411" t="s">
        <v>2365</v>
      </c>
      <c r="V411" t="s">
        <v>2365</v>
      </c>
      <c r="W411" t="s">
        <v>2365</v>
      </c>
      <c r="X411" t="s">
        <v>2365</v>
      </c>
      <c r="Y411" t="s">
        <v>2365</v>
      </c>
      <c r="Z411" t="s">
        <v>2365</v>
      </c>
      <c r="AA411" t="s">
        <v>2365</v>
      </c>
      <c r="AB411" t="s">
        <v>2365</v>
      </c>
      <c r="AC411" s="813" t="s">
        <v>2365</v>
      </c>
      <c r="AD411" s="813" t="s">
        <v>2365</v>
      </c>
      <c r="AE411" s="813" t="s">
        <v>2365</v>
      </c>
      <c r="AF411" t="s">
        <v>2365</v>
      </c>
      <c r="AG411" t="s">
        <v>2365</v>
      </c>
      <c r="AH411" t="s">
        <v>2365</v>
      </c>
      <c r="AI411" t="s">
        <v>2365</v>
      </c>
      <c r="AJ411" t="s">
        <v>2365</v>
      </c>
      <c r="AK411" t="s">
        <v>2365</v>
      </c>
      <c r="AL411" t="s">
        <v>2365</v>
      </c>
      <c r="AM411" t="s">
        <v>2365</v>
      </c>
      <c r="AN411" t="s">
        <v>2365</v>
      </c>
      <c r="AR411" t="s">
        <v>2365</v>
      </c>
      <c r="AS411" t="s">
        <v>2365</v>
      </c>
      <c r="AT411" t="s">
        <v>2365</v>
      </c>
      <c r="AU411" t="s">
        <v>2365</v>
      </c>
      <c r="AV411" t="s">
        <v>2365</v>
      </c>
      <c r="AW411" t="s">
        <v>2365</v>
      </c>
      <c r="AX411" t="s">
        <v>2365</v>
      </c>
      <c r="AY411" t="s">
        <v>2365</v>
      </c>
      <c r="AZ411" t="s">
        <v>2365</v>
      </c>
      <c r="BA411" t="s">
        <v>2365</v>
      </c>
      <c r="BB411" t="s">
        <v>2365</v>
      </c>
      <c r="BC411" t="s">
        <v>2365</v>
      </c>
      <c r="BD411" t="s">
        <v>2366</v>
      </c>
      <c r="BE411" t="s">
        <v>2365</v>
      </c>
      <c r="BF411" t="s">
        <v>2365</v>
      </c>
      <c r="BG411" t="s">
        <v>2365</v>
      </c>
      <c r="BH411" t="s">
        <v>2365</v>
      </c>
      <c r="BI411" t="s">
        <v>2366</v>
      </c>
      <c r="BJ411" t="s">
        <v>2365</v>
      </c>
      <c r="BK411" t="s">
        <v>2365</v>
      </c>
      <c r="BL411" t="s">
        <v>2365</v>
      </c>
      <c r="BM411" t="s">
        <v>2365</v>
      </c>
      <c r="BO411">
        <v>12</v>
      </c>
      <c r="BP411">
        <v>121</v>
      </c>
      <c r="BQ411" t="s">
        <v>1369</v>
      </c>
      <c r="BR411" t="s">
        <v>1557</v>
      </c>
      <c r="BU411">
        <v>0</v>
      </c>
      <c r="BV411">
        <v>0</v>
      </c>
      <c r="BW411">
        <v>0</v>
      </c>
      <c r="BX411">
        <v>0</v>
      </c>
      <c r="BY411">
        <v>0</v>
      </c>
      <c r="BZ411">
        <v>0</v>
      </c>
      <c r="CA411">
        <v>0</v>
      </c>
      <c r="CB411">
        <v>0</v>
      </c>
      <c r="CC411">
        <v>0</v>
      </c>
      <c r="CD411">
        <v>0</v>
      </c>
      <c r="CE411">
        <v>0</v>
      </c>
      <c r="CF411">
        <v>0</v>
      </c>
      <c r="CG411">
        <v>0</v>
      </c>
      <c r="CH411">
        <v>0</v>
      </c>
      <c r="CI411">
        <v>0</v>
      </c>
      <c r="CJ411">
        <v>0</v>
      </c>
      <c r="CK411">
        <v>0</v>
      </c>
      <c r="CL411">
        <v>0</v>
      </c>
      <c r="CM411">
        <v>0</v>
      </c>
      <c r="CR411" t="s">
        <v>2327</v>
      </c>
      <c r="CS411" s="1369" t="str">
        <f>INDEX([8]Sheet1!$H:$H,MATCH(CR:CR,[8]Sheet1!$AU:$AU,0))</f>
        <v>Education</v>
      </c>
    </row>
    <row r="412" spans="1:97" x14ac:dyDescent="0.2">
      <c r="A412" t="s">
        <v>2955</v>
      </c>
      <c r="B412">
        <v>465</v>
      </c>
      <c r="C412" t="s">
        <v>2955</v>
      </c>
      <c r="D412">
        <v>41115</v>
      </c>
      <c r="E412" t="s">
        <v>2615</v>
      </c>
      <c r="F412">
        <v>2700</v>
      </c>
      <c r="G412" t="s">
        <v>656</v>
      </c>
      <c r="H412" t="s">
        <v>2478</v>
      </c>
      <c r="I412" t="s">
        <v>1802</v>
      </c>
      <c r="J412">
        <v>2703</v>
      </c>
      <c r="K412" t="s">
        <v>1802</v>
      </c>
      <c r="L412">
        <v>4400</v>
      </c>
      <c r="M412" t="s">
        <v>631</v>
      </c>
      <c r="N412">
        <v>4403</v>
      </c>
      <c r="O412" t="s">
        <v>1557</v>
      </c>
      <c r="P412" t="s">
        <v>2366</v>
      </c>
      <c r="Q412" t="s">
        <v>2364</v>
      </c>
      <c r="R412" t="s">
        <v>2364</v>
      </c>
      <c r="S412" t="s">
        <v>1881</v>
      </c>
      <c r="T412" t="s">
        <v>1812</v>
      </c>
      <c r="U412" t="s">
        <v>2365</v>
      </c>
      <c r="V412" t="s">
        <v>2365</v>
      </c>
      <c r="W412" t="s">
        <v>2365</v>
      </c>
      <c r="X412" t="s">
        <v>2365</v>
      </c>
      <c r="Y412" t="s">
        <v>2365</v>
      </c>
      <c r="Z412" t="s">
        <v>2365</v>
      </c>
      <c r="AA412" t="s">
        <v>2365</v>
      </c>
      <c r="AB412" t="s">
        <v>2365</v>
      </c>
      <c r="AC412" s="813" t="s">
        <v>2365</v>
      </c>
      <c r="AD412" s="813" t="s">
        <v>2365</v>
      </c>
      <c r="AE412" s="813" t="s">
        <v>2365</v>
      </c>
      <c r="AF412" t="s">
        <v>2365</v>
      </c>
      <c r="AG412" t="s">
        <v>2365</v>
      </c>
      <c r="AH412" t="s">
        <v>2365</v>
      </c>
      <c r="AI412" t="s">
        <v>2365</v>
      </c>
      <c r="AJ412" t="s">
        <v>2365</v>
      </c>
      <c r="AK412" t="s">
        <v>2365</v>
      </c>
      <c r="AL412" t="s">
        <v>2365</v>
      </c>
      <c r="AM412" t="s">
        <v>2365</v>
      </c>
      <c r="AN412" t="s">
        <v>2365</v>
      </c>
      <c r="AR412" t="s">
        <v>2365</v>
      </c>
      <c r="AS412" t="s">
        <v>2365</v>
      </c>
      <c r="AT412" t="s">
        <v>2365</v>
      </c>
      <c r="AU412" t="s">
        <v>2365</v>
      </c>
      <c r="AV412" t="s">
        <v>2365</v>
      </c>
      <c r="AW412" t="s">
        <v>2365</v>
      </c>
      <c r="AX412" t="s">
        <v>2365</v>
      </c>
      <c r="AY412" t="s">
        <v>2365</v>
      </c>
      <c r="AZ412" t="s">
        <v>2365</v>
      </c>
      <c r="BA412" t="s">
        <v>2365</v>
      </c>
      <c r="BB412" t="s">
        <v>2365</v>
      </c>
      <c r="BC412" t="s">
        <v>2365</v>
      </c>
      <c r="BD412" t="s">
        <v>2366</v>
      </c>
      <c r="BE412" t="s">
        <v>2365</v>
      </c>
      <c r="BF412" t="s">
        <v>2365</v>
      </c>
      <c r="BG412" t="s">
        <v>2365</v>
      </c>
      <c r="BH412" t="s">
        <v>2365</v>
      </c>
      <c r="BI412" t="s">
        <v>2366</v>
      </c>
      <c r="BJ412" t="s">
        <v>2365</v>
      </c>
      <c r="BK412" t="s">
        <v>2365</v>
      </c>
      <c r="BL412" t="s">
        <v>2365</v>
      </c>
      <c r="BM412" t="s">
        <v>2365</v>
      </c>
      <c r="BO412">
        <v>12</v>
      </c>
      <c r="BP412">
        <v>121</v>
      </c>
      <c r="BQ412" t="s">
        <v>1369</v>
      </c>
      <c r="BR412" t="s">
        <v>1557</v>
      </c>
      <c r="BU412">
        <v>0</v>
      </c>
      <c r="BV412">
        <v>0</v>
      </c>
      <c r="BW412">
        <v>0</v>
      </c>
      <c r="BX412">
        <v>0</v>
      </c>
      <c r="BY412">
        <v>0</v>
      </c>
      <c r="BZ412">
        <v>0</v>
      </c>
      <c r="CA412">
        <v>0</v>
      </c>
      <c r="CB412">
        <v>0</v>
      </c>
      <c r="CC412">
        <v>0</v>
      </c>
      <c r="CD412">
        <v>0</v>
      </c>
      <c r="CE412">
        <v>0</v>
      </c>
      <c r="CF412">
        <v>0</v>
      </c>
      <c r="CG412">
        <v>0</v>
      </c>
      <c r="CH412">
        <v>0</v>
      </c>
      <c r="CI412">
        <v>0</v>
      </c>
      <c r="CJ412">
        <v>0</v>
      </c>
      <c r="CK412">
        <v>0</v>
      </c>
      <c r="CL412">
        <v>0</v>
      </c>
      <c r="CM412">
        <v>0</v>
      </c>
      <c r="CR412" t="s">
        <v>2327</v>
      </c>
      <c r="CS412" s="1369" t="str">
        <f>INDEX([8]Sheet1!$H:$H,MATCH(CR:CR,[8]Sheet1!$AU:$AU,0))</f>
        <v>Education</v>
      </c>
    </row>
    <row r="413" spans="1:97" x14ac:dyDescent="0.2">
      <c r="A413" t="s">
        <v>2956</v>
      </c>
      <c r="B413">
        <v>466</v>
      </c>
      <c r="C413" t="s">
        <v>2956</v>
      </c>
      <c r="D413">
        <v>40873</v>
      </c>
      <c r="E413" t="s">
        <v>2427</v>
      </c>
      <c r="F413">
        <v>2700</v>
      </c>
      <c r="G413" t="s">
        <v>656</v>
      </c>
      <c r="H413" t="s">
        <v>2428</v>
      </c>
      <c r="I413" t="s">
        <v>1800</v>
      </c>
      <c r="J413">
        <v>2701</v>
      </c>
      <c r="K413" t="s">
        <v>1800</v>
      </c>
      <c r="L413">
        <v>2100</v>
      </c>
      <c r="M413" t="s">
        <v>618</v>
      </c>
      <c r="N413">
        <v>2109</v>
      </c>
      <c r="O413" t="s">
        <v>1502</v>
      </c>
      <c r="P413" t="s">
        <v>2366</v>
      </c>
      <c r="Q413" t="s">
        <v>2364</v>
      </c>
      <c r="R413" t="s">
        <v>2364</v>
      </c>
      <c r="S413" t="s">
        <v>1881</v>
      </c>
      <c r="T413" t="s">
        <v>1812</v>
      </c>
      <c r="U413" t="s">
        <v>2365</v>
      </c>
      <c r="V413" t="s">
        <v>2365</v>
      </c>
      <c r="W413" t="s">
        <v>2365</v>
      </c>
      <c r="X413" t="s">
        <v>2365</v>
      </c>
      <c r="Y413" t="s">
        <v>2365</v>
      </c>
      <c r="Z413" t="s">
        <v>2365</v>
      </c>
      <c r="AA413" t="s">
        <v>2365</v>
      </c>
      <c r="AB413" t="s">
        <v>2365</v>
      </c>
      <c r="AC413" s="813" t="s">
        <v>2365</v>
      </c>
      <c r="AD413" s="813" t="s">
        <v>2365</v>
      </c>
      <c r="AE413" s="813" t="s">
        <v>2365</v>
      </c>
      <c r="AF413" t="s">
        <v>2365</v>
      </c>
      <c r="AG413" t="s">
        <v>2365</v>
      </c>
      <c r="AH413" t="s">
        <v>2365</v>
      </c>
      <c r="AI413" t="s">
        <v>2365</v>
      </c>
      <c r="AJ413" t="s">
        <v>2365</v>
      </c>
      <c r="AK413" t="s">
        <v>2365</v>
      </c>
      <c r="AL413" t="s">
        <v>2365</v>
      </c>
      <c r="AM413" t="s">
        <v>2365</v>
      </c>
      <c r="AN413" t="s">
        <v>2365</v>
      </c>
      <c r="AR413" t="s">
        <v>2365</v>
      </c>
      <c r="AS413" t="s">
        <v>2365</v>
      </c>
      <c r="AT413" t="s">
        <v>2365</v>
      </c>
      <c r="AU413" t="s">
        <v>2365</v>
      </c>
      <c r="AV413" t="s">
        <v>2365</v>
      </c>
      <c r="AW413" t="s">
        <v>2365</v>
      </c>
      <c r="AX413" t="s">
        <v>2365</v>
      </c>
      <c r="AY413" t="s">
        <v>2365</v>
      </c>
      <c r="AZ413" t="s">
        <v>2365</v>
      </c>
      <c r="BA413" t="s">
        <v>2365</v>
      </c>
      <c r="BB413" t="s">
        <v>2365</v>
      </c>
      <c r="BC413" t="s">
        <v>2365</v>
      </c>
      <c r="BD413" t="s">
        <v>2366</v>
      </c>
      <c r="BE413" t="s">
        <v>2365</v>
      </c>
      <c r="BF413" t="s">
        <v>2365</v>
      </c>
      <c r="BG413" t="s">
        <v>2365</v>
      </c>
      <c r="BH413" t="s">
        <v>2365</v>
      </c>
      <c r="BI413" t="s">
        <v>2366</v>
      </c>
      <c r="BJ413" t="s">
        <v>2365</v>
      </c>
      <c r="BK413" t="s">
        <v>2365</v>
      </c>
      <c r="BL413" t="s">
        <v>2365</v>
      </c>
      <c r="BM413" t="s">
        <v>2365</v>
      </c>
      <c r="BO413">
        <v>4</v>
      </c>
      <c r="BP413">
        <v>41</v>
      </c>
      <c r="BQ413" t="s">
        <v>2433</v>
      </c>
      <c r="BR413" t="s">
        <v>1502</v>
      </c>
      <c r="BU413">
        <v>0</v>
      </c>
      <c r="BV413">
        <v>0</v>
      </c>
      <c r="BW413">
        <v>0</v>
      </c>
      <c r="BX413">
        <v>0</v>
      </c>
      <c r="BY413">
        <v>0</v>
      </c>
      <c r="BZ413">
        <v>0</v>
      </c>
      <c r="CA413">
        <v>0</v>
      </c>
      <c r="CB413">
        <v>0</v>
      </c>
      <c r="CC413">
        <v>0</v>
      </c>
      <c r="CD413">
        <v>0</v>
      </c>
      <c r="CE413">
        <v>0</v>
      </c>
      <c r="CF413">
        <v>0</v>
      </c>
      <c r="CG413">
        <v>0</v>
      </c>
      <c r="CH413">
        <v>0</v>
      </c>
      <c r="CI413">
        <v>0</v>
      </c>
      <c r="CJ413">
        <v>0</v>
      </c>
      <c r="CK413">
        <v>0</v>
      </c>
      <c r="CL413">
        <v>0</v>
      </c>
      <c r="CM413">
        <v>0</v>
      </c>
      <c r="CR413" t="s">
        <v>2327</v>
      </c>
      <c r="CS413" s="1369" t="str">
        <f>INDEX([8]Sheet1!$H:$H,MATCH(CR:CR,[8]Sheet1!$AU:$AU,0))</f>
        <v>Education</v>
      </c>
    </row>
    <row r="414" spans="1:97" x14ac:dyDescent="0.2">
      <c r="A414" t="s">
        <v>2957</v>
      </c>
      <c r="B414">
        <v>467</v>
      </c>
      <c r="C414" t="s">
        <v>2957</v>
      </c>
      <c r="D414">
        <v>40874</v>
      </c>
      <c r="E414" t="s">
        <v>2455</v>
      </c>
      <c r="F414">
        <v>2900</v>
      </c>
      <c r="G414" t="s">
        <v>569</v>
      </c>
      <c r="H414" t="s">
        <v>2366</v>
      </c>
      <c r="I414" t="s">
        <v>2366</v>
      </c>
      <c r="J414">
        <v>2904</v>
      </c>
      <c r="K414" t="s">
        <v>1432</v>
      </c>
      <c r="L414">
        <v>2100</v>
      </c>
      <c r="M414" t="s">
        <v>618</v>
      </c>
      <c r="N414">
        <v>2109</v>
      </c>
      <c r="O414" t="s">
        <v>1502</v>
      </c>
      <c r="P414" t="s">
        <v>2366</v>
      </c>
      <c r="Q414" t="s">
        <v>2364</v>
      </c>
      <c r="R414" t="s">
        <v>2364</v>
      </c>
      <c r="S414" t="s">
        <v>1881</v>
      </c>
      <c r="T414" t="s">
        <v>1812</v>
      </c>
      <c r="U414" t="s">
        <v>2365</v>
      </c>
      <c r="V414" t="s">
        <v>2365</v>
      </c>
      <c r="W414" t="s">
        <v>2365</v>
      </c>
      <c r="X414" t="s">
        <v>2365</v>
      </c>
      <c r="Y414" t="s">
        <v>2365</v>
      </c>
      <c r="Z414" t="s">
        <v>2365</v>
      </c>
      <c r="AA414" t="s">
        <v>2365</v>
      </c>
      <c r="AB414" t="s">
        <v>2365</v>
      </c>
      <c r="AC414" s="813" t="s">
        <v>2365</v>
      </c>
      <c r="AD414" s="813" t="s">
        <v>2365</v>
      </c>
      <c r="AE414" s="813" t="s">
        <v>2365</v>
      </c>
      <c r="AF414" t="s">
        <v>2365</v>
      </c>
      <c r="AG414" t="s">
        <v>2365</v>
      </c>
      <c r="AH414" t="s">
        <v>2365</v>
      </c>
      <c r="AI414" t="s">
        <v>2365</v>
      </c>
      <c r="AJ414" t="s">
        <v>2365</v>
      </c>
      <c r="AK414" t="s">
        <v>2365</v>
      </c>
      <c r="AL414" t="s">
        <v>2365</v>
      </c>
      <c r="AM414" t="s">
        <v>2365</v>
      </c>
      <c r="AN414" t="s">
        <v>2365</v>
      </c>
      <c r="AR414" t="s">
        <v>2365</v>
      </c>
      <c r="AS414" t="s">
        <v>2365</v>
      </c>
      <c r="AT414" t="s">
        <v>2365</v>
      </c>
      <c r="AU414" t="s">
        <v>2365</v>
      </c>
      <c r="AV414" t="s">
        <v>2365</v>
      </c>
      <c r="AW414" t="s">
        <v>2365</v>
      </c>
      <c r="AX414" t="s">
        <v>2365</v>
      </c>
      <c r="AY414" t="s">
        <v>2365</v>
      </c>
      <c r="AZ414" t="s">
        <v>2365</v>
      </c>
      <c r="BA414" t="s">
        <v>2365</v>
      </c>
      <c r="BB414" t="s">
        <v>2365</v>
      </c>
      <c r="BC414" t="s">
        <v>2365</v>
      </c>
      <c r="BD414" t="s">
        <v>2366</v>
      </c>
      <c r="BE414" t="s">
        <v>2365</v>
      </c>
      <c r="BF414" t="s">
        <v>2365</v>
      </c>
      <c r="BG414" t="s">
        <v>2365</v>
      </c>
      <c r="BH414" t="s">
        <v>2365</v>
      </c>
      <c r="BI414" t="s">
        <v>2366</v>
      </c>
      <c r="BJ414" t="s">
        <v>2365</v>
      </c>
      <c r="BK414" t="s">
        <v>2365</v>
      </c>
      <c r="BL414" t="s">
        <v>2365</v>
      </c>
      <c r="BM414" t="s">
        <v>2365</v>
      </c>
      <c r="BO414">
        <v>4</v>
      </c>
      <c r="BP414">
        <v>41</v>
      </c>
      <c r="BQ414" t="s">
        <v>2433</v>
      </c>
      <c r="BR414" t="s">
        <v>1502</v>
      </c>
      <c r="BU414">
        <v>0</v>
      </c>
      <c r="BV414">
        <v>0</v>
      </c>
      <c r="BW414">
        <v>0</v>
      </c>
      <c r="BX414">
        <v>0</v>
      </c>
      <c r="BY414">
        <v>0</v>
      </c>
      <c r="BZ414">
        <v>0</v>
      </c>
      <c r="CA414">
        <v>0</v>
      </c>
      <c r="CB414">
        <v>0</v>
      </c>
      <c r="CC414">
        <v>0</v>
      </c>
      <c r="CD414">
        <v>0</v>
      </c>
      <c r="CE414">
        <v>0</v>
      </c>
      <c r="CF414">
        <v>0</v>
      </c>
      <c r="CG414">
        <v>0</v>
      </c>
      <c r="CH414">
        <v>0</v>
      </c>
      <c r="CI414">
        <v>0</v>
      </c>
      <c r="CJ414">
        <v>0</v>
      </c>
      <c r="CK414">
        <v>0</v>
      </c>
      <c r="CL414">
        <v>0</v>
      </c>
      <c r="CM414">
        <v>0</v>
      </c>
      <c r="CR414" t="s">
        <v>2327</v>
      </c>
      <c r="CS414" s="1369" t="str">
        <f>INDEX([8]Sheet1!$H:$H,MATCH(CR:CR,[8]Sheet1!$AU:$AU,0))</f>
        <v>Education</v>
      </c>
    </row>
    <row r="415" spans="1:97" x14ac:dyDescent="0.2">
      <c r="A415" t="s">
        <v>2958</v>
      </c>
      <c r="B415">
        <v>468</v>
      </c>
      <c r="C415" t="s">
        <v>2958</v>
      </c>
      <c r="D415">
        <v>40875</v>
      </c>
      <c r="E415" t="s">
        <v>2455</v>
      </c>
      <c r="F415">
        <v>2900</v>
      </c>
      <c r="G415" t="s">
        <v>569</v>
      </c>
      <c r="H415" t="s">
        <v>2366</v>
      </c>
      <c r="I415" t="s">
        <v>2366</v>
      </c>
      <c r="J415">
        <v>2904</v>
      </c>
      <c r="K415" t="s">
        <v>1432</v>
      </c>
      <c r="L415">
        <v>2100</v>
      </c>
      <c r="M415" t="s">
        <v>618</v>
      </c>
      <c r="N415">
        <v>2109</v>
      </c>
      <c r="O415" t="s">
        <v>1502</v>
      </c>
      <c r="P415" t="s">
        <v>2366</v>
      </c>
      <c r="Q415" t="s">
        <v>2364</v>
      </c>
      <c r="R415" t="s">
        <v>2364</v>
      </c>
      <c r="S415" t="s">
        <v>1881</v>
      </c>
      <c r="T415" t="s">
        <v>1812</v>
      </c>
      <c r="U415" t="s">
        <v>2365</v>
      </c>
      <c r="V415" t="s">
        <v>2365</v>
      </c>
      <c r="W415" t="s">
        <v>2365</v>
      </c>
      <c r="X415" t="s">
        <v>2365</v>
      </c>
      <c r="Y415" t="s">
        <v>2365</v>
      </c>
      <c r="Z415" t="s">
        <v>2365</v>
      </c>
      <c r="AA415" t="s">
        <v>2365</v>
      </c>
      <c r="AB415" t="s">
        <v>2365</v>
      </c>
      <c r="AC415" s="813" t="s">
        <v>2365</v>
      </c>
      <c r="AD415" s="813" t="s">
        <v>2365</v>
      </c>
      <c r="AE415" s="813" t="s">
        <v>2365</v>
      </c>
      <c r="AF415" t="s">
        <v>2365</v>
      </c>
      <c r="AG415" t="s">
        <v>2365</v>
      </c>
      <c r="AH415" t="s">
        <v>2365</v>
      </c>
      <c r="AI415" t="s">
        <v>2365</v>
      </c>
      <c r="AJ415" t="s">
        <v>2365</v>
      </c>
      <c r="AK415" t="s">
        <v>2365</v>
      </c>
      <c r="AL415" t="s">
        <v>2365</v>
      </c>
      <c r="AM415" t="s">
        <v>2365</v>
      </c>
      <c r="AN415" t="s">
        <v>2365</v>
      </c>
      <c r="AR415" t="s">
        <v>2365</v>
      </c>
      <c r="AS415" t="s">
        <v>2365</v>
      </c>
      <c r="AT415" t="s">
        <v>2365</v>
      </c>
      <c r="AU415" t="s">
        <v>2365</v>
      </c>
      <c r="AV415" t="s">
        <v>2365</v>
      </c>
      <c r="AW415" t="s">
        <v>2365</v>
      </c>
      <c r="AX415" t="s">
        <v>2365</v>
      </c>
      <c r="AY415" t="s">
        <v>2365</v>
      </c>
      <c r="AZ415" t="s">
        <v>2365</v>
      </c>
      <c r="BA415" t="s">
        <v>2365</v>
      </c>
      <c r="BB415" t="s">
        <v>2365</v>
      </c>
      <c r="BC415" t="s">
        <v>2365</v>
      </c>
      <c r="BD415" t="s">
        <v>2366</v>
      </c>
      <c r="BE415" t="s">
        <v>2365</v>
      </c>
      <c r="BF415" t="s">
        <v>2365</v>
      </c>
      <c r="BG415" t="s">
        <v>2365</v>
      </c>
      <c r="BH415" t="s">
        <v>2365</v>
      </c>
      <c r="BI415" t="s">
        <v>2366</v>
      </c>
      <c r="BJ415" t="s">
        <v>2365</v>
      </c>
      <c r="BK415" t="s">
        <v>2365</v>
      </c>
      <c r="BL415" t="s">
        <v>2365</v>
      </c>
      <c r="BM415" t="s">
        <v>2365</v>
      </c>
      <c r="BO415">
        <v>4</v>
      </c>
      <c r="BP415">
        <v>41</v>
      </c>
      <c r="BQ415" t="s">
        <v>2433</v>
      </c>
      <c r="BR415" t="s">
        <v>1502</v>
      </c>
      <c r="BU415">
        <v>0</v>
      </c>
      <c r="BV415">
        <v>0</v>
      </c>
      <c r="BW415">
        <v>0</v>
      </c>
      <c r="BX415">
        <v>0</v>
      </c>
      <c r="BY415">
        <v>0</v>
      </c>
      <c r="BZ415">
        <v>0</v>
      </c>
      <c r="CA415">
        <v>0</v>
      </c>
      <c r="CB415">
        <v>0</v>
      </c>
      <c r="CC415">
        <v>0</v>
      </c>
      <c r="CD415">
        <v>0</v>
      </c>
      <c r="CE415">
        <v>0</v>
      </c>
      <c r="CF415">
        <v>0</v>
      </c>
      <c r="CG415">
        <v>0</v>
      </c>
      <c r="CH415">
        <v>0</v>
      </c>
      <c r="CI415">
        <v>0</v>
      </c>
      <c r="CJ415">
        <v>0</v>
      </c>
      <c r="CK415">
        <v>0</v>
      </c>
      <c r="CL415">
        <v>0</v>
      </c>
      <c r="CM415">
        <v>0</v>
      </c>
      <c r="CR415" t="s">
        <v>2327</v>
      </c>
      <c r="CS415" s="1369" t="str">
        <f>INDEX([8]Sheet1!$H:$H,MATCH(CR:CR,[8]Sheet1!$AU:$AU,0))</f>
        <v>Education</v>
      </c>
    </row>
    <row r="416" spans="1:97" x14ac:dyDescent="0.2">
      <c r="A416" t="s">
        <v>2959</v>
      </c>
      <c r="B416">
        <v>469</v>
      </c>
      <c r="C416" t="s">
        <v>2959</v>
      </c>
      <c r="D416">
        <v>40876</v>
      </c>
      <c r="E416" t="s">
        <v>2518</v>
      </c>
      <c r="F416">
        <v>2900</v>
      </c>
      <c r="G416" t="s">
        <v>569</v>
      </c>
      <c r="H416" t="s">
        <v>2366</v>
      </c>
      <c r="I416" t="s">
        <v>2366</v>
      </c>
      <c r="J416">
        <v>2904</v>
      </c>
      <c r="K416" t="s">
        <v>1432</v>
      </c>
      <c r="L416">
        <v>2100</v>
      </c>
      <c r="M416" t="s">
        <v>618</v>
      </c>
      <c r="N416">
        <v>2109</v>
      </c>
      <c r="O416" t="s">
        <v>1502</v>
      </c>
      <c r="P416" t="s">
        <v>2366</v>
      </c>
      <c r="Q416" t="s">
        <v>2364</v>
      </c>
      <c r="R416" t="s">
        <v>2364</v>
      </c>
      <c r="S416" t="s">
        <v>1881</v>
      </c>
      <c r="T416" t="s">
        <v>1812</v>
      </c>
      <c r="U416" t="s">
        <v>2365</v>
      </c>
      <c r="V416" t="s">
        <v>2365</v>
      </c>
      <c r="W416" t="s">
        <v>2365</v>
      </c>
      <c r="X416" t="s">
        <v>2365</v>
      </c>
      <c r="Y416" t="s">
        <v>2365</v>
      </c>
      <c r="Z416" t="s">
        <v>2365</v>
      </c>
      <c r="AA416" t="s">
        <v>2365</v>
      </c>
      <c r="AB416" t="s">
        <v>2365</v>
      </c>
      <c r="AC416" s="813" t="s">
        <v>2365</v>
      </c>
      <c r="AD416" s="813" t="s">
        <v>2365</v>
      </c>
      <c r="AE416" s="813" t="s">
        <v>2365</v>
      </c>
      <c r="AF416" t="s">
        <v>2365</v>
      </c>
      <c r="AG416" t="s">
        <v>2365</v>
      </c>
      <c r="AH416" t="s">
        <v>2365</v>
      </c>
      <c r="AI416" t="s">
        <v>2365</v>
      </c>
      <c r="AJ416" t="s">
        <v>2365</v>
      </c>
      <c r="AK416" t="s">
        <v>2365</v>
      </c>
      <c r="AL416" t="s">
        <v>2365</v>
      </c>
      <c r="AM416" t="s">
        <v>2365</v>
      </c>
      <c r="AN416" t="s">
        <v>2365</v>
      </c>
      <c r="AR416" t="s">
        <v>2365</v>
      </c>
      <c r="AS416" t="s">
        <v>2365</v>
      </c>
      <c r="AT416" t="s">
        <v>2365</v>
      </c>
      <c r="AU416" t="s">
        <v>2365</v>
      </c>
      <c r="AV416" t="s">
        <v>2365</v>
      </c>
      <c r="AW416" t="s">
        <v>2365</v>
      </c>
      <c r="AX416" t="s">
        <v>2365</v>
      </c>
      <c r="AY416" t="s">
        <v>2365</v>
      </c>
      <c r="AZ416" t="s">
        <v>2365</v>
      </c>
      <c r="BA416" t="s">
        <v>2365</v>
      </c>
      <c r="BB416" t="s">
        <v>2365</v>
      </c>
      <c r="BC416" t="s">
        <v>2365</v>
      </c>
      <c r="BD416" t="s">
        <v>2366</v>
      </c>
      <c r="BE416" t="s">
        <v>2365</v>
      </c>
      <c r="BF416" t="s">
        <v>2365</v>
      </c>
      <c r="BG416" t="s">
        <v>2365</v>
      </c>
      <c r="BH416" t="s">
        <v>2365</v>
      </c>
      <c r="BI416" t="s">
        <v>2366</v>
      </c>
      <c r="BJ416" t="s">
        <v>2365</v>
      </c>
      <c r="BK416" t="s">
        <v>2365</v>
      </c>
      <c r="BL416" t="s">
        <v>2365</v>
      </c>
      <c r="BM416" t="s">
        <v>2365</v>
      </c>
      <c r="BO416">
        <v>4</v>
      </c>
      <c r="BP416">
        <v>41</v>
      </c>
      <c r="BQ416" t="s">
        <v>2433</v>
      </c>
      <c r="BR416" t="s">
        <v>1502</v>
      </c>
      <c r="BU416">
        <v>0</v>
      </c>
      <c r="BV416">
        <v>0</v>
      </c>
      <c r="BW416">
        <v>0</v>
      </c>
      <c r="BX416">
        <v>0</v>
      </c>
      <c r="BY416">
        <v>0</v>
      </c>
      <c r="BZ416">
        <v>0</v>
      </c>
      <c r="CA416">
        <v>0</v>
      </c>
      <c r="CB416">
        <v>0</v>
      </c>
      <c r="CC416">
        <v>0</v>
      </c>
      <c r="CD416">
        <v>0</v>
      </c>
      <c r="CE416">
        <v>0</v>
      </c>
      <c r="CF416">
        <v>0</v>
      </c>
      <c r="CG416">
        <v>0</v>
      </c>
      <c r="CH416">
        <v>0</v>
      </c>
      <c r="CI416">
        <v>0</v>
      </c>
      <c r="CJ416">
        <v>0</v>
      </c>
      <c r="CK416">
        <v>0</v>
      </c>
      <c r="CL416">
        <v>0</v>
      </c>
      <c r="CM416">
        <v>0</v>
      </c>
      <c r="CR416" t="s">
        <v>2327</v>
      </c>
      <c r="CS416" s="1369" t="str">
        <f>INDEX([8]Sheet1!$H:$H,MATCH(CR:CR,[8]Sheet1!$AU:$AU,0))</f>
        <v>Education</v>
      </c>
    </row>
    <row r="417" spans="1:97" x14ac:dyDescent="0.2">
      <c r="A417" t="s">
        <v>2960</v>
      </c>
      <c r="B417">
        <v>470</v>
      </c>
      <c r="C417" t="s">
        <v>2960</v>
      </c>
      <c r="D417">
        <v>40877</v>
      </c>
      <c r="E417" t="s">
        <v>2427</v>
      </c>
      <c r="F417">
        <v>2700</v>
      </c>
      <c r="G417" t="s">
        <v>656</v>
      </c>
      <c r="H417" t="s">
        <v>2428</v>
      </c>
      <c r="I417" t="s">
        <v>1800</v>
      </c>
      <c r="J417">
        <v>2701</v>
      </c>
      <c r="K417" t="s">
        <v>1800</v>
      </c>
      <c r="L417">
        <v>2100</v>
      </c>
      <c r="M417" t="s">
        <v>618</v>
      </c>
      <c r="N417">
        <v>2109</v>
      </c>
      <c r="O417" t="s">
        <v>1502</v>
      </c>
      <c r="P417" t="s">
        <v>2366</v>
      </c>
      <c r="Q417" t="s">
        <v>2364</v>
      </c>
      <c r="R417" t="s">
        <v>2364</v>
      </c>
      <c r="S417" t="s">
        <v>1881</v>
      </c>
      <c r="T417" t="s">
        <v>1812</v>
      </c>
      <c r="U417" t="s">
        <v>2365</v>
      </c>
      <c r="V417" t="s">
        <v>2365</v>
      </c>
      <c r="W417" t="s">
        <v>2365</v>
      </c>
      <c r="X417" t="s">
        <v>2365</v>
      </c>
      <c r="Y417" t="s">
        <v>2365</v>
      </c>
      <c r="Z417" t="s">
        <v>2365</v>
      </c>
      <c r="AA417" t="s">
        <v>2365</v>
      </c>
      <c r="AB417" t="s">
        <v>2365</v>
      </c>
      <c r="AC417" s="813" t="s">
        <v>2365</v>
      </c>
      <c r="AD417" s="813" t="s">
        <v>2365</v>
      </c>
      <c r="AE417" s="813" t="s">
        <v>2365</v>
      </c>
      <c r="AF417" t="s">
        <v>2365</v>
      </c>
      <c r="AG417" t="s">
        <v>2365</v>
      </c>
      <c r="AH417" t="s">
        <v>2365</v>
      </c>
      <c r="AI417" t="s">
        <v>2365</v>
      </c>
      <c r="AJ417" t="s">
        <v>2365</v>
      </c>
      <c r="AK417" t="s">
        <v>2365</v>
      </c>
      <c r="AL417" t="s">
        <v>2365</v>
      </c>
      <c r="AM417" t="s">
        <v>2365</v>
      </c>
      <c r="AN417" t="s">
        <v>2365</v>
      </c>
      <c r="AR417" t="s">
        <v>2365</v>
      </c>
      <c r="AS417" t="s">
        <v>2365</v>
      </c>
      <c r="AT417" t="s">
        <v>2365</v>
      </c>
      <c r="AU417" t="s">
        <v>2365</v>
      </c>
      <c r="AV417" t="s">
        <v>2365</v>
      </c>
      <c r="AW417" t="s">
        <v>2365</v>
      </c>
      <c r="AX417" t="s">
        <v>2365</v>
      </c>
      <c r="AY417" t="s">
        <v>2365</v>
      </c>
      <c r="AZ417" t="s">
        <v>2365</v>
      </c>
      <c r="BA417" t="s">
        <v>2365</v>
      </c>
      <c r="BB417" t="s">
        <v>2365</v>
      </c>
      <c r="BC417" t="s">
        <v>2365</v>
      </c>
      <c r="BD417" t="s">
        <v>2366</v>
      </c>
      <c r="BE417" t="s">
        <v>2365</v>
      </c>
      <c r="BF417" t="s">
        <v>2365</v>
      </c>
      <c r="BG417" t="s">
        <v>2365</v>
      </c>
      <c r="BH417" t="s">
        <v>2365</v>
      </c>
      <c r="BI417" t="s">
        <v>2366</v>
      </c>
      <c r="BJ417" t="s">
        <v>2365</v>
      </c>
      <c r="BK417" t="s">
        <v>2365</v>
      </c>
      <c r="BL417" t="s">
        <v>2365</v>
      </c>
      <c r="BM417" t="s">
        <v>2365</v>
      </c>
      <c r="BO417">
        <v>4</v>
      </c>
      <c r="BP417">
        <v>41</v>
      </c>
      <c r="BQ417" t="s">
        <v>2433</v>
      </c>
      <c r="BR417" t="s">
        <v>1502</v>
      </c>
      <c r="BU417">
        <v>50000</v>
      </c>
      <c r="BV417">
        <v>0</v>
      </c>
      <c r="BW417">
        <v>50000</v>
      </c>
      <c r="BX417">
        <v>-10250</v>
      </c>
      <c r="BY417">
        <v>39750</v>
      </c>
      <c r="BZ417">
        <v>53000</v>
      </c>
      <c r="CA417">
        <v>56180</v>
      </c>
      <c r="CB417">
        <v>0</v>
      </c>
      <c r="CC417">
        <v>4750</v>
      </c>
      <c r="CD417">
        <v>3000</v>
      </c>
      <c r="CE417">
        <v>0</v>
      </c>
      <c r="CF417">
        <v>0</v>
      </c>
      <c r="CG417">
        <v>2500</v>
      </c>
      <c r="CH417">
        <v>8000</v>
      </c>
      <c r="CI417">
        <v>0</v>
      </c>
      <c r="CJ417">
        <v>0</v>
      </c>
      <c r="CK417">
        <v>0</v>
      </c>
      <c r="CL417">
        <v>0</v>
      </c>
      <c r="CM417">
        <v>0</v>
      </c>
      <c r="CR417" t="s">
        <v>2327</v>
      </c>
      <c r="CS417" s="1369" t="str">
        <f>INDEX([8]Sheet1!$H:$H,MATCH(CR:CR,[8]Sheet1!$AU:$AU,0))</f>
        <v>Education</v>
      </c>
    </row>
    <row r="418" spans="1:97" x14ac:dyDescent="0.2">
      <c r="A418" t="s">
        <v>2961</v>
      </c>
      <c r="B418">
        <v>471</v>
      </c>
      <c r="C418" t="s">
        <v>2961</v>
      </c>
      <c r="D418">
        <v>40878</v>
      </c>
      <c r="E418" t="s">
        <v>2430</v>
      </c>
      <c r="F418">
        <v>2700</v>
      </c>
      <c r="G418" t="s">
        <v>656</v>
      </c>
      <c r="H418" t="s">
        <v>2428</v>
      </c>
      <c r="I418" t="s">
        <v>1800</v>
      </c>
      <c r="J418">
        <v>2701</v>
      </c>
      <c r="K418" t="s">
        <v>1800</v>
      </c>
      <c r="L418">
        <v>2100</v>
      </c>
      <c r="M418" t="s">
        <v>618</v>
      </c>
      <c r="N418">
        <v>2109</v>
      </c>
      <c r="O418" t="s">
        <v>1502</v>
      </c>
      <c r="P418" t="s">
        <v>2366</v>
      </c>
      <c r="Q418" t="s">
        <v>2364</v>
      </c>
      <c r="R418" t="s">
        <v>2364</v>
      </c>
      <c r="S418" t="s">
        <v>1881</v>
      </c>
      <c r="T418" t="s">
        <v>1812</v>
      </c>
      <c r="U418" t="s">
        <v>2365</v>
      </c>
      <c r="V418" t="s">
        <v>2365</v>
      </c>
      <c r="W418" t="s">
        <v>2365</v>
      </c>
      <c r="X418" t="s">
        <v>2365</v>
      </c>
      <c r="Y418" t="s">
        <v>2365</v>
      </c>
      <c r="Z418" t="s">
        <v>2365</v>
      </c>
      <c r="AA418" t="s">
        <v>2365</v>
      </c>
      <c r="AB418" t="s">
        <v>2365</v>
      </c>
      <c r="AC418" s="813" t="s">
        <v>2365</v>
      </c>
      <c r="AD418" s="813" t="s">
        <v>2365</v>
      </c>
      <c r="AE418" s="813" t="s">
        <v>2365</v>
      </c>
      <c r="AF418" t="s">
        <v>2365</v>
      </c>
      <c r="AG418" t="s">
        <v>2365</v>
      </c>
      <c r="AH418" t="s">
        <v>2365</v>
      </c>
      <c r="AI418" t="s">
        <v>2365</v>
      </c>
      <c r="AJ418" t="s">
        <v>2365</v>
      </c>
      <c r="AK418" t="s">
        <v>2365</v>
      </c>
      <c r="AL418" t="s">
        <v>2365</v>
      </c>
      <c r="AM418" t="s">
        <v>2365</v>
      </c>
      <c r="AN418" t="s">
        <v>2365</v>
      </c>
      <c r="AR418" t="s">
        <v>2365</v>
      </c>
      <c r="AS418" t="s">
        <v>2365</v>
      </c>
      <c r="AT418" t="s">
        <v>2365</v>
      </c>
      <c r="AU418" t="s">
        <v>2365</v>
      </c>
      <c r="AV418" t="s">
        <v>2365</v>
      </c>
      <c r="AW418" t="s">
        <v>2365</v>
      </c>
      <c r="AX418" t="s">
        <v>2365</v>
      </c>
      <c r="AY418" t="s">
        <v>2365</v>
      </c>
      <c r="AZ418" t="s">
        <v>2365</v>
      </c>
      <c r="BA418" t="s">
        <v>2365</v>
      </c>
      <c r="BB418" t="s">
        <v>2365</v>
      </c>
      <c r="BC418" t="s">
        <v>2365</v>
      </c>
      <c r="BD418" t="s">
        <v>2366</v>
      </c>
      <c r="BE418" t="s">
        <v>2365</v>
      </c>
      <c r="BF418" t="s">
        <v>2365</v>
      </c>
      <c r="BG418" t="s">
        <v>2365</v>
      </c>
      <c r="BH418" t="s">
        <v>2365</v>
      </c>
      <c r="BI418" t="s">
        <v>2366</v>
      </c>
      <c r="BJ418" t="s">
        <v>2365</v>
      </c>
      <c r="BK418" t="s">
        <v>2365</v>
      </c>
      <c r="BL418" t="s">
        <v>2365</v>
      </c>
      <c r="BM418" t="s">
        <v>2365</v>
      </c>
      <c r="BO418">
        <v>4</v>
      </c>
      <c r="BP418">
        <v>41</v>
      </c>
      <c r="BQ418" t="s">
        <v>2433</v>
      </c>
      <c r="BR418" t="s">
        <v>1502</v>
      </c>
      <c r="BU418">
        <v>30000</v>
      </c>
      <c r="BV418">
        <v>0</v>
      </c>
      <c r="BW418">
        <v>30000</v>
      </c>
      <c r="BX418">
        <v>-3000</v>
      </c>
      <c r="BY418">
        <v>27000</v>
      </c>
      <c r="BZ418">
        <v>31800</v>
      </c>
      <c r="CA418">
        <v>33708</v>
      </c>
      <c r="CB418">
        <v>0</v>
      </c>
      <c r="CC418">
        <v>0</v>
      </c>
      <c r="CD418">
        <v>0</v>
      </c>
      <c r="CE418">
        <v>3000</v>
      </c>
      <c r="CF418">
        <v>0</v>
      </c>
      <c r="CG418">
        <v>0</v>
      </c>
      <c r="CH418">
        <v>0</v>
      </c>
      <c r="CI418">
        <v>0</v>
      </c>
      <c r="CJ418">
        <v>0</v>
      </c>
      <c r="CK418">
        <v>0</v>
      </c>
      <c r="CL418">
        <v>0</v>
      </c>
      <c r="CM418">
        <v>0</v>
      </c>
      <c r="CR418" t="s">
        <v>2327</v>
      </c>
      <c r="CS418" s="1369" t="str">
        <f>INDEX([8]Sheet1!$H:$H,MATCH(CR:CR,[8]Sheet1!$AU:$AU,0))</f>
        <v>Education</v>
      </c>
    </row>
    <row r="419" spans="1:97" x14ac:dyDescent="0.2">
      <c r="A419" t="s">
        <v>2962</v>
      </c>
      <c r="B419">
        <v>472</v>
      </c>
      <c r="C419" t="s">
        <v>2962</v>
      </c>
      <c r="D419">
        <v>40879</v>
      </c>
      <c r="E419" t="s">
        <v>2600</v>
      </c>
      <c r="F419">
        <v>2900</v>
      </c>
      <c r="G419" t="s">
        <v>569</v>
      </c>
      <c r="H419" t="s">
        <v>2366</v>
      </c>
      <c r="I419" t="s">
        <v>2366</v>
      </c>
      <c r="J419">
        <v>2904</v>
      </c>
      <c r="K419" t="s">
        <v>1432</v>
      </c>
      <c r="L419">
        <v>2100</v>
      </c>
      <c r="M419" t="s">
        <v>618</v>
      </c>
      <c r="N419">
        <v>2115</v>
      </c>
      <c r="O419" t="s">
        <v>1506</v>
      </c>
      <c r="P419" t="s">
        <v>2366</v>
      </c>
      <c r="Q419" t="s">
        <v>2364</v>
      </c>
      <c r="R419" t="s">
        <v>2364</v>
      </c>
      <c r="S419" t="s">
        <v>1881</v>
      </c>
      <c r="T419" t="s">
        <v>1812</v>
      </c>
      <c r="U419" t="s">
        <v>2365</v>
      </c>
      <c r="V419" t="s">
        <v>2365</v>
      </c>
      <c r="W419" t="s">
        <v>2365</v>
      </c>
      <c r="X419" t="s">
        <v>2365</v>
      </c>
      <c r="Y419" t="s">
        <v>2365</v>
      </c>
      <c r="Z419" t="s">
        <v>2365</v>
      </c>
      <c r="AA419" t="s">
        <v>2365</v>
      </c>
      <c r="AB419" t="s">
        <v>2365</v>
      </c>
      <c r="AC419" s="813" t="s">
        <v>2365</v>
      </c>
      <c r="AD419" s="813" t="s">
        <v>2365</v>
      </c>
      <c r="AE419" s="813" t="s">
        <v>2365</v>
      </c>
      <c r="AF419" t="s">
        <v>2365</v>
      </c>
      <c r="AG419" t="s">
        <v>2365</v>
      </c>
      <c r="AH419" t="s">
        <v>2365</v>
      </c>
      <c r="AI419" t="s">
        <v>2365</v>
      </c>
      <c r="AJ419" t="s">
        <v>2365</v>
      </c>
      <c r="AK419" t="s">
        <v>2365</v>
      </c>
      <c r="AL419" t="s">
        <v>2365</v>
      </c>
      <c r="AM419" t="s">
        <v>2365</v>
      </c>
      <c r="AN419" t="s">
        <v>2365</v>
      </c>
      <c r="AR419" t="s">
        <v>2365</v>
      </c>
      <c r="AS419" t="s">
        <v>2365</v>
      </c>
      <c r="AT419" t="s">
        <v>2365</v>
      </c>
      <c r="AU419" t="s">
        <v>2365</v>
      </c>
      <c r="AV419" t="s">
        <v>2365</v>
      </c>
      <c r="AW419" t="s">
        <v>2365</v>
      </c>
      <c r="AX419" t="s">
        <v>2365</v>
      </c>
      <c r="AY419" t="s">
        <v>2365</v>
      </c>
      <c r="AZ419" t="s">
        <v>2365</v>
      </c>
      <c r="BA419" t="s">
        <v>2365</v>
      </c>
      <c r="BB419" t="s">
        <v>2365</v>
      </c>
      <c r="BC419" t="s">
        <v>2365</v>
      </c>
      <c r="BD419" t="s">
        <v>2366</v>
      </c>
      <c r="BE419" t="s">
        <v>2365</v>
      </c>
      <c r="BF419" t="s">
        <v>2365</v>
      </c>
      <c r="BG419" t="s">
        <v>2365</v>
      </c>
      <c r="BH419" t="s">
        <v>2365</v>
      </c>
      <c r="BI419" t="s">
        <v>2366</v>
      </c>
      <c r="BJ419" t="s">
        <v>2365</v>
      </c>
      <c r="BK419" t="s">
        <v>2365</v>
      </c>
      <c r="BL419" t="s">
        <v>2365</v>
      </c>
      <c r="BM419" t="s">
        <v>2365</v>
      </c>
      <c r="BO419">
        <v>5</v>
      </c>
      <c r="BP419">
        <v>51</v>
      </c>
      <c r="BQ419" t="s">
        <v>2438</v>
      </c>
      <c r="BR419" t="s">
        <v>1506</v>
      </c>
      <c r="BU419">
        <v>30000</v>
      </c>
      <c r="BV419">
        <v>0</v>
      </c>
      <c r="BW419">
        <v>30000</v>
      </c>
      <c r="BX419">
        <v>40000</v>
      </c>
      <c r="BY419">
        <v>70000</v>
      </c>
      <c r="BZ419">
        <v>31800</v>
      </c>
      <c r="CA419">
        <v>33708</v>
      </c>
      <c r="CB419">
        <v>0</v>
      </c>
      <c r="CC419">
        <v>0</v>
      </c>
      <c r="CD419">
        <v>0</v>
      </c>
      <c r="CE419">
        <v>0</v>
      </c>
      <c r="CF419">
        <v>0</v>
      </c>
      <c r="CG419">
        <v>0</v>
      </c>
      <c r="CH419">
        <v>0</v>
      </c>
      <c r="CI419">
        <v>0</v>
      </c>
      <c r="CJ419">
        <v>0</v>
      </c>
      <c r="CK419">
        <v>0</v>
      </c>
      <c r="CL419">
        <v>0</v>
      </c>
      <c r="CM419">
        <v>0</v>
      </c>
      <c r="CR419" t="s">
        <v>2327</v>
      </c>
      <c r="CS419" s="1369" t="str">
        <f>INDEX([8]Sheet1!$H:$H,MATCH(CR:CR,[8]Sheet1!$AU:$AU,0))</f>
        <v>Education</v>
      </c>
    </row>
    <row r="420" spans="1:97" x14ac:dyDescent="0.2">
      <c r="A420" t="s">
        <v>2963</v>
      </c>
      <c r="B420">
        <v>473</v>
      </c>
      <c r="C420" t="s">
        <v>2963</v>
      </c>
      <c r="D420">
        <v>40880</v>
      </c>
      <c r="E420" t="s">
        <v>2499</v>
      </c>
      <c r="F420">
        <v>2900</v>
      </c>
      <c r="G420" t="s">
        <v>569</v>
      </c>
      <c r="H420" t="s">
        <v>2366</v>
      </c>
      <c r="I420" t="s">
        <v>2366</v>
      </c>
      <c r="J420">
        <v>2904</v>
      </c>
      <c r="K420" t="s">
        <v>1432</v>
      </c>
      <c r="L420">
        <v>2100</v>
      </c>
      <c r="M420" t="s">
        <v>618</v>
      </c>
      <c r="N420">
        <v>2115</v>
      </c>
      <c r="O420" t="s">
        <v>1506</v>
      </c>
      <c r="P420" t="s">
        <v>2366</v>
      </c>
      <c r="Q420" t="s">
        <v>2364</v>
      </c>
      <c r="R420" t="s">
        <v>2364</v>
      </c>
      <c r="S420" t="s">
        <v>1881</v>
      </c>
      <c r="T420" t="s">
        <v>1812</v>
      </c>
      <c r="U420" t="s">
        <v>2365</v>
      </c>
      <c r="V420" t="s">
        <v>2365</v>
      </c>
      <c r="W420" t="s">
        <v>2365</v>
      </c>
      <c r="X420" t="s">
        <v>2365</v>
      </c>
      <c r="Y420" t="s">
        <v>2365</v>
      </c>
      <c r="Z420" t="s">
        <v>2365</v>
      </c>
      <c r="AA420" t="s">
        <v>2365</v>
      </c>
      <c r="AB420" t="s">
        <v>2365</v>
      </c>
      <c r="AC420" s="813" t="s">
        <v>2365</v>
      </c>
      <c r="AD420" s="813" t="s">
        <v>2365</v>
      </c>
      <c r="AE420" s="813" t="s">
        <v>2365</v>
      </c>
      <c r="AF420" t="s">
        <v>2365</v>
      </c>
      <c r="AG420" t="s">
        <v>2365</v>
      </c>
      <c r="AH420" t="s">
        <v>2365</v>
      </c>
      <c r="AI420" t="s">
        <v>2365</v>
      </c>
      <c r="AJ420" t="s">
        <v>2365</v>
      </c>
      <c r="AK420" t="s">
        <v>2365</v>
      </c>
      <c r="AL420" t="s">
        <v>2365</v>
      </c>
      <c r="AM420" t="s">
        <v>2365</v>
      </c>
      <c r="AN420" t="s">
        <v>2365</v>
      </c>
      <c r="AR420" t="s">
        <v>2365</v>
      </c>
      <c r="AS420" t="s">
        <v>2365</v>
      </c>
      <c r="AT420" t="s">
        <v>2365</v>
      </c>
      <c r="AU420" t="s">
        <v>2365</v>
      </c>
      <c r="AV420" t="s">
        <v>2365</v>
      </c>
      <c r="AW420" t="s">
        <v>2365</v>
      </c>
      <c r="AX420" t="s">
        <v>2365</v>
      </c>
      <c r="AY420" t="s">
        <v>2365</v>
      </c>
      <c r="AZ420" t="s">
        <v>2365</v>
      </c>
      <c r="BA420" t="s">
        <v>2365</v>
      </c>
      <c r="BB420" t="s">
        <v>2365</v>
      </c>
      <c r="BC420" t="s">
        <v>2365</v>
      </c>
      <c r="BD420" t="s">
        <v>2366</v>
      </c>
      <c r="BE420" t="s">
        <v>2365</v>
      </c>
      <c r="BF420" t="s">
        <v>2365</v>
      </c>
      <c r="BG420" t="s">
        <v>2365</v>
      </c>
      <c r="BH420" t="s">
        <v>2365</v>
      </c>
      <c r="BI420" t="s">
        <v>2366</v>
      </c>
      <c r="BJ420" t="s">
        <v>2365</v>
      </c>
      <c r="BK420" t="s">
        <v>2365</v>
      </c>
      <c r="BL420" t="s">
        <v>2365</v>
      </c>
      <c r="BM420" t="s">
        <v>2365</v>
      </c>
      <c r="BO420">
        <v>5</v>
      </c>
      <c r="BP420">
        <v>51</v>
      </c>
      <c r="BQ420" t="s">
        <v>2438</v>
      </c>
      <c r="BR420" t="s">
        <v>1506</v>
      </c>
      <c r="BU420">
        <v>40000</v>
      </c>
      <c r="BV420">
        <v>0</v>
      </c>
      <c r="BW420">
        <v>40000</v>
      </c>
      <c r="BX420">
        <v>0</v>
      </c>
      <c r="BY420">
        <v>40000</v>
      </c>
      <c r="BZ420">
        <v>42400</v>
      </c>
      <c r="CA420">
        <v>44944</v>
      </c>
      <c r="CB420">
        <v>0</v>
      </c>
      <c r="CC420">
        <v>0</v>
      </c>
      <c r="CD420">
        <v>0</v>
      </c>
      <c r="CE420">
        <v>0</v>
      </c>
      <c r="CF420">
        <v>0</v>
      </c>
      <c r="CG420">
        <v>0</v>
      </c>
      <c r="CH420">
        <v>0</v>
      </c>
      <c r="CI420">
        <v>0</v>
      </c>
      <c r="CJ420">
        <v>0</v>
      </c>
      <c r="CK420">
        <v>0</v>
      </c>
      <c r="CL420">
        <v>0</v>
      </c>
      <c r="CM420">
        <v>0</v>
      </c>
      <c r="CR420" t="s">
        <v>2327</v>
      </c>
      <c r="CS420" s="1369" t="str">
        <f>INDEX([8]Sheet1!$H:$H,MATCH(CR:CR,[8]Sheet1!$AU:$AU,0))</f>
        <v>Education</v>
      </c>
    </row>
    <row r="421" spans="1:97" x14ac:dyDescent="0.2">
      <c r="A421" t="s">
        <v>2964</v>
      </c>
      <c r="B421">
        <v>474</v>
      </c>
      <c r="C421" t="s">
        <v>2964</v>
      </c>
      <c r="D421">
        <v>40881</v>
      </c>
      <c r="E421" t="s">
        <v>2455</v>
      </c>
      <c r="F421">
        <v>2900</v>
      </c>
      <c r="G421" t="s">
        <v>569</v>
      </c>
      <c r="H421" t="s">
        <v>2366</v>
      </c>
      <c r="I421" t="s">
        <v>2366</v>
      </c>
      <c r="J421">
        <v>2904</v>
      </c>
      <c r="K421" t="s">
        <v>1432</v>
      </c>
      <c r="L421">
        <v>2100</v>
      </c>
      <c r="M421" t="s">
        <v>618</v>
      </c>
      <c r="N421">
        <v>2115</v>
      </c>
      <c r="O421" t="s">
        <v>1506</v>
      </c>
      <c r="P421" t="s">
        <v>2366</v>
      </c>
      <c r="Q421" t="s">
        <v>2364</v>
      </c>
      <c r="R421" t="s">
        <v>2364</v>
      </c>
      <c r="S421" t="s">
        <v>1881</v>
      </c>
      <c r="T421" t="s">
        <v>1812</v>
      </c>
      <c r="U421" t="s">
        <v>2365</v>
      </c>
      <c r="V421" t="s">
        <v>2365</v>
      </c>
      <c r="W421" t="s">
        <v>2365</v>
      </c>
      <c r="X421" t="s">
        <v>2365</v>
      </c>
      <c r="Y421" t="s">
        <v>2365</v>
      </c>
      <c r="Z421" t="s">
        <v>2365</v>
      </c>
      <c r="AA421" t="s">
        <v>2365</v>
      </c>
      <c r="AB421" t="s">
        <v>2365</v>
      </c>
      <c r="AC421" s="813" t="s">
        <v>2365</v>
      </c>
      <c r="AD421" s="813" t="s">
        <v>2365</v>
      </c>
      <c r="AE421" s="813" t="s">
        <v>2365</v>
      </c>
      <c r="AF421" t="s">
        <v>2365</v>
      </c>
      <c r="AG421" t="s">
        <v>2365</v>
      </c>
      <c r="AH421" t="s">
        <v>2365</v>
      </c>
      <c r="AI421" t="s">
        <v>2365</v>
      </c>
      <c r="AJ421" t="s">
        <v>2365</v>
      </c>
      <c r="AK421" t="s">
        <v>2365</v>
      </c>
      <c r="AL421" t="s">
        <v>2365</v>
      </c>
      <c r="AM421" t="s">
        <v>2365</v>
      </c>
      <c r="AN421" t="s">
        <v>2365</v>
      </c>
      <c r="AR421" t="s">
        <v>2365</v>
      </c>
      <c r="AS421" t="s">
        <v>2365</v>
      </c>
      <c r="AT421" t="s">
        <v>2365</v>
      </c>
      <c r="AU421" t="s">
        <v>2365</v>
      </c>
      <c r="AV421" t="s">
        <v>2365</v>
      </c>
      <c r="AW421" t="s">
        <v>2365</v>
      </c>
      <c r="AX421" t="s">
        <v>2365</v>
      </c>
      <c r="AY421" t="s">
        <v>2365</v>
      </c>
      <c r="AZ421" t="s">
        <v>2365</v>
      </c>
      <c r="BA421" t="s">
        <v>2365</v>
      </c>
      <c r="BB421" t="s">
        <v>2365</v>
      </c>
      <c r="BC421" t="s">
        <v>2365</v>
      </c>
      <c r="BD421" t="s">
        <v>2366</v>
      </c>
      <c r="BE421" t="s">
        <v>2365</v>
      </c>
      <c r="BF421" t="s">
        <v>2365</v>
      </c>
      <c r="BG421" t="s">
        <v>2365</v>
      </c>
      <c r="BH421" t="s">
        <v>2365</v>
      </c>
      <c r="BI421" t="s">
        <v>2366</v>
      </c>
      <c r="BJ421" t="s">
        <v>2365</v>
      </c>
      <c r="BK421" t="s">
        <v>2365</v>
      </c>
      <c r="BL421" t="s">
        <v>2365</v>
      </c>
      <c r="BM421" t="s">
        <v>2365</v>
      </c>
      <c r="BO421">
        <v>5</v>
      </c>
      <c r="BP421">
        <v>51</v>
      </c>
      <c r="BQ421" t="s">
        <v>2438</v>
      </c>
      <c r="BR421" t="s">
        <v>1506</v>
      </c>
      <c r="BU421">
        <v>0</v>
      </c>
      <c r="BV421">
        <v>0</v>
      </c>
      <c r="BW421">
        <v>0</v>
      </c>
      <c r="BX421">
        <v>0</v>
      </c>
      <c r="BY421">
        <v>0</v>
      </c>
      <c r="BZ421">
        <v>0</v>
      </c>
      <c r="CA421">
        <v>0</v>
      </c>
      <c r="CB421">
        <v>0</v>
      </c>
      <c r="CC421">
        <v>0</v>
      </c>
      <c r="CD421">
        <v>0</v>
      </c>
      <c r="CE421">
        <v>0</v>
      </c>
      <c r="CF421">
        <v>0</v>
      </c>
      <c r="CG421">
        <v>0</v>
      </c>
      <c r="CH421">
        <v>0</v>
      </c>
      <c r="CI421">
        <v>0</v>
      </c>
      <c r="CJ421">
        <v>0</v>
      </c>
      <c r="CK421">
        <v>0</v>
      </c>
      <c r="CL421">
        <v>0</v>
      </c>
      <c r="CM421">
        <v>0</v>
      </c>
      <c r="CR421" t="s">
        <v>2327</v>
      </c>
      <c r="CS421" s="1369" t="str">
        <f>INDEX([8]Sheet1!$H:$H,MATCH(CR:CR,[8]Sheet1!$AU:$AU,0))</f>
        <v>Education</v>
      </c>
    </row>
    <row r="422" spans="1:97" x14ac:dyDescent="0.2">
      <c r="A422" t="s">
        <v>2965</v>
      </c>
      <c r="B422">
        <v>475</v>
      </c>
      <c r="C422" t="s">
        <v>2965</v>
      </c>
      <c r="D422">
        <v>40882</v>
      </c>
      <c r="E422" t="s">
        <v>2427</v>
      </c>
      <c r="F422">
        <v>2700</v>
      </c>
      <c r="G422" t="s">
        <v>656</v>
      </c>
      <c r="H422" t="s">
        <v>2428</v>
      </c>
      <c r="I422" t="s">
        <v>1800</v>
      </c>
      <c r="J422">
        <v>2701</v>
      </c>
      <c r="K422" t="s">
        <v>1800</v>
      </c>
      <c r="L422">
        <v>2100</v>
      </c>
      <c r="M422" t="s">
        <v>618</v>
      </c>
      <c r="N422">
        <v>2115</v>
      </c>
      <c r="O422" t="s">
        <v>1506</v>
      </c>
      <c r="P422" t="s">
        <v>2366</v>
      </c>
      <c r="Q422" t="s">
        <v>2364</v>
      </c>
      <c r="R422" t="s">
        <v>2364</v>
      </c>
      <c r="S422" t="s">
        <v>1881</v>
      </c>
      <c r="T422" t="s">
        <v>1812</v>
      </c>
      <c r="U422" t="s">
        <v>2365</v>
      </c>
      <c r="V422" t="s">
        <v>2365</v>
      </c>
      <c r="W422" t="s">
        <v>2365</v>
      </c>
      <c r="X422" t="s">
        <v>2365</v>
      </c>
      <c r="Y422" t="s">
        <v>2365</v>
      </c>
      <c r="Z422" t="s">
        <v>2365</v>
      </c>
      <c r="AA422" t="s">
        <v>2365</v>
      </c>
      <c r="AB422" t="s">
        <v>2365</v>
      </c>
      <c r="AC422" s="813" t="s">
        <v>2365</v>
      </c>
      <c r="AD422" s="813" t="s">
        <v>2365</v>
      </c>
      <c r="AE422" s="813" t="s">
        <v>2365</v>
      </c>
      <c r="AF422" t="s">
        <v>2365</v>
      </c>
      <c r="AG422" t="s">
        <v>2365</v>
      </c>
      <c r="AH422" t="s">
        <v>2365</v>
      </c>
      <c r="AI422" t="s">
        <v>2365</v>
      </c>
      <c r="AJ422" t="s">
        <v>2365</v>
      </c>
      <c r="AK422" t="s">
        <v>2365</v>
      </c>
      <c r="AL422" t="s">
        <v>2365</v>
      </c>
      <c r="AM422" t="s">
        <v>2365</v>
      </c>
      <c r="AN422" t="s">
        <v>2365</v>
      </c>
      <c r="AR422" t="s">
        <v>2365</v>
      </c>
      <c r="AS422" t="s">
        <v>2365</v>
      </c>
      <c r="AT422" t="s">
        <v>2365</v>
      </c>
      <c r="AU422" t="s">
        <v>2365</v>
      </c>
      <c r="AV422" t="s">
        <v>2365</v>
      </c>
      <c r="AW422" t="s">
        <v>2365</v>
      </c>
      <c r="AX422" t="s">
        <v>2365</v>
      </c>
      <c r="AY422" t="s">
        <v>2365</v>
      </c>
      <c r="AZ422" t="s">
        <v>2365</v>
      </c>
      <c r="BA422" t="s">
        <v>2365</v>
      </c>
      <c r="BB422" t="s">
        <v>2365</v>
      </c>
      <c r="BC422" t="s">
        <v>2365</v>
      </c>
      <c r="BD422" t="s">
        <v>2366</v>
      </c>
      <c r="BE422" t="s">
        <v>2365</v>
      </c>
      <c r="BF422" t="s">
        <v>2365</v>
      </c>
      <c r="BG422" t="s">
        <v>2365</v>
      </c>
      <c r="BH422" t="s">
        <v>2365</v>
      </c>
      <c r="BI422" t="s">
        <v>2366</v>
      </c>
      <c r="BJ422" t="s">
        <v>2365</v>
      </c>
      <c r="BK422" t="s">
        <v>2365</v>
      </c>
      <c r="BL422" t="s">
        <v>2365</v>
      </c>
      <c r="BM422" t="s">
        <v>2365</v>
      </c>
      <c r="BO422">
        <v>5</v>
      </c>
      <c r="BP422">
        <v>51</v>
      </c>
      <c r="BQ422" t="s">
        <v>2438</v>
      </c>
      <c r="BR422" t="s">
        <v>1506</v>
      </c>
      <c r="BU422">
        <v>50000</v>
      </c>
      <c r="BV422">
        <v>0</v>
      </c>
      <c r="BW422">
        <v>50000</v>
      </c>
      <c r="BX422">
        <v>0</v>
      </c>
      <c r="BY422">
        <v>50000</v>
      </c>
      <c r="BZ422">
        <v>53000</v>
      </c>
      <c r="CA422">
        <v>56180</v>
      </c>
      <c r="CB422">
        <v>0</v>
      </c>
      <c r="CC422">
        <v>0</v>
      </c>
      <c r="CD422">
        <v>0</v>
      </c>
      <c r="CE422">
        <v>0</v>
      </c>
      <c r="CF422">
        <v>0</v>
      </c>
      <c r="CG422">
        <v>0</v>
      </c>
      <c r="CH422">
        <v>0</v>
      </c>
      <c r="CI422">
        <v>0</v>
      </c>
      <c r="CJ422">
        <v>0</v>
      </c>
      <c r="CK422">
        <v>0</v>
      </c>
      <c r="CL422">
        <v>0</v>
      </c>
      <c r="CM422">
        <v>0</v>
      </c>
      <c r="CR422" t="s">
        <v>2327</v>
      </c>
      <c r="CS422" s="1369" t="str">
        <f>INDEX([8]Sheet1!$H:$H,MATCH(CR:CR,[8]Sheet1!$AU:$AU,0))</f>
        <v>Education</v>
      </c>
    </row>
    <row r="423" spans="1:97" x14ac:dyDescent="0.2">
      <c r="A423" t="s">
        <v>2966</v>
      </c>
      <c r="B423">
        <v>476</v>
      </c>
      <c r="C423" t="s">
        <v>2966</v>
      </c>
      <c r="D423">
        <v>40883</v>
      </c>
      <c r="E423" t="s">
        <v>2430</v>
      </c>
      <c r="F423">
        <v>2700</v>
      </c>
      <c r="G423" t="s">
        <v>656</v>
      </c>
      <c r="H423" t="s">
        <v>2428</v>
      </c>
      <c r="I423" t="s">
        <v>1800</v>
      </c>
      <c r="J423">
        <v>2701</v>
      </c>
      <c r="K423" t="s">
        <v>1800</v>
      </c>
      <c r="L423">
        <v>2100</v>
      </c>
      <c r="M423" t="s">
        <v>618</v>
      </c>
      <c r="N423">
        <v>2115</v>
      </c>
      <c r="O423" t="s">
        <v>1506</v>
      </c>
      <c r="P423" t="s">
        <v>2366</v>
      </c>
      <c r="Q423" t="s">
        <v>2364</v>
      </c>
      <c r="R423" t="s">
        <v>2364</v>
      </c>
      <c r="S423" t="s">
        <v>1881</v>
      </c>
      <c r="T423" t="s">
        <v>1812</v>
      </c>
      <c r="U423" t="s">
        <v>2365</v>
      </c>
      <c r="V423" t="s">
        <v>2365</v>
      </c>
      <c r="W423" t="s">
        <v>2365</v>
      </c>
      <c r="X423" t="s">
        <v>2365</v>
      </c>
      <c r="Y423" t="s">
        <v>2365</v>
      </c>
      <c r="Z423" t="s">
        <v>2365</v>
      </c>
      <c r="AA423" t="s">
        <v>2365</v>
      </c>
      <c r="AB423" t="s">
        <v>2365</v>
      </c>
      <c r="AC423" s="813" t="s">
        <v>2365</v>
      </c>
      <c r="AD423" s="813" t="s">
        <v>2365</v>
      </c>
      <c r="AE423" s="813" t="s">
        <v>2365</v>
      </c>
      <c r="AF423" t="s">
        <v>2365</v>
      </c>
      <c r="AG423" t="s">
        <v>2365</v>
      </c>
      <c r="AH423" t="s">
        <v>2365</v>
      </c>
      <c r="AI423" t="s">
        <v>2365</v>
      </c>
      <c r="AJ423" t="s">
        <v>2365</v>
      </c>
      <c r="AK423" t="s">
        <v>2365</v>
      </c>
      <c r="AL423" t="s">
        <v>2365</v>
      </c>
      <c r="AM423" t="s">
        <v>2365</v>
      </c>
      <c r="AN423" t="s">
        <v>2365</v>
      </c>
      <c r="AR423" t="s">
        <v>2365</v>
      </c>
      <c r="AS423" t="s">
        <v>2365</v>
      </c>
      <c r="AT423" t="s">
        <v>2365</v>
      </c>
      <c r="AU423" t="s">
        <v>2365</v>
      </c>
      <c r="AV423" t="s">
        <v>2365</v>
      </c>
      <c r="AW423" t="s">
        <v>2365</v>
      </c>
      <c r="AX423" t="s">
        <v>2365</v>
      </c>
      <c r="AY423" t="s">
        <v>2365</v>
      </c>
      <c r="AZ423" t="s">
        <v>2365</v>
      </c>
      <c r="BA423" t="s">
        <v>2365</v>
      </c>
      <c r="BB423" t="s">
        <v>2365</v>
      </c>
      <c r="BC423" t="s">
        <v>2365</v>
      </c>
      <c r="BD423" t="s">
        <v>2366</v>
      </c>
      <c r="BE423" t="s">
        <v>2365</v>
      </c>
      <c r="BF423" t="s">
        <v>2365</v>
      </c>
      <c r="BG423" t="s">
        <v>2365</v>
      </c>
      <c r="BH423" t="s">
        <v>2365</v>
      </c>
      <c r="BI423" t="s">
        <v>2366</v>
      </c>
      <c r="BJ423" t="s">
        <v>2365</v>
      </c>
      <c r="BK423" t="s">
        <v>2365</v>
      </c>
      <c r="BL423" t="s">
        <v>2365</v>
      </c>
      <c r="BM423" t="s">
        <v>2365</v>
      </c>
      <c r="BO423">
        <v>5</v>
      </c>
      <c r="BP423">
        <v>51</v>
      </c>
      <c r="BQ423" t="s">
        <v>2438</v>
      </c>
      <c r="BR423" t="s">
        <v>1506</v>
      </c>
      <c r="BU423">
        <v>40000</v>
      </c>
      <c r="BV423">
        <v>0</v>
      </c>
      <c r="BW423">
        <v>40000</v>
      </c>
      <c r="BX423">
        <v>0</v>
      </c>
      <c r="BY423">
        <v>40000</v>
      </c>
      <c r="BZ423">
        <v>42400</v>
      </c>
      <c r="CA423">
        <v>44944</v>
      </c>
      <c r="CB423">
        <v>0</v>
      </c>
      <c r="CC423">
        <v>0</v>
      </c>
      <c r="CD423">
        <v>0</v>
      </c>
      <c r="CE423">
        <v>0</v>
      </c>
      <c r="CF423">
        <v>0</v>
      </c>
      <c r="CG423">
        <v>0</v>
      </c>
      <c r="CH423">
        <v>0</v>
      </c>
      <c r="CI423">
        <v>0</v>
      </c>
      <c r="CJ423">
        <v>0</v>
      </c>
      <c r="CK423">
        <v>0</v>
      </c>
      <c r="CL423">
        <v>0</v>
      </c>
      <c r="CM423">
        <v>0</v>
      </c>
      <c r="CR423" t="s">
        <v>2327</v>
      </c>
      <c r="CS423" s="1369" t="str">
        <f>INDEX([8]Sheet1!$H:$H,MATCH(CR:CR,[8]Sheet1!$AU:$AU,0))</f>
        <v>Education</v>
      </c>
    </row>
    <row r="424" spans="1:97" x14ac:dyDescent="0.2">
      <c r="A424" t="s">
        <v>2967</v>
      </c>
      <c r="B424">
        <v>477</v>
      </c>
      <c r="C424" t="s">
        <v>2967</v>
      </c>
      <c r="D424">
        <v>40884</v>
      </c>
      <c r="E424" t="s">
        <v>2493</v>
      </c>
      <c r="F424">
        <v>2900</v>
      </c>
      <c r="G424" t="s">
        <v>569</v>
      </c>
      <c r="H424" t="s">
        <v>2366</v>
      </c>
      <c r="I424" t="s">
        <v>2366</v>
      </c>
      <c r="J424">
        <v>2904</v>
      </c>
      <c r="K424" t="s">
        <v>1432</v>
      </c>
      <c r="L424">
        <v>2100</v>
      </c>
      <c r="M424" t="s">
        <v>618</v>
      </c>
      <c r="N424">
        <v>2115</v>
      </c>
      <c r="O424" t="s">
        <v>1506</v>
      </c>
      <c r="P424" t="s">
        <v>2366</v>
      </c>
      <c r="Q424" t="s">
        <v>2364</v>
      </c>
      <c r="R424" t="s">
        <v>2364</v>
      </c>
      <c r="S424" t="s">
        <v>1881</v>
      </c>
      <c r="T424" t="s">
        <v>1812</v>
      </c>
      <c r="U424" t="s">
        <v>2365</v>
      </c>
      <c r="V424" t="s">
        <v>2365</v>
      </c>
      <c r="W424" t="s">
        <v>2365</v>
      </c>
      <c r="X424" t="s">
        <v>2365</v>
      </c>
      <c r="Y424" t="s">
        <v>2365</v>
      </c>
      <c r="Z424" t="s">
        <v>2365</v>
      </c>
      <c r="AA424" t="s">
        <v>2365</v>
      </c>
      <c r="AB424" t="s">
        <v>2365</v>
      </c>
      <c r="AC424" s="813" t="s">
        <v>2365</v>
      </c>
      <c r="AD424" s="813" t="s">
        <v>2365</v>
      </c>
      <c r="AE424" s="813" t="s">
        <v>2365</v>
      </c>
      <c r="AF424" t="s">
        <v>2365</v>
      </c>
      <c r="AG424" t="s">
        <v>2365</v>
      </c>
      <c r="AH424" t="s">
        <v>2365</v>
      </c>
      <c r="AI424" t="s">
        <v>2365</v>
      </c>
      <c r="AJ424" t="s">
        <v>2365</v>
      </c>
      <c r="AK424" t="s">
        <v>2365</v>
      </c>
      <c r="AL424" t="s">
        <v>2365</v>
      </c>
      <c r="AM424" t="s">
        <v>2365</v>
      </c>
      <c r="AN424" t="s">
        <v>2365</v>
      </c>
      <c r="AR424" t="s">
        <v>2365</v>
      </c>
      <c r="AS424" t="s">
        <v>2365</v>
      </c>
      <c r="AT424" t="s">
        <v>2365</v>
      </c>
      <c r="AU424" t="s">
        <v>2365</v>
      </c>
      <c r="AV424" t="s">
        <v>2365</v>
      </c>
      <c r="AW424" t="s">
        <v>2365</v>
      </c>
      <c r="AX424" t="s">
        <v>2365</v>
      </c>
      <c r="AY424" t="s">
        <v>2365</v>
      </c>
      <c r="AZ424" t="s">
        <v>2365</v>
      </c>
      <c r="BA424" t="s">
        <v>2365</v>
      </c>
      <c r="BB424" t="s">
        <v>2365</v>
      </c>
      <c r="BC424" t="s">
        <v>2365</v>
      </c>
      <c r="BD424" t="s">
        <v>2366</v>
      </c>
      <c r="BE424" t="s">
        <v>2365</v>
      </c>
      <c r="BF424" t="s">
        <v>2365</v>
      </c>
      <c r="BG424" t="s">
        <v>2365</v>
      </c>
      <c r="BH424" t="s">
        <v>2365</v>
      </c>
      <c r="BI424" t="s">
        <v>2366</v>
      </c>
      <c r="BJ424" t="s">
        <v>2365</v>
      </c>
      <c r="BK424" t="s">
        <v>2365</v>
      </c>
      <c r="BL424" t="s">
        <v>2365</v>
      </c>
      <c r="BM424" t="s">
        <v>2365</v>
      </c>
      <c r="BO424">
        <v>5</v>
      </c>
      <c r="BP424">
        <v>51</v>
      </c>
      <c r="BQ424" t="s">
        <v>2438</v>
      </c>
      <c r="BR424" t="s">
        <v>1506</v>
      </c>
      <c r="BU424">
        <v>0</v>
      </c>
      <c r="BV424">
        <v>0</v>
      </c>
      <c r="BW424">
        <v>0</v>
      </c>
      <c r="BX424">
        <v>0</v>
      </c>
      <c r="BY424">
        <v>0</v>
      </c>
      <c r="BZ424">
        <v>0</v>
      </c>
      <c r="CA424">
        <v>0</v>
      </c>
      <c r="CB424">
        <v>0</v>
      </c>
      <c r="CC424">
        <v>0</v>
      </c>
      <c r="CD424">
        <v>0</v>
      </c>
      <c r="CE424">
        <v>0</v>
      </c>
      <c r="CF424">
        <v>0</v>
      </c>
      <c r="CG424">
        <v>0</v>
      </c>
      <c r="CH424">
        <v>0</v>
      </c>
      <c r="CI424">
        <v>0</v>
      </c>
      <c r="CJ424">
        <v>0</v>
      </c>
      <c r="CK424">
        <v>0</v>
      </c>
      <c r="CL424">
        <v>0</v>
      </c>
      <c r="CM424">
        <v>0</v>
      </c>
      <c r="CR424" t="s">
        <v>2327</v>
      </c>
      <c r="CS424" s="1369" t="str">
        <f>INDEX([8]Sheet1!$H:$H,MATCH(CR:CR,[8]Sheet1!$AU:$AU,0))</f>
        <v>Education</v>
      </c>
    </row>
    <row r="425" spans="1:97" x14ac:dyDescent="0.2">
      <c r="A425" t="s">
        <v>2968</v>
      </c>
      <c r="B425">
        <v>478</v>
      </c>
      <c r="C425" t="s">
        <v>2968</v>
      </c>
      <c r="D425">
        <v>40885</v>
      </c>
      <c r="E425" t="s">
        <v>2508</v>
      </c>
      <c r="F425">
        <v>2900</v>
      </c>
      <c r="G425" t="s">
        <v>569</v>
      </c>
      <c r="H425" t="s">
        <v>2366</v>
      </c>
      <c r="I425" t="s">
        <v>2366</v>
      </c>
      <c r="J425">
        <v>2904</v>
      </c>
      <c r="K425" t="s">
        <v>1432</v>
      </c>
      <c r="L425">
        <v>2100</v>
      </c>
      <c r="M425" t="s">
        <v>618</v>
      </c>
      <c r="N425">
        <v>2115</v>
      </c>
      <c r="O425" t="s">
        <v>1506</v>
      </c>
      <c r="P425" t="s">
        <v>2366</v>
      </c>
      <c r="Q425" t="s">
        <v>2364</v>
      </c>
      <c r="R425" t="s">
        <v>2364</v>
      </c>
      <c r="S425" t="s">
        <v>1881</v>
      </c>
      <c r="T425" t="s">
        <v>1812</v>
      </c>
      <c r="U425" t="s">
        <v>2365</v>
      </c>
      <c r="V425" t="s">
        <v>2365</v>
      </c>
      <c r="W425" t="s">
        <v>2365</v>
      </c>
      <c r="X425" t="s">
        <v>2365</v>
      </c>
      <c r="Y425" t="s">
        <v>2365</v>
      </c>
      <c r="Z425" t="s">
        <v>2365</v>
      </c>
      <c r="AA425" t="s">
        <v>2365</v>
      </c>
      <c r="AB425" t="s">
        <v>2365</v>
      </c>
      <c r="AC425" s="813" t="s">
        <v>2365</v>
      </c>
      <c r="AD425" s="813" t="s">
        <v>2365</v>
      </c>
      <c r="AE425" s="813" t="s">
        <v>2365</v>
      </c>
      <c r="AF425" t="s">
        <v>2365</v>
      </c>
      <c r="AG425" t="s">
        <v>2365</v>
      </c>
      <c r="AH425" t="s">
        <v>2365</v>
      </c>
      <c r="AI425" t="s">
        <v>2365</v>
      </c>
      <c r="AJ425" t="s">
        <v>2365</v>
      </c>
      <c r="AK425" t="s">
        <v>2365</v>
      </c>
      <c r="AL425" t="s">
        <v>2365</v>
      </c>
      <c r="AM425" t="s">
        <v>2365</v>
      </c>
      <c r="AN425" t="s">
        <v>2365</v>
      </c>
      <c r="AR425" t="s">
        <v>2365</v>
      </c>
      <c r="AS425" t="s">
        <v>2365</v>
      </c>
      <c r="AT425" t="s">
        <v>2365</v>
      </c>
      <c r="AU425" t="s">
        <v>2365</v>
      </c>
      <c r="AV425" t="s">
        <v>2365</v>
      </c>
      <c r="AW425" t="s">
        <v>2365</v>
      </c>
      <c r="AX425" t="s">
        <v>2365</v>
      </c>
      <c r="AY425" t="s">
        <v>2365</v>
      </c>
      <c r="AZ425" t="s">
        <v>2365</v>
      </c>
      <c r="BA425" t="s">
        <v>2365</v>
      </c>
      <c r="BB425" t="s">
        <v>2365</v>
      </c>
      <c r="BC425" t="s">
        <v>2365</v>
      </c>
      <c r="BD425" t="s">
        <v>2366</v>
      </c>
      <c r="BE425" t="s">
        <v>2365</v>
      </c>
      <c r="BF425" t="s">
        <v>2365</v>
      </c>
      <c r="BG425" t="s">
        <v>2365</v>
      </c>
      <c r="BH425" t="s">
        <v>2365</v>
      </c>
      <c r="BI425" t="s">
        <v>2366</v>
      </c>
      <c r="BJ425" t="s">
        <v>2365</v>
      </c>
      <c r="BK425" t="s">
        <v>2365</v>
      </c>
      <c r="BL425" t="s">
        <v>2365</v>
      </c>
      <c r="BM425" t="s">
        <v>2365</v>
      </c>
      <c r="BO425">
        <v>5</v>
      </c>
      <c r="BP425">
        <v>51</v>
      </c>
      <c r="BQ425" t="s">
        <v>2438</v>
      </c>
      <c r="BR425" t="s">
        <v>1506</v>
      </c>
      <c r="BU425">
        <v>0</v>
      </c>
      <c r="BV425">
        <v>0</v>
      </c>
      <c r="BW425">
        <v>0</v>
      </c>
      <c r="BX425">
        <v>0</v>
      </c>
      <c r="BY425">
        <v>0</v>
      </c>
      <c r="BZ425">
        <v>0</v>
      </c>
      <c r="CA425">
        <v>0</v>
      </c>
      <c r="CB425">
        <v>0</v>
      </c>
      <c r="CC425">
        <v>0</v>
      </c>
      <c r="CD425">
        <v>0</v>
      </c>
      <c r="CE425">
        <v>0</v>
      </c>
      <c r="CF425">
        <v>0</v>
      </c>
      <c r="CG425">
        <v>0</v>
      </c>
      <c r="CH425">
        <v>0</v>
      </c>
      <c r="CI425">
        <v>0</v>
      </c>
      <c r="CJ425">
        <v>0</v>
      </c>
      <c r="CK425">
        <v>0</v>
      </c>
      <c r="CL425">
        <v>0</v>
      </c>
      <c r="CM425">
        <v>0</v>
      </c>
      <c r="CR425" t="s">
        <v>2327</v>
      </c>
      <c r="CS425" s="1369" t="str">
        <f>INDEX([8]Sheet1!$H:$H,MATCH(CR:CR,[8]Sheet1!$AU:$AU,0))</f>
        <v>Education</v>
      </c>
    </row>
    <row r="426" spans="1:97" x14ac:dyDescent="0.2">
      <c r="A426" t="s">
        <v>2969</v>
      </c>
      <c r="B426">
        <v>479</v>
      </c>
      <c r="C426" t="s">
        <v>2969</v>
      </c>
      <c r="D426">
        <v>40886</v>
      </c>
      <c r="E426" t="s">
        <v>2510</v>
      </c>
      <c r="F426">
        <v>2900</v>
      </c>
      <c r="G426" t="s">
        <v>569</v>
      </c>
      <c r="H426" t="s">
        <v>2366</v>
      </c>
      <c r="I426" t="s">
        <v>2366</v>
      </c>
      <c r="J426">
        <v>2904</v>
      </c>
      <c r="K426" t="s">
        <v>1432</v>
      </c>
      <c r="L426">
        <v>2100</v>
      </c>
      <c r="M426" t="s">
        <v>618</v>
      </c>
      <c r="N426">
        <v>2115</v>
      </c>
      <c r="O426" t="s">
        <v>1506</v>
      </c>
      <c r="P426" t="s">
        <v>2366</v>
      </c>
      <c r="Q426" t="s">
        <v>2364</v>
      </c>
      <c r="R426" t="s">
        <v>2364</v>
      </c>
      <c r="S426" t="s">
        <v>1881</v>
      </c>
      <c r="T426" t="s">
        <v>1812</v>
      </c>
      <c r="U426" t="s">
        <v>2365</v>
      </c>
      <c r="V426" t="s">
        <v>2365</v>
      </c>
      <c r="W426" t="s">
        <v>2365</v>
      </c>
      <c r="X426" t="s">
        <v>2365</v>
      </c>
      <c r="Y426" t="s">
        <v>2365</v>
      </c>
      <c r="Z426" t="s">
        <v>2365</v>
      </c>
      <c r="AA426" t="s">
        <v>2365</v>
      </c>
      <c r="AB426" t="s">
        <v>2365</v>
      </c>
      <c r="AC426" s="813" t="s">
        <v>2365</v>
      </c>
      <c r="AD426" s="813" t="s">
        <v>2365</v>
      </c>
      <c r="AE426" s="813" t="s">
        <v>2365</v>
      </c>
      <c r="AF426" t="s">
        <v>2365</v>
      </c>
      <c r="AG426" t="s">
        <v>2365</v>
      </c>
      <c r="AH426" t="s">
        <v>2365</v>
      </c>
      <c r="AI426" t="s">
        <v>2365</v>
      </c>
      <c r="AJ426" t="s">
        <v>2365</v>
      </c>
      <c r="AK426" t="s">
        <v>2365</v>
      </c>
      <c r="AL426" t="s">
        <v>2365</v>
      </c>
      <c r="AM426" t="s">
        <v>2365</v>
      </c>
      <c r="AN426" t="s">
        <v>2365</v>
      </c>
      <c r="AR426" t="s">
        <v>2365</v>
      </c>
      <c r="AS426" t="s">
        <v>2365</v>
      </c>
      <c r="AT426" t="s">
        <v>2365</v>
      </c>
      <c r="AU426" t="s">
        <v>2365</v>
      </c>
      <c r="AV426" t="s">
        <v>2365</v>
      </c>
      <c r="AW426" t="s">
        <v>2365</v>
      </c>
      <c r="AX426" t="s">
        <v>2365</v>
      </c>
      <c r="AY426" t="s">
        <v>2365</v>
      </c>
      <c r="AZ426" t="s">
        <v>2365</v>
      </c>
      <c r="BA426" t="s">
        <v>2365</v>
      </c>
      <c r="BB426" t="s">
        <v>2365</v>
      </c>
      <c r="BC426" t="s">
        <v>2365</v>
      </c>
      <c r="BD426" t="s">
        <v>2366</v>
      </c>
      <c r="BE426" t="s">
        <v>2365</v>
      </c>
      <c r="BF426" t="s">
        <v>2365</v>
      </c>
      <c r="BG426" t="s">
        <v>2365</v>
      </c>
      <c r="BH426" t="s">
        <v>2365</v>
      </c>
      <c r="BI426" t="s">
        <v>2366</v>
      </c>
      <c r="BJ426" t="s">
        <v>2365</v>
      </c>
      <c r="BK426" t="s">
        <v>2365</v>
      </c>
      <c r="BL426" t="s">
        <v>2365</v>
      </c>
      <c r="BM426" t="s">
        <v>2365</v>
      </c>
      <c r="BO426">
        <v>5</v>
      </c>
      <c r="BP426">
        <v>51</v>
      </c>
      <c r="BQ426" t="s">
        <v>2438</v>
      </c>
      <c r="BR426" t="s">
        <v>1506</v>
      </c>
      <c r="BU426">
        <v>0</v>
      </c>
      <c r="BV426">
        <v>0</v>
      </c>
      <c r="BW426">
        <v>0</v>
      </c>
      <c r="BX426">
        <v>0</v>
      </c>
      <c r="BY426">
        <v>0</v>
      </c>
      <c r="BZ426">
        <v>0</v>
      </c>
      <c r="CA426">
        <v>0</v>
      </c>
      <c r="CB426">
        <v>0</v>
      </c>
      <c r="CC426">
        <v>0</v>
      </c>
      <c r="CD426">
        <v>0</v>
      </c>
      <c r="CE426">
        <v>0</v>
      </c>
      <c r="CF426">
        <v>0</v>
      </c>
      <c r="CG426">
        <v>0</v>
      </c>
      <c r="CH426">
        <v>0</v>
      </c>
      <c r="CI426">
        <v>0</v>
      </c>
      <c r="CJ426">
        <v>0</v>
      </c>
      <c r="CK426">
        <v>0</v>
      </c>
      <c r="CL426">
        <v>0</v>
      </c>
      <c r="CM426">
        <v>0</v>
      </c>
      <c r="CR426" t="s">
        <v>2327</v>
      </c>
      <c r="CS426" s="1369" t="str">
        <f>INDEX([8]Sheet1!$H:$H,MATCH(CR:CR,[8]Sheet1!$AU:$AU,0))</f>
        <v>Education</v>
      </c>
    </row>
    <row r="427" spans="1:97" x14ac:dyDescent="0.2">
      <c r="A427" t="s">
        <v>2970</v>
      </c>
      <c r="B427">
        <v>480</v>
      </c>
      <c r="C427" t="s">
        <v>2970</v>
      </c>
      <c r="D427">
        <v>40887</v>
      </c>
      <c r="E427" t="s">
        <v>2600</v>
      </c>
      <c r="F427">
        <v>2900</v>
      </c>
      <c r="G427" t="s">
        <v>569</v>
      </c>
      <c r="H427" t="s">
        <v>2366</v>
      </c>
      <c r="I427" t="s">
        <v>2366</v>
      </c>
      <c r="J427">
        <v>2904</v>
      </c>
      <c r="K427" t="s">
        <v>1432</v>
      </c>
      <c r="L427">
        <v>2100</v>
      </c>
      <c r="M427" t="s">
        <v>618</v>
      </c>
      <c r="N427">
        <v>2115</v>
      </c>
      <c r="O427" t="s">
        <v>1506</v>
      </c>
      <c r="P427" t="s">
        <v>2366</v>
      </c>
      <c r="Q427" t="s">
        <v>2364</v>
      </c>
      <c r="R427" t="s">
        <v>2364</v>
      </c>
      <c r="S427" t="s">
        <v>1881</v>
      </c>
      <c r="T427" t="s">
        <v>1812</v>
      </c>
      <c r="U427" t="s">
        <v>2365</v>
      </c>
      <c r="V427" t="s">
        <v>2365</v>
      </c>
      <c r="W427" t="s">
        <v>2365</v>
      </c>
      <c r="X427" t="s">
        <v>2365</v>
      </c>
      <c r="Y427" t="s">
        <v>2365</v>
      </c>
      <c r="Z427" t="s">
        <v>2365</v>
      </c>
      <c r="AA427" t="s">
        <v>2365</v>
      </c>
      <c r="AB427" t="s">
        <v>2365</v>
      </c>
      <c r="AC427" s="813" t="s">
        <v>2365</v>
      </c>
      <c r="AD427" s="813" t="s">
        <v>2365</v>
      </c>
      <c r="AE427" s="813" t="s">
        <v>2365</v>
      </c>
      <c r="AF427" t="s">
        <v>2365</v>
      </c>
      <c r="AG427" t="s">
        <v>2365</v>
      </c>
      <c r="AH427" t="s">
        <v>2365</v>
      </c>
      <c r="AI427" t="s">
        <v>2365</v>
      </c>
      <c r="AJ427" t="s">
        <v>2365</v>
      </c>
      <c r="AK427" t="s">
        <v>2365</v>
      </c>
      <c r="AL427" t="s">
        <v>2365</v>
      </c>
      <c r="AM427" t="s">
        <v>2365</v>
      </c>
      <c r="AN427" t="s">
        <v>2365</v>
      </c>
      <c r="AR427" t="s">
        <v>2365</v>
      </c>
      <c r="AS427" t="s">
        <v>2365</v>
      </c>
      <c r="AT427" t="s">
        <v>2365</v>
      </c>
      <c r="AU427" t="s">
        <v>2365</v>
      </c>
      <c r="AV427" t="s">
        <v>2365</v>
      </c>
      <c r="AW427" t="s">
        <v>2365</v>
      </c>
      <c r="AX427" t="s">
        <v>2365</v>
      </c>
      <c r="AY427" t="s">
        <v>2365</v>
      </c>
      <c r="AZ427" t="s">
        <v>2365</v>
      </c>
      <c r="BA427" t="s">
        <v>2365</v>
      </c>
      <c r="BB427" t="s">
        <v>2365</v>
      </c>
      <c r="BC427" t="s">
        <v>2365</v>
      </c>
      <c r="BD427" t="s">
        <v>2366</v>
      </c>
      <c r="BE427" t="s">
        <v>2365</v>
      </c>
      <c r="BF427" t="s">
        <v>2365</v>
      </c>
      <c r="BG427" t="s">
        <v>2365</v>
      </c>
      <c r="BH427" t="s">
        <v>2365</v>
      </c>
      <c r="BI427" t="s">
        <v>2366</v>
      </c>
      <c r="BJ427" t="s">
        <v>2365</v>
      </c>
      <c r="BK427" t="s">
        <v>2365</v>
      </c>
      <c r="BL427" t="s">
        <v>2365</v>
      </c>
      <c r="BM427" t="s">
        <v>2365</v>
      </c>
      <c r="BO427">
        <v>5</v>
      </c>
      <c r="BP427">
        <v>51</v>
      </c>
      <c r="BQ427" t="s">
        <v>2438</v>
      </c>
      <c r="BR427" t="s">
        <v>1506</v>
      </c>
      <c r="BU427">
        <v>180000</v>
      </c>
      <c r="BV427">
        <v>0</v>
      </c>
      <c r="BW427">
        <v>180000</v>
      </c>
      <c r="BX427">
        <v>0</v>
      </c>
      <c r="BY427">
        <v>180000</v>
      </c>
      <c r="BZ427">
        <v>190800</v>
      </c>
      <c r="CA427">
        <v>202248</v>
      </c>
      <c r="CB427">
        <v>0</v>
      </c>
      <c r="CC427">
        <v>0</v>
      </c>
      <c r="CD427">
        <v>0</v>
      </c>
      <c r="CE427">
        <v>0</v>
      </c>
      <c r="CF427">
        <v>0</v>
      </c>
      <c r="CG427">
        <v>0</v>
      </c>
      <c r="CH427">
        <v>0</v>
      </c>
      <c r="CI427">
        <v>0</v>
      </c>
      <c r="CJ427">
        <v>0</v>
      </c>
      <c r="CK427">
        <v>0</v>
      </c>
      <c r="CL427">
        <v>0</v>
      </c>
      <c r="CM427">
        <v>0</v>
      </c>
      <c r="CR427" t="s">
        <v>2327</v>
      </c>
      <c r="CS427" s="1369" t="str">
        <f>INDEX([8]Sheet1!$H:$H,MATCH(CR:CR,[8]Sheet1!$AU:$AU,0))</f>
        <v>Education</v>
      </c>
    </row>
    <row r="428" spans="1:97" x14ac:dyDescent="0.2">
      <c r="A428" t="s">
        <v>2971</v>
      </c>
      <c r="B428">
        <v>481</v>
      </c>
      <c r="C428" t="s">
        <v>2971</v>
      </c>
      <c r="D428">
        <v>40888</v>
      </c>
      <c r="E428" t="s">
        <v>2455</v>
      </c>
      <c r="F428">
        <v>2900</v>
      </c>
      <c r="G428" t="s">
        <v>569</v>
      </c>
      <c r="H428" t="s">
        <v>2366</v>
      </c>
      <c r="I428" t="s">
        <v>2366</v>
      </c>
      <c r="J428">
        <v>2904</v>
      </c>
      <c r="K428" t="s">
        <v>1432</v>
      </c>
      <c r="L428">
        <v>2100</v>
      </c>
      <c r="M428" t="s">
        <v>618</v>
      </c>
      <c r="N428">
        <v>2115</v>
      </c>
      <c r="O428" t="s">
        <v>1506</v>
      </c>
      <c r="P428" t="s">
        <v>2366</v>
      </c>
      <c r="Q428" t="s">
        <v>2364</v>
      </c>
      <c r="R428" t="s">
        <v>2364</v>
      </c>
      <c r="S428" t="s">
        <v>1881</v>
      </c>
      <c r="T428" t="s">
        <v>1812</v>
      </c>
      <c r="U428" t="s">
        <v>2365</v>
      </c>
      <c r="V428" t="s">
        <v>2365</v>
      </c>
      <c r="W428" t="s">
        <v>2365</v>
      </c>
      <c r="X428" t="s">
        <v>2365</v>
      </c>
      <c r="Y428" t="s">
        <v>2365</v>
      </c>
      <c r="Z428" t="s">
        <v>2365</v>
      </c>
      <c r="AA428" t="s">
        <v>2365</v>
      </c>
      <c r="AB428" t="s">
        <v>2365</v>
      </c>
      <c r="AC428" s="813" t="s">
        <v>2365</v>
      </c>
      <c r="AD428" s="813" t="s">
        <v>2365</v>
      </c>
      <c r="AE428" s="813" t="s">
        <v>2365</v>
      </c>
      <c r="AF428" t="s">
        <v>2365</v>
      </c>
      <c r="AG428" t="s">
        <v>2365</v>
      </c>
      <c r="AH428" t="s">
        <v>2365</v>
      </c>
      <c r="AI428" t="s">
        <v>2365</v>
      </c>
      <c r="AJ428" t="s">
        <v>2365</v>
      </c>
      <c r="AK428" t="s">
        <v>2365</v>
      </c>
      <c r="AL428" t="s">
        <v>2365</v>
      </c>
      <c r="AM428" t="s">
        <v>2365</v>
      </c>
      <c r="AN428" t="s">
        <v>2365</v>
      </c>
      <c r="AR428" t="s">
        <v>2365</v>
      </c>
      <c r="AS428" t="s">
        <v>2365</v>
      </c>
      <c r="AT428" t="s">
        <v>2365</v>
      </c>
      <c r="AU428" t="s">
        <v>2365</v>
      </c>
      <c r="AV428" t="s">
        <v>2365</v>
      </c>
      <c r="AW428" t="s">
        <v>2365</v>
      </c>
      <c r="AX428" t="s">
        <v>2365</v>
      </c>
      <c r="AY428" t="s">
        <v>2365</v>
      </c>
      <c r="AZ428" t="s">
        <v>2365</v>
      </c>
      <c r="BA428" t="s">
        <v>2365</v>
      </c>
      <c r="BB428" t="s">
        <v>2365</v>
      </c>
      <c r="BC428" t="s">
        <v>2365</v>
      </c>
      <c r="BD428" t="s">
        <v>2366</v>
      </c>
      <c r="BE428" t="s">
        <v>2365</v>
      </c>
      <c r="BF428" t="s">
        <v>2365</v>
      </c>
      <c r="BG428" t="s">
        <v>2365</v>
      </c>
      <c r="BH428" t="s">
        <v>2365</v>
      </c>
      <c r="BI428" t="s">
        <v>2366</v>
      </c>
      <c r="BJ428" t="s">
        <v>2365</v>
      </c>
      <c r="BK428" t="s">
        <v>2365</v>
      </c>
      <c r="BL428" t="s">
        <v>2365</v>
      </c>
      <c r="BM428" t="s">
        <v>2365</v>
      </c>
      <c r="BO428">
        <v>5</v>
      </c>
      <c r="BP428">
        <v>51</v>
      </c>
      <c r="BQ428" t="s">
        <v>2438</v>
      </c>
      <c r="BR428" t="s">
        <v>1506</v>
      </c>
      <c r="BU428">
        <v>0</v>
      </c>
      <c r="BV428">
        <v>0</v>
      </c>
      <c r="BW428">
        <v>0</v>
      </c>
      <c r="BX428">
        <v>0</v>
      </c>
      <c r="BY428">
        <v>0</v>
      </c>
      <c r="BZ428">
        <v>0</v>
      </c>
      <c r="CA428">
        <v>0</v>
      </c>
      <c r="CB428">
        <v>0</v>
      </c>
      <c r="CC428">
        <v>0</v>
      </c>
      <c r="CD428">
        <v>0</v>
      </c>
      <c r="CE428">
        <v>0</v>
      </c>
      <c r="CF428">
        <v>0</v>
      </c>
      <c r="CG428">
        <v>0</v>
      </c>
      <c r="CH428">
        <v>0</v>
      </c>
      <c r="CI428">
        <v>0</v>
      </c>
      <c r="CJ428">
        <v>0</v>
      </c>
      <c r="CK428">
        <v>0</v>
      </c>
      <c r="CL428">
        <v>0</v>
      </c>
      <c r="CM428">
        <v>0</v>
      </c>
      <c r="CR428" t="s">
        <v>2327</v>
      </c>
      <c r="CS428" s="1369" t="str">
        <f>INDEX([8]Sheet1!$H:$H,MATCH(CR:CR,[8]Sheet1!$AU:$AU,0))</f>
        <v>Education</v>
      </c>
    </row>
    <row r="429" spans="1:97" x14ac:dyDescent="0.2">
      <c r="A429" t="s">
        <v>2972</v>
      </c>
      <c r="B429">
        <v>482</v>
      </c>
      <c r="C429" t="s">
        <v>2972</v>
      </c>
      <c r="D429">
        <v>40889</v>
      </c>
      <c r="E429" t="s">
        <v>2430</v>
      </c>
      <c r="F429">
        <v>2700</v>
      </c>
      <c r="G429" t="s">
        <v>656</v>
      </c>
      <c r="H429" t="s">
        <v>2428</v>
      </c>
      <c r="I429" t="s">
        <v>1800</v>
      </c>
      <c r="J429">
        <v>2701</v>
      </c>
      <c r="K429" t="s">
        <v>1800</v>
      </c>
      <c r="L429">
        <v>2100</v>
      </c>
      <c r="M429" t="s">
        <v>618</v>
      </c>
      <c r="N429">
        <v>2115</v>
      </c>
      <c r="O429" t="s">
        <v>1506</v>
      </c>
      <c r="P429" t="s">
        <v>2366</v>
      </c>
      <c r="Q429" t="s">
        <v>2364</v>
      </c>
      <c r="R429" t="s">
        <v>2364</v>
      </c>
      <c r="S429" t="s">
        <v>1881</v>
      </c>
      <c r="T429" t="s">
        <v>1812</v>
      </c>
      <c r="U429" t="s">
        <v>2365</v>
      </c>
      <c r="V429" t="s">
        <v>2365</v>
      </c>
      <c r="W429" t="s">
        <v>2365</v>
      </c>
      <c r="X429" t="s">
        <v>2365</v>
      </c>
      <c r="Y429" t="s">
        <v>2365</v>
      </c>
      <c r="Z429" t="s">
        <v>2365</v>
      </c>
      <c r="AA429" t="s">
        <v>2365</v>
      </c>
      <c r="AB429" t="s">
        <v>2365</v>
      </c>
      <c r="AC429" s="813" t="s">
        <v>2365</v>
      </c>
      <c r="AD429" s="813" t="s">
        <v>2365</v>
      </c>
      <c r="AE429" s="813" t="s">
        <v>2365</v>
      </c>
      <c r="AF429" t="s">
        <v>2365</v>
      </c>
      <c r="AG429" t="s">
        <v>2365</v>
      </c>
      <c r="AH429" t="s">
        <v>2365</v>
      </c>
      <c r="AI429" t="s">
        <v>2365</v>
      </c>
      <c r="AJ429" t="s">
        <v>2365</v>
      </c>
      <c r="AK429" t="s">
        <v>2365</v>
      </c>
      <c r="AL429" t="s">
        <v>2365</v>
      </c>
      <c r="AM429" t="s">
        <v>2365</v>
      </c>
      <c r="AN429" t="s">
        <v>2365</v>
      </c>
      <c r="AR429" t="s">
        <v>2365</v>
      </c>
      <c r="AS429" t="s">
        <v>2365</v>
      </c>
      <c r="AT429" t="s">
        <v>2365</v>
      </c>
      <c r="AU429" t="s">
        <v>2365</v>
      </c>
      <c r="AV429" t="s">
        <v>2365</v>
      </c>
      <c r="AW429" t="s">
        <v>2365</v>
      </c>
      <c r="AX429" t="s">
        <v>2365</v>
      </c>
      <c r="AY429" t="s">
        <v>2365</v>
      </c>
      <c r="AZ429" t="s">
        <v>2365</v>
      </c>
      <c r="BA429" t="s">
        <v>2365</v>
      </c>
      <c r="BB429" t="s">
        <v>2365</v>
      </c>
      <c r="BC429" t="s">
        <v>2365</v>
      </c>
      <c r="BD429" t="s">
        <v>2366</v>
      </c>
      <c r="BE429" t="s">
        <v>2365</v>
      </c>
      <c r="BF429" t="s">
        <v>2365</v>
      </c>
      <c r="BG429" t="s">
        <v>2365</v>
      </c>
      <c r="BH429" t="s">
        <v>2365</v>
      </c>
      <c r="BI429" t="s">
        <v>2366</v>
      </c>
      <c r="BJ429" t="s">
        <v>2365</v>
      </c>
      <c r="BK429" t="s">
        <v>2365</v>
      </c>
      <c r="BL429" t="s">
        <v>2365</v>
      </c>
      <c r="BM429" t="s">
        <v>2365</v>
      </c>
      <c r="BO429">
        <v>5</v>
      </c>
      <c r="BP429">
        <v>51</v>
      </c>
      <c r="BQ429" t="s">
        <v>2438</v>
      </c>
      <c r="BR429" t="s">
        <v>1506</v>
      </c>
      <c r="BU429">
        <v>50000</v>
      </c>
      <c r="BV429">
        <v>0</v>
      </c>
      <c r="BW429">
        <v>50000</v>
      </c>
      <c r="BX429">
        <v>30000</v>
      </c>
      <c r="BY429">
        <v>80000</v>
      </c>
      <c r="BZ429">
        <v>53000</v>
      </c>
      <c r="CA429">
        <v>56180</v>
      </c>
      <c r="CB429">
        <v>0</v>
      </c>
      <c r="CC429">
        <v>0</v>
      </c>
      <c r="CD429">
        <v>0</v>
      </c>
      <c r="CE429">
        <v>0</v>
      </c>
      <c r="CF429">
        <v>0</v>
      </c>
      <c r="CG429">
        <v>0</v>
      </c>
      <c r="CH429">
        <v>0</v>
      </c>
      <c r="CI429">
        <v>0</v>
      </c>
      <c r="CJ429">
        <v>0</v>
      </c>
      <c r="CK429">
        <v>0</v>
      </c>
      <c r="CL429">
        <v>0</v>
      </c>
      <c r="CM429">
        <v>0</v>
      </c>
      <c r="CR429" t="s">
        <v>2322</v>
      </c>
      <c r="CS429" s="1369" t="str">
        <f>INDEX([8]Sheet1!$H:$H,MATCH(CR:CR,[8]Sheet1!$AU:$AU,0))</f>
        <v>Human Resources</v>
      </c>
    </row>
    <row r="430" spans="1:97" x14ac:dyDescent="0.2">
      <c r="A430" t="s">
        <v>2973</v>
      </c>
      <c r="B430">
        <v>483</v>
      </c>
      <c r="C430" t="s">
        <v>2973</v>
      </c>
      <c r="D430">
        <v>40890</v>
      </c>
      <c r="E430" t="s">
        <v>2974</v>
      </c>
      <c r="F430">
        <v>2900</v>
      </c>
      <c r="G430" t="s">
        <v>569</v>
      </c>
      <c r="H430" t="s">
        <v>2366</v>
      </c>
      <c r="I430" t="s">
        <v>2366</v>
      </c>
      <c r="J430">
        <v>2904</v>
      </c>
      <c r="K430" t="s">
        <v>1432</v>
      </c>
      <c r="L430">
        <v>2100</v>
      </c>
      <c r="M430" t="s">
        <v>618</v>
      </c>
      <c r="N430">
        <v>2115</v>
      </c>
      <c r="O430" t="s">
        <v>1506</v>
      </c>
      <c r="P430" t="s">
        <v>2366</v>
      </c>
      <c r="Q430" t="s">
        <v>2364</v>
      </c>
      <c r="R430" t="s">
        <v>2364</v>
      </c>
      <c r="S430" t="s">
        <v>1881</v>
      </c>
      <c r="T430" t="s">
        <v>1812</v>
      </c>
      <c r="U430" t="s">
        <v>2365</v>
      </c>
      <c r="V430" t="s">
        <v>2365</v>
      </c>
      <c r="W430" t="s">
        <v>2365</v>
      </c>
      <c r="X430" t="s">
        <v>2365</v>
      </c>
      <c r="Y430" t="s">
        <v>2365</v>
      </c>
      <c r="Z430" t="s">
        <v>2365</v>
      </c>
      <c r="AA430" t="s">
        <v>2365</v>
      </c>
      <c r="AB430" t="s">
        <v>2365</v>
      </c>
      <c r="AC430" s="813" t="s">
        <v>2365</v>
      </c>
      <c r="AD430" s="813" t="s">
        <v>2365</v>
      </c>
      <c r="AE430" s="813" t="s">
        <v>2365</v>
      </c>
      <c r="AF430" t="s">
        <v>2365</v>
      </c>
      <c r="AG430" t="s">
        <v>2365</v>
      </c>
      <c r="AH430" t="s">
        <v>2365</v>
      </c>
      <c r="AI430" t="s">
        <v>2365</v>
      </c>
      <c r="AJ430" t="s">
        <v>2365</v>
      </c>
      <c r="AK430" s="1373" t="s">
        <v>2365</v>
      </c>
      <c r="AL430" t="s">
        <v>2365</v>
      </c>
      <c r="AM430" t="s">
        <v>2365</v>
      </c>
      <c r="AN430" t="s">
        <v>2365</v>
      </c>
      <c r="AR430" t="s">
        <v>2365</v>
      </c>
      <c r="AS430" t="s">
        <v>2365</v>
      </c>
      <c r="AT430" t="s">
        <v>2365</v>
      </c>
      <c r="AU430" t="s">
        <v>2365</v>
      </c>
      <c r="AV430" t="s">
        <v>2365</v>
      </c>
      <c r="AW430" t="s">
        <v>2365</v>
      </c>
      <c r="AX430" t="s">
        <v>2365</v>
      </c>
      <c r="AY430" t="s">
        <v>2365</v>
      </c>
      <c r="AZ430" t="s">
        <v>2365</v>
      </c>
      <c r="BA430" t="s">
        <v>2365</v>
      </c>
      <c r="BB430" t="s">
        <v>2365</v>
      </c>
      <c r="BC430" t="s">
        <v>2365</v>
      </c>
      <c r="BD430" t="s">
        <v>2366</v>
      </c>
      <c r="BE430" t="s">
        <v>2365</v>
      </c>
      <c r="BF430" t="s">
        <v>2365</v>
      </c>
      <c r="BG430" t="s">
        <v>2365</v>
      </c>
      <c r="BH430" t="s">
        <v>2365</v>
      </c>
      <c r="BI430" t="s">
        <v>2366</v>
      </c>
      <c r="BJ430" t="s">
        <v>2365</v>
      </c>
      <c r="BK430" t="s">
        <v>2365</v>
      </c>
      <c r="BL430" t="s">
        <v>2365</v>
      </c>
      <c r="BM430" t="s">
        <v>2365</v>
      </c>
      <c r="BO430">
        <v>5</v>
      </c>
      <c r="BP430">
        <v>51</v>
      </c>
      <c r="BQ430" t="s">
        <v>2438</v>
      </c>
      <c r="BR430" t="s">
        <v>1506</v>
      </c>
      <c r="BU430">
        <v>1200000</v>
      </c>
      <c r="BV430">
        <v>0</v>
      </c>
      <c r="BW430">
        <v>1200000</v>
      </c>
      <c r="BX430">
        <v>0</v>
      </c>
      <c r="BY430">
        <v>1200000</v>
      </c>
      <c r="BZ430">
        <v>1272000</v>
      </c>
      <c r="CA430">
        <v>1348320</v>
      </c>
      <c r="CB430">
        <v>0</v>
      </c>
      <c r="CC430">
        <v>0</v>
      </c>
      <c r="CD430">
        <v>0</v>
      </c>
      <c r="CE430">
        <v>0</v>
      </c>
      <c r="CF430">
        <v>0</v>
      </c>
      <c r="CG430">
        <v>0</v>
      </c>
      <c r="CH430">
        <v>0</v>
      </c>
      <c r="CI430">
        <v>0</v>
      </c>
      <c r="CJ430">
        <v>0</v>
      </c>
      <c r="CK430">
        <v>0</v>
      </c>
      <c r="CL430">
        <v>0</v>
      </c>
      <c r="CM430">
        <v>0</v>
      </c>
      <c r="CR430" t="s">
        <v>2327</v>
      </c>
      <c r="CS430" s="1369" t="str">
        <f>INDEX([8]Sheet1!$H:$H,MATCH(CR:CR,[8]Sheet1!$AU:$AU,0))</f>
        <v>Education</v>
      </c>
    </row>
    <row r="431" spans="1:97" x14ac:dyDescent="0.2">
      <c r="A431" t="s">
        <v>2975</v>
      </c>
      <c r="B431">
        <v>484</v>
      </c>
      <c r="C431" t="s">
        <v>2975</v>
      </c>
      <c r="D431">
        <v>41008</v>
      </c>
      <c r="E431" t="s">
        <v>2430</v>
      </c>
      <c r="F431">
        <v>2700</v>
      </c>
      <c r="G431" t="s">
        <v>656</v>
      </c>
      <c r="H431" t="s">
        <v>2428</v>
      </c>
      <c r="I431" t="s">
        <v>1800</v>
      </c>
      <c r="J431">
        <v>2701</v>
      </c>
      <c r="K431" t="s">
        <v>1800</v>
      </c>
      <c r="L431">
        <v>2100</v>
      </c>
      <c r="M431" t="s">
        <v>618</v>
      </c>
      <c r="N431">
        <v>2118</v>
      </c>
      <c r="O431" t="s">
        <v>1509</v>
      </c>
      <c r="P431" t="s">
        <v>2366</v>
      </c>
      <c r="Q431" t="s">
        <v>2364</v>
      </c>
      <c r="R431" t="s">
        <v>2364</v>
      </c>
      <c r="S431" t="s">
        <v>1881</v>
      </c>
      <c r="T431" t="s">
        <v>1812</v>
      </c>
      <c r="U431" t="s">
        <v>2365</v>
      </c>
      <c r="V431" t="s">
        <v>2365</v>
      </c>
      <c r="W431" t="s">
        <v>2365</v>
      </c>
      <c r="X431" t="s">
        <v>2365</v>
      </c>
      <c r="Y431" t="s">
        <v>2365</v>
      </c>
      <c r="Z431" t="s">
        <v>2365</v>
      </c>
      <c r="AA431" t="s">
        <v>2365</v>
      </c>
      <c r="AB431" t="s">
        <v>2365</v>
      </c>
      <c r="AC431" s="813" t="s">
        <v>2365</v>
      </c>
      <c r="AD431" s="813" t="s">
        <v>2365</v>
      </c>
      <c r="AE431" s="813" t="s">
        <v>2365</v>
      </c>
      <c r="AF431" t="s">
        <v>2365</v>
      </c>
      <c r="AG431" t="s">
        <v>2365</v>
      </c>
      <c r="AH431" t="s">
        <v>2365</v>
      </c>
      <c r="AI431" t="s">
        <v>2365</v>
      </c>
      <c r="AJ431" t="s">
        <v>2365</v>
      </c>
      <c r="AK431" s="1373" t="s">
        <v>2365</v>
      </c>
      <c r="AL431" t="s">
        <v>2365</v>
      </c>
      <c r="AM431" t="s">
        <v>2365</v>
      </c>
      <c r="AN431" t="s">
        <v>2365</v>
      </c>
      <c r="AR431" t="s">
        <v>2365</v>
      </c>
      <c r="AS431" t="s">
        <v>2365</v>
      </c>
      <c r="AT431" t="s">
        <v>2365</v>
      </c>
      <c r="AU431" t="s">
        <v>2365</v>
      </c>
      <c r="AV431" t="s">
        <v>2365</v>
      </c>
      <c r="AW431" t="s">
        <v>2365</v>
      </c>
      <c r="AX431" t="s">
        <v>2365</v>
      </c>
      <c r="AY431" t="s">
        <v>2365</v>
      </c>
      <c r="AZ431" t="s">
        <v>2365</v>
      </c>
      <c r="BA431" t="s">
        <v>2365</v>
      </c>
      <c r="BB431" t="s">
        <v>2365</v>
      </c>
      <c r="BC431" t="s">
        <v>2365</v>
      </c>
      <c r="BD431" t="s">
        <v>2366</v>
      </c>
      <c r="BE431" t="s">
        <v>2365</v>
      </c>
      <c r="BF431" t="s">
        <v>2365</v>
      </c>
      <c r="BG431" t="s">
        <v>2365</v>
      </c>
      <c r="BH431" t="s">
        <v>2365</v>
      </c>
      <c r="BI431" t="s">
        <v>2366</v>
      </c>
      <c r="BJ431" t="s">
        <v>2365</v>
      </c>
      <c r="BK431" t="s">
        <v>2365</v>
      </c>
      <c r="BL431" t="s">
        <v>2365</v>
      </c>
      <c r="BM431" t="s">
        <v>2365</v>
      </c>
      <c r="BO431">
        <v>4</v>
      </c>
      <c r="BP431">
        <v>43</v>
      </c>
      <c r="BQ431" t="s">
        <v>2433</v>
      </c>
      <c r="BR431" t="s">
        <v>1509</v>
      </c>
      <c r="BU431">
        <v>50000</v>
      </c>
      <c r="BV431">
        <v>0</v>
      </c>
      <c r="BW431">
        <v>50000</v>
      </c>
      <c r="BX431">
        <v>-50000</v>
      </c>
      <c r="BY431">
        <v>0</v>
      </c>
      <c r="BZ431">
        <v>53000</v>
      </c>
      <c r="CA431">
        <v>56180</v>
      </c>
      <c r="CB431">
        <v>0</v>
      </c>
      <c r="CC431">
        <v>0</v>
      </c>
      <c r="CD431">
        <v>0</v>
      </c>
      <c r="CE431">
        <v>0</v>
      </c>
      <c r="CF431">
        <v>0</v>
      </c>
      <c r="CG431">
        <v>0</v>
      </c>
      <c r="CH431">
        <v>0</v>
      </c>
      <c r="CI431">
        <v>0</v>
      </c>
      <c r="CJ431">
        <v>0</v>
      </c>
      <c r="CK431">
        <v>0</v>
      </c>
      <c r="CL431">
        <v>0</v>
      </c>
      <c r="CM431">
        <v>0</v>
      </c>
      <c r="CR431" t="s">
        <v>2327</v>
      </c>
      <c r="CS431" s="1369" t="str">
        <f>INDEX([8]Sheet1!$H:$H,MATCH(CR:CR,[8]Sheet1!$AU:$AU,0))</f>
        <v>Education</v>
      </c>
    </row>
    <row r="432" spans="1:97" x14ac:dyDescent="0.2">
      <c r="A432" t="s">
        <v>2976</v>
      </c>
      <c r="B432">
        <v>485</v>
      </c>
      <c r="C432" t="s">
        <v>2976</v>
      </c>
      <c r="D432">
        <v>41009</v>
      </c>
      <c r="E432" t="s">
        <v>2427</v>
      </c>
      <c r="F432">
        <v>2700</v>
      </c>
      <c r="G432" t="s">
        <v>656</v>
      </c>
      <c r="H432" t="s">
        <v>2428</v>
      </c>
      <c r="I432" t="s">
        <v>1800</v>
      </c>
      <c r="J432">
        <v>2701</v>
      </c>
      <c r="K432" t="s">
        <v>1800</v>
      </c>
      <c r="L432">
        <v>2100</v>
      </c>
      <c r="M432" t="s">
        <v>618</v>
      </c>
      <c r="N432">
        <v>2118</v>
      </c>
      <c r="O432" t="s">
        <v>1509</v>
      </c>
      <c r="P432" t="s">
        <v>2366</v>
      </c>
      <c r="Q432" t="s">
        <v>2364</v>
      </c>
      <c r="R432" t="s">
        <v>2364</v>
      </c>
      <c r="S432" t="s">
        <v>1881</v>
      </c>
      <c r="T432" t="s">
        <v>1812</v>
      </c>
      <c r="U432" t="s">
        <v>2365</v>
      </c>
      <c r="V432" t="s">
        <v>2365</v>
      </c>
      <c r="W432" t="s">
        <v>2365</v>
      </c>
      <c r="X432" t="s">
        <v>2365</v>
      </c>
      <c r="Y432" t="s">
        <v>2365</v>
      </c>
      <c r="Z432" t="s">
        <v>2365</v>
      </c>
      <c r="AA432" t="s">
        <v>2365</v>
      </c>
      <c r="AB432" t="s">
        <v>2365</v>
      </c>
      <c r="AC432" s="813" t="s">
        <v>2365</v>
      </c>
      <c r="AD432" s="813" t="s">
        <v>2365</v>
      </c>
      <c r="AE432" s="813" t="s">
        <v>2365</v>
      </c>
      <c r="AF432" t="s">
        <v>2365</v>
      </c>
      <c r="AG432" t="s">
        <v>2365</v>
      </c>
      <c r="AH432" t="s">
        <v>2365</v>
      </c>
      <c r="AI432" t="s">
        <v>2365</v>
      </c>
      <c r="AJ432" t="s">
        <v>2365</v>
      </c>
      <c r="AK432" s="1373" t="s">
        <v>2365</v>
      </c>
      <c r="AL432" t="s">
        <v>2365</v>
      </c>
      <c r="AM432" t="s">
        <v>2365</v>
      </c>
      <c r="AN432" t="s">
        <v>2365</v>
      </c>
      <c r="AR432" t="s">
        <v>2365</v>
      </c>
      <c r="AS432" t="s">
        <v>2365</v>
      </c>
      <c r="AT432" t="s">
        <v>2365</v>
      </c>
      <c r="AU432" t="s">
        <v>2365</v>
      </c>
      <c r="AV432" t="s">
        <v>2365</v>
      </c>
      <c r="AW432" t="s">
        <v>2365</v>
      </c>
      <c r="AX432" t="s">
        <v>2365</v>
      </c>
      <c r="AY432" t="s">
        <v>2365</v>
      </c>
      <c r="AZ432" t="s">
        <v>2365</v>
      </c>
      <c r="BA432" t="s">
        <v>2365</v>
      </c>
      <c r="BB432" t="s">
        <v>2365</v>
      </c>
      <c r="BC432" t="s">
        <v>2365</v>
      </c>
      <c r="BD432" t="s">
        <v>2366</v>
      </c>
      <c r="BE432" t="s">
        <v>2365</v>
      </c>
      <c r="BF432" t="s">
        <v>2365</v>
      </c>
      <c r="BG432" t="s">
        <v>2365</v>
      </c>
      <c r="BH432" t="s">
        <v>2365</v>
      </c>
      <c r="BI432" t="s">
        <v>2366</v>
      </c>
      <c r="BJ432" t="s">
        <v>2365</v>
      </c>
      <c r="BK432" t="s">
        <v>2365</v>
      </c>
      <c r="BL432" t="s">
        <v>2365</v>
      </c>
      <c r="BM432" t="s">
        <v>2365</v>
      </c>
      <c r="BO432">
        <v>4</v>
      </c>
      <c r="BP432">
        <v>43</v>
      </c>
      <c r="BQ432" t="s">
        <v>2433</v>
      </c>
      <c r="BR432" t="s">
        <v>1509</v>
      </c>
      <c r="BU432">
        <v>100000</v>
      </c>
      <c r="BV432">
        <v>0</v>
      </c>
      <c r="BW432">
        <v>100000</v>
      </c>
      <c r="BX432">
        <v>-100000</v>
      </c>
      <c r="BY432">
        <v>0</v>
      </c>
      <c r="BZ432">
        <v>106000</v>
      </c>
      <c r="CA432">
        <v>112360</v>
      </c>
      <c r="CB432">
        <v>0</v>
      </c>
      <c r="CC432">
        <v>0</v>
      </c>
      <c r="CD432">
        <v>0</v>
      </c>
      <c r="CE432">
        <v>0</v>
      </c>
      <c r="CF432">
        <v>9000</v>
      </c>
      <c r="CG432">
        <v>0</v>
      </c>
      <c r="CH432">
        <v>0</v>
      </c>
      <c r="CI432">
        <v>0</v>
      </c>
      <c r="CJ432">
        <v>0</v>
      </c>
      <c r="CK432">
        <v>0</v>
      </c>
      <c r="CL432">
        <v>0</v>
      </c>
      <c r="CM432">
        <v>0</v>
      </c>
      <c r="CR432" t="s">
        <v>2327</v>
      </c>
      <c r="CS432" s="1369" t="str">
        <f>INDEX([8]Sheet1!$H:$H,MATCH(CR:CR,[8]Sheet1!$AU:$AU,0))</f>
        <v>Education</v>
      </c>
    </row>
    <row r="433" spans="1:97" x14ac:dyDescent="0.2">
      <c r="A433" t="s">
        <v>2977</v>
      </c>
      <c r="B433">
        <v>486</v>
      </c>
      <c r="C433" t="s">
        <v>2977</v>
      </c>
      <c r="D433">
        <v>41010</v>
      </c>
      <c r="E433" t="s">
        <v>2600</v>
      </c>
      <c r="F433">
        <v>2900</v>
      </c>
      <c r="G433" t="s">
        <v>569</v>
      </c>
      <c r="H433" t="s">
        <v>2366</v>
      </c>
      <c r="I433" t="s">
        <v>2366</v>
      </c>
      <c r="J433">
        <v>2904</v>
      </c>
      <c r="K433" t="s">
        <v>1432</v>
      </c>
      <c r="L433">
        <v>2100</v>
      </c>
      <c r="M433" t="s">
        <v>618</v>
      </c>
      <c r="N433">
        <v>2118</v>
      </c>
      <c r="O433" t="s">
        <v>1509</v>
      </c>
      <c r="P433" t="s">
        <v>2366</v>
      </c>
      <c r="Q433" t="s">
        <v>2364</v>
      </c>
      <c r="R433" t="s">
        <v>2364</v>
      </c>
      <c r="S433" t="s">
        <v>1881</v>
      </c>
      <c r="T433" t="s">
        <v>1812</v>
      </c>
      <c r="U433" t="s">
        <v>2365</v>
      </c>
      <c r="V433" t="s">
        <v>2365</v>
      </c>
      <c r="W433" t="s">
        <v>2365</v>
      </c>
      <c r="X433" t="s">
        <v>2365</v>
      </c>
      <c r="Y433" t="s">
        <v>2365</v>
      </c>
      <c r="Z433" t="s">
        <v>2365</v>
      </c>
      <c r="AA433" t="s">
        <v>2365</v>
      </c>
      <c r="AB433" t="s">
        <v>2365</v>
      </c>
      <c r="AC433" s="813" t="s">
        <v>2365</v>
      </c>
      <c r="AD433" s="813" t="s">
        <v>2365</v>
      </c>
      <c r="AE433" s="813" t="s">
        <v>2365</v>
      </c>
      <c r="AF433" t="s">
        <v>2365</v>
      </c>
      <c r="AG433" t="s">
        <v>2365</v>
      </c>
      <c r="AH433" t="s">
        <v>2365</v>
      </c>
      <c r="AI433" t="s">
        <v>2365</v>
      </c>
      <c r="AJ433" t="s">
        <v>2365</v>
      </c>
      <c r="AK433" t="s">
        <v>2365</v>
      </c>
      <c r="AL433" t="s">
        <v>2365</v>
      </c>
      <c r="AM433" t="s">
        <v>2365</v>
      </c>
      <c r="AN433" t="s">
        <v>2365</v>
      </c>
      <c r="AR433" t="s">
        <v>2365</v>
      </c>
      <c r="AS433" t="s">
        <v>2365</v>
      </c>
      <c r="AT433" t="s">
        <v>2365</v>
      </c>
      <c r="AU433" t="s">
        <v>2365</v>
      </c>
      <c r="AV433" t="s">
        <v>2365</v>
      </c>
      <c r="AW433" t="s">
        <v>2365</v>
      </c>
      <c r="AX433" t="s">
        <v>2365</v>
      </c>
      <c r="AY433" t="s">
        <v>2365</v>
      </c>
      <c r="AZ433" t="s">
        <v>2365</v>
      </c>
      <c r="BA433" t="s">
        <v>2365</v>
      </c>
      <c r="BB433" t="s">
        <v>2365</v>
      </c>
      <c r="BC433" t="s">
        <v>2365</v>
      </c>
      <c r="BD433" t="s">
        <v>2366</v>
      </c>
      <c r="BE433" t="s">
        <v>2365</v>
      </c>
      <c r="BF433" t="s">
        <v>2365</v>
      </c>
      <c r="BG433" t="s">
        <v>2365</v>
      </c>
      <c r="BH433" t="s">
        <v>2365</v>
      </c>
      <c r="BI433" t="s">
        <v>2366</v>
      </c>
      <c r="BJ433" t="s">
        <v>2365</v>
      </c>
      <c r="BK433" t="s">
        <v>2365</v>
      </c>
      <c r="BL433" t="s">
        <v>2365</v>
      </c>
      <c r="BM433" t="s">
        <v>2365</v>
      </c>
      <c r="BO433">
        <v>4</v>
      </c>
      <c r="BP433">
        <v>43</v>
      </c>
      <c r="BQ433" t="s">
        <v>2433</v>
      </c>
      <c r="BR433" t="s">
        <v>1509</v>
      </c>
      <c r="BU433">
        <v>50000</v>
      </c>
      <c r="BV433">
        <v>0</v>
      </c>
      <c r="BW433">
        <v>50000</v>
      </c>
      <c r="BX433">
        <v>-50000</v>
      </c>
      <c r="BY433">
        <v>0</v>
      </c>
      <c r="BZ433">
        <v>53000</v>
      </c>
      <c r="CA433">
        <v>56180</v>
      </c>
      <c r="CB433">
        <v>0</v>
      </c>
      <c r="CC433">
        <v>0</v>
      </c>
      <c r="CD433">
        <v>0</v>
      </c>
      <c r="CE433">
        <v>0</v>
      </c>
      <c r="CF433">
        <v>0</v>
      </c>
      <c r="CG433">
        <v>0</v>
      </c>
      <c r="CH433">
        <v>0</v>
      </c>
      <c r="CI433">
        <v>0</v>
      </c>
      <c r="CJ433">
        <v>0</v>
      </c>
      <c r="CK433">
        <v>0</v>
      </c>
      <c r="CL433">
        <v>0</v>
      </c>
      <c r="CM433">
        <v>0</v>
      </c>
      <c r="CR433" t="s">
        <v>2327</v>
      </c>
      <c r="CS433" s="1369" t="str">
        <f>INDEX([8]Sheet1!$H:$H,MATCH(CR:CR,[8]Sheet1!$AU:$AU,0))</f>
        <v>Education</v>
      </c>
    </row>
    <row r="434" spans="1:97" x14ac:dyDescent="0.2">
      <c r="A434" t="s">
        <v>2978</v>
      </c>
      <c r="B434">
        <v>487</v>
      </c>
      <c r="C434" t="s">
        <v>2978</v>
      </c>
      <c r="D434">
        <v>41055</v>
      </c>
      <c r="E434" t="s">
        <v>2518</v>
      </c>
      <c r="F434">
        <v>2900</v>
      </c>
      <c r="G434" t="s">
        <v>569</v>
      </c>
      <c r="H434" t="s">
        <v>2366</v>
      </c>
      <c r="I434" t="s">
        <v>2366</v>
      </c>
      <c r="J434">
        <v>2904</v>
      </c>
      <c r="K434" t="s">
        <v>1432</v>
      </c>
      <c r="L434">
        <v>2100</v>
      </c>
      <c r="M434" t="s">
        <v>618</v>
      </c>
      <c r="N434">
        <v>2105</v>
      </c>
      <c r="O434" t="s">
        <v>1498</v>
      </c>
      <c r="P434" t="s">
        <v>2366</v>
      </c>
      <c r="Q434" t="s">
        <v>2364</v>
      </c>
      <c r="R434" t="s">
        <v>2364</v>
      </c>
      <c r="S434" t="s">
        <v>1881</v>
      </c>
      <c r="T434" t="s">
        <v>1812</v>
      </c>
      <c r="U434" t="s">
        <v>2365</v>
      </c>
      <c r="V434" t="s">
        <v>2365</v>
      </c>
      <c r="W434" t="s">
        <v>2365</v>
      </c>
      <c r="X434" t="s">
        <v>2365</v>
      </c>
      <c r="Y434" t="s">
        <v>2365</v>
      </c>
      <c r="Z434" t="s">
        <v>2365</v>
      </c>
      <c r="AA434" t="s">
        <v>2365</v>
      </c>
      <c r="AB434" t="s">
        <v>2365</v>
      </c>
      <c r="AC434" s="813" t="s">
        <v>2365</v>
      </c>
      <c r="AD434" s="813" t="s">
        <v>2365</v>
      </c>
      <c r="AE434" s="813" t="s">
        <v>2365</v>
      </c>
      <c r="AF434" t="s">
        <v>2365</v>
      </c>
      <c r="AG434" t="s">
        <v>2365</v>
      </c>
      <c r="AH434" t="s">
        <v>2365</v>
      </c>
      <c r="AI434" t="s">
        <v>2365</v>
      </c>
      <c r="AJ434" t="s">
        <v>2365</v>
      </c>
      <c r="AK434" t="s">
        <v>2365</v>
      </c>
      <c r="AL434" t="s">
        <v>2365</v>
      </c>
      <c r="AM434" t="s">
        <v>2365</v>
      </c>
      <c r="AN434" t="s">
        <v>2365</v>
      </c>
      <c r="AR434" t="s">
        <v>2365</v>
      </c>
      <c r="AS434" t="s">
        <v>2365</v>
      </c>
      <c r="AT434" t="s">
        <v>2365</v>
      </c>
      <c r="AU434" t="s">
        <v>2365</v>
      </c>
      <c r="AV434" t="s">
        <v>2365</v>
      </c>
      <c r="AW434" t="s">
        <v>2365</v>
      </c>
      <c r="AX434" t="s">
        <v>2365</v>
      </c>
      <c r="AY434" t="s">
        <v>2365</v>
      </c>
      <c r="AZ434" t="s">
        <v>2365</v>
      </c>
      <c r="BA434" t="s">
        <v>2365</v>
      </c>
      <c r="BB434" t="s">
        <v>2365</v>
      </c>
      <c r="BC434" t="s">
        <v>2365</v>
      </c>
      <c r="BD434" t="s">
        <v>2366</v>
      </c>
      <c r="BE434" t="s">
        <v>2365</v>
      </c>
      <c r="BF434" t="s">
        <v>2365</v>
      </c>
      <c r="BG434" t="s">
        <v>2365</v>
      </c>
      <c r="BH434" t="s">
        <v>2365</v>
      </c>
      <c r="BI434" t="s">
        <v>2366</v>
      </c>
      <c r="BJ434" t="s">
        <v>2365</v>
      </c>
      <c r="BK434" t="s">
        <v>2365</v>
      </c>
      <c r="BL434" t="s">
        <v>2365</v>
      </c>
      <c r="BM434" t="s">
        <v>2365</v>
      </c>
      <c r="BO434">
        <v>4</v>
      </c>
      <c r="BP434">
        <v>49</v>
      </c>
      <c r="BQ434" t="s">
        <v>2433</v>
      </c>
      <c r="BR434" t="s">
        <v>1498</v>
      </c>
      <c r="BU434">
        <v>0</v>
      </c>
      <c r="BV434">
        <v>0</v>
      </c>
      <c r="BW434">
        <v>0</v>
      </c>
      <c r="BX434">
        <v>0</v>
      </c>
      <c r="BY434">
        <v>0</v>
      </c>
      <c r="BZ434">
        <v>0</v>
      </c>
      <c r="CA434">
        <v>0</v>
      </c>
      <c r="CB434">
        <v>0</v>
      </c>
      <c r="CC434">
        <v>0</v>
      </c>
      <c r="CD434">
        <v>0</v>
      </c>
      <c r="CE434">
        <v>0</v>
      </c>
      <c r="CF434">
        <v>0</v>
      </c>
      <c r="CG434">
        <v>0</v>
      </c>
      <c r="CH434">
        <v>0</v>
      </c>
      <c r="CI434">
        <v>0</v>
      </c>
      <c r="CJ434">
        <v>0</v>
      </c>
      <c r="CK434">
        <v>0</v>
      </c>
      <c r="CL434">
        <v>0</v>
      </c>
      <c r="CM434">
        <v>0</v>
      </c>
      <c r="CR434" t="s">
        <v>2327</v>
      </c>
      <c r="CS434" s="1369" t="str">
        <f>INDEX([8]Sheet1!$H:$H,MATCH(CR:CR,[8]Sheet1!$AU:$AU,0))</f>
        <v>Education</v>
      </c>
    </row>
    <row r="435" spans="1:97" x14ac:dyDescent="0.2">
      <c r="A435" t="s">
        <v>2979</v>
      </c>
      <c r="B435">
        <v>488</v>
      </c>
      <c r="C435" t="s">
        <v>2979</v>
      </c>
      <c r="D435">
        <v>41056</v>
      </c>
      <c r="E435" t="s">
        <v>2432</v>
      </c>
      <c r="F435">
        <v>2600</v>
      </c>
      <c r="G435" t="s">
        <v>655</v>
      </c>
      <c r="H435">
        <v>2600</v>
      </c>
      <c r="I435" t="s">
        <v>655</v>
      </c>
      <c r="J435" t="s">
        <v>2365</v>
      </c>
      <c r="K435" t="s">
        <v>2365</v>
      </c>
      <c r="L435">
        <v>2100</v>
      </c>
      <c r="M435" t="s">
        <v>618</v>
      </c>
      <c r="N435">
        <v>2105</v>
      </c>
      <c r="O435" t="s">
        <v>1498</v>
      </c>
      <c r="P435" t="s">
        <v>2366</v>
      </c>
      <c r="Q435" t="s">
        <v>2364</v>
      </c>
      <c r="R435" t="s">
        <v>2364</v>
      </c>
      <c r="S435" t="s">
        <v>1881</v>
      </c>
      <c r="T435" t="s">
        <v>1812</v>
      </c>
      <c r="U435" t="s">
        <v>2365</v>
      </c>
      <c r="V435" t="s">
        <v>2365</v>
      </c>
      <c r="W435" t="s">
        <v>2365</v>
      </c>
      <c r="X435" t="s">
        <v>2365</v>
      </c>
      <c r="Y435" t="s">
        <v>2365</v>
      </c>
      <c r="Z435" t="s">
        <v>2365</v>
      </c>
      <c r="AA435" t="s">
        <v>2365</v>
      </c>
      <c r="AB435" t="s">
        <v>2365</v>
      </c>
      <c r="AC435" s="813" t="s">
        <v>2365</v>
      </c>
      <c r="AD435" s="813" t="s">
        <v>2365</v>
      </c>
      <c r="AE435" s="813" t="s">
        <v>2365</v>
      </c>
      <c r="AF435" t="s">
        <v>2365</v>
      </c>
      <c r="AG435" t="s">
        <v>2365</v>
      </c>
      <c r="AH435" t="s">
        <v>2365</v>
      </c>
      <c r="AI435" t="s">
        <v>2365</v>
      </c>
      <c r="AJ435" t="s">
        <v>2365</v>
      </c>
      <c r="AK435" t="s">
        <v>2365</v>
      </c>
      <c r="AL435" t="s">
        <v>2365</v>
      </c>
      <c r="AM435" t="s">
        <v>2365</v>
      </c>
      <c r="AN435" t="s">
        <v>2365</v>
      </c>
      <c r="AR435" t="s">
        <v>2365</v>
      </c>
      <c r="AS435" t="s">
        <v>2365</v>
      </c>
      <c r="AT435" t="s">
        <v>2365</v>
      </c>
      <c r="AU435" t="s">
        <v>2365</v>
      </c>
      <c r="AV435" t="s">
        <v>2365</v>
      </c>
      <c r="AW435" t="s">
        <v>2365</v>
      </c>
      <c r="AX435" t="s">
        <v>2365</v>
      </c>
      <c r="AY435" t="s">
        <v>2365</v>
      </c>
      <c r="AZ435" t="s">
        <v>2365</v>
      </c>
      <c r="BA435" t="s">
        <v>2365</v>
      </c>
      <c r="BB435" t="s">
        <v>2365</v>
      </c>
      <c r="BC435" t="s">
        <v>2365</v>
      </c>
      <c r="BD435" t="s">
        <v>2366</v>
      </c>
      <c r="BE435" t="s">
        <v>2365</v>
      </c>
      <c r="BF435" t="s">
        <v>2365</v>
      </c>
      <c r="BG435" t="s">
        <v>2365</v>
      </c>
      <c r="BH435" t="s">
        <v>2365</v>
      </c>
      <c r="BI435" t="s">
        <v>2366</v>
      </c>
      <c r="BJ435" t="s">
        <v>2365</v>
      </c>
      <c r="BK435" t="s">
        <v>2365</v>
      </c>
      <c r="BL435" t="s">
        <v>2365</v>
      </c>
      <c r="BM435" t="s">
        <v>2365</v>
      </c>
      <c r="BO435">
        <v>4</v>
      </c>
      <c r="BP435">
        <v>49</v>
      </c>
      <c r="BQ435" t="s">
        <v>2433</v>
      </c>
      <c r="BR435" t="s">
        <v>1498</v>
      </c>
      <c r="BU435">
        <v>0</v>
      </c>
      <c r="BV435">
        <v>0</v>
      </c>
      <c r="BW435">
        <v>0</v>
      </c>
      <c r="BX435">
        <v>0</v>
      </c>
      <c r="BY435">
        <v>0</v>
      </c>
      <c r="BZ435">
        <v>0</v>
      </c>
      <c r="CA435">
        <v>0</v>
      </c>
      <c r="CB435">
        <v>0</v>
      </c>
      <c r="CC435">
        <v>0</v>
      </c>
      <c r="CD435">
        <v>0</v>
      </c>
      <c r="CE435">
        <v>0</v>
      </c>
      <c r="CF435">
        <v>0</v>
      </c>
      <c r="CG435">
        <v>0</v>
      </c>
      <c r="CH435">
        <v>0</v>
      </c>
      <c r="CI435">
        <v>0</v>
      </c>
      <c r="CJ435">
        <v>0</v>
      </c>
      <c r="CK435">
        <v>0</v>
      </c>
      <c r="CL435">
        <v>0</v>
      </c>
      <c r="CM435">
        <v>0</v>
      </c>
      <c r="CR435" t="s">
        <v>2327</v>
      </c>
      <c r="CS435" s="1369" t="str">
        <f>INDEX([8]Sheet1!$H:$H,MATCH(CR:CR,[8]Sheet1!$AU:$AU,0))</f>
        <v>Education</v>
      </c>
    </row>
    <row r="436" spans="1:97" x14ac:dyDescent="0.2">
      <c r="A436" t="s">
        <v>2980</v>
      </c>
      <c r="B436">
        <v>489</v>
      </c>
      <c r="C436" t="s">
        <v>2980</v>
      </c>
      <c r="D436">
        <v>41057</v>
      </c>
      <c r="E436" t="s">
        <v>2427</v>
      </c>
      <c r="F436">
        <v>2700</v>
      </c>
      <c r="G436" t="s">
        <v>656</v>
      </c>
      <c r="H436" t="s">
        <v>2428</v>
      </c>
      <c r="I436" t="s">
        <v>1800</v>
      </c>
      <c r="J436">
        <v>2701</v>
      </c>
      <c r="K436" t="s">
        <v>1800</v>
      </c>
      <c r="L436">
        <v>2100</v>
      </c>
      <c r="M436" t="s">
        <v>618</v>
      </c>
      <c r="N436">
        <v>2105</v>
      </c>
      <c r="O436" t="s">
        <v>1498</v>
      </c>
      <c r="P436" t="s">
        <v>2366</v>
      </c>
      <c r="Q436" t="s">
        <v>2364</v>
      </c>
      <c r="R436" t="s">
        <v>2364</v>
      </c>
      <c r="S436" t="s">
        <v>1881</v>
      </c>
      <c r="T436" t="s">
        <v>1812</v>
      </c>
      <c r="U436" t="s">
        <v>2365</v>
      </c>
      <c r="V436" t="s">
        <v>2365</v>
      </c>
      <c r="W436" t="s">
        <v>2365</v>
      </c>
      <c r="X436" t="s">
        <v>2365</v>
      </c>
      <c r="Y436" t="s">
        <v>2365</v>
      </c>
      <c r="Z436" t="s">
        <v>2365</v>
      </c>
      <c r="AA436" t="s">
        <v>2365</v>
      </c>
      <c r="AB436" t="s">
        <v>2365</v>
      </c>
      <c r="AC436" s="813" t="s">
        <v>2365</v>
      </c>
      <c r="AD436" s="813" t="s">
        <v>2365</v>
      </c>
      <c r="AE436" s="813" t="s">
        <v>2365</v>
      </c>
      <c r="AF436" t="s">
        <v>2365</v>
      </c>
      <c r="AG436" t="s">
        <v>2365</v>
      </c>
      <c r="AH436" t="s">
        <v>2365</v>
      </c>
      <c r="AI436" t="s">
        <v>2365</v>
      </c>
      <c r="AJ436" t="s">
        <v>2365</v>
      </c>
      <c r="AK436" t="s">
        <v>2365</v>
      </c>
      <c r="AL436" t="s">
        <v>2365</v>
      </c>
      <c r="AM436" t="s">
        <v>2365</v>
      </c>
      <c r="AN436" t="s">
        <v>2365</v>
      </c>
      <c r="AR436" t="s">
        <v>2365</v>
      </c>
      <c r="AS436" t="s">
        <v>2365</v>
      </c>
      <c r="AT436" t="s">
        <v>2365</v>
      </c>
      <c r="AU436" t="s">
        <v>2365</v>
      </c>
      <c r="AV436" t="s">
        <v>2365</v>
      </c>
      <c r="AW436" t="s">
        <v>2365</v>
      </c>
      <c r="AX436" t="s">
        <v>2365</v>
      </c>
      <c r="AY436" t="s">
        <v>2365</v>
      </c>
      <c r="AZ436" t="s">
        <v>2365</v>
      </c>
      <c r="BA436" t="s">
        <v>2365</v>
      </c>
      <c r="BB436" t="s">
        <v>2365</v>
      </c>
      <c r="BC436" t="s">
        <v>2365</v>
      </c>
      <c r="BD436" t="s">
        <v>2366</v>
      </c>
      <c r="BE436" t="s">
        <v>2365</v>
      </c>
      <c r="BF436" t="s">
        <v>2365</v>
      </c>
      <c r="BG436" t="s">
        <v>2365</v>
      </c>
      <c r="BH436" t="s">
        <v>2365</v>
      </c>
      <c r="BI436" t="s">
        <v>2366</v>
      </c>
      <c r="BJ436" t="s">
        <v>2365</v>
      </c>
      <c r="BK436" t="s">
        <v>2365</v>
      </c>
      <c r="BL436" t="s">
        <v>2365</v>
      </c>
      <c r="BM436" t="s">
        <v>2365</v>
      </c>
      <c r="BO436">
        <v>4</v>
      </c>
      <c r="BP436">
        <v>49</v>
      </c>
      <c r="BQ436" t="s">
        <v>2433</v>
      </c>
      <c r="BR436" t="s">
        <v>1498</v>
      </c>
      <c r="BU436">
        <v>0</v>
      </c>
      <c r="BV436">
        <v>0</v>
      </c>
      <c r="BW436">
        <v>0</v>
      </c>
      <c r="BX436">
        <v>0</v>
      </c>
      <c r="BY436">
        <v>0</v>
      </c>
      <c r="BZ436">
        <v>0</v>
      </c>
      <c r="CA436">
        <v>0</v>
      </c>
      <c r="CB436">
        <v>0</v>
      </c>
      <c r="CC436">
        <v>0</v>
      </c>
      <c r="CD436">
        <v>0</v>
      </c>
      <c r="CE436">
        <v>0</v>
      </c>
      <c r="CF436">
        <v>0</v>
      </c>
      <c r="CG436">
        <v>0</v>
      </c>
      <c r="CH436">
        <v>0</v>
      </c>
      <c r="CI436">
        <v>0</v>
      </c>
      <c r="CJ436">
        <v>0</v>
      </c>
      <c r="CK436">
        <v>0</v>
      </c>
      <c r="CL436">
        <v>0</v>
      </c>
      <c r="CM436">
        <v>0</v>
      </c>
      <c r="CR436" t="s">
        <v>2327</v>
      </c>
      <c r="CS436" s="1369" t="str">
        <f>INDEX([8]Sheet1!$H:$H,MATCH(CR:CR,[8]Sheet1!$AU:$AU,0))</f>
        <v>Education</v>
      </c>
    </row>
    <row r="437" spans="1:97" x14ac:dyDescent="0.2">
      <c r="A437" t="s">
        <v>2981</v>
      </c>
      <c r="B437">
        <v>490</v>
      </c>
      <c r="C437" t="s">
        <v>2981</v>
      </c>
      <c r="D437">
        <v>41058</v>
      </c>
      <c r="E437" t="s">
        <v>2430</v>
      </c>
      <c r="F437">
        <v>2700</v>
      </c>
      <c r="G437" t="s">
        <v>656</v>
      </c>
      <c r="H437" t="s">
        <v>2428</v>
      </c>
      <c r="I437" t="s">
        <v>1800</v>
      </c>
      <c r="J437">
        <v>2701</v>
      </c>
      <c r="K437" t="s">
        <v>1800</v>
      </c>
      <c r="L437">
        <v>2100</v>
      </c>
      <c r="M437" t="s">
        <v>618</v>
      </c>
      <c r="N437">
        <v>2105</v>
      </c>
      <c r="O437" t="s">
        <v>1498</v>
      </c>
      <c r="P437" t="s">
        <v>2366</v>
      </c>
      <c r="Q437" t="s">
        <v>2364</v>
      </c>
      <c r="R437" t="s">
        <v>2364</v>
      </c>
      <c r="S437" t="s">
        <v>1881</v>
      </c>
      <c r="T437" t="s">
        <v>1812</v>
      </c>
      <c r="U437" t="s">
        <v>2365</v>
      </c>
      <c r="V437" t="s">
        <v>2365</v>
      </c>
      <c r="W437" t="s">
        <v>2365</v>
      </c>
      <c r="X437" t="s">
        <v>2365</v>
      </c>
      <c r="Y437" t="s">
        <v>2365</v>
      </c>
      <c r="Z437" t="s">
        <v>2365</v>
      </c>
      <c r="AA437" t="s">
        <v>2365</v>
      </c>
      <c r="AB437" t="s">
        <v>2365</v>
      </c>
      <c r="AC437" s="813" t="s">
        <v>2365</v>
      </c>
      <c r="AD437" s="813" t="s">
        <v>2365</v>
      </c>
      <c r="AE437" s="813" t="s">
        <v>2365</v>
      </c>
      <c r="AF437" t="s">
        <v>2365</v>
      </c>
      <c r="AG437" t="s">
        <v>2365</v>
      </c>
      <c r="AH437" t="s">
        <v>2365</v>
      </c>
      <c r="AI437" t="s">
        <v>2365</v>
      </c>
      <c r="AJ437" t="s">
        <v>2365</v>
      </c>
      <c r="AK437" t="s">
        <v>2365</v>
      </c>
      <c r="AL437" t="s">
        <v>2365</v>
      </c>
      <c r="AM437" t="s">
        <v>2365</v>
      </c>
      <c r="AN437" t="s">
        <v>2365</v>
      </c>
      <c r="AR437" t="s">
        <v>2365</v>
      </c>
      <c r="AS437" t="s">
        <v>2365</v>
      </c>
      <c r="AT437" t="s">
        <v>2365</v>
      </c>
      <c r="AU437" t="s">
        <v>2365</v>
      </c>
      <c r="AV437" t="s">
        <v>2365</v>
      </c>
      <c r="AW437" t="s">
        <v>2365</v>
      </c>
      <c r="AX437" t="s">
        <v>2365</v>
      </c>
      <c r="AY437" t="s">
        <v>2365</v>
      </c>
      <c r="AZ437" t="s">
        <v>2365</v>
      </c>
      <c r="BA437" t="s">
        <v>2365</v>
      </c>
      <c r="BB437" t="s">
        <v>2365</v>
      </c>
      <c r="BC437" t="s">
        <v>2365</v>
      </c>
      <c r="BD437" t="s">
        <v>2366</v>
      </c>
      <c r="BE437" t="s">
        <v>2365</v>
      </c>
      <c r="BF437" t="s">
        <v>2365</v>
      </c>
      <c r="BG437" t="s">
        <v>2365</v>
      </c>
      <c r="BH437" t="s">
        <v>2365</v>
      </c>
      <c r="BI437" t="s">
        <v>2366</v>
      </c>
      <c r="BJ437" t="s">
        <v>2365</v>
      </c>
      <c r="BK437" t="s">
        <v>2365</v>
      </c>
      <c r="BL437" t="s">
        <v>2365</v>
      </c>
      <c r="BM437" t="s">
        <v>2365</v>
      </c>
      <c r="BO437">
        <v>4</v>
      </c>
      <c r="BP437">
        <v>49</v>
      </c>
      <c r="BQ437" t="s">
        <v>2433</v>
      </c>
      <c r="BR437" t="s">
        <v>1498</v>
      </c>
      <c r="BU437">
        <v>0</v>
      </c>
      <c r="BV437">
        <v>0</v>
      </c>
      <c r="BW437">
        <v>0</v>
      </c>
      <c r="BX437">
        <v>0</v>
      </c>
      <c r="BY437">
        <v>0</v>
      </c>
      <c r="BZ437">
        <v>0</v>
      </c>
      <c r="CA437">
        <v>0</v>
      </c>
      <c r="CB437">
        <v>0</v>
      </c>
      <c r="CC437">
        <v>0</v>
      </c>
      <c r="CD437">
        <v>0</v>
      </c>
      <c r="CE437">
        <v>0</v>
      </c>
      <c r="CF437">
        <v>0</v>
      </c>
      <c r="CG437">
        <v>0</v>
      </c>
      <c r="CH437">
        <v>0</v>
      </c>
      <c r="CI437">
        <v>0</v>
      </c>
      <c r="CJ437">
        <v>0</v>
      </c>
      <c r="CK437">
        <v>0</v>
      </c>
      <c r="CL437">
        <v>0</v>
      </c>
      <c r="CM437">
        <v>0</v>
      </c>
      <c r="CR437" t="s">
        <v>2328</v>
      </c>
      <c r="CS437" s="1369" t="str">
        <f>INDEX([8]Sheet1!$H:$H,MATCH(CR:CR,[8]Sheet1!$AU:$AU,0))</f>
        <v>Water Distribution</v>
      </c>
    </row>
    <row r="438" spans="1:97" x14ac:dyDescent="0.2">
      <c r="A438" t="s">
        <v>2982</v>
      </c>
      <c r="B438">
        <v>491</v>
      </c>
      <c r="C438" t="s">
        <v>2982</v>
      </c>
      <c r="D438">
        <v>41028</v>
      </c>
      <c r="E438" t="s">
        <v>2432</v>
      </c>
      <c r="F438">
        <v>2600</v>
      </c>
      <c r="G438" t="s">
        <v>655</v>
      </c>
      <c r="H438">
        <v>2600</v>
      </c>
      <c r="I438" t="s">
        <v>655</v>
      </c>
      <c r="J438" t="s">
        <v>2365</v>
      </c>
      <c r="K438" t="s">
        <v>2365</v>
      </c>
      <c r="L438">
        <v>2100</v>
      </c>
      <c r="M438" t="s">
        <v>618</v>
      </c>
      <c r="N438">
        <v>2118</v>
      </c>
      <c r="O438" t="s">
        <v>1509</v>
      </c>
      <c r="P438" t="s">
        <v>2366</v>
      </c>
      <c r="Q438" t="s">
        <v>2364</v>
      </c>
      <c r="R438" t="s">
        <v>2364</v>
      </c>
      <c r="S438" t="s">
        <v>1881</v>
      </c>
      <c r="T438" t="s">
        <v>1812</v>
      </c>
      <c r="U438" t="s">
        <v>2365</v>
      </c>
      <c r="V438" t="s">
        <v>2365</v>
      </c>
      <c r="W438" t="s">
        <v>2365</v>
      </c>
      <c r="X438" t="s">
        <v>2365</v>
      </c>
      <c r="Y438" t="s">
        <v>2365</v>
      </c>
      <c r="Z438" t="s">
        <v>2365</v>
      </c>
      <c r="AA438" t="s">
        <v>2365</v>
      </c>
      <c r="AB438" t="s">
        <v>2365</v>
      </c>
      <c r="AC438" s="813" t="s">
        <v>2365</v>
      </c>
      <c r="AD438" s="813" t="s">
        <v>2365</v>
      </c>
      <c r="AE438" s="813" t="s">
        <v>2365</v>
      </c>
      <c r="AF438" t="s">
        <v>2365</v>
      </c>
      <c r="AG438" t="s">
        <v>2365</v>
      </c>
      <c r="AH438" t="s">
        <v>2365</v>
      </c>
      <c r="AI438" t="s">
        <v>2365</v>
      </c>
      <c r="AJ438" t="s">
        <v>2365</v>
      </c>
      <c r="AK438" t="s">
        <v>2365</v>
      </c>
      <c r="AL438" t="s">
        <v>2365</v>
      </c>
      <c r="AM438" t="s">
        <v>2365</v>
      </c>
      <c r="AN438" t="s">
        <v>2365</v>
      </c>
      <c r="AR438" t="s">
        <v>2365</v>
      </c>
      <c r="AS438" t="s">
        <v>2365</v>
      </c>
      <c r="AT438" t="s">
        <v>2365</v>
      </c>
      <c r="AU438" t="s">
        <v>2365</v>
      </c>
      <c r="AV438" t="s">
        <v>2365</v>
      </c>
      <c r="AW438" t="s">
        <v>2365</v>
      </c>
      <c r="AX438" t="s">
        <v>2365</v>
      </c>
      <c r="AY438" t="s">
        <v>2365</v>
      </c>
      <c r="AZ438" t="s">
        <v>2365</v>
      </c>
      <c r="BA438" t="s">
        <v>2365</v>
      </c>
      <c r="BB438" t="s">
        <v>2365</v>
      </c>
      <c r="BC438" t="s">
        <v>2365</v>
      </c>
      <c r="BD438" t="s">
        <v>2366</v>
      </c>
      <c r="BE438" t="s">
        <v>2365</v>
      </c>
      <c r="BF438" t="s">
        <v>2365</v>
      </c>
      <c r="BG438" t="s">
        <v>2365</v>
      </c>
      <c r="BH438" t="s">
        <v>2365</v>
      </c>
      <c r="BI438" t="s">
        <v>2366</v>
      </c>
      <c r="BJ438" t="s">
        <v>2365</v>
      </c>
      <c r="BK438" t="s">
        <v>2365</v>
      </c>
      <c r="BL438" t="s">
        <v>2365</v>
      </c>
      <c r="BM438" t="s">
        <v>2365</v>
      </c>
      <c r="BO438">
        <v>4</v>
      </c>
      <c r="BP438">
        <v>43</v>
      </c>
      <c r="BQ438" t="s">
        <v>2433</v>
      </c>
      <c r="BR438" t="s">
        <v>1509</v>
      </c>
      <c r="BU438">
        <v>0</v>
      </c>
      <c r="BV438">
        <v>0</v>
      </c>
      <c r="BW438">
        <v>0</v>
      </c>
      <c r="BX438">
        <v>0</v>
      </c>
      <c r="BY438">
        <v>0</v>
      </c>
      <c r="BZ438">
        <v>0</v>
      </c>
      <c r="CA438">
        <v>0</v>
      </c>
      <c r="CB438">
        <v>0</v>
      </c>
      <c r="CC438">
        <v>0</v>
      </c>
      <c r="CD438">
        <v>0</v>
      </c>
      <c r="CE438">
        <v>0</v>
      </c>
      <c r="CF438">
        <v>0</v>
      </c>
      <c r="CG438">
        <v>0</v>
      </c>
      <c r="CH438">
        <v>0</v>
      </c>
      <c r="CI438">
        <v>0</v>
      </c>
      <c r="CJ438">
        <v>0</v>
      </c>
      <c r="CK438">
        <v>0</v>
      </c>
      <c r="CL438">
        <v>0</v>
      </c>
      <c r="CM438">
        <v>0</v>
      </c>
      <c r="CR438" t="s">
        <v>2328</v>
      </c>
      <c r="CS438" s="1369" t="str">
        <f>INDEX([8]Sheet1!$H:$H,MATCH(CR:CR,[8]Sheet1!$AU:$AU,0))</f>
        <v>Water Distribution</v>
      </c>
    </row>
    <row r="439" spans="1:97" x14ac:dyDescent="0.2">
      <c r="A439" t="s">
        <v>2983</v>
      </c>
      <c r="B439">
        <v>492</v>
      </c>
      <c r="C439" t="s">
        <v>2983</v>
      </c>
      <c r="D439">
        <v>41029</v>
      </c>
      <c r="E439" t="s">
        <v>2427</v>
      </c>
      <c r="F439">
        <v>2700</v>
      </c>
      <c r="G439" t="s">
        <v>656</v>
      </c>
      <c r="H439" t="s">
        <v>2428</v>
      </c>
      <c r="I439" t="s">
        <v>1800</v>
      </c>
      <c r="J439">
        <v>2701</v>
      </c>
      <c r="K439" t="s">
        <v>1800</v>
      </c>
      <c r="L439">
        <v>2100</v>
      </c>
      <c r="M439" t="s">
        <v>618</v>
      </c>
      <c r="N439">
        <v>2118</v>
      </c>
      <c r="O439" t="s">
        <v>1509</v>
      </c>
      <c r="P439" t="s">
        <v>2366</v>
      </c>
      <c r="Q439" t="s">
        <v>2364</v>
      </c>
      <c r="R439" t="s">
        <v>2364</v>
      </c>
      <c r="S439" t="s">
        <v>1881</v>
      </c>
      <c r="T439" t="s">
        <v>1812</v>
      </c>
      <c r="U439" t="s">
        <v>2365</v>
      </c>
      <c r="V439" t="s">
        <v>2365</v>
      </c>
      <c r="W439" t="s">
        <v>2365</v>
      </c>
      <c r="X439" t="s">
        <v>2365</v>
      </c>
      <c r="Y439" t="s">
        <v>2365</v>
      </c>
      <c r="Z439" t="s">
        <v>2365</v>
      </c>
      <c r="AA439" t="s">
        <v>2365</v>
      </c>
      <c r="AB439" t="s">
        <v>2365</v>
      </c>
      <c r="AC439" s="813" t="s">
        <v>2365</v>
      </c>
      <c r="AD439" s="813" t="s">
        <v>2365</v>
      </c>
      <c r="AE439" s="813" t="s">
        <v>2365</v>
      </c>
      <c r="AF439" t="s">
        <v>2365</v>
      </c>
      <c r="AG439" t="s">
        <v>2365</v>
      </c>
      <c r="AH439" t="s">
        <v>2365</v>
      </c>
      <c r="AI439" t="s">
        <v>2365</v>
      </c>
      <c r="AJ439" t="s">
        <v>2365</v>
      </c>
      <c r="AK439" t="s">
        <v>2365</v>
      </c>
      <c r="AL439" t="s">
        <v>2365</v>
      </c>
      <c r="AM439" t="s">
        <v>2365</v>
      </c>
      <c r="AN439" t="s">
        <v>2365</v>
      </c>
      <c r="AR439" t="s">
        <v>2365</v>
      </c>
      <c r="AS439" t="s">
        <v>2365</v>
      </c>
      <c r="AT439" t="s">
        <v>2365</v>
      </c>
      <c r="AU439" t="s">
        <v>2365</v>
      </c>
      <c r="AV439" t="s">
        <v>2365</v>
      </c>
      <c r="AW439" t="s">
        <v>2365</v>
      </c>
      <c r="AX439" t="s">
        <v>2365</v>
      </c>
      <c r="AY439" t="s">
        <v>2365</v>
      </c>
      <c r="AZ439" t="s">
        <v>2365</v>
      </c>
      <c r="BA439" t="s">
        <v>2365</v>
      </c>
      <c r="BB439" t="s">
        <v>2365</v>
      </c>
      <c r="BC439" t="s">
        <v>2365</v>
      </c>
      <c r="BD439" t="s">
        <v>2366</v>
      </c>
      <c r="BE439" t="s">
        <v>2365</v>
      </c>
      <c r="BF439" t="s">
        <v>2365</v>
      </c>
      <c r="BG439" t="s">
        <v>2365</v>
      </c>
      <c r="BH439" t="s">
        <v>2365</v>
      </c>
      <c r="BI439" t="s">
        <v>2366</v>
      </c>
      <c r="BJ439" t="s">
        <v>2365</v>
      </c>
      <c r="BK439" t="s">
        <v>2365</v>
      </c>
      <c r="BL439" t="s">
        <v>2365</v>
      </c>
      <c r="BM439" t="s">
        <v>2365</v>
      </c>
      <c r="BO439">
        <v>4</v>
      </c>
      <c r="BP439">
        <v>43</v>
      </c>
      <c r="BQ439" t="s">
        <v>2433</v>
      </c>
      <c r="BR439" t="s">
        <v>1509</v>
      </c>
      <c r="BU439">
        <v>0</v>
      </c>
      <c r="BV439">
        <v>0</v>
      </c>
      <c r="BW439">
        <v>0</v>
      </c>
      <c r="BX439">
        <v>0</v>
      </c>
      <c r="BY439">
        <v>0</v>
      </c>
      <c r="BZ439">
        <v>0</v>
      </c>
      <c r="CA439">
        <v>0</v>
      </c>
      <c r="CB439">
        <v>0</v>
      </c>
      <c r="CC439">
        <v>0</v>
      </c>
      <c r="CD439">
        <v>0</v>
      </c>
      <c r="CE439">
        <v>0</v>
      </c>
      <c r="CF439">
        <v>0</v>
      </c>
      <c r="CG439">
        <v>0</v>
      </c>
      <c r="CH439">
        <v>0</v>
      </c>
      <c r="CI439">
        <v>0</v>
      </c>
      <c r="CJ439">
        <v>0</v>
      </c>
      <c r="CK439">
        <v>0</v>
      </c>
      <c r="CL439">
        <v>0</v>
      </c>
      <c r="CM439">
        <v>0</v>
      </c>
      <c r="CR439" t="s">
        <v>2328</v>
      </c>
      <c r="CS439" s="1369" t="str">
        <f>INDEX([8]Sheet1!$H:$H,MATCH(CR:CR,[8]Sheet1!$AU:$AU,0))</f>
        <v>Water Distribution</v>
      </c>
    </row>
    <row r="440" spans="1:97" x14ac:dyDescent="0.2">
      <c r="A440" t="s">
        <v>2984</v>
      </c>
      <c r="B440">
        <v>493</v>
      </c>
      <c r="C440" t="s">
        <v>2984</v>
      </c>
      <c r="D440">
        <v>41030</v>
      </c>
      <c r="E440" t="s">
        <v>2430</v>
      </c>
      <c r="F440">
        <v>2700</v>
      </c>
      <c r="G440" t="s">
        <v>656</v>
      </c>
      <c r="H440" t="s">
        <v>2428</v>
      </c>
      <c r="I440" t="s">
        <v>1800</v>
      </c>
      <c r="J440">
        <v>2701</v>
      </c>
      <c r="K440" t="s">
        <v>1800</v>
      </c>
      <c r="L440">
        <v>2100</v>
      </c>
      <c r="M440" t="s">
        <v>618</v>
      </c>
      <c r="N440">
        <v>2118</v>
      </c>
      <c r="O440" t="s">
        <v>1509</v>
      </c>
      <c r="P440" t="s">
        <v>2366</v>
      </c>
      <c r="Q440" t="s">
        <v>2364</v>
      </c>
      <c r="R440" t="s">
        <v>2364</v>
      </c>
      <c r="S440" t="s">
        <v>1881</v>
      </c>
      <c r="T440" t="s">
        <v>1812</v>
      </c>
      <c r="U440" t="s">
        <v>2365</v>
      </c>
      <c r="V440" t="s">
        <v>2365</v>
      </c>
      <c r="W440" t="s">
        <v>2365</v>
      </c>
      <c r="X440" t="s">
        <v>2365</v>
      </c>
      <c r="Y440" t="s">
        <v>2365</v>
      </c>
      <c r="Z440" t="s">
        <v>2365</v>
      </c>
      <c r="AA440" t="s">
        <v>2365</v>
      </c>
      <c r="AB440" t="s">
        <v>2365</v>
      </c>
      <c r="AC440" s="813" t="s">
        <v>2365</v>
      </c>
      <c r="AD440" s="813" t="s">
        <v>2365</v>
      </c>
      <c r="AE440" s="813" t="s">
        <v>2365</v>
      </c>
      <c r="AF440" t="s">
        <v>2365</v>
      </c>
      <c r="AG440" t="s">
        <v>2365</v>
      </c>
      <c r="AH440" t="s">
        <v>2365</v>
      </c>
      <c r="AI440" t="s">
        <v>2365</v>
      </c>
      <c r="AJ440" t="s">
        <v>2365</v>
      </c>
      <c r="AK440" t="s">
        <v>2365</v>
      </c>
      <c r="AL440" t="s">
        <v>2365</v>
      </c>
      <c r="AM440" t="s">
        <v>2365</v>
      </c>
      <c r="AN440" t="s">
        <v>2365</v>
      </c>
      <c r="AR440" t="s">
        <v>2365</v>
      </c>
      <c r="AS440" t="s">
        <v>2365</v>
      </c>
      <c r="AT440" t="s">
        <v>2365</v>
      </c>
      <c r="AU440" t="s">
        <v>2365</v>
      </c>
      <c r="AV440" t="s">
        <v>2365</v>
      </c>
      <c r="AW440" t="s">
        <v>2365</v>
      </c>
      <c r="AX440" t="s">
        <v>2365</v>
      </c>
      <c r="AY440" t="s">
        <v>2365</v>
      </c>
      <c r="AZ440" t="s">
        <v>2365</v>
      </c>
      <c r="BA440" t="s">
        <v>2365</v>
      </c>
      <c r="BB440" t="s">
        <v>2365</v>
      </c>
      <c r="BC440" t="s">
        <v>2365</v>
      </c>
      <c r="BD440" t="s">
        <v>2366</v>
      </c>
      <c r="BE440" t="s">
        <v>2365</v>
      </c>
      <c r="BF440" t="s">
        <v>2365</v>
      </c>
      <c r="BG440" t="s">
        <v>2365</v>
      </c>
      <c r="BH440" t="s">
        <v>2365</v>
      </c>
      <c r="BI440" t="s">
        <v>2366</v>
      </c>
      <c r="BJ440" t="s">
        <v>2365</v>
      </c>
      <c r="BK440" t="s">
        <v>2365</v>
      </c>
      <c r="BL440" t="s">
        <v>2365</v>
      </c>
      <c r="BM440" t="s">
        <v>2365</v>
      </c>
      <c r="BO440">
        <v>4</v>
      </c>
      <c r="BP440">
        <v>43</v>
      </c>
      <c r="BQ440" t="s">
        <v>2433</v>
      </c>
      <c r="BR440" t="s">
        <v>1509</v>
      </c>
      <c r="BU440">
        <v>0</v>
      </c>
      <c r="BV440">
        <v>0</v>
      </c>
      <c r="BW440">
        <v>0</v>
      </c>
      <c r="BX440">
        <v>0</v>
      </c>
      <c r="BY440">
        <v>0</v>
      </c>
      <c r="BZ440">
        <v>0</v>
      </c>
      <c r="CA440">
        <v>0</v>
      </c>
      <c r="CB440">
        <v>0</v>
      </c>
      <c r="CC440">
        <v>0</v>
      </c>
      <c r="CD440">
        <v>0</v>
      </c>
      <c r="CE440">
        <v>0</v>
      </c>
      <c r="CF440">
        <v>0</v>
      </c>
      <c r="CG440">
        <v>0</v>
      </c>
      <c r="CH440">
        <v>0</v>
      </c>
      <c r="CI440">
        <v>0</v>
      </c>
      <c r="CJ440">
        <v>0</v>
      </c>
      <c r="CK440">
        <v>0</v>
      </c>
      <c r="CL440">
        <v>0</v>
      </c>
      <c r="CM440">
        <v>0</v>
      </c>
      <c r="CR440" t="s">
        <v>2328</v>
      </c>
      <c r="CS440" s="1369" t="str">
        <f>INDEX([8]Sheet1!$H:$H,MATCH(CR:CR,[8]Sheet1!$AU:$AU,0))</f>
        <v>Water Distribution</v>
      </c>
    </row>
    <row r="441" spans="1:97" x14ac:dyDescent="0.2">
      <c r="A441" t="s">
        <v>2985</v>
      </c>
      <c r="B441">
        <v>494</v>
      </c>
      <c r="C441" t="s">
        <v>2985</v>
      </c>
      <c r="D441">
        <v>41031</v>
      </c>
      <c r="E441" t="s">
        <v>2468</v>
      </c>
      <c r="F441">
        <v>2600</v>
      </c>
      <c r="G441" t="s">
        <v>655</v>
      </c>
      <c r="H441">
        <v>2600</v>
      </c>
      <c r="I441" t="s">
        <v>655</v>
      </c>
      <c r="J441" t="s">
        <v>2365</v>
      </c>
      <c r="K441" t="s">
        <v>2365</v>
      </c>
      <c r="L441">
        <v>2100</v>
      </c>
      <c r="M441" t="s">
        <v>618</v>
      </c>
      <c r="N441">
        <v>2118</v>
      </c>
      <c r="O441" t="s">
        <v>1509</v>
      </c>
      <c r="P441" t="s">
        <v>2366</v>
      </c>
      <c r="Q441" t="s">
        <v>2364</v>
      </c>
      <c r="R441" t="s">
        <v>2364</v>
      </c>
      <c r="S441" t="s">
        <v>1881</v>
      </c>
      <c r="T441" t="s">
        <v>1812</v>
      </c>
      <c r="U441" t="s">
        <v>2365</v>
      </c>
      <c r="V441" t="s">
        <v>2365</v>
      </c>
      <c r="W441" t="s">
        <v>2365</v>
      </c>
      <c r="X441" t="s">
        <v>2365</v>
      </c>
      <c r="Y441" t="s">
        <v>2365</v>
      </c>
      <c r="Z441" t="s">
        <v>2365</v>
      </c>
      <c r="AA441" t="s">
        <v>2365</v>
      </c>
      <c r="AB441" t="s">
        <v>2365</v>
      </c>
      <c r="AC441" s="813" t="s">
        <v>2365</v>
      </c>
      <c r="AD441" s="813" t="s">
        <v>2365</v>
      </c>
      <c r="AE441" s="813" t="s">
        <v>2365</v>
      </c>
      <c r="AF441" t="s">
        <v>2365</v>
      </c>
      <c r="AG441" t="s">
        <v>2365</v>
      </c>
      <c r="AH441" t="s">
        <v>2365</v>
      </c>
      <c r="AI441" t="s">
        <v>2365</v>
      </c>
      <c r="AJ441" t="s">
        <v>2365</v>
      </c>
      <c r="AK441" t="s">
        <v>2365</v>
      </c>
      <c r="AL441" t="s">
        <v>2365</v>
      </c>
      <c r="AM441" t="s">
        <v>2365</v>
      </c>
      <c r="AN441" t="s">
        <v>2365</v>
      </c>
      <c r="AR441" t="s">
        <v>2365</v>
      </c>
      <c r="AS441" t="s">
        <v>2365</v>
      </c>
      <c r="AT441" t="s">
        <v>2365</v>
      </c>
      <c r="AU441" t="s">
        <v>2365</v>
      </c>
      <c r="AV441" t="s">
        <v>2365</v>
      </c>
      <c r="AW441" t="s">
        <v>2365</v>
      </c>
      <c r="AX441" t="s">
        <v>2365</v>
      </c>
      <c r="AY441" t="s">
        <v>2365</v>
      </c>
      <c r="AZ441" t="s">
        <v>2365</v>
      </c>
      <c r="BA441" t="s">
        <v>2365</v>
      </c>
      <c r="BB441" t="s">
        <v>2365</v>
      </c>
      <c r="BC441" t="s">
        <v>2365</v>
      </c>
      <c r="BD441" t="s">
        <v>2366</v>
      </c>
      <c r="BE441" t="s">
        <v>2365</v>
      </c>
      <c r="BF441" t="s">
        <v>2365</v>
      </c>
      <c r="BG441" t="s">
        <v>2365</v>
      </c>
      <c r="BH441" t="s">
        <v>2365</v>
      </c>
      <c r="BI441" t="s">
        <v>2366</v>
      </c>
      <c r="BJ441" t="s">
        <v>2365</v>
      </c>
      <c r="BK441" t="s">
        <v>2365</v>
      </c>
      <c r="BL441" t="s">
        <v>2365</v>
      </c>
      <c r="BM441" t="s">
        <v>2365</v>
      </c>
      <c r="BO441">
        <v>4</v>
      </c>
      <c r="BP441">
        <v>43</v>
      </c>
      <c r="BQ441" t="s">
        <v>2433</v>
      </c>
      <c r="BR441" t="s">
        <v>1509</v>
      </c>
      <c r="BU441">
        <v>0</v>
      </c>
      <c r="BV441">
        <v>0</v>
      </c>
      <c r="BW441">
        <v>0</v>
      </c>
      <c r="BX441">
        <v>0</v>
      </c>
      <c r="BY441">
        <v>0</v>
      </c>
      <c r="BZ441">
        <v>0</v>
      </c>
      <c r="CA441">
        <v>0</v>
      </c>
      <c r="CB441">
        <v>0</v>
      </c>
      <c r="CC441">
        <v>0</v>
      </c>
      <c r="CD441">
        <v>0</v>
      </c>
      <c r="CE441">
        <v>0</v>
      </c>
      <c r="CF441">
        <v>0</v>
      </c>
      <c r="CG441">
        <v>0</v>
      </c>
      <c r="CH441">
        <v>0</v>
      </c>
      <c r="CI441">
        <v>0</v>
      </c>
      <c r="CJ441">
        <v>0</v>
      </c>
      <c r="CK441">
        <v>0</v>
      </c>
      <c r="CL441">
        <v>0</v>
      </c>
      <c r="CM441">
        <v>0</v>
      </c>
      <c r="CR441" t="s">
        <v>2328</v>
      </c>
      <c r="CS441" s="1369" t="str">
        <f>INDEX([8]Sheet1!$H:$H,MATCH(CR:CR,[8]Sheet1!$AU:$AU,0))</f>
        <v>Water Distribution</v>
      </c>
    </row>
    <row r="442" spans="1:97" x14ac:dyDescent="0.2">
      <c r="A442" t="s">
        <v>2986</v>
      </c>
      <c r="B442">
        <v>495</v>
      </c>
      <c r="C442" t="s">
        <v>2986</v>
      </c>
      <c r="D442">
        <v>41484</v>
      </c>
      <c r="E442" t="s">
        <v>2432</v>
      </c>
      <c r="F442">
        <v>2600</v>
      </c>
      <c r="G442" t="s">
        <v>655</v>
      </c>
      <c r="H442">
        <v>2600</v>
      </c>
      <c r="I442" t="s">
        <v>655</v>
      </c>
      <c r="J442" t="s">
        <v>2365</v>
      </c>
      <c r="K442" t="s">
        <v>2365</v>
      </c>
      <c r="L442">
        <v>2500</v>
      </c>
      <c r="M442" t="s">
        <v>622</v>
      </c>
      <c r="N442">
        <v>2502</v>
      </c>
      <c r="O442" t="s">
        <v>1524</v>
      </c>
      <c r="P442" t="s">
        <v>2366</v>
      </c>
      <c r="Q442" t="s">
        <v>2364</v>
      </c>
      <c r="R442" t="s">
        <v>2364</v>
      </c>
      <c r="S442" t="s">
        <v>1881</v>
      </c>
      <c r="T442" t="s">
        <v>1812</v>
      </c>
      <c r="U442" t="s">
        <v>2365</v>
      </c>
      <c r="V442" t="s">
        <v>2365</v>
      </c>
      <c r="W442" t="s">
        <v>2365</v>
      </c>
      <c r="X442" t="s">
        <v>2365</v>
      </c>
      <c r="Y442" t="s">
        <v>2365</v>
      </c>
      <c r="Z442" t="s">
        <v>2365</v>
      </c>
      <c r="AA442" t="s">
        <v>2365</v>
      </c>
      <c r="AB442" t="s">
        <v>2365</v>
      </c>
      <c r="AC442" s="813" t="s">
        <v>2365</v>
      </c>
      <c r="AD442" s="813" t="s">
        <v>2365</v>
      </c>
      <c r="AE442" s="813" t="s">
        <v>2365</v>
      </c>
      <c r="AF442" t="s">
        <v>2365</v>
      </c>
      <c r="AG442" t="s">
        <v>2365</v>
      </c>
      <c r="AH442" t="s">
        <v>2365</v>
      </c>
      <c r="AI442" t="s">
        <v>2365</v>
      </c>
      <c r="AJ442" t="s">
        <v>2365</v>
      </c>
      <c r="AK442" t="s">
        <v>2365</v>
      </c>
      <c r="AL442" t="s">
        <v>2365</v>
      </c>
      <c r="AM442" t="s">
        <v>2365</v>
      </c>
      <c r="AN442" t="s">
        <v>2365</v>
      </c>
      <c r="AR442" t="s">
        <v>2365</v>
      </c>
      <c r="AS442" t="s">
        <v>2365</v>
      </c>
      <c r="AT442" t="s">
        <v>2365</v>
      </c>
      <c r="AU442" t="s">
        <v>2365</v>
      </c>
      <c r="AV442" t="s">
        <v>2365</v>
      </c>
      <c r="AW442" t="s">
        <v>2365</v>
      </c>
      <c r="AX442" t="s">
        <v>2365</v>
      </c>
      <c r="AY442" t="s">
        <v>2365</v>
      </c>
      <c r="AZ442" t="s">
        <v>2365</v>
      </c>
      <c r="BA442" t="s">
        <v>2365</v>
      </c>
      <c r="BB442" t="s">
        <v>2365</v>
      </c>
      <c r="BC442" t="s">
        <v>2365</v>
      </c>
      <c r="BD442" t="s">
        <v>2366</v>
      </c>
      <c r="BE442" t="s">
        <v>2365</v>
      </c>
      <c r="BF442" t="s">
        <v>2365</v>
      </c>
      <c r="BG442" t="s">
        <v>2365</v>
      </c>
      <c r="BH442" t="s">
        <v>2365</v>
      </c>
      <c r="BI442" t="s">
        <v>2366</v>
      </c>
      <c r="BJ442" t="s">
        <v>2365</v>
      </c>
      <c r="BK442" t="s">
        <v>2365</v>
      </c>
      <c r="BL442" t="s">
        <v>2365</v>
      </c>
      <c r="BM442" t="s">
        <v>2365</v>
      </c>
      <c r="BO442">
        <v>15</v>
      </c>
      <c r="BP442">
        <v>151</v>
      </c>
      <c r="BQ442" t="s">
        <v>622</v>
      </c>
      <c r="BR442" t="s">
        <v>1524</v>
      </c>
      <c r="BU442">
        <v>0</v>
      </c>
      <c r="BV442">
        <v>0</v>
      </c>
      <c r="BW442">
        <v>0</v>
      </c>
      <c r="BX442">
        <v>0</v>
      </c>
      <c r="BY442">
        <v>0</v>
      </c>
      <c r="BZ442">
        <v>0</v>
      </c>
      <c r="CA442">
        <v>0</v>
      </c>
      <c r="CB442">
        <v>0</v>
      </c>
      <c r="CC442">
        <v>0</v>
      </c>
      <c r="CD442">
        <v>0</v>
      </c>
      <c r="CE442">
        <v>0</v>
      </c>
      <c r="CF442">
        <v>0</v>
      </c>
      <c r="CG442">
        <v>0</v>
      </c>
      <c r="CH442">
        <v>0</v>
      </c>
      <c r="CI442">
        <v>0</v>
      </c>
      <c r="CJ442">
        <v>0</v>
      </c>
      <c r="CK442">
        <v>0</v>
      </c>
      <c r="CL442">
        <v>0</v>
      </c>
      <c r="CM442">
        <v>0</v>
      </c>
      <c r="CR442" t="s">
        <v>2328</v>
      </c>
      <c r="CS442" s="1369" t="str">
        <f>INDEX([8]Sheet1!$H:$H,MATCH(CR:CR,[8]Sheet1!$AU:$AU,0))</f>
        <v>Water Distribution</v>
      </c>
    </row>
    <row r="443" spans="1:97" x14ac:dyDescent="0.2">
      <c r="A443" t="s">
        <v>2987</v>
      </c>
      <c r="B443">
        <v>496</v>
      </c>
      <c r="C443" t="s">
        <v>2987</v>
      </c>
      <c r="D443">
        <v>41485</v>
      </c>
      <c r="E443" t="s">
        <v>2518</v>
      </c>
      <c r="F443">
        <v>2900</v>
      </c>
      <c r="G443" t="s">
        <v>569</v>
      </c>
      <c r="H443" s="1373" t="s">
        <v>2366</v>
      </c>
      <c r="I443" t="s">
        <v>2366</v>
      </c>
      <c r="J443">
        <v>2904</v>
      </c>
      <c r="K443" t="s">
        <v>1432</v>
      </c>
      <c r="L443" s="1373">
        <v>2500</v>
      </c>
      <c r="M443" t="s">
        <v>622</v>
      </c>
      <c r="N443">
        <v>2502</v>
      </c>
      <c r="O443" t="s">
        <v>1524</v>
      </c>
      <c r="P443" t="s">
        <v>2366</v>
      </c>
      <c r="Q443" t="s">
        <v>2364</v>
      </c>
      <c r="R443" t="s">
        <v>2364</v>
      </c>
      <c r="S443" t="s">
        <v>1881</v>
      </c>
      <c r="T443" t="s">
        <v>1812</v>
      </c>
      <c r="U443" t="s">
        <v>2365</v>
      </c>
      <c r="V443" t="s">
        <v>2365</v>
      </c>
      <c r="W443" t="s">
        <v>2365</v>
      </c>
      <c r="X443" t="s">
        <v>2365</v>
      </c>
      <c r="Y443" t="s">
        <v>2365</v>
      </c>
      <c r="Z443" t="s">
        <v>2365</v>
      </c>
      <c r="AA443" t="s">
        <v>2365</v>
      </c>
      <c r="AB443" t="s">
        <v>2365</v>
      </c>
      <c r="AC443" s="813" t="s">
        <v>2365</v>
      </c>
      <c r="AD443" s="813" t="s">
        <v>2365</v>
      </c>
      <c r="AE443" s="813" t="s">
        <v>2365</v>
      </c>
      <c r="AF443" t="s">
        <v>2365</v>
      </c>
      <c r="AG443" t="s">
        <v>2365</v>
      </c>
      <c r="AH443" t="s">
        <v>2365</v>
      </c>
      <c r="AI443" t="s">
        <v>2365</v>
      </c>
      <c r="AJ443" t="s">
        <v>2365</v>
      </c>
      <c r="AK443" t="s">
        <v>2365</v>
      </c>
      <c r="AL443" t="s">
        <v>2365</v>
      </c>
      <c r="AM443" t="s">
        <v>2365</v>
      </c>
      <c r="AN443" t="s">
        <v>2365</v>
      </c>
      <c r="AR443" t="s">
        <v>2365</v>
      </c>
      <c r="AS443" t="s">
        <v>2365</v>
      </c>
      <c r="AT443" t="s">
        <v>2365</v>
      </c>
      <c r="AU443" t="s">
        <v>2365</v>
      </c>
      <c r="AV443" t="s">
        <v>2365</v>
      </c>
      <c r="AW443" t="s">
        <v>2365</v>
      </c>
      <c r="AX443" t="s">
        <v>2365</v>
      </c>
      <c r="AY443" t="s">
        <v>2365</v>
      </c>
      <c r="AZ443" t="s">
        <v>2365</v>
      </c>
      <c r="BA443" t="s">
        <v>2365</v>
      </c>
      <c r="BB443" t="s">
        <v>2365</v>
      </c>
      <c r="BC443" t="s">
        <v>2365</v>
      </c>
      <c r="BD443" t="s">
        <v>2366</v>
      </c>
      <c r="BE443" t="s">
        <v>2365</v>
      </c>
      <c r="BF443" t="s">
        <v>2365</v>
      </c>
      <c r="BG443" t="s">
        <v>2365</v>
      </c>
      <c r="BH443" t="s">
        <v>2365</v>
      </c>
      <c r="BI443" t="s">
        <v>2366</v>
      </c>
      <c r="BJ443" t="s">
        <v>2365</v>
      </c>
      <c r="BK443" t="s">
        <v>2365</v>
      </c>
      <c r="BL443" t="s">
        <v>2365</v>
      </c>
      <c r="BM443" t="s">
        <v>2365</v>
      </c>
      <c r="BO443">
        <v>15</v>
      </c>
      <c r="BP443">
        <v>151</v>
      </c>
      <c r="BQ443" t="s">
        <v>622</v>
      </c>
      <c r="BR443" t="s">
        <v>1524</v>
      </c>
      <c r="BU443" s="1371">
        <v>0</v>
      </c>
      <c r="BV443" s="1371">
        <v>0</v>
      </c>
      <c r="BW443" s="1371">
        <v>0</v>
      </c>
      <c r="BX443" s="1371">
        <v>0</v>
      </c>
      <c r="BY443" s="1371">
        <v>0</v>
      </c>
      <c r="BZ443">
        <v>0</v>
      </c>
      <c r="CA443">
        <v>0</v>
      </c>
      <c r="CB443">
        <v>0</v>
      </c>
      <c r="CC443">
        <v>0</v>
      </c>
      <c r="CD443">
        <v>0</v>
      </c>
      <c r="CE443">
        <v>0</v>
      </c>
      <c r="CF443">
        <v>0</v>
      </c>
      <c r="CG443">
        <v>0</v>
      </c>
      <c r="CH443">
        <v>0</v>
      </c>
      <c r="CI443">
        <v>0</v>
      </c>
      <c r="CJ443">
        <v>0</v>
      </c>
      <c r="CK443">
        <v>0</v>
      </c>
      <c r="CL443">
        <v>0</v>
      </c>
      <c r="CM443">
        <v>0</v>
      </c>
      <c r="CR443" t="s">
        <v>2328</v>
      </c>
      <c r="CS443" s="1369" t="str">
        <f>INDEX([8]Sheet1!$H:$H,MATCH(CR:CR,[8]Sheet1!$AU:$AU,0))</f>
        <v>Water Distribution</v>
      </c>
    </row>
    <row r="444" spans="1:97" x14ac:dyDescent="0.2">
      <c r="A444" t="s">
        <v>2988</v>
      </c>
      <c r="B444">
        <v>497</v>
      </c>
      <c r="C444" t="s">
        <v>2988</v>
      </c>
      <c r="D444">
        <v>41486</v>
      </c>
      <c r="E444" t="s">
        <v>2989</v>
      </c>
      <c r="F444">
        <v>2700</v>
      </c>
      <c r="G444" t="s">
        <v>656</v>
      </c>
      <c r="H444" s="1373" t="s">
        <v>2664</v>
      </c>
      <c r="I444" t="s">
        <v>1801</v>
      </c>
      <c r="J444">
        <v>2702</v>
      </c>
      <c r="K444" t="s">
        <v>1801</v>
      </c>
      <c r="L444" s="1373">
        <v>2500</v>
      </c>
      <c r="M444" t="s">
        <v>622</v>
      </c>
      <c r="N444">
        <v>2502</v>
      </c>
      <c r="O444" t="s">
        <v>1524</v>
      </c>
      <c r="P444" t="s">
        <v>2366</v>
      </c>
      <c r="Q444" t="s">
        <v>2364</v>
      </c>
      <c r="R444" t="s">
        <v>2364</v>
      </c>
      <c r="S444" t="s">
        <v>1881</v>
      </c>
      <c r="T444" t="s">
        <v>1812</v>
      </c>
      <c r="U444" t="s">
        <v>2365</v>
      </c>
      <c r="V444" t="s">
        <v>2365</v>
      </c>
      <c r="W444" t="s">
        <v>2365</v>
      </c>
      <c r="X444" t="s">
        <v>2365</v>
      </c>
      <c r="Y444" t="s">
        <v>2365</v>
      </c>
      <c r="Z444" t="s">
        <v>2365</v>
      </c>
      <c r="AA444" t="s">
        <v>2365</v>
      </c>
      <c r="AB444" t="s">
        <v>2365</v>
      </c>
      <c r="AC444" s="813" t="s">
        <v>2365</v>
      </c>
      <c r="AD444" s="813" t="s">
        <v>2365</v>
      </c>
      <c r="AE444" s="813" t="s">
        <v>2365</v>
      </c>
      <c r="AF444" t="s">
        <v>2365</v>
      </c>
      <c r="AG444" t="s">
        <v>2365</v>
      </c>
      <c r="AH444" t="s">
        <v>2365</v>
      </c>
      <c r="AI444" t="s">
        <v>2365</v>
      </c>
      <c r="AJ444" t="s">
        <v>2365</v>
      </c>
      <c r="AK444" t="s">
        <v>2365</v>
      </c>
      <c r="AL444" t="s">
        <v>2365</v>
      </c>
      <c r="AM444" t="s">
        <v>2365</v>
      </c>
      <c r="AN444" t="s">
        <v>2365</v>
      </c>
      <c r="AR444" t="s">
        <v>2365</v>
      </c>
      <c r="AS444" t="s">
        <v>2365</v>
      </c>
      <c r="AT444" t="s">
        <v>2365</v>
      </c>
      <c r="AU444" t="s">
        <v>2365</v>
      </c>
      <c r="AV444" t="s">
        <v>2365</v>
      </c>
      <c r="AW444" t="s">
        <v>2365</v>
      </c>
      <c r="AX444" t="s">
        <v>2365</v>
      </c>
      <c r="AY444" t="s">
        <v>2365</v>
      </c>
      <c r="AZ444" t="s">
        <v>2365</v>
      </c>
      <c r="BA444" t="s">
        <v>2365</v>
      </c>
      <c r="BB444" t="s">
        <v>2365</v>
      </c>
      <c r="BC444" t="s">
        <v>2365</v>
      </c>
      <c r="BD444" t="s">
        <v>2366</v>
      </c>
      <c r="BE444" t="s">
        <v>2365</v>
      </c>
      <c r="BF444" t="s">
        <v>2365</v>
      </c>
      <c r="BG444" t="s">
        <v>2365</v>
      </c>
      <c r="BH444" t="s">
        <v>2365</v>
      </c>
      <c r="BI444" t="s">
        <v>2366</v>
      </c>
      <c r="BJ444" t="s">
        <v>2365</v>
      </c>
      <c r="BK444" t="s">
        <v>2365</v>
      </c>
      <c r="BL444" t="s">
        <v>2365</v>
      </c>
      <c r="BM444" t="s">
        <v>2365</v>
      </c>
      <c r="BO444">
        <v>15</v>
      </c>
      <c r="BP444">
        <v>151</v>
      </c>
      <c r="BQ444" t="s">
        <v>622</v>
      </c>
      <c r="BR444" t="s">
        <v>1524</v>
      </c>
      <c r="BU444" s="1371">
        <v>0</v>
      </c>
      <c r="BV444" s="1371">
        <v>0</v>
      </c>
      <c r="BW444" s="1371">
        <v>0</v>
      </c>
      <c r="BX444" s="1371">
        <v>0</v>
      </c>
      <c r="BY444" s="1371">
        <v>0</v>
      </c>
      <c r="BZ444">
        <v>0</v>
      </c>
      <c r="CA444">
        <v>0</v>
      </c>
      <c r="CB444">
        <v>11250</v>
      </c>
      <c r="CC444">
        <v>0</v>
      </c>
      <c r="CD444">
        <v>0</v>
      </c>
      <c r="CE444">
        <v>0</v>
      </c>
      <c r="CF444">
        <v>0</v>
      </c>
      <c r="CG444">
        <v>-11250</v>
      </c>
      <c r="CH444">
        <v>0</v>
      </c>
      <c r="CI444">
        <v>0</v>
      </c>
      <c r="CJ444">
        <v>3230.61</v>
      </c>
      <c r="CK444">
        <v>0</v>
      </c>
      <c r="CL444">
        <v>0</v>
      </c>
      <c r="CM444">
        <v>0</v>
      </c>
      <c r="CR444" t="s">
        <v>2327</v>
      </c>
      <c r="CS444" s="1369" t="str">
        <f>INDEX([8]Sheet1!$H:$H,MATCH(CR:CR,[8]Sheet1!$AU:$AU,0))</f>
        <v>Education</v>
      </c>
    </row>
    <row r="445" spans="1:97" x14ac:dyDescent="0.2">
      <c r="A445" t="s">
        <v>2990</v>
      </c>
      <c r="B445">
        <v>498</v>
      </c>
      <c r="C445" t="s">
        <v>2990</v>
      </c>
      <c r="D445">
        <v>40865</v>
      </c>
      <c r="E445" t="s">
        <v>2911</v>
      </c>
      <c r="F445">
        <v>2900</v>
      </c>
      <c r="G445" t="s">
        <v>569</v>
      </c>
      <c r="H445" t="s">
        <v>2366</v>
      </c>
      <c r="I445" t="s">
        <v>2366</v>
      </c>
      <c r="J445">
        <v>2904</v>
      </c>
      <c r="K445" t="s">
        <v>1432</v>
      </c>
      <c r="L445">
        <v>2100</v>
      </c>
      <c r="M445" t="s">
        <v>618</v>
      </c>
      <c r="N445">
        <v>2109</v>
      </c>
      <c r="O445" t="s">
        <v>1502</v>
      </c>
      <c r="P445" t="s">
        <v>2366</v>
      </c>
      <c r="Q445" t="s">
        <v>2364</v>
      </c>
      <c r="R445" t="s">
        <v>2364</v>
      </c>
      <c r="S445" t="s">
        <v>1881</v>
      </c>
      <c r="T445" t="s">
        <v>1812</v>
      </c>
      <c r="U445" t="s">
        <v>2365</v>
      </c>
      <c r="V445" t="s">
        <v>2365</v>
      </c>
      <c r="W445" t="s">
        <v>2365</v>
      </c>
      <c r="X445" t="s">
        <v>2365</v>
      </c>
      <c r="Y445" t="s">
        <v>2365</v>
      </c>
      <c r="Z445" t="s">
        <v>2365</v>
      </c>
      <c r="AA445" t="s">
        <v>2365</v>
      </c>
      <c r="AB445" t="s">
        <v>2365</v>
      </c>
      <c r="AC445" s="813" t="s">
        <v>2365</v>
      </c>
      <c r="AD445" s="813" t="s">
        <v>2365</v>
      </c>
      <c r="AE445" s="813" t="s">
        <v>2365</v>
      </c>
      <c r="AF445" t="s">
        <v>2365</v>
      </c>
      <c r="AG445" t="s">
        <v>2365</v>
      </c>
      <c r="AH445" t="s">
        <v>2365</v>
      </c>
      <c r="AI445" t="s">
        <v>2365</v>
      </c>
      <c r="AJ445" t="s">
        <v>2365</v>
      </c>
      <c r="AK445" t="s">
        <v>2365</v>
      </c>
      <c r="AL445" t="s">
        <v>2365</v>
      </c>
      <c r="AM445" t="s">
        <v>2365</v>
      </c>
      <c r="AN445" t="s">
        <v>2365</v>
      </c>
      <c r="AR445" t="s">
        <v>2365</v>
      </c>
      <c r="AS445" t="s">
        <v>2365</v>
      </c>
      <c r="AT445" t="s">
        <v>2365</v>
      </c>
      <c r="AU445" t="s">
        <v>2365</v>
      </c>
      <c r="AV445" t="s">
        <v>2365</v>
      </c>
      <c r="AW445" t="s">
        <v>2365</v>
      </c>
      <c r="AX445" t="s">
        <v>2365</v>
      </c>
      <c r="AY445" t="s">
        <v>2365</v>
      </c>
      <c r="AZ445" t="s">
        <v>2365</v>
      </c>
      <c r="BA445" t="s">
        <v>2365</v>
      </c>
      <c r="BB445" t="s">
        <v>2365</v>
      </c>
      <c r="BC445" t="s">
        <v>2365</v>
      </c>
      <c r="BD445" t="s">
        <v>2366</v>
      </c>
      <c r="BE445" t="s">
        <v>2365</v>
      </c>
      <c r="BF445" t="s">
        <v>2365</v>
      </c>
      <c r="BG445" t="s">
        <v>2365</v>
      </c>
      <c r="BH445" t="s">
        <v>2365</v>
      </c>
      <c r="BI445" t="s">
        <v>2366</v>
      </c>
      <c r="BJ445" t="s">
        <v>2365</v>
      </c>
      <c r="BK445" t="s">
        <v>2365</v>
      </c>
      <c r="BL445" t="s">
        <v>2365</v>
      </c>
      <c r="BM445" t="s">
        <v>2365</v>
      </c>
      <c r="BO445">
        <v>4</v>
      </c>
      <c r="BP445">
        <v>41</v>
      </c>
      <c r="BQ445" t="s">
        <v>2433</v>
      </c>
      <c r="BR445" t="s">
        <v>1502</v>
      </c>
      <c r="BU445">
        <v>0</v>
      </c>
      <c r="BV445">
        <v>0</v>
      </c>
      <c r="BW445">
        <v>0</v>
      </c>
      <c r="BX445">
        <v>0</v>
      </c>
      <c r="BY445">
        <v>0</v>
      </c>
      <c r="BZ445">
        <v>0</v>
      </c>
      <c r="CA445">
        <v>0</v>
      </c>
      <c r="CB445">
        <v>0</v>
      </c>
      <c r="CC445">
        <v>0</v>
      </c>
      <c r="CD445">
        <v>0</v>
      </c>
      <c r="CE445">
        <v>0</v>
      </c>
      <c r="CF445">
        <v>0</v>
      </c>
      <c r="CG445">
        <v>0</v>
      </c>
      <c r="CH445">
        <v>0</v>
      </c>
      <c r="CI445">
        <v>0</v>
      </c>
      <c r="CJ445">
        <v>0</v>
      </c>
      <c r="CK445">
        <v>0</v>
      </c>
      <c r="CL445">
        <v>0</v>
      </c>
      <c r="CM445">
        <v>0</v>
      </c>
      <c r="CR445" t="s">
        <v>2327</v>
      </c>
      <c r="CS445" s="1369" t="str">
        <f>INDEX([8]Sheet1!$H:$H,MATCH(CR:CR,[8]Sheet1!$AU:$AU,0))</f>
        <v>Education</v>
      </c>
    </row>
    <row r="446" spans="1:97" x14ac:dyDescent="0.2">
      <c r="A446" t="s">
        <v>2991</v>
      </c>
      <c r="B446">
        <v>499</v>
      </c>
      <c r="C446" t="s">
        <v>2991</v>
      </c>
      <c r="D446">
        <v>40866</v>
      </c>
      <c r="E446" t="s">
        <v>2504</v>
      </c>
      <c r="F446">
        <v>2900</v>
      </c>
      <c r="G446" t="s">
        <v>569</v>
      </c>
      <c r="H446" t="s">
        <v>2366</v>
      </c>
      <c r="I446" t="s">
        <v>2366</v>
      </c>
      <c r="J446">
        <v>2904</v>
      </c>
      <c r="K446" t="s">
        <v>1432</v>
      </c>
      <c r="L446">
        <v>2100</v>
      </c>
      <c r="M446" t="s">
        <v>618</v>
      </c>
      <c r="N446">
        <v>2109</v>
      </c>
      <c r="O446" t="s">
        <v>1502</v>
      </c>
      <c r="P446" t="s">
        <v>2366</v>
      </c>
      <c r="Q446" t="s">
        <v>2364</v>
      </c>
      <c r="R446" t="s">
        <v>2364</v>
      </c>
      <c r="S446" t="s">
        <v>1881</v>
      </c>
      <c r="T446" t="s">
        <v>1812</v>
      </c>
      <c r="U446" t="s">
        <v>2365</v>
      </c>
      <c r="V446" t="s">
        <v>2365</v>
      </c>
      <c r="W446" t="s">
        <v>2365</v>
      </c>
      <c r="X446" t="s">
        <v>2365</v>
      </c>
      <c r="Y446" t="s">
        <v>2365</v>
      </c>
      <c r="Z446" t="s">
        <v>2365</v>
      </c>
      <c r="AA446" t="s">
        <v>2365</v>
      </c>
      <c r="AB446" t="s">
        <v>2365</v>
      </c>
      <c r="AC446" s="813" t="s">
        <v>2365</v>
      </c>
      <c r="AD446" s="813" t="s">
        <v>2365</v>
      </c>
      <c r="AE446" s="813" t="s">
        <v>2365</v>
      </c>
      <c r="AF446" t="s">
        <v>2365</v>
      </c>
      <c r="AG446" t="s">
        <v>2365</v>
      </c>
      <c r="AH446" t="s">
        <v>2365</v>
      </c>
      <c r="AI446" t="s">
        <v>2365</v>
      </c>
      <c r="AJ446" t="s">
        <v>2365</v>
      </c>
      <c r="AK446" t="s">
        <v>2365</v>
      </c>
      <c r="AL446" t="s">
        <v>2365</v>
      </c>
      <c r="AM446" t="s">
        <v>2365</v>
      </c>
      <c r="AN446" t="s">
        <v>2365</v>
      </c>
      <c r="AR446" t="s">
        <v>2365</v>
      </c>
      <c r="AS446" t="s">
        <v>2365</v>
      </c>
      <c r="AT446" t="s">
        <v>2365</v>
      </c>
      <c r="AU446" t="s">
        <v>2365</v>
      </c>
      <c r="AV446" t="s">
        <v>2365</v>
      </c>
      <c r="AW446" t="s">
        <v>2365</v>
      </c>
      <c r="AX446" t="s">
        <v>2365</v>
      </c>
      <c r="AY446" t="s">
        <v>2365</v>
      </c>
      <c r="AZ446" t="s">
        <v>2365</v>
      </c>
      <c r="BA446" t="s">
        <v>2365</v>
      </c>
      <c r="BB446" t="s">
        <v>2365</v>
      </c>
      <c r="BC446" t="s">
        <v>2365</v>
      </c>
      <c r="BD446" t="s">
        <v>2366</v>
      </c>
      <c r="BE446" t="s">
        <v>2365</v>
      </c>
      <c r="BF446" t="s">
        <v>2365</v>
      </c>
      <c r="BG446" t="s">
        <v>2365</v>
      </c>
      <c r="BH446" t="s">
        <v>2365</v>
      </c>
      <c r="BI446" t="s">
        <v>2366</v>
      </c>
      <c r="BJ446" t="s">
        <v>2365</v>
      </c>
      <c r="BK446" t="s">
        <v>2365</v>
      </c>
      <c r="BL446" t="s">
        <v>2365</v>
      </c>
      <c r="BM446" t="s">
        <v>2365</v>
      </c>
      <c r="BO446">
        <v>4</v>
      </c>
      <c r="BP446">
        <v>41</v>
      </c>
      <c r="BQ446" t="s">
        <v>2433</v>
      </c>
      <c r="BR446" t="s">
        <v>1502</v>
      </c>
      <c r="BU446">
        <v>0</v>
      </c>
      <c r="BV446">
        <v>0</v>
      </c>
      <c r="BW446">
        <v>0</v>
      </c>
      <c r="BX446">
        <v>0</v>
      </c>
      <c r="BY446">
        <v>0</v>
      </c>
      <c r="BZ446">
        <v>0</v>
      </c>
      <c r="CA446">
        <v>0</v>
      </c>
      <c r="CB446">
        <v>0</v>
      </c>
      <c r="CC446">
        <v>0</v>
      </c>
      <c r="CD446">
        <v>0</v>
      </c>
      <c r="CE446">
        <v>0</v>
      </c>
      <c r="CF446">
        <v>0</v>
      </c>
      <c r="CG446">
        <v>0</v>
      </c>
      <c r="CH446">
        <v>0</v>
      </c>
      <c r="CI446">
        <v>0</v>
      </c>
      <c r="CJ446">
        <v>0</v>
      </c>
      <c r="CK446">
        <v>0</v>
      </c>
      <c r="CL446">
        <v>0</v>
      </c>
      <c r="CM446">
        <v>0</v>
      </c>
      <c r="CR446" t="s">
        <v>2327</v>
      </c>
      <c r="CS446" s="1369" t="str">
        <f>INDEX([8]Sheet1!$H:$H,MATCH(CR:CR,[8]Sheet1!$AU:$AU,0))</f>
        <v>Education</v>
      </c>
    </row>
    <row r="447" spans="1:97" x14ac:dyDescent="0.2">
      <c r="A447" t="s">
        <v>2992</v>
      </c>
      <c r="B447">
        <v>500</v>
      </c>
      <c r="C447" t="s">
        <v>2992</v>
      </c>
      <c r="D447">
        <v>40867</v>
      </c>
      <c r="E447" t="s">
        <v>2913</v>
      </c>
      <c r="F447">
        <v>2900</v>
      </c>
      <c r="G447" t="s">
        <v>569</v>
      </c>
      <c r="H447" t="s">
        <v>2366</v>
      </c>
      <c r="I447" t="s">
        <v>2366</v>
      </c>
      <c r="J447">
        <v>2904</v>
      </c>
      <c r="K447" t="s">
        <v>1432</v>
      </c>
      <c r="L447">
        <v>2100</v>
      </c>
      <c r="M447" t="s">
        <v>618</v>
      </c>
      <c r="N447">
        <v>2109</v>
      </c>
      <c r="O447" t="s">
        <v>1502</v>
      </c>
      <c r="P447" t="s">
        <v>2366</v>
      </c>
      <c r="Q447" t="s">
        <v>2364</v>
      </c>
      <c r="R447" t="s">
        <v>2364</v>
      </c>
      <c r="S447" t="s">
        <v>1881</v>
      </c>
      <c r="T447" t="s">
        <v>1812</v>
      </c>
      <c r="U447" t="s">
        <v>2365</v>
      </c>
      <c r="V447" t="s">
        <v>2365</v>
      </c>
      <c r="W447" t="s">
        <v>2365</v>
      </c>
      <c r="X447" t="s">
        <v>2365</v>
      </c>
      <c r="Y447" t="s">
        <v>2365</v>
      </c>
      <c r="Z447" t="s">
        <v>2365</v>
      </c>
      <c r="AA447" t="s">
        <v>2365</v>
      </c>
      <c r="AB447" t="s">
        <v>2365</v>
      </c>
      <c r="AC447" s="813" t="s">
        <v>2365</v>
      </c>
      <c r="AD447" s="813" t="s">
        <v>2365</v>
      </c>
      <c r="AE447" s="813" t="s">
        <v>2365</v>
      </c>
      <c r="AF447" t="s">
        <v>2365</v>
      </c>
      <c r="AG447" t="s">
        <v>2365</v>
      </c>
      <c r="AH447" t="s">
        <v>2365</v>
      </c>
      <c r="AI447" t="s">
        <v>2365</v>
      </c>
      <c r="AJ447" t="s">
        <v>2365</v>
      </c>
      <c r="AK447" t="s">
        <v>2365</v>
      </c>
      <c r="AL447" t="s">
        <v>2365</v>
      </c>
      <c r="AM447" t="s">
        <v>2365</v>
      </c>
      <c r="AN447" t="s">
        <v>2365</v>
      </c>
      <c r="AR447" t="s">
        <v>2365</v>
      </c>
      <c r="AS447" t="s">
        <v>2365</v>
      </c>
      <c r="AT447" t="s">
        <v>2365</v>
      </c>
      <c r="AU447" t="s">
        <v>2365</v>
      </c>
      <c r="AV447" t="s">
        <v>2365</v>
      </c>
      <c r="AW447" t="s">
        <v>2365</v>
      </c>
      <c r="AX447" t="s">
        <v>2365</v>
      </c>
      <c r="AY447" t="s">
        <v>2365</v>
      </c>
      <c r="AZ447" t="s">
        <v>2365</v>
      </c>
      <c r="BA447" t="s">
        <v>2365</v>
      </c>
      <c r="BB447" t="s">
        <v>2365</v>
      </c>
      <c r="BC447" t="s">
        <v>2365</v>
      </c>
      <c r="BD447" t="s">
        <v>2366</v>
      </c>
      <c r="BE447" t="s">
        <v>2365</v>
      </c>
      <c r="BF447" t="s">
        <v>2365</v>
      </c>
      <c r="BG447" t="s">
        <v>2365</v>
      </c>
      <c r="BH447" t="s">
        <v>2365</v>
      </c>
      <c r="BI447" t="s">
        <v>2366</v>
      </c>
      <c r="BJ447" t="s">
        <v>2365</v>
      </c>
      <c r="BK447" t="s">
        <v>2365</v>
      </c>
      <c r="BL447" t="s">
        <v>2365</v>
      </c>
      <c r="BM447" t="s">
        <v>2365</v>
      </c>
      <c r="BO447">
        <v>4</v>
      </c>
      <c r="BP447">
        <v>41</v>
      </c>
      <c r="BQ447" t="s">
        <v>2433</v>
      </c>
      <c r="BR447" t="s">
        <v>1502</v>
      </c>
      <c r="BU447">
        <v>0</v>
      </c>
      <c r="BV447">
        <v>0</v>
      </c>
      <c r="BW447">
        <v>0</v>
      </c>
      <c r="BX447">
        <v>0</v>
      </c>
      <c r="BY447">
        <v>0</v>
      </c>
      <c r="BZ447">
        <v>0</v>
      </c>
      <c r="CA447">
        <v>0</v>
      </c>
      <c r="CB447">
        <v>0</v>
      </c>
      <c r="CC447">
        <v>0</v>
      </c>
      <c r="CD447">
        <v>0</v>
      </c>
      <c r="CE447">
        <v>0</v>
      </c>
      <c r="CF447">
        <v>0</v>
      </c>
      <c r="CG447">
        <v>0</v>
      </c>
      <c r="CH447">
        <v>0</v>
      </c>
      <c r="CI447">
        <v>0</v>
      </c>
      <c r="CJ447">
        <v>0</v>
      </c>
      <c r="CK447">
        <v>0</v>
      </c>
      <c r="CL447">
        <v>0</v>
      </c>
      <c r="CM447">
        <v>0</v>
      </c>
      <c r="CR447" t="s">
        <v>2327</v>
      </c>
      <c r="CS447" s="1369" t="str">
        <f>INDEX([8]Sheet1!$H:$H,MATCH(CR:CR,[8]Sheet1!$AU:$AU,0))</f>
        <v>Education</v>
      </c>
    </row>
    <row r="448" spans="1:97" x14ac:dyDescent="0.2">
      <c r="A448" t="s">
        <v>2993</v>
      </c>
      <c r="B448">
        <v>501</v>
      </c>
      <c r="C448" t="s">
        <v>2993</v>
      </c>
      <c r="D448">
        <v>40868</v>
      </c>
      <c r="E448" t="s">
        <v>2510</v>
      </c>
      <c r="F448">
        <v>2900</v>
      </c>
      <c r="G448" t="s">
        <v>569</v>
      </c>
      <c r="H448" t="s">
        <v>2366</v>
      </c>
      <c r="I448" t="s">
        <v>2366</v>
      </c>
      <c r="J448">
        <v>2904</v>
      </c>
      <c r="K448" t="s">
        <v>1432</v>
      </c>
      <c r="L448">
        <v>2100</v>
      </c>
      <c r="M448" t="s">
        <v>618</v>
      </c>
      <c r="N448">
        <v>2109</v>
      </c>
      <c r="O448" t="s">
        <v>1502</v>
      </c>
      <c r="P448" t="s">
        <v>2366</v>
      </c>
      <c r="Q448" t="s">
        <v>2364</v>
      </c>
      <c r="R448" t="s">
        <v>2364</v>
      </c>
      <c r="S448" t="s">
        <v>1881</v>
      </c>
      <c r="T448" t="s">
        <v>1812</v>
      </c>
      <c r="U448" t="s">
        <v>2365</v>
      </c>
      <c r="V448" t="s">
        <v>2365</v>
      </c>
      <c r="W448" t="s">
        <v>2365</v>
      </c>
      <c r="X448" t="s">
        <v>2365</v>
      </c>
      <c r="Y448" t="s">
        <v>2365</v>
      </c>
      <c r="Z448" t="s">
        <v>2365</v>
      </c>
      <c r="AA448" t="s">
        <v>2365</v>
      </c>
      <c r="AB448" t="s">
        <v>2365</v>
      </c>
      <c r="AC448" s="813" t="s">
        <v>2365</v>
      </c>
      <c r="AD448" s="813" t="s">
        <v>2365</v>
      </c>
      <c r="AE448" s="813" t="s">
        <v>2365</v>
      </c>
      <c r="AF448" t="s">
        <v>2365</v>
      </c>
      <c r="AG448" t="s">
        <v>2365</v>
      </c>
      <c r="AH448" t="s">
        <v>2365</v>
      </c>
      <c r="AI448" t="s">
        <v>2365</v>
      </c>
      <c r="AJ448" t="s">
        <v>2365</v>
      </c>
      <c r="AK448" t="s">
        <v>2365</v>
      </c>
      <c r="AL448" t="s">
        <v>2365</v>
      </c>
      <c r="AM448" t="s">
        <v>2365</v>
      </c>
      <c r="AN448" t="s">
        <v>2365</v>
      </c>
      <c r="AR448" t="s">
        <v>2365</v>
      </c>
      <c r="AS448" t="s">
        <v>2365</v>
      </c>
      <c r="AT448" t="s">
        <v>2365</v>
      </c>
      <c r="AU448" t="s">
        <v>2365</v>
      </c>
      <c r="AV448" t="s">
        <v>2365</v>
      </c>
      <c r="AW448" t="s">
        <v>2365</v>
      </c>
      <c r="AX448" t="s">
        <v>2365</v>
      </c>
      <c r="AY448" t="s">
        <v>2365</v>
      </c>
      <c r="AZ448" t="s">
        <v>2365</v>
      </c>
      <c r="BA448" t="s">
        <v>2365</v>
      </c>
      <c r="BB448" t="s">
        <v>2365</v>
      </c>
      <c r="BC448" t="s">
        <v>2365</v>
      </c>
      <c r="BD448" t="s">
        <v>2366</v>
      </c>
      <c r="BE448" t="s">
        <v>2365</v>
      </c>
      <c r="BF448" t="s">
        <v>2365</v>
      </c>
      <c r="BG448" t="s">
        <v>2365</v>
      </c>
      <c r="BH448" t="s">
        <v>2365</v>
      </c>
      <c r="BI448" t="s">
        <v>2366</v>
      </c>
      <c r="BJ448" t="s">
        <v>2365</v>
      </c>
      <c r="BK448" t="s">
        <v>2365</v>
      </c>
      <c r="BL448" t="s">
        <v>2365</v>
      </c>
      <c r="BM448" t="s">
        <v>2365</v>
      </c>
      <c r="BO448">
        <v>4</v>
      </c>
      <c r="BP448">
        <v>41</v>
      </c>
      <c r="BQ448" t="s">
        <v>2433</v>
      </c>
      <c r="BR448" t="s">
        <v>1502</v>
      </c>
      <c r="BU448">
        <v>0</v>
      </c>
      <c r="BV448">
        <v>0</v>
      </c>
      <c r="BW448">
        <v>0</v>
      </c>
      <c r="BX448">
        <v>0</v>
      </c>
      <c r="BY448">
        <v>0</v>
      </c>
      <c r="BZ448">
        <v>0</v>
      </c>
      <c r="CA448">
        <v>0</v>
      </c>
      <c r="CB448">
        <v>0</v>
      </c>
      <c r="CC448">
        <v>0</v>
      </c>
      <c r="CD448">
        <v>0</v>
      </c>
      <c r="CE448">
        <v>0</v>
      </c>
      <c r="CF448">
        <v>0</v>
      </c>
      <c r="CG448">
        <v>0</v>
      </c>
      <c r="CH448">
        <v>0</v>
      </c>
      <c r="CI448">
        <v>0</v>
      </c>
      <c r="CJ448">
        <v>0</v>
      </c>
      <c r="CK448">
        <v>0</v>
      </c>
      <c r="CL448">
        <v>0</v>
      </c>
      <c r="CM448">
        <v>0</v>
      </c>
      <c r="CR448" t="s">
        <v>2327</v>
      </c>
      <c r="CS448" s="1369" t="str">
        <f>INDEX([8]Sheet1!$H:$H,MATCH(CR:CR,[8]Sheet1!$AU:$AU,0))</f>
        <v>Education</v>
      </c>
    </row>
    <row r="449" spans="1:97" x14ac:dyDescent="0.2">
      <c r="A449" t="s">
        <v>2994</v>
      </c>
      <c r="B449">
        <v>502</v>
      </c>
      <c r="C449" t="s">
        <v>2994</v>
      </c>
      <c r="D449">
        <v>40869</v>
      </c>
      <c r="E449" t="s">
        <v>2508</v>
      </c>
      <c r="F449">
        <v>2900</v>
      </c>
      <c r="G449" t="s">
        <v>569</v>
      </c>
      <c r="H449" t="s">
        <v>2366</v>
      </c>
      <c r="I449" t="s">
        <v>2366</v>
      </c>
      <c r="J449">
        <v>2904</v>
      </c>
      <c r="K449" t="s">
        <v>1432</v>
      </c>
      <c r="L449">
        <v>2100</v>
      </c>
      <c r="M449" t="s">
        <v>618</v>
      </c>
      <c r="N449">
        <v>2109</v>
      </c>
      <c r="O449" t="s">
        <v>1502</v>
      </c>
      <c r="P449" t="s">
        <v>2366</v>
      </c>
      <c r="Q449" t="s">
        <v>2364</v>
      </c>
      <c r="R449" t="s">
        <v>2364</v>
      </c>
      <c r="S449" t="s">
        <v>1881</v>
      </c>
      <c r="T449" t="s">
        <v>1812</v>
      </c>
      <c r="U449" t="s">
        <v>2365</v>
      </c>
      <c r="V449" t="s">
        <v>2365</v>
      </c>
      <c r="W449" t="s">
        <v>2365</v>
      </c>
      <c r="X449" t="s">
        <v>2365</v>
      </c>
      <c r="Y449" t="s">
        <v>2365</v>
      </c>
      <c r="Z449" t="s">
        <v>2365</v>
      </c>
      <c r="AA449" t="s">
        <v>2365</v>
      </c>
      <c r="AB449" t="s">
        <v>2365</v>
      </c>
      <c r="AC449" s="813" t="s">
        <v>2365</v>
      </c>
      <c r="AD449" s="813" t="s">
        <v>2365</v>
      </c>
      <c r="AE449" s="813" t="s">
        <v>2365</v>
      </c>
      <c r="AF449" t="s">
        <v>2365</v>
      </c>
      <c r="AG449" t="s">
        <v>2365</v>
      </c>
      <c r="AH449" t="s">
        <v>2365</v>
      </c>
      <c r="AI449" t="s">
        <v>2365</v>
      </c>
      <c r="AJ449" t="s">
        <v>2365</v>
      </c>
      <c r="AK449" t="s">
        <v>2365</v>
      </c>
      <c r="AL449" t="s">
        <v>2365</v>
      </c>
      <c r="AM449" t="s">
        <v>2365</v>
      </c>
      <c r="AN449" t="s">
        <v>2365</v>
      </c>
      <c r="AR449" t="s">
        <v>2365</v>
      </c>
      <c r="AS449" t="s">
        <v>2365</v>
      </c>
      <c r="AT449" t="s">
        <v>2365</v>
      </c>
      <c r="AU449" t="s">
        <v>2365</v>
      </c>
      <c r="AV449" t="s">
        <v>2365</v>
      </c>
      <c r="AW449" t="s">
        <v>2365</v>
      </c>
      <c r="AX449" t="s">
        <v>2365</v>
      </c>
      <c r="AY449" t="s">
        <v>2365</v>
      </c>
      <c r="AZ449" t="s">
        <v>2365</v>
      </c>
      <c r="BA449" t="s">
        <v>2365</v>
      </c>
      <c r="BB449" t="s">
        <v>2365</v>
      </c>
      <c r="BC449" t="s">
        <v>2365</v>
      </c>
      <c r="BD449" t="s">
        <v>2366</v>
      </c>
      <c r="BE449" t="s">
        <v>2365</v>
      </c>
      <c r="BF449" t="s">
        <v>2365</v>
      </c>
      <c r="BG449" t="s">
        <v>2365</v>
      </c>
      <c r="BH449" t="s">
        <v>2365</v>
      </c>
      <c r="BI449" t="s">
        <v>2366</v>
      </c>
      <c r="BJ449" t="s">
        <v>2365</v>
      </c>
      <c r="BK449" t="s">
        <v>2365</v>
      </c>
      <c r="BL449" t="s">
        <v>2365</v>
      </c>
      <c r="BM449" t="s">
        <v>2365</v>
      </c>
      <c r="BO449">
        <v>4</v>
      </c>
      <c r="BP449">
        <v>41</v>
      </c>
      <c r="BQ449" t="s">
        <v>2433</v>
      </c>
      <c r="BR449" t="s">
        <v>1502</v>
      </c>
      <c r="BU449">
        <v>0</v>
      </c>
      <c r="BV449">
        <v>0</v>
      </c>
      <c r="BW449">
        <v>0</v>
      </c>
      <c r="BX449">
        <v>0</v>
      </c>
      <c r="BY449">
        <v>0</v>
      </c>
      <c r="BZ449">
        <v>0</v>
      </c>
      <c r="CA449">
        <v>0</v>
      </c>
      <c r="CB449">
        <v>0</v>
      </c>
      <c r="CC449">
        <v>0</v>
      </c>
      <c r="CD449">
        <v>0</v>
      </c>
      <c r="CE449">
        <v>0</v>
      </c>
      <c r="CF449">
        <v>0</v>
      </c>
      <c r="CG449">
        <v>0</v>
      </c>
      <c r="CH449">
        <v>0</v>
      </c>
      <c r="CI449">
        <v>0</v>
      </c>
      <c r="CJ449">
        <v>0</v>
      </c>
      <c r="CK449">
        <v>0</v>
      </c>
      <c r="CL449">
        <v>0</v>
      </c>
      <c r="CM449">
        <v>0</v>
      </c>
      <c r="CR449" t="s">
        <v>2327</v>
      </c>
      <c r="CS449" s="1369" t="str">
        <f>INDEX([8]Sheet1!$H:$H,MATCH(CR:CR,[8]Sheet1!$AU:$AU,0))</f>
        <v>Education</v>
      </c>
    </row>
    <row r="450" spans="1:97" x14ac:dyDescent="0.2">
      <c r="A450" t="s">
        <v>2995</v>
      </c>
      <c r="B450">
        <v>503</v>
      </c>
      <c r="C450" t="s">
        <v>2995</v>
      </c>
      <c r="D450">
        <v>40870</v>
      </c>
      <c r="E450" t="s">
        <v>2455</v>
      </c>
      <c r="F450">
        <v>2900</v>
      </c>
      <c r="G450" t="s">
        <v>569</v>
      </c>
      <c r="H450" t="s">
        <v>2366</v>
      </c>
      <c r="I450" t="s">
        <v>2366</v>
      </c>
      <c r="J450">
        <v>2904</v>
      </c>
      <c r="K450" t="s">
        <v>1432</v>
      </c>
      <c r="L450">
        <v>2100</v>
      </c>
      <c r="M450" t="s">
        <v>618</v>
      </c>
      <c r="N450">
        <v>2109</v>
      </c>
      <c r="O450" t="s">
        <v>1502</v>
      </c>
      <c r="P450" t="s">
        <v>2366</v>
      </c>
      <c r="Q450" t="s">
        <v>2364</v>
      </c>
      <c r="R450" t="s">
        <v>2364</v>
      </c>
      <c r="S450" t="s">
        <v>1881</v>
      </c>
      <c r="T450" t="s">
        <v>1812</v>
      </c>
      <c r="U450" t="s">
        <v>2365</v>
      </c>
      <c r="V450" t="s">
        <v>2365</v>
      </c>
      <c r="W450" t="s">
        <v>2365</v>
      </c>
      <c r="X450" t="s">
        <v>2365</v>
      </c>
      <c r="Y450" t="s">
        <v>2365</v>
      </c>
      <c r="Z450" t="s">
        <v>2365</v>
      </c>
      <c r="AA450" t="s">
        <v>2365</v>
      </c>
      <c r="AB450" t="s">
        <v>2365</v>
      </c>
      <c r="AC450" s="813" t="s">
        <v>2365</v>
      </c>
      <c r="AD450" s="813" t="s">
        <v>2365</v>
      </c>
      <c r="AE450" s="813" t="s">
        <v>2365</v>
      </c>
      <c r="AF450" t="s">
        <v>2365</v>
      </c>
      <c r="AG450" t="s">
        <v>2365</v>
      </c>
      <c r="AH450" t="s">
        <v>2365</v>
      </c>
      <c r="AI450" t="s">
        <v>2365</v>
      </c>
      <c r="AJ450" t="s">
        <v>2365</v>
      </c>
      <c r="AK450" t="s">
        <v>2365</v>
      </c>
      <c r="AL450" t="s">
        <v>2365</v>
      </c>
      <c r="AM450" t="s">
        <v>2365</v>
      </c>
      <c r="AN450" t="s">
        <v>2365</v>
      </c>
      <c r="AR450" t="s">
        <v>2365</v>
      </c>
      <c r="AS450" t="s">
        <v>2365</v>
      </c>
      <c r="AT450" t="s">
        <v>2365</v>
      </c>
      <c r="AU450" t="s">
        <v>2365</v>
      </c>
      <c r="AV450" t="s">
        <v>2365</v>
      </c>
      <c r="AW450" t="s">
        <v>2365</v>
      </c>
      <c r="AX450" t="s">
        <v>2365</v>
      </c>
      <c r="AY450" t="s">
        <v>2365</v>
      </c>
      <c r="AZ450" t="s">
        <v>2365</v>
      </c>
      <c r="BA450" t="s">
        <v>2365</v>
      </c>
      <c r="BB450" t="s">
        <v>2365</v>
      </c>
      <c r="BC450" t="s">
        <v>2365</v>
      </c>
      <c r="BD450" t="s">
        <v>2366</v>
      </c>
      <c r="BE450" t="s">
        <v>2365</v>
      </c>
      <c r="BF450" t="s">
        <v>2365</v>
      </c>
      <c r="BG450" t="s">
        <v>2365</v>
      </c>
      <c r="BH450" t="s">
        <v>2365</v>
      </c>
      <c r="BI450" t="s">
        <v>2366</v>
      </c>
      <c r="BJ450" t="s">
        <v>2365</v>
      </c>
      <c r="BK450" t="s">
        <v>2365</v>
      </c>
      <c r="BL450" t="s">
        <v>2365</v>
      </c>
      <c r="BM450" t="s">
        <v>2365</v>
      </c>
      <c r="BO450">
        <v>4</v>
      </c>
      <c r="BP450">
        <v>41</v>
      </c>
      <c r="BQ450" t="s">
        <v>2433</v>
      </c>
      <c r="BR450" t="s">
        <v>1502</v>
      </c>
      <c r="BU450">
        <v>0</v>
      </c>
      <c r="BV450">
        <v>0</v>
      </c>
      <c r="BW450">
        <v>0</v>
      </c>
      <c r="BX450">
        <v>0</v>
      </c>
      <c r="BY450">
        <v>0</v>
      </c>
      <c r="BZ450">
        <v>0</v>
      </c>
      <c r="CA450">
        <v>0</v>
      </c>
      <c r="CB450">
        <v>0</v>
      </c>
      <c r="CC450">
        <v>0</v>
      </c>
      <c r="CD450">
        <v>0</v>
      </c>
      <c r="CE450">
        <v>0</v>
      </c>
      <c r="CF450">
        <v>0</v>
      </c>
      <c r="CG450">
        <v>0</v>
      </c>
      <c r="CH450">
        <v>0</v>
      </c>
      <c r="CI450">
        <v>0</v>
      </c>
      <c r="CJ450">
        <v>0</v>
      </c>
      <c r="CK450">
        <v>0</v>
      </c>
      <c r="CL450">
        <v>0</v>
      </c>
      <c r="CM450">
        <v>0</v>
      </c>
      <c r="CR450" t="s">
        <v>2327</v>
      </c>
      <c r="CS450" s="1369" t="str">
        <f>INDEX([8]Sheet1!$H:$H,MATCH(CR:CR,[8]Sheet1!$AU:$AU,0))</f>
        <v>Education</v>
      </c>
    </row>
    <row r="451" spans="1:97" x14ac:dyDescent="0.2">
      <c r="A451" t="s">
        <v>2996</v>
      </c>
      <c r="B451">
        <v>504</v>
      </c>
      <c r="C451" t="s">
        <v>2996</v>
      </c>
      <c r="D451">
        <v>40871</v>
      </c>
      <c r="E451" t="s">
        <v>2427</v>
      </c>
      <c r="F451">
        <v>2700</v>
      </c>
      <c r="G451" t="s">
        <v>656</v>
      </c>
      <c r="H451" t="s">
        <v>2428</v>
      </c>
      <c r="I451" t="s">
        <v>1800</v>
      </c>
      <c r="J451">
        <v>2701</v>
      </c>
      <c r="K451" t="s">
        <v>1800</v>
      </c>
      <c r="L451">
        <v>2100</v>
      </c>
      <c r="M451" t="s">
        <v>618</v>
      </c>
      <c r="N451">
        <v>2109</v>
      </c>
      <c r="O451" t="s">
        <v>1502</v>
      </c>
      <c r="P451" t="s">
        <v>2366</v>
      </c>
      <c r="Q451" t="s">
        <v>2364</v>
      </c>
      <c r="R451" t="s">
        <v>2364</v>
      </c>
      <c r="S451" t="s">
        <v>1881</v>
      </c>
      <c r="T451" t="s">
        <v>1812</v>
      </c>
      <c r="U451" t="s">
        <v>2365</v>
      </c>
      <c r="V451" t="s">
        <v>2365</v>
      </c>
      <c r="W451" t="s">
        <v>2365</v>
      </c>
      <c r="X451" t="s">
        <v>2365</v>
      </c>
      <c r="Y451" t="s">
        <v>2365</v>
      </c>
      <c r="Z451" t="s">
        <v>2365</v>
      </c>
      <c r="AA451" t="s">
        <v>2365</v>
      </c>
      <c r="AB451" t="s">
        <v>2365</v>
      </c>
      <c r="AC451" s="813" t="s">
        <v>2365</v>
      </c>
      <c r="AD451" s="813" t="s">
        <v>2365</v>
      </c>
      <c r="AE451" s="813" t="s">
        <v>2365</v>
      </c>
      <c r="AF451" t="s">
        <v>2365</v>
      </c>
      <c r="AG451" t="s">
        <v>2365</v>
      </c>
      <c r="AH451" t="s">
        <v>2365</v>
      </c>
      <c r="AI451" t="s">
        <v>2365</v>
      </c>
      <c r="AJ451" t="s">
        <v>2365</v>
      </c>
      <c r="AK451" t="s">
        <v>2365</v>
      </c>
      <c r="AL451" t="s">
        <v>2365</v>
      </c>
      <c r="AM451" t="s">
        <v>2365</v>
      </c>
      <c r="AN451" t="s">
        <v>2365</v>
      </c>
      <c r="AR451" t="s">
        <v>2365</v>
      </c>
      <c r="AS451" t="s">
        <v>2365</v>
      </c>
      <c r="AT451" t="s">
        <v>2365</v>
      </c>
      <c r="AU451" t="s">
        <v>2365</v>
      </c>
      <c r="AV451" t="s">
        <v>2365</v>
      </c>
      <c r="AW451" t="s">
        <v>2365</v>
      </c>
      <c r="AX451" t="s">
        <v>2365</v>
      </c>
      <c r="AY451" t="s">
        <v>2365</v>
      </c>
      <c r="AZ451" t="s">
        <v>2365</v>
      </c>
      <c r="BA451" t="s">
        <v>2365</v>
      </c>
      <c r="BB451" t="s">
        <v>2365</v>
      </c>
      <c r="BC451" t="s">
        <v>2365</v>
      </c>
      <c r="BD451" t="s">
        <v>2366</v>
      </c>
      <c r="BE451" t="s">
        <v>2365</v>
      </c>
      <c r="BF451" t="s">
        <v>2365</v>
      </c>
      <c r="BG451" t="s">
        <v>2365</v>
      </c>
      <c r="BH451" t="s">
        <v>2365</v>
      </c>
      <c r="BI451" t="s">
        <v>2366</v>
      </c>
      <c r="BJ451" t="s">
        <v>2365</v>
      </c>
      <c r="BK451" t="s">
        <v>2365</v>
      </c>
      <c r="BL451" t="s">
        <v>2365</v>
      </c>
      <c r="BM451" t="s">
        <v>2365</v>
      </c>
      <c r="BO451">
        <v>4</v>
      </c>
      <c r="BP451">
        <v>41</v>
      </c>
      <c r="BQ451" t="s">
        <v>2433</v>
      </c>
      <c r="BR451" t="s">
        <v>1502</v>
      </c>
      <c r="BU451">
        <v>0</v>
      </c>
      <c r="BV451">
        <v>0</v>
      </c>
      <c r="BW451">
        <v>0</v>
      </c>
      <c r="BX451">
        <v>0</v>
      </c>
      <c r="BY451">
        <v>0</v>
      </c>
      <c r="BZ451">
        <v>0</v>
      </c>
      <c r="CA451">
        <v>0</v>
      </c>
      <c r="CB451">
        <v>0</v>
      </c>
      <c r="CC451">
        <v>0</v>
      </c>
      <c r="CD451">
        <v>0</v>
      </c>
      <c r="CE451">
        <v>0</v>
      </c>
      <c r="CF451">
        <v>0</v>
      </c>
      <c r="CG451">
        <v>0</v>
      </c>
      <c r="CH451">
        <v>0</v>
      </c>
      <c r="CI451">
        <v>0</v>
      </c>
      <c r="CJ451">
        <v>0</v>
      </c>
      <c r="CK451">
        <v>0</v>
      </c>
      <c r="CL451">
        <v>0</v>
      </c>
      <c r="CM451">
        <v>0</v>
      </c>
      <c r="CR451" t="s">
        <v>2327</v>
      </c>
      <c r="CS451" s="1369" t="str">
        <f>INDEX([8]Sheet1!$H:$H,MATCH(CR:CR,[8]Sheet1!$AU:$AU,0))</f>
        <v>Education</v>
      </c>
    </row>
    <row r="452" spans="1:97" x14ac:dyDescent="0.2">
      <c r="A452" t="s">
        <v>2997</v>
      </c>
      <c r="B452">
        <v>505</v>
      </c>
      <c r="C452" t="s">
        <v>2997</v>
      </c>
      <c r="D452">
        <v>40872</v>
      </c>
      <c r="E452" t="s">
        <v>2430</v>
      </c>
      <c r="F452">
        <v>2700</v>
      </c>
      <c r="G452" t="s">
        <v>656</v>
      </c>
      <c r="H452" t="s">
        <v>2428</v>
      </c>
      <c r="I452" t="s">
        <v>1800</v>
      </c>
      <c r="J452">
        <v>2701</v>
      </c>
      <c r="K452" t="s">
        <v>1800</v>
      </c>
      <c r="L452">
        <v>2100</v>
      </c>
      <c r="M452" t="s">
        <v>618</v>
      </c>
      <c r="N452">
        <v>2109</v>
      </c>
      <c r="O452" t="s">
        <v>1502</v>
      </c>
      <c r="P452" t="s">
        <v>2366</v>
      </c>
      <c r="Q452" t="s">
        <v>2364</v>
      </c>
      <c r="R452" t="s">
        <v>2364</v>
      </c>
      <c r="S452" t="s">
        <v>1881</v>
      </c>
      <c r="T452" t="s">
        <v>1812</v>
      </c>
      <c r="U452" t="s">
        <v>2365</v>
      </c>
      <c r="V452" t="s">
        <v>2365</v>
      </c>
      <c r="W452" t="s">
        <v>2365</v>
      </c>
      <c r="X452" t="s">
        <v>2365</v>
      </c>
      <c r="Y452" t="s">
        <v>2365</v>
      </c>
      <c r="Z452" t="s">
        <v>2365</v>
      </c>
      <c r="AA452" t="s">
        <v>2365</v>
      </c>
      <c r="AB452" t="s">
        <v>2365</v>
      </c>
      <c r="AC452" s="813" t="s">
        <v>2365</v>
      </c>
      <c r="AD452" s="813" t="s">
        <v>2365</v>
      </c>
      <c r="AE452" s="813" t="s">
        <v>2365</v>
      </c>
      <c r="AF452" t="s">
        <v>2365</v>
      </c>
      <c r="AG452" t="s">
        <v>2365</v>
      </c>
      <c r="AH452" t="s">
        <v>2365</v>
      </c>
      <c r="AI452" t="s">
        <v>2365</v>
      </c>
      <c r="AJ452" t="s">
        <v>2365</v>
      </c>
      <c r="AK452" t="s">
        <v>2365</v>
      </c>
      <c r="AL452" t="s">
        <v>2365</v>
      </c>
      <c r="AM452" t="s">
        <v>2365</v>
      </c>
      <c r="AN452" t="s">
        <v>2365</v>
      </c>
      <c r="AR452" t="s">
        <v>2365</v>
      </c>
      <c r="AS452" t="s">
        <v>2365</v>
      </c>
      <c r="AT452" t="s">
        <v>2365</v>
      </c>
      <c r="AU452" t="s">
        <v>2365</v>
      </c>
      <c r="AV452" t="s">
        <v>2365</v>
      </c>
      <c r="AW452" t="s">
        <v>2365</v>
      </c>
      <c r="AX452" t="s">
        <v>2365</v>
      </c>
      <c r="AY452" t="s">
        <v>2365</v>
      </c>
      <c r="AZ452" t="s">
        <v>2365</v>
      </c>
      <c r="BA452" t="s">
        <v>2365</v>
      </c>
      <c r="BB452" t="s">
        <v>2365</v>
      </c>
      <c r="BC452" t="s">
        <v>2365</v>
      </c>
      <c r="BD452" t="s">
        <v>2366</v>
      </c>
      <c r="BE452" t="s">
        <v>2365</v>
      </c>
      <c r="BF452" t="s">
        <v>2365</v>
      </c>
      <c r="BG452" t="s">
        <v>2365</v>
      </c>
      <c r="BH452" t="s">
        <v>2365</v>
      </c>
      <c r="BI452" t="s">
        <v>2366</v>
      </c>
      <c r="BJ452" t="s">
        <v>2365</v>
      </c>
      <c r="BK452" t="s">
        <v>2365</v>
      </c>
      <c r="BL452" t="s">
        <v>2365</v>
      </c>
      <c r="BM452" t="s">
        <v>2365</v>
      </c>
      <c r="BO452">
        <v>4</v>
      </c>
      <c r="BP452">
        <v>41</v>
      </c>
      <c r="BQ452" t="s">
        <v>2433</v>
      </c>
      <c r="BR452" t="s">
        <v>1502</v>
      </c>
      <c r="BU452">
        <v>0</v>
      </c>
      <c r="BV452">
        <v>0</v>
      </c>
      <c r="BW452">
        <v>0</v>
      </c>
      <c r="BX452">
        <v>0</v>
      </c>
      <c r="BY452">
        <v>0</v>
      </c>
      <c r="BZ452">
        <v>0</v>
      </c>
      <c r="CA452">
        <v>0</v>
      </c>
      <c r="CB452">
        <v>0</v>
      </c>
      <c r="CC452">
        <v>0</v>
      </c>
      <c r="CD452">
        <v>0</v>
      </c>
      <c r="CE452">
        <v>0</v>
      </c>
      <c r="CF452">
        <v>0</v>
      </c>
      <c r="CG452">
        <v>0</v>
      </c>
      <c r="CH452">
        <v>0</v>
      </c>
      <c r="CI452">
        <v>0</v>
      </c>
      <c r="CJ452">
        <v>0</v>
      </c>
      <c r="CK452">
        <v>0</v>
      </c>
      <c r="CL452">
        <v>0</v>
      </c>
      <c r="CM452">
        <v>0</v>
      </c>
      <c r="CR452" t="s">
        <v>2328</v>
      </c>
      <c r="CS452" s="1369" t="str">
        <f>INDEX([8]Sheet1!$H:$H,MATCH(CR:CR,[8]Sheet1!$AU:$AU,0))</f>
        <v>Water Distribution</v>
      </c>
    </row>
    <row r="453" spans="1:97" x14ac:dyDescent="0.2">
      <c r="A453" t="s">
        <v>2998</v>
      </c>
      <c r="B453">
        <v>506</v>
      </c>
      <c r="C453" t="s">
        <v>2998</v>
      </c>
      <c r="D453">
        <v>41222</v>
      </c>
      <c r="E453" t="s">
        <v>2516</v>
      </c>
      <c r="F453">
        <v>2900</v>
      </c>
      <c r="G453" t="s">
        <v>569</v>
      </c>
      <c r="H453" t="s">
        <v>2366</v>
      </c>
      <c r="I453" t="s">
        <v>2366</v>
      </c>
      <c r="J453">
        <v>2904</v>
      </c>
      <c r="K453" t="s">
        <v>1432</v>
      </c>
      <c r="L453">
        <v>1100</v>
      </c>
      <c r="M453" t="s">
        <v>616</v>
      </c>
      <c r="N453">
        <v>1120</v>
      </c>
      <c r="O453" t="s">
        <v>1485</v>
      </c>
      <c r="P453" t="s">
        <v>2366</v>
      </c>
      <c r="Q453" t="s">
        <v>2364</v>
      </c>
      <c r="R453" t="s">
        <v>2364</v>
      </c>
      <c r="S453" t="s">
        <v>1881</v>
      </c>
      <c r="T453" t="s">
        <v>1812</v>
      </c>
      <c r="U453" t="s">
        <v>2365</v>
      </c>
      <c r="V453" t="s">
        <v>2365</v>
      </c>
      <c r="W453" t="s">
        <v>2365</v>
      </c>
      <c r="X453" t="s">
        <v>2365</v>
      </c>
      <c r="Y453" t="s">
        <v>2365</v>
      </c>
      <c r="Z453" t="s">
        <v>2365</v>
      </c>
      <c r="AA453" t="s">
        <v>2365</v>
      </c>
      <c r="AB453" t="s">
        <v>2365</v>
      </c>
      <c r="AC453" s="813" t="s">
        <v>2365</v>
      </c>
      <c r="AD453" s="813" t="s">
        <v>2365</v>
      </c>
      <c r="AE453" s="813" t="s">
        <v>2365</v>
      </c>
      <c r="AF453" t="s">
        <v>2365</v>
      </c>
      <c r="AG453" t="s">
        <v>2365</v>
      </c>
      <c r="AH453" t="s">
        <v>2365</v>
      </c>
      <c r="AI453" t="s">
        <v>2365</v>
      </c>
      <c r="AJ453" t="s">
        <v>2365</v>
      </c>
      <c r="AK453" t="s">
        <v>2365</v>
      </c>
      <c r="AL453" t="s">
        <v>2365</v>
      </c>
      <c r="AM453" t="s">
        <v>2365</v>
      </c>
      <c r="AN453" t="s">
        <v>2365</v>
      </c>
      <c r="AR453" t="s">
        <v>2365</v>
      </c>
      <c r="AS453" t="s">
        <v>2365</v>
      </c>
      <c r="AT453" t="s">
        <v>2365</v>
      </c>
      <c r="AU453" t="s">
        <v>2365</v>
      </c>
      <c r="AV453" t="s">
        <v>2365</v>
      </c>
      <c r="AW453" t="s">
        <v>2365</v>
      </c>
      <c r="AX453" t="s">
        <v>2365</v>
      </c>
      <c r="AY453" t="s">
        <v>2365</v>
      </c>
      <c r="AZ453" t="s">
        <v>2365</v>
      </c>
      <c r="BA453" t="s">
        <v>2365</v>
      </c>
      <c r="BB453" t="s">
        <v>2365</v>
      </c>
      <c r="BC453" t="s">
        <v>2365</v>
      </c>
      <c r="BD453" t="s">
        <v>2366</v>
      </c>
      <c r="BE453" t="s">
        <v>2365</v>
      </c>
      <c r="BF453" t="s">
        <v>2365</v>
      </c>
      <c r="BG453" t="s">
        <v>2365</v>
      </c>
      <c r="BH453" t="s">
        <v>2365</v>
      </c>
      <c r="BI453" t="s">
        <v>2366</v>
      </c>
      <c r="BJ453" t="s">
        <v>2365</v>
      </c>
      <c r="BK453" t="s">
        <v>2365</v>
      </c>
      <c r="BL453" t="s">
        <v>2365</v>
      </c>
      <c r="BM453" t="s">
        <v>2365</v>
      </c>
      <c r="BO453">
        <v>3</v>
      </c>
      <c r="BP453">
        <v>31</v>
      </c>
      <c r="BQ453" t="s">
        <v>2716</v>
      </c>
      <c r="BR453" t="s">
        <v>1485</v>
      </c>
      <c r="BU453">
        <v>0</v>
      </c>
      <c r="BV453">
        <v>0</v>
      </c>
      <c r="BW453">
        <v>0</v>
      </c>
      <c r="BX453">
        <v>0</v>
      </c>
      <c r="BY453">
        <v>0</v>
      </c>
      <c r="BZ453">
        <v>0</v>
      </c>
      <c r="CA453">
        <v>0</v>
      </c>
      <c r="CB453">
        <v>0</v>
      </c>
      <c r="CC453">
        <v>0</v>
      </c>
      <c r="CD453">
        <v>0</v>
      </c>
      <c r="CE453">
        <v>0</v>
      </c>
      <c r="CF453">
        <v>0</v>
      </c>
      <c r="CG453">
        <v>0</v>
      </c>
      <c r="CH453">
        <v>0</v>
      </c>
      <c r="CI453">
        <v>0</v>
      </c>
      <c r="CJ453">
        <v>0</v>
      </c>
      <c r="CK453">
        <v>0</v>
      </c>
      <c r="CL453">
        <v>0</v>
      </c>
      <c r="CM453">
        <v>0</v>
      </c>
      <c r="CR453" t="s">
        <v>2328</v>
      </c>
      <c r="CS453" s="1369" t="str">
        <f>INDEX([8]Sheet1!$H:$H,MATCH(CR:CR,[8]Sheet1!$AU:$AU,0))</f>
        <v>Water Distribution</v>
      </c>
    </row>
    <row r="454" spans="1:97" x14ac:dyDescent="0.2">
      <c r="A454" t="s">
        <v>2999</v>
      </c>
      <c r="B454">
        <v>507</v>
      </c>
      <c r="C454" t="s">
        <v>2999</v>
      </c>
      <c r="D454">
        <v>41223</v>
      </c>
      <c r="E454" t="s">
        <v>2455</v>
      </c>
      <c r="F454">
        <v>2900</v>
      </c>
      <c r="G454" t="s">
        <v>569</v>
      </c>
      <c r="H454" t="s">
        <v>2366</v>
      </c>
      <c r="I454" t="s">
        <v>2366</v>
      </c>
      <c r="J454">
        <v>2904</v>
      </c>
      <c r="K454" t="s">
        <v>1432</v>
      </c>
      <c r="L454">
        <v>1100</v>
      </c>
      <c r="M454" t="s">
        <v>616</v>
      </c>
      <c r="N454">
        <v>1120</v>
      </c>
      <c r="O454" t="s">
        <v>1485</v>
      </c>
      <c r="P454" t="s">
        <v>2366</v>
      </c>
      <c r="Q454" t="s">
        <v>2364</v>
      </c>
      <c r="R454" t="s">
        <v>2364</v>
      </c>
      <c r="S454" t="s">
        <v>1881</v>
      </c>
      <c r="T454" t="s">
        <v>1812</v>
      </c>
      <c r="U454" t="s">
        <v>2365</v>
      </c>
      <c r="V454" t="s">
        <v>2365</v>
      </c>
      <c r="W454" t="s">
        <v>2365</v>
      </c>
      <c r="X454" t="s">
        <v>2365</v>
      </c>
      <c r="Y454" t="s">
        <v>2365</v>
      </c>
      <c r="Z454" t="s">
        <v>2365</v>
      </c>
      <c r="AA454" t="s">
        <v>2365</v>
      </c>
      <c r="AB454" t="s">
        <v>2365</v>
      </c>
      <c r="AC454" s="813" t="s">
        <v>2365</v>
      </c>
      <c r="AD454" s="813" t="s">
        <v>2365</v>
      </c>
      <c r="AE454" s="813" t="s">
        <v>2365</v>
      </c>
      <c r="AF454" t="s">
        <v>2365</v>
      </c>
      <c r="AG454" t="s">
        <v>2365</v>
      </c>
      <c r="AH454" t="s">
        <v>2365</v>
      </c>
      <c r="AI454" t="s">
        <v>2365</v>
      </c>
      <c r="AJ454" t="s">
        <v>2365</v>
      </c>
      <c r="AK454" t="s">
        <v>2365</v>
      </c>
      <c r="AL454" t="s">
        <v>2365</v>
      </c>
      <c r="AM454" t="s">
        <v>2365</v>
      </c>
      <c r="AN454" t="s">
        <v>2365</v>
      </c>
      <c r="AR454" t="s">
        <v>2365</v>
      </c>
      <c r="AS454" t="s">
        <v>2365</v>
      </c>
      <c r="AT454" t="s">
        <v>2365</v>
      </c>
      <c r="AU454" t="s">
        <v>2365</v>
      </c>
      <c r="AV454" t="s">
        <v>2365</v>
      </c>
      <c r="AW454" t="s">
        <v>2365</v>
      </c>
      <c r="AX454" t="s">
        <v>2365</v>
      </c>
      <c r="AY454" t="s">
        <v>2365</v>
      </c>
      <c r="AZ454" t="s">
        <v>2365</v>
      </c>
      <c r="BA454" t="s">
        <v>2365</v>
      </c>
      <c r="BB454" t="s">
        <v>2365</v>
      </c>
      <c r="BC454" t="s">
        <v>2365</v>
      </c>
      <c r="BD454" t="s">
        <v>2366</v>
      </c>
      <c r="BE454" t="s">
        <v>2365</v>
      </c>
      <c r="BF454" t="s">
        <v>2365</v>
      </c>
      <c r="BG454" t="s">
        <v>2365</v>
      </c>
      <c r="BH454" t="s">
        <v>2365</v>
      </c>
      <c r="BI454" t="s">
        <v>2366</v>
      </c>
      <c r="BJ454" t="s">
        <v>2365</v>
      </c>
      <c r="BK454" t="s">
        <v>2365</v>
      </c>
      <c r="BL454" t="s">
        <v>2365</v>
      </c>
      <c r="BM454" t="s">
        <v>2365</v>
      </c>
      <c r="BO454">
        <v>3</v>
      </c>
      <c r="BP454">
        <v>31</v>
      </c>
      <c r="BQ454" t="s">
        <v>2716</v>
      </c>
      <c r="BR454" t="s">
        <v>1485</v>
      </c>
      <c r="BU454">
        <v>0</v>
      </c>
      <c r="BV454">
        <v>0</v>
      </c>
      <c r="BW454">
        <v>0</v>
      </c>
      <c r="BX454">
        <v>0</v>
      </c>
      <c r="BY454">
        <v>0</v>
      </c>
      <c r="BZ454">
        <v>0</v>
      </c>
      <c r="CA454">
        <v>0</v>
      </c>
      <c r="CB454">
        <v>0</v>
      </c>
      <c r="CC454">
        <v>0</v>
      </c>
      <c r="CD454">
        <v>0</v>
      </c>
      <c r="CE454">
        <v>0</v>
      </c>
      <c r="CF454">
        <v>0</v>
      </c>
      <c r="CG454">
        <v>0</v>
      </c>
      <c r="CH454">
        <v>0</v>
      </c>
      <c r="CI454">
        <v>0</v>
      </c>
      <c r="CJ454">
        <v>0</v>
      </c>
      <c r="CK454">
        <v>0</v>
      </c>
      <c r="CL454">
        <v>0</v>
      </c>
      <c r="CM454">
        <v>0</v>
      </c>
      <c r="CR454" t="s">
        <v>2327</v>
      </c>
      <c r="CS454" s="1369" t="str">
        <f>INDEX([8]Sheet1!$H:$H,MATCH(CR:CR,[8]Sheet1!$AU:$AU,0))</f>
        <v>Education</v>
      </c>
    </row>
    <row r="455" spans="1:97" x14ac:dyDescent="0.2">
      <c r="A455" t="s">
        <v>3000</v>
      </c>
      <c r="B455">
        <v>508</v>
      </c>
      <c r="C455" t="s">
        <v>3000</v>
      </c>
      <c r="D455">
        <v>41224</v>
      </c>
      <c r="E455" t="s">
        <v>2455</v>
      </c>
      <c r="F455">
        <v>2900</v>
      </c>
      <c r="G455" t="s">
        <v>569</v>
      </c>
      <c r="H455" t="s">
        <v>2366</v>
      </c>
      <c r="I455" t="s">
        <v>2366</v>
      </c>
      <c r="J455">
        <v>2904</v>
      </c>
      <c r="K455" t="s">
        <v>1432</v>
      </c>
      <c r="L455">
        <v>1100</v>
      </c>
      <c r="M455" t="s">
        <v>616</v>
      </c>
      <c r="N455">
        <v>1120</v>
      </c>
      <c r="O455" t="s">
        <v>1485</v>
      </c>
      <c r="P455" t="s">
        <v>2366</v>
      </c>
      <c r="Q455" t="s">
        <v>2364</v>
      </c>
      <c r="R455" t="s">
        <v>2364</v>
      </c>
      <c r="S455" t="s">
        <v>1881</v>
      </c>
      <c r="T455" t="s">
        <v>1812</v>
      </c>
      <c r="U455" t="s">
        <v>2365</v>
      </c>
      <c r="V455" t="s">
        <v>2365</v>
      </c>
      <c r="W455" t="s">
        <v>2365</v>
      </c>
      <c r="X455" t="s">
        <v>2365</v>
      </c>
      <c r="Y455" t="s">
        <v>2365</v>
      </c>
      <c r="Z455" t="s">
        <v>2365</v>
      </c>
      <c r="AA455" t="s">
        <v>2365</v>
      </c>
      <c r="AB455" t="s">
        <v>2365</v>
      </c>
      <c r="AC455" s="813" t="s">
        <v>2365</v>
      </c>
      <c r="AD455" s="813" t="s">
        <v>2365</v>
      </c>
      <c r="AE455" s="813" t="s">
        <v>2365</v>
      </c>
      <c r="AF455" t="s">
        <v>2365</v>
      </c>
      <c r="AG455" t="s">
        <v>2365</v>
      </c>
      <c r="AH455" t="s">
        <v>2365</v>
      </c>
      <c r="AI455" t="s">
        <v>2365</v>
      </c>
      <c r="AJ455" t="s">
        <v>2365</v>
      </c>
      <c r="AK455" t="s">
        <v>2365</v>
      </c>
      <c r="AL455" t="s">
        <v>2365</v>
      </c>
      <c r="AM455" t="s">
        <v>2365</v>
      </c>
      <c r="AN455" t="s">
        <v>2365</v>
      </c>
      <c r="AR455" t="s">
        <v>2365</v>
      </c>
      <c r="AS455" t="s">
        <v>2365</v>
      </c>
      <c r="AT455" t="s">
        <v>2365</v>
      </c>
      <c r="AU455" t="s">
        <v>2365</v>
      </c>
      <c r="AV455" t="s">
        <v>2365</v>
      </c>
      <c r="AW455" t="s">
        <v>2365</v>
      </c>
      <c r="AX455" t="s">
        <v>2365</v>
      </c>
      <c r="AY455" t="s">
        <v>2365</v>
      </c>
      <c r="AZ455" t="s">
        <v>2365</v>
      </c>
      <c r="BA455" t="s">
        <v>2365</v>
      </c>
      <c r="BB455" t="s">
        <v>2365</v>
      </c>
      <c r="BC455" t="s">
        <v>2365</v>
      </c>
      <c r="BD455" t="s">
        <v>2366</v>
      </c>
      <c r="BE455" t="s">
        <v>2365</v>
      </c>
      <c r="BF455" t="s">
        <v>2365</v>
      </c>
      <c r="BG455" t="s">
        <v>2365</v>
      </c>
      <c r="BH455" t="s">
        <v>2365</v>
      </c>
      <c r="BI455" t="s">
        <v>2366</v>
      </c>
      <c r="BJ455" t="s">
        <v>2365</v>
      </c>
      <c r="BK455" t="s">
        <v>2365</v>
      </c>
      <c r="BL455" t="s">
        <v>2365</v>
      </c>
      <c r="BM455" t="s">
        <v>2365</v>
      </c>
      <c r="BO455">
        <v>3</v>
      </c>
      <c r="BP455">
        <v>31</v>
      </c>
      <c r="BQ455" t="s">
        <v>2716</v>
      </c>
      <c r="BR455" t="s">
        <v>1485</v>
      </c>
      <c r="BU455">
        <v>0</v>
      </c>
      <c r="BV455">
        <v>0</v>
      </c>
      <c r="BW455">
        <v>0</v>
      </c>
      <c r="BX455">
        <v>0</v>
      </c>
      <c r="BY455">
        <v>0</v>
      </c>
      <c r="BZ455">
        <v>0</v>
      </c>
      <c r="CA455">
        <v>0</v>
      </c>
      <c r="CB455">
        <v>0</v>
      </c>
      <c r="CC455">
        <v>0</v>
      </c>
      <c r="CD455">
        <v>0</v>
      </c>
      <c r="CE455">
        <v>0</v>
      </c>
      <c r="CF455">
        <v>0</v>
      </c>
      <c r="CG455">
        <v>0</v>
      </c>
      <c r="CH455">
        <v>0</v>
      </c>
      <c r="CI455">
        <v>0</v>
      </c>
      <c r="CJ455">
        <v>0</v>
      </c>
      <c r="CK455">
        <v>0</v>
      </c>
      <c r="CL455">
        <v>0</v>
      </c>
      <c r="CM455">
        <v>0</v>
      </c>
      <c r="CR455" t="s">
        <v>2327</v>
      </c>
      <c r="CS455" s="1369" t="str">
        <f>INDEX([8]Sheet1!$H:$H,MATCH(CR:CR,[8]Sheet1!$AU:$AU,0))</f>
        <v>Education</v>
      </c>
    </row>
    <row r="456" spans="1:97" x14ac:dyDescent="0.2">
      <c r="A456" t="s">
        <v>3001</v>
      </c>
      <c r="B456">
        <v>509</v>
      </c>
      <c r="C456" t="s">
        <v>3001</v>
      </c>
      <c r="D456">
        <v>41225</v>
      </c>
      <c r="E456" t="s">
        <v>2427</v>
      </c>
      <c r="F456">
        <v>2700</v>
      </c>
      <c r="G456" t="s">
        <v>656</v>
      </c>
      <c r="H456" t="s">
        <v>2428</v>
      </c>
      <c r="I456" t="s">
        <v>1800</v>
      </c>
      <c r="J456">
        <v>2701</v>
      </c>
      <c r="K456" t="s">
        <v>1800</v>
      </c>
      <c r="L456">
        <v>1100</v>
      </c>
      <c r="M456" t="s">
        <v>616</v>
      </c>
      <c r="N456">
        <v>1120</v>
      </c>
      <c r="O456" t="s">
        <v>1485</v>
      </c>
      <c r="P456" t="s">
        <v>2366</v>
      </c>
      <c r="Q456" t="s">
        <v>2364</v>
      </c>
      <c r="R456" t="s">
        <v>2364</v>
      </c>
      <c r="S456" t="s">
        <v>1881</v>
      </c>
      <c r="T456" t="s">
        <v>1812</v>
      </c>
      <c r="U456" t="s">
        <v>2365</v>
      </c>
      <c r="V456" t="s">
        <v>2365</v>
      </c>
      <c r="W456" t="s">
        <v>2365</v>
      </c>
      <c r="X456" t="s">
        <v>2365</v>
      </c>
      <c r="Y456" t="s">
        <v>2365</v>
      </c>
      <c r="Z456" t="s">
        <v>2365</v>
      </c>
      <c r="AA456" t="s">
        <v>2365</v>
      </c>
      <c r="AB456" t="s">
        <v>2365</v>
      </c>
      <c r="AC456" s="813" t="s">
        <v>2365</v>
      </c>
      <c r="AD456" s="813" t="s">
        <v>2365</v>
      </c>
      <c r="AE456" s="813" t="s">
        <v>2365</v>
      </c>
      <c r="AF456" t="s">
        <v>2365</v>
      </c>
      <c r="AG456" t="s">
        <v>2365</v>
      </c>
      <c r="AH456" t="s">
        <v>2365</v>
      </c>
      <c r="AI456" t="s">
        <v>2365</v>
      </c>
      <c r="AJ456" t="s">
        <v>2365</v>
      </c>
      <c r="AK456" t="s">
        <v>2365</v>
      </c>
      <c r="AL456" t="s">
        <v>2365</v>
      </c>
      <c r="AM456" t="s">
        <v>2365</v>
      </c>
      <c r="AN456" t="s">
        <v>2365</v>
      </c>
      <c r="AR456" t="s">
        <v>2365</v>
      </c>
      <c r="AS456" t="s">
        <v>2365</v>
      </c>
      <c r="AT456" t="s">
        <v>2365</v>
      </c>
      <c r="AU456" t="s">
        <v>2365</v>
      </c>
      <c r="AV456" t="s">
        <v>2365</v>
      </c>
      <c r="AW456" t="s">
        <v>2365</v>
      </c>
      <c r="AX456" t="s">
        <v>2365</v>
      </c>
      <c r="AY456" t="s">
        <v>2365</v>
      </c>
      <c r="AZ456" t="s">
        <v>2365</v>
      </c>
      <c r="BA456" t="s">
        <v>2365</v>
      </c>
      <c r="BB456" t="s">
        <v>2365</v>
      </c>
      <c r="BC456" t="s">
        <v>2365</v>
      </c>
      <c r="BD456" t="s">
        <v>2366</v>
      </c>
      <c r="BE456" t="s">
        <v>2365</v>
      </c>
      <c r="BF456" t="s">
        <v>2365</v>
      </c>
      <c r="BG456" t="s">
        <v>2365</v>
      </c>
      <c r="BH456" t="s">
        <v>2365</v>
      </c>
      <c r="BI456" t="s">
        <v>2366</v>
      </c>
      <c r="BJ456" t="s">
        <v>2365</v>
      </c>
      <c r="BK456" t="s">
        <v>2365</v>
      </c>
      <c r="BL456" t="s">
        <v>2365</v>
      </c>
      <c r="BM456" t="s">
        <v>2365</v>
      </c>
      <c r="BO456">
        <v>3</v>
      </c>
      <c r="BP456">
        <v>31</v>
      </c>
      <c r="BQ456" t="s">
        <v>2716</v>
      </c>
      <c r="BR456" t="s">
        <v>1485</v>
      </c>
      <c r="BU456">
        <v>0</v>
      </c>
      <c r="BV456">
        <v>0</v>
      </c>
      <c r="BW456">
        <v>0</v>
      </c>
      <c r="BX456">
        <v>0</v>
      </c>
      <c r="BY456">
        <v>0</v>
      </c>
      <c r="BZ456">
        <v>0</v>
      </c>
      <c r="CA456">
        <v>0</v>
      </c>
      <c r="CB456">
        <v>0</v>
      </c>
      <c r="CC456">
        <v>0</v>
      </c>
      <c r="CD456">
        <v>0</v>
      </c>
      <c r="CE456">
        <v>0</v>
      </c>
      <c r="CF456">
        <v>0</v>
      </c>
      <c r="CG456">
        <v>0</v>
      </c>
      <c r="CH456">
        <v>0</v>
      </c>
      <c r="CI456">
        <v>0</v>
      </c>
      <c r="CJ456">
        <v>0</v>
      </c>
      <c r="CK456">
        <v>0</v>
      </c>
      <c r="CL456">
        <v>0</v>
      </c>
      <c r="CM456">
        <v>0</v>
      </c>
      <c r="CR456" t="s">
        <v>2327</v>
      </c>
      <c r="CS456" s="1369" t="str">
        <f>INDEX([8]Sheet1!$H:$H,MATCH(CR:CR,[8]Sheet1!$AU:$AU,0))</f>
        <v>Education</v>
      </c>
    </row>
    <row r="457" spans="1:97" x14ac:dyDescent="0.2">
      <c r="A457" t="s">
        <v>3002</v>
      </c>
      <c r="B457">
        <v>510</v>
      </c>
      <c r="C457" t="s">
        <v>3002</v>
      </c>
      <c r="D457">
        <v>41226</v>
      </c>
      <c r="E457" t="s">
        <v>2430</v>
      </c>
      <c r="F457">
        <v>2700</v>
      </c>
      <c r="G457" t="s">
        <v>656</v>
      </c>
      <c r="H457" t="s">
        <v>2428</v>
      </c>
      <c r="I457" t="s">
        <v>1800</v>
      </c>
      <c r="J457">
        <v>2701</v>
      </c>
      <c r="K457" t="s">
        <v>1800</v>
      </c>
      <c r="L457">
        <v>1100</v>
      </c>
      <c r="M457" t="s">
        <v>616</v>
      </c>
      <c r="N457">
        <v>1120</v>
      </c>
      <c r="O457" t="s">
        <v>1485</v>
      </c>
      <c r="P457" t="s">
        <v>2366</v>
      </c>
      <c r="Q457" t="s">
        <v>2364</v>
      </c>
      <c r="R457" t="s">
        <v>2364</v>
      </c>
      <c r="S457" t="s">
        <v>1881</v>
      </c>
      <c r="T457" t="s">
        <v>1812</v>
      </c>
      <c r="U457" t="s">
        <v>2365</v>
      </c>
      <c r="V457" t="s">
        <v>2365</v>
      </c>
      <c r="W457" t="s">
        <v>2365</v>
      </c>
      <c r="X457" t="s">
        <v>2365</v>
      </c>
      <c r="Y457" t="s">
        <v>2365</v>
      </c>
      <c r="Z457" t="s">
        <v>2365</v>
      </c>
      <c r="AA457" t="s">
        <v>2365</v>
      </c>
      <c r="AB457" t="s">
        <v>2365</v>
      </c>
      <c r="AC457" s="813" t="s">
        <v>2365</v>
      </c>
      <c r="AD457" s="813" t="s">
        <v>2365</v>
      </c>
      <c r="AE457" s="813" t="s">
        <v>2365</v>
      </c>
      <c r="AF457" t="s">
        <v>2365</v>
      </c>
      <c r="AG457" t="s">
        <v>2365</v>
      </c>
      <c r="AH457" t="s">
        <v>2365</v>
      </c>
      <c r="AI457" t="s">
        <v>2365</v>
      </c>
      <c r="AJ457" t="s">
        <v>2365</v>
      </c>
      <c r="AK457" t="s">
        <v>2365</v>
      </c>
      <c r="AL457" t="s">
        <v>2365</v>
      </c>
      <c r="AM457" t="s">
        <v>2365</v>
      </c>
      <c r="AN457" t="s">
        <v>2365</v>
      </c>
      <c r="AR457" t="s">
        <v>2365</v>
      </c>
      <c r="AS457" t="s">
        <v>2365</v>
      </c>
      <c r="AT457" t="s">
        <v>2365</v>
      </c>
      <c r="AU457" t="s">
        <v>2365</v>
      </c>
      <c r="AV457" t="s">
        <v>2365</v>
      </c>
      <c r="AW457" t="s">
        <v>2365</v>
      </c>
      <c r="AX457" t="s">
        <v>2365</v>
      </c>
      <c r="AY457" t="s">
        <v>2365</v>
      </c>
      <c r="AZ457" t="s">
        <v>2365</v>
      </c>
      <c r="BA457" t="s">
        <v>2365</v>
      </c>
      <c r="BB457" t="s">
        <v>2365</v>
      </c>
      <c r="BC457" t="s">
        <v>2365</v>
      </c>
      <c r="BD457" t="s">
        <v>2366</v>
      </c>
      <c r="BE457" t="s">
        <v>2365</v>
      </c>
      <c r="BF457" t="s">
        <v>2365</v>
      </c>
      <c r="BG457" t="s">
        <v>2365</v>
      </c>
      <c r="BH457" t="s">
        <v>2365</v>
      </c>
      <c r="BI457" t="s">
        <v>2366</v>
      </c>
      <c r="BJ457" t="s">
        <v>2365</v>
      </c>
      <c r="BK457" t="s">
        <v>2365</v>
      </c>
      <c r="BL457" t="s">
        <v>2365</v>
      </c>
      <c r="BM457" t="s">
        <v>2365</v>
      </c>
      <c r="BO457">
        <v>3</v>
      </c>
      <c r="BP457">
        <v>31</v>
      </c>
      <c r="BQ457" t="s">
        <v>2716</v>
      </c>
      <c r="BR457" t="s">
        <v>1485</v>
      </c>
      <c r="BU457">
        <v>0</v>
      </c>
      <c r="BV457">
        <v>0</v>
      </c>
      <c r="BW457">
        <v>0</v>
      </c>
      <c r="BX457">
        <v>0</v>
      </c>
      <c r="BY457">
        <v>0</v>
      </c>
      <c r="BZ457">
        <v>0</v>
      </c>
      <c r="CA457">
        <v>0</v>
      </c>
      <c r="CB457">
        <v>0</v>
      </c>
      <c r="CC457">
        <v>0</v>
      </c>
      <c r="CD457">
        <v>0</v>
      </c>
      <c r="CE457">
        <v>0</v>
      </c>
      <c r="CF457">
        <v>0</v>
      </c>
      <c r="CG457">
        <v>0</v>
      </c>
      <c r="CH457">
        <v>0</v>
      </c>
      <c r="CI457">
        <v>0</v>
      </c>
      <c r="CJ457">
        <v>0</v>
      </c>
      <c r="CK457">
        <v>0</v>
      </c>
      <c r="CL457">
        <v>0</v>
      </c>
      <c r="CM457">
        <v>0</v>
      </c>
      <c r="CR457" t="s">
        <v>2327</v>
      </c>
      <c r="CS457" s="1369" t="str">
        <f>INDEX([8]Sheet1!$H:$H,MATCH(CR:CR,[8]Sheet1!$AU:$AU,0))</f>
        <v>Education</v>
      </c>
    </row>
    <row r="458" spans="1:97" x14ac:dyDescent="0.2">
      <c r="A458" t="s">
        <v>3003</v>
      </c>
      <c r="B458">
        <v>511</v>
      </c>
      <c r="C458" t="s">
        <v>3003</v>
      </c>
      <c r="D458">
        <v>41248</v>
      </c>
      <c r="E458" t="s">
        <v>2455</v>
      </c>
      <c r="F458">
        <v>2900</v>
      </c>
      <c r="G458" t="s">
        <v>569</v>
      </c>
      <c r="H458" t="s">
        <v>2366</v>
      </c>
      <c r="I458" t="s">
        <v>2366</v>
      </c>
      <c r="J458">
        <v>2904</v>
      </c>
      <c r="K458" t="s">
        <v>1432</v>
      </c>
      <c r="L458">
        <v>1100</v>
      </c>
      <c r="M458" t="s">
        <v>616</v>
      </c>
      <c r="N458">
        <v>1120</v>
      </c>
      <c r="O458" t="s">
        <v>1485</v>
      </c>
      <c r="P458" t="s">
        <v>2366</v>
      </c>
      <c r="Q458" t="s">
        <v>2364</v>
      </c>
      <c r="R458" t="s">
        <v>2364</v>
      </c>
      <c r="S458" t="s">
        <v>1881</v>
      </c>
      <c r="T458" t="s">
        <v>1812</v>
      </c>
      <c r="U458" t="s">
        <v>2365</v>
      </c>
      <c r="V458" t="s">
        <v>2365</v>
      </c>
      <c r="W458" t="s">
        <v>2365</v>
      </c>
      <c r="X458" t="s">
        <v>2365</v>
      </c>
      <c r="Y458" t="s">
        <v>2365</v>
      </c>
      <c r="Z458" t="s">
        <v>2365</v>
      </c>
      <c r="AA458" t="s">
        <v>2365</v>
      </c>
      <c r="AB458" t="s">
        <v>2365</v>
      </c>
      <c r="AC458" s="813" t="s">
        <v>2365</v>
      </c>
      <c r="AD458" s="813" t="s">
        <v>2365</v>
      </c>
      <c r="AE458" s="813" t="s">
        <v>2365</v>
      </c>
      <c r="AF458" t="s">
        <v>2365</v>
      </c>
      <c r="AG458" t="s">
        <v>2365</v>
      </c>
      <c r="AH458" t="s">
        <v>2365</v>
      </c>
      <c r="AI458" t="s">
        <v>2365</v>
      </c>
      <c r="AJ458" t="s">
        <v>2365</v>
      </c>
      <c r="AK458" t="s">
        <v>2365</v>
      </c>
      <c r="AL458" t="s">
        <v>2365</v>
      </c>
      <c r="AM458" t="s">
        <v>2365</v>
      </c>
      <c r="AN458" t="s">
        <v>2365</v>
      </c>
      <c r="AR458" t="s">
        <v>2365</v>
      </c>
      <c r="AS458" t="s">
        <v>2365</v>
      </c>
      <c r="AT458" t="s">
        <v>2365</v>
      </c>
      <c r="AU458" t="s">
        <v>2365</v>
      </c>
      <c r="AV458" t="s">
        <v>2365</v>
      </c>
      <c r="AW458" t="s">
        <v>2365</v>
      </c>
      <c r="AX458" t="s">
        <v>2365</v>
      </c>
      <c r="AY458" t="s">
        <v>2365</v>
      </c>
      <c r="AZ458" t="s">
        <v>2365</v>
      </c>
      <c r="BA458" t="s">
        <v>2365</v>
      </c>
      <c r="BB458" t="s">
        <v>2365</v>
      </c>
      <c r="BC458" t="s">
        <v>2365</v>
      </c>
      <c r="BD458" t="s">
        <v>2366</v>
      </c>
      <c r="BE458" t="s">
        <v>2365</v>
      </c>
      <c r="BF458" t="s">
        <v>2365</v>
      </c>
      <c r="BG458" t="s">
        <v>2365</v>
      </c>
      <c r="BH458" t="s">
        <v>2365</v>
      </c>
      <c r="BI458" t="s">
        <v>2366</v>
      </c>
      <c r="BJ458" t="s">
        <v>2365</v>
      </c>
      <c r="BK458" t="s">
        <v>2365</v>
      </c>
      <c r="BL458" t="s">
        <v>2365</v>
      </c>
      <c r="BM458" t="s">
        <v>2365</v>
      </c>
      <c r="BO458">
        <v>3</v>
      </c>
      <c r="BP458">
        <v>31</v>
      </c>
      <c r="BQ458" t="s">
        <v>2716</v>
      </c>
      <c r="BR458" t="s">
        <v>1485</v>
      </c>
      <c r="BU458">
        <v>0</v>
      </c>
      <c r="BV458">
        <v>0</v>
      </c>
      <c r="BW458">
        <v>0</v>
      </c>
      <c r="BX458">
        <v>0</v>
      </c>
      <c r="BY458">
        <v>0</v>
      </c>
      <c r="BZ458">
        <v>0</v>
      </c>
      <c r="CA458">
        <v>0</v>
      </c>
      <c r="CB458">
        <v>0</v>
      </c>
      <c r="CC458">
        <v>0</v>
      </c>
      <c r="CD458">
        <v>0</v>
      </c>
      <c r="CE458">
        <v>0</v>
      </c>
      <c r="CF458">
        <v>0</v>
      </c>
      <c r="CG458">
        <v>0</v>
      </c>
      <c r="CH458">
        <v>0</v>
      </c>
      <c r="CI458">
        <v>0</v>
      </c>
      <c r="CJ458">
        <v>0</v>
      </c>
      <c r="CK458">
        <v>0</v>
      </c>
      <c r="CL458">
        <v>0</v>
      </c>
      <c r="CM458">
        <v>0</v>
      </c>
      <c r="CR458" t="s">
        <v>2327</v>
      </c>
      <c r="CS458" s="1369" t="str">
        <f>INDEX([8]Sheet1!$H:$H,MATCH(CR:CR,[8]Sheet1!$AU:$AU,0))</f>
        <v>Education</v>
      </c>
    </row>
    <row r="459" spans="1:97" x14ac:dyDescent="0.2">
      <c r="A459" t="s">
        <v>3004</v>
      </c>
      <c r="B459">
        <v>512</v>
      </c>
      <c r="C459" t="s">
        <v>3004</v>
      </c>
      <c r="D459">
        <v>41249</v>
      </c>
      <c r="E459" t="s">
        <v>2661</v>
      </c>
      <c r="F459">
        <v>2900</v>
      </c>
      <c r="G459" t="s">
        <v>569</v>
      </c>
      <c r="H459" t="s">
        <v>2366</v>
      </c>
      <c r="I459" t="s">
        <v>2366</v>
      </c>
      <c r="J459">
        <v>2904</v>
      </c>
      <c r="K459" t="s">
        <v>1432</v>
      </c>
      <c r="L459">
        <v>1100</v>
      </c>
      <c r="M459" t="s">
        <v>616</v>
      </c>
      <c r="N459">
        <v>1120</v>
      </c>
      <c r="O459" t="s">
        <v>1485</v>
      </c>
      <c r="P459" t="s">
        <v>2366</v>
      </c>
      <c r="Q459" t="s">
        <v>2364</v>
      </c>
      <c r="R459" t="s">
        <v>2364</v>
      </c>
      <c r="S459" t="s">
        <v>1881</v>
      </c>
      <c r="T459" t="s">
        <v>1812</v>
      </c>
      <c r="U459" t="s">
        <v>2365</v>
      </c>
      <c r="V459" t="s">
        <v>2365</v>
      </c>
      <c r="W459" t="s">
        <v>2365</v>
      </c>
      <c r="X459" t="s">
        <v>2365</v>
      </c>
      <c r="Y459" t="s">
        <v>2365</v>
      </c>
      <c r="Z459" t="s">
        <v>2365</v>
      </c>
      <c r="AA459" t="s">
        <v>2365</v>
      </c>
      <c r="AB459" t="s">
        <v>2365</v>
      </c>
      <c r="AC459" s="813" t="s">
        <v>2365</v>
      </c>
      <c r="AD459" s="813" t="s">
        <v>2365</v>
      </c>
      <c r="AE459" s="813" t="s">
        <v>2365</v>
      </c>
      <c r="AF459" t="s">
        <v>2365</v>
      </c>
      <c r="AG459" t="s">
        <v>2365</v>
      </c>
      <c r="AH459" t="s">
        <v>2365</v>
      </c>
      <c r="AI459" t="s">
        <v>2365</v>
      </c>
      <c r="AJ459" t="s">
        <v>2365</v>
      </c>
      <c r="AK459" t="s">
        <v>2365</v>
      </c>
      <c r="AL459" t="s">
        <v>2365</v>
      </c>
      <c r="AM459" t="s">
        <v>2365</v>
      </c>
      <c r="AN459" t="s">
        <v>2365</v>
      </c>
      <c r="AR459" t="s">
        <v>2365</v>
      </c>
      <c r="AS459" t="s">
        <v>2365</v>
      </c>
      <c r="AT459" t="s">
        <v>2365</v>
      </c>
      <c r="AU459" t="s">
        <v>2365</v>
      </c>
      <c r="AV459" t="s">
        <v>2365</v>
      </c>
      <c r="AW459" t="s">
        <v>2365</v>
      </c>
      <c r="AX459" t="s">
        <v>2365</v>
      </c>
      <c r="AY459" t="s">
        <v>2365</v>
      </c>
      <c r="AZ459" t="s">
        <v>2365</v>
      </c>
      <c r="BA459" t="s">
        <v>2365</v>
      </c>
      <c r="BB459" t="s">
        <v>2365</v>
      </c>
      <c r="BC459" t="s">
        <v>2365</v>
      </c>
      <c r="BD459" t="s">
        <v>2366</v>
      </c>
      <c r="BE459" t="s">
        <v>2365</v>
      </c>
      <c r="BF459" t="s">
        <v>2365</v>
      </c>
      <c r="BG459" t="s">
        <v>2365</v>
      </c>
      <c r="BH459" t="s">
        <v>2365</v>
      </c>
      <c r="BI459" t="s">
        <v>2366</v>
      </c>
      <c r="BJ459" t="s">
        <v>2365</v>
      </c>
      <c r="BK459" t="s">
        <v>2365</v>
      </c>
      <c r="BL459" t="s">
        <v>2365</v>
      </c>
      <c r="BM459" t="s">
        <v>2365</v>
      </c>
      <c r="BO459">
        <v>3</v>
      </c>
      <c r="BP459">
        <v>31</v>
      </c>
      <c r="BQ459" t="s">
        <v>2716</v>
      </c>
      <c r="BR459" t="s">
        <v>1485</v>
      </c>
      <c r="BU459">
        <v>0</v>
      </c>
      <c r="BV459">
        <v>0</v>
      </c>
      <c r="BW459">
        <v>0</v>
      </c>
      <c r="BX459">
        <v>0</v>
      </c>
      <c r="BY459">
        <v>0</v>
      </c>
      <c r="BZ459">
        <v>0</v>
      </c>
      <c r="CA459">
        <v>0</v>
      </c>
      <c r="CB459">
        <v>0</v>
      </c>
      <c r="CC459">
        <v>0</v>
      </c>
      <c r="CD459">
        <v>0</v>
      </c>
      <c r="CE459">
        <v>0</v>
      </c>
      <c r="CF459">
        <v>0</v>
      </c>
      <c r="CG459">
        <v>0</v>
      </c>
      <c r="CH459">
        <v>0</v>
      </c>
      <c r="CI459">
        <v>0</v>
      </c>
      <c r="CJ459">
        <v>0</v>
      </c>
      <c r="CK459">
        <v>0</v>
      </c>
      <c r="CL459">
        <v>0</v>
      </c>
      <c r="CM459">
        <v>0</v>
      </c>
      <c r="CR459" t="s">
        <v>2327</v>
      </c>
      <c r="CS459" s="1369" t="str">
        <f>INDEX([8]Sheet1!$H:$H,MATCH(CR:CR,[8]Sheet1!$AU:$AU,0))</f>
        <v>Education</v>
      </c>
    </row>
    <row r="460" spans="1:97" x14ac:dyDescent="0.2">
      <c r="A460" t="s">
        <v>3005</v>
      </c>
      <c r="B460">
        <v>513</v>
      </c>
      <c r="C460" t="s">
        <v>3005</v>
      </c>
      <c r="D460">
        <v>41121</v>
      </c>
      <c r="E460" t="s">
        <v>2504</v>
      </c>
      <c r="F460">
        <v>2900</v>
      </c>
      <c r="G460" t="s">
        <v>569</v>
      </c>
      <c r="H460" t="s">
        <v>2366</v>
      </c>
      <c r="I460" t="s">
        <v>2366</v>
      </c>
      <c r="J460">
        <v>2904</v>
      </c>
      <c r="K460" t="s">
        <v>1432</v>
      </c>
      <c r="L460">
        <v>1200</v>
      </c>
      <c r="M460" t="s">
        <v>1480</v>
      </c>
      <c r="N460">
        <v>1206</v>
      </c>
      <c r="O460" t="s">
        <v>996</v>
      </c>
      <c r="P460" t="s">
        <v>2366</v>
      </c>
      <c r="Q460" t="s">
        <v>2364</v>
      </c>
      <c r="R460" t="s">
        <v>2364</v>
      </c>
      <c r="S460" t="s">
        <v>1881</v>
      </c>
      <c r="T460" t="s">
        <v>1812</v>
      </c>
      <c r="U460" t="s">
        <v>2365</v>
      </c>
      <c r="V460" t="s">
        <v>2365</v>
      </c>
      <c r="W460" t="s">
        <v>2365</v>
      </c>
      <c r="X460" t="s">
        <v>2365</v>
      </c>
      <c r="Y460" t="s">
        <v>2365</v>
      </c>
      <c r="Z460" t="s">
        <v>2365</v>
      </c>
      <c r="AA460" t="s">
        <v>2365</v>
      </c>
      <c r="AB460" t="s">
        <v>2365</v>
      </c>
      <c r="AC460" s="813" t="s">
        <v>2365</v>
      </c>
      <c r="AD460" s="813" t="s">
        <v>2365</v>
      </c>
      <c r="AE460" s="813" t="s">
        <v>2365</v>
      </c>
      <c r="AF460" t="s">
        <v>2365</v>
      </c>
      <c r="AG460" t="s">
        <v>2365</v>
      </c>
      <c r="AH460" t="s">
        <v>2365</v>
      </c>
      <c r="AI460" t="s">
        <v>2365</v>
      </c>
      <c r="AJ460" t="s">
        <v>2365</v>
      </c>
      <c r="AK460" t="s">
        <v>2365</v>
      </c>
      <c r="AL460" t="s">
        <v>2365</v>
      </c>
      <c r="AM460" t="s">
        <v>2365</v>
      </c>
      <c r="AN460" t="s">
        <v>2365</v>
      </c>
      <c r="AR460" t="s">
        <v>2365</v>
      </c>
      <c r="AS460" t="s">
        <v>2365</v>
      </c>
      <c r="AT460" t="s">
        <v>2365</v>
      </c>
      <c r="AU460" t="s">
        <v>2365</v>
      </c>
      <c r="AV460" t="s">
        <v>2365</v>
      </c>
      <c r="AW460" t="s">
        <v>2365</v>
      </c>
      <c r="AX460" t="s">
        <v>2365</v>
      </c>
      <c r="AY460" t="s">
        <v>2365</v>
      </c>
      <c r="AZ460" t="s">
        <v>2365</v>
      </c>
      <c r="BA460" t="s">
        <v>2365</v>
      </c>
      <c r="BB460" t="s">
        <v>2365</v>
      </c>
      <c r="BC460" t="s">
        <v>2365</v>
      </c>
      <c r="BD460" t="s">
        <v>2366</v>
      </c>
      <c r="BE460" t="s">
        <v>2365</v>
      </c>
      <c r="BF460" t="s">
        <v>2365</v>
      </c>
      <c r="BG460" t="s">
        <v>2365</v>
      </c>
      <c r="BH460" t="s">
        <v>2365</v>
      </c>
      <c r="BI460" t="s">
        <v>2366</v>
      </c>
      <c r="BJ460" t="s">
        <v>2365</v>
      </c>
      <c r="BK460" t="s">
        <v>2365</v>
      </c>
      <c r="BL460" t="s">
        <v>2365</v>
      </c>
      <c r="BM460" t="s">
        <v>2365</v>
      </c>
      <c r="BO460">
        <v>1</v>
      </c>
      <c r="BP460">
        <v>15</v>
      </c>
      <c r="BQ460" t="s">
        <v>2369</v>
      </c>
      <c r="BR460" t="s">
        <v>996</v>
      </c>
      <c r="BU460">
        <v>0</v>
      </c>
      <c r="BV460">
        <v>0</v>
      </c>
      <c r="BW460">
        <v>0</v>
      </c>
      <c r="BX460">
        <v>0</v>
      </c>
      <c r="BY460">
        <v>0</v>
      </c>
      <c r="BZ460">
        <v>0</v>
      </c>
      <c r="CA460">
        <v>0</v>
      </c>
      <c r="CB460">
        <v>0</v>
      </c>
      <c r="CC460">
        <v>0</v>
      </c>
      <c r="CD460">
        <v>0</v>
      </c>
      <c r="CE460">
        <v>0</v>
      </c>
      <c r="CF460">
        <v>0</v>
      </c>
      <c r="CG460">
        <v>0</v>
      </c>
      <c r="CH460">
        <v>0</v>
      </c>
      <c r="CI460">
        <v>0</v>
      </c>
      <c r="CJ460">
        <v>0</v>
      </c>
      <c r="CK460">
        <v>0</v>
      </c>
      <c r="CL460">
        <v>0</v>
      </c>
      <c r="CM460">
        <v>0</v>
      </c>
      <c r="CR460" t="s">
        <v>2327</v>
      </c>
      <c r="CS460" s="1369" t="str">
        <f>INDEX([8]Sheet1!$H:$H,MATCH(CR:CR,[8]Sheet1!$AU:$AU,0))</f>
        <v>Education</v>
      </c>
    </row>
    <row r="461" spans="1:97" x14ac:dyDescent="0.2">
      <c r="A461" t="s">
        <v>3006</v>
      </c>
      <c r="B461">
        <v>514</v>
      </c>
      <c r="C461" t="s">
        <v>3006</v>
      </c>
      <c r="D461">
        <v>41122</v>
      </c>
      <c r="E461" t="s">
        <v>2911</v>
      </c>
      <c r="F461">
        <v>2900</v>
      </c>
      <c r="G461" t="s">
        <v>569</v>
      </c>
      <c r="H461" t="s">
        <v>2366</v>
      </c>
      <c r="I461" t="s">
        <v>2366</v>
      </c>
      <c r="J461">
        <v>2904</v>
      </c>
      <c r="K461" t="s">
        <v>1432</v>
      </c>
      <c r="L461">
        <v>1200</v>
      </c>
      <c r="M461" t="s">
        <v>1480</v>
      </c>
      <c r="N461">
        <v>1206</v>
      </c>
      <c r="O461" t="s">
        <v>996</v>
      </c>
      <c r="P461" t="s">
        <v>2366</v>
      </c>
      <c r="Q461" t="s">
        <v>2364</v>
      </c>
      <c r="R461" t="s">
        <v>2364</v>
      </c>
      <c r="S461" t="s">
        <v>1881</v>
      </c>
      <c r="T461" t="s">
        <v>1812</v>
      </c>
      <c r="U461" t="s">
        <v>2365</v>
      </c>
      <c r="V461" t="s">
        <v>2365</v>
      </c>
      <c r="W461" t="s">
        <v>2365</v>
      </c>
      <c r="X461" t="s">
        <v>2365</v>
      </c>
      <c r="Y461" t="s">
        <v>2365</v>
      </c>
      <c r="Z461" t="s">
        <v>2365</v>
      </c>
      <c r="AA461" t="s">
        <v>2365</v>
      </c>
      <c r="AB461" t="s">
        <v>2365</v>
      </c>
      <c r="AC461" s="813" t="s">
        <v>2365</v>
      </c>
      <c r="AD461" s="813" t="s">
        <v>2365</v>
      </c>
      <c r="AE461" s="813" t="s">
        <v>2365</v>
      </c>
      <c r="AF461" t="s">
        <v>2365</v>
      </c>
      <c r="AG461" t="s">
        <v>2365</v>
      </c>
      <c r="AH461" t="s">
        <v>2365</v>
      </c>
      <c r="AI461" t="s">
        <v>2365</v>
      </c>
      <c r="AJ461" t="s">
        <v>2365</v>
      </c>
      <c r="AK461" t="s">
        <v>2365</v>
      </c>
      <c r="AL461" t="s">
        <v>2365</v>
      </c>
      <c r="AM461" t="s">
        <v>2365</v>
      </c>
      <c r="AN461" t="s">
        <v>2365</v>
      </c>
      <c r="AR461" t="s">
        <v>2365</v>
      </c>
      <c r="AS461" t="s">
        <v>2365</v>
      </c>
      <c r="AT461" t="s">
        <v>2365</v>
      </c>
      <c r="AU461" t="s">
        <v>2365</v>
      </c>
      <c r="AV461" t="s">
        <v>2365</v>
      </c>
      <c r="AW461" t="s">
        <v>2365</v>
      </c>
      <c r="AX461" t="s">
        <v>2365</v>
      </c>
      <c r="AY461" t="s">
        <v>2365</v>
      </c>
      <c r="AZ461" t="s">
        <v>2365</v>
      </c>
      <c r="BA461" t="s">
        <v>2365</v>
      </c>
      <c r="BB461" t="s">
        <v>2365</v>
      </c>
      <c r="BC461" t="s">
        <v>2365</v>
      </c>
      <c r="BD461" t="s">
        <v>2366</v>
      </c>
      <c r="BE461" t="s">
        <v>2365</v>
      </c>
      <c r="BF461" t="s">
        <v>2365</v>
      </c>
      <c r="BG461" t="s">
        <v>2365</v>
      </c>
      <c r="BH461" t="s">
        <v>2365</v>
      </c>
      <c r="BI461" t="s">
        <v>2366</v>
      </c>
      <c r="BJ461" t="s">
        <v>2365</v>
      </c>
      <c r="BK461" t="s">
        <v>2365</v>
      </c>
      <c r="BL461" t="s">
        <v>2365</v>
      </c>
      <c r="BM461" t="s">
        <v>2365</v>
      </c>
      <c r="BO461">
        <v>1</v>
      </c>
      <c r="BP461">
        <v>15</v>
      </c>
      <c r="BQ461" t="s">
        <v>2369</v>
      </c>
      <c r="BR461" t="s">
        <v>996</v>
      </c>
      <c r="BU461">
        <v>0</v>
      </c>
      <c r="BV461">
        <v>0</v>
      </c>
      <c r="BW461">
        <v>0</v>
      </c>
      <c r="BX461">
        <v>0</v>
      </c>
      <c r="BY461">
        <v>0</v>
      </c>
      <c r="BZ461">
        <v>0</v>
      </c>
      <c r="CA461">
        <v>0</v>
      </c>
      <c r="CB461">
        <v>0</v>
      </c>
      <c r="CC461">
        <v>0</v>
      </c>
      <c r="CD461">
        <v>0</v>
      </c>
      <c r="CE461">
        <v>0</v>
      </c>
      <c r="CF461">
        <v>0</v>
      </c>
      <c r="CG461">
        <v>0</v>
      </c>
      <c r="CH461">
        <v>0</v>
      </c>
      <c r="CI461">
        <v>0</v>
      </c>
      <c r="CJ461">
        <v>0</v>
      </c>
      <c r="CK461">
        <v>0</v>
      </c>
      <c r="CL461">
        <v>0</v>
      </c>
      <c r="CM461">
        <v>0</v>
      </c>
      <c r="CR461" t="s">
        <v>2327</v>
      </c>
      <c r="CS461" s="1369" t="str">
        <f>INDEX([8]Sheet1!$H:$H,MATCH(CR:CR,[8]Sheet1!$AU:$AU,0))</f>
        <v>Education</v>
      </c>
    </row>
    <row r="462" spans="1:97" x14ac:dyDescent="0.2">
      <c r="A462" t="s">
        <v>3007</v>
      </c>
      <c r="B462">
        <v>515</v>
      </c>
      <c r="C462" t="s">
        <v>3007</v>
      </c>
      <c r="D462">
        <v>41123</v>
      </c>
      <c r="E462" t="s">
        <v>2508</v>
      </c>
      <c r="F462">
        <v>2900</v>
      </c>
      <c r="G462" t="s">
        <v>569</v>
      </c>
      <c r="H462" t="s">
        <v>2366</v>
      </c>
      <c r="I462" t="s">
        <v>2366</v>
      </c>
      <c r="J462">
        <v>2904</v>
      </c>
      <c r="K462" t="s">
        <v>1432</v>
      </c>
      <c r="L462">
        <v>1200</v>
      </c>
      <c r="M462" t="s">
        <v>1480</v>
      </c>
      <c r="N462">
        <v>1206</v>
      </c>
      <c r="O462" t="s">
        <v>996</v>
      </c>
      <c r="P462" t="s">
        <v>2366</v>
      </c>
      <c r="Q462" t="s">
        <v>2364</v>
      </c>
      <c r="R462" t="s">
        <v>2364</v>
      </c>
      <c r="S462" t="s">
        <v>1881</v>
      </c>
      <c r="T462" t="s">
        <v>1812</v>
      </c>
      <c r="U462" t="s">
        <v>2365</v>
      </c>
      <c r="V462" t="s">
        <v>2365</v>
      </c>
      <c r="W462" t="s">
        <v>2365</v>
      </c>
      <c r="X462" t="s">
        <v>2365</v>
      </c>
      <c r="Y462" t="s">
        <v>2365</v>
      </c>
      <c r="Z462" t="s">
        <v>2365</v>
      </c>
      <c r="AA462" t="s">
        <v>2365</v>
      </c>
      <c r="AB462" t="s">
        <v>2365</v>
      </c>
      <c r="AC462" s="813" t="s">
        <v>2365</v>
      </c>
      <c r="AD462" s="813" t="s">
        <v>2365</v>
      </c>
      <c r="AE462" s="813" t="s">
        <v>2365</v>
      </c>
      <c r="AF462" t="s">
        <v>2365</v>
      </c>
      <c r="AG462" t="s">
        <v>2365</v>
      </c>
      <c r="AH462" t="s">
        <v>2365</v>
      </c>
      <c r="AI462" t="s">
        <v>2365</v>
      </c>
      <c r="AJ462" t="s">
        <v>2365</v>
      </c>
      <c r="AK462" t="s">
        <v>2365</v>
      </c>
      <c r="AL462" t="s">
        <v>2365</v>
      </c>
      <c r="AM462" t="s">
        <v>2365</v>
      </c>
      <c r="AN462" t="s">
        <v>2365</v>
      </c>
      <c r="AR462" t="s">
        <v>2365</v>
      </c>
      <c r="AS462" t="s">
        <v>2365</v>
      </c>
      <c r="AT462" t="s">
        <v>2365</v>
      </c>
      <c r="AU462" t="s">
        <v>2365</v>
      </c>
      <c r="AV462" t="s">
        <v>2365</v>
      </c>
      <c r="AW462" t="s">
        <v>2365</v>
      </c>
      <c r="AX462" t="s">
        <v>2365</v>
      </c>
      <c r="AY462" t="s">
        <v>2365</v>
      </c>
      <c r="AZ462" t="s">
        <v>2365</v>
      </c>
      <c r="BA462" t="s">
        <v>2365</v>
      </c>
      <c r="BB462" t="s">
        <v>2365</v>
      </c>
      <c r="BC462" t="s">
        <v>2365</v>
      </c>
      <c r="BD462" t="s">
        <v>2366</v>
      </c>
      <c r="BE462" t="s">
        <v>2365</v>
      </c>
      <c r="BF462" t="s">
        <v>2365</v>
      </c>
      <c r="BG462" t="s">
        <v>2365</v>
      </c>
      <c r="BH462" t="s">
        <v>2365</v>
      </c>
      <c r="BI462" t="s">
        <v>2366</v>
      </c>
      <c r="BJ462" t="s">
        <v>2365</v>
      </c>
      <c r="BK462" t="s">
        <v>2365</v>
      </c>
      <c r="BL462" t="s">
        <v>2365</v>
      </c>
      <c r="BM462" t="s">
        <v>2365</v>
      </c>
      <c r="BO462">
        <v>1</v>
      </c>
      <c r="BP462">
        <v>15</v>
      </c>
      <c r="BQ462" t="s">
        <v>2369</v>
      </c>
      <c r="BR462" t="s">
        <v>996</v>
      </c>
      <c r="BU462">
        <v>0</v>
      </c>
      <c r="BV462">
        <v>0</v>
      </c>
      <c r="BW462">
        <v>0</v>
      </c>
      <c r="BX462">
        <v>0</v>
      </c>
      <c r="BY462">
        <v>0</v>
      </c>
      <c r="BZ462">
        <v>0</v>
      </c>
      <c r="CA462">
        <v>0</v>
      </c>
      <c r="CB462">
        <v>0</v>
      </c>
      <c r="CC462">
        <v>0</v>
      </c>
      <c r="CD462">
        <v>0</v>
      </c>
      <c r="CE462">
        <v>0</v>
      </c>
      <c r="CF462">
        <v>0</v>
      </c>
      <c r="CG462">
        <v>0</v>
      </c>
      <c r="CH462">
        <v>0</v>
      </c>
      <c r="CI462">
        <v>0</v>
      </c>
      <c r="CJ462">
        <v>0</v>
      </c>
      <c r="CK462">
        <v>0</v>
      </c>
      <c r="CL462">
        <v>0</v>
      </c>
      <c r="CM462">
        <v>0</v>
      </c>
      <c r="CR462" t="s">
        <v>2327</v>
      </c>
      <c r="CS462" s="1369" t="str">
        <f>INDEX([8]Sheet1!$H:$H,MATCH(CR:CR,[8]Sheet1!$AU:$AU,0))</f>
        <v>Education</v>
      </c>
    </row>
    <row r="463" spans="1:97" x14ac:dyDescent="0.2">
      <c r="A463" t="s">
        <v>3008</v>
      </c>
      <c r="B463">
        <v>516</v>
      </c>
      <c r="C463" t="s">
        <v>3008</v>
      </c>
      <c r="D463">
        <v>41124</v>
      </c>
      <c r="E463" t="s">
        <v>2510</v>
      </c>
      <c r="F463">
        <v>2900</v>
      </c>
      <c r="G463" t="s">
        <v>569</v>
      </c>
      <c r="H463" t="s">
        <v>2366</v>
      </c>
      <c r="I463" t="s">
        <v>2366</v>
      </c>
      <c r="J463">
        <v>2904</v>
      </c>
      <c r="K463" t="s">
        <v>1432</v>
      </c>
      <c r="L463">
        <v>1200</v>
      </c>
      <c r="M463" t="s">
        <v>1480</v>
      </c>
      <c r="N463">
        <v>1206</v>
      </c>
      <c r="O463" t="s">
        <v>996</v>
      </c>
      <c r="P463" t="s">
        <v>2366</v>
      </c>
      <c r="Q463" t="s">
        <v>2364</v>
      </c>
      <c r="R463" t="s">
        <v>2364</v>
      </c>
      <c r="S463" t="s">
        <v>1881</v>
      </c>
      <c r="T463" t="s">
        <v>1812</v>
      </c>
      <c r="U463" t="s">
        <v>2365</v>
      </c>
      <c r="V463" t="s">
        <v>2365</v>
      </c>
      <c r="W463" t="s">
        <v>2365</v>
      </c>
      <c r="X463" t="s">
        <v>2365</v>
      </c>
      <c r="Y463" t="s">
        <v>2365</v>
      </c>
      <c r="Z463" t="s">
        <v>2365</v>
      </c>
      <c r="AA463" t="s">
        <v>2365</v>
      </c>
      <c r="AB463" t="s">
        <v>2365</v>
      </c>
      <c r="AC463" s="813" t="s">
        <v>2365</v>
      </c>
      <c r="AD463" s="813" t="s">
        <v>2365</v>
      </c>
      <c r="AE463" s="813" t="s">
        <v>2365</v>
      </c>
      <c r="AF463" t="s">
        <v>2365</v>
      </c>
      <c r="AG463" t="s">
        <v>2365</v>
      </c>
      <c r="AH463" t="s">
        <v>2365</v>
      </c>
      <c r="AI463" t="s">
        <v>2365</v>
      </c>
      <c r="AJ463" t="s">
        <v>2365</v>
      </c>
      <c r="AK463" t="s">
        <v>2365</v>
      </c>
      <c r="AL463" t="s">
        <v>2365</v>
      </c>
      <c r="AM463" t="s">
        <v>2365</v>
      </c>
      <c r="AN463" t="s">
        <v>2365</v>
      </c>
      <c r="AR463" t="s">
        <v>2365</v>
      </c>
      <c r="AS463" t="s">
        <v>2365</v>
      </c>
      <c r="AT463" t="s">
        <v>2365</v>
      </c>
      <c r="AU463" t="s">
        <v>2365</v>
      </c>
      <c r="AV463" t="s">
        <v>2365</v>
      </c>
      <c r="AW463" t="s">
        <v>2365</v>
      </c>
      <c r="AX463" t="s">
        <v>2365</v>
      </c>
      <c r="AY463" t="s">
        <v>2365</v>
      </c>
      <c r="AZ463" t="s">
        <v>2365</v>
      </c>
      <c r="BA463" t="s">
        <v>2365</v>
      </c>
      <c r="BB463" t="s">
        <v>2365</v>
      </c>
      <c r="BC463" t="s">
        <v>2365</v>
      </c>
      <c r="BD463" t="s">
        <v>2366</v>
      </c>
      <c r="BE463" t="s">
        <v>2365</v>
      </c>
      <c r="BF463" t="s">
        <v>2365</v>
      </c>
      <c r="BG463" t="s">
        <v>2365</v>
      </c>
      <c r="BH463" t="s">
        <v>2365</v>
      </c>
      <c r="BI463" t="s">
        <v>2366</v>
      </c>
      <c r="BJ463" t="s">
        <v>2365</v>
      </c>
      <c r="BK463" t="s">
        <v>2365</v>
      </c>
      <c r="BL463" t="s">
        <v>2365</v>
      </c>
      <c r="BM463" t="s">
        <v>2365</v>
      </c>
      <c r="BO463">
        <v>1</v>
      </c>
      <c r="BP463">
        <v>15</v>
      </c>
      <c r="BQ463" t="s">
        <v>2369</v>
      </c>
      <c r="BR463" t="s">
        <v>996</v>
      </c>
      <c r="BU463">
        <v>0</v>
      </c>
      <c r="BV463">
        <v>0</v>
      </c>
      <c r="BW463">
        <v>0</v>
      </c>
      <c r="BX463">
        <v>0</v>
      </c>
      <c r="BY463">
        <v>0</v>
      </c>
      <c r="BZ463">
        <v>0</v>
      </c>
      <c r="CA463">
        <v>0</v>
      </c>
      <c r="CB463">
        <v>0</v>
      </c>
      <c r="CC463">
        <v>0</v>
      </c>
      <c r="CD463">
        <v>0</v>
      </c>
      <c r="CE463">
        <v>0</v>
      </c>
      <c r="CF463">
        <v>0</v>
      </c>
      <c r="CG463">
        <v>0</v>
      </c>
      <c r="CH463">
        <v>0</v>
      </c>
      <c r="CI463">
        <v>0</v>
      </c>
      <c r="CJ463">
        <v>0</v>
      </c>
      <c r="CK463">
        <v>0</v>
      </c>
      <c r="CL463">
        <v>0</v>
      </c>
      <c r="CM463">
        <v>0</v>
      </c>
      <c r="CR463" t="s">
        <v>2327</v>
      </c>
      <c r="CS463" s="1369" t="str">
        <f>INDEX([8]Sheet1!$H:$H,MATCH(CR:CR,[8]Sheet1!$AU:$AU,0))</f>
        <v>Education</v>
      </c>
    </row>
    <row r="464" spans="1:97" x14ac:dyDescent="0.2">
      <c r="A464" t="s">
        <v>3009</v>
      </c>
      <c r="B464">
        <v>517</v>
      </c>
      <c r="C464" t="s">
        <v>3009</v>
      </c>
      <c r="D464">
        <v>41125</v>
      </c>
      <c r="E464" t="s">
        <v>3010</v>
      </c>
      <c r="F464">
        <v>2700</v>
      </c>
      <c r="G464" t="s">
        <v>656</v>
      </c>
      <c r="H464" t="s">
        <v>2428</v>
      </c>
      <c r="I464" t="s">
        <v>1800</v>
      </c>
      <c r="J464">
        <v>2701</v>
      </c>
      <c r="K464" t="s">
        <v>1800</v>
      </c>
      <c r="L464">
        <v>1200</v>
      </c>
      <c r="M464" t="s">
        <v>1480</v>
      </c>
      <c r="N464">
        <v>1206</v>
      </c>
      <c r="O464" t="s">
        <v>996</v>
      </c>
      <c r="P464" t="s">
        <v>2366</v>
      </c>
      <c r="Q464" t="s">
        <v>2364</v>
      </c>
      <c r="R464" t="s">
        <v>2364</v>
      </c>
      <c r="S464" t="s">
        <v>1881</v>
      </c>
      <c r="T464" t="s">
        <v>1812</v>
      </c>
      <c r="U464" t="s">
        <v>2365</v>
      </c>
      <c r="V464" t="s">
        <v>2365</v>
      </c>
      <c r="W464" t="s">
        <v>2365</v>
      </c>
      <c r="X464" t="s">
        <v>2365</v>
      </c>
      <c r="Y464" t="s">
        <v>2365</v>
      </c>
      <c r="Z464" t="s">
        <v>2365</v>
      </c>
      <c r="AA464" t="s">
        <v>2365</v>
      </c>
      <c r="AB464" t="s">
        <v>2365</v>
      </c>
      <c r="AC464" s="813" t="s">
        <v>2365</v>
      </c>
      <c r="AD464" s="813" t="s">
        <v>2365</v>
      </c>
      <c r="AE464" s="813" t="s">
        <v>2365</v>
      </c>
      <c r="AF464" t="s">
        <v>2365</v>
      </c>
      <c r="AG464" t="s">
        <v>2365</v>
      </c>
      <c r="AH464" t="s">
        <v>2365</v>
      </c>
      <c r="AI464" t="s">
        <v>2365</v>
      </c>
      <c r="AJ464" t="s">
        <v>2365</v>
      </c>
      <c r="AK464" t="s">
        <v>2365</v>
      </c>
      <c r="AL464" t="s">
        <v>2365</v>
      </c>
      <c r="AM464" t="s">
        <v>2365</v>
      </c>
      <c r="AN464" t="s">
        <v>2365</v>
      </c>
      <c r="AR464" t="s">
        <v>2365</v>
      </c>
      <c r="AS464" t="s">
        <v>2365</v>
      </c>
      <c r="AT464" t="s">
        <v>2365</v>
      </c>
      <c r="AU464" t="s">
        <v>2365</v>
      </c>
      <c r="AV464" t="s">
        <v>2365</v>
      </c>
      <c r="AW464" t="s">
        <v>2365</v>
      </c>
      <c r="AX464" t="s">
        <v>2365</v>
      </c>
      <c r="AY464" t="s">
        <v>2365</v>
      </c>
      <c r="AZ464" t="s">
        <v>2365</v>
      </c>
      <c r="BA464" t="s">
        <v>2365</v>
      </c>
      <c r="BB464" t="s">
        <v>2365</v>
      </c>
      <c r="BC464" t="s">
        <v>2365</v>
      </c>
      <c r="BD464" t="s">
        <v>2366</v>
      </c>
      <c r="BE464" t="s">
        <v>2365</v>
      </c>
      <c r="BF464" t="s">
        <v>2365</v>
      </c>
      <c r="BG464" t="s">
        <v>2365</v>
      </c>
      <c r="BH464" t="s">
        <v>2365</v>
      </c>
      <c r="BI464" t="s">
        <v>2366</v>
      </c>
      <c r="BJ464" t="s">
        <v>2365</v>
      </c>
      <c r="BK464" t="s">
        <v>2365</v>
      </c>
      <c r="BL464" t="s">
        <v>2365</v>
      </c>
      <c r="BM464" t="s">
        <v>2365</v>
      </c>
      <c r="BO464">
        <v>1</v>
      </c>
      <c r="BP464">
        <v>15</v>
      </c>
      <c r="BQ464" t="s">
        <v>2369</v>
      </c>
      <c r="BR464" t="s">
        <v>996</v>
      </c>
      <c r="BU464">
        <v>0</v>
      </c>
      <c r="BV464">
        <v>0</v>
      </c>
      <c r="BW464">
        <v>0</v>
      </c>
      <c r="BX464">
        <v>0</v>
      </c>
      <c r="BY464">
        <v>0</v>
      </c>
      <c r="BZ464">
        <v>0</v>
      </c>
      <c r="CA464">
        <v>0</v>
      </c>
      <c r="CB464">
        <v>0</v>
      </c>
      <c r="CC464">
        <v>0</v>
      </c>
      <c r="CD464">
        <v>0</v>
      </c>
      <c r="CE464">
        <v>0</v>
      </c>
      <c r="CF464">
        <v>0</v>
      </c>
      <c r="CG464">
        <v>0</v>
      </c>
      <c r="CH464">
        <v>0</v>
      </c>
      <c r="CI464">
        <v>0</v>
      </c>
      <c r="CJ464">
        <v>0</v>
      </c>
      <c r="CK464">
        <v>0</v>
      </c>
      <c r="CL464">
        <v>0</v>
      </c>
      <c r="CM464">
        <v>0</v>
      </c>
      <c r="CR464" t="s">
        <v>2327</v>
      </c>
      <c r="CS464" s="1369" t="str">
        <f>INDEX([8]Sheet1!$H:$H,MATCH(CR:CR,[8]Sheet1!$AU:$AU,0))</f>
        <v>Education</v>
      </c>
    </row>
    <row r="465" spans="1:97" x14ac:dyDescent="0.2">
      <c r="A465" t="s">
        <v>3011</v>
      </c>
      <c r="B465">
        <v>518</v>
      </c>
      <c r="C465" t="s">
        <v>3011</v>
      </c>
      <c r="D465">
        <v>41126</v>
      </c>
      <c r="E465" t="s">
        <v>2430</v>
      </c>
      <c r="F465">
        <v>2700</v>
      </c>
      <c r="G465" t="s">
        <v>656</v>
      </c>
      <c r="H465" t="s">
        <v>2428</v>
      </c>
      <c r="I465" t="s">
        <v>1800</v>
      </c>
      <c r="J465">
        <v>2701</v>
      </c>
      <c r="K465" t="s">
        <v>1800</v>
      </c>
      <c r="L465">
        <v>1200</v>
      </c>
      <c r="M465" t="s">
        <v>1480</v>
      </c>
      <c r="N465">
        <v>1206</v>
      </c>
      <c r="O465" t="s">
        <v>996</v>
      </c>
      <c r="P465" t="s">
        <v>2366</v>
      </c>
      <c r="Q465" t="s">
        <v>2364</v>
      </c>
      <c r="R465" t="s">
        <v>2364</v>
      </c>
      <c r="S465" t="s">
        <v>1881</v>
      </c>
      <c r="T465" t="s">
        <v>1812</v>
      </c>
      <c r="U465" t="s">
        <v>2365</v>
      </c>
      <c r="V465" t="s">
        <v>2365</v>
      </c>
      <c r="W465" t="s">
        <v>2365</v>
      </c>
      <c r="X465" t="s">
        <v>2365</v>
      </c>
      <c r="Y465" t="s">
        <v>2365</v>
      </c>
      <c r="Z465" t="s">
        <v>2365</v>
      </c>
      <c r="AA465" t="s">
        <v>2365</v>
      </c>
      <c r="AB465" t="s">
        <v>2365</v>
      </c>
      <c r="AC465" s="813" t="s">
        <v>2365</v>
      </c>
      <c r="AD465" s="813" t="s">
        <v>2365</v>
      </c>
      <c r="AE465" s="813" t="s">
        <v>2365</v>
      </c>
      <c r="AF465" t="s">
        <v>2365</v>
      </c>
      <c r="AG465" t="s">
        <v>2365</v>
      </c>
      <c r="AH465" t="s">
        <v>2365</v>
      </c>
      <c r="AI465" t="s">
        <v>2365</v>
      </c>
      <c r="AJ465" t="s">
        <v>2365</v>
      </c>
      <c r="AK465" t="s">
        <v>2365</v>
      </c>
      <c r="AL465" t="s">
        <v>2365</v>
      </c>
      <c r="AM465" t="s">
        <v>2365</v>
      </c>
      <c r="AN465" t="s">
        <v>2365</v>
      </c>
      <c r="AR465" t="s">
        <v>2365</v>
      </c>
      <c r="AS465" t="s">
        <v>2365</v>
      </c>
      <c r="AT465" t="s">
        <v>2365</v>
      </c>
      <c r="AU465" t="s">
        <v>2365</v>
      </c>
      <c r="AV465" t="s">
        <v>2365</v>
      </c>
      <c r="AW465" t="s">
        <v>2365</v>
      </c>
      <c r="AX465" t="s">
        <v>2365</v>
      </c>
      <c r="AY465" t="s">
        <v>2365</v>
      </c>
      <c r="AZ465" t="s">
        <v>2365</v>
      </c>
      <c r="BA465" t="s">
        <v>2365</v>
      </c>
      <c r="BB465" t="s">
        <v>2365</v>
      </c>
      <c r="BC465" t="s">
        <v>2365</v>
      </c>
      <c r="BD465" t="s">
        <v>2366</v>
      </c>
      <c r="BE465" t="s">
        <v>2365</v>
      </c>
      <c r="BF465" t="s">
        <v>2365</v>
      </c>
      <c r="BG465" t="s">
        <v>2365</v>
      </c>
      <c r="BH465" t="s">
        <v>2365</v>
      </c>
      <c r="BI465" t="s">
        <v>2366</v>
      </c>
      <c r="BJ465" t="s">
        <v>2365</v>
      </c>
      <c r="BK465" t="s">
        <v>2365</v>
      </c>
      <c r="BL465" t="s">
        <v>2365</v>
      </c>
      <c r="BM465" t="s">
        <v>2365</v>
      </c>
      <c r="BO465">
        <v>1</v>
      </c>
      <c r="BP465">
        <v>15</v>
      </c>
      <c r="BQ465" t="s">
        <v>2369</v>
      </c>
      <c r="BR465" t="s">
        <v>996</v>
      </c>
      <c r="BU465">
        <v>0</v>
      </c>
      <c r="BV465">
        <v>0</v>
      </c>
      <c r="BW465">
        <v>0</v>
      </c>
      <c r="BX465">
        <v>0</v>
      </c>
      <c r="BY465">
        <v>0</v>
      </c>
      <c r="BZ465">
        <v>0</v>
      </c>
      <c r="CA465">
        <v>0</v>
      </c>
      <c r="CB465">
        <v>0</v>
      </c>
      <c r="CC465">
        <v>0</v>
      </c>
      <c r="CD465">
        <v>0</v>
      </c>
      <c r="CE465">
        <v>0</v>
      </c>
      <c r="CF465">
        <v>0</v>
      </c>
      <c r="CG465">
        <v>0</v>
      </c>
      <c r="CH465">
        <v>0</v>
      </c>
      <c r="CI465">
        <v>0</v>
      </c>
      <c r="CJ465">
        <v>0</v>
      </c>
      <c r="CK465">
        <v>0</v>
      </c>
      <c r="CL465">
        <v>0</v>
      </c>
      <c r="CM465">
        <v>0</v>
      </c>
      <c r="CR465" t="s">
        <v>2327</v>
      </c>
      <c r="CS465" s="1369" t="str">
        <f>INDEX([8]Sheet1!$H:$H,MATCH(CR:CR,[8]Sheet1!$AU:$AU,0))</f>
        <v>Education</v>
      </c>
    </row>
    <row r="466" spans="1:97" x14ac:dyDescent="0.2">
      <c r="A466" t="s">
        <v>3012</v>
      </c>
      <c r="B466">
        <v>519</v>
      </c>
      <c r="C466" t="s">
        <v>3012</v>
      </c>
      <c r="D466">
        <v>41127</v>
      </c>
      <c r="E466" t="s">
        <v>2504</v>
      </c>
      <c r="F466">
        <v>2900</v>
      </c>
      <c r="G466" t="s">
        <v>569</v>
      </c>
      <c r="H466" t="s">
        <v>2366</v>
      </c>
      <c r="I466" t="s">
        <v>2366</v>
      </c>
      <c r="J466">
        <v>2904</v>
      </c>
      <c r="K466" t="s">
        <v>1432</v>
      </c>
      <c r="L466">
        <v>1200</v>
      </c>
      <c r="M466" t="s">
        <v>1480</v>
      </c>
      <c r="N466">
        <v>1206</v>
      </c>
      <c r="O466" t="s">
        <v>996</v>
      </c>
      <c r="P466" t="s">
        <v>2366</v>
      </c>
      <c r="Q466" t="s">
        <v>2364</v>
      </c>
      <c r="R466" t="s">
        <v>2364</v>
      </c>
      <c r="S466" t="s">
        <v>1881</v>
      </c>
      <c r="T466" t="s">
        <v>1812</v>
      </c>
      <c r="U466" t="s">
        <v>2365</v>
      </c>
      <c r="V466" t="s">
        <v>2365</v>
      </c>
      <c r="W466" t="s">
        <v>2365</v>
      </c>
      <c r="X466" t="s">
        <v>2365</v>
      </c>
      <c r="Y466" t="s">
        <v>2365</v>
      </c>
      <c r="Z466" t="s">
        <v>2365</v>
      </c>
      <c r="AA466" t="s">
        <v>2365</v>
      </c>
      <c r="AB466" t="s">
        <v>2365</v>
      </c>
      <c r="AC466" s="813" t="s">
        <v>2365</v>
      </c>
      <c r="AD466" s="813" t="s">
        <v>2365</v>
      </c>
      <c r="AE466" s="813" t="s">
        <v>2365</v>
      </c>
      <c r="AF466" t="s">
        <v>2365</v>
      </c>
      <c r="AG466" t="s">
        <v>2365</v>
      </c>
      <c r="AH466" t="s">
        <v>2365</v>
      </c>
      <c r="AI466" t="s">
        <v>2365</v>
      </c>
      <c r="AJ466" t="s">
        <v>2365</v>
      </c>
      <c r="AK466" t="s">
        <v>2365</v>
      </c>
      <c r="AL466" t="s">
        <v>2365</v>
      </c>
      <c r="AM466" t="s">
        <v>2365</v>
      </c>
      <c r="AN466" t="s">
        <v>2365</v>
      </c>
      <c r="AR466" t="s">
        <v>2365</v>
      </c>
      <c r="AS466" t="s">
        <v>2365</v>
      </c>
      <c r="AT466" t="s">
        <v>2365</v>
      </c>
      <c r="AU466" t="s">
        <v>2365</v>
      </c>
      <c r="AV466" t="s">
        <v>2365</v>
      </c>
      <c r="AW466" t="s">
        <v>2365</v>
      </c>
      <c r="AX466" t="s">
        <v>2365</v>
      </c>
      <c r="AY466" t="s">
        <v>2365</v>
      </c>
      <c r="AZ466" t="s">
        <v>2365</v>
      </c>
      <c r="BA466" t="s">
        <v>2365</v>
      </c>
      <c r="BB466" t="s">
        <v>2365</v>
      </c>
      <c r="BC466" t="s">
        <v>2365</v>
      </c>
      <c r="BD466" t="s">
        <v>2366</v>
      </c>
      <c r="BE466" t="s">
        <v>2365</v>
      </c>
      <c r="BF466" t="s">
        <v>2365</v>
      </c>
      <c r="BG466" t="s">
        <v>2365</v>
      </c>
      <c r="BH466" t="s">
        <v>2365</v>
      </c>
      <c r="BI466" t="s">
        <v>2366</v>
      </c>
      <c r="BJ466" t="s">
        <v>2365</v>
      </c>
      <c r="BK466" t="s">
        <v>2365</v>
      </c>
      <c r="BL466" t="s">
        <v>2365</v>
      </c>
      <c r="BM466" t="s">
        <v>2365</v>
      </c>
      <c r="BO466">
        <v>1</v>
      </c>
      <c r="BP466">
        <v>15</v>
      </c>
      <c r="BQ466" t="s">
        <v>2369</v>
      </c>
      <c r="BR466" t="s">
        <v>996</v>
      </c>
      <c r="BU466">
        <v>0</v>
      </c>
      <c r="BV466">
        <v>0</v>
      </c>
      <c r="BW466">
        <v>0</v>
      </c>
      <c r="BX466">
        <v>0</v>
      </c>
      <c r="BY466">
        <v>0</v>
      </c>
      <c r="BZ466">
        <v>0</v>
      </c>
      <c r="CA466">
        <v>0</v>
      </c>
      <c r="CB466">
        <v>0</v>
      </c>
      <c r="CC466">
        <v>0</v>
      </c>
      <c r="CD466">
        <v>0</v>
      </c>
      <c r="CE466">
        <v>0</v>
      </c>
      <c r="CF466">
        <v>0</v>
      </c>
      <c r="CG466">
        <v>0</v>
      </c>
      <c r="CH466">
        <v>0</v>
      </c>
      <c r="CI466">
        <v>0</v>
      </c>
      <c r="CJ466">
        <v>0</v>
      </c>
      <c r="CK466">
        <v>0</v>
      </c>
      <c r="CL466">
        <v>0</v>
      </c>
      <c r="CM466">
        <v>0</v>
      </c>
      <c r="CR466" t="s">
        <v>2328</v>
      </c>
      <c r="CS466" s="1369" t="str">
        <f>INDEX([8]Sheet1!$H:$H,MATCH(CR:CR,[8]Sheet1!$AU:$AU,0))</f>
        <v>Water Distribution</v>
      </c>
    </row>
    <row r="467" spans="1:97" x14ac:dyDescent="0.2">
      <c r="A467" t="s">
        <v>3013</v>
      </c>
      <c r="B467">
        <v>520</v>
      </c>
      <c r="C467" t="s">
        <v>3013</v>
      </c>
      <c r="D467">
        <v>41128</v>
      </c>
      <c r="E467" t="s">
        <v>2911</v>
      </c>
      <c r="F467">
        <v>2900</v>
      </c>
      <c r="G467" t="s">
        <v>569</v>
      </c>
      <c r="H467" t="s">
        <v>2366</v>
      </c>
      <c r="I467" t="s">
        <v>2366</v>
      </c>
      <c r="J467">
        <v>2904</v>
      </c>
      <c r="K467" t="s">
        <v>1432</v>
      </c>
      <c r="L467">
        <v>1200</v>
      </c>
      <c r="M467" t="s">
        <v>1480</v>
      </c>
      <c r="N467">
        <v>1206</v>
      </c>
      <c r="O467" t="s">
        <v>996</v>
      </c>
      <c r="P467" t="s">
        <v>2366</v>
      </c>
      <c r="Q467" t="s">
        <v>2364</v>
      </c>
      <c r="R467" t="s">
        <v>2364</v>
      </c>
      <c r="S467" t="s">
        <v>1881</v>
      </c>
      <c r="T467" t="s">
        <v>1812</v>
      </c>
      <c r="U467" t="s">
        <v>2365</v>
      </c>
      <c r="V467" t="s">
        <v>2365</v>
      </c>
      <c r="W467" t="s">
        <v>2365</v>
      </c>
      <c r="X467" t="s">
        <v>2365</v>
      </c>
      <c r="Y467" t="s">
        <v>2365</v>
      </c>
      <c r="Z467" t="s">
        <v>2365</v>
      </c>
      <c r="AA467" t="s">
        <v>2365</v>
      </c>
      <c r="AB467" t="s">
        <v>2365</v>
      </c>
      <c r="AC467" s="813" t="s">
        <v>2365</v>
      </c>
      <c r="AD467" s="813" t="s">
        <v>2365</v>
      </c>
      <c r="AE467" s="813" t="s">
        <v>2365</v>
      </c>
      <c r="AF467" t="s">
        <v>2365</v>
      </c>
      <c r="AG467" t="s">
        <v>2365</v>
      </c>
      <c r="AH467" t="s">
        <v>2365</v>
      </c>
      <c r="AI467" t="s">
        <v>2365</v>
      </c>
      <c r="AJ467" t="s">
        <v>2365</v>
      </c>
      <c r="AK467" t="s">
        <v>2365</v>
      </c>
      <c r="AL467" t="s">
        <v>2365</v>
      </c>
      <c r="AM467" t="s">
        <v>2365</v>
      </c>
      <c r="AN467" t="s">
        <v>2365</v>
      </c>
      <c r="AR467" t="s">
        <v>2365</v>
      </c>
      <c r="AS467" t="s">
        <v>2365</v>
      </c>
      <c r="AT467" t="s">
        <v>2365</v>
      </c>
      <c r="AU467" t="s">
        <v>2365</v>
      </c>
      <c r="AV467" t="s">
        <v>2365</v>
      </c>
      <c r="AW467" t="s">
        <v>2365</v>
      </c>
      <c r="AX467" t="s">
        <v>2365</v>
      </c>
      <c r="AY467" t="s">
        <v>2365</v>
      </c>
      <c r="AZ467" t="s">
        <v>2365</v>
      </c>
      <c r="BA467" t="s">
        <v>2365</v>
      </c>
      <c r="BB467" t="s">
        <v>2365</v>
      </c>
      <c r="BC467" t="s">
        <v>2365</v>
      </c>
      <c r="BD467" t="s">
        <v>2366</v>
      </c>
      <c r="BE467" t="s">
        <v>2365</v>
      </c>
      <c r="BF467" t="s">
        <v>2365</v>
      </c>
      <c r="BG467" t="s">
        <v>2365</v>
      </c>
      <c r="BH467" t="s">
        <v>2365</v>
      </c>
      <c r="BI467" t="s">
        <v>2366</v>
      </c>
      <c r="BJ467" t="s">
        <v>2365</v>
      </c>
      <c r="BK467" t="s">
        <v>2365</v>
      </c>
      <c r="BL467" t="s">
        <v>2365</v>
      </c>
      <c r="BM467" t="s">
        <v>2365</v>
      </c>
      <c r="BO467">
        <v>1</v>
      </c>
      <c r="BP467">
        <v>15</v>
      </c>
      <c r="BQ467" t="s">
        <v>2369</v>
      </c>
      <c r="BR467" t="s">
        <v>996</v>
      </c>
      <c r="BU467">
        <v>0</v>
      </c>
      <c r="BV467">
        <v>0</v>
      </c>
      <c r="BW467">
        <v>0</v>
      </c>
      <c r="BX467">
        <v>0</v>
      </c>
      <c r="BY467">
        <v>0</v>
      </c>
      <c r="BZ467">
        <v>0</v>
      </c>
      <c r="CA467">
        <v>0</v>
      </c>
      <c r="CB467">
        <v>0</v>
      </c>
      <c r="CC467">
        <v>0</v>
      </c>
      <c r="CD467">
        <v>0</v>
      </c>
      <c r="CE467">
        <v>0</v>
      </c>
      <c r="CF467">
        <v>0</v>
      </c>
      <c r="CG467">
        <v>0</v>
      </c>
      <c r="CH467">
        <v>0</v>
      </c>
      <c r="CI467">
        <v>0</v>
      </c>
      <c r="CJ467">
        <v>0</v>
      </c>
      <c r="CK467">
        <v>0</v>
      </c>
      <c r="CL467">
        <v>0</v>
      </c>
      <c r="CM467">
        <v>0</v>
      </c>
      <c r="CR467" t="s">
        <v>2341</v>
      </c>
      <c r="CS467" s="1369" t="str">
        <f>INDEX([8]Sheet1!$H:$H,MATCH(CR:CR,[8]Sheet1!$AU:$AU,0))</f>
        <v>Recreational Facilities</v>
      </c>
    </row>
    <row r="468" spans="1:97" x14ac:dyDescent="0.2">
      <c r="A468" t="s">
        <v>3014</v>
      </c>
      <c r="B468">
        <v>521</v>
      </c>
      <c r="C468" t="s">
        <v>3014</v>
      </c>
      <c r="D468">
        <v>41129</v>
      </c>
      <c r="E468" t="s">
        <v>2508</v>
      </c>
      <c r="F468">
        <v>2900</v>
      </c>
      <c r="G468" t="s">
        <v>569</v>
      </c>
      <c r="H468" t="s">
        <v>2366</v>
      </c>
      <c r="I468" t="s">
        <v>2366</v>
      </c>
      <c r="J468">
        <v>2904</v>
      </c>
      <c r="K468" t="s">
        <v>1432</v>
      </c>
      <c r="L468">
        <v>1200</v>
      </c>
      <c r="M468" t="s">
        <v>1480</v>
      </c>
      <c r="N468">
        <v>1206</v>
      </c>
      <c r="O468" t="s">
        <v>996</v>
      </c>
      <c r="P468" t="s">
        <v>2366</v>
      </c>
      <c r="Q468" t="s">
        <v>2364</v>
      </c>
      <c r="R468" t="s">
        <v>2364</v>
      </c>
      <c r="S468" t="s">
        <v>1881</v>
      </c>
      <c r="T468" t="s">
        <v>1812</v>
      </c>
      <c r="U468" t="s">
        <v>2365</v>
      </c>
      <c r="V468" t="s">
        <v>2365</v>
      </c>
      <c r="W468" t="s">
        <v>2365</v>
      </c>
      <c r="X468" t="s">
        <v>2365</v>
      </c>
      <c r="Y468" t="s">
        <v>2365</v>
      </c>
      <c r="Z468" t="s">
        <v>2365</v>
      </c>
      <c r="AA468" t="s">
        <v>2365</v>
      </c>
      <c r="AB468" t="s">
        <v>2365</v>
      </c>
      <c r="AC468" s="813" t="s">
        <v>2365</v>
      </c>
      <c r="AD468" s="813" t="s">
        <v>2365</v>
      </c>
      <c r="AE468" s="813" t="s">
        <v>2365</v>
      </c>
      <c r="AF468" t="s">
        <v>2365</v>
      </c>
      <c r="AG468" t="s">
        <v>2365</v>
      </c>
      <c r="AH468" t="s">
        <v>2365</v>
      </c>
      <c r="AI468" t="s">
        <v>2365</v>
      </c>
      <c r="AJ468" t="s">
        <v>2365</v>
      </c>
      <c r="AK468" t="s">
        <v>2365</v>
      </c>
      <c r="AL468" t="s">
        <v>2365</v>
      </c>
      <c r="AM468" t="s">
        <v>2365</v>
      </c>
      <c r="AN468" t="s">
        <v>2365</v>
      </c>
      <c r="AR468" t="s">
        <v>2365</v>
      </c>
      <c r="AS468" t="s">
        <v>2365</v>
      </c>
      <c r="AT468" t="s">
        <v>2365</v>
      </c>
      <c r="AU468" t="s">
        <v>2365</v>
      </c>
      <c r="AV468" t="s">
        <v>2365</v>
      </c>
      <c r="AW468" t="s">
        <v>2365</v>
      </c>
      <c r="AX468" t="s">
        <v>2365</v>
      </c>
      <c r="AY468" t="s">
        <v>2365</v>
      </c>
      <c r="AZ468" t="s">
        <v>2365</v>
      </c>
      <c r="BA468" t="s">
        <v>2365</v>
      </c>
      <c r="BB468" t="s">
        <v>2365</v>
      </c>
      <c r="BC468" t="s">
        <v>2365</v>
      </c>
      <c r="BD468" t="s">
        <v>2366</v>
      </c>
      <c r="BE468" t="s">
        <v>2365</v>
      </c>
      <c r="BF468" t="s">
        <v>2365</v>
      </c>
      <c r="BG468" t="s">
        <v>2365</v>
      </c>
      <c r="BH468" t="s">
        <v>2365</v>
      </c>
      <c r="BI468" t="s">
        <v>2366</v>
      </c>
      <c r="BJ468" t="s">
        <v>2365</v>
      </c>
      <c r="BK468" t="s">
        <v>2365</v>
      </c>
      <c r="BL468" t="s">
        <v>2365</v>
      </c>
      <c r="BM468" t="s">
        <v>2365</v>
      </c>
      <c r="BO468">
        <v>1</v>
      </c>
      <c r="BP468">
        <v>15</v>
      </c>
      <c r="BQ468" t="s">
        <v>2369</v>
      </c>
      <c r="BR468" t="s">
        <v>996</v>
      </c>
      <c r="BU468">
        <v>0</v>
      </c>
      <c r="BV468">
        <v>0</v>
      </c>
      <c r="BW468">
        <v>0</v>
      </c>
      <c r="BX468">
        <v>0</v>
      </c>
      <c r="BY468">
        <v>0</v>
      </c>
      <c r="BZ468">
        <v>0</v>
      </c>
      <c r="CA468">
        <v>0</v>
      </c>
      <c r="CB468">
        <v>3260.64</v>
      </c>
      <c r="CC468">
        <v>0</v>
      </c>
      <c r="CD468">
        <v>0</v>
      </c>
      <c r="CE468">
        <v>0</v>
      </c>
      <c r="CF468">
        <v>0</v>
      </c>
      <c r="CG468">
        <v>-3260.64</v>
      </c>
      <c r="CH468">
        <v>0</v>
      </c>
      <c r="CI468">
        <v>0</v>
      </c>
      <c r="CJ468">
        <v>0</v>
      </c>
      <c r="CK468">
        <v>0</v>
      </c>
      <c r="CL468">
        <v>0</v>
      </c>
      <c r="CM468">
        <v>0</v>
      </c>
      <c r="CR468" t="s">
        <v>2341</v>
      </c>
      <c r="CS468" s="1369" t="str">
        <f>INDEX([8]Sheet1!$H:$H,MATCH(CR:CR,[8]Sheet1!$AU:$AU,0))</f>
        <v>Recreational Facilities</v>
      </c>
    </row>
    <row r="469" spans="1:97" x14ac:dyDescent="0.2">
      <c r="A469" t="s">
        <v>3015</v>
      </c>
      <c r="B469">
        <v>522</v>
      </c>
      <c r="C469" t="s">
        <v>3015</v>
      </c>
      <c r="D469">
        <v>41130</v>
      </c>
      <c r="E469" t="s">
        <v>2510</v>
      </c>
      <c r="F469">
        <v>2900</v>
      </c>
      <c r="G469" t="s">
        <v>569</v>
      </c>
      <c r="H469" t="s">
        <v>2366</v>
      </c>
      <c r="I469" t="s">
        <v>2366</v>
      </c>
      <c r="J469">
        <v>2904</v>
      </c>
      <c r="K469" t="s">
        <v>1432</v>
      </c>
      <c r="L469">
        <v>1200</v>
      </c>
      <c r="M469" t="s">
        <v>1480</v>
      </c>
      <c r="N469">
        <v>1206</v>
      </c>
      <c r="O469" t="s">
        <v>996</v>
      </c>
      <c r="P469" t="s">
        <v>2366</v>
      </c>
      <c r="Q469" t="s">
        <v>2364</v>
      </c>
      <c r="R469" t="s">
        <v>2364</v>
      </c>
      <c r="S469" t="s">
        <v>1881</v>
      </c>
      <c r="T469" t="s">
        <v>1812</v>
      </c>
      <c r="U469" t="s">
        <v>2365</v>
      </c>
      <c r="V469" t="s">
        <v>2365</v>
      </c>
      <c r="W469" t="s">
        <v>2365</v>
      </c>
      <c r="X469" t="s">
        <v>2365</v>
      </c>
      <c r="Y469" t="s">
        <v>2365</v>
      </c>
      <c r="Z469" t="s">
        <v>2365</v>
      </c>
      <c r="AA469" t="s">
        <v>2365</v>
      </c>
      <c r="AB469" t="s">
        <v>2365</v>
      </c>
      <c r="AC469" s="813" t="s">
        <v>2365</v>
      </c>
      <c r="AD469" s="813" t="s">
        <v>2365</v>
      </c>
      <c r="AE469" s="813" t="s">
        <v>2365</v>
      </c>
      <c r="AF469" t="s">
        <v>2365</v>
      </c>
      <c r="AG469" t="s">
        <v>2365</v>
      </c>
      <c r="AH469" t="s">
        <v>2365</v>
      </c>
      <c r="AI469" t="s">
        <v>2365</v>
      </c>
      <c r="AJ469" t="s">
        <v>2365</v>
      </c>
      <c r="AK469" t="s">
        <v>2365</v>
      </c>
      <c r="AL469" t="s">
        <v>2365</v>
      </c>
      <c r="AM469" t="s">
        <v>2365</v>
      </c>
      <c r="AN469" t="s">
        <v>2365</v>
      </c>
      <c r="AR469" t="s">
        <v>2365</v>
      </c>
      <c r="AS469" t="s">
        <v>2365</v>
      </c>
      <c r="AT469" t="s">
        <v>2365</v>
      </c>
      <c r="AU469" t="s">
        <v>2365</v>
      </c>
      <c r="AV469" t="s">
        <v>2365</v>
      </c>
      <c r="AW469" t="s">
        <v>2365</v>
      </c>
      <c r="AX469" t="s">
        <v>2365</v>
      </c>
      <c r="AY469" t="s">
        <v>2365</v>
      </c>
      <c r="AZ469" t="s">
        <v>2365</v>
      </c>
      <c r="BA469" t="s">
        <v>2365</v>
      </c>
      <c r="BB469" t="s">
        <v>2365</v>
      </c>
      <c r="BC469" t="s">
        <v>2365</v>
      </c>
      <c r="BD469" t="s">
        <v>2366</v>
      </c>
      <c r="BE469" t="s">
        <v>2365</v>
      </c>
      <c r="BF469" t="s">
        <v>2365</v>
      </c>
      <c r="BG469" t="s">
        <v>2365</v>
      </c>
      <c r="BH469" t="s">
        <v>2365</v>
      </c>
      <c r="BI469" t="s">
        <v>2366</v>
      </c>
      <c r="BJ469" t="s">
        <v>2365</v>
      </c>
      <c r="BK469" t="s">
        <v>2365</v>
      </c>
      <c r="BL469" t="s">
        <v>2365</v>
      </c>
      <c r="BM469" t="s">
        <v>2365</v>
      </c>
      <c r="BO469">
        <v>1</v>
      </c>
      <c r="BP469">
        <v>15</v>
      </c>
      <c r="BQ469" t="s">
        <v>2369</v>
      </c>
      <c r="BR469" t="s">
        <v>996</v>
      </c>
      <c r="BU469">
        <v>0</v>
      </c>
      <c r="BV469">
        <v>0</v>
      </c>
      <c r="BW469">
        <v>0</v>
      </c>
      <c r="BX469">
        <v>0</v>
      </c>
      <c r="BY469">
        <v>0</v>
      </c>
      <c r="BZ469">
        <v>0</v>
      </c>
      <c r="CA469">
        <v>0</v>
      </c>
      <c r="CB469">
        <v>0</v>
      </c>
      <c r="CC469">
        <v>0</v>
      </c>
      <c r="CD469">
        <v>0</v>
      </c>
      <c r="CE469">
        <v>0</v>
      </c>
      <c r="CF469">
        <v>0</v>
      </c>
      <c r="CG469">
        <v>0</v>
      </c>
      <c r="CH469">
        <v>0</v>
      </c>
      <c r="CI469">
        <v>0</v>
      </c>
      <c r="CJ469">
        <v>0</v>
      </c>
      <c r="CK469">
        <v>0</v>
      </c>
      <c r="CL469">
        <v>0</v>
      </c>
      <c r="CM469">
        <v>0</v>
      </c>
      <c r="CR469" t="s">
        <v>2341</v>
      </c>
      <c r="CS469" s="1369" t="str">
        <f>INDEX([8]Sheet1!$H:$H,MATCH(CR:CR,[8]Sheet1!$AU:$AU,0))</f>
        <v>Recreational Facilities</v>
      </c>
    </row>
    <row r="470" spans="1:97" x14ac:dyDescent="0.2">
      <c r="A470" t="s">
        <v>3016</v>
      </c>
      <c r="B470">
        <v>523</v>
      </c>
      <c r="C470" t="s">
        <v>3016</v>
      </c>
      <c r="D470">
        <v>41131</v>
      </c>
      <c r="E470" t="s">
        <v>3010</v>
      </c>
      <c r="F470">
        <v>2700</v>
      </c>
      <c r="G470" t="s">
        <v>656</v>
      </c>
      <c r="H470" t="s">
        <v>2428</v>
      </c>
      <c r="I470" t="s">
        <v>1800</v>
      </c>
      <c r="J470">
        <v>2701</v>
      </c>
      <c r="K470" t="s">
        <v>1800</v>
      </c>
      <c r="L470">
        <v>1200</v>
      </c>
      <c r="M470" t="s">
        <v>1480</v>
      </c>
      <c r="N470">
        <v>1206</v>
      </c>
      <c r="O470" t="s">
        <v>996</v>
      </c>
      <c r="P470" t="s">
        <v>2366</v>
      </c>
      <c r="Q470" t="s">
        <v>2364</v>
      </c>
      <c r="R470" t="s">
        <v>2364</v>
      </c>
      <c r="S470" t="s">
        <v>1881</v>
      </c>
      <c r="T470" t="s">
        <v>1812</v>
      </c>
      <c r="U470" t="s">
        <v>2365</v>
      </c>
      <c r="V470" t="s">
        <v>2365</v>
      </c>
      <c r="W470" t="s">
        <v>2365</v>
      </c>
      <c r="X470" t="s">
        <v>2365</v>
      </c>
      <c r="Y470" t="s">
        <v>2365</v>
      </c>
      <c r="Z470" t="s">
        <v>2365</v>
      </c>
      <c r="AA470" t="s">
        <v>2365</v>
      </c>
      <c r="AB470" t="s">
        <v>2365</v>
      </c>
      <c r="AC470" s="813" t="s">
        <v>2365</v>
      </c>
      <c r="AD470" s="813" t="s">
        <v>2365</v>
      </c>
      <c r="AE470" s="813" t="s">
        <v>2365</v>
      </c>
      <c r="AF470" t="s">
        <v>2365</v>
      </c>
      <c r="AG470" t="s">
        <v>2365</v>
      </c>
      <c r="AH470" t="s">
        <v>2365</v>
      </c>
      <c r="AI470" t="s">
        <v>2365</v>
      </c>
      <c r="AJ470" t="s">
        <v>2365</v>
      </c>
      <c r="AK470" t="s">
        <v>2365</v>
      </c>
      <c r="AL470" t="s">
        <v>2365</v>
      </c>
      <c r="AM470" t="s">
        <v>2365</v>
      </c>
      <c r="AN470" t="s">
        <v>2365</v>
      </c>
      <c r="AR470" t="s">
        <v>2365</v>
      </c>
      <c r="AS470" t="s">
        <v>2365</v>
      </c>
      <c r="AT470" t="s">
        <v>2365</v>
      </c>
      <c r="AU470" t="s">
        <v>2365</v>
      </c>
      <c r="AV470" t="s">
        <v>2365</v>
      </c>
      <c r="AW470" t="s">
        <v>2365</v>
      </c>
      <c r="AX470" t="s">
        <v>2365</v>
      </c>
      <c r="AY470" t="s">
        <v>2365</v>
      </c>
      <c r="AZ470" t="s">
        <v>2365</v>
      </c>
      <c r="BA470" t="s">
        <v>2365</v>
      </c>
      <c r="BB470" t="s">
        <v>2365</v>
      </c>
      <c r="BC470" t="s">
        <v>2365</v>
      </c>
      <c r="BD470" t="s">
        <v>2366</v>
      </c>
      <c r="BE470" t="s">
        <v>2365</v>
      </c>
      <c r="BF470" t="s">
        <v>2365</v>
      </c>
      <c r="BG470" t="s">
        <v>2365</v>
      </c>
      <c r="BH470" t="s">
        <v>2365</v>
      </c>
      <c r="BI470" t="s">
        <v>2366</v>
      </c>
      <c r="BJ470" t="s">
        <v>2365</v>
      </c>
      <c r="BK470" t="s">
        <v>2365</v>
      </c>
      <c r="BL470" t="s">
        <v>2365</v>
      </c>
      <c r="BM470" t="s">
        <v>2365</v>
      </c>
      <c r="BO470">
        <v>1</v>
      </c>
      <c r="BP470">
        <v>15</v>
      </c>
      <c r="BQ470" t="s">
        <v>2369</v>
      </c>
      <c r="BR470" t="s">
        <v>996</v>
      </c>
      <c r="BU470">
        <v>0</v>
      </c>
      <c r="BV470">
        <v>0</v>
      </c>
      <c r="BW470">
        <v>0</v>
      </c>
      <c r="BX470">
        <v>0</v>
      </c>
      <c r="BY470">
        <v>0</v>
      </c>
      <c r="BZ470">
        <v>0</v>
      </c>
      <c r="CA470">
        <v>0</v>
      </c>
      <c r="CB470">
        <v>0</v>
      </c>
      <c r="CC470">
        <v>0</v>
      </c>
      <c r="CD470">
        <v>0</v>
      </c>
      <c r="CE470">
        <v>0</v>
      </c>
      <c r="CF470">
        <v>0</v>
      </c>
      <c r="CG470">
        <v>0</v>
      </c>
      <c r="CH470">
        <v>0</v>
      </c>
      <c r="CI470">
        <v>0</v>
      </c>
      <c r="CJ470">
        <v>0</v>
      </c>
      <c r="CK470">
        <v>0</v>
      </c>
      <c r="CL470">
        <v>0</v>
      </c>
      <c r="CM470">
        <v>0</v>
      </c>
      <c r="CR470" t="s">
        <v>2341</v>
      </c>
      <c r="CS470" s="1369" t="str">
        <f>INDEX([8]Sheet1!$H:$H,MATCH(CR:CR,[8]Sheet1!$AU:$AU,0))</f>
        <v>Recreational Facilities</v>
      </c>
    </row>
    <row r="471" spans="1:97" x14ac:dyDescent="0.2">
      <c r="A471" t="s">
        <v>3017</v>
      </c>
      <c r="B471">
        <v>524</v>
      </c>
      <c r="C471" t="s">
        <v>3017</v>
      </c>
      <c r="D471">
        <v>41132</v>
      </c>
      <c r="E471" t="s">
        <v>2430</v>
      </c>
      <c r="F471">
        <v>2700</v>
      </c>
      <c r="G471" t="s">
        <v>656</v>
      </c>
      <c r="H471" t="s">
        <v>2428</v>
      </c>
      <c r="I471" t="s">
        <v>1800</v>
      </c>
      <c r="J471">
        <v>2701</v>
      </c>
      <c r="K471" t="s">
        <v>1800</v>
      </c>
      <c r="L471">
        <v>1200</v>
      </c>
      <c r="M471" t="s">
        <v>1480</v>
      </c>
      <c r="N471">
        <v>1206</v>
      </c>
      <c r="O471" t="s">
        <v>996</v>
      </c>
      <c r="P471" t="s">
        <v>2366</v>
      </c>
      <c r="Q471" t="s">
        <v>2364</v>
      </c>
      <c r="R471" t="s">
        <v>2364</v>
      </c>
      <c r="S471" t="s">
        <v>1881</v>
      </c>
      <c r="T471" t="s">
        <v>1812</v>
      </c>
      <c r="U471" t="s">
        <v>2365</v>
      </c>
      <c r="V471" t="s">
        <v>2365</v>
      </c>
      <c r="W471" t="s">
        <v>2365</v>
      </c>
      <c r="X471" t="s">
        <v>2365</v>
      </c>
      <c r="Y471" t="s">
        <v>2365</v>
      </c>
      <c r="Z471" t="s">
        <v>2365</v>
      </c>
      <c r="AA471" t="s">
        <v>2365</v>
      </c>
      <c r="AB471" t="s">
        <v>2365</v>
      </c>
      <c r="AC471" s="813" t="s">
        <v>2365</v>
      </c>
      <c r="AD471" s="813" t="s">
        <v>2365</v>
      </c>
      <c r="AE471" s="813" t="s">
        <v>2365</v>
      </c>
      <c r="AF471" t="s">
        <v>2365</v>
      </c>
      <c r="AG471" t="s">
        <v>2365</v>
      </c>
      <c r="AH471" t="s">
        <v>2365</v>
      </c>
      <c r="AI471" t="s">
        <v>2365</v>
      </c>
      <c r="AJ471" t="s">
        <v>2365</v>
      </c>
      <c r="AK471" t="s">
        <v>2365</v>
      </c>
      <c r="AL471" t="s">
        <v>2365</v>
      </c>
      <c r="AM471" t="s">
        <v>2365</v>
      </c>
      <c r="AN471" t="s">
        <v>2365</v>
      </c>
      <c r="AR471" t="s">
        <v>2365</v>
      </c>
      <c r="AS471" t="s">
        <v>2365</v>
      </c>
      <c r="AT471" t="s">
        <v>2365</v>
      </c>
      <c r="AU471" t="s">
        <v>2365</v>
      </c>
      <c r="AV471" t="s">
        <v>2365</v>
      </c>
      <c r="AW471" t="s">
        <v>2365</v>
      </c>
      <c r="AX471" t="s">
        <v>2365</v>
      </c>
      <c r="AY471" t="s">
        <v>2365</v>
      </c>
      <c r="AZ471" t="s">
        <v>2365</v>
      </c>
      <c r="BA471" t="s">
        <v>2365</v>
      </c>
      <c r="BB471" t="s">
        <v>2365</v>
      </c>
      <c r="BC471" t="s">
        <v>2365</v>
      </c>
      <c r="BD471" t="s">
        <v>2366</v>
      </c>
      <c r="BE471" t="s">
        <v>2365</v>
      </c>
      <c r="BF471" t="s">
        <v>2365</v>
      </c>
      <c r="BG471" t="s">
        <v>2365</v>
      </c>
      <c r="BH471" t="s">
        <v>2365</v>
      </c>
      <c r="BI471" t="s">
        <v>2366</v>
      </c>
      <c r="BJ471" t="s">
        <v>2365</v>
      </c>
      <c r="BK471" t="s">
        <v>2365</v>
      </c>
      <c r="BL471" t="s">
        <v>2365</v>
      </c>
      <c r="BM471" t="s">
        <v>2365</v>
      </c>
      <c r="BO471">
        <v>1</v>
      </c>
      <c r="BP471">
        <v>15</v>
      </c>
      <c r="BQ471" t="s">
        <v>2369</v>
      </c>
      <c r="BR471" t="s">
        <v>996</v>
      </c>
      <c r="BU471">
        <v>0</v>
      </c>
      <c r="BV471">
        <v>0</v>
      </c>
      <c r="BW471">
        <v>0</v>
      </c>
      <c r="BX471">
        <v>0</v>
      </c>
      <c r="BY471">
        <v>0</v>
      </c>
      <c r="BZ471">
        <v>0</v>
      </c>
      <c r="CA471">
        <v>0</v>
      </c>
      <c r="CB471">
        <v>0</v>
      </c>
      <c r="CC471">
        <v>0</v>
      </c>
      <c r="CD471">
        <v>0</v>
      </c>
      <c r="CE471">
        <v>0</v>
      </c>
      <c r="CF471">
        <v>0</v>
      </c>
      <c r="CG471">
        <v>0</v>
      </c>
      <c r="CH471">
        <v>0</v>
      </c>
      <c r="CI471">
        <v>0</v>
      </c>
      <c r="CJ471">
        <v>0</v>
      </c>
      <c r="CK471">
        <v>0</v>
      </c>
      <c r="CL471">
        <v>0</v>
      </c>
      <c r="CM471">
        <v>0</v>
      </c>
      <c r="CR471" t="s">
        <v>2341</v>
      </c>
      <c r="CS471" s="1369" t="str">
        <f>INDEX([8]Sheet1!$H:$H,MATCH(CR:CR,[8]Sheet1!$AU:$AU,0))</f>
        <v>Recreational Facilities</v>
      </c>
    </row>
    <row r="472" spans="1:97" x14ac:dyDescent="0.2">
      <c r="A472" t="s">
        <v>3018</v>
      </c>
      <c r="B472">
        <v>525</v>
      </c>
      <c r="C472" t="s">
        <v>3018</v>
      </c>
      <c r="D472">
        <v>41133</v>
      </c>
      <c r="E472" t="s">
        <v>2504</v>
      </c>
      <c r="F472">
        <v>2900</v>
      </c>
      <c r="G472" t="s">
        <v>569</v>
      </c>
      <c r="H472" t="s">
        <v>2366</v>
      </c>
      <c r="I472" t="s">
        <v>2366</v>
      </c>
      <c r="J472">
        <v>2904</v>
      </c>
      <c r="K472" t="s">
        <v>1432</v>
      </c>
      <c r="L472">
        <v>1200</v>
      </c>
      <c r="M472" t="s">
        <v>1480</v>
      </c>
      <c r="N472">
        <v>1206</v>
      </c>
      <c r="O472" t="s">
        <v>996</v>
      </c>
      <c r="P472" t="s">
        <v>2366</v>
      </c>
      <c r="Q472" t="s">
        <v>2364</v>
      </c>
      <c r="R472" t="s">
        <v>2364</v>
      </c>
      <c r="S472" t="s">
        <v>1881</v>
      </c>
      <c r="T472" t="s">
        <v>1812</v>
      </c>
      <c r="U472" t="s">
        <v>2365</v>
      </c>
      <c r="V472" t="s">
        <v>2365</v>
      </c>
      <c r="W472" t="s">
        <v>2365</v>
      </c>
      <c r="X472" t="s">
        <v>2365</v>
      </c>
      <c r="Y472" t="s">
        <v>2365</v>
      </c>
      <c r="Z472" t="s">
        <v>2365</v>
      </c>
      <c r="AA472" t="s">
        <v>2365</v>
      </c>
      <c r="AB472" t="s">
        <v>2365</v>
      </c>
      <c r="AC472" s="813" t="s">
        <v>2365</v>
      </c>
      <c r="AD472" s="813" t="s">
        <v>2365</v>
      </c>
      <c r="AE472" s="813" t="s">
        <v>2365</v>
      </c>
      <c r="AF472" t="s">
        <v>2365</v>
      </c>
      <c r="AG472" t="s">
        <v>2365</v>
      </c>
      <c r="AH472" t="s">
        <v>2365</v>
      </c>
      <c r="AI472" t="s">
        <v>2365</v>
      </c>
      <c r="AJ472" t="s">
        <v>2365</v>
      </c>
      <c r="AK472" t="s">
        <v>2365</v>
      </c>
      <c r="AL472" t="s">
        <v>2365</v>
      </c>
      <c r="AM472" t="s">
        <v>2365</v>
      </c>
      <c r="AN472" t="s">
        <v>2365</v>
      </c>
      <c r="AR472" t="s">
        <v>2365</v>
      </c>
      <c r="AS472" t="s">
        <v>2365</v>
      </c>
      <c r="AT472" t="s">
        <v>2365</v>
      </c>
      <c r="AU472" t="s">
        <v>2365</v>
      </c>
      <c r="AV472" t="s">
        <v>2365</v>
      </c>
      <c r="AW472" t="s">
        <v>2365</v>
      </c>
      <c r="AX472" t="s">
        <v>2365</v>
      </c>
      <c r="AY472" t="s">
        <v>2365</v>
      </c>
      <c r="AZ472" t="s">
        <v>2365</v>
      </c>
      <c r="BA472" t="s">
        <v>2365</v>
      </c>
      <c r="BB472" t="s">
        <v>2365</v>
      </c>
      <c r="BC472" t="s">
        <v>2365</v>
      </c>
      <c r="BD472" t="s">
        <v>2366</v>
      </c>
      <c r="BE472" t="s">
        <v>2365</v>
      </c>
      <c r="BF472" t="s">
        <v>2365</v>
      </c>
      <c r="BG472" t="s">
        <v>2365</v>
      </c>
      <c r="BH472" t="s">
        <v>2365</v>
      </c>
      <c r="BI472" t="s">
        <v>2366</v>
      </c>
      <c r="BJ472" t="s">
        <v>2365</v>
      </c>
      <c r="BK472" t="s">
        <v>2365</v>
      </c>
      <c r="BL472" t="s">
        <v>2365</v>
      </c>
      <c r="BM472" t="s">
        <v>2365</v>
      </c>
      <c r="BO472">
        <v>1</v>
      </c>
      <c r="BP472">
        <v>15</v>
      </c>
      <c r="BQ472" t="s">
        <v>2369</v>
      </c>
      <c r="BR472" t="s">
        <v>996</v>
      </c>
      <c r="BU472">
        <v>0</v>
      </c>
      <c r="BV472">
        <v>0</v>
      </c>
      <c r="BW472">
        <v>0</v>
      </c>
      <c r="BX472">
        <v>0</v>
      </c>
      <c r="BY472">
        <v>0</v>
      </c>
      <c r="BZ472">
        <v>0</v>
      </c>
      <c r="CA472">
        <v>0</v>
      </c>
      <c r="CB472">
        <v>0</v>
      </c>
      <c r="CC472">
        <v>0</v>
      </c>
      <c r="CD472">
        <v>0</v>
      </c>
      <c r="CE472">
        <v>0</v>
      </c>
      <c r="CF472">
        <v>0</v>
      </c>
      <c r="CG472">
        <v>0</v>
      </c>
      <c r="CH472">
        <v>0</v>
      </c>
      <c r="CI472">
        <v>0</v>
      </c>
      <c r="CJ472">
        <v>0</v>
      </c>
      <c r="CK472">
        <v>0</v>
      </c>
      <c r="CL472">
        <v>0</v>
      </c>
      <c r="CM472">
        <v>0</v>
      </c>
      <c r="CR472" t="s">
        <v>2341</v>
      </c>
      <c r="CS472" s="1369" t="str">
        <f>INDEX([8]Sheet1!$H:$H,MATCH(CR:CR,[8]Sheet1!$AU:$AU,0))</f>
        <v>Recreational Facilities</v>
      </c>
    </row>
    <row r="473" spans="1:97" x14ac:dyDescent="0.2">
      <c r="A473" t="s">
        <v>3019</v>
      </c>
      <c r="B473">
        <v>526</v>
      </c>
      <c r="C473" t="s">
        <v>3019</v>
      </c>
      <c r="D473">
        <v>41134</v>
      </c>
      <c r="E473" t="s">
        <v>2911</v>
      </c>
      <c r="F473">
        <v>2900</v>
      </c>
      <c r="G473" t="s">
        <v>569</v>
      </c>
      <c r="H473" t="s">
        <v>2366</v>
      </c>
      <c r="I473" t="s">
        <v>2366</v>
      </c>
      <c r="J473">
        <v>2904</v>
      </c>
      <c r="K473" t="s">
        <v>1432</v>
      </c>
      <c r="L473">
        <v>1200</v>
      </c>
      <c r="M473" t="s">
        <v>1480</v>
      </c>
      <c r="N473">
        <v>1206</v>
      </c>
      <c r="O473" t="s">
        <v>996</v>
      </c>
      <c r="P473" t="s">
        <v>2366</v>
      </c>
      <c r="Q473" t="s">
        <v>2364</v>
      </c>
      <c r="R473" t="s">
        <v>2364</v>
      </c>
      <c r="S473" t="s">
        <v>1881</v>
      </c>
      <c r="T473" t="s">
        <v>1812</v>
      </c>
      <c r="U473" t="s">
        <v>2365</v>
      </c>
      <c r="V473" t="s">
        <v>2365</v>
      </c>
      <c r="W473" t="s">
        <v>2365</v>
      </c>
      <c r="X473" t="s">
        <v>2365</v>
      </c>
      <c r="Y473" t="s">
        <v>2365</v>
      </c>
      <c r="Z473" t="s">
        <v>2365</v>
      </c>
      <c r="AA473" t="s">
        <v>2365</v>
      </c>
      <c r="AB473" t="s">
        <v>2365</v>
      </c>
      <c r="AC473" s="813" t="s">
        <v>2365</v>
      </c>
      <c r="AD473" s="813" t="s">
        <v>2365</v>
      </c>
      <c r="AE473" s="813" t="s">
        <v>2365</v>
      </c>
      <c r="AF473" t="s">
        <v>2365</v>
      </c>
      <c r="AG473" t="s">
        <v>2365</v>
      </c>
      <c r="AH473" t="s">
        <v>2365</v>
      </c>
      <c r="AI473" t="s">
        <v>2365</v>
      </c>
      <c r="AJ473" t="s">
        <v>2365</v>
      </c>
      <c r="AK473" t="s">
        <v>2365</v>
      </c>
      <c r="AL473" t="s">
        <v>2365</v>
      </c>
      <c r="AM473" t="s">
        <v>2365</v>
      </c>
      <c r="AN473" t="s">
        <v>2365</v>
      </c>
      <c r="AR473" t="s">
        <v>2365</v>
      </c>
      <c r="AS473" t="s">
        <v>2365</v>
      </c>
      <c r="AT473" t="s">
        <v>2365</v>
      </c>
      <c r="AU473" t="s">
        <v>2365</v>
      </c>
      <c r="AV473" t="s">
        <v>2365</v>
      </c>
      <c r="AW473" t="s">
        <v>2365</v>
      </c>
      <c r="AX473" t="s">
        <v>2365</v>
      </c>
      <c r="AY473" t="s">
        <v>2365</v>
      </c>
      <c r="AZ473" t="s">
        <v>2365</v>
      </c>
      <c r="BA473" t="s">
        <v>2365</v>
      </c>
      <c r="BB473" t="s">
        <v>2365</v>
      </c>
      <c r="BC473" t="s">
        <v>2365</v>
      </c>
      <c r="BD473" t="s">
        <v>2366</v>
      </c>
      <c r="BE473" t="s">
        <v>2365</v>
      </c>
      <c r="BF473" t="s">
        <v>2365</v>
      </c>
      <c r="BG473" t="s">
        <v>2365</v>
      </c>
      <c r="BH473" t="s">
        <v>2365</v>
      </c>
      <c r="BI473" t="s">
        <v>2366</v>
      </c>
      <c r="BJ473" t="s">
        <v>2365</v>
      </c>
      <c r="BK473" t="s">
        <v>2365</v>
      </c>
      <c r="BL473" t="s">
        <v>2365</v>
      </c>
      <c r="BM473" t="s">
        <v>2365</v>
      </c>
      <c r="BO473">
        <v>1</v>
      </c>
      <c r="BP473">
        <v>15</v>
      </c>
      <c r="BQ473" t="s">
        <v>2369</v>
      </c>
      <c r="BR473" t="s">
        <v>996</v>
      </c>
      <c r="BU473">
        <v>0</v>
      </c>
      <c r="BV473">
        <v>0</v>
      </c>
      <c r="BW473">
        <v>0</v>
      </c>
      <c r="BX473">
        <v>0</v>
      </c>
      <c r="BY473">
        <v>0</v>
      </c>
      <c r="BZ473">
        <v>0</v>
      </c>
      <c r="CA473">
        <v>0</v>
      </c>
      <c r="CB473">
        <v>0</v>
      </c>
      <c r="CC473">
        <v>0</v>
      </c>
      <c r="CD473">
        <v>0</v>
      </c>
      <c r="CE473">
        <v>0</v>
      </c>
      <c r="CF473">
        <v>0</v>
      </c>
      <c r="CG473">
        <v>0</v>
      </c>
      <c r="CH473">
        <v>0</v>
      </c>
      <c r="CI473">
        <v>0</v>
      </c>
      <c r="CJ473">
        <v>0</v>
      </c>
      <c r="CK473">
        <v>0</v>
      </c>
      <c r="CL473">
        <v>0</v>
      </c>
      <c r="CM473">
        <v>0</v>
      </c>
      <c r="CR473" t="s">
        <v>2341</v>
      </c>
      <c r="CS473" s="1369" t="str">
        <f>INDEX([8]Sheet1!$H:$H,MATCH(CR:CR,[8]Sheet1!$AU:$AU,0))</f>
        <v>Recreational Facilities</v>
      </c>
    </row>
    <row r="474" spans="1:97" x14ac:dyDescent="0.2">
      <c r="A474" t="s">
        <v>3020</v>
      </c>
      <c r="B474">
        <v>527</v>
      </c>
      <c r="C474" t="s">
        <v>3020</v>
      </c>
      <c r="D474">
        <v>41135</v>
      </c>
      <c r="E474" t="s">
        <v>2508</v>
      </c>
      <c r="F474">
        <v>2900</v>
      </c>
      <c r="G474" t="s">
        <v>569</v>
      </c>
      <c r="H474" t="s">
        <v>2366</v>
      </c>
      <c r="I474" t="s">
        <v>2366</v>
      </c>
      <c r="J474">
        <v>2904</v>
      </c>
      <c r="K474" t="s">
        <v>1432</v>
      </c>
      <c r="L474">
        <v>1200</v>
      </c>
      <c r="M474" t="s">
        <v>1480</v>
      </c>
      <c r="N474">
        <v>1206</v>
      </c>
      <c r="O474" t="s">
        <v>996</v>
      </c>
      <c r="P474" t="s">
        <v>2366</v>
      </c>
      <c r="Q474" t="s">
        <v>2364</v>
      </c>
      <c r="R474" t="s">
        <v>2364</v>
      </c>
      <c r="S474" t="s">
        <v>1881</v>
      </c>
      <c r="T474" t="s">
        <v>1812</v>
      </c>
      <c r="U474" t="s">
        <v>2365</v>
      </c>
      <c r="V474" t="s">
        <v>2365</v>
      </c>
      <c r="W474" t="s">
        <v>2365</v>
      </c>
      <c r="X474" t="s">
        <v>2365</v>
      </c>
      <c r="Y474" t="s">
        <v>2365</v>
      </c>
      <c r="Z474" t="s">
        <v>2365</v>
      </c>
      <c r="AA474" t="s">
        <v>2365</v>
      </c>
      <c r="AB474" t="s">
        <v>2365</v>
      </c>
      <c r="AC474" s="813" t="s">
        <v>2365</v>
      </c>
      <c r="AD474" s="813" t="s">
        <v>2365</v>
      </c>
      <c r="AE474" s="813" t="s">
        <v>2365</v>
      </c>
      <c r="AF474" t="s">
        <v>2365</v>
      </c>
      <c r="AG474" t="s">
        <v>2365</v>
      </c>
      <c r="AH474" t="s">
        <v>2365</v>
      </c>
      <c r="AI474" t="s">
        <v>2365</v>
      </c>
      <c r="AJ474" t="s">
        <v>2365</v>
      </c>
      <c r="AK474" t="s">
        <v>2365</v>
      </c>
      <c r="AL474" t="s">
        <v>2365</v>
      </c>
      <c r="AM474" t="s">
        <v>2365</v>
      </c>
      <c r="AN474" t="s">
        <v>2365</v>
      </c>
      <c r="AR474" t="s">
        <v>2365</v>
      </c>
      <c r="AS474" t="s">
        <v>2365</v>
      </c>
      <c r="AT474" t="s">
        <v>2365</v>
      </c>
      <c r="AU474" t="s">
        <v>2365</v>
      </c>
      <c r="AV474" t="s">
        <v>2365</v>
      </c>
      <c r="AW474" t="s">
        <v>2365</v>
      </c>
      <c r="AX474" t="s">
        <v>2365</v>
      </c>
      <c r="AY474" t="s">
        <v>2365</v>
      </c>
      <c r="AZ474" t="s">
        <v>2365</v>
      </c>
      <c r="BA474" t="s">
        <v>2365</v>
      </c>
      <c r="BB474" t="s">
        <v>2365</v>
      </c>
      <c r="BC474" t="s">
        <v>2365</v>
      </c>
      <c r="BD474" t="s">
        <v>2366</v>
      </c>
      <c r="BE474" t="s">
        <v>2365</v>
      </c>
      <c r="BF474" t="s">
        <v>2365</v>
      </c>
      <c r="BG474" t="s">
        <v>2365</v>
      </c>
      <c r="BH474" t="s">
        <v>2365</v>
      </c>
      <c r="BI474" t="s">
        <v>2366</v>
      </c>
      <c r="BJ474" t="s">
        <v>2365</v>
      </c>
      <c r="BK474" t="s">
        <v>2365</v>
      </c>
      <c r="BL474" t="s">
        <v>2365</v>
      </c>
      <c r="BM474" t="s">
        <v>2365</v>
      </c>
      <c r="BO474">
        <v>1</v>
      </c>
      <c r="BP474">
        <v>15</v>
      </c>
      <c r="BQ474" t="s">
        <v>2369</v>
      </c>
      <c r="BR474" t="s">
        <v>996</v>
      </c>
      <c r="BU474">
        <v>0</v>
      </c>
      <c r="BV474">
        <v>0</v>
      </c>
      <c r="BW474">
        <v>0</v>
      </c>
      <c r="BX474">
        <v>0</v>
      </c>
      <c r="BY474">
        <v>0</v>
      </c>
      <c r="BZ474">
        <v>0</v>
      </c>
      <c r="CA474">
        <v>0</v>
      </c>
      <c r="CB474">
        <v>0</v>
      </c>
      <c r="CC474">
        <v>0</v>
      </c>
      <c r="CD474">
        <v>0</v>
      </c>
      <c r="CE474">
        <v>0</v>
      </c>
      <c r="CF474">
        <v>0</v>
      </c>
      <c r="CG474">
        <v>0</v>
      </c>
      <c r="CH474">
        <v>0</v>
      </c>
      <c r="CI474">
        <v>0</v>
      </c>
      <c r="CJ474">
        <v>0</v>
      </c>
      <c r="CK474">
        <v>0</v>
      </c>
      <c r="CL474">
        <v>0</v>
      </c>
      <c r="CM474">
        <v>0</v>
      </c>
      <c r="CR474" t="s">
        <v>2341</v>
      </c>
      <c r="CS474" s="1369" t="str">
        <f>INDEX([8]Sheet1!$H:$H,MATCH(CR:CR,[8]Sheet1!$AU:$AU,0))</f>
        <v>Recreational Facilities</v>
      </c>
    </row>
    <row r="475" spans="1:97" x14ac:dyDescent="0.2">
      <c r="A475" t="s">
        <v>3021</v>
      </c>
      <c r="B475">
        <v>528</v>
      </c>
      <c r="C475" t="s">
        <v>3021</v>
      </c>
      <c r="D475">
        <v>41136</v>
      </c>
      <c r="E475" t="s">
        <v>2510</v>
      </c>
      <c r="F475">
        <v>2900</v>
      </c>
      <c r="G475" t="s">
        <v>569</v>
      </c>
      <c r="H475" t="s">
        <v>2366</v>
      </c>
      <c r="I475" t="s">
        <v>2366</v>
      </c>
      <c r="J475">
        <v>2904</v>
      </c>
      <c r="K475" t="s">
        <v>1432</v>
      </c>
      <c r="L475">
        <v>1200</v>
      </c>
      <c r="M475" t="s">
        <v>1480</v>
      </c>
      <c r="N475">
        <v>1206</v>
      </c>
      <c r="O475" t="s">
        <v>996</v>
      </c>
      <c r="P475" t="s">
        <v>2366</v>
      </c>
      <c r="Q475" t="s">
        <v>2364</v>
      </c>
      <c r="R475" t="s">
        <v>2364</v>
      </c>
      <c r="S475" t="s">
        <v>1881</v>
      </c>
      <c r="T475" t="s">
        <v>1812</v>
      </c>
      <c r="U475" t="s">
        <v>2365</v>
      </c>
      <c r="V475" t="s">
        <v>2365</v>
      </c>
      <c r="W475" t="s">
        <v>2365</v>
      </c>
      <c r="X475" t="s">
        <v>2365</v>
      </c>
      <c r="Y475" t="s">
        <v>2365</v>
      </c>
      <c r="Z475" t="s">
        <v>2365</v>
      </c>
      <c r="AA475" t="s">
        <v>2365</v>
      </c>
      <c r="AB475" t="s">
        <v>2365</v>
      </c>
      <c r="AC475" s="813" t="s">
        <v>2365</v>
      </c>
      <c r="AD475" s="813" t="s">
        <v>2365</v>
      </c>
      <c r="AE475" s="813" t="s">
        <v>2365</v>
      </c>
      <c r="AF475" t="s">
        <v>2365</v>
      </c>
      <c r="AG475" t="s">
        <v>2365</v>
      </c>
      <c r="AH475" t="s">
        <v>2365</v>
      </c>
      <c r="AI475" t="s">
        <v>2365</v>
      </c>
      <c r="AJ475" t="s">
        <v>2365</v>
      </c>
      <c r="AK475" t="s">
        <v>2365</v>
      </c>
      <c r="AL475" t="s">
        <v>2365</v>
      </c>
      <c r="AM475" t="s">
        <v>2365</v>
      </c>
      <c r="AN475" t="s">
        <v>2365</v>
      </c>
      <c r="AR475" t="s">
        <v>2365</v>
      </c>
      <c r="AS475" t="s">
        <v>2365</v>
      </c>
      <c r="AT475" t="s">
        <v>2365</v>
      </c>
      <c r="AU475" t="s">
        <v>2365</v>
      </c>
      <c r="AV475" t="s">
        <v>2365</v>
      </c>
      <c r="AW475" t="s">
        <v>2365</v>
      </c>
      <c r="AX475" t="s">
        <v>2365</v>
      </c>
      <c r="AY475" t="s">
        <v>2365</v>
      </c>
      <c r="AZ475" t="s">
        <v>2365</v>
      </c>
      <c r="BA475" t="s">
        <v>2365</v>
      </c>
      <c r="BB475" t="s">
        <v>2365</v>
      </c>
      <c r="BC475" t="s">
        <v>2365</v>
      </c>
      <c r="BD475" t="s">
        <v>2366</v>
      </c>
      <c r="BE475" t="s">
        <v>2365</v>
      </c>
      <c r="BF475" t="s">
        <v>2365</v>
      </c>
      <c r="BG475" t="s">
        <v>2365</v>
      </c>
      <c r="BH475" t="s">
        <v>2365</v>
      </c>
      <c r="BI475" t="s">
        <v>2366</v>
      </c>
      <c r="BJ475" t="s">
        <v>2365</v>
      </c>
      <c r="BK475" t="s">
        <v>2365</v>
      </c>
      <c r="BL475" t="s">
        <v>2365</v>
      </c>
      <c r="BM475" t="s">
        <v>2365</v>
      </c>
      <c r="BO475">
        <v>1</v>
      </c>
      <c r="BP475">
        <v>15</v>
      </c>
      <c r="BQ475" t="s">
        <v>2369</v>
      </c>
      <c r="BR475" t="s">
        <v>996</v>
      </c>
      <c r="BU475">
        <v>0</v>
      </c>
      <c r="BV475">
        <v>0</v>
      </c>
      <c r="BW475">
        <v>0</v>
      </c>
      <c r="BX475">
        <v>0</v>
      </c>
      <c r="BY475">
        <v>0</v>
      </c>
      <c r="BZ475">
        <v>0</v>
      </c>
      <c r="CA475">
        <v>0</v>
      </c>
      <c r="CB475">
        <v>0</v>
      </c>
      <c r="CC475">
        <v>0</v>
      </c>
      <c r="CD475">
        <v>0</v>
      </c>
      <c r="CE475">
        <v>0</v>
      </c>
      <c r="CF475">
        <v>0</v>
      </c>
      <c r="CG475">
        <v>0</v>
      </c>
      <c r="CH475">
        <v>0</v>
      </c>
      <c r="CI475">
        <v>0</v>
      </c>
      <c r="CJ475">
        <v>0</v>
      </c>
      <c r="CK475">
        <v>0</v>
      </c>
      <c r="CL475">
        <v>0</v>
      </c>
      <c r="CM475">
        <v>0</v>
      </c>
      <c r="CR475" t="s">
        <v>2328</v>
      </c>
      <c r="CS475" s="1369" t="str">
        <f>INDEX([8]Sheet1!$H:$H,MATCH(CR:CR,[8]Sheet1!$AU:$AU,0))</f>
        <v>Water Distribution</v>
      </c>
    </row>
    <row r="476" spans="1:97" x14ac:dyDescent="0.2">
      <c r="A476" t="s">
        <v>3022</v>
      </c>
      <c r="B476">
        <v>529</v>
      </c>
      <c r="C476" t="s">
        <v>3022</v>
      </c>
      <c r="D476">
        <v>41137</v>
      </c>
      <c r="E476" t="s">
        <v>3010</v>
      </c>
      <c r="F476">
        <v>2700</v>
      </c>
      <c r="G476" t="s">
        <v>656</v>
      </c>
      <c r="H476" t="s">
        <v>2428</v>
      </c>
      <c r="I476" t="s">
        <v>1800</v>
      </c>
      <c r="J476">
        <v>2701</v>
      </c>
      <c r="K476" t="s">
        <v>1800</v>
      </c>
      <c r="L476">
        <v>1200</v>
      </c>
      <c r="M476" t="s">
        <v>1480</v>
      </c>
      <c r="N476">
        <v>1206</v>
      </c>
      <c r="O476" t="s">
        <v>996</v>
      </c>
      <c r="P476" t="s">
        <v>2366</v>
      </c>
      <c r="Q476" t="s">
        <v>2364</v>
      </c>
      <c r="R476" t="s">
        <v>2364</v>
      </c>
      <c r="S476" t="s">
        <v>1881</v>
      </c>
      <c r="T476" t="s">
        <v>1812</v>
      </c>
      <c r="U476" t="s">
        <v>2365</v>
      </c>
      <c r="V476" t="s">
        <v>2365</v>
      </c>
      <c r="W476" t="s">
        <v>2365</v>
      </c>
      <c r="X476" t="s">
        <v>2365</v>
      </c>
      <c r="Y476" t="s">
        <v>2365</v>
      </c>
      <c r="Z476" t="s">
        <v>2365</v>
      </c>
      <c r="AA476" t="s">
        <v>2365</v>
      </c>
      <c r="AB476" t="s">
        <v>2365</v>
      </c>
      <c r="AC476" s="813" t="s">
        <v>2365</v>
      </c>
      <c r="AD476" s="813" t="s">
        <v>2365</v>
      </c>
      <c r="AE476" s="813" t="s">
        <v>2365</v>
      </c>
      <c r="AF476" t="s">
        <v>2365</v>
      </c>
      <c r="AG476" t="s">
        <v>2365</v>
      </c>
      <c r="AH476" t="s">
        <v>2365</v>
      </c>
      <c r="AI476" t="s">
        <v>2365</v>
      </c>
      <c r="AJ476" t="s">
        <v>2365</v>
      </c>
      <c r="AK476" t="s">
        <v>2365</v>
      </c>
      <c r="AL476" t="s">
        <v>2365</v>
      </c>
      <c r="AM476" t="s">
        <v>2365</v>
      </c>
      <c r="AN476" t="s">
        <v>2365</v>
      </c>
      <c r="AR476" t="s">
        <v>2365</v>
      </c>
      <c r="AS476" t="s">
        <v>2365</v>
      </c>
      <c r="AT476" t="s">
        <v>2365</v>
      </c>
      <c r="AU476" t="s">
        <v>2365</v>
      </c>
      <c r="AV476" t="s">
        <v>2365</v>
      </c>
      <c r="AW476" t="s">
        <v>2365</v>
      </c>
      <c r="AX476" t="s">
        <v>2365</v>
      </c>
      <c r="AY476" t="s">
        <v>2365</v>
      </c>
      <c r="AZ476" t="s">
        <v>2365</v>
      </c>
      <c r="BA476" t="s">
        <v>2365</v>
      </c>
      <c r="BB476" t="s">
        <v>2365</v>
      </c>
      <c r="BC476" t="s">
        <v>2365</v>
      </c>
      <c r="BD476" t="s">
        <v>2366</v>
      </c>
      <c r="BE476" t="s">
        <v>2365</v>
      </c>
      <c r="BF476" t="s">
        <v>2365</v>
      </c>
      <c r="BG476" t="s">
        <v>2365</v>
      </c>
      <c r="BH476" t="s">
        <v>2365</v>
      </c>
      <c r="BI476" t="s">
        <v>2366</v>
      </c>
      <c r="BJ476" t="s">
        <v>2365</v>
      </c>
      <c r="BK476" t="s">
        <v>2365</v>
      </c>
      <c r="BL476" t="s">
        <v>2365</v>
      </c>
      <c r="BM476" t="s">
        <v>2365</v>
      </c>
      <c r="BO476">
        <v>1</v>
      </c>
      <c r="BP476">
        <v>15</v>
      </c>
      <c r="BQ476" t="s">
        <v>2369</v>
      </c>
      <c r="BR476" t="s">
        <v>996</v>
      </c>
      <c r="BU476">
        <v>0</v>
      </c>
      <c r="BV476">
        <v>0</v>
      </c>
      <c r="BW476">
        <v>0</v>
      </c>
      <c r="BX476">
        <v>0</v>
      </c>
      <c r="BY476">
        <v>0</v>
      </c>
      <c r="BZ476">
        <v>0</v>
      </c>
      <c r="CA476">
        <v>0</v>
      </c>
      <c r="CB476">
        <v>0</v>
      </c>
      <c r="CC476">
        <v>0</v>
      </c>
      <c r="CD476">
        <v>0</v>
      </c>
      <c r="CE476">
        <v>0</v>
      </c>
      <c r="CF476">
        <v>0</v>
      </c>
      <c r="CG476">
        <v>0</v>
      </c>
      <c r="CH476">
        <v>0</v>
      </c>
      <c r="CI476">
        <v>0</v>
      </c>
      <c r="CJ476">
        <v>0</v>
      </c>
      <c r="CK476">
        <v>0</v>
      </c>
      <c r="CL476">
        <v>0</v>
      </c>
      <c r="CM476">
        <v>0</v>
      </c>
      <c r="CR476" t="s">
        <v>2342</v>
      </c>
      <c r="CS476" s="1369" t="str">
        <f>INDEX([8]Sheet1!$H:$H,MATCH(CR:CR,[8]Sheet1!$AU:$AU,0))</f>
        <v>Cultural Matters</v>
      </c>
    </row>
    <row r="477" spans="1:97" x14ac:dyDescent="0.2">
      <c r="A477" t="s">
        <v>3023</v>
      </c>
      <c r="B477">
        <v>530</v>
      </c>
      <c r="C477" t="s">
        <v>3023</v>
      </c>
      <c r="D477">
        <v>41138</v>
      </c>
      <c r="E477" t="s">
        <v>2430</v>
      </c>
      <c r="F477">
        <v>2700</v>
      </c>
      <c r="G477" t="s">
        <v>656</v>
      </c>
      <c r="H477" t="s">
        <v>2428</v>
      </c>
      <c r="I477" t="s">
        <v>1800</v>
      </c>
      <c r="J477">
        <v>2701</v>
      </c>
      <c r="K477" t="s">
        <v>1800</v>
      </c>
      <c r="L477">
        <v>1200</v>
      </c>
      <c r="M477" t="s">
        <v>1480</v>
      </c>
      <c r="N477">
        <v>1206</v>
      </c>
      <c r="O477" t="s">
        <v>996</v>
      </c>
      <c r="P477" t="s">
        <v>2366</v>
      </c>
      <c r="Q477" t="s">
        <v>2364</v>
      </c>
      <c r="R477" t="s">
        <v>2364</v>
      </c>
      <c r="S477" t="s">
        <v>1881</v>
      </c>
      <c r="T477" t="s">
        <v>1812</v>
      </c>
      <c r="U477" t="s">
        <v>2365</v>
      </c>
      <c r="V477" t="s">
        <v>2365</v>
      </c>
      <c r="W477" t="s">
        <v>2365</v>
      </c>
      <c r="X477" t="s">
        <v>2365</v>
      </c>
      <c r="Y477" t="s">
        <v>2365</v>
      </c>
      <c r="Z477" t="s">
        <v>2365</v>
      </c>
      <c r="AA477" t="s">
        <v>2365</v>
      </c>
      <c r="AB477" t="s">
        <v>2365</v>
      </c>
      <c r="AC477" s="813" t="s">
        <v>2365</v>
      </c>
      <c r="AD477" s="813" t="s">
        <v>2365</v>
      </c>
      <c r="AE477" s="813" t="s">
        <v>2365</v>
      </c>
      <c r="AF477" t="s">
        <v>2365</v>
      </c>
      <c r="AG477" t="s">
        <v>2365</v>
      </c>
      <c r="AH477" t="s">
        <v>2365</v>
      </c>
      <c r="AI477" t="s">
        <v>2365</v>
      </c>
      <c r="AJ477" t="s">
        <v>2365</v>
      </c>
      <c r="AK477" t="s">
        <v>2365</v>
      </c>
      <c r="AL477" t="s">
        <v>2365</v>
      </c>
      <c r="AM477" t="s">
        <v>2365</v>
      </c>
      <c r="AN477" t="s">
        <v>2365</v>
      </c>
      <c r="AR477" t="s">
        <v>2365</v>
      </c>
      <c r="AS477" t="s">
        <v>2365</v>
      </c>
      <c r="AT477" t="s">
        <v>2365</v>
      </c>
      <c r="AU477" t="s">
        <v>2365</v>
      </c>
      <c r="AV477" t="s">
        <v>2365</v>
      </c>
      <c r="AW477" t="s">
        <v>2365</v>
      </c>
      <c r="AX477" t="s">
        <v>2365</v>
      </c>
      <c r="AY477" t="s">
        <v>2365</v>
      </c>
      <c r="AZ477" t="s">
        <v>2365</v>
      </c>
      <c r="BA477" t="s">
        <v>2365</v>
      </c>
      <c r="BB477" t="s">
        <v>2365</v>
      </c>
      <c r="BC477" t="s">
        <v>2365</v>
      </c>
      <c r="BD477" t="s">
        <v>2366</v>
      </c>
      <c r="BE477" t="s">
        <v>2365</v>
      </c>
      <c r="BF477" t="s">
        <v>2365</v>
      </c>
      <c r="BG477" t="s">
        <v>2365</v>
      </c>
      <c r="BH477" t="s">
        <v>2365</v>
      </c>
      <c r="BI477" t="s">
        <v>2366</v>
      </c>
      <c r="BJ477" t="s">
        <v>2365</v>
      </c>
      <c r="BK477" t="s">
        <v>2365</v>
      </c>
      <c r="BL477" t="s">
        <v>2365</v>
      </c>
      <c r="BM477" t="s">
        <v>2365</v>
      </c>
      <c r="BO477">
        <v>1</v>
      </c>
      <c r="BP477">
        <v>15</v>
      </c>
      <c r="BQ477" t="s">
        <v>2369</v>
      </c>
      <c r="BR477" t="s">
        <v>996</v>
      </c>
      <c r="BU477">
        <v>0</v>
      </c>
      <c r="BV477">
        <v>0</v>
      </c>
      <c r="BW477">
        <v>0</v>
      </c>
      <c r="BX477">
        <v>0</v>
      </c>
      <c r="BY477">
        <v>0</v>
      </c>
      <c r="BZ477">
        <v>0</v>
      </c>
      <c r="CA477">
        <v>0</v>
      </c>
      <c r="CB477">
        <v>0</v>
      </c>
      <c r="CC477">
        <v>0</v>
      </c>
      <c r="CD477">
        <v>0</v>
      </c>
      <c r="CE477">
        <v>0</v>
      </c>
      <c r="CF477">
        <v>0</v>
      </c>
      <c r="CG477">
        <v>0</v>
      </c>
      <c r="CH477">
        <v>0</v>
      </c>
      <c r="CI477">
        <v>0</v>
      </c>
      <c r="CJ477">
        <v>0</v>
      </c>
      <c r="CK477">
        <v>0</v>
      </c>
      <c r="CL477">
        <v>0</v>
      </c>
      <c r="CM477">
        <v>0</v>
      </c>
      <c r="CR477" t="s">
        <v>2342</v>
      </c>
      <c r="CS477" s="1369" t="str">
        <f>INDEX([8]Sheet1!$H:$H,MATCH(CR:CR,[8]Sheet1!$AU:$AU,0))</f>
        <v>Cultural Matters</v>
      </c>
    </row>
    <row r="478" spans="1:97" x14ac:dyDescent="0.2">
      <c r="A478" t="s">
        <v>3024</v>
      </c>
      <c r="B478">
        <v>531</v>
      </c>
      <c r="C478" t="s">
        <v>3024</v>
      </c>
      <c r="D478">
        <v>41120</v>
      </c>
      <c r="E478" t="s">
        <v>3025</v>
      </c>
      <c r="F478">
        <v>2900</v>
      </c>
      <c r="G478" t="s">
        <v>569</v>
      </c>
      <c r="H478" t="s">
        <v>2366</v>
      </c>
      <c r="I478" t="s">
        <v>2366</v>
      </c>
      <c r="J478">
        <v>2904</v>
      </c>
      <c r="K478" t="s">
        <v>1432</v>
      </c>
      <c r="L478">
        <v>1200</v>
      </c>
      <c r="M478" t="s">
        <v>1480</v>
      </c>
      <c r="N478">
        <v>1206</v>
      </c>
      <c r="O478" t="s">
        <v>996</v>
      </c>
      <c r="P478" t="s">
        <v>2366</v>
      </c>
      <c r="Q478" t="s">
        <v>2364</v>
      </c>
      <c r="R478" t="s">
        <v>2364</v>
      </c>
      <c r="S478" t="s">
        <v>1881</v>
      </c>
      <c r="T478" t="s">
        <v>1812</v>
      </c>
      <c r="U478" t="s">
        <v>2365</v>
      </c>
      <c r="V478" t="s">
        <v>2365</v>
      </c>
      <c r="W478" t="s">
        <v>2365</v>
      </c>
      <c r="X478" t="s">
        <v>2365</v>
      </c>
      <c r="Y478" t="s">
        <v>2365</v>
      </c>
      <c r="Z478" t="s">
        <v>2365</v>
      </c>
      <c r="AA478" t="s">
        <v>2365</v>
      </c>
      <c r="AB478" t="s">
        <v>2365</v>
      </c>
      <c r="AC478" s="813" t="s">
        <v>2365</v>
      </c>
      <c r="AD478" s="813" t="s">
        <v>2365</v>
      </c>
      <c r="AE478" s="813" t="s">
        <v>2365</v>
      </c>
      <c r="AF478" t="s">
        <v>2365</v>
      </c>
      <c r="AG478" t="s">
        <v>2365</v>
      </c>
      <c r="AH478" t="s">
        <v>2365</v>
      </c>
      <c r="AI478" t="s">
        <v>2365</v>
      </c>
      <c r="AJ478" t="s">
        <v>2365</v>
      </c>
      <c r="AK478" t="s">
        <v>2365</v>
      </c>
      <c r="AL478" t="s">
        <v>2365</v>
      </c>
      <c r="AM478" t="s">
        <v>2365</v>
      </c>
      <c r="AN478" t="s">
        <v>2365</v>
      </c>
      <c r="AR478" t="s">
        <v>2365</v>
      </c>
      <c r="AS478" t="s">
        <v>2365</v>
      </c>
      <c r="AT478" t="s">
        <v>2365</v>
      </c>
      <c r="AU478" t="s">
        <v>2365</v>
      </c>
      <c r="AV478" t="s">
        <v>2365</v>
      </c>
      <c r="AW478" t="s">
        <v>2365</v>
      </c>
      <c r="AX478" t="s">
        <v>2365</v>
      </c>
      <c r="AY478" t="s">
        <v>2365</v>
      </c>
      <c r="AZ478" t="s">
        <v>2365</v>
      </c>
      <c r="BA478" t="s">
        <v>2365</v>
      </c>
      <c r="BB478" t="s">
        <v>2365</v>
      </c>
      <c r="BC478" t="s">
        <v>2365</v>
      </c>
      <c r="BD478" t="s">
        <v>2366</v>
      </c>
      <c r="BE478" t="s">
        <v>2365</v>
      </c>
      <c r="BF478" t="s">
        <v>2365</v>
      </c>
      <c r="BG478" t="s">
        <v>2365</v>
      </c>
      <c r="BH478" t="s">
        <v>2365</v>
      </c>
      <c r="BI478" t="s">
        <v>2366</v>
      </c>
      <c r="BJ478" t="s">
        <v>2365</v>
      </c>
      <c r="BK478" t="s">
        <v>2365</v>
      </c>
      <c r="BL478" t="s">
        <v>2365</v>
      </c>
      <c r="BM478" t="s">
        <v>2365</v>
      </c>
      <c r="BO478">
        <v>1</v>
      </c>
      <c r="BP478">
        <v>15</v>
      </c>
      <c r="BQ478" t="s">
        <v>2369</v>
      </c>
      <c r="BR478" t="s">
        <v>996</v>
      </c>
      <c r="BU478">
        <v>0</v>
      </c>
      <c r="BV478">
        <v>0</v>
      </c>
      <c r="BW478">
        <v>0</v>
      </c>
      <c r="BX478">
        <v>0</v>
      </c>
      <c r="BY478">
        <v>0</v>
      </c>
      <c r="BZ478">
        <v>0</v>
      </c>
      <c r="CA478">
        <v>0</v>
      </c>
      <c r="CB478">
        <v>0</v>
      </c>
      <c r="CC478">
        <v>0</v>
      </c>
      <c r="CD478">
        <v>0</v>
      </c>
      <c r="CE478">
        <v>0</v>
      </c>
      <c r="CF478">
        <v>0</v>
      </c>
      <c r="CG478">
        <v>0</v>
      </c>
      <c r="CH478">
        <v>0</v>
      </c>
      <c r="CI478">
        <v>0</v>
      </c>
      <c r="CJ478">
        <v>0</v>
      </c>
      <c r="CK478">
        <v>0</v>
      </c>
      <c r="CL478">
        <v>0</v>
      </c>
      <c r="CM478">
        <v>0</v>
      </c>
      <c r="CR478" t="s">
        <v>2342</v>
      </c>
      <c r="CS478" s="1369" t="str">
        <f>INDEX([8]Sheet1!$H:$H,MATCH(CR:CR,[8]Sheet1!$AU:$AU,0))</f>
        <v>Cultural Matters</v>
      </c>
    </row>
    <row r="479" spans="1:97" x14ac:dyDescent="0.2">
      <c r="A479" t="s">
        <v>3026</v>
      </c>
      <c r="B479">
        <v>532</v>
      </c>
      <c r="C479" t="s">
        <v>3026</v>
      </c>
      <c r="D479">
        <v>30601</v>
      </c>
      <c r="E479" t="s">
        <v>3027</v>
      </c>
      <c r="F479">
        <v>200</v>
      </c>
      <c r="G479" t="s">
        <v>559</v>
      </c>
      <c r="H479">
        <v>200</v>
      </c>
      <c r="I479" t="s">
        <v>2863</v>
      </c>
      <c r="J479" t="s">
        <v>2365</v>
      </c>
      <c r="K479" t="s">
        <v>2365</v>
      </c>
      <c r="L479">
        <v>1200</v>
      </c>
      <c r="M479" t="s">
        <v>1480</v>
      </c>
      <c r="N479">
        <v>1204</v>
      </c>
      <c r="O479" t="s">
        <v>1487</v>
      </c>
      <c r="P479" t="s">
        <v>2366</v>
      </c>
      <c r="Q479" t="s">
        <v>2364</v>
      </c>
      <c r="R479" t="s">
        <v>2364</v>
      </c>
      <c r="S479" t="s">
        <v>553</v>
      </c>
      <c r="T479" t="s">
        <v>1811</v>
      </c>
      <c r="U479" t="s">
        <v>2365</v>
      </c>
      <c r="V479" t="s">
        <v>2365</v>
      </c>
      <c r="W479" t="s">
        <v>2365</v>
      </c>
      <c r="X479" t="s">
        <v>2365</v>
      </c>
      <c r="Y479" t="s">
        <v>2365</v>
      </c>
      <c r="Z479" t="s">
        <v>2365</v>
      </c>
      <c r="AA479" t="s">
        <v>2365</v>
      </c>
      <c r="AB479" t="s">
        <v>2365</v>
      </c>
      <c r="AC479" s="813" t="s">
        <v>2365</v>
      </c>
      <c r="AD479" s="813" t="s">
        <v>2365</v>
      </c>
      <c r="AE479" s="813" t="s">
        <v>2365</v>
      </c>
      <c r="AF479" t="s">
        <v>2365</v>
      </c>
      <c r="AG479" t="s">
        <v>2365</v>
      </c>
      <c r="AH479" t="s">
        <v>2365</v>
      </c>
      <c r="AI479" t="s">
        <v>2365</v>
      </c>
      <c r="AJ479" t="s">
        <v>2365</v>
      </c>
      <c r="AK479" t="s">
        <v>2365</v>
      </c>
      <c r="AL479" t="s">
        <v>2365</v>
      </c>
      <c r="AM479" t="s">
        <v>2365</v>
      </c>
      <c r="AN479" t="s">
        <v>2365</v>
      </c>
      <c r="AR479" t="s">
        <v>2365</v>
      </c>
      <c r="AS479" t="s">
        <v>2365</v>
      </c>
      <c r="AT479" t="s">
        <v>2365</v>
      </c>
      <c r="AU479" t="s">
        <v>2365</v>
      </c>
      <c r="AV479" t="s">
        <v>2365</v>
      </c>
      <c r="AW479" t="s">
        <v>2365</v>
      </c>
      <c r="AX479" t="s">
        <v>2365</v>
      </c>
      <c r="AY479" t="s">
        <v>2365</v>
      </c>
      <c r="AZ479" t="s">
        <v>2365</v>
      </c>
      <c r="BA479" t="s">
        <v>2365</v>
      </c>
      <c r="BB479" t="s">
        <v>2365</v>
      </c>
      <c r="BC479" t="s">
        <v>2365</v>
      </c>
      <c r="BD479" t="s">
        <v>2366</v>
      </c>
      <c r="BE479" t="s">
        <v>2365</v>
      </c>
      <c r="BF479" t="s">
        <v>2365</v>
      </c>
      <c r="BG479" t="s">
        <v>2365</v>
      </c>
      <c r="BH479" t="s">
        <v>2365</v>
      </c>
      <c r="BI479" t="s">
        <v>2366</v>
      </c>
      <c r="BJ479" t="s">
        <v>2365</v>
      </c>
      <c r="BK479" t="s">
        <v>2365</v>
      </c>
      <c r="BL479" t="s">
        <v>2365</v>
      </c>
      <c r="BM479" t="s">
        <v>2365</v>
      </c>
      <c r="BO479">
        <v>1</v>
      </c>
      <c r="BP479">
        <v>11</v>
      </c>
      <c r="BQ479" t="s">
        <v>2369</v>
      </c>
      <c r="BR479" t="s">
        <v>1487</v>
      </c>
      <c r="BU479">
        <v>0</v>
      </c>
      <c r="BV479">
        <v>0</v>
      </c>
      <c r="BW479">
        <v>0</v>
      </c>
      <c r="BX479">
        <v>0</v>
      </c>
      <c r="BY479">
        <v>0</v>
      </c>
      <c r="BZ479">
        <v>0</v>
      </c>
      <c r="CA479">
        <v>0</v>
      </c>
      <c r="CB479">
        <v>0</v>
      </c>
      <c r="CC479">
        <v>0</v>
      </c>
      <c r="CD479">
        <v>0</v>
      </c>
      <c r="CE479">
        <v>0</v>
      </c>
      <c r="CF479">
        <v>0</v>
      </c>
      <c r="CG479">
        <v>0</v>
      </c>
      <c r="CH479">
        <v>0</v>
      </c>
      <c r="CI479">
        <v>0</v>
      </c>
      <c r="CJ479">
        <v>0</v>
      </c>
      <c r="CK479">
        <v>0</v>
      </c>
      <c r="CL479">
        <v>0</v>
      </c>
      <c r="CM479">
        <v>0</v>
      </c>
      <c r="CR479" t="s">
        <v>2342</v>
      </c>
      <c r="CS479" s="1369" t="str">
        <f>INDEX([8]Sheet1!$H:$H,MATCH(CR:CR,[8]Sheet1!$AU:$AU,0))</f>
        <v>Cultural Matters</v>
      </c>
    </row>
    <row r="480" spans="1:97" x14ac:dyDescent="0.2">
      <c r="A480" t="s">
        <v>3028</v>
      </c>
      <c r="B480">
        <v>533</v>
      </c>
      <c r="C480" t="s">
        <v>3028</v>
      </c>
      <c r="D480">
        <v>30602</v>
      </c>
      <c r="E480" t="s">
        <v>3029</v>
      </c>
      <c r="F480">
        <v>200</v>
      </c>
      <c r="G480" t="s">
        <v>559</v>
      </c>
      <c r="H480">
        <v>200</v>
      </c>
      <c r="I480" t="s">
        <v>2863</v>
      </c>
      <c r="J480" t="s">
        <v>2365</v>
      </c>
      <c r="K480" t="s">
        <v>2365</v>
      </c>
      <c r="L480">
        <v>1200</v>
      </c>
      <c r="M480" t="s">
        <v>1480</v>
      </c>
      <c r="N480">
        <v>1204</v>
      </c>
      <c r="O480" t="s">
        <v>1487</v>
      </c>
      <c r="P480" t="s">
        <v>2366</v>
      </c>
      <c r="Q480" t="s">
        <v>2364</v>
      </c>
      <c r="R480" t="s">
        <v>2364</v>
      </c>
      <c r="S480" t="s">
        <v>553</v>
      </c>
      <c r="T480" t="s">
        <v>1811</v>
      </c>
      <c r="U480" t="s">
        <v>2365</v>
      </c>
      <c r="V480" t="s">
        <v>2365</v>
      </c>
      <c r="W480" t="s">
        <v>2365</v>
      </c>
      <c r="X480" t="s">
        <v>2365</v>
      </c>
      <c r="Y480" t="s">
        <v>2365</v>
      </c>
      <c r="Z480" t="s">
        <v>2365</v>
      </c>
      <c r="AA480" t="s">
        <v>2365</v>
      </c>
      <c r="AB480" t="s">
        <v>2365</v>
      </c>
      <c r="AC480" s="813" t="s">
        <v>2365</v>
      </c>
      <c r="AD480" s="813" t="s">
        <v>2365</v>
      </c>
      <c r="AE480" s="813" t="s">
        <v>2365</v>
      </c>
      <c r="AF480" t="s">
        <v>2365</v>
      </c>
      <c r="AG480" t="s">
        <v>2365</v>
      </c>
      <c r="AH480" t="s">
        <v>2365</v>
      </c>
      <c r="AI480" t="s">
        <v>2365</v>
      </c>
      <c r="AJ480" t="s">
        <v>2365</v>
      </c>
      <c r="AK480" t="s">
        <v>2365</v>
      </c>
      <c r="AL480" t="s">
        <v>2365</v>
      </c>
      <c r="AM480" t="s">
        <v>2365</v>
      </c>
      <c r="AN480" t="s">
        <v>2365</v>
      </c>
      <c r="AR480" t="s">
        <v>2365</v>
      </c>
      <c r="AS480" t="s">
        <v>2365</v>
      </c>
      <c r="AT480" t="s">
        <v>2365</v>
      </c>
      <c r="AU480" t="s">
        <v>2365</v>
      </c>
      <c r="AV480" t="s">
        <v>2365</v>
      </c>
      <c r="AW480" t="s">
        <v>2365</v>
      </c>
      <c r="AX480" t="s">
        <v>2365</v>
      </c>
      <c r="AY480" t="s">
        <v>2365</v>
      </c>
      <c r="AZ480" t="s">
        <v>2365</v>
      </c>
      <c r="BA480" t="s">
        <v>2365</v>
      </c>
      <c r="BB480" t="s">
        <v>2365</v>
      </c>
      <c r="BC480" t="s">
        <v>2365</v>
      </c>
      <c r="BD480" t="s">
        <v>2366</v>
      </c>
      <c r="BE480" t="s">
        <v>2365</v>
      </c>
      <c r="BF480" t="s">
        <v>2365</v>
      </c>
      <c r="BG480" t="s">
        <v>2365</v>
      </c>
      <c r="BH480" t="s">
        <v>2365</v>
      </c>
      <c r="BI480" t="s">
        <v>2366</v>
      </c>
      <c r="BJ480" t="s">
        <v>2365</v>
      </c>
      <c r="BK480" t="s">
        <v>2365</v>
      </c>
      <c r="BL480" t="s">
        <v>2365</v>
      </c>
      <c r="BM480" t="s">
        <v>2365</v>
      </c>
      <c r="BO480">
        <v>1</v>
      </c>
      <c r="BP480">
        <v>11</v>
      </c>
      <c r="BQ480" t="s">
        <v>2369</v>
      </c>
      <c r="BR480" t="s">
        <v>1487</v>
      </c>
      <c r="BU480">
        <v>-1927939</v>
      </c>
      <c r="BV480">
        <v>0</v>
      </c>
      <c r="BW480">
        <v>-1927939</v>
      </c>
      <c r="BX480">
        <v>0</v>
      </c>
      <c r="BY480">
        <v>-1927939</v>
      </c>
      <c r="BZ480">
        <v>-2043615</v>
      </c>
      <c r="CA480">
        <v>-2166232</v>
      </c>
      <c r="CB480">
        <v>0</v>
      </c>
      <c r="CC480">
        <v>0</v>
      </c>
      <c r="CD480">
        <v>0</v>
      </c>
      <c r="CE480">
        <v>0</v>
      </c>
      <c r="CF480">
        <v>0</v>
      </c>
      <c r="CG480">
        <v>0</v>
      </c>
      <c r="CH480">
        <v>0</v>
      </c>
      <c r="CI480">
        <v>0</v>
      </c>
      <c r="CJ480">
        <v>0</v>
      </c>
      <c r="CK480">
        <v>0</v>
      </c>
      <c r="CL480">
        <v>0</v>
      </c>
      <c r="CM480">
        <v>0</v>
      </c>
      <c r="CR480" t="s">
        <v>2342</v>
      </c>
      <c r="CS480" s="1369" t="str">
        <f>INDEX([8]Sheet1!$H:$H,MATCH(CR:CR,[8]Sheet1!$AU:$AU,0))</f>
        <v>Cultural Matters</v>
      </c>
    </row>
    <row r="481" spans="1:97" x14ac:dyDescent="0.2">
      <c r="A481" t="s">
        <v>3030</v>
      </c>
      <c r="B481">
        <v>534</v>
      </c>
      <c r="C481" t="s">
        <v>3030</v>
      </c>
      <c r="D481">
        <v>30603</v>
      </c>
      <c r="E481" t="s">
        <v>3031</v>
      </c>
      <c r="F481">
        <v>200</v>
      </c>
      <c r="G481" t="s">
        <v>559</v>
      </c>
      <c r="H481">
        <v>200</v>
      </c>
      <c r="I481" t="s">
        <v>2863</v>
      </c>
      <c r="J481" t="s">
        <v>2365</v>
      </c>
      <c r="K481" t="s">
        <v>2365</v>
      </c>
      <c r="L481">
        <v>1200</v>
      </c>
      <c r="M481" t="s">
        <v>1480</v>
      </c>
      <c r="N481">
        <v>1204</v>
      </c>
      <c r="O481" t="s">
        <v>1487</v>
      </c>
      <c r="P481" t="s">
        <v>2366</v>
      </c>
      <c r="Q481" t="s">
        <v>2364</v>
      </c>
      <c r="R481" t="s">
        <v>2364</v>
      </c>
      <c r="S481" t="s">
        <v>553</v>
      </c>
      <c r="T481" t="s">
        <v>1811</v>
      </c>
      <c r="U481" t="s">
        <v>2365</v>
      </c>
      <c r="V481" t="s">
        <v>2365</v>
      </c>
      <c r="W481" t="s">
        <v>2365</v>
      </c>
      <c r="X481" t="s">
        <v>2365</v>
      </c>
      <c r="Y481" t="s">
        <v>2365</v>
      </c>
      <c r="Z481" t="s">
        <v>2365</v>
      </c>
      <c r="AA481" t="s">
        <v>2365</v>
      </c>
      <c r="AB481" t="s">
        <v>2365</v>
      </c>
      <c r="AC481" s="813" t="s">
        <v>2365</v>
      </c>
      <c r="AD481" s="813" t="s">
        <v>2365</v>
      </c>
      <c r="AE481" s="813" t="s">
        <v>2365</v>
      </c>
      <c r="AF481" t="s">
        <v>2365</v>
      </c>
      <c r="AG481" t="s">
        <v>2365</v>
      </c>
      <c r="AH481" t="s">
        <v>2365</v>
      </c>
      <c r="AI481" t="s">
        <v>2365</v>
      </c>
      <c r="AJ481" t="s">
        <v>2365</v>
      </c>
      <c r="AK481" t="s">
        <v>2365</v>
      </c>
      <c r="AL481" t="s">
        <v>2365</v>
      </c>
      <c r="AM481" t="s">
        <v>2365</v>
      </c>
      <c r="AN481" t="s">
        <v>2365</v>
      </c>
      <c r="AR481" t="s">
        <v>2365</v>
      </c>
      <c r="AS481" t="s">
        <v>2365</v>
      </c>
      <c r="AT481" t="s">
        <v>2365</v>
      </c>
      <c r="AU481" t="s">
        <v>2365</v>
      </c>
      <c r="AV481" t="s">
        <v>2365</v>
      </c>
      <c r="AW481" t="s">
        <v>2365</v>
      </c>
      <c r="AX481" t="s">
        <v>2365</v>
      </c>
      <c r="AY481" t="s">
        <v>2365</v>
      </c>
      <c r="AZ481" t="s">
        <v>2365</v>
      </c>
      <c r="BA481" t="s">
        <v>2365</v>
      </c>
      <c r="BB481" t="s">
        <v>2365</v>
      </c>
      <c r="BC481" t="s">
        <v>2365</v>
      </c>
      <c r="BD481" t="s">
        <v>2366</v>
      </c>
      <c r="BE481" t="s">
        <v>2365</v>
      </c>
      <c r="BF481" t="s">
        <v>2365</v>
      </c>
      <c r="BG481" t="s">
        <v>2365</v>
      </c>
      <c r="BH481" t="s">
        <v>2365</v>
      </c>
      <c r="BI481" t="s">
        <v>2366</v>
      </c>
      <c r="BJ481" t="s">
        <v>2365</v>
      </c>
      <c r="BK481" t="s">
        <v>2365</v>
      </c>
      <c r="BL481" t="s">
        <v>2365</v>
      </c>
      <c r="BM481" t="s">
        <v>2365</v>
      </c>
      <c r="BO481">
        <v>1</v>
      </c>
      <c r="BP481">
        <v>11</v>
      </c>
      <c r="BQ481" t="s">
        <v>2369</v>
      </c>
      <c r="BR481" t="s">
        <v>1487</v>
      </c>
      <c r="BU481">
        <v>-3495474</v>
      </c>
      <c r="BV481">
        <v>0</v>
      </c>
      <c r="BW481">
        <v>-3495474</v>
      </c>
      <c r="BX481">
        <v>0</v>
      </c>
      <c r="BY481">
        <v>-3495474</v>
      </c>
      <c r="BZ481">
        <v>-3705203</v>
      </c>
      <c r="CA481">
        <v>-3927515</v>
      </c>
      <c r="CB481">
        <v>-364606.5</v>
      </c>
      <c r="CC481">
        <v>-364606.5</v>
      </c>
      <c r="CD481">
        <v>-364606.5</v>
      </c>
      <c r="CE481">
        <v>-364606.5</v>
      </c>
      <c r="CF481">
        <v>-364606.5</v>
      </c>
      <c r="CG481">
        <v>-364606.5</v>
      </c>
      <c r="CH481">
        <v>-364606.5</v>
      </c>
      <c r="CI481">
        <v>-365056</v>
      </c>
      <c r="CJ481">
        <v>0</v>
      </c>
      <c r="CK481">
        <v>0</v>
      </c>
      <c r="CL481">
        <v>0</v>
      </c>
      <c r="CM481">
        <v>0</v>
      </c>
      <c r="CR481" t="s">
        <v>2342</v>
      </c>
      <c r="CS481" s="1369" t="str">
        <f>INDEX([8]Sheet1!$H:$H,MATCH(CR:CR,[8]Sheet1!$AU:$AU,0))</f>
        <v>Cultural Matters</v>
      </c>
    </row>
    <row r="482" spans="1:97" x14ac:dyDescent="0.2">
      <c r="A482" t="s">
        <v>3032</v>
      </c>
      <c r="B482">
        <v>535</v>
      </c>
      <c r="C482" t="s">
        <v>3032</v>
      </c>
      <c r="D482">
        <v>30604</v>
      </c>
      <c r="E482" t="s">
        <v>3033</v>
      </c>
      <c r="F482">
        <v>200</v>
      </c>
      <c r="G482" t="s">
        <v>559</v>
      </c>
      <c r="H482">
        <v>200</v>
      </c>
      <c r="I482" t="s">
        <v>2863</v>
      </c>
      <c r="J482" t="s">
        <v>2365</v>
      </c>
      <c r="K482" t="s">
        <v>2365</v>
      </c>
      <c r="L482">
        <v>1200</v>
      </c>
      <c r="M482" t="s">
        <v>1480</v>
      </c>
      <c r="N482">
        <v>1204</v>
      </c>
      <c r="O482" t="s">
        <v>1487</v>
      </c>
      <c r="P482" t="s">
        <v>2366</v>
      </c>
      <c r="Q482" t="s">
        <v>2364</v>
      </c>
      <c r="R482" t="s">
        <v>2364</v>
      </c>
      <c r="S482" t="s">
        <v>553</v>
      </c>
      <c r="T482" t="s">
        <v>1811</v>
      </c>
      <c r="U482" t="s">
        <v>2365</v>
      </c>
      <c r="V482" t="s">
        <v>2365</v>
      </c>
      <c r="W482" t="s">
        <v>2365</v>
      </c>
      <c r="X482" t="s">
        <v>2365</v>
      </c>
      <c r="Y482" t="s">
        <v>2365</v>
      </c>
      <c r="Z482" t="s">
        <v>2365</v>
      </c>
      <c r="AA482" t="s">
        <v>2365</v>
      </c>
      <c r="AB482" t="s">
        <v>2365</v>
      </c>
      <c r="AC482" s="813" t="s">
        <v>2365</v>
      </c>
      <c r="AD482" s="813" t="s">
        <v>2365</v>
      </c>
      <c r="AE482" s="813" t="s">
        <v>2365</v>
      </c>
      <c r="AF482" t="s">
        <v>2365</v>
      </c>
      <c r="AG482" t="s">
        <v>2365</v>
      </c>
      <c r="AH482" t="s">
        <v>2365</v>
      </c>
      <c r="AI482" t="s">
        <v>2365</v>
      </c>
      <c r="AJ482" t="s">
        <v>2365</v>
      </c>
      <c r="AK482" t="s">
        <v>2365</v>
      </c>
      <c r="AL482" t="s">
        <v>2365</v>
      </c>
      <c r="AM482" t="s">
        <v>2365</v>
      </c>
      <c r="AN482" t="s">
        <v>2365</v>
      </c>
      <c r="AR482" t="s">
        <v>2365</v>
      </c>
      <c r="AS482" t="s">
        <v>2365</v>
      </c>
      <c r="AT482" t="s">
        <v>2365</v>
      </c>
      <c r="AU482" t="s">
        <v>2365</v>
      </c>
      <c r="AV482" t="s">
        <v>2365</v>
      </c>
      <c r="AW482" t="s">
        <v>2365</v>
      </c>
      <c r="AX482" t="s">
        <v>2365</v>
      </c>
      <c r="AY482" t="s">
        <v>2365</v>
      </c>
      <c r="AZ482" t="s">
        <v>2365</v>
      </c>
      <c r="BA482" t="s">
        <v>2365</v>
      </c>
      <c r="BB482" t="s">
        <v>2365</v>
      </c>
      <c r="BC482" t="s">
        <v>2365</v>
      </c>
      <c r="BD482" t="s">
        <v>2366</v>
      </c>
      <c r="BE482" t="s">
        <v>2365</v>
      </c>
      <c r="BF482" t="s">
        <v>2365</v>
      </c>
      <c r="BG482" t="s">
        <v>2365</v>
      </c>
      <c r="BH482" t="s">
        <v>2365</v>
      </c>
      <c r="BI482" t="s">
        <v>2366</v>
      </c>
      <c r="BJ482" t="s">
        <v>2365</v>
      </c>
      <c r="BK482" t="s">
        <v>2365</v>
      </c>
      <c r="BL482" t="s">
        <v>2365</v>
      </c>
      <c r="BM482" t="s">
        <v>2365</v>
      </c>
      <c r="BO482">
        <v>1</v>
      </c>
      <c r="BP482">
        <v>11</v>
      </c>
      <c r="BQ482" t="s">
        <v>2369</v>
      </c>
      <c r="BR482" t="s">
        <v>1487</v>
      </c>
      <c r="BU482">
        <v>-3589614</v>
      </c>
      <c r="BV482">
        <v>0</v>
      </c>
      <c r="BW482">
        <v>-3589614</v>
      </c>
      <c r="BX482">
        <v>0</v>
      </c>
      <c r="BY482">
        <v>-3589614</v>
      </c>
      <c r="BZ482">
        <v>-3804991</v>
      </c>
      <c r="CA482">
        <v>-4033290</v>
      </c>
      <c r="CB482">
        <v>-593877.65</v>
      </c>
      <c r="CC482">
        <v>-593877.65</v>
      </c>
      <c r="CD482">
        <v>-593877.65</v>
      </c>
      <c r="CE482">
        <v>-593877.65</v>
      </c>
      <c r="CF482">
        <v>-593877.65</v>
      </c>
      <c r="CG482">
        <v>-593877.65</v>
      </c>
      <c r="CH482">
        <v>-593877.65</v>
      </c>
      <c r="CI482">
        <v>-607508.98</v>
      </c>
      <c r="CJ482">
        <v>0</v>
      </c>
      <c r="CK482">
        <v>0</v>
      </c>
      <c r="CL482">
        <v>0</v>
      </c>
      <c r="CM482">
        <v>0</v>
      </c>
      <c r="CR482" t="s">
        <v>2328</v>
      </c>
      <c r="CS482" s="1369" t="str">
        <f>INDEX([8]Sheet1!$H:$H,MATCH(CR:CR,[8]Sheet1!$AU:$AU,0))</f>
        <v>Water Distribution</v>
      </c>
    </row>
    <row r="483" spans="1:97" x14ac:dyDescent="0.2">
      <c r="A483" t="s">
        <v>3034</v>
      </c>
      <c r="B483">
        <v>536</v>
      </c>
      <c r="C483" t="s">
        <v>3034</v>
      </c>
      <c r="D483">
        <v>30605</v>
      </c>
      <c r="E483" t="s">
        <v>3035</v>
      </c>
      <c r="F483">
        <v>200</v>
      </c>
      <c r="G483" t="s">
        <v>559</v>
      </c>
      <c r="H483">
        <v>200</v>
      </c>
      <c r="I483" t="s">
        <v>2863</v>
      </c>
      <c r="J483" t="s">
        <v>2365</v>
      </c>
      <c r="K483" t="s">
        <v>2365</v>
      </c>
      <c r="L483">
        <v>1200</v>
      </c>
      <c r="M483" t="s">
        <v>1480</v>
      </c>
      <c r="N483">
        <v>1204</v>
      </c>
      <c r="O483" t="s">
        <v>1487</v>
      </c>
      <c r="P483" t="s">
        <v>2366</v>
      </c>
      <c r="Q483" t="s">
        <v>2364</v>
      </c>
      <c r="R483" t="s">
        <v>2364</v>
      </c>
      <c r="S483" t="s">
        <v>553</v>
      </c>
      <c r="T483" t="s">
        <v>1811</v>
      </c>
      <c r="U483" t="s">
        <v>2365</v>
      </c>
      <c r="V483" t="s">
        <v>2365</v>
      </c>
      <c r="W483" t="s">
        <v>2365</v>
      </c>
      <c r="X483" t="s">
        <v>2365</v>
      </c>
      <c r="Y483" t="s">
        <v>2365</v>
      </c>
      <c r="Z483" t="s">
        <v>2365</v>
      </c>
      <c r="AA483" t="s">
        <v>2365</v>
      </c>
      <c r="AB483" t="s">
        <v>2365</v>
      </c>
      <c r="AC483" s="813" t="s">
        <v>2365</v>
      </c>
      <c r="AD483" s="813" t="s">
        <v>2365</v>
      </c>
      <c r="AE483" s="813" t="s">
        <v>2365</v>
      </c>
      <c r="AF483" t="s">
        <v>2365</v>
      </c>
      <c r="AG483" t="s">
        <v>2365</v>
      </c>
      <c r="AH483" t="s">
        <v>2365</v>
      </c>
      <c r="AI483" t="s">
        <v>2365</v>
      </c>
      <c r="AJ483" t="s">
        <v>2365</v>
      </c>
      <c r="AK483" t="s">
        <v>2365</v>
      </c>
      <c r="AL483" t="s">
        <v>2365</v>
      </c>
      <c r="AM483" t="s">
        <v>2365</v>
      </c>
      <c r="AN483" t="s">
        <v>2365</v>
      </c>
      <c r="AR483" t="s">
        <v>2365</v>
      </c>
      <c r="AS483" t="s">
        <v>2365</v>
      </c>
      <c r="AT483" t="s">
        <v>2365</v>
      </c>
      <c r="AU483" t="s">
        <v>2365</v>
      </c>
      <c r="AV483" t="s">
        <v>2365</v>
      </c>
      <c r="AW483" t="s">
        <v>2365</v>
      </c>
      <c r="AX483" t="s">
        <v>2365</v>
      </c>
      <c r="AY483" t="s">
        <v>2365</v>
      </c>
      <c r="AZ483" t="s">
        <v>2365</v>
      </c>
      <c r="BA483" t="s">
        <v>2365</v>
      </c>
      <c r="BB483" t="s">
        <v>2365</v>
      </c>
      <c r="BC483" t="s">
        <v>2365</v>
      </c>
      <c r="BD483" t="s">
        <v>2366</v>
      </c>
      <c r="BE483" t="s">
        <v>2365</v>
      </c>
      <c r="BF483" t="s">
        <v>2365</v>
      </c>
      <c r="BG483" t="s">
        <v>2365</v>
      </c>
      <c r="BH483" t="s">
        <v>2365</v>
      </c>
      <c r="BI483" t="s">
        <v>2366</v>
      </c>
      <c r="BJ483" t="s">
        <v>2365</v>
      </c>
      <c r="BK483" t="s">
        <v>2365</v>
      </c>
      <c r="BL483" t="s">
        <v>2365</v>
      </c>
      <c r="BM483" t="s">
        <v>2365</v>
      </c>
      <c r="BO483">
        <v>1</v>
      </c>
      <c r="BP483">
        <v>11</v>
      </c>
      <c r="BQ483" t="s">
        <v>2369</v>
      </c>
      <c r="BR483" t="s">
        <v>1487</v>
      </c>
      <c r="BU483">
        <v>-2152274</v>
      </c>
      <c r="BV483">
        <v>0</v>
      </c>
      <c r="BW483">
        <v>-2152274</v>
      </c>
      <c r="BX483">
        <v>0</v>
      </c>
      <c r="BY483">
        <v>-2152274</v>
      </c>
      <c r="BZ483">
        <v>-2281410</v>
      </c>
      <c r="CA483">
        <v>-2418295</v>
      </c>
      <c r="CB483">
        <v>-204732.26</v>
      </c>
      <c r="CC483">
        <v>-204732.26</v>
      </c>
      <c r="CD483">
        <v>-204732.26</v>
      </c>
      <c r="CE483">
        <v>-204732.26</v>
      </c>
      <c r="CF483">
        <v>-204732.26</v>
      </c>
      <c r="CG483">
        <v>-204732.26</v>
      </c>
      <c r="CH483">
        <v>-204732.26</v>
      </c>
      <c r="CI483">
        <v>-204108.26</v>
      </c>
      <c r="CJ483">
        <v>0</v>
      </c>
      <c r="CK483">
        <v>0</v>
      </c>
      <c r="CL483">
        <v>0</v>
      </c>
      <c r="CM483">
        <v>0</v>
      </c>
      <c r="CR483" t="s">
        <v>2328</v>
      </c>
      <c r="CS483" s="1369" t="str">
        <f>INDEX([8]Sheet1!$H:$H,MATCH(CR:CR,[8]Sheet1!$AU:$AU,0))</f>
        <v>Water Distribution</v>
      </c>
    </row>
    <row r="484" spans="1:97" x14ac:dyDescent="0.2">
      <c r="A484" t="s">
        <v>3036</v>
      </c>
      <c r="B484">
        <v>537</v>
      </c>
      <c r="C484" t="s">
        <v>3036</v>
      </c>
      <c r="D484">
        <v>30606</v>
      </c>
      <c r="E484" t="s">
        <v>3037</v>
      </c>
      <c r="F484">
        <v>200</v>
      </c>
      <c r="G484" t="s">
        <v>559</v>
      </c>
      <c r="H484">
        <v>200</v>
      </c>
      <c r="I484" t="s">
        <v>2863</v>
      </c>
      <c r="J484" t="s">
        <v>2365</v>
      </c>
      <c r="K484" t="s">
        <v>2365</v>
      </c>
      <c r="L484">
        <v>1200</v>
      </c>
      <c r="M484" t="s">
        <v>1480</v>
      </c>
      <c r="N484">
        <v>1204</v>
      </c>
      <c r="O484" t="s">
        <v>1487</v>
      </c>
      <c r="P484" t="s">
        <v>2366</v>
      </c>
      <c r="Q484" t="s">
        <v>2364</v>
      </c>
      <c r="R484" t="s">
        <v>2364</v>
      </c>
      <c r="S484" t="s">
        <v>553</v>
      </c>
      <c r="T484" t="s">
        <v>1811</v>
      </c>
      <c r="U484" t="s">
        <v>2365</v>
      </c>
      <c r="V484" t="s">
        <v>2365</v>
      </c>
      <c r="W484" t="s">
        <v>2365</v>
      </c>
      <c r="X484" t="s">
        <v>2365</v>
      </c>
      <c r="Y484" t="s">
        <v>2365</v>
      </c>
      <c r="Z484" t="s">
        <v>2365</v>
      </c>
      <c r="AA484" t="s">
        <v>2365</v>
      </c>
      <c r="AB484" t="s">
        <v>2365</v>
      </c>
      <c r="AC484" s="813" t="s">
        <v>2365</v>
      </c>
      <c r="AD484" s="813" t="s">
        <v>2365</v>
      </c>
      <c r="AE484" s="813" t="s">
        <v>2365</v>
      </c>
      <c r="AF484" t="s">
        <v>2365</v>
      </c>
      <c r="AG484" t="s">
        <v>2365</v>
      </c>
      <c r="AH484" t="s">
        <v>2365</v>
      </c>
      <c r="AI484" t="s">
        <v>2365</v>
      </c>
      <c r="AJ484" t="s">
        <v>2365</v>
      </c>
      <c r="AK484" t="s">
        <v>2365</v>
      </c>
      <c r="AL484" t="s">
        <v>2365</v>
      </c>
      <c r="AM484" t="s">
        <v>2365</v>
      </c>
      <c r="AN484" t="s">
        <v>2365</v>
      </c>
      <c r="AR484" t="s">
        <v>2365</v>
      </c>
      <c r="AS484" t="s">
        <v>2365</v>
      </c>
      <c r="AT484" t="s">
        <v>2365</v>
      </c>
      <c r="AU484" t="s">
        <v>2365</v>
      </c>
      <c r="AV484" t="s">
        <v>2365</v>
      </c>
      <c r="AW484" t="s">
        <v>2365</v>
      </c>
      <c r="AX484" t="s">
        <v>2365</v>
      </c>
      <c r="AY484" t="s">
        <v>2365</v>
      </c>
      <c r="AZ484" t="s">
        <v>2365</v>
      </c>
      <c r="BA484" t="s">
        <v>2365</v>
      </c>
      <c r="BB484" t="s">
        <v>2365</v>
      </c>
      <c r="BC484" t="s">
        <v>2365</v>
      </c>
      <c r="BD484" t="s">
        <v>2366</v>
      </c>
      <c r="BE484" t="s">
        <v>2365</v>
      </c>
      <c r="BF484" t="s">
        <v>2365</v>
      </c>
      <c r="BG484" t="s">
        <v>2365</v>
      </c>
      <c r="BH484" t="s">
        <v>2365</v>
      </c>
      <c r="BI484" t="s">
        <v>2366</v>
      </c>
      <c r="BJ484" t="s">
        <v>2365</v>
      </c>
      <c r="BK484" t="s">
        <v>2365</v>
      </c>
      <c r="BL484" t="s">
        <v>2365</v>
      </c>
      <c r="BM484" t="s">
        <v>2365</v>
      </c>
      <c r="BO484">
        <v>1</v>
      </c>
      <c r="BP484">
        <v>11</v>
      </c>
      <c r="BQ484" t="s">
        <v>2369</v>
      </c>
      <c r="BR484" t="s">
        <v>1487</v>
      </c>
      <c r="BU484">
        <v>-3662632</v>
      </c>
      <c r="BV484">
        <v>0</v>
      </c>
      <c r="BW484">
        <v>-3662632</v>
      </c>
      <c r="BX484">
        <v>0</v>
      </c>
      <c r="BY484">
        <v>-3662632</v>
      </c>
      <c r="BZ484">
        <v>-3882390</v>
      </c>
      <c r="CA484">
        <v>-4115334</v>
      </c>
      <c r="CB484">
        <v>-326681.87</v>
      </c>
      <c r="CC484">
        <v>-326681.87</v>
      </c>
      <c r="CD484">
        <v>-326681.87</v>
      </c>
      <c r="CE484">
        <v>-326681.87</v>
      </c>
      <c r="CF484">
        <v>-326681.87</v>
      </c>
      <c r="CG484">
        <v>-326681.87</v>
      </c>
      <c r="CH484">
        <v>-326681.87</v>
      </c>
      <c r="CI484">
        <v>-327921.87</v>
      </c>
      <c r="CJ484">
        <v>0</v>
      </c>
      <c r="CK484">
        <v>0</v>
      </c>
      <c r="CL484">
        <v>0</v>
      </c>
      <c r="CM484">
        <v>0</v>
      </c>
      <c r="CR484" t="s">
        <v>2328</v>
      </c>
      <c r="CS484" s="1369" t="str">
        <f>INDEX([8]Sheet1!$H:$H,MATCH(CR:CR,[8]Sheet1!$AU:$AU,0))</f>
        <v>Water Distribution</v>
      </c>
    </row>
    <row r="485" spans="1:97" x14ac:dyDescent="0.2">
      <c r="A485" t="s">
        <v>3038</v>
      </c>
      <c r="B485">
        <v>538</v>
      </c>
      <c r="C485" t="s">
        <v>3038</v>
      </c>
      <c r="D485">
        <v>30607</v>
      </c>
      <c r="E485" t="s">
        <v>2862</v>
      </c>
      <c r="F485">
        <v>200</v>
      </c>
      <c r="G485" t="s">
        <v>559</v>
      </c>
      <c r="H485">
        <v>200</v>
      </c>
      <c r="I485" t="s">
        <v>2863</v>
      </c>
      <c r="J485" t="s">
        <v>2365</v>
      </c>
      <c r="K485" t="s">
        <v>2365</v>
      </c>
      <c r="L485">
        <v>1200</v>
      </c>
      <c r="M485" t="s">
        <v>1480</v>
      </c>
      <c r="N485">
        <v>1204</v>
      </c>
      <c r="O485" t="s">
        <v>1487</v>
      </c>
      <c r="P485" t="s">
        <v>2366</v>
      </c>
      <c r="Q485" t="s">
        <v>2364</v>
      </c>
      <c r="R485" t="s">
        <v>2364</v>
      </c>
      <c r="S485" t="s">
        <v>553</v>
      </c>
      <c r="T485" t="s">
        <v>1811</v>
      </c>
      <c r="U485" t="s">
        <v>2365</v>
      </c>
      <c r="V485" t="s">
        <v>2365</v>
      </c>
      <c r="W485" t="s">
        <v>2365</v>
      </c>
      <c r="X485" t="s">
        <v>2365</v>
      </c>
      <c r="Y485" t="s">
        <v>2365</v>
      </c>
      <c r="Z485" t="s">
        <v>2365</v>
      </c>
      <c r="AA485" t="s">
        <v>2365</v>
      </c>
      <c r="AB485" t="s">
        <v>2365</v>
      </c>
      <c r="AC485" s="813" t="s">
        <v>2365</v>
      </c>
      <c r="AD485" s="813" t="s">
        <v>2365</v>
      </c>
      <c r="AE485" s="813" t="s">
        <v>2365</v>
      </c>
      <c r="AF485" t="s">
        <v>2365</v>
      </c>
      <c r="AG485" t="s">
        <v>2365</v>
      </c>
      <c r="AH485" t="s">
        <v>2365</v>
      </c>
      <c r="AI485" t="s">
        <v>2365</v>
      </c>
      <c r="AJ485" t="s">
        <v>2365</v>
      </c>
      <c r="AK485" t="s">
        <v>2365</v>
      </c>
      <c r="AL485" t="s">
        <v>2365</v>
      </c>
      <c r="AM485" t="s">
        <v>2365</v>
      </c>
      <c r="AN485" t="s">
        <v>2365</v>
      </c>
      <c r="AR485" t="s">
        <v>2365</v>
      </c>
      <c r="AS485" t="s">
        <v>2365</v>
      </c>
      <c r="AT485" t="s">
        <v>2365</v>
      </c>
      <c r="AU485" t="s">
        <v>2365</v>
      </c>
      <c r="AV485" t="s">
        <v>2365</v>
      </c>
      <c r="AW485" t="s">
        <v>2365</v>
      </c>
      <c r="AX485" t="s">
        <v>2365</v>
      </c>
      <c r="AY485" t="s">
        <v>2365</v>
      </c>
      <c r="AZ485" t="s">
        <v>2365</v>
      </c>
      <c r="BA485" t="s">
        <v>2365</v>
      </c>
      <c r="BB485" t="s">
        <v>2365</v>
      </c>
      <c r="BC485" t="s">
        <v>2365</v>
      </c>
      <c r="BD485" t="s">
        <v>2366</v>
      </c>
      <c r="BE485" t="s">
        <v>2365</v>
      </c>
      <c r="BF485" t="s">
        <v>2365</v>
      </c>
      <c r="BG485" t="s">
        <v>2365</v>
      </c>
      <c r="BH485" t="s">
        <v>2365</v>
      </c>
      <c r="BI485" t="s">
        <v>2366</v>
      </c>
      <c r="BJ485" t="s">
        <v>2365</v>
      </c>
      <c r="BK485" t="s">
        <v>2365</v>
      </c>
      <c r="BL485" t="s">
        <v>2365</v>
      </c>
      <c r="BM485" t="s">
        <v>2365</v>
      </c>
      <c r="BO485">
        <v>1</v>
      </c>
      <c r="BP485">
        <v>11</v>
      </c>
      <c r="BQ485" t="s">
        <v>2369</v>
      </c>
      <c r="BR485" t="s">
        <v>1487</v>
      </c>
      <c r="BU485">
        <v>0</v>
      </c>
      <c r="BV485">
        <v>0</v>
      </c>
      <c r="BW485">
        <v>0</v>
      </c>
      <c r="BX485">
        <v>0</v>
      </c>
      <c r="BY485">
        <v>0</v>
      </c>
      <c r="BZ485">
        <v>0</v>
      </c>
      <c r="CA485">
        <v>0</v>
      </c>
      <c r="CB485">
        <v>0</v>
      </c>
      <c r="CC485">
        <v>0</v>
      </c>
      <c r="CD485">
        <v>0</v>
      </c>
      <c r="CE485">
        <v>0</v>
      </c>
      <c r="CF485">
        <v>0</v>
      </c>
      <c r="CG485">
        <v>0</v>
      </c>
      <c r="CH485">
        <v>0</v>
      </c>
      <c r="CI485">
        <v>0</v>
      </c>
      <c r="CJ485">
        <v>0</v>
      </c>
      <c r="CK485">
        <v>0</v>
      </c>
      <c r="CL485">
        <v>0</v>
      </c>
      <c r="CM485">
        <v>0</v>
      </c>
      <c r="CR485" t="s">
        <v>2328</v>
      </c>
      <c r="CS485" s="1369" t="str">
        <f>INDEX([8]Sheet1!$H:$H,MATCH(CR:CR,[8]Sheet1!$AU:$AU,0))</f>
        <v>Water Distribution</v>
      </c>
    </row>
    <row r="486" spans="1:97" x14ac:dyDescent="0.2">
      <c r="A486" t="s">
        <v>3039</v>
      </c>
      <c r="B486">
        <v>539</v>
      </c>
      <c r="C486" t="s">
        <v>3039</v>
      </c>
      <c r="D486">
        <v>30608</v>
      </c>
      <c r="E486" t="s">
        <v>3040</v>
      </c>
      <c r="F486">
        <v>200</v>
      </c>
      <c r="G486" t="s">
        <v>559</v>
      </c>
      <c r="H486">
        <v>200</v>
      </c>
      <c r="I486" t="s">
        <v>2863</v>
      </c>
      <c r="J486" t="s">
        <v>2365</v>
      </c>
      <c r="K486" t="s">
        <v>2365</v>
      </c>
      <c r="L486">
        <v>1200</v>
      </c>
      <c r="M486" t="s">
        <v>1480</v>
      </c>
      <c r="N486">
        <v>1204</v>
      </c>
      <c r="O486" t="s">
        <v>1487</v>
      </c>
      <c r="P486" t="s">
        <v>2366</v>
      </c>
      <c r="Q486" t="s">
        <v>2364</v>
      </c>
      <c r="R486" t="s">
        <v>2364</v>
      </c>
      <c r="S486" t="s">
        <v>553</v>
      </c>
      <c r="T486" t="s">
        <v>1811</v>
      </c>
      <c r="U486" t="s">
        <v>2365</v>
      </c>
      <c r="V486" t="s">
        <v>2365</v>
      </c>
      <c r="W486" t="s">
        <v>2365</v>
      </c>
      <c r="X486" t="s">
        <v>2365</v>
      </c>
      <c r="Y486" t="s">
        <v>2365</v>
      </c>
      <c r="Z486" t="s">
        <v>2365</v>
      </c>
      <c r="AA486" t="s">
        <v>2365</v>
      </c>
      <c r="AB486" t="s">
        <v>2365</v>
      </c>
      <c r="AC486" s="813" t="s">
        <v>2365</v>
      </c>
      <c r="AD486" s="813" t="s">
        <v>2365</v>
      </c>
      <c r="AE486" s="813" t="s">
        <v>2365</v>
      </c>
      <c r="AF486" t="s">
        <v>2365</v>
      </c>
      <c r="AG486" t="s">
        <v>2365</v>
      </c>
      <c r="AH486" t="s">
        <v>2365</v>
      </c>
      <c r="AI486" t="s">
        <v>2365</v>
      </c>
      <c r="AJ486" t="s">
        <v>2365</v>
      </c>
      <c r="AK486" t="s">
        <v>2365</v>
      </c>
      <c r="AL486" t="s">
        <v>2365</v>
      </c>
      <c r="AM486" t="s">
        <v>2365</v>
      </c>
      <c r="AN486" t="s">
        <v>2365</v>
      </c>
      <c r="AR486" t="s">
        <v>2365</v>
      </c>
      <c r="AS486" t="s">
        <v>2365</v>
      </c>
      <c r="AT486" t="s">
        <v>2365</v>
      </c>
      <c r="AU486" t="s">
        <v>2365</v>
      </c>
      <c r="AV486" t="s">
        <v>2365</v>
      </c>
      <c r="AW486" t="s">
        <v>2365</v>
      </c>
      <c r="AX486" t="s">
        <v>2365</v>
      </c>
      <c r="AY486" t="s">
        <v>2365</v>
      </c>
      <c r="AZ486" t="s">
        <v>2365</v>
      </c>
      <c r="BA486" t="s">
        <v>2365</v>
      </c>
      <c r="BB486" t="s">
        <v>2365</v>
      </c>
      <c r="BC486" t="s">
        <v>2365</v>
      </c>
      <c r="BD486" t="s">
        <v>2366</v>
      </c>
      <c r="BE486" t="s">
        <v>2365</v>
      </c>
      <c r="BF486" t="s">
        <v>2365</v>
      </c>
      <c r="BG486" t="s">
        <v>2365</v>
      </c>
      <c r="BH486" t="s">
        <v>2365</v>
      </c>
      <c r="BI486" t="s">
        <v>2366</v>
      </c>
      <c r="BJ486" t="s">
        <v>2365</v>
      </c>
      <c r="BK486" t="s">
        <v>2365</v>
      </c>
      <c r="BL486" t="s">
        <v>2365</v>
      </c>
      <c r="BM486" t="s">
        <v>2365</v>
      </c>
      <c r="BO486">
        <v>1</v>
      </c>
      <c r="BP486">
        <v>11</v>
      </c>
      <c r="BQ486" t="s">
        <v>2369</v>
      </c>
      <c r="BR486" t="s">
        <v>1487</v>
      </c>
      <c r="BU486">
        <v>-317724</v>
      </c>
      <c r="BV486">
        <v>0</v>
      </c>
      <c r="BW486">
        <v>-317724</v>
      </c>
      <c r="BX486">
        <v>0</v>
      </c>
      <c r="BY486">
        <v>-317724</v>
      </c>
      <c r="BZ486">
        <v>-336788</v>
      </c>
      <c r="CA486">
        <v>-356995</v>
      </c>
      <c r="CB486">
        <v>0</v>
      </c>
      <c r="CC486">
        <v>0</v>
      </c>
      <c r="CD486">
        <v>0</v>
      </c>
      <c r="CE486">
        <v>0</v>
      </c>
      <c r="CF486">
        <v>0</v>
      </c>
      <c r="CG486">
        <v>0</v>
      </c>
      <c r="CH486">
        <v>0</v>
      </c>
      <c r="CI486">
        <v>0</v>
      </c>
      <c r="CJ486">
        <v>0</v>
      </c>
      <c r="CK486">
        <v>0</v>
      </c>
      <c r="CL486">
        <v>0</v>
      </c>
      <c r="CM486">
        <v>0</v>
      </c>
      <c r="CR486" t="s">
        <v>2319</v>
      </c>
      <c r="CS486" s="1369" t="str">
        <f>INDEX([8]Sheet1!$H:$H,MATCH(CR:CR,[8]Sheet1!$AU:$AU,0))</f>
        <v>Mayor and Council</v>
      </c>
    </row>
    <row r="487" spans="1:97" x14ac:dyDescent="0.2">
      <c r="A487" t="s">
        <v>3041</v>
      </c>
      <c r="B487">
        <v>540</v>
      </c>
      <c r="C487" t="s">
        <v>3041</v>
      </c>
      <c r="D487">
        <v>30609</v>
      </c>
      <c r="E487" t="s">
        <v>3042</v>
      </c>
      <c r="F487">
        <v>200</v>
      </c>
      <c r="G487" t="s">
        <v>559</v>
      </c>
      <c r="H487">
        <v>200</v>
      </c>
      <c r="I487" t="s">
        <v>2863</v>
      </c>
      <c r="J487" t="s">
        <v>2365</v>
      </c>
      <c r="K487" t="s">
        <v>2365</v>
      </c>
      <c r="L487">
        <v>1200</v>
      </c>
      <c r="M487" t="s">
        <v>1480</v>
      </c>
      <c r="N487">
        <v>1204</v>
      </c>
      <c r="O487" t="s">
        <v>1487</v>
      </c>
      <c r="P487" t="s">
        <v>2366</v>
      </c>
      <c r="Q487" t="s">
        <v>2364</v>
      </c>
      <c r="R487" t="s">
        <v>2364</v>
      </c>
      <c r="S487" t="s">
        <v>553</v>
      </c>
      <c r="T487" t="s">
        <v>1811</v>
      </c>
      <c r="U487" t="s">
        <v>2365</v>
      </c>
      <c r="V487" t="s">
        <v>2365</v>
      </c>
      <c r="W487" t="s">
        <v>2365</v>
      </c>
      <c r="X487" t="s">
        <v>2365</v>
      </c>
      <c r="Y487" t="s">
        <v>2365</v>
      </c>
      <c r="Z487" t="s">
        <v>2365</v>
      </c>
      <c r="AA487" t="s">
        <v>2365</v>
      </c>
      <c r="AB487" t="s">
        <v>2365</v>
      </c>
      <c r="AC487" s="813" t="s">
        <v>2365</v>
      </c>
      <c r="AD487" s="813" t="s">
        <v>2365</v>
      </c>
      <c r="AE487" s="813" t="s">
        <v>2365</v>
      </c>
      <c r="AF487" t="s">
        <v>2365</v>
      </c>
      <c r="AG487" t="s">
        <v>2365</v>
      </c>
      <c r="AH487" t="s">
        <v>2365</v>
      </c>
      <c r="AI487" t="s">
        <v>2365</v>
      </c>
      <c r="AJ487" t="s">
        <v>2365</v>
      </c>
      <c r="AK487" t="s">
        <v>2365</v>
      </c>
      <c r="AL487" t="s">
        <v>2365</v>
      </c>
      <c r="AM487" t="s">
        <v>2365</v>
      </c>
      <c r="AN487" t="s">
        <v>2365</v>
      </c>
      <c r="AR487" t="s">
        <v>2365</v>
      </c>
      <c r="AS487" t="s">
        <v>2365</v>
      </c>
      <c r="AT487" t="s">
        <v>2365</v>
      </c>
      <c r="AU487" t="s">
        <v>2365</v>
      </c>
      <c r="AV487" t="s">
        <v>2365</v>
      </c>
      <c r="AW487" t="s">
        <v>2365</v>
      </c>
      <c r="AX487" t="s">
        <v>2365</v>
      </c>
      <c r="AY487" t="s">
        <v>2365</v>
      </c>
      <c r="AZ487" t="s">
        <v>2365</v>
      </c>
      <c r="BA487" t="s">
        <v>2365</v>
      </c>
      <c r="BB487" t="s">
        <v>2365</v>
      </c>
      <c r="BC487" t="s">
        <v>2365</v>
      </c>
      <c r="BD487" t="s">
        <v>2366</v>
      </c>
      <c r="BE487" t="s">
        <v>2365</v>
      </c>
      <c r="BF487" t="s">
        <v>2365</v>
      </c>
      <c r="BG487" t="s">
        <v>2365</v>
      </c>
      <c r="BH487" t="s">
        <v>2365</v>
      </c>
      <c r="BI487" t="s">
        <v>2366</v>
      </c>
      <c r="BJ487" t="s">
        <v>2365</v>
      </c>
      <c r="BK487" t="s">
        <v>2365</v>
      </c>
      <c r="BL487" t="s">
        <v>2365</v>
      </c>
      <c r="BM487" t="s">
        <v>2365</v>
      </c>
      <c r="BO487">
        <v>1</v>
      </c>
      <c r="BP487">
        <v>11</v>
      </c>
      <c r="BQ487" t="s">
        <v>2369</v>
      </c>
      <c r="BR487" t="s">
        <v>1487</v>
      </c>
      <c r="BU487">
        <v>0</v>
      </c>
      <c r="BV487">
        <v>0</v>
      </c>
      <c r="BW487">
        <v>0</v>
      </c>
      <c r="BX487">
        <v>0</v>
      </c>
      <c r="BY487">
        <v>0</v>
      </c>
      <c r="BZ487">
        <v>0</v>
      </c>
      <c r="CA487">
        <v>0</v>
      </c>
      <c r="CB487">
        <v>0</v>
      </c>
      <c r="CC487">
        <v>0</v>
      </c>
      <c r="CD487">
        <v>0</v>
      </c>
      <c r="CE487">
        <v>0</v>
      </c>
      <c r="CF487">
        <v>0</v>
      </c>
      <c r="CG487">
        <v>0</v>
      </c>
      <c r="CH487">
        <v>0</v>
      </c>
      <c r="CI487">
        <v>0</v>
      </c>
      <c r="CJ487">
        <v>0</v>
      </c>
      <c r="CK487">
        <v>0</v>
      </c>
      <c r="CL487">
        <v>0</v>
      </c>
      <c r="CM487">
        <v>0</v>
      </c>
      <c r="CR487" t="s">
        <v>2319</v>
      </c>
      <c r="CS487" s="1369" t="str">
        <f>INDEX([8]Sheet1!$H:$H,MATCH(CR:CR,[8]Sheet1!$AU:$AU,0))</f>
        <v>Mayor and Council</v>
      </c>
    </row>
    <row r="488" spans="1:97" x14ac:dyDescent="0.2">
      <c r="A488" t="s">
        <v>3043</v>
      </c>
      <c r="B488">
        <v>541</v>
      </c>
      <c r="C488" t="s">
        <v>3043</v>
      </c>
      <c r="D488">
        <v>30610</v>
      </c>
      <c r="E488" t="s">
        <v>3044</v>
      </c>
      <c r="F488">
        <v>200</v>
      </c>
      <c r="G488" t="s">
        <v>559</v>
      </c>
      <c r="H488">
        <v>200</v>
      </c>
      <c r="I488" t="s">
        <v>2863</v>
      </c>
      <c r="J488" t="s">
        <v>2365</v>
      </c>
      <c r="K488" t="s">
        <v>2365</v>
      </c>
      <c r="L488">
        <v>1200</v>
      </c>
      <c r="M488" t="s">
        <v>1480</v>
      </c>
      <c r="N488">
        <v>1204</v>
      </c>
      <c r="O488" t="s">
        <v>1487</v>
      </c>
      <c r="P488" t="s">
        <v>2366</v>
      </c>
      <c r="Q488" t="s">
        <v>2364</v>
      </c>
      <c r="R488" t="s">
        <v>2364</v>
      </c>
      <c r="S488" t="s">
        <v>553</v>
      </c>
      <c r="T488" t="s">
        <v>1811</v>
      </c>
      <c r="U488" t="s">
        <v>2365</v>
      </c>
      <c r="V488" t="s">
        <v>2365</v>
      </c>
      <c r="W488" t="s">
        <v>2365</v>
      </c>
      <c r="X488" t="s">
        <v>2365</v>
      </c>
      <c r="Y488" t="s">
        <v>2365</v>
      </c>
      <c r="Z488" t="s">
        <v>2365</v>
      </c>
      <c r="AA488" t="s">
        <v>2365</v>
      </c>
      <c r="AB488" t="s">
        <v>2365</v>
      </c>
      <c r="AC488" s="813" t="s">
        <v>2365</v>
      </c>
      <c r="AD488" s="813" t="s">
        <v>2365</v>
      </c>
      <c r="AE488" s="813" t="s">
        <v>2365</v>
      </c>
      <c r="AF488" t="s">
        <v>2365</v>
      </c>
      <c r="AG488" t="s">
        <v>2365</v>
      </c>
      <c r="AH488" t="s">
        <v>2365</v>
      </c>
      <c r="AI488" t="s">
        <v>2365</v>
      </c>
      <c r="AJ488" t="s">
        <v>2365</v>
      </c>
      <c r="AK488" t="s">
        <v>2365</v>
      </c>
      <c r="AL488" t="s">
        <v>2365</v>
      </c>
      <c r="AM488" t="s">
        <v>2365</v>
      </c>
      <c r="AN488" t="s">
        <v>2365</v>
      </c>
      <c r="AR488" t="s">
        <v>2365</v>
      </c>
      <c r="AS488" t="s">
        <v>2365</v>
      </c>
      <c r="AT488" t="s">
        <v>2365</v>
      </c>
      <c r="AU488" t="s">
        <v>2365</v>
      </c>
      <c r="AV488" t="s">
        <v>2365</v>
      </c>
      <c r="AW488" t="s">
        <v>2365</v>
      </c>
      <c r="AX488" t="s">
        <v>2365</v>
      </c>
      <c r="AY488" t="s">
        <v>2365</v>
      </c>
      <c r="AZ488" t="s">
        <v>2365</v>
      </c>
      <c r="BA488" t="s">
        <v>2365</v>
      </c>
      <c r="BB488" t="s">
        <v>2365</v>
      </c>
      <c r="BC488" t="s">
        <v>2365</v>
      </c>
      <c r="BD488" t="s">
        <v>2366</v>
      </c>
      <c r="BE488" t="s">
        <v>2365</v>
      </c>
      <c r="BF488" t="s">
        <v>2365</v>
      </c>
      <c r="BG488" t="s">
        <v>2365</v>
      </c>
      <c r="BH488" t="s">
        <v>2365</v>
      </c>
      <c r="BI488" t="s">
        <v>2366</v>
      </c>
      <c r="BJ488" t="s">
        <v>2365</v>
      </c>
      <c r="BK488" t="s">
        <v>2365</v>
      </c>
      <c r="BL488" t="s">
        <v>2365</v>
      </c>
      <c r="BM488" t="s">
        <v>2365</v>
      </c>
      <c r="BO488">
        <v>1</v>
      </c>
      <c r="BP488">
        <v>11</v>
      </c>
      <c r="BQ488" t="s">
        <v>2369</v>
      </c>
      <c r="BR488" t="s">
        <v>1487</v>
      </c>
      <c r="BU488">
        <v>0</v>
      </c>
      <c r="BV488">
        <v>0</v>
      </c>
      <c r="BW488">
        <v>0</v>
      </c>
      <c r="BX488">
        <v>0</v>
      </c>
      <c r="BY488">
        <v>0</v>
      </c>
      <c r="BZ488">
        <v>0</v>
      </c>
      <c r="CA488">
        <v>0</v>
      </c>
      <c r="CB488">
        <v>0</v>
      </c>
      <c r="CC488">
        <v>0</v>
      </c>
      <c r="CD488">
        <v>0</v>
      </c>
      <c r="CE488">
        <v>0</v>
      </c>
      <c r="CF488">
        <v>0</v>
      </c>
      <c r="CG488">
        <v>0</v>
      </c>
      <c r="CH488">
        <v>0</v>
      </c>
      <c r="CI488">
        <v>0</v>
      </c>
      <c r="CJ488">
        <v>0</v>
      </c>
      <c r="CK488">
        <v>0</v>
      </c>
      <c r="CL488">
        <v>0</v>
      </c>
      <c r="CM488">
        <v>0</v>
      </c>
      <c r="CR488" t="s">
        <v>2319</v>
      </c>
      <c r="CS488" s="1369" t="str">
        <f>INDEX([8]Sheet1!$H:$H,MATCH(CR:CR,[8]Sheet1!$AU:$AU,0))</f>
        <v>Mayor and Council</v>
      </c>
    </row>
    <row r="489" spans="1:97" x14ac:dyDescent="0.2">
      <c r="A489" t="s">
        <v>3045</v>
      </c>
      <c r="B489">
        <v>542</v>
      </c>
      <c r="C489" t="s">
        <v>3045</v>
      </c>
      <c r="D489">
        <v>30611</v>
      </c>
      <c r="E489" t="s">
        <v>3046</v>
      </c>
      <c r="F489">
        <v>200</v>
      </c>
      <c r="G489" t="s">
        <v>559</v>
      </c>
      <c r="H489">
        <v>200</v>
      </c>
      <c r="I489" t="s">
        <v>2863</v>
      </c>
      <c r="J489" t="s">
        <v>2365</v>
      </c>
      <c r="K489" t="s">
        <v>2365</v>
      </c>
      <c r="L489">
        <v>1200</v>
      </c>
      <c r="M489" t="s">
        <v>1480</v>
      </c>
      <c r="N489">
        <v>1204</v>
      </c>
      <c r="O489" t="s">
        <v>1487</v>
      </c>
      <c r="P489" t="s">
        <v>2366</v>
      </c>
      <c r="Q489" t="s">
        <v>2364</v>
      </c>
      <c r="R489" t="s">
        <v>2364</v>
      </c>
      <c r="S489" t="s">
        <v>553</v>
      </c>
      <c r="T489" t="s">
        <v>1811</v>
      </c>
      <c r="U489" t="s">
        <v>2365</v>
      </c>
      <c r="V489" t="s">
        <v>2365</v>
      </c>
      <c r="W489" t="s">
        <v>2365</v>
      </c>
      <c r="X489" t="s">
        <v>2365</v>
      </c>
      <c r="Y489" t="s">
        <v>2365</v>
      </c>
      <c r="Z489" t="s">
        <v>2365</v>
      </c>
      <c r="AA489" t="s">
        <v>2365</v>
      </c>
      <c r="AB489" t="s">
        <v>2365</v>
      </c>
      <c r="AC489" s="813" t="s">
        <v>2365</v>
      </c>
      <c r="AD489" s="813" t="s">
        <v>2365</v>
      </c>
      <c r="AE489" s="813" t="s">
        <v>2365</v>
      </c>
      <c r="AF489" t="s">
        <v>2365</v>
      </c>
      <c r="AG489" t="s">
        <v>2365</v>
      </c>
      <c r="AH489" t="s">
        <v>2365</v>
      </c>
      <c r="AI489" t="s">
        <v>2365</v>
      </c>
      <c r="AJ489" t="s">
        <v>2365</v>
      </c>
      <c r="AK489" t="s">
        <v>2365</v>
      </c>
      <c r="AL489" t="s">
        <v>2365</v>
      </c>
      <c r="AM489" t="s">
        <v>2365</v>
      </c>
      <c r="AN489" t="s">
        <v>2365</v>
      </c>
      <c r="AR489" t="s">
        <v>2365</v>
      </c>
      <c r="AS489" t="s">
        <v>2365</v>
      </c>
      <c r="AT489" t="s">
        <v>2365</v>
      </c>
      <c r="AU489" t="s">
        <v>2365</v>
      </c>
      <c r="AV489" t="s">
        <v>2365</v>
      </c>
      <c r="AW489" t="s">
        <v>2365</v>
      </c>
      <c r="AX489" t="s">
        <v>2365</v>
      </c>
      <c r="AY489" t="s">
        <v>2365</v>
      </c>
      <c r="AZ489" t="s">
        <v>2365</v>
      </c>
      <c r="BA489" t="s">
        <v>2365</v>
      </c>
      <c r="BB489" t="s">
        <v>2365</v>
      </c>
      <c r="BC489" t="s">
        <v>2365</v>
      </c>
      <c r="BD489" t="s">
        <v>2366</v>
      </c>
      <c r="BE489" t="s">
        <v>2365</v>
      </c>
      <c r="BF489" t="s">
        <v>2365</v>
      </c>
      <c r="BG489" t="s">
        <v>2365</v>
      </c>
      <c r="BH489" t="s">
        <v>2365</v>
      </c>
      <c r="BI489" t="s">
        <v>2366</v>
      </c>
      <c r="BJ489" t="s">
        <v>2365</v>
      </c>
      <c r="BK489" t="s">
        <v>2365</v>
      </c>
      <c r="BL489" t="s">
        <v>2365</v>
      </c>
      <c r="BM489" t="s">
        <v>2365</v>
      </c>
      <c r="BO489">
        <v>1</v>
      </c>
      <c r="BP489">
        <v>11</v>
      </c>
      <c r="BQ489" t="s">
        <v>2369</v>
      </c>
      <c r="BR489" t="s">
        <v>1487</v>
      </c>
      <c r="BU489">
        <v>0</v>
      </c>
      <c r="BV489">
        <v>0</v>
      </c>
      <c r="BW489">
        <v>0</v>
      </c>
      <c r="BX489">
        <v>0</v>
      </c>
      <c r="BY489">
        <v>0</v>
      </c>
      <c r="BZ489">
        <v>0</v>
      </c>
      <c r="CA489">
        <v>0</v>
      </c>
      <c r="CB489">
        <v>-134284.5</v>
      </c>
      <c r="CC489">
        <v>-134284.5</v>
      </c>
      <c r="CD489">
        <v>-134284.5</v>
      </c>
      <c r="CE489">
        <v>-134284.5</v>
      </c>
      <c r="CF489">
        <v>-134284.5</v>
      </c>
      <c r="CG489">
        <v>-134284.5</v>
      </c>
      <c r="CH489">
        <v>-134284.5</v>
      </c>
      <c r="CI489">
        <v>-133817.82999999999</v>
      </c>
      <c r="CJ489">
        <v>0</v>
      </c>
      <c r="CK489">
        <v>0</v>
      </c>
      <c r="CL489">
        <v>0</v>
      </c>
      <c r="CM489">
        <v>0</v>
      </c>
      <c r="CR489" t="s">
        <v>2319</v>
      </c>
      <c r="CS489" s="1369" t="str">
        <f>INDEX([8]Sheet1!$H:$H,MATCH(CR:CR,[8]Sheet1!$AU:$AU,0))</f>
        <v>Mayor and Council</v>
      </c>
    </row>
    <row r="490" spans="1:97" x14ac:dyDescent="0.2">
      <c r="A490" t="s">
        <v>3047</v>
      </c>
      <c r="B490">
        <v>543</v>
      </c>
      <c r="C490" t="s">
        <v>3047</v>
      </c>
      <c r="D490">
        <v>30612</v>
      </c>
      <c r="E490" t="s">
        <v>3048</v>
      </c>
      <c r="F490">
        <v>200</v>
      </c>
      <c r="G490" t="s">
        <v>559</v>
      </c>
      <c r="H490">
        <v>200</v>
      </c>
      <c r="I490" t="s">
        <v>2863</v>
      </c>
      <c r="J490" t="s">
        <v>2365</v>
      </c>
      <c r="K490" t="s">
        <v>2365</v>
      </c>
      <c r="L490">
        <v>1200</v>
      </c>
      <c r="M490" t="s">
        <v>1480</v>
      </c>
      <c r="N490">
        <v>1204</v>
      </c>
      <c r="O490" t="s">
        <v>1487</v>
      </c>
      <c r="P490" t="s">
        <v>2366</v>
      </c>
      <c r="Q490" t="s">
        <v>2364</v>
      </c>
      <c r="R490" t="s">
        <v>2364</v>
      </c>
      <c r="S490" t="s">
        <v>553</v>
      </c>
      <c r="T490" t="s">
        <v>1811</v>
      </c>
      <c r="U490" t="s">
        <v>2365</v>
      </c>
      <c r="V490" t="s">
        <v>2365</v>
      </c>
      <c r="W490" t="s">
        <v>2365</v>
      </c>
      <c r="X490" t="s">
        <v>2365</v>
      </c>
      <c r="Y490" t="s">
        <v>2365</v>
      </c>
      <c r="Z490" t="s">
        <v>2365</v>
      </c>
      <c r="AA490" t="s">
        <v>2365</v>
      </c>
      <c r="AB490" t="s">
        <v>2365</v>
      </c>
      <c r="AC490" s="813" t="s">
        <v>2365</v>
      </c>
      <c r="AD490" s="813" t="s">
        <v>2365</v>
      </c>
      <c r="AE490" s="813" t="s">
        <v>2365</v>
      </c>
      <c r="AF490" t="s">
        <v>2365</v>
      </c>
      <c r="AG490" t="s">
        <v>2365</v>
      </c>
      <c r="AH490" t="s">
        <v>2365</v>
      </c>
      <c r="AI490" t="s">
        <v>2365</v>
      </c>
      <c r="AJ490" t="s">
        <v>2365</v>
      </c>
      <c r="AK490" t="s">
        <v>2365</v>
      </c>
      <c r="AL490" t="s">
        <v>2365</v>
      </c>
      <c r="AM490" t="s">
        <v>2365</v>
      </c>
      <c r="AN490" t="s">
        <v>2365</v>
      </c>
      <c r="AR490" t="s">
        <v>2365</v>
      </c>
      <c r="AS490" t="s">
        <v>2365</v>
      </c>
      <c r="AT490" t="s">
        <v>2365</v>
      </c>
      <c r="AU490" t="s">
        <v>2365</v>
      </c>
      <c r="AV490" t="s">
        <v>2365</v>
      </c>
      <c r="AW490" t="s">
        <v>2365</v>
      </c>
      <c r="AX490" t="s">
        <v>2365</v>
      </c>
      <c r="AY490" t="s">
        <v>2365</v>
      </c>
      <c r="AZ490" t="s">
        <v>2365</v>
      </c>
      <c r="BA490" t="s">
        <v>2365</v>
      </c>
      <c r="BB490" t="s">
        <v>2365</v>
      </c>
      <c r="BC490" t="s">
        <v>2365</v>
      </c>
      <c r="BD490" t="s">
        <v>2366</v>
      </c>
      <c r="BE490" t="s">
        <v>2365</v>
      </c>
      <c r="BF490" t="s">
        <v>2365</v>
      </c>
      <c r="BG490" t="s">
        <v>2365</v>
      </c>
      <c r="BH490" t="s">
        <v>2365</v>
      </c>
      <c r="BI490" t="s">
        <v>2366</v>
      </c>
      <c r="BJ490" t="s">
        <v>2365</v>
      </c>
      <c r="BK490" t="s">
        <v>2365</v>
      </c>
      <c r="BL490" t="s">
        <v>2365</v>
      </c>
      <c r="BM490" t="s">
        <v>2365</v>
      </c>
      <c r="BO490">
        <v>1</v>
      </c>
      <c r="BP490">
        <v>11</v>
      </c>
      <c r="BQ490" t="s">
        <v>2369</v>
      </c>
      <c r="BR490" t="s">
        <v>1487</v>
      </c>
      <c r="BU490">
        <v>0</v>
      </c>
      <c r="BV490">
        <v>0</v>
      </c>
      <c r="BW490">
        <v>0</v>
      </c>
      <c r="BX490">
        <v>0</v>
      </c>
      <c r="BY490">
        <v>0</v>
      </c>
      <c r="BZ490">
        <v>0</v>
      </c>
      <c r="CA490">
        <v>0</v>
      </c>
      <c r="CB490">
        <v>0</v>
      </c>
      <c r="CC490">
        <v>0</v>
      </c>
      <c r="CD490">
        <v>0</v>
      </c>
      <c r="CE490">
        <v>0</v>
      </c>
      <c r="CF490">
        <v>0</v>
      </c>
      <c r="CG490">
        <v>0</v>
      </c>
      <c r="CH490">
        <v>0</v>
      </c>
      <c r="CI490">
        <v>0</v>
      </c>
      <c r="CJ490">
        <v>0</v>
      </c>
      <c r="CK490">
        <v>0</v>
      </c>
      <c r="CL490">
        <v>0</v>
      </c>
      <c r="CM490">
        <v>0</v>
      </c>
      <c r="CR490" t="s">
        <v>2319</v>
      </c>
      <c r="CS490" s="1369" t="str">
        <f>INDEX([8]Sheet1!$H:$H,MATCH(CR:CR,[8]Sheet1!$AU:$AU,0))</f>
        <v>Mayor and Council</v>
      </c>
    </row>
    <row r="491" spans="1:97" x14ac:dyDescent="0.2">
      <c r="A491" t="s">
        <v>3049</v>
      </c>
      <c r="B491">
        <v>544</v>
      </c>
      <c r="C491" t="s">
        <v>3049</v>
      </c>
      <c r="D491">
        <v>30613</v>
      </c>
      <c r="E491" t="s">
        <v>3050</v>
      </c>
      <c r="F491">
        <v>200</v>
      </c>
      <c r="G491" t="s">
        <v>559</v>
      </c>
      <c r="H491">
        <v>200</v>
      </c>
      <c r="I491" t="s">
        <v>2863</v>
      </c>
      <c r="J491" t="s">
        <v>2365</v>
      </c>
      <c r="K491" t="s">
        <v>2365</v>
      </c>
      <c r="L491">
        <v>1200</v>
      </c>
      <c r="M491" t="s">
        <v>1480</v>
      </c>
      <c r="N491">
        <v>1204</v>
      </c>
      <c r="O491" t="s">
        <v>1487</v>
      </c>
      <c r="P491" t="s">
        <v>2366</v>
      </c>
      <c r="Q491" t="s">
        <v>2364</v>
      </c>
      <c r="R491" t="s">
        <v>2364</v>
      </c>
      <c r="S491" t="s">
        <v>553</v>
      </c>
      <c r="T491" t="s">
        <v>1811</v>
      </c>
      <c r="U491" t="s">
        <v>2365</v>
      </c>
      <c r="V491" t="s">
        <v>2365</v>
      </c>
      <c r="W491" t="s">
        <v>2365</v>
      </c>
      <c r="X491" t="s">
        <v>2365</v>
      </c>
      <c r="Y491" t="s">
        <v>2365</v>
      </c>
      <c r="Z491" t="s">
        <v>2365</v>
      </c>
      <c r="AA491" t="s">
        <v>2365</v>
      </c>
      <c r="AB491" t="s">
        <v>2365</v>
      </c>
      <c r="AC491" s="813" t="s">
        <v>2365</v>
      </c>
      <c r="AD491" s="813" t="s">
        <v>2365</v>
      </c>
      <c r="AE491" s="813" t="s">
        <v>2365</v>
      </c>
      <c r="AF491" t="s">
        <v>2365</v>
      </c>
      <c r="AG491" t="s">
        <v>2365</v>
      </c>
      <c r="AH491" t="s">
        <v>2365</v>
      </c>
      <c r="AI491" t="s">
        <v>2365</v>
      </c>
      <c r="AJ491" t="s">
        <v>2365</v>
      </c>
      <c r="AK491" t="s">
        <v>2365</v>
      </c>
      <c r="AL491" t="s">
        <v>2365</v>
      </c>
      <c r="AM491" t="s">
        <v>2365</v>
      </c>
      <c r="AN491" t="s">
        <v>2365</v>
      </c>
      <c r="AR491" t="s">
        <v>2365</v>
      </c>
      <c r="AS491" t="s">
        <v>2365</v>
      </c>
      <c r="AT491" t="s">
        <v>2365</v>
      </c>
      <c r="AU491" t="s">
        <v>2365</v>
      </c>
      <c r="AV491" t="s">
        <v>2365</v>
      </c>
      <c r="AW491" t="s">
        <v>2365</v>
      </c>
      <c r="AX491" t="s">
        <v>2365</v>
      </c>
      <c r="AY491" t="s">
        <v>2365</v>
      </c>
      <c r="AZ491" t="s">
        <v>2365</v>
      </c>
      <c r="BA491" t="s">
        <v>2365</v>
      </c>
      <c r="BB491" t="s">
        <v>2365</v>
      </c>
      <c r="BC491" t="s">
        <v>2365</v>
      </c>
      <c r="BD491" t="s">
        <v>2366</v>
      </c>
      <c r="BE491" t="s">
        <v>2365</v>
      </c>
      <c r="BF491" t="s">
        <v>2365</v>
      </c>
      <c r="BG491" t="s">
        <v>2365</v>
      </c>
      <c r="BH491" t="s">
        <v>2365</v>
      </c>
      <c r="BI491" t="s">
        <v>2366</v>
      </c>
      <c r="BJ491" t="s">
        <v>2365</v>
      </c>
      <c r="BK491" t="s">
        <v>2365</v>
      </c>
      <c r="BL491" t="s">
        <v>2365</v>
      </c>
      <c r="BM491" t="s">
        <v>2365</v>
      </c>
      <c r="BO491">
        <v>1</v>
      </c>
      <c r="BP491">
        <v>11</v>
      </c>
      <c r="BQ491" t="s">
        <v>2369</v>
      </c>
      <c r="BR491" t="s">
        <v>1487</v>
      </c>
      <c r="BU491">
        <v>0</v>
      </c>
      <c r="BV491">
        <v>0</v>
      </c>
      <c r="BW491">
        <v>0</v>
      </c>
      <c r="BX491">
        <v>0</v>
      </c>
      <c r="BY491">
        <v>0</v>
      </c>
      <c r="BZ491">
        <v>0</v>
      </c>
      <c r="CA491">
        <v>0</v>
      </c>
      <c r="CB491">
        <v>0</v>
      </c>
      <c r="CC491">
        <v>0</v>
      </c>
      <c r="CD491">
        <v>0</v>
      </c>
      <c r="CE491">
        <v>0</v>
      </c>
      <c r="CF491">
        <v>0</v>
      </c>
      <c r="CG491">
        <v>0</v>
      </c>
      <c r="CH491">
        <v>0</v>
      </c>
      <c r="CI491">
        <v>0</v>
      </c>
      <c r="CJ491">
        <v>0</v>
      </c>
      <c r="CK491">
        <v>0</v>
      </c>
      <c r="CL491">
        <v>0</v>
      </c>
      <c r="CM491">
        <v>0</v>
      </c>
      <c r="CR491" t="s">
        <v>2319</v>
      </c>
      <c r="CS491" s="1369" t="str">
        <f>INDEX([8]Sheet1!$H:$H,MATCH(CR:CR,[8]Sheet1!$AU:$AU,0))</f>
        <v>Mayor and Council</v>
      </c>
    </row>
    <row r="492" spans="1:97" x14ac:dyDescent="0.2">
      <c r="A492" t="s">
        <v>3051</v>
      </c>
      <c r="B492">
        <v>545</v>
      </c>
      <c r="C492" t="s">
        <v>3051</v>
      </c>
      <c r="D492">
        <v>30614</v>
      </c>
      <c r="E492" t="s">
        <v>3052</v>
      </c>
      <c r="F492">
        <v>200</v>
      </c>
      <c r="G492" t="s">
        <v>559</v>
      </c>
      <c r="H492">
        <v>200</v>
      </c>
      <c r="I492" t="s">
        <v>2863</v>
      </c>
      <c r="J492" t="s">
        <v>2365</v>
      </c>
      <c r="K492" t="s">
        <v>2365</v>
      </c>
      <c r="L492">
        <v>1200</v>
      </c>
      <c r="M492" t="s">
        <v>1480</v>
      </c>
      <c r="N492">
        <v>1204</v>
      </c>
      <c r="O492" t="s">
        <v>1487</v>
      </c>
      <c r="P492" t="s">
        <v>2366</v>
      </c>
      <c r="Q492" t="s">
        <v>2364</v>
      </c>
      <c r="R492" t="s">
        <v>2364</v>
      </c>
      <c r="S492" t="s">
        <v>553</v>
      </c>
      <c r="T492" t="s">
        <v>1811</v>
      </c>
      <c r="U492" t="s">
        <v>2365</v>
      </c>
      <c r="V492" t="s">
        <v>2365</v>
      </c>
      <c r="W492" t="s">
        <v>2365</v>
      </c>
      <c r="X492" t="s">
        <v>2365</v>
      </c>
      <c r="Y492" t="s">
        <v>2365</v>
      </c>
      <c r="Z492" t="s">
        <v>2365</v>
      </c>
      <c r="AA492" t="s">
        <v>2365</v>
      </c>
      <c r="AB492" t="s">
        <v>2365</v>
      </c>
      <c r="AC492" s="813" t="s">
        <v>2365</v>
      </c>
      <c r="AD492" s="813" t="s">
        <v>2365</v>
      </c>
      <c r="AE492" s="813" t="s">
        <v>2365</v>
      </c>
      <c r="AF492" t="s">
        <v>2365</v>
      </c>
      <c r="AG492" t="s">
        <v>2365</v>
      </c>
      <c r="AH492" t="s">
        <v>2365</v>
      </c>
      <c r="AI492" t="s">
        <v>2365</v>
      </c>
      <c r="AJ492" t="s">
        <v>2365</v>
      </c>
      <c r="AK492" t="s">
        <v>2365</v>
      </c>
      <c r="AL492" t="s">
        <v>2365</v>
      </c>
      <c r="AM492" t="s">
        <v>2365</v>
      </c>
      <c r="AN492" t="s">
        <v>2365</v>
      </c>
      <c r="AR492" t="s">
        <v>2365</v>
      </c>
      <c r="AS492" t="s">
        <v>2365</v>
      </c>
      <c r="AT492" t="s">
        <v>2365</v>
      </c>
      <c r="AU492" t="s">
        <v>2365</v>
      </c>
      <c r="AV492" t="s">
        <v>2365</v>
      </c>
      <c r="AW492" t="s">
        <v>2365</v>
      </c>
      <c r="AX492" t="s">
        <v>2365</v>
      </c>
      <c r="AY492" t="s">
        <v>2365</v>
      </c>
      <c r="AZ492" t="s">
        <v>2365</v>
      </c>
      <c r="BA492" t="s">
        <v>2365</v>
      </c>
      <c r="BB492" t="s">
        <v>2365</v>
      </c>
      <c r="BC492" t="s">
        <v>2365</v>
      </c>
      <c r="BD492" t="s">
        <v>2366</v>
      </c>
      <c r="BE492" t="s">
        <v>2365</v>
      </c>
      <c r="BF492" t="s">
        <v>2365</v>
      </c>
      <c r="BG492" t="s">
        <v>2365</v>
      </c>
      <c r="BH492" t="s">
        <v>2365</v>
      </c>
      <c r="BI492" t="s">
        <v>2366</v>
      </c>
      <c r="BJ492" t="s">
        <v>2365</v>
      </c>
      <c r="BK492" t="s">
        <v>2365</v>
      </c>
      <c r="BL492" t="s">
        <v>2365</v>
      </c>
      <c r="BM492" t="s">
        <v>2365</v>
      </c>
      <c r="BO492">
        <v>1</v>
      </c>
      <c r="BP492">
        <v>11</v>
      </c>
      <c r="BQ492" t="s">
        <v>2369</v>
      </c>
      <c r="BR492" t="s">
        <v>1487</v>
      </c>
      <c r="BU492">
        <v>-1507430</v>
      </c>
      <c r="BV492">
        <v>0</v>
      </c>
      <c r="BW492">
        <v>-1507430</v>
      </c>
      <c r="BX492">
        <v>0</v>
      </c>
      <c r="BY492">
        <v>-1507430</v>
      </c>
      <c r="BZ492">
        <v>-1597876</v>
      </c>
      <c r="CA492">
        <v>-1693749</v>
      </c>
      <c r="CB492">
        <v>0</v>
      </c>
      <c r="CC492">
        <v>0</v>
      </c>
      <c r="CD492">
        <v>0</v>
      </c>
      <c r="CE492">
        <v>0</v>
      </c>
      <c r="CF492">
        <v>0</v>
      </c>
      <c r="CG492">
        <v>0</v>
      </c>
      <c r="CH492">
        <v>0</v>
      </c>
      <c r="CI492">
        <v>0</v>
      </c>
      <c r="CJ492">
        <v>0</v>
      </c>
      <c r="CK492">
        <v>0</v>
      </c>
      <c r="CL492">
        <v>0</v>
      </c>
      <c r="CM492">
        <v>0</v>
      </c>
      <c r="CR492" t="s">
        <v>2319</v>
      </c>
      <c r="CS492" s="1369" t="str">
        <f>INDEX([8]Sheet1!$H:$H,MATCH(CR:CR,[8]Sheet1!$AU:$AU,0))</f>
        <v>Mayor and Council</v>
      </c>
    </row>
    <row r="493" spans="1:97" x14ac:dyDescent="0.2">
      <c r="A493" t="s">
        <v>3053</v>
      </c>
      <c r="B493">
        <v>546</v>
      </c>
      <c r="C493" t="s">
        <v>3053</v>
      </c>
      <c r="D493">
        <v>30615</v>
      </c>
      <c r="E493" t="s">
        <v>3054</v>
      </c>
      <c r="F493">
        <v>200</v>
      </c>
      <c r="G493" t="s">
        <v>559</v>
      </c>
      <c r="H493">
        <v>200</v>
      </c>
      <c r="I493" t="s">
        <v>2863</v>
      </c>
      <c r="J493" t="s">
        <v>2365</v>
      </c>
      <c r="K493" t="s">
        <v>2365</v>
      </c>
      <c r="L493">
        <v>1200</v>
      </c>
      <c r="M493" t="s">
        <v>1480</v>
      </c>
      <c r="N493">
        <v>1204</v>
      </c>
      <c r="O493" t="s">
        <v>1487</v>
      </c>
      <c r="P493" t="s">
        <v>2366</v>
      </c>
      <c r="Q493" t="s">
        <v>2364</v>
      </c>
      <c r="R493" t="s">
        <v>2364</v>
      </c>
      <c r="S493" t="s">
        <v>553</v>
      </c>
      <c r="T493" t="s">
        <v>1811</v>
      </c>
      <c r="U493" t="s">
        <v>2365</v>
      </c>
      <c r="V493" t="s">
        <v>2365</v>
      </c>
      <c r="W493" t="s">
        <v>2365</v>
      </c>
      <c r="X493" t="s">
        <v>2365</v>
      </c>
      <c r="Y493" t="s">
        <v>2365</v>
      </c>
      <c r="Z493" t="s">
        <v>2365</v>
      </c>
      <c r="AA493" t="s">
        <v>2365</v>
      </c>
      <c r="AB493" t="s">
        <v>2365</v>
      </c>
      <c r="AC493" s="813" t="s">
        <v>2365</v>
      </c>
      <c r="AD493" s="813" t="s">
        <v>2365</v>
      </c>
      <c r="AE493" s="813" t="s">
        <v>2365</v>
      </c>
      <c r="AF493" t="s">
        <v>2365</v>
      </c>
      <c r="AG493" t="s">
        <v>2365</v>
      </c>
      <c r="AH493" t="s">
        <v>2365</v>
      </c>
      <c r="AI493" t="s">
        <v>2365</v>
      </c>
      <c r="AJ493" t="s">
        <v>2365</v>
      </c>
      <c r="AK493" t="s">
        <v>2365</v>
      </c>
      <c r="AL493" t="s">
        <v>2365</v>
      </c>
      <c r="AM493" t="s">
        <v>2365</v>
      </c>
      <c r="AN493" t="s">
        <v>2365</v>
      </c>
      <c r="AR493" t="s">
        <v>2365</v>
      </c>
      <c r="AS493" t="s">
        <v>2365</v>
      </c>
      <c r="AT493" t="s">
        <v>2365</v>
      </c>
      <c r="AU493" t="s">
        <v>2365</v>
      </c>
      <c r="AV493" t="s">
        <v>2365</v>
      </c>
      <c r="AW493" t="s">
        <v>2365</v>
      </c>
      <c r="AX493" t="s">
        <v>2365</v>
      </c>
      <c r="AY493" t="s">
        <v>2365</v>
      </c>
      <c r="AZ493" t="s">
        <v>2365</v>
      </c>
      <c r="BA493" t="s">
        <v>2365</v>
      </c>
      <c r="BB493" t="s">
        <v>2365</v>
      </c>
      <c r="BC493" t="s">
        <v>2365</v>
      </c>
      <c r="BD493" t="s">
        <v>2366</v>
      </c>
      <c r="BE493" t="s">
        <v>2365</v>
      </c>
      <c r="BF493" t="s">
        <v>2365</v>
      </c>
      <c r="BG493" t="s">
        <v>2365</v>
      </c>
      <c r="BH493" t="s">
        <v>2365</v>
      </c>
      <c r="BI493" t="s">
        <v>2366</v>
      </c>
      <c r="BJ493" t="s">
        <v>2365</v>
      </c>
      <c r="BK493" t="s">
        <v>2365</v>
      </c>
      <c r="BL493" t="s">
        <v>2365</v>
      </c>
      <c r="BM493" t="s">
        <v>2365</v>
      </c>
      <c r="BO493">
        <v>1</v>
      </c>
      <c r="BP493">
        <v>11</v>
      </c>
      <c r="BQ493" t="s">
        <v>2369</v>
      </c>
      <c r="BR493" t="s">
        <v>1487</v>
      </c>
      <c r="BU493">
        <v>-4635965</v>
      </c>
      <c r="BV493">
        <v>0</v>
      </c>
      <c r="BW493">
        <v>-4635965</v>
      </c>
      <c r="BX493">
        <v>0</v>
      </c>
      <c r="BY493">
        <v>-4635965</v>
      </c>
      <c r="BZ493">
        <v>-4914123</v>
      </c>
      <c r="CA493">
        <v>-5208970</v>
      </c>
      <c r="CB493">
        <v>-365180.5</v>
      </c>
      <c r="CC493">
        <v>-365180.5</v>
      </c>
      <c r="CD493">
        <v>-365180.5</v>
      </c>
      <c r="CE493">
        <v>-365180.5</v>
      </c>
      <c r="CF493">
        <v>-365180.5</v>
      </c>
      <c r="CG493">
        <v>-365180.5</v>
      </c>
      <c r="CH493">
        <v>-365180.5</v>
      </c>
      <c r="CI493">
        <v>-365018.25</v>
      </c>
      <c r="CJ493">
        <v>0</v>
      </c>
      <c r="CK493">
        <v>0</v>
      </c>
      <c r="CL493">
        <v>0</v>
      </c>
      <c r="CM493">
        <v>0</v>
      </c>
      <c r="CR493" t="s">
        <v>2319</v>
      </c>
      <c r="CS493" s="1369" t="str">
        <f>INDEX([8]Sheet1!$H:$H,MATCH(CR:CR,[8]Sheet1!$AU:$AU,0))</f>
        <v>Mayor and Council</v>
      </c>
    </row>
    <row r="494" spans="1:97" x14ac:dyDescent="0.2">
      <c r="A494" t="s">
        <v>3055</v>
      </c>
      <c r="B494">
        <v>547</v>
      </c>
      <c r="C494" t="s">
        <v>3055</v>
      </c>
      <c r="D494">
        <v>40601</v>
      </c>
      <c r="E494" t="s">
        <v>3027</v>
      </c>
      <c r="F494">
        <v>200</v>
      </c>
      <c r="G494" t="s">
        <v>559</v>
      </c>
      <c r="H494">
        <v>200</v>
      </c>
      <c r="I494" t="s">
        <v>2863</v>
      </c>
      <c r="J494" t="s">
        <v>2365</v>
      </c>
      <c r="K494" t="s">
        <v>2365</v>
      </c>
      <c r="L494">
        <v>1200</v>
      </c>
      <c r="M494" t="s">
        <v>1480</v>
      </c>
      <c r="N494">
        <v>1204</v>
      </c>
      <c r="O494" t="s">
        <v>1487</v>
      </c>
      <c r="P494" t="s">
        <v>2366</v>
      </c>
      <c r="Q494" t="s">
        <v>2364</v>
      </c>
      <c r="R494" t="s">
        <v>2364</v>
      </c>
      <c r="S494" t="s">
        <v>1881</v>
      </c>
      <c r="T494" t="s">
        <v>1811</v>
      </c>
      <c r="U494" t="s">
        <v>2365</v>
      </c>
      <c r="V494" t="s">
        <v>2365</v>
      </c>
      <c r="W494" t="s">
        <v>2365</v>
      </c>
      <c r="X494" t="s">
        <v>2365</v>
      </c>
      <c r="Y494" t="s">
        <v>2365</v>
      </c>
      <c r="Z494" t="s">
        <v>2365</v>
      </c>
      <c r="AA494" t="s">
        <v>2365</v>
      </c>
      <c r="AB494" t="s">
        <v>2365</v>
      </c>
      <c r="AC494" s="813" t="s">
        <v>2365</v>
      </c>
      <c r="AD494" s="813" t="s">
        <v>2365</v>
      </c>
      <c r="AE494" s="813" t="s">
        <v>2365</v>
      </c>
      <c r="AF494" t="s">
        <v>2365</v>
      </c>
      <c r="AG494" t="s">
        <v>2365</v>
      </c>
      <c r="AH494" t="s">
        <v>2365</v>
      </c>
      <c r="AI494" t="s">
        <v>2365</v>
      </c>
      <c r="AJ494" t="s">
        <v>2365</v>
      </c>
      <c r="AK494" t="s">
        <v>2365</v>
      </c>
      <c r="AL494" t="s">
        <v>2365</v>
      </c>
      <c r="AM494" t="s">
        <v>2365</v>
      </c>
      <c r="AN494" t="s">
        <v>2365</v>
      </c>
      <c r="AR494" t="s">
        <v>2365</v>
      </c>
      <c r="AS494" t="s">
        <v>2365</v>
      </c>
      <c r="AT494" t="s">
        <v>2365</v>
      </c>
      <c r="AU494" t="s">
        <v>2365</v>
      </c>
      <c r="AV494" t="s">
        <v>2365</v>
      </c>
      <c r="AW494" t="s">
        <v>2365</v>
      </c>
      <c r="AX494" t="s">
        <v>2365</v>
      </c>
      <c r="AY494" t="s">
        <v>2365</v>
      </c>
      <c r="AZ494" t="s">
        <v>2365</v>
      </c>
      <c r="BA494" t="s">
        <v>2365</v>
      </c>
      <c r="BB494" t="s">
        <v>2365</v>
      </c>
      <c r="BC494" t="s">
        <v>2365</v>
      </c>
      <c r="BD494" t="s">
        <v>2366</v>
      </c>
      <c r="BE494" t="s">
        <v>2365</v>
      </c>
      <c r="BF494" t="s">
        <v>2365</v>
      </c>
      <c r="BG494" t="s">
        <v>2365</v>
      </c>
      <c r="BH494" t="s">
        <v>2365</v>
      </c>
      <c r="BI494" t="s">
        <v>2366</v>
      </c>
      <c r="BJ494" t="s">
        <v>2365</v>
      </c>
      <c r="BK494" t="s">
        <v>2365</v>
      </c>
      <c r="BL494" t="s">
        <v>2365</v>
      </c>
      <c r="BM494" t="s">
        <v>2365</v>
      </c>
      <c r="BO494">
        <v>1</v>
      </c>
      <c r="BP494">
        <v>11</v>
      </c>
      <c r="BQ494" t="s">
        <v>2369</v>
      </c>
      <c r="BR494" t="s">
        <v>1487</v>
      </c>
      <c r="BU494">
        <v>0</v>
      </c>
      <c r="BV494">
        <v>0</v>
      </c>
      <c r="BW494">
        <v>0</v>
      </c>
      <c r="BX494">
        <v>0</v>
      </c>
      <c r="BY494">
        <v>0</v>
      </c>
      <c r="BZ494">
        <v>0</v>
      </c>
      <c r="CA494">
        <v>0</v>
      </c>
      <c r="CB494">
        <v>0</v>
      </c>
      <c r="CC494">
        <v>0</v>
      </c>
      <c r="CD494">
        <v>0</v>
      </c>
      <c r="CE494">
        <v>0</v>
      </c>
      <c r="CF494">
        <v>0</v>
      </c>
      <c r="CG494">
        <v>0</v>
      </c>
      <c r="CH494">
        <v>0</v>
      </c>
      <c r="CI494">
        <v>0</v>
      </c>
      <c r="CJ494">
        <v>0</v>
      </c>
      <c r="CK494">
        <v>0</v>
      </c>
      <c r="CL494">
        <v>0</v>
      </c>
      <c r="CM494">
        <v>0</v>
      </c>
      <c r="CR494" t="s">
        <v>2319</v>
      </c>
      <c r="CS494" s="1369" t="str">
        <f>INDEX([8]Sheet1!$H:$H,MATCH(CR:CR,[8]Sheet1!$AU:$AU,0))</f>
        <v>Mayor and Council</v>
      </c>
    </row>
    <row r="495" spans="1:97" x14ac:dyDescent="0.2">
      <c r="A495" t="s">
        <v>3056</v>
      </c>
      <c r="B495">
        <v>548</v>
      </c>
      <c r="C495" t="s">
        <v>3056</v>
      </c>
      <c r="D495">
        <v>40602</v>
      </c>
      <c r="E495" t="s">
        <v>3029</v>
      </c>
      <c r="F495">
        <v>200</v>
      </c>
      <c r="G495" t="s">
        <v>559</v>
      </c>
      <c r="H495">
        <v>200</v>
      </c>
      <c r="I495" t="s">
        <v>2863</v>
      </c>
      <c r="J495" t="s">
        <v>2365</v>
      </c>
      <c r="K495" t="s">
        <v>2365</v>
      </c>
      <c r="L495">
        <v>1200</v>
      </c>
      <c r="M495" t="s">
        <v>1480</v>
      </c>
      <c r="N495">
        <v>1204</v>
      </c>
      <c r="O495" t="s">
        <v>1487</v>
      </c>
      <c r="P495" t="s">
        <v>2366</v>
      </c>
      <c r="Q495" t="s">
        <v>2364</v>
      </c>
      <c r="R495" t="s">
        <v>2364</v>
      </c>
      <c r="S495" t="s">
        <v>1881</v>
      </c>
      <c r="T495" t="s">
        <v>1811</v>
      </c>
      <c r="U495" t="s">
        <v>2365</v>
      </c>
      <c r="V495" t="s">
        <v>2365</v>
      </c>
      <c r="W495" t="s">
        <v>2365</v>
      </c>
      <c r="X495" t="s">
        <v>2365</v>
      </c>
      <c r="Y495" t="s">
        <v>2365</v>
      </c>
      <c r="Z495" t="s">
        <v>2365</v>
      </c>
      <c r="AA495" t="s">
        <v>2365</v>
      </c>
      <c r="AB495" t="s">
        <v>2365</v>
      </c>
      <c r="AC495" s="813" t="s">
        <v>2365</v>
      </c>
      <c r="AD495" s="813" t="s">
        <v>2365</v>
      </c>
      <c r="AE495" s="813" t="s">
        <v>2365</v>
      </c>
      <c r="AF495" t="s">
        <v>2365</v>
      </c>
      <c r="AG495" t="s">
        <v>2365</v>
      </c>
      <c r="AH495" t="s">
        <v>2365</v>
      </c>
      <c r="AI495" t="s">
        <v>2365</v>
      </c>
      <c r="AJ495" t="s">
        <v>2365</v>
      </c>
      <c r="AK495" t="s">
        <v>2365</v>
      </c>
      <c r="AL495" t="s">
        <v>2365</v>
      </c>
      <c r="AM495" t="s">
        <v>2365</v>
      </c>
      <c r="AN495" t="s">
        <v>2365</v>
      </c>
      <c r="AR495" t="s">
        <v>2365</v>
      </c>
      <c r="AS495" t="s">
        <v>2365</v>
      </c>
      <c r="AT495" t="s">
        <v>2365</v>
      </c>
      <c r="AU495" t="s">
        <v>2365</v>
      </c>
      <c r="AV495" t="s">
        <v>2365</v>
      </c>
      <c r="AW495" t="s">
        <v>2365</v>
      </c>
      <c r="AX495" t="s">
        <v>2365</v>
      </c>
      <c r="AY495" t="s">
        <v>2365</v>
      </c>
      <c r="AZ495" t="s">
        <v>2365</v>
      </c>
      <c r="BA495" t="s">
        <v>2365</v>
      </c>
      <c r="BB495" t="s">
        <v>2365</v>
      </c>
      <c r="BC495" t="s">
        <v>2365</v>
      </c>
      <c r="BD495" t="s">
        <v>2366</v>
      </c>
      <c r="BE495" t="s">
        <v>2365</v>
      </c>
      <c r="BF495" t="s">
        <v>2365</v>
      </c>
      <c r="BG495" t="s">
        <v>2365</v>
      </c>
      <c r="BH495" t="s">
        <v>2365</v>
      </c>
      <c r="BI495" t="s">
        <v>2366</v>
      </c>
      <c r="BJ495" t="s">
        <v>2365</v>
      </c>
      <c r="BK495" t="s">
        <v>2365</v>
      </c>
      <c r="BL495" t="s">
        <v>2365</v>
      </c>
      <c r="BM495" t="s">
        <v>2365</v>
      </c>
      <c r="BO495">
        <v>1</v>
      </c>
      <c r="BP495">
        <v>11</v>
      </c>
      <c r="BQ495" t="s">
        <v>2369</v>
      </c>
      <c r="BR495" t="s">
        <v>1487</v>
      </c>
      <c r="BU495">
        <v>0</v>
      </c>
      <c r="BV495">
        <v>0</v>
      </c>
      <c r="BW495">
        <v>0</v>
      </c>
      <c r="BX495">
        <v>0</v>
      </c>
      <c r="BY495">
        <v>0</v>
      </c>
      <c r="BZ495">
        <v>0</v>
      </c>
      <c r="CA495">
        <v>0</v>
      </c>
      <c r="CB495">
        <v>0</v>
      </c>
      <c r="CC495">
        <v>0</v>
      </c>
      <c r="CD495">
        <v>0</v>
      </c>
      <c r="CE495">
        <v>0</v>
      </c>
      <c r="CF495">
        <v>0</v>
      </c>
      <c r="CG495">
        <v>0</v>
      </c>
      <c r="CH495">
        <v>0</v>
      </c>
      <c r="CI495">
        <v>0</v>
      </c>
      <c r="CJ495">
        <v>0</v>
      </c>
      <c r="CK495">
        <v>0</v>
      </c>
      <c r="CL495">
        <v>0</v>
      </c>
      <c r="CM495">
        <v>0</v>
      </c>
      <c r="CR495" t="s">
        <v>2343</v>
      </c>
      <c r="CS495" s="1369" t="str">
        <f>INDEX([8]Sheet1!$H:$H,MATCH(CR:CR,[8]Sheet1!$AU:$AU,0))</f>
        <v>Pollution Control</v>
      </c>
    </row>
    <row r="496" spans="1:97" x14ac:dyDescent="0.2">
      <c r="A496" t="s">
        <v>3057</v>
      </c>
      <c r="B496">
        <v>549</v>
      </c>
      <c r="C496" t="s">
        <v>3057</v>
      </c>
      <c r="D496">
        <v>40603</v>
      </c>
      <c r="E496" t="s">
        <v>3031</v>
      </c>
      <c r="F496">
        <v>200</v>
      </c>
      <c r="G496" t="s">
        <v>559</v>
      </c>
      <c r="H496">
        <v>200</v>
      </c>
      <c r="I496" t="s">
        <v>2863</v>
      </c>
      <c r="J496" t="s">
        <v>2365</v>
      </c>
      <c r="K496" t="s">
        <v>2365</v>
      </c>
      <c r="L496">
        <v>1200</v>
      </c>
      <c r="M496" t="s">
        <v>1480</v>
      </c>
      <c r="N496">
        <v>1204</v>
      </c>
      <c r="O496" t="s">
        <v>1487</v>
      </c>
      <c r="P496" t="s">
        <v>2366</v>
      </c>
      <c r="Q496" t="s">
        <v>2364</v>
      </c>
      <c r="R496" t="s">
        <v>2364</v>
      </c>
      <c r="S496" t="s">
        <v>1881</v>
      </c>
      <c r="T496" t="s">
        <v>1811</v>
      </c>
      <c r="U496" t="s">
        <v>2365</v>
      </c>
      <c r="V496" t="s">
        <v>2365</v>
      </c>
      <c r="W496" t="s">
        <v>2365</v>
      </c>
      <c r="X496" t="s">
        <v>2365</v>
      </c>
      <c r="Y496" t="s">
        <v>2365</v>
      </c>
      <c r="Z496" t="s">
        <v>2365</v>
      </c>
      <c r="AA496" t="s">
        <v>2365</v>
      </c>
      <c r="AB496" t="s">
        <v>2365</v>
      </c>
      <c r="AC496" s="813" t="s">
        <v>2365</v>
      </c>
      <c r="AD496" s="813" t="s">
        <v>2365</v>
      </c>
      <c r="AE496" s="813" t="s">
        <v>2365</v>
      </c>
      <c r="AF496" t="s">
        <v>2365</v>
      </c>
      <c r="AG496" t="s">
        <v>2365</v>
      </c>
      <c r="AH496" t="s">
        <v>2365</v>
      </c>
      <c r="AI496" t="s">
        <v>2365</v>
      </c>
      <c r="AJ496" t="s">
        <v>2365</v>
      </c>
      <c r="AK496" t="s">
        <v>2365</v>
      </c>
      <c r="AL496" t="s">
        <v>2365</v>
      </c>
      <c r="AM496" t="s">
        <v>2365</v>
      </c>
      <c r="AN496" t="s">
        <v>2365</v>
      </c>
      <c r="AR496" t="s">
        <v>2365</v>
      </c>
      <c r="AS496" t="s">
        <v>2365</v>
      </c>
      <c r="AT496" t="s">
        <v>2365</v>
      </c>
      <c r="AU496" t="s">
        <v>2365</v>
      </c>
      <c r="AV496" t="s">
        <v>2365</v>
      </c>
      <c r="AW496" t="s">
        <v>2365</v>
      </c>
      <c r="AX496" t="s">
        <v>2365</v>
      </c>
      <c r="AY496" t="s">
        <v>2365</v>
      </c>
      <c r="AZ496" t="s">
        <v>2365</v>
      </c>
      <c r="BA496" t="s">
        <v>2365</v>
      </c>
      <c r="BB496" t="s">
        <v>2365</v>
      </c>
      <c r="BC496" t="s">
        <v>2365</v>
      </c>
      <c r="BD496" t="s">
        <v>2366</v>
      </c>
      <c r="BE496" t="s">
        <v>2365</v>
      </c>
      <c r="BF496" t="s">
        <v>2365</v>
      </c>
      <c r="BG496" t="s">
        <v>2365</v>
      </c>
      <c r="BH496" t="s">
        <v>2365</v>
      </c>
      <c r="BI496" t="s">
        <v>2366</v>
      </c>
      <c r="BJ496" t="s">
        <v>2365</v>
      </c>
      <c r="BK496" t="s">
        <v>2365</v>
      </c>
      <c r="BL496" t="s">
        <v>2365</v>
      </c>
      <c r="BM496" t="s">
        <v>2365</v>
      </c>
      <c r="BO496">
        <v>1</v>
      </c>
      <c r="BP496">
        <v>11</v>
      </c>
      <c r="BQ496" t="s">
        <v>2369</v>
      </c>
      <c r="BR496" t="s">
        <v>1487</v>
      </c>
      <c r="BU496">
        <v>0</v>
      </c>
      <c r="BV496">
        <v>0</v>
      </c>
      <c r="BW496">
        <v>0</v>
      </c>
      <c r="BX496">
        <v>0</v>
      </c>
      <c r="BY496">
        <v>0</v>
      </c>
      <c r="BZ496">
        <v>0</v>
      </c>
      <c r="CA496">
        <v>0</v>
      </c>
      <c r="CB496">
        <v>0</v>
      </c>
      <c r="CC496">
        <v>0</v>
      </c>
      <c r="CD496">
        <v>0</v>
      </c>
      <c r="CE496">
        <v>0</v>
      </c>
      <c r="CF496">
        <v>0</v>
      </c>
      <c r="CG496">
        <v>0</v>
      </c>
      <c r="CH496">
        <v>0</v>
      </c>
      <c r="CI496">
        <v>0</v>
      </c>
      <c r="CJ496">
        <v>0</v>
      </c>
      <c r="CK496">
        <v>0</v>
      </c>
      <c r="CL496">
        <v>0</v>
      </c>
      <c r="CM496">
        <v>0</v>
      </c>
      <c r="CR496" t="s">
        <v>2340</v>
      </c>
      <c r="CS496" s="1369" t="str">
        <f>INDEX([8]Sheet1!$H:$H,MATCH(CR:CR,[8]Sheet1!$AU:$AU,0))</f>
        <v>Disaster Management</v>
      </c>
    </row>
    <row r="497" spans="1:97" x14ac:dyDescent="0.2">
      <c r="A497" t="s">
        <v>3058</v>
      </c>
      <c r="B497">
        <v>550</v>
      </c>
      <c r="C497" t="s">
        <v>3058</v>
      </c>
      <c r="D497">
        <v>40604</v>
      </c>
      <c r="E497" t="s">
        <v>3033</v>
      </c>
      <c r="F497">
        <v>200</v>
      </c>
      <c r="G497" t="s">
        <v>559</v>
      </c>
      <c r="H497">
        <v>200</v>
      </c>
      <c r="I497" t="s">
        <v>2863</v>
      </c>
      <c r="J497" t="s">
        <v>2365</v>
      </c>
      <c r="K497" t="s">
        <v>2365</v>
      </c>
      <c r="L497">
        <v>1200</v>
      </c>
      <c r="M497" t="s">
        <v>1480</v>
      </c>
      <c r="N497">
        <v>1204</v>
      </c>
      <c r="O497" t="s">
        <v>1487</v>
      </c>
      <c r="P497" t="s">
        <v>2366</v>
      </c>
      <c r="Q497" t="s">
        <v>2364</v>
      </c>
      <c r="R497" t="s">
        <v>2364</v>
      </c>
      <c r="S497" t="s">
        <v>1881</v>
      </c>
      <c r="T497" t="s">
        <v>1811</v>
      </c>
      <c r="U497" t="s">
        <v>2365</v>
      </c>
      <c r="V497" t="s">
        <v>2365</v>
      </c>
      <c r="W497" t="s">
        <v>2365</v>
      </c>
      <c r="X497" t="s">
        <v>2365</v>
      </c>
      <c r="Y497" t="s">
        <v>2365</v>
      </c>
      <c r="Z497" t="s">
        <v>2365</v>
      </c>
      <c r="AA497" t="s">
        <v>2365</v>
      </c>
      <c r="AB497" t="s">
        <v>2365</v>
      </c>
      <c r="AC497" s="813" t="s">
        <v>2365</v>
      </c>
      <c r="AD497" s="813" t="s">
        <v>2365</v>
      </c>
      <c r="AE497" s="813" t="s">
        <v>2365</v>
      </c>
      <c r="AF497" t="s">
        <v>2365</v>
      </c>
      <c r="AG497" t="s">
        <v>2365</v>
      </c>
      <c r="AH497" t="s">
        <v>2365</v>
      </c>
      <c r="AI497" t="s">
        <v>2365</v>
      </c>
      <c r="AJ497" t="s">
        <v>2365</v>
      </c>
      <c r="AK497" t="s">
        <v>2365</v>
      </c>
      <c r="AL497" t="s">
        <v>2365</v>
      </c>
      <c r="AM497" t="s">
        <v>2365</v>
      </c>
      <c r="AN497" t="s">
        <v>2365</v>
      </c>
      <c r="AR497" t="s">
        <v>2365</v>
      </c>
      <c r="AS497" t="s">
        <v>2365</v>
      </c>
      <c r="AT497" t="s">
        <v>2365</v>
      </c>
      <c r="AU497" t="s">
        <v>2365</v>
      </c>
      <c r="AV497" t="s">
        <v>2365</v>
      </c>
      <c r="AW497" t="s">
        <v>2365</v>
      </c>
      <c r="AX497" t="s">
        <v>2365</v>
      </c>
      <c r="AY497" t="s">
        <v>2365</v>
      </c>
      <c r="AZ497" t="s">
        <v>2365</v>
      </c>
      <c r="BA497" t="s">
        <v>2365</v>
      </c>
      <c r="BB497" t="s">
        <v>2365</v>
      </c>
      <c r="BC497" t="s">
        <v>2365</v>
      </c>
      <c r="BD497" t="s">
        <v>2366</v>
      </c>
      <c r="BE497" t="s">
        <v>2365</v>
      </c>
      <c r="BF497" t="s">
        <v>2365</v>
      </c>
      <c r="BG497" t="s">
        <v>2365</v>
      </c>
      <c r="BH497" t="s">
        <v>2365</v>
      </c>
      <c r="BI497" t="s">
        <v>2366</v>
      </c>
      <c r="BJ497" t="s">
        <v>2365</v>
      </c>
      <c r="BK497" t="s">
        <v>2365</v>
      </c>
      <c r="BL497" t="s">
        <v>2365</v>
      </c>
      <c r="BM497" t="s">
        <v>2365</v>
      </c>
      <c r="BO497">
        <v>1</v>
      </c>
      <c r="BP497">
        <v>11</v>
      </c>
      <c r="BQ497" t="s">
        <v>2369</v>
      </c>
      <c r="BR497" t="s">
        <v>1487</v>
      </c>
      <c r="BU497">
        <v>28043</v>
      </c>
      <c r="BV497">
        <v>0</v>
      </c>
      <c r="BW497">
        <v>28043</v>
      </c>
      <c r="BX497">
        <v>0</v>
      </c>
      <c r="BY497">
        <v>28043</v>
      </c>
      <c r="BZ497">
        <v>29725</v>
      </c>
      <c r="CA497">
        <v>31509</v>
      </c>
      <c r="CB497">
        <v>297594.57</v>
      </c>
      <c r="CC497">
        <v>297594.57</v>
      </c>
      <c r="CD497">
        <v>297594.57</v>
      </c>
      <c r="CE497">
        <v>297594.57</v>
      </c>
      <c r="CF497">
        <v>297594.57</v>
      </c>
      <c r="CG497">
        <v>297594.57</v>
      </c>
      <c r="CH497">
        <v>297594.57</v>
      </c>
      <c r="CI497">
        <v>304417.45</v>
      </c>
      <c r="CJ497">
        <v>0</v>
      </c>
      <c r="CK497">
        <v>0</v>
      </c>
      <c r="CL497">
        <v>0</v>
      </c>
      <c r="CM497">
        <v>0</v>
      </c>
      <c r="CR497" t="s">
        <v>2340</v>
      </c>
      <c r="CS497" s="1369" t="str">
        <f>INDEX([8]Sheet1!$H:$H,MATCH(CR:CR,[8]Sheet1!$AU:$AU,0))</f>
        <v>Disaster Management</v>
      </c>
    </row>
    <row r="498" spans="1:97" x14ac:dyDescent="0.2">
      <c r="A498" t="s">
        <v>3059</v>
      </c>
      <c r="B498">
        <v>551</v>
      </c>
      <c r="C498" t="s">
        <v>3059</v>
      </c>
      <c r="D498">
        <v>40605</v>
      </c>
      <c r="E498" t="s">
        <v>3035</v>
      </c>
      <c r="F498">
        <v>200</v>
      </c>
      <c r="G498" t="s">
        <v>559</v>
      </c>
      <c r="H498">
        <v>200</v>
      </c>
      <c r="I498" t="s">
        <v>2863</v>
      </c>
      <c r="J498" t="s">
        <v>2365</v>
      </c>
      <c r="K498" t="s">
        <v>2365</v>
      </c>
      <c r="L498">
        <v>1200</v>
      </c>
      <c r="M498" t="s">
        <v>1480</v>
      </c>
      <c r="N498">
        <v>1204</v>
      </c>
      <c r="O498" t="s">
        <v>1487</v>
      </c>
      <c r="P498" t="s">
        <v>2366</v>
      </c>
      <c r="Q498" t="s">
        <v>2364</v>
      </c>
      <c r="R498" t="s">
        <v>2364</v>
      </c>
      <c r="S498" t="s">
        <v>1881</v>
      </c>
      <c r="T498" t="s">
        <v>1811</v>
      </c>
      <c r="U498" t="s">
        <v>2365</v>
      </c>
      <c r="V498" t="s">
        <v>2365</v>
      </c>
      <c r="W498" t="s">
        <v>2365</v>
      </c>
      <c r="X498" t="s">
        <v>2365</v>
      </c>
      <c r="Y498" t="s">
        <v>2365</v>
      </c>
      <c r="Z498" t="s">
        <v>2365</v>
      </c>
      <c r="AA498" t="s">
        <v>2365</v>
      </c>
      <c r="AB498" t="s">
        <v>2365</v>
      </c>
      <c r="AC498" s="813" t="s">
        <v>2365</v>
      </c>
      <c r="AD498" s="813" t="s">
        <v>2365</v>
      </c>
      <c r="AE498" s="813" t="s">
        <v>2365</v>
      </c>
      <c r="AF498" t="s">
        <v>2365</v>
      </c>
      <c r="AG498" t="s">
        <v>2365</v>
      </c>
      <c r="AH498" t="s">
        <v>2365</v>
      </c>
      <c r="AI498" t="s">
        <v>2365</v>
      </c>
      <c r="AJ498" t="s">
        <v>2365</v>
      </c>
      <c r="AK498" t="s">
        <v>2365</v>
      </c>
      <c r="AL498" t="s">
        <v>2365</v>
      </c>
      <c r="AM498" t="s">
        <v>2365</v>
      </c>
      <c r="AN498" t="s">
        <v>2365</v>
      </c>
      <c r="AR498" t="s">
        <v>2365</v>
      </c>
      <c r="AS498" t="s">
        <v>2365</v>
      </c>
      <c r="AT498" t="s">
        <v>2365</v>
      </c>
      <c r="AU498" t="s">
        <v>2365</v>
      </c>
      <c r="AV498" t="s">
        <v>2365</v>
      </c>
      <c r="AW498" t="s">
        <v>2365</v>
      </c>
      <c r="AX498" t="s">
        <v>2365</v>
      </c>
      <c r="AY498" t="s">
        <v>2365</v>
      </c>
      <c r="AZ498" t="s">
        <v>2365</v>
      </c>
      <c r="BA498" t="s">
        <v>2365</v>
      </c>
      <c r="BB498" t="s">
        <v>2365</v>
      </c>
      <c r="BC498" t="s">
        <v>2365</v>
      </c>
      <c r="BD498" t="s">
        <v>2366</v>
      </c>
      <c r="BE498" t="s">
        <v>2365</v>
      </c>
      <c r="BF498" t="s">
        <v>2365</v>
      </c>
      <c r="BG498" t="s">
        <v>2365</v>
      </c>
      <c r="BH498" t="s">
        <v>2365</v>
      </c>
      <c r="BI498" t="s">
        <v>2366</v>
      </c>
      <c r="BJ498" t="s">
        <v>2365</v>
      </c>
      <c r="BK498" t="s">
        <v>2365</v>
      </c>
      <c r="BL498" t="s">
        <v>2365</v>
      </c>
      <c r="BM498" t="s">
        <v>2365</v>
      </c>
      <c r="BO498">
        <v>1</v>
      </c>
      <c r="BP498">
        <v>11</v>
      </c>
      <c r="BQ498" t="s">
        <v>2369</v>
      </c>
      <c r="BR498" t="s">
        <v>1487</v>
      </c>
      <c r="BU498">
        <v>0</v>
      </c>
      <c r="BV498">
        <v>0</v>
      </c>
      <c r="BW498">
        <v>0</v>
      </c>
      <c r="BX498">
        <v>0</v>
      </c>
      <c r="BY498">
        <v>0</v>
      </c>
      <c r="BZ498">
        <v>0</v>
      </c>
      <c r="CA498">
        <v>0</v>
      </c>
      <c r="CB498">
        <v>0</v>
      </c>
      <c r="CC498">
        <v>0</v>
      </c>
      <c r="CD498">
        <v>0</v>
      </c>
      <c r="CE498">
        <v>0</v>
      </c>
      <c r="CF498">
        <v>0</v>
      </c>
      <c r="CG498">
        <v>0</v>
      </c>
      <c r="CH498">
        <v>0</v>
      </c>
      <c r="CI498">
        <v>0</v>
      </c>
      <c r="CJ498">
        <v>0</v>
      </c>
      <c r="CK498">
        <v>0</v>
      </c>
      <c r="CL498">
        <v>0</v>
      </c>
      <c r="CM498">
        <v>0</v>
      </c>
      <c r="CR498" t="s">
        <v>2340</v>
      </c>
      <c r="CS498" s="1369" t="str">
        <f>INDEX([8]Sheet1!$H:$H,MATCH(CR:CR,[8]Sheet1!$AU:$AU,0))</f>
        <v>Disaster Management</v>
      </c>
    </row>
    <row r="499" spans="1:97" x14ac:dyDescent="0.2">
      <c r="A499" t="s">
        <v>3060</v>
      </c>
      <c r="B499">
        <v>552</v>
      </c>
      <c r="C499" t="s">
        <v>3060</v>
      </c>
      <c r="D499">
        <v>40606</v>
      </c>
      <c r="E499" t="s">
        <v>3037</v>
      </c>
      <c r="F499">
        <v>200</v>
      </c>
      <c r="G499" t="s">
        <v>559</v>
      </c>
      <c r="H499">
        <v>200</v>
      </c>
      <c r="I499" t="s">
        <v>2863</v>
      </c>
      <c r="J499" t="s">
        <v>2365</v>
      </c>
      <c r="K499" t="s">
        <v>2365</v>
      </c>
      <c r="L499">
        <v>1200</v>
      </c>
      <c r="M499" t="s">
        <v>1480</v>
      </c>
      <c r="N499">
        <v>1204</v>
      </c>
      <c r="O499" t="s">
        <v>1487</v>
      </c>
      <c r="P499" t="s">
        <v>2366</v>
      </c>
      <c r="Q499" t="s">
        <v>2364</v>
      </c>
      <c r="R499" t="s">
        <v>2364</v>
      </c>
      <c r="S499" t="s">
        <v>1881</v>
      </c>
      <c r="T499" t="s">
        <v>1811</v>
      </c>
      <c r="U499" t="s">
        <v>2365</v>
      </c>
      <c r="V499" t="s">
        <v>2365</v>
      </c>
      <c r="W499" t="s">
        <v>2365</v>
      </c>
      <c r="X499" t="s">
        <v>2365</v>
      </c>
      <c r="Y499" t="s">
        <v>2365</v>
      </c>
      <c r="Z499" t="s">
        <v>2365</v>
      </c>
      <c r="AA499" t="s">
        <v>2365</v>
      </c>
      <c r="AB499" t="s">
        <v>2365</v>
      </c>
      <c r="AC499" s="813" t="s">
        <v>2365</v>
      </c>
      <c r="AD499" s="813" t="s">
        <v>2365</v>
      </c>
      <c r="AE499" s="813" t="s">
        <v>2365</v>
      </c>
      <c r="AF499" t="s">
        <v>2365</v>
      </c>
      <c r="AG499" t="s">
        <v>2365</v>
      </c>
      <c r="AH499" t="s">
        <v>2365</v>
      </c>
      <c r="AI499" t="s">
        <v>2365</v>
      </c>
      <c r="AJ499" t="s">
        <v>2365</v>
      </c>
      <c r="AK499" t="s">
        <v>2365</v>
      </c>
      <c r="AL499" t="s">
        <v>2365</v>
      </c>
      <c r="AM499" t="s">
        <v>2365</v>
      </c>
      <c r="AN499" t="s">
        <v>2365</v>
      </c>
      <c r="AR499" t="s">
        <v>2365</v>
      </c>
      <c r="AS499" t="s">
        <v>2365</v>
      </c>
      <c r="AT499" t="s">
        <v>2365</v>
      </c>
      <c r="AU499" t="s">
        <v>2365</v>
      </c>
      <c r="AV499" t="s">
        <v>2365</v>
      </c>
      <c r="AW499" t="s">
        <v>2365</v>
      </c>
      <c r="AX499" t="s">
        <v>2365</v>
      </c>
      <c r="AY499" t="s">
        <v>2365</v>
      </c>
      <c r="AZ499" t="s">
        <v>2365</v>
      </c>
      <c r="BA499" t="s">
        <v>2365</v>
      </c>
      <c r="BB499" t="s">
        <v>2365</v>
      </c>
      <c r="BC499" t="s">
        <v>2365</v>
      </c>
      <c r="BD499" t="s">
        <v>2366</v>
      </c>
      <c r="BE499" t="s">
        <v>2365</v>
      </c>
      <c r="BF499" t="s">
        <v>2365</v>
      </c>
      <c r="BG499" t="s">
        <v>2365</v>
      </c>
      <c r="BH499" t="s">
        <v>2365</v>
      </c>
      <c r="BI499" t="s">
        <v>2366</v>
      </c>
      <c r="BJ499" t="s">
        <v>2365</v>
      </c>
      <c r="BK499" t="s">
        <v>2365</v>
      </c>
      <c r="BL499" t="s">
        <v>2365</v>
      </c>
      <c r="BM499" t="s">
        <v>2365</v>
      </c>
      <c r="BO499">
        <v>1</v>
      </c>
      <c r="BP499">
        <v>11</v>
      </c>
      <c r="BQ499" t="s">
        <v>2369</v>
      </c>
      <c r="BR499" t="s">
        <v>1487</v>
      </c>
      <c r="BU499">
        <v>0</v>
      </c>
      <c r="BV499">
        <v>0</v>
      </c>
      <c r="BW499">
        <v>0</v>
      </c>
      <c r="BX499">
        <v>0</v>
      </c>
      <c r="BY499">
        <v>0</v>
      </c>
      <c r="BZ499">
        <v>0</v>
      </c>
      <c r="CA499">
        <v>0</v>
      </c>
      <c r="CB499">
        <v>0</v>
      </c>
      <c r="CC499">
        <v>0</v>
      </c>
      <c r="CD499">
        <v>0</v>
      </c>
      <c r="CE499">
        <v>0</v>
      </c>
      <c r="CF499">
        <v>0</v>
      </c>
      <c r="CG499">
        <v>0</v>
      </c>
      <c r="CH499">
        <v>0</v>
      </c>
      <c r="CI499">
        <v>0</v>
      </c>
      <c r="CJ499">
        <v>0</v>
      </c>
      <c r="CK499">
        <v>0</v>
      </c>
      <c r="CL499">
        <v>0</v>
      </c>
      <c r="CM499">
        <v>0</v>
      </c>
      <c r="CR499" t="s">
        <v>2340</v>
      </c>
      <c r="CS499" s="1369" t="str">
        <f>INDEX([8]Sheet1!$H:$H,MATCH(CR:CR,[8]Sheet1!$AU:$AU,0))</f>
        <v>Disaster Management</v>
      </c>
    </row>
    <row r="500" spans="1:97" x14ac:dyDescent="0.2">
      <c r="A500" t="s">
        <v>3061</v>
      </c>
      <c r="B500">
        <v>553</v>
      </c>
      <c r="C500" t="s">
        <v>3061</v>
      </c>
      <c r="D500">
        <v>40607</v>
      </c>
      <c r="E500" t="s">
        <v>2862</v>
      </c>
      <c r="F500">
        <v>200</v>
      </c>
      <c r="G500" t="s">
        <v>559</v>
      </c>
      <c r="H500">
        <v>200</v>
      </c>
      <c r="I500" t="s">
        <v>2863</v>
      </c>
      <c r="J500" t="s">
        <v>2365</v>
      </c>
      <c r="K500" t="s">
        <v>2365</v>
      </c>
      <c r="L500">
        <v>1200</v>
      </c>
      <c r="M500" t="s">
        <v>1480</v>
      </c>
      <c r="N500">
        <v>1204</v>
      </c>
      <c r="O500" t="s">
        <v>1487</v>
      </c>
      <c r="P500" t="s">
        <v>2366</v>
      </c>
      <c r="Q500" t="s">
        <v>2364</v>
      </c>
      <c r="R500" t="s">
        <v>2364</v>
      </c>
      <c r="S500" t="s">
        <v>1881</v>
      </c>
      <c r="T500" t="s">
        <v>1811</v>
      </c>
      <c r="U500" t="s">
        <v>2365</v>
      </c>
      <c r="V500" t="s">
        <v>2365</v>
      </c>
      <c r="W500" t="s">
        <v>2365</v>
      </c>
      <c r="X500" t="s">
        <v>2365</v>
      </c>
      <c r="Y500" t="s">
        <v>2365</v>
      </c>
      <c r="Z500" t="s">
        <v>2365</v>
      </c>
      <c r="AA500" t="s">
        <v>2365</v>
      </c>
      <c r="AB500" t="s">
        <v>2365</v>
      </c>
      <c r="AC500" s="813" t="s">
        <v>2365</v>
      </c>
      <c r="AD500" s="813" t="s">
        <v>2365</v>
      </c>
      <c r="AE500" s="813" t="s">
        <v>2365</v>
      </c>
      <c r="AF500" t="s">
        <v>2365</v>
      </c>
      <c r="AG500" t="s">
        <v>2365</v>
      </c>
      <c r="AH500" t="s">
        <v>2365</v>
      </c>
      <c r="AI500" t="s">
        <v>2365</v>
      </c>
      <c r="AJ500" t="s">
        <v>2365</v>
      </c>
      <c r="AK500" t="s">
        <v>2365</v>
      </c>
      <c r="AL500" t="s">
        <v>2365</v>
      </c>
      <c r="AM500" t="s">
        <v>2365</v>
      </c>
      <c r="AN500" t="s">
        <v>2365</v>
      </c>
      <c r="AR500" t="s">
        <v>2365</v>
      </c>
      <c r="AS500" t="s">
        <v>2365</v>
      </c>
      <c r="AT500" t="s">
        <v>2365</v>
      </c>
      <c r="AU500" t="s">
        <v>2365</v>
      </c>
      <c r="AV500" t="s">
        <v>2365</v>
      </c>
      <c r="AW500" t="s">
        <v>2365</v>
      </c>
      <c r="AX500" t="s">
        <v>2365</v>
      </c>
      <c r="AY500" t="s">
        <v>2365</v>
      </c>
      <c r="AZ500" t="s">
        <v>2365</v>
      </c>
      <c r="BA500" t="s">
        <v>2365</v>
      </c>
      <c r="BB500" t="s">
        <v>2365</v>
      </c>
      <c r="BC500" t="s">
        <v>2365</v>
      </c>
      <c r="BD500" t="s">
        <v>2366</v>
      </c>
      <c r="BE500" t="s">
        <v>2365</v>
      </c>
      <c r="BF500" t="s">
        <v>2365</v>
      </c>
      <c r="BG500" t="s">
        <v>2365</v>
      </c>
      <c r="BH500" t="s">
        <v>2365</v>
      </c>
      <c r="BI500" t="s">
        <v>2366</v>
      </c>
      <c r="BJ500" t="s">
        <v>2365</v>
      </c>
      <c r="BK500" t="s">
        <v>2365</v>
      </c>
      <c r="BL500" t="s">
        <v>2365</v>
      </c>
      <c r="BM500" t="s">
        <v>2365</v>
      </c>
      <c r="BO500">
        <v>1</v>
      </c>
      <c r="BP500">
        <v>11</v>
      </c>
      <c r="BQ500" t="s">
        <v>2369</v>
      </c>
      <c r="BR500" t="s">
        <v>1487</v>
      </c>
      <c r="BU500">
        <v>0</v>
      </c>
      <c r="BV500">
        <v>0</v>
      </c>
      <c r="BW500">
        <v>0</v>
      </c>
      <c r="BX500">
        <v>0</v>
      </c>
      <c r="BY500">
        <v>0</v>
      </c>
      <c r="BZ500">
        <v>0</v>
      </c>
      <c r="CA500">
        <v>0</v>
      </c>
      <c r="CB500">
        <v>0</v>
      </c>
      <c r="CC500">
        <v>0</v>
      </c>
      <c r="CD500">
        <v>0</v>
      </c>
      <c r="CE500">
        <v>0</v>
      </c>
      <c r="CF500">
        <v>0</v>
      </c>
      <c r="CG500">
        <v>0</v>
      </c>
      <c r="CH500">
        <v>0</v>
      </c>
      <c r="CI500">
        <v>0</v>
      </c>
      <c r="CJ500">
        <v>0</v>
      </c>
      <c r="CK500">
        <v>0</v>
      </c>
      <c r="CL500">
        <v>0</v>
      </c>
      <c r="CM500">
        <v>0</v>
      </c>
      <c r="CR500" t="s">
        <v>2340</v>
      </c>
      <c r="CS500" s="1369" t="str">
        <f>INDEX([8]Sheet1!$H:$H,MATCH(CR:CR,[8]Sheet1!$AU:$AU,0))</f>
        <v>Disaster Management</v>
      </c>
    </row>
    <row r="501" spans="1:97" x14ac:dyDescent="0.2">
      <c r="A501" t="s">
        <v>3062</v>
      </c>
      <c r="B501">
        <v>554</v>
      </c>
      <c r="C501" t="s">
        <v>3062</v>
      </c>
      <c r="D501">
        <v>40608</v>
      </c>
      <c r="E501" t="s">
        <v>3040</v>
      </c>
      <c r="F501">
        <v>200</v>
      </c>
      <c r="G501" t="s">
        <v>559</v>
      </c>
      <c r="H501">
        <v>200</v>
      </c>
      <c r="I501" t="s">
        <v>2863</v>
      </c>
      <c r="J501" t="s">
        <v>2365</v>
      </c>
      <c r="K501" t="s">
        <v>2365</v>
      </c>
      <c r="L501">
        <v>1200</v>
      </c>
      <c r="M501" t="s">
        <v>1480</v>
      </c>
      <c r="N501">
        <v>1204</v>
      </c>
      <c r="O501" t="s">
        <v>1487</v>
      </c>
      <c r="P501" t="s">
        <v>2366</v>
      </c>
      <c r="Q501" t="s">
        <v>2364</v>
      </c>
      <c r="R501" t="s">
        <v>2364</v>
      </c>
      <c r="S501" t="s">
        <v>1881</v>
      </c>
      <c r="T501" t="s">
        <v>1811</v>
      </c>
      <c r="U501" t="s">
        <v>2365</v>
      </c>
      <c r="V501" t="s">
        <v>2365</v>
      </c>
      <c r="W501" t="s">
        <v>2365</v>
      </c>
      <c r="X501" t="s">
        <v>2365</v>
      </c>
      <c r="Y501" t="s">
        <v>2365</v>
      </c>
      <c r="Z501" t="s">
        <v>2365</v>
      </c>
      <c r="AA501" t="s">
        <v>2365</v>
      </c>
      <c r="AB501" t="s">
        <v>2365</v>
      </c>
      <c r="AC501" s="813" t="s">
        <v>2365</v>
      </c>
      <c r="AD501" s="813" t="s">
        <v>2365</v>
      </c>
      <c r="AE501" s="813" t="s">
        <v>2365</v>
      </c>
      <c r="AF501" t="s">
        <v>2365</v>
      </c>
      <c r="AG501" t="s">
        <v>2365</v>
      </c>
      <c r="AH501" t="s">
        <v>2365</v>
      </c>
      <c r="AI501" t="s">
        <v>2365</v>
      </c>
      <c r="AJ501" t="s">
        <v>2365</v>
      </c>
      <c r="AK501" t="s">
        <v>2365</v>
      </c>
      <c r="AL501" t="s">
        <v>2365</v>
      </c>
      <c r="AM501" t="s">
        <v>2365</v>
      </c>
      <c r="AN501" t="s">
        <v>2365</v>
      </c>
      <c r="AR501" t="s">
        <v>2365</v>
      </c>
      <c r="AS501" t="s">
        <v>2365</v>
      </c>
      <c r="AT501" t="s">
        <v>2365</v>
      </c>
      <c r="AU501" t="s">
        <v>2365</v>
      </c>
      <c r="AV501" t="s">
        <v>2365</v>
      </c>
      <c r="AW501" t="s">
        <v>2365</v>
      </c>
      <c r="AX501" t="s">
        <v>2365</v>
      </c>
      <c r="AY501" t="s">
        <v>2365</v>
      </c>
      <c r="AZ501" t="s">
        <v>2365</v>
      </c>
      <c r="BA501" t="s">
        <v>2365</v>
      </c>
      <c r="BB501" t="s">
        <v>2365</v>
      </c>
      <c r="BC501" t="s">
        <v>2365</v>
      </c>
      <c r="BD501" t="s">
        <v>2366</v>
      </c>
      <c r="BE501" t="s">
        <v>2365</v>
      </c>
      <c r="BF501" t="s">
        <v>2365</v>
      </c>
      <c r="BG501" t="s">
        <v>2365</v>
      </c>
      <c r="BH501" t="s">
        <v>2365</v>
      </c>
      <c r="BI501" t="s">
        <v>2366</v>
      </c>
      <c r="BJ501" t="s">
        <v>2365</v>
      </c>
      <c r="BK501" t="s">
        <v>2365</v>
      </c>
      <c r="BL501" t="s">
        <v>2365</v>
      </c>
      <c r="BM501" t="s">
        <v>2365</v>
      </c>
      <c r="BO501">
        <v>1</v>
      </c>
      <c r="BP501">
        <v>11</v>
      </c>
      <c r="BQ501" t="s">
        <v>2369</v>
      </c>
      <c r="BR501" t="s">
        <v>1487</v>
      </c>
      <c r="BU501">
        <v>0</v>
      </c>
      <c r="BV501">
        <v>0</v>
      </c>
      <c r="BW501">
        <v>0</v>
      </c>
      <c r="BX501">
        <v>0</v>
      </c>
      <c r="BY501">
        <v>0</v>
      </c>
      <c r="BZ501">
        <v>0</v>
      </c>
      <c r="CA501">
        <v>0</v>
      </c>
      <c r="CB501">
        <v>0</v>
      </c>
      <c r="CC501">
        <v>0</v>
      </c>
      <c r="CD501">
        <v>0</v>
      </c>
      <c r="CE501">
        <v>0</v>
      </c>
      <c r="CF501">
        <v>0</v>
      </c>
      <c r="CG501">
        <v>0</v>
      </c>
      <c r="CH501">
        <v>0</v>
      </c>
      <c r="CI501">
        <v>0</v>
      </c>
      <c r="CJ501">
        <v>0</v>
      </c>
      <c r="CK501">
        <v>0</v>
      </c>
      <c r="CL501">
        <v>0</v>
      </c>
      <c r="CM501">
        <v>0</v>
      </c>
      <c r="CR501" t="s">
        <v>2340</v>
      </c>
      <c r="CS501" s="1369" t="str">
        <f>INDEX([8]Sheet1!$H:$H,MATCH(CR:CR,[8]Sheet1!$AU:$AU,0))</f>
        <v>Disaster Management</v>
      </c>
    </row>
    <row r="502" spans="1:97" x14ac:dyDescent="0.2">
      <c r="A502" t="s">
        <v>3063</v>
      </c>
      <c r="B502">
        <v>555</v>
      </c>
      <c r="C502" t="s">
        <v>3063</v>
      </c>
      <c r="D502">
        <v>40609</v>
      </c>
      <c r="E502" t="s">
        <v>3042</v>
      </c>
      <c r="F502">
        <v>200</v>
      </c>
      <c r="G502" t="s">
        <v>559</v>
      </c>
      <c r="H502">
        <v>200</v>
      </c>
      <c r="I502" t="s">
        <v>2863</v>
      </c>
      <c r="J502" t="s">
        <v>2365</v>
      </c>
      <c r="K502" t="s">
        <v>2365</v>
      </c>
      <c r="L502">
        <v>1200</v>
      </c>
      <c r="M502" t="s">
        <v>1480</v>
      </c>
      <c r="N502">
        <v>1204</v>
      </c>
      <c r="O502" t="s">
        <v>1487</v>
      </c>
      <c r="P502" t="s">
        <v>2366</v>
      </c>
      <c r="Q502" t="s">
        <v>2364</v>
      </c>
      <c r="R502" t="s">
        <v>2364</v>
      </c>
      <c r="S502" t="s">
        <v>1881</v>
      </c>
      <c r="T502" t="s">
        <v>1811</v>
      </c>
      <c r="U502" t="s">
        <v>2365</v>
      </c>
      <c r="V502" t="s">
        <v>2365</v>
      </c>
      <c r="W502" t="s">
        <v>2365</v>
      </c>
      <c r="X502" t="s">
        <v>2365</v>
      </c>
      <c r="Y502" t="s">
        <v>2365</v>
      </c>
      <c r="Z502" t="s">
        <v>2365</v>
      </c>
      <c r="AA502" t="s">
        <v>2365</v>
      </c>
      <c r="AB502" t="s">
        <v>2365</v>
      </c>
      <c r="AC502" s="813" t="s">
        <v>2365</v>
      </c>
      <c r="AD502" s="813" t="s">
        <v>2365</v>
      </c>
      <c r="AE502" s="813" t="s">
        <v>2365</v>
      </c>
      <c r="AF502" t="s">
        <v>2365</v>
      </c>
      <c r="AG502" t="s">
        <v>2365</v>
      </c>
      <c r="AH502" t="s">
        <v>2365</v>
      </c>
      <c r="AI502" t="s">
        <v>2365</v>
      </c>
      <c r="AJ502" t="s">
        <v>2365</v>
      </c>
      <c r="AK502" t="s">
        <v>2365</v>
      </c>
      <c r="AL502" t="s">
        <v>2365</v>
      </c>
      <c r="AM502" t="s">
        <v>2365</v>
      </c>
      <c r="AN502" t="s">
        <v>2365</v>
      </c>
      <c r="AR502" t="s">
        <v>2365</v>
      </c>
      <c r="AS502" t="s">
        <v>2365</v>
      </c>
      <c r="AT502" t="s">
        <v>2365</v>
      </c>
      <c r="AU502" t="s">
        <v>2365</v>
      </c>
      <c r="AV502" t="s">
        <v>2365</v>
      </c>
      <c r="AW502" t="s">
        <v>2365</v>
      </c>
      <c r="AX502" t="s">
        <v>2365</v>
      </c>
      <c r="AY502" t="s">
        <v>2365</v>
      </c>
      <c r="AZ502" t="s">
        <v>2365</v>
      </c>
      <c r="BA502" t="s">
        <v>2365</v>
      </c>
      <c r="BB502" t="s">
        <v>2365</v>
      </c>
      <c r="BC502" t="s">
        <v>2365</v>
      </c>
      <c r="BD502" t="s">
        <v>2366</v>
      </c>
      <c r="BE502" t="s">
        <v>2365</v>
      </c>
      <c r="BF502" t="s">
        <v>2365</v>
      </c>
      <c r="BG502" t="s">
        <v>2365</v>
      </c>
      <c r="BH502" t="s">
        <v>2365</v>
      </c>
      <c r="BI502" t="s">
        <v>2366</v>
      </c>
      <c r="BJ502" t="s">
        <v>2365</v>
      </c>
      <c r="BK502" t="s">
        <v>2365</v>
      </c>
      <c r="BL502" t="s">
        <v>2365</v>
      </c>
      <c r="BM502" t="s">
        <v>2365</v>
      </c>
      <c r="BO502">
        <v>1</v>
      </c>
      <c r="BP502">
        <v>11</v>
      </c>
      <c r="BQ502" t="s">
        <v>2369</v>
      </c>
      <c r="BR502" t="s">
        <v>1487</v>
      </c>
      <c r="BU502">
        <v>0</v>
      </c>
      <c r="BV502">
        <v>0</v>
      </c>
      <c r="BW502">
        <v>0</v>
      </c>
      <c r="BX502">
        <v>0</v>
      </c>
      <c r="BY502">
        <v>0</v>
      </c>
      <c r="BZ502">
        <v>0</v>
      </c>
      <c r="CA502">
        <v>0</v>
      </c>
      <c r="CB502">
        <v>0</v>
      </c>
      <c r="CC502">
        <v>0</v>
      </c>
      <c r="CD502">
        <v>0</v>
      </c>
      <c r="CE502">
        <v>0</v>
      </c>
      <c r="CF502">
        <v>0</v>
      </c>
      <c r="CG502">
        <v>0</v>
      </c>
      <c r="CH502">
        <v>0</v>
      </c>
      <c r="CI502">
        <v>0</v>
      </c>
      <c r="CJ502">
        <v>0</v>
      </c>
      <c r="CK502">
        <v>0</v>
      </c>
      <c r="CL502">
        <v>0</v>
      </c>
      <c r="CM502">
        <v>0</v>
      </c>
      <c r="CR502" t="s">
        <v>2340</v>
      </c>
      <c r="CS502" s="1369" t="str">
        <f>INDEX([8]Sheet1!$H:$H,MATCH(CR:CR,[8]Sheet1!$AU:$AU,0))</f>
        <v>Disaster Management</v>
      </c>
    </row>
    <row r="503" spans="1:97" x14ac:dyDescent="0.2">
      <c r="A503" t="s">
        <v>3064</v>
      </c>
      <c r="B503">
        <v>556</v>
      </c>
      <c r="C503" t="s">
        <v>3064</v>
      </c>
      <c r="D503">
        <v>40610</v>
      </c>
      <c r="E503" t="s">
        <v>3044</v>
      </c>
      <c r="F503">
        <v>200</v>
      </c>
      <c r="G503" t="s">
        <v>559</v>
      </c>
      <c r="H503">
        <v>200</v>
      </c>
      <c r="I503" t="s">
        <v>2863</v>
      </c>
      <c r="J503" t="s">
        <v>2365</v>
      </c>
      <c r="K503" t="s">
        <v>2365</v>
      </c>
      <c r="L503">
        <v>1200</v>
      </c>
      <c r="M503" t="s">
        <v>1480</v>
      </c>
      <c r="N503">
        <v>1204</v>
      </c>
      <c r="O503" t="s">
        <v>1487</v>
      </c>
      <c r="P503" t="s">
        <v>2366</v>
      </c>
      <c r="Q503" t="s">
        <v>2364</v>
      </c>
      <c r="R503" t="s">
        <v>2364</v>
      </c>
      <c r="S503" t="s">
        <v>1881</v>
      </c>
      <c r="T503" t="s">
        <v>1811</v>
      </c>
      <c r="U503" t="s">
        <v>2365</v>
      </c>
      <c r="V503" t="s">
        <v>2365</v>
      </c>
      <c r="W503" t="s">
        <v>2365</v>
      </c>
      <c r="X503" t="s">
        <v>2365</v>
      </c>
      <c r="Y503" t="s">
        <v>2365</v>
      </c>
      <c r="Z503" t="s">
        <v>2365</v>
      </c>
      <c r="AA503" t="s">
        <v>2365</v>
      </c>
      <c r="AB503" t="s">
        <v>2365</v>
      </c>
      <c r="AC503" s="813" t="s">
        <v>2365</v>
      </c>
      <c r="AD503" s="813" t="s">
        <v>2365</v>
      </c>
      <c r="AE503" s="813" t="s">
        <v>2365</v>
      </c>
      <c r="AF503" t="s">
        <v>2365</v>
      </c>
      <c r="AG503" t="s">
        <v>2365</v>
      </c>
      <c r="AH503" t="s">
        <v>2365</v>
      </c>
      <c r="AI503" t="s">
        <v>2365</v>
      </c>
      <c r="AJ503" t="s">
        <v>2365</v>
      </c>
      <c r="AK503" t="s">
        <v>2365</v>
      </c>
      <c r="AL503" t="s">
        <v>2365</v>
      </c>
      <c r="AM503" t="s">
        <v>2365</v>
      </c>
      <c r="AN503" t="s">
        <v>2365</v>
      </c>
      <c r="AR503" t="s">
        <v>2365</v>
      </c>
      <c r="AS503" t="s">
        <v>2365</v>
      </c>
      <c r="AT503" t="s">
        <v>2365</v>
      </c>
      <c r="AU503" t="s">
        <v>2365</v>
      </c>
      <c r="AV503" t="s">
        <v>2365</v>
      </c>
      <c r="AW503" t="s">
        <v>2365</v>
      </c>
      <c r="AX503" t="s">
        <v>2365</v>
      </c>
      <c r="AY503" t="s">
        <v>2365</v>
      </c>
      <c r="AZ503" t="s">
        <v>2365</v>
      </c>
      <c r="BA503" t="s">
        <v>2365</v>
      </c>
      <c r="BB503" t="s">
        <v>2365</v>
      </c>
      <c r="BC503" t="s">
        <v>2365</v>
      </c>
      <c r="BD503" t="s">
        <v>2366</v>
      </c>
      <c r="BE503" t="s">
        <v>2365</v>
      </c>
      <c r="BF503" t="s">
        <v>2365</v>
      </c>
      <c r="BG503" t="s">
        <v>2365</v>
      </c>
      <c r="BH503" t="s">
        <v>2365</v>
      </c>
      <c r="BI503" t="s">
        <v>2366</v>
      </c>
      <c r="BJ503" t="s">
        <v>2365</v>
      </c>
      <c r="BK503" t="s">
        <v>2365</v>
      </c>
      <c r="BL503" t="s">
        <v>2365</v>
      </c>
      <c r="BM503" t="s">
        <v>2365</v>
      </c>
      <c r="BO503">
        <v>1</v>
      </c>
      <c r="BP503">
        <v>11</v>
      </c>
      <c r="BQ503" t="s">
        <v>2369</v>
      </c>
      <c r="BR503" t="s">
        <v>1487</v>
      </c>
      <c r="BU503">
        <v>0</v>
      </c>
      <c r="BV503">
        <v>0</v>
      </c>
      <c r="BW503">
        <v>0</v>
      </c>
      <c r="BX503">
        <v>0</v>
      </c>
      <c r="BY503">
        <v>0</v>
      </c>
      <c r="BZ503">
        <v>0</v>
      </c>
      <c r="CA503">
        <v>0</v>
      </c>
      <c r="CB503">
        <v>0</v>
      </c>
      <c r="CC503">
        <v>0</v>
      </c>
      <c r="CD503">
        <v>0</v>
      </c>
      <c r="CE503">
        <v>0</v>
      </c>
      <c r="CF503">
        <v>0</v>
      </c>
      <c r="CG503">
        <v>0</v>
      </c>
      <c r="CH503">
        <v>0</v>
      </c>
      <c r="CI503">
        <v>0</v>
      </c>
      <c r="CJ503">
        <v>0</v>
      </c>
      <c r="CK503">
        <v>0</v>
      </c>
      <c r="CL503">
        <v>0</v>
      </c>
      <c r="CM503">
        <v>0</v>
      </c>
      <c r="CR503" t="s">
        <v>2340</v>
      </c>
      <c r="CS503" s="1369" t="str">
        <f>INDEX([8]Sheet1!$H:$H,MATCH(CR:CR,[8]Sheet1!$AU:$AU,0))</f>
        <v>Disaster Management</v>
      </c>
    </row>
    <row r="504" spans="1:97" x14ac:dyDescent="0.2">
      <c r="A504" t="s">
        <v>3065</v>
      </c>
      <c r="B504">
        <v>557</v>
      </c>
      <c r="C504" t="s">
        <v>3065</v>
      </c>
      <c r="D504">
        <v>40611</v>
      </c>
      <c r="E504" t="s">
        <v>3046</v>
      </c>
      <c r="F504">
        <v>200</v>
      </c>
      <c r="G504" t="s">
        <v>559</v>
      </c>
      <c r="H504">
        <v>200</v>
      </c>
      <c r="I504" t="s">
        <v>2863</v>
      </c>
      <c r="J504" t="s">
        <v>2365</v>
      </c>
      <c r="K504" t="s">
        <v>2365</v>
      </c>
      <c r="L504">
        <v>1200</v>
      </c>
      <c r="M504" t="s">
        <v>1480</v>
      </c>
      <c r="N504">
        <v>1204</v>
      </c>
      <c r="O504" t="s">
        <v>1487</v>
      </c>
      <c r="P504" t="s">
        <v>2366</v>
      </c>
      <c r="Q504" t="s">
        <v>2364</v>
      </c>
      <c r="R504" t="s">
        <v>2364</v>
      </c>
      <c r="S504" t="s">
        <v>1881</v>
      </c>
      <c r="T504" t="s">
        <v>1811</v>
      </c>
      <c r="U504" t="s">
        <v>2365</v>
      </c>
      <c r="V504" t="s">
        <v>2365</v>
      </c>
      <c r="W504" t="s">
        <v>2365</v>
      </c>
      <c r="X504" t="s">
        <v>2365</v>
      </c>
      <c r="Y504" t="s">
        <v>2365</v>
      </c>
      <c r="Z504" t="s">
        <v>2365</v>
      </c>
      <c r="AA504" t="s">
        <v>2365</v>
      </c>
      <c r="AB504" t="s">
        <v>2365</v>
      </c>
      <c r="AC504" s="813" t="s">
        <v>2365</v>
      </c>
      <c r="AD504" s="813" t="s">
        <v>2365</v>
      </c>
      <c r="AE504" s="813" t="s">
        <v>2365</v>
      </c>
      <c r="AF504" t="s">
        <v>2365</v>
      </c>
      <c r="AG504" t="s">
        <v>2365</v>
      </c>
      <c r="AH504" t="s">
        <v>2365</v>
      </c>
      <c r="AI504" t="s">
        <v>2365</v>
      </c>
      <c r="AJ504" t="s">
        <v>2365</v>
      </c>
      <c r="AK504" t="s">
        <v>2365</v>
      </c>
      <c r="AL504" t="s">
        <v>2365</v>
      </c>
      <c r="AM504" t="s">
        <v>2365</v>
      </c>
      <c r="AN504" t="s">
        <v>2365</v>
      </c>
      <c r="AR504" t="s">
        <v>2365</v>
      </c>
      <c r="AS504" t="s">
        <v>2365</v>
      </c>
      <c r="AT504" t="s">
        <v>2365</v>
      </c>
      <c r="AU504" t="s">
        <v>2365</v>
      </c>
      <c r="AV504" t="s">
        <v>2365</v>
      </c>
      <c r="AW504" t="s">
        <v>2365</v>
      </c>
      <c r="AX504" t="s">
        <v>2365</v>
      </c>
      <c r="AY504" t="s">
        <v>2365</v>
      </c>
      <c r="AZ504" t="s">
        <v>2365</v>
      </c>
      <c r="BA504" t="s">
        <v>2365</v>
      </c>
      <c r="BB504" t="s">
        <v>2365</v>
      </c>
      <c r="BC504" t="s">
        <v>2365</v>
      </c>
      <c r="BD504" t="s">
        <v>2366</v>
      </c>
      <c r="BE504" t="s">
        <v>2365</v>
      </c>
      <c r="BF504" t="s">
        <v>2365</v>
      </c>
      <c r="BG504" t="s">
        <v>2365</v>
      </c>
      <c r="BH504" t="s">
        <v>2365</v>
      </c>
      <c r="BI504" t="s">
        <v>2366</v>
      </c>
      <c r="BJ504" t="s">
        <v>2365</v>
      </c>
      <c r="BK504" t="s">
        <v>2365</v>
      </c>
      <c r="BL504" t="s">
        <v>2365</v>
      </c>
      <c r="BM504" t="s">
        <v>2365</v>
      </c>
      <c r="BO504">
        <v>1</v>
      </c>
      <c r="BP504">
        <v>11</v>
      </c>
      <c r="BQ504" t="s">
        <v>2369</v>
      </c>
      <c r="BR504" t="s">
        <v>1487</v>
      </c>
      <c r="BU504">
        <v>0</v>
      </c>
      <c r="BV504">
        <v>0</v>
      </c>
      <c r="BW504">
        <v>0</v>
      </c>
      <c r="BX504">
        <v>0</v>
      </c>
      <c r="BY504">
        <v>0</v>
      </c>
      <c r="BZ504">
        <v>0</v>
      </c>
      <c r="CA504">
        <v>0</v>
      </c>
      <c r="CB504">
        <v>0</v>
      </c>
      <c r="CC504">
        <v>0</v>
      </c>
      <c r="CD504">
        <v>0</v>
      </c>
      <c r="CE504">
        <v>0</v>
      </c>
      <c r="CF504">
        <v>0</v>
      </c>
      <c r="CG504">
        <v>0</v>
      </c>
      <c r="CH504">
        <v>0</v>
      </c>
      <c r="CI504">
        <v>0</v>
      </c>
      <c r="CJ504">
        <v>0</v>
      </c>
      <c r="CK504">
        <v>0</v>
      </c>
      <c r="CL504">
        <v>0</v>
      </c>
      <c r="CM504">
        <v>0</v>
      </c>
      <c r="CR504" t="s">
        <v>2340</v>
      </c>
      <c r="CS504" s="1369" t="str">
        <f>INDEX([8]Sheet1!$H:$H,MATCH(CR:CR,[8]Sheet1!$AU:$AU,0))</f>
        <v>Disaster Management</v>
      </c>
    </row>
    <row r="505" spans="1:97" x14ac:dyDescent="0.2">
      <c r="A505" t="s">
        <v>3066</v>
      </c>
      <c r="B505">
        <v>558</v>
      </c>
      <c r="C505" t="s">
        <v>3066</v>
      </c>
      <c r="D505">
        <v>40612</v>
      </c>
      <c r="E505" t="s">
        <v>3048</v>
      </c>
      <c r="F505">
        <v>200</v>
      </c>
      <c r="G505" t="s">
        <v>559</v>
      </c>
      <c r="H505">
        <v>200</v>
      </c>
      <c r="I505" t="s">
        <v>2863</v>
      </c>
      <c r="J505" t="s">
        <v>2365</v>
      </c>
      <c r="K505" t="s">
        <v>2365</v>
      </c>
      <c r="L505">
        <v>1200</v>
      </c>
      <c r="M505" t="s">
        <v>1480</v>
      </c>
      <c r="N505">
        <v>1204</v>
      </c>
      <c r="O505" t="s">
        <v>1487</v>
      </c>
      <c r="P505" t="s">
        <v>2366</v>
      </c>
      <c r="Q505" t="s">
        <v>2364</v>
      </c>
      <c r="R505" t="s">
        <v>2364</v>
      </c>
      <c r="S505" t="s">
        <v>1881</v>
      </c>
      <c r="T505" t="s">
        <v>1811</v>
      </c>
      <c r="U505" t="s">
        <v>2365</v>
      </c>
      <c r="V505" t="s">
        <v>2365</v>
      </c>
      <c r="W505" t="s">
        <v>2365</v>
      </c>
      <c r="X505" t="s">
        <v>2365</v>
      </c>
      <c r="Y505" t="s">
        <v>2365</v>
      </c>
      <c r="Z505" t="s">
        <v>2365</v>
      </c>
      <c r="AA505" t="s">
        <v>2365</v>
      </c>
      <c r="AB505" t="s">
        <v>2365</v>
      </c>
      <c r="AC505" s="813" t="s">
        <v>2365</v>
      </c>
      <c r="AD505" s="813" t="s">
        <v>2365</v>
      </c>
      <c r="AE505" s="813" t="s">
        <v>2365</v>
      </c>
      <c r="AF505" t="s">
        <v>2365</v>
      </c>
      <c r="AG505" t="s">
        <v>2365</v>
      </c>
      <c r="AH505" t="s">
        <v>2365</v>
      </c>
      <c r="AI505" t="s">
        <v>2365</v>
      </c>
      <c r="AJ505" t="s">
        <v>2365</v>
      </c>
      <c r="AK505" t="s">
        <v>2365</v>
      </c>
      <c r="AL505" t="s">
        <v>2365</v>
      </c>
      <c r="AM505" t="s">
        <v>2365</v>
      </c>
      <c r="AN505" t="s">
        <v>2365</v>
      </c>
      <c r="AR505" t="s">
        <v>2365</v>
      </c>
      <c r="AS505" t="s">
        <v>2365</v>
      </c>
      <c r="AT505" t="s">
        <v>2365</v>
      </c>
      <c r="AU505" t="s">
        <v>2365</v>
      </c>
      <c r="AV505" t="s">
        <v>2365</v>
      </c>
      <c r="AW505" t="s">
        <v>2365</v>
      </c>
      <c r="AX505" t="s">
        <v>2365</v>
      </c>
      <c r="AY505" t="s">
        <v>2365</v>
      </c>
      <c r="AZ505" t="s">
        <v>2365</v>
      </c>
      <c r="BA505" t="s">
        <v>2365</v>
      </c>
      <c r="BB505" t="s">
        <v>2365</v>
      </c>
      <c r="BC505" t="s">
        <v>2365</v>
      </c>
      <c r="BD505" t="s">
        <v>2366</v>
      </c>
      <c r="BE505" t="s">
        <v>2365</v>
      </c>
      <c r="BF505" t="s">
        <v>2365</v>
      </c>
      <c r="BG505" t="s">
        <v>2365</v>
      </c>
      <c r="BH505" t="s">
        <v>2365</v>
      </c>
      <c r="BI505" t="s">
        <v>2366</v>
      </c>
      <c r="BJ505" t="s">
        <v>2365</v>
      </c>
      <c r="BK505" t="s">
        <v>2365</v>
      </c>
      <c r="BL505" t="s">
        <v>2365</v>
      </c>
      <c r="BM505" t="s">
        <v>2365</v>
      </c>
      <c r="BO505">
        <v>1</v>
      </c>
      <c r="BP505">
        <v>11</v>
      </c>
      <c r="BQ505" t="s">
        <v>2369</v>
      </c>
      <c r="BR505" t="s">
        <v>1487</v>
      </c>
      <c r="BU505">
        <v>0</v>
      </c>
      <c r="BV505">
        <v>0</v>
      </c>
      <c r="BW505">
        <v>0</v>
      </c>
      <c r="BX505">
        <v>0</v>
      </c>
      <c r="BY505">
        <v>0</v>
      </c>
      <c r="BZ505">
        <v>0</v>
      </c>
      <c r="CA505">
        <v>0</v>
      </c>
      <c r="CB505">
        <v>0</v>
      </c>
      <c r="CC505">
        <v>0</v>
      </c>
      <c r="CD505">
        <v>0</v>
      </c>
      <c r="CE505">
        <v>0</v>
      </c>
      <c r="CF505">
        <v>0</v>
      </c>
      <c r="CG505">
        <v>0</v>
      </c>
      <c r="CH505">
        <v>0</v>
      </c>
      <c r="CI505">
        <v>0</v>
      </c>
      <c r="CJ505">
        <v>0</v>
      </c>
      <c r="CK505">
        <v>0</v>
      </c>
      <c r="CL505">
        <v>0</v>
      </c>
      <c r="CM505">
        <v>0</v>
      </c>
      <c r="CR505" t="s">
        <v>2340</v>
      </c>
      <c r="CS505" s="1369" t="str">
        <f>INDEX([8]Sheet1!$H:$H,MATCH(CR:CR,[8]Sheet1!$AU:$AU,0))</f>
        <v>Disaster Management</v>
      </c>
    </row>
    <row r="506" spans="1:97" x14ac:dyDescent="0.2">
      <c r="A506" t="s">
        <v>3067</v>
      </c>
      <c r="B506">
        <v>559</v>
      </c>
      <c r="C506" t="s">
        <v>3067</v>
      </c>
      <c r="D506">
        <v>40613</v>
      </c>
      <c r="E506" t="s">
        <v>3050</v>
      </c>
      <c r="F506">
        <v>200</v>
      </c>
      <c r="G506" t="s">
        <v>559</v>
      </c>
      <c r="H506">
        <v>200</v>
      </c>
      <c r="I506" t="s">
        <v>2863</v>
      </c>
      <c r="J506" t="s">
        <v>2365</v>
      </c>
      <c r="K506" t="s">
        <v>2365</v>
      </c>
      <c r="L506">
        <v>1200</v>
      </c>
      <c r="M506" t="s">
        <v>1480</v>
      </c>
      <c r="N506">
        <v>1204</v>
      </c>
      <c r="O506" t="s">
        <v>1487</v>
      </c>
      <c r="P506" t="s">
        <v>2366</v>
      </c>
      <c r="Q506" t="s">
        <v>2364</v>
      </c>
      <c r="R506" t="s">
        <v>2364</v>
      </c>
      <c r="S506" t="s">
        <v>1881</v>
      </c>
      <c r="T506" t="s">
        <v>1811</v>
      </c>
      <c r="U506" t="s">
        <v>2365</v>
      </c>
      <c r="V506" t="s">
        <v>2365</v>
      </c>
      <c r="W506" t="s">
        <v>2365</v>
      </c>
      <c r="X506" t="s">
        <v>2365</v>
      </c>
      <c r="Y506" t="s">
        <v>2365</v>
      </c>
      <c r="Z506" t="s">
        <v>2365</v>
      </c>
      <c r="AA506" t="s">
        <v>2365</v>
      </c>
      <c r="AB506" t="s">
        <v>2365</v>
      </c>
      <c r="AC506" s="813" t="s">
        <v>2365</v>
      </c>
      <c r="AD506" s="813" t="s">
        <v>2365</v>
      </c>
      <c r="AE506" s="813" t="s">
        <v>2365</v>
      </c>
      <c r="AF506" t="s">
        <v>2365</v>
      </c>
      <c r="AG506" t="s">
        <v>2365</v>
      </c>
      <c r="AH506" t="s">
        <v>2365</v>
      </c>
      <c r="AI506" t="s">
        <v>2365</v>
      </c>
      <c r="AJ506" t="s">
        <v>2365</v>
      </c>
      <c r="AK506" t="s">
        <v>2365</v>
      </c>
      <c r="AL506" t="s">
        <v>2365</v>
      </c>
      <c r="AM506" t="s">
        <v>2365</v>
      </c>
      <c r="AN506" t="s">
        <v>2365</v>
      </c>
      <c r="AR506" t="s">
        <v>2365</v>
      </c>
      <c r="AS506" t="s">
        <v>2365</v>
      </c>
      <c r="AT506" t="s">
        <v>2365</v>
      </c>
      <c r="AU506" t="s">
        <v>2365</v>
      </c>
      <c r="AV506" t="s">
        <v>2365</v>
      </c>
      <c r="AW506" t="s">
        <v>2365</v>
      </c>
      <c r="AX506" t="s">
        <v>2365</v>
      </c>
      <c r="AY506" t="s">
        <v>2365</v>
      </c>
      <c r="AZ506" t="s">
        <v>2365</v>
      </c>
      <c r="BA506" t="s">
        <v>2365</v>
      </c>
      <c r="BB506" t="s">
        <v>2365</v>
      </c>
      <c r="BC506" t="s">
        <v>2365</v>
      </c>
      <c r="BD506" t="s">
        <v>2366</v>
      </c>
      <c r="BE506" t="s">
        <v>2365</v>
      </c>
      <c r="BF506" t="s">
        <v>2365</v>
      </c>
      <c r="BG506" t="s">
        <v>2365</v>
      </c>
      <c r="BH506" t="s">
        <v>2365</v>
      </c>
      <c r="BI506" t="s">
        <v>2366</v>
      </c>
      <c r="BJ506" t="s">
        <v>2365</v>
      </c>
      <c r="BK506" t="s">
        <v>2365</v>
      </c>
      <c r="BL506" t="s">
        <v>2365</v>
      </c>
      <c r="BM506" t="s">
        <v>2365</v>
      </c>
      <c r="BO506">
        <v>1</v>
      </c>
      <c r="BP506">
        <v>11</v>
      </c>
      <c r="BQ506" t="s">
        <v>2369</v>
      </c>
      <c r="BR506" t="s">
        <v>1487</v>
      </c>
      <c r="BU506">
        <v>0</v>
      </c>
      <c r="BV506">
        <v>0</v>
      </c>
      <c r="BW506">
        <v>0</v>
      </c>
      <c r="BX506">
        <v>0</v>
      </c>
      <c r="BY506">
        <v>0</v>
      </c>
      <c r="BZ506">
        <v>0</v>
      </c>
      <c r="CA506">
        <v>0</v>
      </c>
      <c r="CB506">
        <v>0</v>
      </c>
      <c r="CC506">
        <v>0</v>
      </c>
      <c r="CD506">
        <v>0</v>
      </c>
      <c r="CE506">
        <v>0</v>
      </c>
      <c r="CF506">
        <v>0</v>
      </c>
      <c r="CG506">
        <v>0</v>
      </c>
      <c r="CH506">
        <v>0</v>
      </c>
      <c r="CI506">
        <v>0</v>
      </c>
      <c r="CJ506">
        <v>0</v>
      </c>
      <c r="CK506">
        <v>0</v>
      </c>
      <c r="CL506">
        <v>0</v>
      </c>
      <c r="CM506">
        <v>0</v>
      </c>
      <c r="CR506" t="s">
        <v>2340</v>
      </c>
      <c r="CS506" s="1369" t="str">
        <f>INDEX([8]Sheet1!$H:$H,MATCH(CR:CR,[8]Sheet1!$AU:$AU,0))</f>
        <v>Disaster Management</v>
      </c>
    </row>
    <row r="507" spans="1:97" x14ac:dyDescent="0.2">
      <c r="A507" t="s">
        <v>3068</v>
      </c>
      <c r="B507">
        <v>560</v>
      </c>
      <c r="C507" t="s">
        <v>3068</v>
      </c>
      <c r="D507">
        <v>40614</v>
      </c>
      <c r="E507" t="s">
        <v>3052</v>
      </c>
      <c r="F507">
        <v>200</v>
      </c>
      <c r="G507" t="s">
        <v>559</v>
      </c>
      <c r="H507">
        <v>200</v>
      </c>
      <c r="I507" t="s">
        <v>2863</v>
      </c>
      <c r="J507" t="s">
        <v>2365</v>
      </c>
      <c r="K507" t="s">
        <v>2365</v>
      </c>
      <c r="L507">
        <v>1200</v>
      </c>
      <c r="M507" t="s">
        <v>1480</v>
      </c>
      <c r="N507">
        <v>1204</v>
      </c>
      <c r="O507" t="s">
        <v>1487</v>
      </c>
      <c r="P507" t="s">
        <v>2366</v>
      </c>
      <c r="Q507" t="s">
        <v>2364</v>
      </c>
      <c r="R507" t="s">
        <v>2364</v>
      </c>
      <c r="S507" t="s">
        <v>1881</v>
      </c>
      <c r="T507" t="s">
        <v>1811</v>
      </c>
      <c r="U507" t="s">
        <v>2365</v>
      </c>
      <c r="V507" t="s">
        <v>2365</v>
      </c>
      <c r="W507" t="s">
        <v>2365</v>
      </c>
      <c r="X507" t="s">
        <v>2365</v>
      </c>
      <c r="Y507" t="s">
        <v>2365</v>
      </c>
      <c r="Z507" t="s">
        <v>2365</v>
      </c>
      <c r="AA507" t="s">
        <v>2365</v>
      </c>
      <c r="AB507" t="s">
        <v>2365</v>
      </c>
      <c r="AC507" s="813" t="s">
        <v>2365</v>
      </c>
      <c r="AD507" s="813" t="s">
        <v>2365</v>
      </c>
      <c r="AE507" s="813" t="s">
        <v>2365</v>
      </c>
      <c r="AF507" t="s">
        <v>2365</v>
      </c>
      <c r="AG507" t="s">
        <v>2365</v>
      </c>
      <c r="AH507" t="s">
        <v>2365</v>
      </c>
      <c r="AI507" t="s">
        <v>2365</v>
      </c>
      <c r="AJ507" t="s">
        <v>2365</v>
      </c>
      <c r="AK507" t="s">
        <v>2365</v>
      </c>
      <c r="AL507" t="s">
        <v>2365</v>
      </c>
      <c r="AM507" t="s">
        <v>2365</v>
      </c>
      <c r="AN507" t="s">
        <v>2365</v>
      </c>
      <c r="AR507" t="s">
        <v>2365</v>
      </c>
      <c r="AS507" t="s">
        <v>2365</v>
      </c>
      <c r="AT507" t="s">
        <v>2365</v>
      </c>
      <c r="AU507" t="s">
        <v>2365</v>
      </c>
      <c r="AV507" t="s">
        <v>2365</v>
      </c>
      <c r="AW507" t="s">
        <v>2365</v>
      </c>
      <c r="AX507" t="s">
        <v>2365</v>
      </c>
      <c r="AY507" t="s">
        <v>2365</v>
      </c>
      <c r="AZ507" t="s">
        <v>2365</v>
      </c>
      <c r="BA507" t="s">
        <v>2365</v>
      </c>
      <c r="BB507" t="s">
        <v>2365</v>
      </c>
      <c r="BC507" t="s">
        <v>2365</v>
      </c>
      <c r="BD507" t="s">
        <v>2366</v>
      </c>
      <c r="BE507" t="s">
        <v>2365</v>
      </c>
      <c r="BF507" t="s">
        <v>2365</v>
      </c>
      <c r="BG507" t="s">
        <v>2365</v>
      </c>
      <c r="BH507" t="s">
        <v>2365</v>
      </c>
      <c r="BI507" t="s">
        <v>2366</v>
      </c>
      <c r="BJ507" t="s">
        <v>2365</v>
      </c>
      <c r="BK507" t="s">
        <v>2365</v>
      </c>
      <c r="BL507" t="s">
        <v>2365</v>
      </c>
      <c r="BM507" t="s">
        <v>2365</v>
      </c>
      <c r="BO507">
        <v>1</v>
      </c>
      <c r="BP507">
        <v>11</v>
      </c>
      <c r="BQ507" t="s">
        <v>2369</v>
      </c>
      <c r="BR507" t="s">
        <v>1487</v>
      </c>
      <c r="BU507">
        <v>0</v>
      </c>
      <c r="BV507">
        <v>0</v>
      </c>
      <c r="BW507">
        <v>0</v>
      </c>
      <c r="BX507">
        <v>0</v>
      </c>
      <c r="BY507">
        <v>0</v>
      </c>
      <c r="BZ507">
        <v>0</v>
      </c>
      <c r="CA507">
        <v>0</v>
      </c>
      <c r="CB507">
        <v>0</v>
      </c>
      <c r="CC507">
        <v>0</v>
      </c>
      <c r="CD507">
        <v>0</v>
      </c>
      <c r="CE507">
        <v>0</v>
      </c>
      <c r="CF507">
        <v>0</v>
      </c>
      <c r="CG507">
        <v>0</v>
      </c>
      <c r="CH507">
        <v>0</v>
      </c>
      <c r="CI507">
        <v>0</v>
      </c>
      <c r="CJ507">
        <v>0</v>
      </c>
      <c r="CK507">
        <v>0</v>
      </c>
      <c r="CL507">
        <v>0</v>
      </c>
      <c r="CM507">
        <v>0</v>
      </c>
      <c r="CR507" t="s">
        <v>2340</v>
      </c>
      <c r="CS507" s="1369" t="str">
        <f>INDEX([8]Sheet1!$H:$H,MATCH(CR:CR,[8]Sheet1!$AU:$AU,0))</f>
        <v>Disaster Management</v>
      </c>
    </row>
    <row r="508" spans="1:97" x14ac:dyDescent="0.2">
      <c r="A508" t="s">
        <v>3069</v>
      </c>
      <c r="B508">
        <v>561</v>
      </c>
      <c r="C508" t="s">
        <v>3069</v>
      </c>
      <c r="D508">
        <v>40615</v>
      </c>
      <c r="E508" t="s">
        <v>3054</v>
      </c>
      <c r="F508">
        <v>200</v>
      </c>
      <c r="G508" t="s">
        <v>559</v>
      </c>
      <c r="H508">
        <v>200</v>
      </c>
      <c r="I508" t="s">
        <v>2863</v>
      </c>
      <c r="J508" t="s">
        <v>2365</v>
      </c>
      <c r="K508" t="s">
        <v>2365</v>
      </c>
      <c r="L508">
        <v>1200</v>
      </c>
      <c r="M508" t="s">
        <v>1480</v>
      </c>
      <c r="N508">
        <v>1204</v>
      </c>
      <c r="O508" t="s">
        <v>1487</v>
      </c>
      <c r="P508" t="s">
        <v>2366</v>
      </c>
      <c r="Q508" t="s">
        <v>2364</v>
      </c>
      <c r="R508" t="s">
        <v>2364</v>
      </c>
      <c r="S508" t="s">
        <v>1881</v>
      </c>
      <c r="T508" t="s">
        <v>1811</v>
      </c>
      <c r="U508" t="s">
        <v>2365</v>
      </c>
      <c r="V508" t="s">
        <v>2365</v>
      </c>
      <c r="W508" t="s">
        <v>2365</v>
      </c>
      <c r="X508" t="s">
        <v>2365</v>
      </c>
      <c r="Y508" t="s">
        <v>2365</v>
      </c>
      <c r="Z508" t="s">
        <v>2365</v>
      </c>
      <c r="AA508" t="s">
        <v>2365</v>
      </c>
      <c r="AB508" t="s">
        <v>2365</v>
      </c>
      <c r="AC508" s="813" t="s">
        <v>2365</v>
      </c>
      <c r="AD508" s="813" t="s">
        <v>2365</v>
      </c>
      <c r="AE508" s="813" t="s">
        <v>2365</v>
      </c>
      <c r="AF508" t="s">
        <v>2365</v>
      </c>
      <c r="AG508" t="s">
        <v>2365</v>
      </c>
      <c r="AH508" t="s">
        <v>2365</v>
      </c>
      <c r="AI508" t="s">
        <v>2365</v>
      </c>
      <c r="AJ508" t="s">
        <v>2365</v>
      </c>
      <c r="AK508" t="s">
        <v>2365</v>
      </c>
      <c r="AL508" t="s">
        <v>2365</v>
      </c>
      <c r="AM508" t="s">
        <v>2365</v>
      </c>
      <c r="AN508" t="s">
        <v>2365</v>
      </c>
      <c r="AR508" t="s">
        <v>2365</v>
      </c>
      <c r="AS508" t="s">
        <v>2365</v>
      </c>
      <c r="AT508" t="s">
        <v>2365</v>
      </c>
      <c r="AU508" t="s">
        <v>2365</v>
      </c>
      <c r="AV508" t="s">
        <v>2365</v>
      </c>
      <c r="AW508" t="s">
        <v>2365</v>
      </c>
      <c r="AX508" t="s">
        <v>2365</v>
      </c>
      <c r="AY508" t="s">
        <v>2365</v>
      </c>
      <c r="AZ508" t="s">
        <v>2365</v>
      </c>
      <c r="BA508" t="s">
        <v>2365</v>
      </c>
      <c r="BB508" t="s">
        <v>2365</v>
      </c>
      <c r="BC508" t="s">
        <v>2365</v>
      </c>
      <c r="BD508" t="s">
        <v>2366</v>
      </c>
      <c r="BE508" t="s">
        <v>2365</v>
      </c>
      <c r="BF508" t="s">
        <v>2365</v>
      </c>
      <c r="BG508" t="s">
        <v>2365</v>
      </c>
      <c r="BH508" t="s">
        <v>2365</v>
      </c>
      <c r="BI508" t="s">
        <v>2366</v>
      </c>
      <c r="BJ508" t="s">
        <v>2365</v>
      </c>
      <c r="BK508" t="s">
        <v>2365</v>
      </c>
      <c r="BL508" t="s">
        <v>2365</v>
      </c>
      <c r="BM508" t="s">
        <v>2365</v>
      </c>
      <c r="BO508">
        <v>1</v>
      </c>
      <c r="BP508">
        <v>11</v>
      </c>
      <c r="BQ508" t="s">
        <v>2369</v>
      </c>
      <c r="BR508" t="s">
        <v>1487</v>
      </c>
      <c r="BU508">
        <v>0</v>
      </c>
      <c r="BV508">
        <v>0</v>
      </c>
      <c r="BW508">
        <v>0</v>
      </c>
      <c r="BX508">
        <v>0</v>
      </c>
      <c r="BY508">
        <v>0</v>
      </c>
      <c r="BZ508">
        <v>0</v>
      </c>
      <c r="CA508">
        <v>0</v>
      </c>
      <c r="CB508">
        <v>0</v>
      </c>
      <c r="CC508">
        <v>0</v>
      </c>
      <c r="CD508">
        <v>0</v>
      </c>
      <c r="CE508">
        <v>0</v>
      </c>
      <c r="CF508">
        <v>0</v>
      </c>
      <c r="CG508">
        <v>0</v>
      </c>
      <c r="CH508">
        <v>0</v>
      </c>
      <c r="CI508">
        <v>0</v>
      </c>
      <c r="CJ508">
        <v>0</v>
      </c>
      <c r="CK508">
        <v>0</v>
      </c>
      <c r="CL508">
        <v>0</v>
      </c>
      <c r="CM508">
        <v>0</v>
      </c>
      <c r="CR508" t="s">
        <v>2330</v>
      </c>
      <c r="CS508" s="1369" t="str">
        <f>INDEX([8]Sheet1!$H:$H,MATCH(CR:CR,[8]Sheet1!$AU:$AU,0))</f>
        <v>Water Treatment</v>
      </c>
    </row>
    <row r="509" spans="1:97" x14ac:dyDescent="0.2">
      <c r="A509" t="s">
        <v>3070</v>
      </c>
      <c r="B509">
        <v>562</v>
      </c>
      <c r="C509" t="s">
        <v>3070</v>
      </c>
      <c r="D509">
        <v>40616</v>
      </c>
      <c r="E509" t="s">
        <v>3027</v>
      </c>
      <c r="F509">
        <v>200</v>
      </c>
      <c r="G509" t="s">
        <v>559</v>
      </c>
      <c r="H509">
        <v>200</v>
      </c>
      <c r="I509" t="s">
        <v>2863</v>
      </c>
      <c r="J509" t="s">
        <v>2365</v>
      </c>
      <c r="K509" t="s">
        <v>2365</v>
      </c>
      <c r="L509">
        <v>1200</v>
      </c>
      <c r="M509" t="s">
        <v>1480</v>
      </c>
      <c r="N509">
        <v>1204</v>
      </c>
      <c r="O509" t="s">
        <v>1487</v>
      </c>
      <c r="P509" t="s">
        <v>2366</v>
      </c>
      <c r="Q509" t="s">
        <v>2364</v>
      </c>
      <c r="R509" t="s">
        <v>2364</v>
      </c>
      <c r="S509" t="s">
        <v>1881</v>
      </c>
      <c r="T509" t="s">
        <v>1811</v>
      </c>
      <c r="U509" t="s">
        <v>2365</v>
      </c>
      <c r="V509" t="s">
        <v>2365</v>
      </c>
      <c r="W509" t="s">
        <v>2365</v>
      </c>
      <c r="X509" t="s">
        <v>2365</v>
      </c>
      <c r="Y509" t="s">
        <v>2365</v>
      </c>
      <c r="Z509" t="s">
        <v>2365</v>
      </c>
      <c r="AA509" t="s">
        <v>2365</v>
      </c>
      <c r="AB509" t="s">
        <v>2365</v>
      </c>
      <c r="AC509" s="813" t="s">
        <v>2365</v>
      </c>
      <c r="AD509" s="813" t="s">
        <v>2365</v>
      </c>
      <c r="AE509" s="813" t="s">
        <v>2365</v>
      </c>
      <c r="AF509" t="s">
        <v>2365</v>
      </c>
      <c r="AG509" t="s">
        <v>2365</v>
      </c>
      <c r="AH509" t="s">
        <v>2365</v>
      </c>
      <c r="AI509" t="s">
        <v>2365</v>
      </c>
      <c r="AJ509" t="s">
        <v>2365</v>
      </c>
      <c r="AK509" t="s">
        <v>2365</v>
      </c>
      <c r="AL509" t="s">
        <v>2365</v>
      </c>
      <c r="AM509" t="s">
        <v>2365</v>
      </c>
      <c r="AN509" t="s">
        <v>2365</v>
      </c>
      <c r="AR509" t="s">
        <v>2365</v>
      </c>
      <c r="AS509" t="s">
        <v>2365</v>
      </c>
      <c r="AT509" t="s">
        <v>2365</v>
      </c>
      <c r="AU509" t="s">
        <v>2365</v>
      </c>
      <c r="AV509" t="s">
        <v>2365</v>
      </c>
      <c r="AW509" t="s">
        <v>2365</v>
      </c>
      <c r="AX509" t="s">
        <v>2365</v>
      </c>
      <c r="AY509" t="s">
        <v>2365</v>
      </c>
      <c r="AZ509" t="s">
        <v>2365</v>
      </c>
      <c r="BA509" t="s">
        <v>2365</v>
      </c>
      <c r="BB509" t="s">
        <v>2365</v>
      </c>
      <c r="BC509" t="s">
        <v>2365</v>
      </c>
      <c r="BD509" t="s">
        <v>2366</v>
      </c>
      <c r="BE509" t="s">
        <v>2365</v>
      </c>
      <c r="BF509" t="s">
        <v>2365</v>
      </c>
      <c r="BG509" t="s">
        <v>2365</v>
      </c>
      <c r="BH509" t="s">
        <v>2365</v>
      </c>
      <c r="BI509" t="s">
        <v>2366</v>
      </c>
      <c r="BJ509" t="s">
        <v>2365</v>
      </c>
      <c r="BK509" t="s">
        <v>2365</v>
      </c>
      <c r="BL509" t="s">
        <v>2365</v>
      </c>
      <c r="BM509" t="s">
        <v>2365</v>
      </c>
      <c r="BO509">
        <v>1</v>
      </c>
      <c r="BP509">
        <v>11</v>
      </c>
      <c r="BQ509" t="s">
        <v>2369</v>
      </c>
      <c r="BR509" t="s">
        <v>1487</v>
      </c>
      <c r="BU509">
        <v>0</v>
      </c>
      <c r="BV509">
        <v>0</v>
      </c>
      <c r="BW509">
        <v>0</v>
      </c>
      <c r="BX509">
        <v>0</v>
      </c>
      <c r="BY509">
        <v>0</v>
      </c>
      <c r="BZ509">
        <v>0</v>
      </c>
      <c r="CA509">
        <v>0</v>
      </c>
      <c r="CB509">
        <v>0</v>
      </c>
      <c r="CC509">
        <v>0</v>
      </c>
      <c r="CD509">
        <v>0</v>
      </c>
      <c r="CE509">
        <v>0</v>
      </c>
      <c r="CF509">
        <v>0</v>
      </c>
      <c r="CG509">
        <v>0</v>
      </c>
      <c r="CH509">
        <v>0</v>
      </c>
      <c r="CI509">
        <v>0</v>
      </c>
      <c r="CJ509">
        <v>0</v>
      </c>
      <c r="CK509">
        <v>0</v>
      </c>
      <c r="CL509">
        <v>0</v>
      </c>
      <c r="CM509">
        <v>0</v>
      </c>
      <c r="CR509" t="s">
        <v>2324</v>
      </c>
      <c r="CS509" s="1369" t="str">
        <f>INDEX([8]Sheet1!$H:$H,MATCH(CR:CR,[8]Sheet1!$AU:$AU,0))</f>
        <v>Finance</v>
      </c>
    </row>
    <row r="510" spans="1:97" x14ac:dyDescent="0.2">
      <c r="A510" t="s">
        <v>3071</v>
      </c>
      <c r="B510">
        <v>563</v>
      </c>
      <c r="C510" t="s">
        <v>3071</v>
      </c>
      <c r="D510">
        <v>40617</v>
      </c>
      <c r="E510" t="s">
        <v>3029</v>
      </c>
      <c r="F510">
        <v>200</v>
      </c>
      <c r="G510" t="s">
        <v>559</v>
      </c>
      <c r="H510">
        <v>200</v>
      </c>
      <c r="I510" t="s">
        <v>2863</v>
      </c>
      <c r="J510" t="s">
        <v>2365</v>
      </c>
      <c r="K510" t="s">
        <v>2365</v>
      </c>
      <c r="L510">
        <v>1200</v>
      </c>
      <c r="M510" t="s">
        <v>1480</v>
      </c>
      <c r="N510">
        <v>1204</v>
      </c>
      <c r="O510" t="s">
        <v>1487</v>
      </c>
      <c r="P510" t="s">
        <v>2366</v>
      </c>
      <c r="Q510" t="s">
        <v>2364</v>
      </c>
      <c r="R510" t="s">
        <v>2364</v>
      </c>
      <c r="S510" t="s">
        <v>1881</v>
      </c>
      <c r="T510" t="s">
        <v>1811</v>
      </c>
      <c r="U510" t="s">
        <v>2365</v>
      </c>
      <c r="V510" t="s">
        <v>2365</v>
      </c>
      <c r="W510" t="s">
        <v>2365</v>
      </c>
      <c r="X510" t="s">
        <v>2365</v>
      </c>
      <c r="Y510" t="s">
        <v>2365</v>
      </c>
      <c r="Z510" t="s">
        <v>2365</v>
      </c>
      <c r="AA510" t="s">
        <v>2365</v>
      </c>
      <c r="AB510" t="s">
        <v>2365</v>
      </c>
      <c r="AC510" s="813" t="s">
        <v>2365</v>
      </c>
      <c r="AD510" s="813" t="s">
        <v>2365</v>
      </c>
      <c r="AE510" s="813" t="s">
        <v>2365</v>
      </c>
      <c r="AF510" t="s">
        <v>2365</v>
      </c>
      <c r="AG510" t="s">
        <v>2365</v>
      </c>
      <c r="AH510" t="s">
        <v>2365</v>
      </c>
      <c r="AI510" t="s">
        <v>2365</v>
      </c>
      <c r="AJ510" t="s">
        <v>2365</v>
      </c>
      <c r="AK510" t="s">
        <v>2365</v>
      </c>
      <c r="AL510" t="s">
        <v>2365</v>
      </c>
      <c r="AM510" t="s">
        <v>2365</v>
      </c>
      <c r="AN510" t="s">
        <v>2365</v>
      </c>
      <c r="AR510" t="s">
        <v>2365</v>
      </c>
      <c r="AS510" t="s">
        <v>2365</v>
      </c>
      <c r="AT510" t="s">
        <v>2365</v>
      </c>
      <c r="AU510" t="s">
        <v>2365</v>
      </c>
      <c r="AV510" t="s">
        <v>2365</v>
      </c>
      <c r="AW510" t="s">
        <v>2365</v>
      </c>
      <c r="AX510" t="s">
        <v>2365</v>
      </c>
      <c r="AY510" t="s">
        <v>2365</v>
      </c>
      <c r="AZ510" t="s">
        <v>2365</v>
      </c>
      <c r="BA510" t="s">
        <v>2365</v>
      </c>
      <c r="BB510" t="s">
        <v>2365</v>
      </c>
      <c r="BC510" t="s">
        <v>2365</v>
      </c>
      <c r="BD510" t="s">
        <v>2366</v>
      </c>
      <c r="BE510" t="s">
        <v>2365</v>
      </c>
      <c r="BF510" t="s">
        <v>2365</v>
      </c>
      <c r="BG510" t="s">
        <v>2365</v>
      </c>
      <c r="BH510" t="s">
        <v>2365</v>
      </c>
      <c r="BI510" t="s">
        <v>2366</v>
      </c>
      <c r="BJ510" t="s">
        <v>2365</v>
      </c>
      <c r="BK510" t="s">
        <v>2365</v>
      </c>
      <c r="BL510" t="s">
        <v>2365</v>
      </c>
      <c r="BM510" t="s">
        <v>2365</v>
      </c>
      <c r="BO510">
        <v>1</v>
      </c>
      <c r="BP510">
        <v>11</v>
      </c>
      <c r="BQ510" t="s">
        <v>2369</v>
      </c>
      <c r="BR510" t="s">
        <v>1487</v>
      </c>
      <c r="BU510">
        <v>0</v>
      </c>
      <c r="BV510">
        <v>0</v>
      </c>
      <c r="BW510">
        <v>0</v>
      </c>
      <c r="BX510">
        <v>0</v>
      </c>
      <c r="BY510">
        <v>0</v>
      </c>
      <c r="BZ510">
        <v>0</v>
      </c>
      <c r="CA510">
        <v>0</v>
      </c>
      <c r="CB510">
        <v>0</v>
      </c>
      <c r="CC510">
        <v>0</v>
      </c>
      <c r="CD510">
        <v>0</v>
      </c>
      <c r="CE510">
        <v>0</v>
      </c>
      <c r="CF510">
        <v>0</v>
      </c>
      <c r="CG510">
        <v>0</v>
      </c>
      <c r="CH510">
        <v>0</v>
      </c>
      <c r="CI510">
        <v>0</v>
      </c>
      <c r="CJ510">
        <v>0</v>
      </c>
      <c r="CK510">
        <v>0</v>
      </c>
      <c r="CL510">
        <v>0</v>
      </c>
      <c r="CM510">
        <v>0</v>
      </c>
      <c r="CR510" t="s">
        <v>2337</v>
      </c>
      <c r="CS510" s="1369" t="str">
        <f>INDEX([8]Sheet1!$H:$H,MATCH(CR:CR,[8]Sheet1!$AU:$AU,0))</f>
        <v>Corporate Wide Strategic Planning (IDPs, LEDs)</v>
      </c>
    </row>
    <row r="511" spans="1:97" x14ac:dyDescent="0.2">
      <c r="A511" t="s">
        <v>3072</v>
      </c>
      <c r="B511">
        <v>564</v>
      </c>
      <c r="C511" t="s">
        <v>3072</v>
      </c>
      <c r="D511">
        <v>40618</v>
      </c>
      <c r="E511" t="s">
        <v>3031</v>
      </c>
      <c r="F511">
        <v>200</v>
      </c>
      <c r="G511" t="s">
        <v>559</v>
      </c>
      <c r="H511">
        <v>200</v>
      </c>
      <c r="I511" t="s">
        <v>2863</v>
      </c>
      <c r="J511" t="s">
        <v>2365</v>
      </c>
      <c r="K511" t="s">
        <v>2365</v>
      </c>
      <c r="L511">
        <v>1200</v>
      </c>
      <c r="M511" t="s">
        <v>1480</v>
      </c>
      <c r="N511">
        <v>1204</v>
      </c>
      <c r="O511" t="s">
        <v>1487</v>
      </c>
      <c r="P511" t="s">
        <v>2366</v>
      </c>
      <c r="Q511" t="s">
        <v>2364</v>
      </c>
      <c r="R511" t="s">
        <v>2364</v>
      </c>
      <c r="S511" t="s">
        <v>1881</v>
      </c>
      <c r="T511" t="s">
        <v>1811</v>
      </c>
      <c r="U511" t="s">
        <v>2365</v>
      </c>
      <c r="V511" t="s">
        <v>2365</v>
      </c>
      <c r="W511" t="s">
        <v>2365</v>
      </c>
      <c r="X511" t="s">
        <v>2365</v>
      </c>
      <c r="Y511" t="s">
        <v>2365</v>
      </c>
      <c r="Z511" t="s">
        <v>2365</v>
      </c>
      <c r="AA511" t="s">
        <v>2365</v>
      </c>
      <c r="AB511" t="s">
        <v>2365</v>
      </c>
      <c r="AC511" s="813" t="s">
        <v>2365</v>
      </c>
      <c r="AD511" s="813" t="s">
        <v>2365</v>
      </c>
      <c r="AE511" s="813" t="s">
        <v>2365</v>
      </c>
      <c r="AF511" t="s">
        <v>2365</v>
      </c>
      <c r="AG511" t="s">
        <v>2365</v>
      </c>
      <c r="AH511" t="s">
        <v>2365</v>
      </c>
      <c r="AI511" t="s">
        <v>2365</v>
      </c>
      <c r="AJ511" t="s">
        <v>2365</v>
      </c>
      <c r="AK511" t="s">
        <v>2365</v>
      </c>
      <c r="AL511" t="s">
        <v>2365</v>
      </c>
      <c r="AM511" t="s">
        <v>2365</v>
      </c>
      <c r="AN511" t="s">
        <v>2365</v>
      </c>
      <c r="AR511" t="s">
        <v>2365</v>
      </c>
      <c r="AS511" t="s">
        <v>2365</v>
      </c>
      <c r="AT511" t="s">
        <v>2365</v>
      </c>
      <c r="AU511" t="s">
        <v>2365</v>
      </c>
      <c r="AV511" t="s">
        <v>2365</v>
      </c>
      <c r="AW511" t="s">
        <v>2365</v>
      </c>
      <c r="AX511" t="s">
        <v>2365</v>
      </c>
      <c r="AY511" t="s">
        <v>2365</v>
      </c>
      <c r="AZ511" t="s">
        <v>2365</v>
      </c>
      <c r="BA511" t="s">
        <v>2365</v>
      </c>
      <c r="BB511" t="s">
        <v>2365</v>
      </c>
      <c r="BC511" t="s">
        <v>2365</v>
      </c>
      <c r="BD511" t="s">
        <v>2366</v>
      </c>
      <c r="BE511" t="s">
        <v>2365</v>
      </c>
      <c r="BF511" t="s">
        <v>2365</v>
      </c>
      <c r="BG511" t="s">
        <v>2365</v>
      </c>
      <c r="BH511" t="s">
        <v>2365</v>
      </c>
      <c r="BI511" t="s">
        <v>2366</v>
      </c>
      <c r="BJ511" t="s">
        <v>2365</v>
      </c>
      <c r="BK511" t="s">
        <v>2365</v>
      </c>
      <c r="BL511" t="s">
        <v>2365</v>
      </c>
      <c r="BM511" t="s">
        <v>2365</v>
      </c>
      <c r="BO511">
        <v>1</v>
      </c>
      <c r="BP511">
        <v>11</v>
      </c>
      <c r="BQ511" t="s">
        <v>2369</v>
      </c>
      <c r="BR511" t="s">
        <v>1487</v>
      </c>
      <c r="BU511">
        <v>0</v>
      </c>
      <c r="BV511">
        <v>0</v>
      </c>
      <c r="BW511">
        <v>0</v>
      </c>
      <c r="BX511">
        <v>0</v>
      </c>
      <c r="BY511">
        <v>0</v>
      </c>
      <c r="BZ511">
        <v>0</v>
      </c>
      <c r="CA511">
        <v>0</v>
      </c>
      <c r="CB511">
        <v>0</v>
      </c>
      <c r="CC511">
        <v>0</v>
      </c>
      <c r="CD511">
        <v>0</v>
      </c>
      <c r="CE511">
        <v>0</v>
      </c>
      <c r="CF511">
        <v>0</v>
      </c>
      <c r="CG511">
        <v>0</v>
      </c>
      <c r="CH511">
        <v>0</v>
      </c>
      <c r="CI511">
        <v>0</v>
      </c>
      <c r="CJ511">
        <v>0</v>
      </c>
      <c r="CK511">
        <v>0</v>
      </c>
      <c r="CL511">
        <v>0</v>
      </c>
      <c r="CM511">
        <v>0</v>
      </c>
      <c r="CR511" t="s">
        <v>2337</v>
      </c>
      <c r="CS511" s="1369" t="str">
        <f>INDEX([8]Sheet1!$H:$H,MATCH(CR:CR,[8]Sheet1!$AU:$AU,0))</f>
        <v>Corporate Wide Strategic Planning (IDPs, LEDs)</v>
      </c>
    </row>
    <row r="512" spans="1:97" x14ac:dyDescent="0.2">
      <c r="A512" t="s">
        <v>3073</v>
      </c>
      <c r="B512">
        <v>565</v>
      </c>
      <c r="C512" t="s">
        <v>3073</v>
      </c>
      <c r="D512">
        <v>40619</v>
      </c>
      <c r="E512" t="s">
        <v>3033</v>
      </c>
      <c r="F512">
        <v>200</v>
      </c>
      <c r="G512" t="s">
        <v>559</v>
      </c>
      <c r="H512">
        <v>200</v>
      </c>
      <c r="I512" t="s">
        <v>2863</v>
      </c>
      <c r="J512" t="s">
        <v>2365</v>
      </c>
      <c r="K512" t="s">
        <v>2365</v>
      </c>
      <c r="L512">
        <v>1200</v>
      </c>
      <c r="M512" t="s">
        <v>1480</v>
      </c>
      <c r="N512">
        <v>1204</v>
      </c>
      <c r="O512" t="s">
        <v>1487</v>
      </c>
      <c r="P512" t="s">
        <v>2366</v>
      </c>
      <c r="Q512" t="s">
        <v>2364</v>
      </c>
      <c r="R512" t="s">
        <v>2364</v>
      </c>
      <c r="S512" t="s">
        <v>1881</v>
      </c>
      <c r="T512" t="s">
        <v>1811</v>
      </c>
      <c r="U512" t="s">
        <v>2365</v>
      </c>
      <c r="V512" t="s">
        <v>2365</v>
      </c>
      <c r="W512" t="s">
        <v>2365</v>
      </c>
      <c r="X512" t="s">
        <v>2365</v>
      </c>
      <c r="Y512" t="s">
        <v>2365</v>
      </c>
      <c r="Z512" t="s">
        <v>2365</v>
      </c>
      <c r="AA512" t="s">
        <v>2365</v>
      </c>
      <c r="AB512" t="s">
        <v>2365</v>
      </c>
      <c r="AC512" s="813" t="s">
        <v>2365</v>
      </c>
      <c r="AD512" s="813" t="s">
        <v>2365</v>
      </c>
      <c r="AE512" s="813" t="s">
        <v>2365</v>
      </c>
      <c r="AF512" t="s">
        <v>2365</v>
      </c>
      <c r="AG512" t="s">
        <v>2365</v>
      </c>
      <c r="AH512" t="s">
        <v>2365</v>
      </c>
      <c r="AI512" t="s">
        <v>2365</v>
      </c>
      <c r="AJ512" t="s">
        <v>2365</v>
      </c>
      <c r="AK512" t="s">
        <v>2365</v>
      </c>
      <c r="AL512" t="s">
        <v>2365</v>
      </c>
      <c r="AM512" t="s">
        <v>2365</v>
      </c>
      <c r="AN512" t="s">
        <v>2365</v>
      </c>
      <c r="AR512" t="s">
        <v>2365</v>
      </c>
      <c r="AS512" t="s">
        <v>2365</v>
      </c>
      <c r="AT512" t="s">
        <v>2365</v>
      </c>
      <c r="AU512" t="s">
        <v>2365</v>
      </c>
      <c r="AV512" t="s">
        <v>2365</v>
      </c>
      <c r="AW512" t="s">
        <v>2365</v>
      </c>
      <c r="AX512" t="s">
        <v>2365</v>
      </c>
      <c r="AY512" t="s">
        <v>2365</v>
      </c>
      <c r="AZ512" t="s">
        <v>2365</v>
      </c>
      <c r="BA512" t="s">
        <v>2365</v>
      </c>
      <c r="BB512" t="s">
        <v>2365</v>
      </c>
      <c r="BC512" t="s">
        <v>2365</v>
      </c>
      <c r="BD512" t="s">
        <v>2366</v>
      </c>
      <c r="BE512" t="s">
        <v>2365</v>
      </c>
      <c r="BF512" t="s">
        <v>2365</v>
      </c>
      <c r="BG512" t="s">
        <v>2365</v>
      </c>
      <c r="BH512" t="s">
        <v>2365</v>
      </c>
      <c r="BI512" t="s">
        <v>2366</v>
      </c>
      <c r="BJ512" t="s">
        <v>2365</v>
      </c>
      <c r="BK512" t="s">
        <v>2365</v>
      </c>
      <c r="BL512" t="s">
        <v>2365</v>
      </c>
      <c r="BM512" t="s">
        <v>2365</v>
      </c>
      <c r="BO512">
        <v>1</v>
      </c>
      <c r="BP512">
        <v>11</v>
      </c>
      <c r="BQ512" t="s">
        <v>2369</v>
      </c>
      <c r="BR512" t="s">
        <v>1487</v>
      </c>
      <c r="BU512">
        <v>0</v>
      </c>
      <c r="BV512">
        <v>0</v>
      </c>
      <c r="BW512">
        <v>0</v>
      </c>
      <c r="BX512">
        <v>0</v>
      </c>
      <c r="BY512">
        <v>0</v>
      </c>
      <c r="BZ512">
        <v>0</v>
      </c>
      <c r="CA512">
        <v>0</v>
      </c>
      <c r="CB512">
        <v>0</v>
      </c>
      <c r="CC512">
        <v>0</v>
      </c>
      <c r="CD512">
        <v>0</v>
      </c>
      <c r="CE512">
        <v>0</v>
      </c>
      <c r="CF512">
        <v>0</v>
      </c>
      <c r="CG512">
        <v>0</v>
      </c>
      <c r="CH512">
        <v>0</v>
      </c>
      <c r="CI512">
        <v>0</v>
      </c>
      <c r="CJ512">
        <v>0</v>
      </c>
      <c r="CK512">
        <v>0</v>
      </c>
      <c r="CL512">
        <v>0</v>
      </c>
      <c r="CM512">
        <v>0</v>
      </c>
      <c r="CR512" t="s">
        <v>2337</v>
      </c>
      <c r="CS512" s="1369" t="str">
        <f>INDEX([8]Sheet1!$H:$H,MATCH(CR:CR,[8]Sheet1!$AU:$AU,0))</f>
        <v>Corporate Wide Strategic Planning (IDPs, LEDs)</v>
      </c>
    </row>
    <row r="513" spans="1:97" x14ac:dyDescent="0.2">
      <c r="A513" t="s">
        <v>3074</v>
      </c>
      <c r="B513">
        <v>566</v>
      </c>
      <c r="C513" t="s">
        <v>3074</v>
      </c>
      <c r="D513">
        <v>40620</v>
      </c>
      <c r="E513" t="s">
        <v>3035</v>
      </c>
      <c r="F513">
        <v>200</v>
      </c>
      <c r="G513" t="s">
        <v>559</v>
      </c>
      <c r="H513">
        <v>200</v>
      </c>
      <c r="I513" t="s">
        <v>2863</v>
      </c>
      <c r="J513" t="s">
        <v>2365</v>
      </c>
      <c r="K513" t="s">
        <v>2365</v>
      </c>
      <c r="L513">
        <v>1200</v>
      </c>
      <c r="M513" t="s">
        <v>1480</v>
      </c>
      <c r="N513">
        <v>1204</v>
      </c>
      <c r="O513" t="s">
        <v>1487</v>
      </c>
      <c r="P513" t="s">
        <v>2366</v>
      </c>
      <c r="Q513" t="s">
        <v>2364</v>
      </c>
      <c r="R513" t="s">
        <v>2364</v>
      </c>
      <c r="S513" t="s">
        <v>1881</v>
      </c>
      <c r="T513" t="s">
        <v>1811</v>
      </c>
      <c r="U513" t="s">
        <v>2365</v>
      </c>
      <c r="V513" t="s">
        <v>2365</v>
      </c>
      <c r="W513" t="s">
        <v>2365</v>
      </c>
      <c r="X513" t="s">
        <v>2365</v>
      </c>
      <c r="Y513" t="s">
        <v>2365</v>
      </c>
      <c r="Z513" t="s">
        <v>2365</v>
      </c>
      <c r="AA513" t="s">
        <v>2365</v>
      </c>
      <c r="AB513" t="s">
        <v>2365</v>
      </c>
      <c r="AC513" s="813" t="s">
        <v>2365</v>
      </c>
      <c r="AD513" s="813" t="s">
        <v>2365</v>
      </c>
      <c r="AE513" s="813" t="s">
        <v>2365</v>
      </c>
      <c r="AF513" t="s">
        <v>2365</v>
      </c>
      <c r="AG513" t="s">
        <v>2365</v>
      </c>
      <c r="AH513" t="s">
        <v>2365</v>
      </c>
      <c r="AI513" t="s">
        <v>2365</v>
      </c>
      <c r="AJ513" t="s">
        <v>2365</v>
      </c>
      <c r="AK513" t="s">
        <v>2365</v>
      </c>
      <c r="AL513" t="s">
        <v>2365</v>
      </c>
      <c r="AM513" t="s">
        <v>2365</v>
      </c>
      <c r="AN513" t="s">
        <v>2365</v>
      </c>
      <c r="AR513" t="s">
        <v>2365</v>
      </c>
      <c r="AS513" t="s">
        <v>2365</v>
      </c>
      <c r="AT513" t="s">
        <v>2365</v>
      </c>
      <c r="AU513" t="s">
        <v>2365</v>
      </c>
      <c r="AV513" t="s">
        <v>2365</v>
      </c>
      <c r="AW513" t="s">
        <v>2365</v>
      </c>
      <c r="AX513" t="s">
        <v>2365</v>
      </c>
      <c r="AY513" t="s">
        <v>2365</v>
      </c>
      <c r="AZ513" t="s">
        <v>2365</v>
      </c>
      <c r="BA513" t="s">
        <v>2365</v>
      </c>
      <c r="BB513" t="s">
        <v>2365</v>
      </c>
      <c r="BC513" t="s">
        <v>2365</v>
      </c>
      <c r="BD513" t="s">
        <v>2366</v>
      </c>
      <c r="BE513" t="s">
        <v>2365</v>
      </c>
      <c r="BF513" t="s">
        <v>2365</v>
      </c>
      <c r="BG513" t="s">
        <v>2365</v>
      </c>
      <c r="BH513" t="s">
        <v>2365</v>
      </c>
      <c r="BI513" t="s">
        <v>2366</v>
      </c>
      <c r="BJ513" t="s">
        <v>2365</v>
      </c>
      <c r="BK513" t="s">
        <v>2365</v>
      </c>
      <c r="BL513" t="s">
        <v>2365</v>
      </c>
      <c r="BM513" t="s">
        <v>2365</v>
      </c>
      <c r="BO513">
        <v>1</v>
      </c>
      <c r="BP513">
        <v>11</v>
      </c>
      <c r="BQ513" t="s">
        <v>2369</v>
      </c>
      <c r="BR513" t="s">
        <v>1487</v>
      </c>
      <c r="BU513">
        <v>0</v>
      </c>
      <c r="BV513">
        <v>0</v>
      </c>
      <c r="BW513">
        <v>0</v>
      </c>
      <c r="BX513">
        <v>0</v>
      </c>
      <c r="BY513">
        <v>0</v>
      </c>
      <c r="BZ513">
        <v>0</v>
      </c>
      <c r="CA513">
        <v>0</v>
      </c>
      <c r="CB513">
        <v>0</v>
      </c>
      <c r="CC513">
        <v>0</v>
      </c>
      <c r="CD513">
        <v>0</v>
      </c>
      <c r="CE513">
        <v>0</v>
      </c>
      <c r="CF513">
        <v>0</v>
      </c>
      <c r="CG513">
        <v>0</v>
      </c>
      <c r="CH513">
        <v>0</v>
      </c>
      <c r="CI513">
        <v>0</v>
      </c>
      <c r="CJ513">
        <v>0</v>
      </c>
      <c r="CK513">
        <v>0</v>
      </c>
      <c r="CL513">
        <v>0</v>
      </c>
      <c r="CM513">
        <v>0</v>
      </c>
      <c r="CR513" t="s">
        <v>2337</v>
      </c>
      <c r="CS513" s="1369" t="str">
        <f>INDEX([8]Sheet1!$H:$H,MATCH(CR:CR,[8]Sheet1!$AU:$AU,0))</f>
        <v>Corporate Wide Strategic Planning (IDPs, LEDs)</v>
      </c>
    </row>
    <row r="514" spans="1:97" x14ac:dyDescent="0.2">
      <c r="A514" t="s">
        <v>3075</v>
      </c>
      <c r="B514">
        <v>567</v>
      </c>
      <c r="C514" t="s">
        <v>3075</v>
      </c>
      <c r="D514">
        <v>40621</v>
      </c>
      <c r="E514" t="s">
        <v>3037</v>
      </c>
      <c r="F514">
        <v>200</v>
      </c>
      <c r="G514" t="s">
        <v>559</v>
      </c>
      <c r="H514">
        <v>200</v>
      </c>
      <c r="I514" t="s">
        <v>2863</v>
      </c>
      <c r="J514" t="s">
        <v>2365</v>
      </c>
      <c r="K514" t="s">
        <v>2365</v>
      </c>
      <c r="L514">
        <v>1200</v>
      </c>
      <c r="M514" t="s">
        <v>1480</v>
      </c>
      <c r="N514">
        <v>1204</v>
      </c>
      <c r="O514" t="s">
        <v>1487</v>
      </c>
      <c r="P514" t="s">
        <v>2366</v>
      </c>
      <c r="Q514" t="s">
        <v>2364</v>
      </c>
      <c r="R514" t="s">
        <v>2364</v>
      </c>
      <c r="S514" t="s">
        <v>1881</v>
      </c>
      <c r="T514" t="s">
        <v>1811</v>
      </c>
      <c r="U514" t="s">
        <v>2365</v>
      </c>
      <c r="V514" t="s">
        <v>2365</v>
      </c>
      <c r="W514" t="s">
        <v>2365</v>
      </c>
      <c r="X514" t="s">
        <v>2365</v>
      </c>
      <c r="Y514" t="s">
        <v>2365</v>
      </c>
      <c r="Z514" t="s">
        <v>2365</v>
      </c>
      <c r="AA514" t="s">
        <v>2365</v>
      </c>
      <c r="AB514" t="s">
        <v>2365</v>
      </c>
      <c r="AC514" s="813" t="s">
        <v>2365</v>
      </c>
      <c r="AD514" s="813" t="s">
        <v>2365</v>
      </c>
      <c r="AE514" s="813" t="s">
        <v>2365</v>
      </c>
      <c r="AF514" t="s">
        <v>2365</v>
      </c>
      <c r="AG514" t="s">
        <v>2365</v>
      </c>
      <c r="AH514" t="s">
        <v>2365</v>
      </c>
      <c r="AI514" t="s">
        <v>2365</v>
      </c>
      <c r="AJ514" t="s">
        <v>2365</v>
      </c>
      <c r="AK514" t="s">
        <v>2365</v>
      </c>
      <c r="AL514" t="s">
        <v>2365</v>
      </c>
      <c r="AM514" t="s">
        <v>2365</v>
      </c>
      <c r="AN514" t="s">
        <v>2365</v>
      </c>
      <c r="AR514" t="s">
        <v>2365</v>
      </c>
      <c r="AS514" t="s">
        <v>2365</v>
      </c>
      <c r="AT514" t="s">
        <v>2365</v>
      </c>
      <c r="AU514" t="s">
        <v>2365</v>
      </c>
      <c r="AV514" t="s">
        <v>2365</v>
      </c>
      <c r="AW514" t="s">
        <v>2365</v>
      </c>
      <c r="AX514" t="s">
        <v>2365</v>
      </c>
      <c r="AY514" t="s">
        <v>2365</v>
      </c>
      <c r="AZ514" t="s">
        <v>2365</v>
      </c>
      <c r="BA514" t="s">
        <v>2365</v>
      </c>
      <c r="BB514" t="s">
        <v>2365</v>
      </c>
      <c r="BC514" t="s">
        <v>2365</v>
      </c>
      <c r="BD514" t="s">
        <v>2366</v>
      </c>
      <c r="BE514" t="s">
        <v>2365</v>
      </c>
      <c r="BF514" t="s">
        <v>2365</v>
      </c>
      <c r="BG514" t="s">
        <v>2365</v>
      </c>
      <c r="BH514" t="s">
        <v>2365</v>
      </c>
      <c r="BI514" t="s">
        <v>2366</v>
      </c>
      <c r="BJ514" t="s">
        <v>2365</v>
      </c>
      <c r="BK514" t="s">
        <v>2365</v>
      </c>
      <c r="BL514" t="s">
        <v>2365</v>
      </c>
      <c r="BM514" t="s">
        <v>2365</v>
      </c>
      <c r="BO514">
        <v>1</v>
      </c>
      <c r="BP514">
        <v>11</v>
      </c>
      <c r="BQ514" t="s">
        <v>2369</v>
      </c>
      <c r="BR514" t="s">
        <v>1487</v>
      </c>
      <c r="BU514">
        <v>0</v>
      </c>
      <c r="BV514">
        <v>0</v>
      </c>
      <c r="BW514">
        <v>0</v>
      </c>
      <c r="BX514">
        <v>0</v>
      </c>
      <c r="BY514">
        <v>0</v>
      </c>
      <c r="BZ514">
        <v>0</v>
      </c>
      <c r="CA514">
        <v>0</v>
      </c>
      <c r="CB514">
        <v>0</v>
      </c>
      <c r="CC514">
        <v>0</v>
      </c>
      <c r="CD514">
        <v>0</v>
      </c>
      <c r="CE514">
        <v>0</v>
      </c>
      <c r="CF514">
        <v>0</v>
      </c>
      <c r="CG514">
        <v>0</v>
      </c>
      <c r="CH514">
        <v>0</v>
      </c>
      <c r="CI514">
        <v>0</v>
      </c>
      <c r="CJ514">
        <v>0</v>
      </c>
      <c r="CK514">
        <v>0</v>
      </c>
      <c r="CL514">
        <v>0</v>
      </c>
      <c r="CM514">
        <v>0</v>
      </c>
      <c r="CR514" t="s">
        <v>2337</v>
      </c>
      <c r="CS514" s="1369" t="str">
        <f>INDEX([8]Sheet1!$H:$H,MATCH(CR:CR,[8]Sheet1!$AU:$AU,0))</f>
        <v>Corporate Wide Strategic Planning (IDPs, LEDs)</v>
      </c>
    </row>
    <row r="515" spans="1:97" x14ac:dyDescent="0.2">
      <c r="A515" t="s">
        <v>3076</v>
      </c>
      <c r="B515">
        <v>568</v>
      </c>
      <c r="C515" t="s">
        <v>3076</v>
      </c>
      <c r="D515">
        <v>40622</v>
      </c>
      <c r="E515" t="s">
        <v>2862</v>
      </c>
      <c r="F515">
        <v>200</v>
      </c>
      <c r="G515" t="s">
        <v>559</v>
      </c>
      <c r="H515">
        <v>200</v>
      </c>
      <c r="I515" t="s">
        <v>2863</v>
      </c>
      <c r="J515" t="s">
        <v>2365</v>
      </c>
      <c r="K515" t="s">
        <v>2365</v>
      </c>
      <c r="L515">
        <v>1200</v>
      </c>
      <c r="M515" t="s">
        <v>1480</v>
      </c>
      <c r="N515">
        <v>1204</v>
      </c>
      <c r="O515" t="s">
        <v>1487</v>
      </c>
      <c r="P515" t="s">
        <v>2366</v>
      </c>
      <c r="Q515" t="s">
        <v>2364</v>
      </c>
      <c r="R515" t="s">
        <v>2364</v>
      </c>
      <c r="S515" t="s">
        <v>1881</v>
      </c>
      <c r="T515" t="s">
        <v>1811</v>
      </c>
      <c r="U515" t="s">
        <v>2365</v>
      </c>
      <c r="V515" t="s">
        <v>2365</v>
      </c>
      <c r="W515" t="s">
        <v>2365</v>
      </c>
      <c r="X515" t="s">
        <v>2365</v>
      </c>
      <c r="Y515" t="s">
        <v>2365</v>
      </c>
      <c r="Z515" t="s">
        <v>2365</v>
      </c>
      <c r="AA515" t="s">
        <v>2365</v>
      </c>
      <c r="AB515" t="s">
        <v>2365</v>
      </c>
      <c r="AC515" s="813" t="s">
        <v>2365</v>
      </c>
      <c r="AD515" s="813" t="s">
        <v>2365</v>
      </c>
      <c r="AE515" s="813" t="s">
        <v>2365</v>
      </c>
      <c r="AF515" t="s">
        <v>2365</v>
      </c>
      <c r="AG515" t="s">
        <v>2365</v>
      </c>
      <c r="AH515" t="s">
        <v>2365</v>
      </c>
      <c r="AI515" t="s">
        <v>2365</v>
      </c>
      <c r="AJ515" t="s">
        <v>2365</v>
      </c>
      <c r="AK515" t="s">
        <v>2365</v>
      </c>
      <c r="AL515" t="s">
        <v>2365</v>
      </c>
      <c r="AM515" t="s">
        <v>2365</v>
      </c>
      <c r="AN515" t="s">
        <v>2365</v>
      </c>
      <c r="AR515" t="s">
        <v>2365</v>
      </c>
      <c r="AS515" t="s">
        <v>2365</v>
      </c>
      <c r="AT515" t="s">
        <v>2365</v>
      </c>
      <c r="AU515" t="s">
        <v>2365</v>
      </c>
      <c r="AV515" t="s">
        <v>2365</v>
      </c>
      <c r="AW515" t="s">
        <v>2365</v>
      </c>
      <c r="AX515" t="s">
        <v>2365</v>
      </c>
      <c r="AY515" t="s">
        <v>2365</v>
      </c>
      <c r="AZ515" t="s">
        <v>2365</v>
      </c>
      <c r="BA515" t="s">
        <v>2365</v>
      </c>
      <c r="BB515" t="s">
        <v>2365</v>
      </c>
      <c r="BC515" t="s">
        <v>2365</v>
      </c>
      <c r="BD515" t="s">
        <v>2366</v>
      </c>
      <c r="BE515" t="s">
        <v>2365</v>
      </c>
      <c r="BF515" t="s">
        <v>2365</v>
      </c>
      <c r="BG515" t="s">
        <v>2365</v>
      </c>
      <c r="BH515" t="s">
        <v>2365</v>
      </c>
      <c r="BI515" t="s">
        <v>2366</v>
      </c>
      <c r="BJ515" t="s">
        <v>2365</v>
      </c>
      <c r="BK515" t="s">
        <v>2365</v>
      </c>
      <c r="BL515" t="s">
        <v>2365</v>
      </c>
      <c r="BM515" t="s">
        <v>2365</v>
      </c>
      <c r="BO515">
        <v>1</v>
      </c>
      <c r="BP515">
        <v>11</v>
      </c>
      <c r="BQ515" t="s">
        <v>2369</v>
      </c>
      <c r="BR515" t="s">
        <v>1487</v>
      </c>
      <c r="BU515">
        <v>0</v>
      </c>
      <c r="BV515">
        <v>0</v>
      </c>
      <c r="BW515">
        <v>0</v>
      </c>
      <c r="BX515">
        <v>0</v>
      </c>
      <c r="BY515">
        <v>0</v>
      </c>
      <c r="BZ515">
        <v>0</v>
      </c>
      <c r="CA515">
        <v>0</v>
      </c>
      <c r="CB515">
        <v>0</v>
      </c>
      <c r="CC515">
        <v>0</v>
      </c>
      <c r="CD515">
        <v>0</v>
      </c>
      <c r="CE515">
        <v>0</v>
      </c>
      <c r="CF515">
        <v>0</v>
      </c>
      <c r="CG515">
        <v>0</v>
      </c>
      <c r="CH515">
        <v>0</v>
      </c>
      <c r="CI515">
        <v>0</v>
      </c>
      <c r="CJ515">
        <v>0</v>
      </c>
      <c r="CK515">
        <v>0</v>
      </c>
      <c r="CL515">
        <v>0</v>
      </c>
      <c r="CM515">
        <v>0</v>
      </c>
      <c r="CR515" t="s">
        <v>2337</v>
      </c>
      <c r="CS515" s="1369" t="str">
        <f>INDEX([8]Sheet1!$H:$H,MATCH(CR:CR,[8]Sheet1!$AU:$AU,0))</f>
        <v>Corporate Wide Strategic Planning (IDPs, LEDs)</v>
      </c>
    </row>
    <row r="516" spans="1:97" x14ac:dyDescent="0.2">
      <c r="A516" t="s">
        <v>3077</v>
      </c>
      <c r="B516">
        <v>569</v>
      </c>
      <c r="C516" t="s">
        <v>3077</v>
      </c>
      <c r="D516">
        <v>40623</v>
      </c>
      <c r="E516" t="s">
        <v>3040</v>
      </c>
      <c r="F516">
        <v>200</v>
      </c>
      <c r="G516" t="s">
        <v>559</v>
      </c>
      <c r="H516" s="1373">
        <v>200</v>
      </c>
      <c r="I516" t="s">
        <v>2863</v>
      </c>
      <c r="J516" t="s">
        <v>2365</v>
      </c>
      <c r="K516" t="s">
        <v>2365</v>
      </c>
      <c r="L516" s="1373">
        <v>1200</v>
      </c>
      <c r="M516" t="s">
        <v>1480</v>
      </c>
      <c r="N516">
        <v>1204</v>
      </c>
      <c r="O516" t="s">
        <v>1487</v>
      </c>
      <c r="P516" t="s">
        <v>2366</v>
      </c>
      <c r="Q516" t="s">
        <v>2364</v>
      </c>
      <c r="R516" t="s">
        <v>2364</v>
      </c>
      <c r="S516" t="s">
        <v>1881</v>
      </c>
      <c r="T516" t="s">
        <v>1811</v>
      </c>
      <c r="U516" t="s">
        <v>2365</v>
      </c>
      <c r="V516" t="s">
        <v>2365</v>
      </c>
      <c r="W516" t="s">
        <v>2365</v>
      </c>
      <c r="X516" t="s">
        <v>2365</v>
      </c>
      <c r="Y516" t="s">
        <v>2365</v>
      </c>
      <c r="Z516" t="s">
        <v>2365</v>
      </c>
      <c r="AA516" t="s">
        <v>2365</v>
      </c>
      <c r="AB516" t="s">
        <v>2365</v>
      </c>
      <c r="AC516" s="813" t="s">
        <v>2365</v>
      </c>
      <c r="AD516" s="813" t="s">
        <v>2365</v>
      </c>
      <c r="AE516" s="813" t="s">
        <v>2365</v>
      </c>
      <c r="AF516" t="s">
        <v>2365</v>
      </c>
      <c r="AG516" t="s">
        <v>2365</v>
      </c>
      <c r="AH516" t="s">
        <v>2365</v>
      </c>
      <c r="AI516" t="s">
        <v>2365</v>
      </c>
      <c r="AJ516" t="s">
        <v>2365</v>
      </c>
      <c r="AK516" t="s">
        <v>2365</v>
      </c>
      <c r="AL516" t="s">
        <v>2365</v>
      </c>
      <c r="AM516" t="s">
        <v>2365</v>
      </c>
      <c r="AN516" t="s">
        <v>2365</v>
      </c>
      <c r="AR516" t="s">
        <v>2365</v>
      </c>
      <c r="AS516" t="s">
        <v>2365</v>
      </c>
      <c r="AT516" t="s">
        <v>2365</v>
      </c>
      <c r="AU516" t="s">
        <v>2365</v>
      </c>
      <c r="AV516" t="s">
        <v>2365</v>
      </c>
      <c r="AW516" t="s">
        <v>2365</v>
      </c>
      <c r="AX516" t="s">
        <v>2365</v>
      </c>
      <c r="AY516" t="s">
        <v>2365</v>
      </c>
      <c r="AZ516" t="s">
        <v>2365</v>
      </c>
      <c r="BA516" t="s">
        <v>2365</v>
      </c>
      <c r="BB516" t="s">
        <v>2365</v>
      </c>
      <c r="BC516" t="s">
        <v>2365</v>
      </c>
      <c r="BD516" t="s">
        <v>2366</v>
      </c>
      <c r="BE516" t="s">
        <v>2365</v>
      </c>
      <c r="BF516" t="s">
        <v>2365</v>
      </c>
      <c r="BG516" t="s">
        <v>2365</v>
      </c>
      <c r="BH516" t="s">
        <v>2365</v>
      </c>
      <c r="BI516" t="s">
        <v>2366</v>
      </c>
      <c r="BJ516" t="s">
        <v>2365</v>
      </c>
      <c r="BK516" t="s">
        <v>2365</v>
      </c>
      <c r="BL516" t="s">
        <v>2365</v>
      </c>
      <c r="BM516" t="s">
        <v>2365</v>
      </c>
      <c r="BO516">
        <v>1</v>
      </c>
      <c r="BP516">
        <v>11</v>
      </c>
      <c r="BQ516" t="s">
        <v>2369</v>
      </c>
      <c r="BR516" t="s">
        <v>1487</v>
      </c>
      <c r="BU516" s="1371">
        <v>0</v>
      </c>
      <c r="BV516" s="1371">
        <v>0</v>
      </c>
      <c r="BW516" s="1371">
        <v>0</v>
      </c>
      <c r="BX516" s="1371">
        <v>0</v>
      </c>
      <c r="BY516" s="1371">
        <v>0</v>
      </c>
      <c r="BZ516">
        <v>0</v>
      </c>
      <c r="CA516">
        <v>0</v>
      </c>
      <c r="CB516">
        <v>0</v>
      </c>
      <c r="CC516">
        <v>0</v>
      </c>
      <c r="CD516">
        <v>0</v>
      </c>
      <c r="CE516">
        <v>0</v>
      </c>
      <c r="CF516">
        <v>0</v>
      </c>
      <c r="CG516">
        <v>0</v>
      </c>
      <c r="CH516">
        <v>0</v>
      </c>
      <c r="CI516">
        <v>0</v>
      </c>
      <c r="CJ516">
        <v>0</v>
      </c>
      <c r="CK516">
        <v>0</v>
      </c>
      <c r="CL516">
        <v>0</v>
      </c>
      <c r="CM516">
        <v>0</v>
      </c>
      <c r="CR516" t="s">
        <v>2337</v>
      </c>
      <c r="CS516" s="1369" t="str">
        <f>INDEX([8]Sheet1!$H:$H,MATCH(CR:CR,[8]Sheet1!$AU:$AU,0))</f>
        <v>Corporate Wide Strategic Planning (IDPs, LEDs)</v>
      </c>
    </row>
    <row r="517" spans="1:97" x14ac:dyDescent="0.2">
      <c r="A517" t="s">
        <v>3078</v>
      </c>
      <c r="B517">
        <v>570</v>
      </c>
      <c r="C517" t="s">
        <v>3078</v>
      </c>
      <c r="D517">
        <v>40624</v>
      </c>
      <c r="E517" t="s">
        <v>3042</v>
      </c>
      <c r="F517">
        <v>200</v>
      </c>
      <c r="G517" t="s">
        <v>559</v>
      </c>
      <c r="H517">
        <v>200</v>
      </c>
      <c r="I517" t="s">
        <v>2863</v>
      </c>
      <c r="J517" t="s">
        <v>2365</v>
      </c>
      <c r="K517" t="s">
        <v>2365</v>
      </c>
      <c r="L517">
        <v>1200</v>
      </c>
      <c r="M517" t="s">
        <v>1480</v>
      </c>
      <c r="N517">
        <v>1204</v>
      </c>
      <c r="O517" t="s">
        <v>1487</v>
      </c>
      <c r="P517" t="s">
        <v>2366</v>
      </c>
      <c r="Q517" t="s">
        <v>2364</v>
      </c>
      <c r="R517" t="s">
        <v>2364</v>
      </c>
      <c r="S517" t="s">
        <v>1881</v>
      </c>
      <c r="T517" t="s">
        <v>1811</v>
      </c>
      <c r="U517" t="s">
        <v>2365</v>
      </c>
      <c r="V517" t="s">
        <v>2365</v>
      </c>
      <c r="W517" t="s">
        <v>2365</v>
      </c>
      <c r="X517" t="s">
        <v>2365</v>
      </c>
      <c r="Y517" t="s">
        <v>2365</v>
      </c>
      <c r="Z517" t="s">
        <v>2365</v>
      </c>
      <c r="AA517" t="s">
        <v>2365</v>
      </c>
      <c r="AB517" t="s">
        <v>2365</v>
      </c>
      <c r="AC517" s="813" t="s">
        <v>2365</v>
      </c>
      <c r="AD517" s="813" t="s">
        <v>2365</v>
      </c>
      <c r="AE517" s="813" t="s">
        <v>2365</v>
      </c>
      <c r="AF517" t="s">
        <v>2365</v>
      </c>
      <c r="AG517" t="s">
        <v>2365</v>
      </c>
      <c r="AH517" t="s">
        <v>2365</v>
      </c>
      <c r="AI517" t="s">
        <v>2365</v>
      </c>
      <c r="AJ517" t="s">
        <v>2365</v>
      </c>
      <c r="AK517" t="s">
        <v>2365</v>
      </c>
      <c r="AL517" t="s">
        <v>2365</v>
      </c>
      <c r="AM517" t="s">
        <v>2365</v>
      </c>
      <c r="AN517" t="s">
        <v>2365</v>
      </c>
      <c r="AR517" t="s">
        <v>2365</v>
      </c>
      <c r="AS517" t="s">
        <v>2365</v>
      </c>
      <c r="AT517" t="s">
        <v>2365</v>
      </c>
      <c r="AU517" t="s">
        <v>2365</v>
      </c>
      <c r="AV517" t="s">
        <v>2365</v>
      </c>
      <c r="AW517" t="s">
        <v>2365</v>
      </c>
      <c r="AX517" t="s">
        <v>2365</v>
      </c>
      <c r="AY517" t="s">
        <v>2365</v>
      </c>
      <c r="AZ517" t="s">
        <v>2365</v>
      </c>
      <c r="BA517" t="s">
        <v>2365</v>
      </c>
      <c r="BB517" t="s">
        <v>2365</v>
      </c>
      <c r="BC517" t="s">
        <v>2365</v>
      </c>
      <c r="BD517" t="s">
        <v>2366</v>
      </c>
      <c r="BE517" t="s">
        <v>2365</v>
      </c>
      <c r="BF517" t="s">
        <v>2365</v>
      </c>
      <c r="BG517" t="s">
        <v>2365</v>
      </c>
      <c r="BH517" t="s">
        <v>2365</v>
      </c>
      <c r="BI517" t="s">
        <v>2366</v>
      </c>
      <c r="BJ517" t="s">
        <v>2365</v>
      </c>
      <c r="BK517" t="s">
        <v>2365</v>
      </c>
      <c r="BL517" t="s">
        <v>2365</v>
      </c>
      <c r="BM517" t="s">
        <v>2365</v>
      </c>
      <c r="BO517">
        <v>1</v>
      </c>
      <c r="BP517">
        <v>11</v>
      </c>
      <c r="BQ517" t="s">
        <v>2369</v>
      </c>
      <c r="BR517" t="s">
        <v>1487</v>
      </c>
      <c r="BU517">
        <v>0</v>
      </c>
      <c r="BV517">
        <v>0</v>
      </c>
      <c r="BW517">
        <v>0</v>
      </c>
      <c r="BX517">
        <v>0</v>
      </c>
      <c r="BY517">
        <v>0</v>
      </c>
      <c r="BZ517">
        <v>0</v>
      </c>
      <c r="CA517">
        <v>0</v>
      </c>
      <c r="CB517">
        <v>0</v>
      </c>
      <c r="CC517">
        <v>0</v>
      </c>
      <c r="CD517">
        <v>0</v>
      </c>
      <c r="CE517">
        <v>0</v>
      </c>
      <c r="CF517">
        <v>0</v>
      </c>
      <c r="CG517">
        <v>0</v>
      </c>
      <c r="CH517">
        <v>0</v>
      </c>
      <c r="CI517">
        <v>0</v>
      </c>
      <c r="CJ517">
        <v>0</v>
      </c>
      <c r="CK517">
        <v>0</v>
      </c>
      <c r="CL517">
        <v>0</v>
      </c>
      <c r="CM517">
        <v>0</v>
      </c>
      <c r="CR517" t="s">
        <v>2337</v>
      </c>
      <c r="CS517" s="1369" t="str">
        <f>INDEX([8]Sheet1!$H:$H,MATCH(CR:CR,[8]Sheet1!$AU:$AU,0))</f>
        <v>Corporate Wide Strategic Planning (IDPs, LEDs)</v>
      </c>
    </row>
    <row r="518" spans="1:97" x14ac:dyDescent="0.2">
      <c r="A518" t="s">
        <v>3079</v>
      </c>
      <c r="B518">
        <v>571</v>
      </c>
      <c r="C518" t="s">
        <v>3079</v>
      </c>
      <c r="D518">
        <v>40625</v>
      </c>
      <c r="E518" t="s">
        <v>3044</v>
      </c>
      <c r="F518">
        <v>200</v>
      </c>
      <c r="G518" t="s">
        <v>559</v>
      </c>
      <c r="H518">
        <v>200</v>
      </c>
      <c r="I518" t="s">
        <v>2863</v>
      </c>
      <c r="J518" t="s">
        <v>2365</v>
      </c>
      <c r="K518" t="s">
        <v>2365</v>
      </c>
      <c r="L518">
        <v>1200</v>
      </c>
      <c r="M518" t="s">
        <v>1480</v>
      </c>
      <c r="N518">
        <v>1204</v>
      </c>
      <c r="O518" t="s">
        <v>1487</v>
      </c>
      <c r="P518" t="s">
        <v>2366</v>
      </c>
      <c r="Q518" t="s">
        <v>2364</v>
      </c>
      <c r="R518" t="s">
        <v>2364</v>
      </c>
      <c r="S518" t="s">
        <v>1881</v>
      </c>
      <c r="T518" t="s">
        <v>1811</v>
      </c>
      <c r="U518" t="s">
        <v>2365</v>
      </c>
      <c r="V518" t="s">
        <v>2365</v>
      </c>
      <c r="W518" t="s">
        <v>2365</v>
      </c>
      <c r="X518" t="s">
        <v>2365</v>
      </c>
      <c r="Y518" t="s">
        <v>2365</v>
      </c>
      <c r="Z518" t="s">
        <v>2365</v>
      </c>
      <c r="AA518" t="s">
        <v>2365</v>
      </c>
      <c r="AB518" t="s">
        <v>2365</v>
      </c>
      <c r="AC518" s="813" t="s">
        <v>2365</v>
      </c>
      <c r="AD518" s="813" t="s">
        <v>2365</v>
      </c>
      <c r="AE518" s="813" t="s">
        <v>2365</v>
      </c>
      <c r="AF518" t="s">
        <v>2365</v>
      </c>
      <c r="AG518" t="s">
        <v>2365</v>
      </c>
      <c r="AH518" t="s">
        <v>2365</v>
      </c>
      <c r="AI518" t="s">
        <v>2365</v>
      </c>
      <c r="AJ518" t="s">
        <v>2365</v>
      </c>
      <c r="AK518" t="s">
        <v>2365</v>
      </c>
      <c r="AL518" t="s">
        <v>2365</v>
      </c>
      <c r="AM518" t="s">
        <v>2365</v>
      </c>
      <c r="AN518" t="s">
        <v>2365</v>
      </c>
      <c r="AR518" t="s">
        <v>2365</v>
      </c>
      <c r="AS518" t="s">
        <v>2365</v>
      </c>
      <c r="AT518" t="s">
        <v>2365</v>
      </c>
      <c r="AU518" t="s">
        <v>2365</v>
      </c>
      <c r="AV518" t="s">
        <v>2365</v>
      </c>
      <c r="AW518" t="s">
        <v>2365</v>
      </c>
      <c r="AX518" t="s">
        <v>2365</v>
      </c>
      <c r="AY518" t="s">
        <v>2365</v>
      </c>
      <c r="AZ518" t="s">
        <v>2365</v>
      </c>
      <c r="BA518" t="s">
        <v>2365</v>
      </c>
      <c r="BB518" t="s">
        <v>2365</v>
      </c>
      <c r="BC518" t="s">
        <v>2365</v>
      </c>
      <c r="BD518" t="s">
        <v>2366</v>
      </c>
      <c r="BE518" t="s">
        <v>2365</v>
      </c>
      <c r="BF518" t="s">
        <v>2365</v>
      </c>
      <c r="BG518" t="s">
        <v>2365</v>
      </c>
      <c r="BH518" t="s">
        <v>2365</v>
      </c>
      <c r="BI518" t="s">
        <v>2366</v>
      </c>
      <c r="BJ518" t="s">
        <v>2365</v>
      </c>
      <c r="BK518" t="s">
        <v>2365</v>
      </c>
      <c r="BL518" t="s">
        <v>2365</v>
      </c>
      <c r="BM518" t="s">
        <v>2365</v>
      </c>
      <c r="BO518">
        <v>1</v>
      </c>
      <c r="BP518">
        <v>11</v>
      </c>
      <c r="BQ518" t="s">
        <v>2369</v>
      </c>
      <c r="BR518" t="s">
        <v>1487</v>
      </c>
      <c r="BU518">
        <v>0</v>
      </c>
      <c r="BV518">
        <v>0</v>
      </c>
      <c r="BW518">
        <v>0</v>
      </c>
      <c r="BX518">
        <v>0</v>
      </c>
      <c r="BY518">
        <v>0</v>
      </c>
      <c r="BZ518">
        <v>0</v>
      </c>
      <c r="CA518">
        <v>0</v>
      </c>
      <c r="CB518">
        <v>0</v>
      </c>
      <c r="CC518">
        <v>0</v>
      </c>
      <c r="CD518">
        <v>0</v>
      </c>
      <c r="CE518">
        <v>0</v>
      </c>
      <c r="CF518">
        <v>0</v>
      </c>
      <c r="CG518">
        <v>0</v>
      </c>
      <c r="CH518">
        <v>0</v>
      </c>
      <c r="CI518">
        <v>0</v>
      </c>
      <c r="CJ518">
        <v>0</v>
      </c>
      <c r="CK518">
        <v>0</v>
      </c>
      <c r="CL518">
        <v>0</v>
      </c>
      <c r="CM518">
        <v>0</v>
      </c>
      <c r="CR518" t="s">
        <v>2325</v>
      </c>
      <c r="CS518" s="1369" t="str">
        <f>INDEX([8]Sheet1!$H:$H,MATCH(CR:CR,[8]Sheet1!$AU:$AU,0))</f>
        <v>Asset Management</v>
      </c>
    </row>
    <row r="519" spans="1:97" x14ac:dyDescent="0.2">
      <c r="A519" t="s">
        <v>3080</v>
      </c>
      <c r="B519">
        <v>572</v>
      </c>
      <c r="C519" t="s">
        <v>3080</v>
      </c>
      <c r="D519">
        <v>40626</v>
      </c>
      <c r="E519" t="s">
        <v>3046</v>
      </c>
      <c r="F519">
        <v>200</v>
      </c>
      <c r="G519" t="s">
        <v>559</v>
      </c>
      <c r="H519">
        <v>200</v>
      </c>
      <c r="I519" t="s">
        <v>2863</v>
      </c>
      <c r="J519" t="s">
        <v>2365</v>
      </c>
      <c r="K519" t="s">
        <v>2365</v>
      </c>
      <c r="L519">
        <v>1200</v>
      </c>
      <c r="M519" t="s">
        <v>1480</v>
      </c>
      <c r="N519">
        <v>1204</v>
      </c>
      <c r="O519" t="s">
        <v>1487</v>
      </c>
      <c r="P519" t="s">
        <v>2366</v>
      </c>
      <c r="Q519" t="s">
        <v>2364</v>
      </c>
      <c r="R519" t="s">
        <v>2364</v>
      </c>
      <c r="S519" t="s">
        <v>1881</v>
      </c>
      <c r="T519" t="s">
        <v>1811</v>
      </c>
      <c r="U519" t="s">
        <v>2365</v>
      </c>
      <c r="V519" t="s">
        <v>2365</v>
      </c>
      <c r="W519" t="s">
        <v>2365</v>
      </c>
      <c r="X519" t="s">
        <v>2365</v>
      </c>
      <c r="Y519" t="s">
        <v>2365</v>
      </c>
      <c r="Z519" t="s">
        <v>2365</v>
      </c>
      <c r="AA519" t="s">
        <v>2365</v>
      </c>
      <c r="AB519" t="s">
        <v>2365</v>
      </c>
      <c r="AC519" s="813" t="s">
        <v>2365</v>
      </c>
      <c r="AD519" s="813" t="s">
        <v>2365</v>
      </c>
      <c r="AE519" s="813" t="s">
        <v>2365</v>
      </c>
      <c r="AF519" t="s">
        <v>2365</v>
      </c>
      <c r="AG519" t="s">
        <v>2365</v>
      </c>
      <c r="AH519" t="s">
        <v>2365</v>
      </c>
      <c r="AI519" t="s">
        <v>2365</v>
      </c>
      <c r="AJ519" t="s">
        <v>2365</v>
      </c>
      <c r="AK519" t="s">
        <v>2365</v>
      </c>
      <c r="AL519" t="s">
        <v>2365</v>
      </c>
      <c r="AM519" t="s">
        <v>2365</v>
      </c>
      <c r="AN519" t="s">
        <v>2365</v>
      </c>
      <c r="AR519" t="s">
        <v>2365</v>
      </c>
      <c r="AS519" t="s">
        <v>2365</v>
      </c>
      <c r="AT519" t="s">
        <v>2365</v>
      </c>
      <c r="AU519" t="s">
        <v>2365</v>
      </c>
      <c r="AV519" t="s">
        <v>2365</v>
      </c>
      <c r="AW519" t="s">
        <v>2365</v>
      </c>
      <c r="AX519" t="s">
        <v>2365</v>
      </c>
      <c r="AY519" t="s">
        <v>2365</v>
      </c>
      <c r="AZ519" t="s">
        <v>2365</v>
      </c>
      <c r="BA519" t="s">
        <v>2365</v>
      </c>
      <c r="BB519" t="s">
        <v>2365</v>
      </c>
      <c r="BC519" t="s">
        <v>2365</v>
      </c>
      <c r="BD519" t="s">
        <v>2366</v>
      </c>
      <c r="BE519" t="s">
        <v>2365</v>
      </c>
      <c r="BF519" t="s">
        <v>2365</v>
      </c>
      <c r="BG519" t="s">
        <v>2365</v>
      </c>
      <c r="BH519" t="s">
        <v>2365</v>
      </c>
      <c r="BI519" t="s">
        <v>2366</v>
      </c>
      <c r="BJ519" t="s">
        <v>2365</v>
      </c>
      <c r="BK519" t="s">
        <v>2365</v>
      </c>
      <c r="BL519" t="s">
        <v>2365</v>
      </c>
      <c r="BM519" t="s">
        <v>2365</v>
      </c>
      <c r="BO519">
        <v>1</v>
      </c>
      <c r="BP519">
        <v>11</v>
      </c>
      <c r="BQ519" t="s">
        <v>2369</v>
      </c>
      <c r="BR519" t="s">
        <v>1487</v>
      </c>
      <c r="BU519">
        <v>0</v>
      </c>
      <c r="BV519">
        <v>0</v>
      </c>
      <c r="BW519">
        <v>0</v>
      </c>
      <c r="BX519">
        <v>0</v>
      </c>
      <c r="BY519">
        <v>0</v>
      </c>
      <c r="BZ519">
        <v>0</v>
      </c>
      <c r="CA519">
        <v>0</v>
      </c>
      <c r="CB519">
        <v>0</v>
      </c>
      <c r="CC519">
        <v>0</v>
      </c>
      <c r="CD519">
        <v>0</v>
      </c>
      <c r="CE519">
        <v>0</v>
      </c>
      <c r="CF519">
        <v>0</v>
      </c>
      <c r="CG519">
        <v>0</v>
      </c>
      <c r="CH519">
        <v>0</v>
      </c>
      <c r="CI519">
        <v>0</v>
      </c>
      <c r="CJ519">
        <v>0</v>
      </c>
      <c r="CK519">
        <v>0</v>
      </c>
      <c r="CL519">
        <v>0</v>
      </c>
      <c r="CM519">
        <v>0</v>
      </c>
      <c r="CR519" t="s">
        <v>2335</v>
      </c>
      <c r="CS519" s="1369" t="str">
        <f>INDEX([8]Sheet1!$H:$H,MATCH(CR:CR,[8]Sheet1!$AU:$AU,0))</f>
        <v>Economic Development/Planning</v>
      </c>
    </row>
    <row r="520" spans="1:97" x14ac:dyDescent="0.2">
      <c r="A520" t="s">
        <v>3081</v>
      </c>
      <c r="B520">
        <v>573</v>
      </c>
      <c r="C520" t="s">
        <v>3081</v>
      </c>
      <c r="D520">
        <v>40627</v>
      </c>
      <c r="E520" t="s">
        <v>3048</v>
      </c>
      <c r="F520">
        <v>200</v>
      </c>
      <c r="G520" t="s">
        <v>559</v>
      </c>
      <c r="H520">
        <v>200</v>
      </c>
      <c r="I520" t="s">
        <v>2863</v>
      </c>
      <c r="J520" t="s">
        <v>2365</v>
      </c>
      <c r="K520" t="s">
        <v>2365</v>
      </c>
      <c r="L520">
        <v>1200</v>
      </c>
      <c r="M520" t="s">
        <v>1480</v>
      </c>
      <c r="N520">
        <v>1204</v>
      </c>
      <c r="O520" t="s">
        <v>1487</v>
      </c>
      <c r="P520" t="s">
        <v>2366</v>
      </c>
      <c r="Q520" t="s">
        <v>2364</v>
      </c>
      <c r="R520" t="s">
        <v>2364</v>
      </c>
      <c r="S520" t="s">
        <v>1881</v>
      </c>
      <c r="T520" t="s">
        <v>1811</v>
      </c>
      <c r="U520" t="s">
        <v>2365</v>
      </c>
      <c r="V520" t="s">
        <v>2365</v>
      </c>
      <c r="W520" t="s">
        <v>2365</v>
      </c>
      <c r="X520" t="s">
        <v>2365</v>
      </c>
      <c r="Y520" t="s">
        <v>2365</v>
      </c>
      <c r="Z520" t="s">
        <v>2365</v>
      </c>
      <c r="AA520" t="s">
        <v>2365</v>
      </c>
      <c r="AB520" t="s">
        <v>2365</v>
      </c>
      <c r="AC520" s="813" t="s">
        <v>2365</v>
      </c>
      <c r="AD520" s="813" t="s">
        <v>2365</v>
      </c>
      <c r="AE520" s="813" t="s">
        <v>2365</v>
      </c>
      <c r="AF520" t="s">
        <v>2365</v>
      </c>
      <c r="AG520" t="s">
        <v>2365</v>
      </c>
      <c r="AH520" t="s">
        <v>2365</v>
      </c>
      <c r="AI520" t="s">
        <v>2365</v>
      </c>
      <c r="AJ520" t="s">
        <v>2365</v>
      </c>
      <c r="AK520" t="s">
        <v>2365</v>
      </c>
      <c r="AL520" t="s">
        <v>2365</v>
      </c>
      <c r="AM520" t="s">
        <v>2365</v>
      </c>
      <c r="AN520" t="s">
        <v>2365</v>
      </c>
      <c r="AR520" t="s">
        <v>2365</v>
      </c>
      <c r="AS520" t="s">
        <v>2365</v>
      </c>
      <c r="AT520" t="s">
        <v>2365</v>
      </c>
      <c r="AU520" t="s">
        <v>2365</v>
      </c>
      <c r="AV520" t="s">
        <v>2365</v>
      </c>
      <c r="AW520" t="s">
        <v>2365</v>
      </c>
      <c r="AX520" t="s">
        <v>2365</v>
      </c>
      <c r="AY520" t="s">
        <v>2365</v>
      </c>
      <c r="AZ520" t="s">
        <v>2365</v>
      </c>
      <c r="BA520" t="s">
        <v>2365</v>
      </c>
      <c r="BB520" t="s">
        <v>2365</v>
      </c>
      <c r="BC520" t="s">
        <v>2365</v>
      </c>
      <c r="BD520" t="s">
        <v>2366</v>
      </c>
      <c r="BE520" t="s">
        <v>2365</v>
      </c>
      <c r="BF520" t="s">
        <v>2365</v>
      </c>
      <c r="BG520" t="s">
        <v>2365</v>
      </c>
      <c r="BH520" t="s">
        <v>2365</v>
      </c>
      <c r="BI520" t="s">
        <v>2366</v>
      </c>
      <c r="BJ520" t="s">
        <v>2365</v>
      </c>
      <c r="BK520" t="s">
        <v>2365</v>
      </c>
      <c r="BL520" t="s">
        <v>2365</v>
      </c>
      <c r="BM520" t="s">
        <v>2365</v>
      </c>
      <c r="BO520">
        <v>1</v>
      </c>
      <c r="BP520">
        <v>11</v>
      </c>
      <c r="BQ520" t="s">
        <v>2369</v>
      </c>
      <c r="BR520" t="s">
        <v>1487</v>
      </c>
      <c r="BU520">
        <v>0</v>
      </c>
      <c r="BV520">
        <v>0</v>
      </c>
      <c r="BW520">
        <v>0</v>
      </c>
      <c r="BX520">
        <v>0</v>
      </c>
      <c r="BY520">
        <v>0</v>
      </c>
      <c r="BZ520">
        <v>0</v>
      </c>
      <c r="CA520">
        <v>0</v>
      </c>
      <c r="CB520">
        <v>0</v>
      </c>
      <c r="CC520">
        <v>0</v>
      </c>
      <c r="CD520">
        <v>0</v>
      </c>
      <c r="CE520">
        <v>0</v>
      </c>
      <c r="CF520">
        <v>0</v>
      </c>
      <c r="CG520">
        <v>0</v>
      </c>
      <c r="CH520">
        <v>0</v>
      </c>
      <c r="CI520">
        <v>0</v>
      </c>
      <c r="CJ520">
        <v>0</v>
      </c>
      <c r="CK520">
        <v>0</v>
      </c>
      <c r="CL520">
        <v>0</v>
      </c>
      <c r="CM520">
        <v>0</v>
      </c>
      <c r="CR520" t="s">
        <v>2337</v>
      </c>
      <c r="CS520" s="1369" t="str">
        <f>INDEX([8]Sheet1!$H:$H,MATCH(CR:CR,[8]Sheet1!$AU:$AU,0))</f>
        <v>Corporate Wide Strategic Planning (IDPs, LEDs)</v>
      </c>
    </row>
    <row r="521" spans="1:97" x14ac:dyDescent="0.2">
      <c r="A521" t="s">
        <v>3082</v>
      </c>
      <c r="B521">
        <v>574</v>
      </c>
      <c r="C521" t="s">
        <v>3082</v>
      </c>
      <c r="D521">
        <v>40628</v>
      </c>
      <c r="E521" t="s">
        <v>3050</v>
      </c>
      <c r="F521">
        <v>200</v>
      </c>
      <c r="G521" t="s">
        <v>559</v>
      </c>
      <c r="H521">
        <v>200</v>
      </c>
      <c r="I521" t="s">
        <v>2863</v>
      </c>
      <c r="J521" t="s">
        <v>2365</v>
      </c>
      <c r="K521" t="s">
        <v>2365</v>
      </c>
      <c r="L521">
        <v>1200</v>
      </c>
      <c r="M521" t="s">
        <v>1480</v>
      </c>
      <c r="N521">
        <v>1204</v>
      </c>
      <c r="O521" t="s">
        <v>1487</v>
      </c>
      <c r="P521" t="s">
        <v>2366</v>
      </c>
      <c r="Q521" t="s">
        <v>2364</v>
      </c>
      <c r="R521" t="s">
        <v>2364</v>
      </c>
      <c r="S521" t="s">
        <v>1881</v>
      </c>
      <c r="T521" t="s">
        <v>1811</v>
      </c>
      <c r="U521" t="s">
        <v>2365</v>
      </c>
      <c r="V521" t="s">
        <v>2365</v>
      </c>
      <c r="W521" t="s">
        <v>2365</v>
      </c>
      <c r="X521" t="s">
        <v>2365</v>
      </c>
      <c r="Y521" t="s">
        <v>2365</v>
      </c>
      <c r="Z521" t="s">
        <v>2365</v>
      </c>
      <c r="AA521" t="s">
        <v>2365</v>
      </c>
      <c r="AB521" t="s">
        <v>2365</v>
      </c>
      <c r="AC521" s="813" t="s">
        <v>2365</v>
      </c>
      <c r="AD521" s="813" t="s">
        <v>2365</v>
      </c>
      <c r="AE521" s="813" t="s">
        <v>2365</v>
      </c>
      <c r="AF521" t="s">
        <v>2365</v>
      </c>
      <c r="AG521" t="s">
        <v>2365</v>
      </c>
      <c r="AH521" t="s">
        <v>2365</v>
      </c>
      <c r="AI521" t="s">
        <v>2365</v>
      </c>
      <c r="AJ521" t="s">
        <v>2365</v>
      </c>
      <c r="AK521" t="s">
        <v>2365</v>
      </c>
      <c r="AL521" t="s">
        <v>2365</v>
      </c>
      <c r="AM521" t="s">
        <v>2365</v>
      </c>
      <c r="AN521" t="s">
        <v>2365</v>
      </c>
      <c r="AR521" t="s">
        <v>2365</v>
      </c>
      <c r="AS521" t="s">
        <v>2365</v>
      </c>
      <c r="AT521" t="s">
        <v>2365</v>
      </c>
      <c r="AU521" t="s">
        <v>2365</v>
      </c>
      <c r="AV521" t="s">
        <v>2365</v>
      </c>
      <c r="AW521" t="s">
        <v>2365</v>
      </c>
      <c r="AX521" t="s">
        <v>2365</v>
      </c>
      <c r="AY521" t="s">
        <v>2365</v>
      </c>
      <c r="AZ521" t="s">
        <v>2365</v>
      </c>
      <c r="BA521" t="s">
        <v>2365</v>
      </c>
      <c r="BB521" t="s">
        <v>2365</v>
      </c>
      <c r="BC521" t="s">
        <v>2365</v>
      </c>
      <c r="BD521" t="s">
        <v>2366</v>
      </c>
      <c r="BE521" t="s">
        <v>2365</v>
      </c>
      <c r="BF521" t="s">
        <v>2365</v>
      </c>
      <c r="BG521" t="s">
        <v>2365</v>
      </c>
      <c r="BH521" t="s">
        <v>2365</v>
      </c>
      <c r="BI521" t="s">
        <v>2366</v>
      </c>
      <c r="BJ521" t="s">
        <v>2365</v>
      </c>
      <c r="BK521" t="s">
        <v>2365</v>
      </c>
      <c r="BL521" t="s">
        <v>2365</v>
      </c>
      <c r="BM521" t="s">
        <v>2365</v>
      </c>
      <c r="BO521">
        <v>1</v>
      </c>
      <c r="BP521">
        <v>11</v>
      </c>
      <c r="BQ521" t="s">
        <v>2369</v>
      </c>
      <c r="BR521" t="s">
        <v>1487</v>
      </c>
      <c r="BU521">
        <v>0</v>
      </c>
      <c r="BV521">
        <v>0</v>
      </c>
      <c r="BW521">
        <v>0</v>
      </c>
      <c r="BX521">
        <v>0</v>
      </c>
      <c r="BY521">
        <v>0</v>
      </c>
      <c r="BZ521">
        <v>0</v>
      </c>
      <c r="CA521">
        <v>0</v>
      </c>
      <c r="CB521">
        <v>0</v>
      </c>
      <c r="CC521">
        <v>0</v>
      </c>
      <c r="CD521">
        <v>0</v>
      </c>
      <c r="CE521">
        <v>0</v>
      </c>
      <c r="CF521">
        <v>0</v>
      </c>
      <c r="CG521">
        <v>0</v>
      </c>
      <c r="CH521">
        <v>0</v>
      </c>
      <c r="CI521">
        <v>0</v>
      </c>
      <c r="CJ521">
        <v>0</v>
      </c>
      <c r="CK521">
        <v>0</v>
      </c>
      <c r="CL521">
        <v>0</v>
      </c>
      <c r="CM521">
        <v>0</v>
      </c>
      <c r="CR521" t="s">
        <v>2329</v>
      </c>
      <c r="CS521" s="1369" t="str">
        <f>INDEX([8]Sheet1!$H:$H,MATCH(CR:CR,[8]Sheet1!$AU:$AU,0))</f>
        <v>Sewerage</v>
      </c>
    </row>
    <row r="522" spans="1:97" x14ac:dyDescent="0.2">
      <c r="A522" t="s">
        <v>3083</v>
      </c>
      <c r="B522">
        <v>575</v>
      </c>
      <c r="C522" t="s">
        <v>3083</v>
      </c>
      <c r="D522">
        <v>40629</v>
      </c>
      <c r="E522" t="s">
        <v>3052</v>
      </c>
      <c r="F522">
        <v>200</v>
      </c>
      <c r="G522" t="s">
        <v>559</v>
      </c>
      <c r="H522">
        <v>200</v>
      </c>
      <c r="I522" t="s">
        <v>2863</v>
      </c>
      <c r="J522" t="s">
        <v>2365</v>
      </c>
      <c r="K522" t="s">
        <v>2365</v>
      </c>
      <c r="L522">
        <v>1200</v>
      </c>
      <c r="M522" t="s">
        <v>1480</v>
      </c>
      <c r="N522">
        <v>1204</v>
      </c>
      <c r="O522" t="s">
        <v>1487</v>
      </c>
      <c r="P522" t="s">
        <v>2366</v>
      </c>
      <c r="Q522" t="s">
        <v>2364</v>
      </c>
      <c r="R522" t="s">
        <v>2364</v>
      </c>
      <c r="S522" t="s">
        <v>1881</v>
      </c>
      <c r="T522" t="s">
        <v>1811</v>
      </c>
      <c r="U522" t="s">
        <v>2365</v>
      </c>
      <c r="V522" t="s">
        <v>2365</v>
      </c>
      <c r="W522" t="s">
        <v>2365</v>
      </c>
      <c r="X522" t="s">
        <v>2365</v>
      </c>
      <c r="Y522" t="s">
        <v>2365</v>
      </c>
      <c r="Z522" t="s">
        <v>2365</v>
      </c>
      <c r="AA522" t="s">
        <v>2365</v>
      </c>
      <c r="AB522" t="s">
        <v>2365</v>
      </c>
      <c r="AC522" s="813" t="s">
        <v>2365</v>
      </c>
      <c r="AD522" s="813" t="s">
        <v>2365</v>
      </c>
      <c r="AE522" s="813" t="s">
        <v>2365</v>
      </c>
      <c r="AF522" t="s">
        <v>2365</v>
      </c>
      <c r="AG522" t="s">
        <v>2365</v>
      </c>
      <c r="AH522" t="s">
        <v>2365</v>
      </c>
      <c r="AI522" t="s">
        <v>2365</v>
      </c>
      <c r="AJ522" t="s">
        <v>2365</v>
      </c>
      <c r="AK522" t="s">
        <v>2365</v>
      </c>
      <c r="AL522" t="s">
        <v>2365</v>
      </c>
      <c r="AM522" t="s">
        <v>2365</v>
      </c>
      <c r="AN522" t="s">
        <v>2365</v>
      </c>
      <c r="AR522" t="s">
        <v>2365</v>
      </c>
      <c r="AS522" t="s">
        <v>2365</v>
      </c>
      <c r="AT522" t="s">
        <v>2365</v>
      </c>
      <c r="AU522" t="s">
        <v>2365</v>
      </c>
      <c r="AV522" t="s">
        <v>2365</v>
      </c>
      <c r="AW522" t="s">
        <v>2365</v>
      </c>
      <c r="AX522" t="s">
        <v>2365</v>
      </c>
      <c r="AY522" t="s">
        <v>2365</v>
      </c>
      <c r="AZ522" t="s">
        <v>2365</v>
      </c>
      <c r="BA522" t="s">
        <v>2365</v>
      </c>
      <c r="BB522" t="s">
        <v>2365</v>
      </c>
      <c r="BC522" t="s">
        <v>2365</v>
      </c>
      <c r="BD522" t="s">
        <v>2366</v>
      </c>
      <c r="BE522" t="s">
        <v>2365</v>
      </c>
      <c r="BF522" t="s">
        <v>2365</v>
      </c>
      <c r="BG522" t="s">
        <v>2365</v>
      </c>
      <c r="BH522" t="s">
        <v>2365</v>
      </c>
      <c r="BI522" t="s">
        <v>2366</v>
      </c>
      <c r="BJ522" t="s">
        <v>2365</v>
      </c>
      <c r="BK522" t="s">
        <v>2365</v>
      </c>
      <c r="BL522" t="s">
        <v>2365</v>
      </c>
      <c r="BM522" t="s">
        <v>2365</v>
      </c>
      <c r="BO522">
        <v>1</v>
      </c>
      <c r="BP522">
        <v>11</v>
      </c>
      <c r="BQ522" t="s">
        <v>2369</v>
      </c>
      <c r="BR522" t="s">
        <v>1487</v>
      </c>
      <c r="BU522">
        <v>0</v>
      </c>
      <c r="BV522">
        <v>0</v>
      </c>
      <c r="BW522">
        <v>0</v>
      </c>
      <c r="BX522">
        <v>0</v>
      </c>
      <c r="BY522">
        <v>0</v>
      </c>
      <c r="BZ522">
        <v>0</v>
      </c>
      <c r="CA522">
        <v>0</v>
      </c>
      <c r="CB522">
        <v>0</v>
      </c>
      <c r="CC522">
        <v>0</v>
      </c>
      <c r="CD522">
        <v>0</v>
      </c>
      <c r="CE522">
        <v>0</v>
      </c>
      <c r="CF522">
        <v>0</v>
      </c>
      <c r="CG522">
        <v>0</v>
      </c>
      <c r="CH522">
        <v>0</v>
      </c>
      <c r="CI522">
        <v>0</v>
      </c>
      <c r="CJ522">
        <v>0</v>
      </c>
      <c r="CK522">
        <v>0</v>
      </c>
      <c r="CL522">
        <v>0</v>
      </c>
      <c r="CM522">
        <v>0</v>
      </c>
      <c r="CR522" t="s">
        <v>2337</v>
      </c>
      <c r="CS522" s="1369" t="str">
        <f>INDEX([8]Sheet1!$H:$H,MATCH(CR:CR,[8]Sheet1!$AU:$AU,0))</f>
        <v>Corporate Wide Strategic Planning (IDPs, LEDs)</v>
      </c>
    </row>
    <row r="523" spans="1:97" x14ac:dyDescent="0.2">
      <c r="A523" t="s">
        <v>3084</v>
      </c>
      <c r="B523">
        <v>576</v>
      </c>
      <c r="C523" t="s">
        <v>3084</v>
      </c>
      <c r="D523">
        <v>40630</v>
      </c>
      <c r="E523" t="s">
        <v>3054</v>
      </c>
      <c r="F523">
        <v>200</v>
      </c>
      <c r="G523" t="s">
        <v>559</v>
      </c>
      <c r="H523">
        <v>200</v>
      </c>
      <c r="I523" t="s">
        <v>2863</v>
      </c>
      <c r="J523" t="s">
        <v>2365</v>
      </c>
      <c r="K523" t="s">
        <v>2365</v>
      </c>
      <c r="L523">
        <v>1200</v>
      </c>
      <c r="M523" t="s">
        <v>1480</v>
      </c>
      <c r="N523">
        <v>1204</v>
      </c>
      <c r="O523" t="s">
        <v>1487</v>
      </c>
      <c r="P523" t="s">
        <v>2366</v>
      </c>
      <c r="Q523" t="s">
        <v>2364</v>
      </c>
      <c r="R523" t="s">
        <v>2364</v>
      </c>
      <c r="S523" t="s">
        <v>1881</v>
      </c>
      <c r="T523" t="s">
        <v>1811</v>
      </c>
      <c r="U523" t="s">
        <v>2365</v>
      </c>
      <c r="V523" t="s">
        <v>2365</v>
      </c>
      <c r="W523" t="s">
        <v>2365</v>
      </c>
      <c r="X523" t="s">
        <v>2365</v>
      </c>
      <c r="Y523" t="s">
        <v>2365</v>
      </c>
      <c r="Z523" t="s">
        <v>2365</v>
      </c>
      <c r="AA523" t="s">
        <v>2365</v>
      </c>
      <c r="AB523" t="s">
        <v>2365</v>
      </c>
      <c r="AC523" s="813" t="s">
        <v>2365</v>
      </c>
      <c r="AD523" s="813" t="s">
        <v>2365</v>
      </c>
      <c r="AE523" s="813" t="s">
        <v>2365</v>
      </c>
      <c r="AF523" t="s">
        <v>2365</v>
      </c>
      <c r="AG523" t="s">
        <v>2365</v>
      </c>
      <c r="AH523" t="s">
        <v>2365</v>
      </c>
      <c r="AI523" t="s">
        <v>2365</v>
      </c>
      <c r="AJ523" t="s">
        <v>2365</v>
      </c>
      <c r="AK523" t="s">
        <v>2365</v>
      </c>
      <c r="AL523" t="s">
        <v>2365</v>
      </c>
      <c r="AM523" t="s">
        <v>2365</v>
      </c>
      <c r="AN523" t="s">
        <v>2365</v>
      </c>
      <c r="AR523" t="s">
        <v>2365</v>
      </c>
      <c r="AS523" t="s">
        <v>2365</v>
      </c>
      <c r="AT523" t="s">
        <v>2365</v>
      </c>
      <c r="AU523" t="s">
        <v>2365</v>
      </c>
      <c r="AV523" t="s">
        <v>2365</v>
      </c>
      <c r="AW523" t="s">
        <v>2365</v>
      </c>
      <c r="AX523" t="s">
        <v>2365</v>
      </c>
      <c r="AY523" t="s">
        <v>2365</v>
      </c>
      <c r="AZ523" t="s">
        <v>2365</v>
      </c>
      <c r="BA523" t="s">
        <v>2365</v>
      </c>
      <c r="BB523" t="s">
        <v>2365</v>
      </c>
      <c r="BC523" t="s">
        <v>2365</v>
      </c>
      <c r="BD523" t="s">
        <v>2366</v>
      </c>
      <c r="BE523" t="s">
        <v>2365</v>
      </c>
      <c r="BF523" t="s">
        <v>2365</v>
      </c>
      <c r="BG523" t="s">
        <v>2365</v>
      </c>
      <c r="BH523" t="s">
        <v>2365</v>
      </c>
      <c r="BI523" t="s">
        <v>2366</v>
      </c>
      <c r="BJ523" t="s">
        <v>2365</v>
      </c>
      <c r="BK523" t="s">
        <v>2365</v>
      </c>
      <c r="BL523" t="s">
        <v>2365</v>
      </c>
      <c r="BM523" t="s">
        <v>2365</v>
      </c>
      <c r="BO523">
        <v>1</v>
      </c>
      <c r="BP523">
        <v>11</v>
      </c>
      <c r="BQ523" t="s">
        <v>2369</v>
      </c>
      <c r="BR523" t="s">
        <v>1487</v>
      </c>
      <c r="BU523">
        <v>0</v>
      </c>
      <c r="BV523">
        <v>0</v>
      </c>
      <c r="BW523">
        <v>0</v>
      </c>
      <c r="BX523">
        <v>0</v>
      </c>
      <c r="BY523">
        <v>0</v>
      </c>
      <c r="BZ523">
        <v>0</v>
      </c>
      <c r="CA523">
        <v>0</v>
      </c>
      <c r="CB523">
        <v>0</v>
      </c>
      <c r="CC523">
        <v>0</v>
      </c>
      <c r="CD523">
        <v>0</v>
      </c>
      <c r="CE523">
        <v>0</v>
      </c>
      <c r="CF523">
        <v>0</v>
      </c>
      <c r="CG523">
        <v>0</v>
      </c>
      <c r="CH523">
        <v>0</v>
      </c>
      <c r="CI523">
        <v>0</v>
      </c>
      <c r="CJ523">
        <v>0</v>
      </c>
      <c r="CK523">
        <v>0</v>
      </c>
      <c r="CL523">
        <v>0</v>
      </c>
      <c r="CM523">
        <v>0</v>
      </c>
      <c r="CR523" t="s">
        <v>2329</v>
      </c>
      <c r="CS523" s="1369" t="str">
        <f>INDEX([8]Sheet1!$H:$H,MATCH(CR:CR,[8]Sheet1!$AU:$AU,0))</f>
        <v>Sewerage</v>
      </c>
    </row>
    <row r="524" spans="1:97" x14ac:dyDescent="0.2">
      <c r="A524" t="s">
        <v>3085</v>
      </c>
      <c r="B524">
        <v>577</v>
      </c>
      <c r="C524" t="s">
        <v>3085</v>
      </c>
      <c r="D524">
        <v>40631</v>
      </c>
      <c r="E524" t="s">
        <v>3027</v>
      </c>
      <c r="F524">
        <v>200</v>
      </c>
      <c r="G524" t="s">
        <v>559</v>
      </c>
      <c r="H524">
        <v>200</v>
      </c>
      <c r="I524" t="s">
        <v>2863</v>
      </c>
      <c r="J524" t="s">
        <v>2365</v>
      </c>
      <c r="K524" t="s">
        <v>2365</v>
      </c>
      <c r="L524">
        <v>1200</v>
      </c>
      <c r="M524" t="s">
        <v>1480</v>
      </c>
      <c r="N524">
        <v>1204</v>
      </c>
      <c r="O524" t="s">
        <v>1487</v>
      </c>
      <c r="P524" t="s">
        <v>2366</v>
      </c>
      <c r="Q524" t="s">
        <v>2364</v>
      </c>
      <c r="R524" t="s">
        <v>2364</v>
      </c>
      <c r="S524" t="s">
        <v>1881</v>
      </c>
      <c r="T524" t="s">
        <v>1811</v>
      </c>
      <c r="U524" t="s">
        <v>2365</v>
      </c>
      <c r="V524" t="s">
        <v>2365</v>
      </c>
      <c r="W524" t="s">
        <v>2365</v>
      </c>
      <c r="X524" t="s">
        <v>2365</v>
      </c>
      <c r="Y524" t="s">
        <v>2365</v>
      </c>
      <c r="Z524" t="s">
        <v>2365</v>
      </c>
      <c r="AA524" t="s">
        <v>2365</v>
      </c>
      <c r="AB524" t="s">
        <v>2365</v>
      </c>
      <c r="AC524" s="813" t="s">
        <v>2365</v>
      </c>
      <c r="AD524" s="813" t="s">
        <v>2365</v>
      </c>
      <c r="AE524" s="813" t="s">
        <v>2365</v>
      </c>
      <c r="AF524" t="s">
        <v>2365</v>
      </c>
      <c r="AG524" t="s">
        <v>2365</v>
      </c>
      <c r="AH524" t="s">
        <v>2365</v>
      </c>
      <c r="AI524" t="s">
        <v>2365</v>
      </c>
      <c r="AJ524" t="s">
        <v>2365</v>
      </c>
      <c r="AK524" t="s">
        <v>2365</v>
      </c>
      <c r="AL524" t="s">
        <v>2365</v>
      </c>
      <c r="AM524" t="s">
        <v>2365</v>
      </c>
      <c r="AN524" t="s">
        <v>2365</v>
      </c>
      <c r="AR524" t="s">
        <v>2365</v>
      </c>
      <c r="AS524" t="s">
        <v>2365</v>
      </c>
      <c r="AT524" t="s">
        <v>2365</v>
      </c>
      <c r="AU524" t="s">
        <v>2365</v>
      </c>
      <c r="AV524" t="s">
        <v>2365</v>
      </c>
      <c r="AW524" t="s">
        <v>2365</v>
      </c>
      <c r="AX524" t="s">
        <v>2365</v>
      </c>
      <c r="AY524" t="s">
        <v>2365</v>
      </c>
      <c r="AZ524" t="s">
        <v>2365</v>
      </c>
      <c r="BA524" t="s">
        <v>2365</v>
      </c>
      <c r="BB524" t="s">
        <v>2365</v>
      </c>
      <c r="BC524" t="s">
        <v>2365</v>
      </c>
      <c r="BD524" t="s">
        <v>2366</v>
      </c>
      <c r="BE524" t="s">
        <v>2365</v>
      </c>
      <c r="BF524" t="s">
        <v>2365</v>
      </c>
      <c r="BG524" t="s">
        <v>2365</v>
      </c>
      <c r="BH524" t="s">
        <v>2365</v>
      </c>
      <c r="BI524" t="s">
        <v>2366</v>
      </c>
      <c r="BJ524" t="s">
        <v>2365</v>
      </c>
      <c r="BK524" t="s">
        <v>2365</v>
      </c>
      <c r="BL524" t="s">
        <v>2365</v>
      </c>
      <c r="BM524" t="s">
        <v>2365</v>
      </c>
      <c r="BO524">
        <v>1</v>
      </c>
      <c r="BP524">
        <v>11</v>
      </c>
      <c r="BQ524" t="s">
        <v>2369</v>
      </c>
      <c r="BR524" t="s">
        <v>1487</v>
      </c>
      <c r="BU524">
        <v>478</v>
      </c>
      <c r="BV524">
        <v>0</v>
      </c>
      <c r="BW524">
        <v>478</v>
      </c>
      <c r="BX524">
        <v>0</v>
      </c>
      <c r="BY524">
        <v>478</v>
      </c>
      <c r="BZ524">
        <v>507</v>
      </c>
      <c r="CA524">
        <v>537</v>
      </c>
      <c r="CB524">
        <v>0</v>
      </c>
      <c r="CC524">
        <v>0</v>
      </c>
      <c r="CD524">
        <v>0</v>
      </c>
      <c r="CE524">
        <v>0</v>
      </c>
      <c r="CF524">
        <v>0</v>
      </c>
      <c r="CG524">
        <v>0</v>
      </c>
      <c r="CH524">
        <v>0</v>
      </c>
      <c r="CI524">
        <v>0</v>
      </c>
      <c r="CJ524">
        <v>0</v>
      </c>
      <c r="CK524">
        <v>0</v>
      </c>
      <c r="CL524">
        <v>0</v>
      </c>
      <c r="CM524">
        <v>0</v>
      </c>
      <c r="CR524" t="s">
        <v>2329</v>
      </c>
      <c r="CS524" s="1369" t="str">
        <f>INDEX([8]Sheet1!$H:$H,MATCH(CR:CR,[8]Sheet1!$AU:$AU,0))</f>
        <v>Sewerage</v>
      </c>
    </row>
    <row r="525" spans="1:97" x14ac:dyDescent="0.2">
      <c r="A525" t="s">
        <v>3086</v>
      </c>
      <c r="B525">
        <v>578</v>
      </c>
      <c r="C525" t="s">
        <v>3086</v>
      </c>
      <c r="D525">
        <v>40632</v>
      </c>
      <c r="E525" t="s">
        <v>3029</v>
      </c>
      <c r="F525">
        <v>200</v>
      </c>
      <c r="G525" t="s">
        <v>559</v>
      </c>
      <c r="H525">
        <v>200</v>
      </c>
      <c r="I525" t="s">
        <v>2863</v>
      </c>
      <c r="J525" t="s">
        <v>2365</v>
      </c>
      <c r="K525" t="s">
        <v>2365</v>
      </c>
      <c r="L525">
        <v>1200</v>
      </c>
      <c r="M525" t="s">
        <v>1480</v>
      </c>
      <c r="N525">
        <v>1204</v>
      </c>
      <c r="O525" t="s">
        <v>1487</v>
      </c>
      <c r="P525" t="s">
        <v>2366</v>
      </c>
      <c r="Q525" t="s">
        <v>2364</v>
      </c>
      <c r="R525" t="s">
        <v>2364</v>
      </c>
      <c r="S525" t="s">
        <v>1881</v>
      </c>
      <c r="T525" t="s">
        <v>1811</v>
      </c>
      <c r="U525" t="s">
        <v>2365</v>
      </c>
      <c r="V525" t="s">
        <v>2365</v>
      </c>
      <c r="W525" t="s">
        <v>2365</v>
      </c>
      <c r="X525" t="s">
        <v>2365</v>
      </c>
      <c r="Y525" t="s">
        <v>2365</v>
      </c>
      <c r="Z525" t="s">
        <v>2365</v>
      </c>
      <c r="AA525" t="s">
        <v>2365</v>
      </c>
      <c r="AB525" t="s">
        <v>2365</v>
      </c>
      <c r="AC525" s="813" t="s">
        <v>2365</v>
      </c>
      <c r="AD525" s="813" t="s">
        <v>2365</v>
      </c>
      <c r="AE525" s="813" t="s">
        <v>2365</v>
      </c>
      <c r="AF525" t="s">
        <v>2365</v>
      </c>
      <c r="AG525" t="s">
        <v>2365</v>
      </c>
      <c r="AH525" t="s">
        <v>2365</v>
      </c>
      <c r="AI525" t="s">
        <v>2365</v>
      </c>
      <c r="AJ525" t="s">
        <v>2365</v>
      </c>
      <c r="AK525" t="s">
        <v>2365</v>
      </c>
      <c r="AL525" t="s">
        <v>2365</v>
      </c>
      <c r="AM525" t="s">
        <v>2365</v>
      </c>
      <c r="AN525" t="s">
        <v>2365</v>
      </c>
      <c r="AR525" t="s">
        <v>2365</v>
      </c>
      <c r="AS525" t="s">
        <v>2365</v>
      </c>
      <c r="AT525" t="s">
        <v>2365</v>
      </c>
      <c r="AU525" t="s">
        <v>2365</v>
      </c>
      <c r="AV525" t="s">
        <v>2365</v>
      </c>
      <c r="AW525" t="s">
        <v>2365</v>
      </c>
      <c r="AX525" t="s">
        <v>2365</v>
      </c>
      <c r="AY525" t="s">
        <v>2365</v>
      </c>
      <c r="AZ525" t="s">
        <v>2365</v>
      </c>
      <c r="BA525" t="s">
        <v>2365</v>
      </c>
      <c r="BB525" t="s">
        <v>2365</v>
      </c>
      <c r="BC525" t="s">
        <v>2365</v>
      </c>
      <c r="BD525" t="s">
        <v>2366</v>
      </c>
      <c r="BE525" t="s">
        <v>2365</v>
      </c>
      <c r="BF525" t="s">
        <v>2365</v>
      </c>
      <c r="BG525" t="s">
        <v>2365</v>
      </c>
      <c r="BH525" t="s">
        <v>2365</v>
      </c>
      <c r="BI525" t="s">
        <v>2366</v>
      </c>
      <c r="BJ525" t="s">
        <v>2365</v>
      </c>
      <c r="BK525" t="s">
        <v>2365</v>
      </c>
      <c r="BL525" t="s">
        <v>2365</v>
      </c>
      <c r="BM525" t="s">
        <v>2365</v>
      </c>
      <c r="BO525">
        <v>1</v>
      </c>
      <c r="BP525">
        <v>11</v>
      </c>
      <c r="BQ525" t="s">
        <v>2369</v>
      </c>
      <c r="BR525" t="s">
        <v>1487</v>
      </c>
      <c r="BU525">
        <v>0</v>
      </c>
      <c r="BV525">
        <v>0</v>
      </c>
      <c r="BW525">
        <v>0</v>
      </c>
      <c r="BX525">
        <v>0</v>
      </c>
      <c r="BY525">
        <v>0</v>
      </c>
      <c r="BZ525">
        <v>0</v>
      </c>
      <c r="CA525">
        <v>0</v>
      </c>
      <c r="CB525">
        <v>0</v>
      </c>
      <c r="CC525">
        <v>0</v>
      </c>
      <c r="CD525">
        <v>0</v>
      </c>
      <c r="CE525">
        <v>0</v>
      </c>
      <c r="CF525">
        <v>0</v>
      </c>
      <c r="CG525">
        <v>0</v>
      </c>
      <c r="CH525">
        <v>0</v>
      </c>
      <c r="CI525">
        <v>0</v>
      </c>
      <c r="CJ525">
        <v>0</v>
      </c>
      <c r="CK525">
        <v>0</v>
      </c>
      <c r="CL525">
        <v>0</v>
      </c>
      <c r="CM525">
        <v>0</v>
      </c>
      <c r="CR525" t="s">
        <v>2328</v>
      </c>
      <c r="CS525" s="1369" t="str">
        <f>INDEX([8]Sheet1!$H:$H,MATCH(CR:CR,[8]Sheet1!$AU:$AU,0))</f>
        <v>Water Distribution</v>
      </c>
    </row>
    <row r="526" spans="1:97" x14ac:dyDescent="0.2">
      <c r="A526" t="s">
        <v>3087</v>
      </c>
      <c r="B526">
        <v>579</v>
      </c>
      <c r="C526" t="s">
        <v>3087</v>
      </c>
      <c r="D526">
        <v>40633</v>
      </c>
      <c r="E526" t="s">
        <v>3031</v>
      </c>
      <c r="F526">
        <v>200</v>
      </c>
      <c r="G526" t="s">
        <v>559</v>
      </c>
      <c r="H526">
        <v>200</v>
      </c>
      <c r="I526" t="s">
        <v>2863</v>
      </c>
      <c r="J526" t="s">
        <v>2365</v>
      </c>
      <c r="K526" t="s">
        <v>2365</v>
      </c>
      <c r="L526">
        <v>1200</v>
      </c>
      <c r="M526" t="s">
        <v>1480</v>
      </c>
      <c r="N526">
        <v>1204</v>
      </c>
      <c r="O526" t="s">
        <v>1487</v>
      </c>
      <c r="P526" t="s">
        <v>2366</v>
      </c>
      <c r="Q526" t="s">
        <v>2364</v>
      </c>
      <c r="R526" t="s">
        <v>2364</v>
      </c>
      <c r="S526" t="s">
        <v>1881</v>
      </c>
      <c r="T526" t="s">
        <v>1811</v>
      </c>
      <c r="U526" t="s">
        <v>2365</v>
      </c>
      <c r="V526" t="s">
        <v>2365</v>
      </c>
      <c r="W526" t="s">
        <v>2365</v>
      </c>
      <c r="X526" t="s">
        <v>2365</v>
      </c>
      <c r="Y526" t="s">
        <v>2365</v>
      </c>
      <c r="Z526" t="s">
        <v>2365</v>
      </c>
      <c r="AA526" t="s">
        <v>2365</v>
      </c>
      <c r="AB526" t="s">
        <v>2365</v>
      </c>
      <c r="AC526" s="813" t="s">
        <v>2365</v>
      </c>
      <c r="AD526" s="813" t="s">
        <v>2365</v>
      </c>
      <c r="AE526" s="813" t="s">
        <v>2365</v>
      </c>
      <c r="AF526" t="s">
        <v>2365</v>
      </c>
      <c r="AG526" t="s">
        <v>2365</v>
      </c>
      <c r="AH526" t="s">
        <v>2365</v>
      </c>
      <c r="AI526" t="s">
        <v>2365</v>
      </c>
      <c r="AJ526" t="s">
        <v>2365</v>
      </c>
      <c r="AK526" t="s">
        <v>2365</v>
      </c>
      <c r="AL526" t="s">
        <v>2365</v>
      </c>
      <c r="AM526" t="s">
        <v>2365</v>
      </c>
      <c r="AN526" t="s">
        <v>2365</v>
      </c>
      <c r="AR526" t="s">
        <v>2365</v>
      </c>
      <c r="AS526" t="s">
        <v>2365</v>
      </c>
      <c r="AT526" t="s">
        <v>2365</v>
      </c>
      <c r="AU526" t="s">
        <v>2365</v>
      </c>
      <c r="AV526" t="s">
        <v>2365</v>
      </c>
      <c r="AW526" t="s">
        <v>2365</v>
      </c>
      <c r="AX526" t="s">
        <v>2365</v>
      </c>
      <c r="AY526" t="s">
        <v>2365</v>
      </c>
      <c r="AZ526" t="s">
        <v>2365</v>
      </c>
      <c r="BA526" t="s">
        <v>2365</v>
      </c>
      <c r="BB526" t="s">
        <v>2365</v>
      </c>
      <c r="BC526" t="s">
        <v>2365</v>
      </c>
      <c r="BD526" t="s">
        <v>2366</v>
      </c>
      <c r="BE526" t="s">
        <v>2365</v>
      </c>
      <c r="BF526" t="s">
        <v>2365</v>
      </c>
      <c r="BG526" t="s">
        <v>2365</v>
      </c>
      <c r="BH526" t="s">
        <v>2365</v>
      </c>
      <c r="BI526" t="s">
        <v>2366</v>
      </c>
      <c r="BJ526" t="s">
        <v>2365</v>
      </c>
      <c r="BK526" t="s">
        <v>2365</v>
      </c>
      <c r="BL526" t="s">
        <v>2365</v>
      </c>
      <c r="BM526" t="s">
        <v>2365</v>
      </c>
      <c r="BO526">
        <v>1</v>
      </c>
      <c r="BP526">
        <v>11</v>
      </c>
      <c r="BQ526" t="s">
        <v>2369</v>
      </c>
      <c r="BR526" t="s">
        <v>1487</v>
      </c>
      <c r="BU526">
        <v>0</v>
      </c>
      <c r="BV526">
        <v>0</v>
      </c>
      <c r="BW526">
        <v>0</v>
      </c>
      <c r="BX526">
        <v>0</v>
      </c>
      <c r="BY526">
        <v>0</v>
      </c>
      <c r="BZ526">
        <v>0</v>
      </c>
      <c r="CA526">
        <v>0</v>
      </c>
      <c r="CB526">
        <v>0</v>
      </c>
      <c r="CC526">
        <v>0</v>
      </c>
      <c r="CD526">
        <v>0</v>
      </c>
      <c r="CE526">
        <v>0</v>
      </c>
      <c r="CF526">
        <v>0</v>
      </c>
      <c r="CG526">
        <v>0</v>
      </c>
      <c r="CH526">
        <v>0</v>
      </c>
      <c r="CI526">
        <v>0</v>
      </c>
      <c r="CJ526">
        <v>0</v>
      </c>
      <c r="CK526">
        <v>0</v>
      </c>
      <c r="CL526">
        <v>0</v>
      </c>
      <c r="CM526">
        <v>0</v>
      </c>
      <c r="CR526" t="s">
        <v>2328</v>
      </c>
      <c r="CS526" s="1369" t="str">
        <f>INDEX([8]Sheet1!$H:$H,MATCH(CR:CR,[8]Sheet1!$AU:$AU,0))</f>
        <v>Water Distribution</v>
      </c>
    </row>
    <row r="527" spans="1:97" x14ac:dyDescent="0.2">
      <c r="A527" t="s">
        <v>3088</v>
      </c>
      <c r="B527">
        <v>580</v>
      </c>
      <c r="C527" t="s">
        <v>3088</v>
      </c>
      <c r="D527">
        <v>40634</v>
      </c>
      <c r="E527" t="s">
        <v>3033</v>
      </c>
      <c r="F527">
        <v>200</v>
      </c>
      <c r="G527" t="s">
        <v>559</v>
      </c>
      <c r="H527">
        <v>200</v>
      </c>
      <c r="I527" t="s">
        <v>2863</v>
      </c>
      <c r="J527" t="s">
        <v>2365</v>
      </c>
      <c r="K527" t="s">
        <v>2365</v>
      </c>
      <c r="L527">
        <v>1200</v>
      </c>
      <c r="M527" t="s">
        <v>1480</v>
      </c>
      <c r="N527">
        <v>1204</v>
      </c>
      <c r="O527" t="s">
        <v>1487</v>
      </c>
      <c r="P527" t="s">
        <v>2366</v>
      </c>
      <c r="Q527" t="s">
        <v>2364</v>
      </c>
      <c r="R527" t="s">
        <v>2364</v>
      </c>
      <c r="S527" t="s">
        <v>1881</v>
      </c>
      <c r="T527" t="s">
        <v>1811</v>
      </c>
      <c r="U527" t="s">
        <v>2365</v>
      </c>
      <c r="V527" t="s">
        <v>2365</v>
      </c>
      <c r="W527" t="s">
        <v>2365</v>
      </c>
      <c r="X527" t="s">
        <v>2365</v>
      </c>
      <c r="Y527" t="s">
        <v>2365</v>
      </c>
      <c r="Z527" t="s">
        <v>2365</v>
      </c>
      <c r="AA527" t="s">
        <v>2365</v>
      </c>
      <c r="AB527" t="s">
        <v>2365</v>
      </c>
      <c r="AC527" s="813" t="s">
        <v>2365</v>
      </c>
      <c r="AD527" s="813" t="s">
        <v>2365</v>
      </c>
      <c r="AE527" s="813" t="s">
        <v>2365</v>
      </c>
      <c r="AF527" t="s">
        <v>2365</v>
      </c>
      <c r="AG527" t="s">
        <v>2365</v>
      </c>
      <c r="AH527" t="s">
        <v>2365</v>
      </c>
      <c r="AI527" t="s">
        <v>2365</v>
      </c>
      <c r="AJ527" t="s">
        <v>2365</v>
      </c>
      <c r="AK527" t="s">
        <v>2365</v>
      </c>
      <c r="AL527" t="s">
        <v>2365</v>
      </c>
      <c r="AM527" t="s">
        <v>2365</v>
      </c>
      <c r="AN527" t="s">
        <v>2365</v>
      </c>
      <c r="AR527" t="s">
        <v>2365</v>
      </c>
      <c r="AS527" t="s">
        <v>2365</v>
      </c>
      <c r="AT527" t="s">
        <v>2365</v>
      </c>
      <c r="AU527" t="s">
        <v>2365</v>
      </c>
      <c r="AV527" t="s">
        <v>2365</v>
      </c>
      <c r="AW527" t="s">
        <v>2365</v>
      </c>
      <c r="AX527" t="s">
        <v>2365</v>
      </c>
      <c r="AY527" t="s">
        <v>2365</v>
      </c>
      <c r="AZ527" t="s">
        <v>2365</v>
      </c>
      <c r="BA527" t="s">
        <v>2365</v>
      </c>
      <c r="BB527" t="s">
        <v>2365</v>
      </c>
      <c r="BC527" t="s">
        <v>2365</v>
      </c>
      <c r="BD527" t="s">
        <v>2366</v>
      </c>
      <c r="BE527" t="s">
        <v>2365</v>
      </c>
      <c r="BF527" t="s">
        <v>2365</v>
      </c>
      <c r="BG527" t="s">
        <v>2365</v>
      </c>
      <c r="BH527" t="s">
        <v>2365</v>
      </c>
      <c r="BI527" t="s">
        <v>2366</v>
      </c>
      <c r="BJ527" t="s">
        <v>2365</v>
      </c>
      <c r="BK527" t="s">
        <v>2365</v>
      </c>
      <c r="BL527" t="s">
        <v>2365</v>
      </c>
      <c r="BM527" t="s">
        <v>2365</v>
      </c>
      <c r="BO527">
        <v>1</v>
      </c>
      <c r="BP527">
        <v>11</v>
      </c>
      <c r="BQ527" t="s">
        <v>2369</v>
      </c>
      <c r="BR527" t="s">
        <v>1487</v>
      </c>
      <c r="BU527">
        <v>0</v>
      </c>
      <c r="BV527">
        <v>0</v>
      </c>
      <c r="BW527">
        <v>0</v>
      </c>
      <c r="BX527">
        <v>0</v>
      </c>
      <c r="BY527">
        <v>0</v>
      </c>
      <c r="BZ527">
        <v>0</v>
      </c>
      <c r="CA527">
        <v>0</v>
      </c>
      <c r="CB527">
        <v>0</v>
      </c>
      <c r="CC527">
        <v>0</v>
      </c>
      <c r="CD527">
        <v>0</v>
      </c>
      <c r="CE527">
        <v>0</v>
      </c>
      <c r="CF527">
        <v>0</v>
      </c>
      <c r="CG527">
        <v>0</v>
      </c>
      <c r="CH527">
        <v>0</v>
      </c>
      <c r="CI527">
        <v>0</v>
      </c>
      <c r="CJ527">
        <v>0</v>
      </c>
      <c r="CK527">
        <v>0</v>
      </c>
      <c r="CL527">
        <v>0</v>
      </c>
      <c r="CM527">
        <v>0</v>
      </c>
      <c r="CR527" t="s">
        <v>2328</v>
      </c>
      <c r="CS527" s="1369" t="str">
        <f>INDEX([8]Sheet1!$H:$H,MATCH(CR:CR,[8]Sheet1!$AU:$AU,0))</f>
        <v>Water Distribution</v>
      </c>
    </row>
    <row r="528" spans="1:97" x14ac:dyDescent="0.2">
      <c r="A528" t="s">
        <v>3089</v>
      </c>
      <c r="B528">
        <v>581</v>
      </c>
      <c r="C528" t="s">
        <v>3089</v>
      </c>
      <c r="D528">
        <v>40635</v>
      </c>
      <c r="E528" t="s">
        <v>3035</v>
      </c>
      <c r="F528">
        <v>200</v>
      </c>
      <c r="G528" t="s">
        <v>559</v>
      </c>
      <c r="H528">
        <v>200</v>
      </c>
      <c r="I528" t="s">
        <v>2863</v>
      </c>
      <c r="J528" t="s">
        <v>2365</v>
      </c>
      <c r="K528" t="s">
        <v>2365</v>
      </c>
      <c r="L528">
        <v>1200</v>
      </c>
      <c r="M528" t="s">
        <v>1480</v>
      </c>
      <c r="N528">
        <v>1204</v>
      </c>
      <c r="O528" t="s">
        <v>1487</v>
      </c>
      <c r="P528" t="s">
        <v>2366</v>
      </c>
      <c r="Q528" t="s">
        <v>2364</v>
      </c>
      <c r="R528" t="s">
        <v>2364</v>
      </c>
      <c r="S528" t="s">
        <v>1881</v>
      </c>
      <c r="T528" t="s">
        <v>1811</v>
      </c>
      <c r="U528" t="s">
        <v>2365</v>
      </c>
      <c r="V528" t="s">
        <v>2365</v>
      </c>
      <c r="W528" t="s">
        <v>2365</v>
      </c>
      <c r="X528" t="s">
        <v>2365</v>
      </c>
      <c r="Y528" t="s">
        <v>2365</v>
      </c>
      <c r="Z528" t="s">
        <v>2365</v>
      </c>
      <c r="AA528" t="s">
        <v>2365</v>
      </c>
      <c r="AB528" t="s">
        <v>2365</v>
      </c>
      <c r="AC528" s="813" t="s">
        <v>2365</v>
      </c>
      <c r="AD528" s="813" t="s">
        <v>2365</v>
      </c>
      <c r="AE528" s="813" t="s">
        <v>2365</v>
      </c>
      <c r="AF528" t="s">
        <v>2365</v>
      </c>
      <c r="AG528" t="s">
        <v>2365</v>
      </c>
      <c r="AH528" t="s">
        <v>2365</v>
      </c>
      <c r="AI528" t="s">
        <v>2365</v>
      </c>
      <c r="AJ528" t="s">
        <v>2365</v>
      </c>
      <c r="AK528" t="s">
        <v>2365</v>
      </c>
      <c r="AL528" t="s">
        <v>2365</v>
      </c>
      <c r="AM528" t="s">
        <v>2365</v>
      </c>
      <c r="AN528" t="s">
        <v>2365</v>
      </c>
      <c r="AR528" t="s">
        <v>2365</v>
      </c>
      <c r="AS528" t="s">
        <v>2365</v>
      </c>
      <c r="AT528" t="s">
        <v>2365</v>
      </c>
      <c r="AU528" t="s">
        <v>2365</v>
      </c>
      <c r="AV528" t="s">
        <v>2365</v>
      </c>
      <c r="AW528" t="s">
        <v>2365</v>
      </c>
      <c r="AX528" t="s">
        <v>2365</v>
      </c>
      <c r="AY528" t="s">
        <v>2365</v>
      </c>
      <c r="AZ528" t="s">
        <v>2365</v>
      </c>
      <c r="BA528" t="s">
        <v>2365</v>
      </c>
      <c r="BB528" t="s">
        <v>2365</v>
      </c>
      <c r="BC528" t="s">
        <v>2365</v>
      </c>
      <c r="BD528" t="s">
        <v>2366</v>
      </c>
      <c r="BE528" t="s">
        <v>2365</v>
      </c>
      <c r="BF528" t="s">
        <v>2365</v>
      </c>
      <c r="BG528" t="s">
        <v>2365</v>
      </c>
      <c r="BH528" t="s">
        <v>2365</v>
      </c>
      <c r="BI528" t="s">
        <v>2366</v>
      </c>
      <c r="BJ528" t="s">
        <v>2365</v>
      </c>
      <c r="BK528" t="s">
        <v>2365</v>
      </c>
      <c r="BL528" t="s">
        <v>2365</v>
      </c>
      <c r="BM528" t="s">
        <v>2365</v>
      </c>
      <c r="BO528">
        <v>1</v>
      </c>
      <c r="BP528">
        <v>11</v>
      </c>
      <c r="BQ528" t="s">
        <v>2369</v>
      </c>
      <c r="BR528" t="s">
        <v>1487</v>
      </c>
      <c r="BU528">
        <v>6726</v>
      </c>
      <c r="BV528">
        <v>0</v>
      </c>
      <c r="BW528">
        <v>6726</v>
      </c>
      <c r="BX528">
        <v>0</v>
      </c>
      <c r="BY528">
        <v>6726</v>
      </c>
      <c r="BZ528">
        <v>7129</v>
      </c>
      <c r="CA528">
        <v>7557</v>
      </c>
      <c r="CB528">
        <v>0</v>
      </c>
      <c r="CC528">
        <v>0</v>
      </c>
      <c r="CD528">
        <v>0</v>
      </c>
      <c r="CE528">
        <v>0</v>
      </c>
      <c r="CF528">
        <v>0</v>
      </c>
      <c r="CG528">
        <v>0</v>
      </c>
      <c r="CH528">
        <v>0</v>
      </c>
      <c r="CI528">
        <v>0</v>
      </c>
      <c r="CJ528">
        <v>0</v>
      </c>
      <c r="CK528">
        <v>0</v>
      </c>
      <c r="CL528">
        <v>0</v>
      </c>
      <c r="CM528">
        <v>0</v>
      </c>
      <c r="CR528" t="s">
        <v>2337</v>
      </c>
      <c r="CS528" s="1369" t="str">
        <f>INDEX([8]Sheet1!$H:$H,MATCH(CR:CR,[8]Sheet1!$AU:$AU,0))</f>
        <v>Corporate Wide Strategic Planning (IDPs, LEDs)</v>
      </c>
    </row>
    <row r="529" spans="1:97" x14ac:dyDescent="0.2">
      <c r="A529" t="s">
        <v>3090</v>
      </c>
      <c r="B529">
        <v>582</v>
      </c>
      <c r="C529" t="s">
        <v>3090</v>
      </c>
      <c r="D529">
        <v>40636</v>
      </c>
      <c r="E529" t="s">
        <v>3037</v>
      </c>
      <c r="F529">
        <v>200</v>
      </c>
      <c r="G529" t="s">
        <v>559</v>
      </c>
      <c r="H529">
        <v>200</v>
      </c>
      <c r="I529" t="s">
        <v>2863</v>
      </c>
      <c r="J529" t="s">
        <v>2365</v>
      </c>
      <c r="K529" t="s">
        <v>2365</v>
      </c>
      <c r="L529">
        <v>1200</v>
      </c>
      <c r="M529" t="s">
        <v>1480</v>
      </c>
      <c r="N529">
        <v>1204</v>
      </c>
      <c r="O529" t="s">
        <v>1487</v>
      </c>
      <c r="P529" t="s">
        <v>2366</v>
      </c>
      <c r="Q529" t="s">
        <v>2364</v>
      </c>
      <c r="R529" t="s">
        <v>2364</v>
      </c>
      <c r="S529" t="s">
        <v>1881</v>
      </c>
      <c r="T529" t="s">
        <v>1811</v>
      </c>
      <c r="U529" t="s">
        <v>2365</v>
      </c>
      <c r="V529" t="s">
        <v>2365</v>
      </c>
      <c r="W529" t="s">
        <v>2365</v>
      </c>
      <c r="X529" t="s">
        <v>2365</v>
      </c>
      <c r="Y529" t="s">
        <v>2365</v>
      </c>
      <c r="Z529" t="s">
        <v>2365</v>
      </c>
      <c r="AA529" t="s">
        <v>2365</v>
      </c>
      <c r="AB529" t="s">
        <v>2365</v>
      </c>
      <c r="AC529" s="813" t="s">
        <v>2365</v>
      </c>
      <c r="AD529" s="813" t="s">
        <v>2365</v>
      </c>
      <c r="AE529" s="813" t="s">
        <v>2365</v>
      </c>
      <c r="AF529" t="s">
        <v>2365</v>
      </c>
      <c r="AG529" t="s">
        <v>2365</v>
      </c>
      <c r="AH529" t="s">
        <v>2365</v>
      </c>
      <c r="AI529" t="s">
        <v>2365</v>
      </c>
      <c r="AJ529" t="s">
        <v>2365</v>
      </c>
      <c r="AK529" t="s">
        <v>2365</v>
      </c>
      <c r="AL529" t="s">
        <v>2365</v>
      </c>
      <c r="AM529" t="s">
        <v>2365</v>
      </c>
      <c r="AN529" t="s">
        <v>2365</v>
      </c>
      <c r="AR529" t="s">
        <v>2365</v>
      </c>
      <c r="AS529" t="s">
        <v>2365</v>
      </c>
      <c r="AT529" t="s">
        <v>2365</v>
      </c>
      <c r="AU529" t="s">
        <v>2365</v>
      </c>
      <c r="AV529" t="s">
        <v>2365</v>
      </c>
      <c r="AW529" t="s">
        <v>2365</v>
      </c>
      <c r="AX529" t="s">
        <v>2365</v>
      </c>
      <c r="AY529" t="s">
        <v>2365</v>
      </c>
      <c r="AZ529" t="s">
        <v>2365</v>
      </c>
      <c r="BA529" t="s">
        <v>2365</v>
      </c>
      <c r="BB529" t="s">
        <v>2365</v>
      </c>
      <c r="BC529" t="s">
        <v>2365</v>
      </c>
      <c r="BD529" t="s">
        <v>2366</v>
      </c>
      <c r="BE529" t="s">
        <v>2365</v>
      </c>
      <c r="BF529" t="s">
        <v>2365</v>
      </c>
      <c r="BG529" t="s">
        <v>2365</v>
      </c>
      <c r="BH529" t="s">
        <v>2365</v>
      </c>
      <c r="BI529" t="s">
        <v>2366</v>
      </c>
      <c r="BJ529" t="s">
        <v>2365</v>
      </c>
      <c r="BK529" t="s">
        <v>2365</v>
      </c>
      <c r="BL529" t="s">
        <v>2365</v>
      </c>
      <c r="BM529" t="s">
        <v>2365</v>
      </c>
      <c r="BO529">
        <v>1</v>
      </c>
      <c r="BP529">
        <v>11</v>
      </c>
      <c r="BQ529" t="s">
        <v>2369</v>
      </c>
      <c r="BR529" t="s">
        <v>1487</v>
      </c>
      <c r="BU529">
        <v>6374</v>
      </c>
      <c r="BV529">
        <v>0</v>
      </c>
      <c r="BW529">
        <v>6374</v>
      </c>
      <c r="BX529">
        <v>0</v>
      </c>
      <c r="BY529">
        <v>6374</v>
      </c>
      <c r="BZ529">
        <v>6757</v>
      </c>
      <c r="CA529">
        <v>7162</v>
      </c>
      <c r="CB529">
        <v>500.09</v>
      </c>
      <c r="CC529">
        <v>500.09</v>
      </c>
      <c r="CD529">
        <v>500.09</v>
      </c>
      <c r="CE529">
        <v>500.09</v>
      </c>
      <c r="CF529">
        <v>500.09</v>
      </c>
      <c r="CG529">
        <v>500.09</v>
      </c>
      <c r="CH529">
        <v>500.09</v>
      </c>
      <c r="CI529">
        <v>523.35</v>
      </c>
      <c r="CJ529">
        <v>0</v>
      </c>
      <c r="CK529">
        <v>0</v>
      </c>
      <c r="CL529">
        <v>0</v>
      </c>
      <c r="CM529">
        <v>0</v>
      </c>
      <c r="CR529" t="s">
        <v>2329</v>
      </c>
      <c r="CS529" s="1369" t="str">
        <f>INDEX([8]Sheet1!$H:$H,MATCH(CR:CR,[8]Sheet1!$AU:$AU,0))</f>
        <v>Sewerage</v>
      </c>
    </row>
    <row r="530" spans="1:97" x14ac:dyDescent="0.2">
      <c r="A530" t="s">
        <v>3091</v>
      </c>
      <c r="B530">
        <v>583</v>
      </c>
      <c r="C530" t="s">
        <v>3091</v>
      </c>
      <c r="D530">
        <v>40637</v>
      </c>
      <c r="E530" t="s">
        <v>2862</v>
      </c>
      <c r="F530">
        <v>200</v>
      </c>
      <c r="G530" t="s">
        <v>559</v>
      </c>
      <c r="H530">
        <v>200</v>
      </c>
      <c r="I530" t="s">
        <v>2863</v>
      </c>
      <c r="J530" t="s">
        <v>2365</v>
      </c>
      <c r="K530" t="s">
        <v>2365</v>
      </c>
      <c r="L530">
        <v>1200</v>
      </c>
      <c r="M530" t="s">
        <v>1480</v>
      </c>
      <c r="N530">
        <v>1204</v>
      </c>
      <c r="O530" t="s">
        <v>1487</v>
      </c>
      <c r="P530" t="s">
        <v>2366</v>
      </c>
      <c r="Q530" t="s">
        <v>2364</v>
      </c>
      <c r="R530" t="s">
        <v>2364</v>
      </c>
      <c r="S530" t="s">
        <v>1881</v>
      </c>
      <c r="T530" t="s">
        <v>1811</v>
      </c>
      <c r="U530" t="s">
        <v>2365</v>
      </c>
      <c r="V530" t="s">
        <v>2365</v>
      </c>
      <c r="W530" t="s">
        <v>2365</v>
      </c>
      <c r="X530" t="s">
        <v>2365</v>
      </c>
      <c r="Y530" t="s">
        <v>2365</v>
      </c>
      <c r="Z530" t="s">
        <v>2365</v>
      </c>
      <c r="AA530" t="s">
        <v>2365</v>
      </c>
      <c r="AB530" t="s">
        <v>2365</v>
      </c>
      <c r="AC530" s="813" t="s">
        <v>2365</v>
      </c>
      <c r="AD530" s="813" t="s">
        <v>2365</v>
      </c>
      <c r="AE530" s="813" t="s">
        <v>2365</v>
      </c>
      <c r="AF530" t="s">
        <v>2365</v>
      </c>
      <c r="AG530" t="s">
        <v>2365</v>
      </c>
      <c r="AH530" t="s">
        <v>2365</v>
      </c>
      <c r="AI530" t="s">
        <v>2365</v>
      </c>
      <c r="AJ530" t="s">
        <v>2365</v>
      </c>
      <c r="AK530" t="s">
        <v>2365</v>
      </c>
      <c r="AL530" t="s">
        <v>2365</v>
      </c>
      <c r="AM530" t="s">
        <v>2365</v>
      </c>
      <c r="AN530" t="s">
        <v>2365</v>
      </c>
      <c r="AR530" t="s">
        <v>2365</v>
      </c>
      <c r="AS530" t="s">
        <v>2365</v>
      </c>
      <c r="AT530" t="s">
        <v>2365</v>
      </c>
      <c r="AU530" t="s">
        <v>2365</v>
      </c>
      <c r="AV530" t="s">
        <v>2365</v>
      </c>
      <c r="AW530" t="s">
        <v>2365</v>
      </c>
      <c r="AX530" t="s">
        <v>2365</v>
      </c>
      <c r="AY530" t="s">
        <v>2365</v>
      </c>
      <c r="AZ530" t="s">
        <v>2365</v>
      </c>
      <c r="BA530" t="s">
        <v>2365</v>
      </c>
      <c r="BB530" t="s">
        <v>2365</v>
      </c>
      <c r="BC530" t="s">
        <v>2365</v>
      </c>
      <c r="BD530" t="s">
        <v>2366</v>
      </c>
      <c r="BE530" t="s">
        <v>2365</v>
      </c>
      <c r="BF530" t="s">
        <v>2365</v>
      </c>
      <c r="BG530" t="s">
        <v>2365</v>
      </c>
      <c r="BH530" t="s">
        <v>2365</v>
      </c>
      <c r="BI530" t="s">
        <v>2366</v>
      </c>
      <c r="BJ530" t="s">
        <v>2365</v>
      </c>
      <c r="BK530" t="s">
        <v>2365</v>
      </c>
      <c r="BL530" t="s">
        <v>2365</v>
      </c>
      <c r="BM530" t="s">
        <v>2365</v>
      </c>
      <c r="BO530">
        <v>1</v>
      </c>
      <c r="BP530">
        <v>11</v>
      </c>
      <c r="BQ530" t="s">
        <v>2369</v>
      </c>
      <c r="BR530" t="s">
        <v>1487</v>
      </c>
      <c r="BU530">
        <v>1082</v>
      </c>
      <c r="BV530">
        <v>0</v>
      </c>
      <c r="BW530">
        <v>1082</v>
      </c>
      <c r="BX530">
        <v>0</v>
      </c>
      <c r="BY530">
        <v>1082</v>
      </c>
      <c r="BZ530">
        <v>1147</v>
      </c>
      <c r="CA530">
        <v>1216</v>
      </c>
      <c r="CB530">
        <v>0</v>
      </c>
      <c r="CC530">
        <v>0</v>
      </c>
      <c r="CD530">
        <v>0</v>
      </c>
      <c r="CE530">
        <v>0</v>
      </c>
      <c r="CF530">
        <v>0</v>
      </c>
      <c r="CG530">
        <v>0</v>
      </c>
      <c r="CH530">
        <v>0</v>
      </c>
      <c r="CI530">
        <v>0</v>
      </c>
      <c r="CJ530">
        <v>0</v>
      </c>
      <c r="CK530">
        <v>0</v>
      </c>
      <c r="CL530">
        <v>0</v>
      </c>
      <c r="CM530">
        <v>0</v>
      </c>
      <c r="CR530" t="s">
        <v>2337</v>
      </c>
      <c r="CS530" s="1369" t="str">
        <f>INDEX([8]Sheet1!$H:$H,MATCH(CR:CR,[8]Sheet1!$AU:$AU,0))</f>
        <v>Corporate Wide Strategic Planning (IDPs, LEDs)</v>
      </c>
    </row>
    <row r="531" spans="1:97" x14ac:dyDescent="0.2">
      <c r="A531" t="s">
        <v>3092</v>
      </c>
      <c r="B531">
        <v>584</v>
      </c>
      <c r="C531" t="s">
        <v>3092</v>
      </c>
      <c r="D531">
        <v>40638</v>
      </c>
      <c r="E531" t="s">
        <v>3040</v>
      </c>
      <c r="F531">
        <v>200</v>
      </c>
      <c r="G531" t="s">
        <v>559</v>
      </c>
      <c r="H531">
        <v>200</v>
      </c>
      <c r="I531" t="s">
        <v>2863</v>
      </c>
      <c r="J531" t="s">
        <v>2365</v>
      </c>
      <c r="K531" t="s">
        <v>2365</v>
      </c>
      <c r="L531">
        <v>1200</v>
      </c>
      <c r="M531" t="s">
        <v>1480</v>
      </c>
      <c r="N531">
        <v>1204</v>
      </c>
      <c r="O531" t="s">
        <v>1487</v>
      </c>
      <c r="P531" t="s">
        <v>2366</v>
      </c>
      <c r="Q531" t="s">
        <v>2364</v>
      </c>
      <c r="R531" t="s">
        <v>2364</v>
      </c>
      <c r="S531" t="s">
        <v>1881</v>
      </c>
      <c r="T531" t="s">
        <v>1811</v>
      </c>
      <c r="U531" t="s">
        <v>2365</v>
      </c>
      <c r="V531" t="s">
        <v>2365</v>
      </c>
      <c r="W531" t="s">
        <v>2365</v>
      </c>
      <c r="X531" t="s">
        <v>2365</v>
      </c>
      <c r="Y531" t="s">
        <v>2365</v>
      </c>
      <c r="Z531" t="s">
        <v>2365</v>
      </c>
      <c r="AA531" t="s">
        <v>2365</v>
      </c>
      <c r="AB531" t="s">
        <v>2365</v>
      </c>
      <c r="AC531" s="813" t="s">
        <v>2365</v>
      </c>
      <c r="AD531" s="813" t="s">
        <v>2365</v>
      </c>
      <c r="AE531" s="813" t="s">
        <v>2365</v>
      </c>
      <c r="AF531" t="s">
        <v>2365</v>
      </c>
      <c r="AG531" t="s">
        <v>2365</v>
      </c>
      <c r="AH531" t="s">
        <v>2365</v>
      </c>
      <c r="AI531" t="s">
        <v>2365</v>
      </c>
      <c r="AJ531" t="s">
        <v>2365</v>
      </c>
      <c r="AK531" t="s">
        <v>2365</v>
      </c>
      <c r="AL531" t="s">
        <v>2365</v>
      </c>
      <c r="AM531" t="s">
        <v>2365</v>
      </c>
      <c r="AN531" t="s">
        <v>2365</v>
      </c>
      <c r="AR531" t="s">
        <v>2365</v>
      </c>
      <c r="AS531" t="s">
        <v>2365</v>
      </c>
      <c r="AT531" t="s">
        <v>2365</v>
      </c>
      <c r="AU531" t="s">
        <v>2365</v>
      </c>
      <c r="AV531" t="s">
        <v>2365</v>
      </c>
      <c r="AW531" t="s">
        <v>2365</v>
      </c>
      <c r="AX531" t="s">
        <v>2365</v>
      </c>
      <c r="AY531" t="s">
        <v>2365</v>
      </c>
      <c r="AZ531" t="s">
        <v>2365</v>
      </c>
      <c r="BA531" t="s">
        <v>2365</v>
      </c>
      <c r="BB531" t="s">
        <v>2365</v>
      </c>
      <c r="BC531" t="s">
        <v>2365</v>
      </c>
      <c r="BD531" t="s">
        <v>2366</v>
      </c>
      <c r="BE531" t="s">
        <v>2365</v>
      </c>
      <c r="BF531" t="s">
        <v>2365</v>
      </c>
      <c r="BG531" t="s">
        <v>2365</v>
      </c>
      <c r="BH531" t="s">
        <v>2365</v>
      </c>
      <c r="BI531" t="s">
        <v>2366</v>
      </c>
      <c r="BJ531" t="s">
        <v>2365</v>
      </c>
      <c r="BK531" t="s">
        <v>2365</v>
      </c>
      <c r="BL531" t="s">
        <v>2365</v>
      </c>
      <c r="BM531" t="s">
        <v>2365</v>
      </c>
      <c r="BO531">
        <v>1</v>
      </c>
      <c r="BP531">
        <v>11</v>
      </c>
      <c r="BQ531" t="s">
        <v>2369</v>
      </c>
      <c r="BR531" t="s">
        <v>1487</v>
      </c>
      <c r="BU531">
        <v>361</v>
      </c>
      <c r="BV531">
        <v>0</v>
      </c>
      <c r="BW531">
        <v>361</v>
      </c>
      <c r="BX531">
        <v>0</v>
      </c>
      <c r="BY531">
        <v>361</v>
      </c>
      <c r="BZ531">
        <v>382</v>
      </c>
      <c r="CA531">
        <v>405</v>
      </c>
      <c r="CB531">
        <v>0</v>
      </c>
      <c r="CC531">
        <v>0</v>
      </c>
      <c r="CD531">
        <v>0</v>
      </c>
      <c r="CE531">
        <v>0</v>
      </c>
      <c r="CF531">
        <v>0</v>
      </c>
      <c r="CG531">
        <v>0</v>
      </c>
      <c r="CH531">
        <v>0</v>
      </c>
      <c r="CI531">
        <v>0</v>
      </c>
      <c r="CJ531">
        <v>0</v>
      </c>
      <c r="CK531">
        <v>0</v>
      </c>
      <c r="CL531">
        <v>0</v>
      </c>
      <c r="CM531">
        <v>0</v>
      </c>
      <c r="CR531" t="s">
        <v>2329</v>
      </c>
      <c r="CS531" s="1369" t="str">
        <f>INDEX([8]Sheet1!$H:$H,MATCH(CR:CR,[8]Sheet1!$AU:$AU,0))</f>
        <v>Sewerage</v>
      </c>
    </row>
    <row r="532" spans="1:97" x14ac:dyDescent="0.2">
      <c r="A532" t="s">
        <v>3093</v>
      </c>
      <c r="B532">
        <v>585</v>
      </c>
      <c r="C532" t="s">
        <v>3093</v>
      </c>
      <c r="D532">
        <v>40639</v>
      </c>
      <c r="E532" t="s">
        <v>3042</v>
      </c>
      <c r="F532">
        <v>200</v>
      </c>
      <c r="G532" t="s">
        <v>559</v>
      </c>
      <c r="H532">
        <v>200</v>
      </c>
      <c r="I532" t="s">
        <v>2863</v>
      </c>
      <c r="J532" t="s">
        <v>2365</v>
      </c>
      <c r="K532" t="s">
        <v>2365</v>
      </c>
      <c r="L532">
        <v>1200</v>
      </c>
      <c r="M532" t="s">
        <v>1480</v>
      </c>
      <c r="N532">
        <v>1204</v>
      </c>
      <c r="O532" t="s">
        <v>1487</v>
      </c>
      <c r="P532" t="s">
        <v>2366</v>
      </c>
      <c r="Q532" t="s">
        <v>2364</v>
      </c>
      <c r="R532" t="s">
        <v>2364</v>
      </c>
      <c r="S532" t="s">
        <v>1881</v>
      </c>
      <c r="T532" t="s">
        <v>1811</v>
      </c>
      <c r="U532" t="s">
        <v>2365</v>
      </c>
      <c r="V532" t="s">
        <v>2365</v>
      </c>
      <c r="W532" t="s">
        <v>2365</v>
      </c>
      <c r="X532" t="s">
        <v>2365</v>
      </c>
      <c r="Y532" t="s">
        <v>2365</v>
      </c>
      <c r="Z532" t="s">
        <v>2365</v>
      </c>
      <c r="AA532" t="s">
        <v>2365</v>
      </c>
      <c r="AB532" t="s">
        <v>2365</v>
      </c>
      <c r="AC532" s="813" t="s">
        <v>2365</v>
      </c>
      <c r="AD532" s="813" t="s">
        <v>2365</v>
      </c>
      <c r="AE532" s="813" t="s">
        <v>2365</v>
      </c>
      <c r="AF532" t="s">
        <v>2365</v>
      </c>
      <c r="AG532" t="s">
        <v>2365</v>
      </c>
      <c r="AH532" t="s">
        <v>2365</v>
      </c>
      <c r="AI532" t="s">
        <v>2365</v>
      </c>
      <c r="AJ532" t="s">
        <v>2365</v>
      </c>
      <c r="AK532" t="s">
        <v>2365</v>
      </c>
      <c r="AL532" t="s">
        <v>2365</v>
      </c>
      <c r="AM532" t="s">
        <v>2365</v>
      </c>
      <c r="AN532" t="s">
        <v>2365</v>
      </c>
      <c r="AR532" t="s">
        <v>2365</v>
      </c>
      <c r="AS532" t="s">
        <v>2365</v>
      </c>
      <c r="AT532" t="s">
        <v>2365</v>
      </c>
      <c r="AU532" t="s">
        <v>2365</v>
      </c>
      <c r="AV532" t="s">
        <v>2365</v>
      </c>
      <c r="AW532" t="s">
        <v>2365</v>
      </c>
      <c r="AX532" t="s">
        <v>2365</v>
      </c>
      <c r="AY532" t="s">
        <v>2365</v>
      </c>
      <c r="AZ532" t="s">
        <v>2365</v>
      </c>
      <c r="BA532" t="s">
        <v>2365</v>
      </c>
      <c r="BB532" t="s">
        <v>2365</v>
      </c>
      <c r="BC532" t="s">
        <v>2365</v>
      </c>
      <c r="BD532" t="s">
        <v>2366</v>
      </c>
      <c r="BE532" t="s">
        <v>2365</v>
      </c>
      <c r="BF532" t="s">
        <v>2365</v>
      </c>
      <c r="BG532" t="s">
        <v>2365</v>
      </c>
      <c r="BH532" t="s">
        <v>2365</v>
      </c>
      <c r="BI532" t="s">
        <v>2366</v>
      </c>
      <c r="BJ532" t="s">
        <v>2365</v>
      </c>
      <c r="BK532" t="s">
        <v>2365</v>
      </c>
      <c r="BL532" t="s">
        <v>2365</v>
      </c>
      <c r="BM532" t="s">
        <v>2365</v>
      </c>
      <c r="BO532">
        <v>1</v>
      </c>
      <c r="BP532">
        <v>11</v>
      </c>
      <c r="BQ532" t="s">
        <v>2369</v>
      </c>
      <c r="BR532" t="s">
        <v>1487</v>
      </c>
      <c r="BU532">
        <v>0</v>
      </c>
      <c r="BV532">
        <v>0</v>
      </c>
      <c r="BW532">
        <v>0</v>
      </c>
      <c r="BX532">
        <v>0</v>
      </c>
      <c r="BY532">
        <v>0</v>
      </c>
      <c r="BZ532">
        <v>0</v>
      </c>
      <c r="CA532">
        <v>0</v>
      </c>
      <c r="CB532">
        <v>0</v>
      </c>
      <c r="CC532">
        <v>0</v>
      </c>
      <c r="CD532">
        <v>0</v>
      </c>
      <c r="CE532">
        <v>0</v>
      </c>
      <c r="CF532">
        <v>0</v>
      </c>
      <c r="CG532">
        <v>0</v>
      </c>
      <c r="CH532">
        <v>0</v>
      </c>
      <c r="CI532">
        <v>0</v>
      </c>
      <c r="CJ532">
        <v>0</v>
      </c>
      <c r="CK532">
        <v>0</v>
      </c>
      <c r="CL532">
        <v>0</v>
      </c>
      <c r="CM532">
        <v>0</v>
      </c>
      <c r="CR532" t="s">
        <v>2337</v>
      </c>
      <c r="CS532" s="1369" t="str">
        <f>INDEX([8]Sheet1!$H:$H,MATCH(CR:CR,[8]Sheet1!$AU:$AU,0))</f>
        <v>Corporate Wide Strategic Planning (IDPs, LEDs)</v>
      </c>
    </row>
    <row r="533" spans="1:97" x14ac:dyDescent="0.2">
      <c r="A533" t="s">
        <v>3094</v>
      </c>
      <c r="B533">
        <v>586</v>
      </c>
      <c r="C533" t="s">
        <v>3094</v>
      </c>
      <c r="D533">
        <v>40640</v>
      </c>
      <c r="E533" t="s">
        <v>3044</v>
      </c>
      <c r="F533">
        <v>200</v>
      </c>
      <c r="G533" t="s">
        <v>559</v>
      </c>
      <c r="H533">
        <v>200</v>
      </c>
      <c r="I533" t="s">
        <v>2863</v>
      </c>
      <c r="J533" t="s">
        <v>2365</v>
      </c>
      <c r="K533" t="s">
        <v>2365</v>
      </c>
      <c r="L533">
        <v>1200</v>
      </c>
      <c r="M533" t="s">
        <v>1480</v>
      </c>
      <c r="N533">
        <v>1204</v>
      </c>
      <c r="O533" t="s">
        <v>1487</v>
      </c>
      <c r="P533" t="s">
        <v>2366</v>
      </c>
      <c r="Q533" t="s">
        <v>2364</v>
      </c>
      <c r="R533" t="s">
        <v>2364</v>
      </c>
      <c r="S533" t="s">
        <v>1881</v>
      </c>
      <c r="T533" t="s">
        <v>1811</v>
      </c>
      <c r="U533" t="s">
        <v>2365</v>
      </c>
      <c r="V533" t="s">
        <v>2365</v>
      </c>
      <c r="W533" t="s">
        <v>2365</v>
      </c>
      <c r="X533" t="s">
        <v>2365</v>
      </c>
      <c r="Y533" t="s">
        <v>2365</v>
      </c>
      <c r="Z533" t="s">
        <v>2365</v>
      </c>
      <c r="AA533" t="s">
        <v>2365</v>
      </c>
      <c r="AB533" t="s">
        <v>2365</v>
      </c>
      <c r="AC533" s="813" t="s">
        <v>2365</v>
      </c>
      <c r="AD533" s="813" t="s">
        <v>2365</v>
      </c>
      <c r="AE533" s="813" t="s">
        <v>2365</v>
      </c>
      <c r="AF533" t="s">
        <v>2365</v>
      </c>
      <c r="AG533" t="s">
        <v>2365</v>
      </c>
      <c r="AH533" t="s">
        <v>2365</v>
      </c>
      <c r="AI533" t="s">
        <v>2365</v>
      </c>
      <c r="AJ533" t="s">
        <v>2365</v>
      </c>
      <c r="AK533" t="s">
        <v>2365</v>
      </c>
      <c r="AL533" t="s">
        <v>2365</v>
      </c>
      <c r="AM533" t="s">
        <v>2365</v>
      </c>
      <c r="AN533" t="s">
        <v>2365</v>
      </c>
      <c r="AR533" t="s">
        <v>2365</v>
      </c>
      <c r="AS533" t="s">
        <v>2365</v>
      </c>
      <c r="AT533" t="s">
        <v>2365</v>
      </c>
      <c r="AU533" t="s">
        <v>2365</v>
      </c>
      <c r="AV533" t="s">
        <v>2365</v>
      </c>
      <c r="AW533" t="s">
        <v>2365</v>
      </c>
      <c r="AX533" t="s">
        <v>2365</v>
      </c>
      <c r="AY533" t="s">
        <v>2365</v>
      </c>
      <c r="AZ533" t="s">
        <v>2365</v>
      </c>
      <c r="BA533" t="s">
        <v>2365</v>
      </c>
      <c r="BB533" t="s">
        <v>2365</v>
      </c>
      <c r="BC533" t="s">
        <v>2365</v>
      </c>
      <c r="BD533" t="s">
        <v>2366</v>
      </c>
      <c r="BE533" t="s">
        <v>2365</v>
      </c>
      <c r="BF533" t="s">
        <v>2365</v>
      </c>
      <c r="BG533" t="s">
        <v>2365</v>
      </c>
      <c r="BH533" t="s">
        <v>2365</v>
      </c>
      <c r="BI533" t="s">
        <v>2366</v>
      </c>
      <c r="BJ533" t="s">
        <v>2365</v>
      </c>
      <c r="BK533" t="s">
        <v>2365</v>
      </c>
      <c r="BL533" t="s">
        <v>2365</v>
      </c>
      <c r="BM533" t="s">
        <v>2365</v>
      </c>
      <c r="BO533">
        <v>1</v>
      </c>
      <c r="BP533">
        <v>11</v>
      </c>
      <c r="BQ533" t="s">
        <v>2369</v>
      </c>
      <c r="BR533" t="s">
        <v>1487</v>
      </c>
      <c r="BU533">
        <v>0</v>
      </c>
      <c r="BV533">
        <v>0</v>
      </c>
      <c r="BW533">
        <v>0</v>
      </c>
      <c r="BX533">
        <v>0</v>
      </c>
      <c r="BY533">
        <v>0</v>
      </c>
      <c r="BZ533">
        <v>0</v>
      </c>
      <c r="CA533">
        <v>0</v>
      </c>
      <c r="CB533">
        <v>0</v>
      </c>
      <c r="CC533">
        <v>0</v>
      </c>
      <c r="CD533">
        <v>0</v>
      </c>
      <c r="CE533">
        <v>0</v>
      </c>
      <c r="CF533">
        <v>0</v>
      </c>
      <c r="CG533">
        <v>0</v>
      </c>
      <c r="CH533">
        <v>0</v>
      </c>
      <c r="CI533">
        <v>0</v>
      </c>
      <c r="CJ533">
        <v>0</v>
      </c>
      <c r="CK533">
        <v>0</v>
      </c>
      <c r="CL533">
        <v>0</v>
      </c>
      <c r="CM533">
        <v>0</v>
      </c>
      <c r="CR533" t="s">
        <v>2334</v>
      </c>
      <c r="CS533" s="1369" t="str">
        <f>INDEX([8]Sheet1!$H:$H,MATCH(CR:CR,[8]Sheet1!$AU:$AU,0))</f>
        <v>Governance Function</v>
      </c>
    </row>
    <row r="534" spans="1:97" x14ac:dyDescent="0.2">
      <c r="A534" t="s">
        <v>3095</v>
      </c>
      <c r="B534">
        <v>587</v>
      </c>
      <c r="C534" t="s">
        <v>3095</v>
      </c>
      <c r="D534">
        <v>40641</v>
      </c>
      <c r="E534" t="s">
        <v>3046</v>
      </c>
      <c r="F534">
        <v>200</v>
      </c>
      <c r="G534" t="s">
        <v>559</v>
      </c>
      <c r="H534">
        <v>200</v>
      </c>
      <c r="I534" t="s">
        <v>2863</v>
      </c>
      <c r="J534" t="s">
        <v>2365</v>
      </c>
      <c r="K534" t="s">
        <v>2365</v>
      </c>
      <c r="L534">
        <v>1200</v>
      </c>
      <c r="M534" t="s">
        <v>1480</v>
      </c>
      <c r="N534">
        <v>1204</v>
      </c>
      <c r="O534" t="s">
        <v>1487</v>
      </c>
      <c r="P534" t="s">
        <v>2366</v>
      </c>
      <c r="Q534" t="s">
        <v>2364</v>
      </c>
      <c r="R534" t="s">
        <v>2364</v>
      </c>
      <c r="S534" t="s">
        <v>1881</v>
      </c>
      <c r="T534" t="s">
        <v>1811</v>
      </c>
      <c r="U534" t="s">
        <v>2365</v>
      </c>
      <c r="V534" t="s">
        <v>2365</v>
      </c>
      <c r="W534" t="s">
        <v>2365</v>
      </c>
      <c r="X534" t="s">
        <v>2365</v>
      </c>
      <c r="Y534" t="s">
        <v>2365</v>
      </c>
      <c r="Z534" t="s">
        <v>2365</v>
      </c>
      <c r="AA534" t="s">
        <v>2365</v>
      </c>
      <c r="AB534" t="s">
        <v>2365</v>
      </c>
      <c r="AC534" s="813" t="s">
        <v>2365</v>
      </c>
      <c r="AD534" s="813" t="s">
        <v>2365</v>
      </c>
      <c r="AE534" s="813" t="s">
        <v>2365</v>
      </c>
      <c r="AF534" t="s">
        <v>2365</v>
      </c>
      <c r="AG534" t="s">
        <v>2365</v>
      </c>
      <c r="AH534" t="s">
        <v>2365</v>
      </c>
      <c r="AI534" t="s">
        <v>2365</v>
      </c>
      <c r="AJ534" t="s">
        <v>2365</v>
      </c>
      <c r="AK534" t="s">
        <v>2365</v>
      </c>
      <c r="AL534" t="s">
        <v>2365</v>
      </c>
      <c r="AM534" t="s">
        <v>2365</v>
      </c>
      <c r="AN534" t="s">
        <v>2365</v>
      </c>
      <c r="AR534" t="s">
        <v>2365</v>
      </c>
      <c r="AS534" t="s">
        <v>2365</v>
      </c>
      <c r="AT534" t="s">
        <v>2365</v>
      </c>
      <c r="AU534" t="s">
        <v>2365</v>
      </c>
      <c r="AV534" t="s">
        <v>2365</v>
      </c>
      <c r="AW534" t="s">
        <v>2365</v>
      </c>
      <c r="AX534" t="s">
        <v>2365</v>
      </c>
      <c r="AY534" t="s">
        <v>2365</v>
      </c>
      <c r="AZ534" t="s">
        <v>2365</v>
      </c>
      <c r="BA534" t="s">
        <v>2365</v>
      </c>
      <c r="BB534" t="s">
        <v>2365</v>
      </c>
      <c r="BC534" t="s">
        <v>2365</v>
      </c>
      <c r="BD534" t="s">
        <v>2366</v>
      </c>
      <c r="BE534" t="s">
        <v>2365</v>
      </c>
      <c r="BF534" t="s">
        <v>2365</v>
      </c>
      <c r="BG534" t="s">
        <v>2365</v>
      </c>
      <c r="BH534" t="s">
        <v>2365</v>
      </c>
      <c r="BI534" t="s">
        <v>2366</v>
      </c>
      <c r="BJ534" t="s">
        <v>2365</v>
      </c>
      <c r="BK534" t="s">
        <v>2365</v>
      </c>
      <c r="BL534" t="s">
        <v>2365</v>
      </c>
      <c r="BM534" t="s">
        <v>2365</v>
      </c>
      <c r="BO534">
        <v>1</v>
      </c>
      <c r="BP534">
        <v>11</v>
      </c>
      <c r="BQ534" t="s">
        <v>2369</v>
      </c>
      <c r="BR534" t="s">
        <v>1487</v>
      </c>
      <c r="BU534">
        <v>0</v>
      </c>
      <c r="BV534">
        <v>0</v>
      </c>
      <c r="BW534">
        <v>0</v>
      </c>
      <c r="BX534">
        <v>0</v>
      </c>
      <c r="BY534">
        <v>0</v>
      </c>
      <c r="BZ534">
        <v>0</v>
      </c>
      <c r="CA534">
        <v>0</v>
      </c>
      <c r="CB534">
        <v>0</v>
      </c>
      <c r="CC534">
        <v>0</v>
      </c>
      <c r="CD534">
        <v>0</v>
      </c>
      <c r="CE534">
        <v>0</v>
      </c>
      <c r="CF534">
        <v>0</v>
      </c>
      <c r="CG534">
        <v>0</v>
      </c>
      <c r="CH534">
        <v>0</v>
      </c>
      <c r="CI534">
        <v>0</v>
      </c>
      <c r="CJ534">
        <v>0</v>
      </c>
      <c r="CK534">
        <v>0</v>
      </c>
      <c r="CL534">
        <v>0</v>
      </c>
      <c r="CM534">
        <v>0</v>
      </c>
      <c r="CR534" t="s">
        <v>2328</v>
      </c>
      <c r="CS534" s="1369" t="str">
        <f>INDEX([8]Sheet1!$H:$H,MATCH(CR:CR,[8]Sheet1!$AU:$AU,0))</f>
        <v>Water Distribution</v>
      </c>
    </row>
    <row r="535" spans="1:97" x14ac:dyDescent="0.2">
      <c r="A535" t="s">
        <v>3096</v>
      </c>
      <c r="B535">
        <v>588</v>
      </c>
      <c r="C535" t="s">
        <v>3096</v>
      </c>
      <c r="D535">
        <v>40642</v>
      </c>
      <c r="E535" t="s">
        <v>3048</v>
      </c>
      <c r="F535">
        <v>200</v>
      </c>
      <c r="G535" t="s">
        <v>559</v>
      </c>
      <c r="H535">
        <v>200</v>
      </c>
      <c r="I535" t="s">
        <v>2863</v>
      </c>
      <c r="J535" t="s">
        <v>2365</v>
      </c>
      <c r="K535" t="s">
        <v>2365</v>
      </c>
      <c r="L535">
        <v>1200</v>
      </c>
      <c r="M535" t="s">
        <v>1480</v>
      </c>
      <c r="N535">
        <v>1204</v>
      </c>
      <c r="O535" t="s">
        <v>1487</v>
      </c>
      <c r="P535" t="s">
        <v>2366</v>
      </c>
      <c r="Q535" t="s">
        <v>2364</v>
      </c>
      <c r="R535" t="s">
        <v>2364</v>
      </c>
      <c r="S535" t="s">
        <v>1881</v>
      </c>
      <c r="T535" t="s">
        <v>1811</v>
      </c>
      <c r="U535" t="s">
        <v>2365</v>
      </c>
      <c r="V535" t="s">
        <v>2365</v>
      </c>
      <c r="W535" t="s">
        <v>2365</v>
      </c>
      <c r="X535" t="s">
        <v>2365</v>
      </c>
      <c r="Y535" t="s">
        <v>2365</v>
      </c>
      <c r="Z535" t="s">
        <v>2365</v>
      </c>
      <c r="AA535" t="s">
        <v>2365</v>
      </c>
      <c r="AB535" t="s">
        <v>2365</v>
      </c>
      <c r="AC535" s="813" t="s">
        <v>2365</v>
      </c>
      <c r="AD535" s="813" t="s">
        <v>2365</v>
      </c>
      <c r="AE535" s="813" t="s">
        <v>2365</v>
      </c>
      <c r="AF535" t="s">
        <v>2365</v>
      </c>
      <c r="AG535" t="s">
        <v>2365</v>
      </c>
      <c r="AH535" t="s">
        <v>2365</v>
      </c>
      <c r="AI535" t="s">
        <v>2365</v>
      </c>
      <c r="AJ535" t="s">
        <v>2365</v>
      </c>
      <c r="AK535" t="s">
        <v>2365</v>
      </c>
      <c r="AL535" t="s">
        <v>2365</v>
      </c>
      <c r="AM535" t="s">
        <v>2365</v>
      </c>
      <c r="AN535" t="s">
        <v>2365</v>
      </c>
      <c r="AR535" t="s">
        <v>2365</v>
      </c>
      <c r="AS535" t="s">
        <v>2365</v>
      </c>
      <c r="AT535" t="s">
        <v>2365</v>
      </c>
      <c r="AU535" t="s">
        <v>2365</v>
      </c>
      <c r="AV535" t="s">
        <v>2365</v>
      </c>
      <c r="AW535" t="s">
        <v>2365</v>
      </c>
      <c r="AX535" t="s">
        <v>2365</v>
      </c>
      <c r="AY535" t="s">
        <v>2365</v>
      </c>
      <c r="AZ535" t="s">
        <v>2365</v>
      </c>
      <c r="BA535" t="s">
        <v>2365</v>
      </c>
      <c r="BB535" t="s">
        <v>2365</v>
      </c>
      <c r="BC535" t="s">
        <v>2365</v>
      </c>
      <c r="BD535" t="s">
        <v>2366</v>
      </c>
      <c r="BE535" t="s">
        <v>2365</v>
      </c>
      <c r="BF535" t="s">
        <v>2365</v>
      </c>
      <c r="BG535" t="s">
        <v>2365</v>
      </c>
      <c r="BH535" t="s">
        <v>2365</v>
      </c>
      <c r="BI535" t="s">
        <v>2366</v>
      </c>
      <c r="BJ535" t="s">
        <v>2365</v>
      </c>
      <c r="BK535" t="s">
        <v>2365</v>
      </c>
      <c r="BL535" t="s">
        <v>2365</v>
      </c>
      <c r="BM535" t="s">
        <v>2365</v>
      </c>
      <c r="BO535">
        <v>1</v>
      </c>
      <c r="BP535">
        <v>11</v>
      </c>
      <c r="BQ535" t="s">
        <v>2369</v>
      </c>
      <c r="BR535" t="s">
        <v>1487</v>
      </c>
      <c r="BU535">
        <v>73</v>
      </c>
      <c r="BV535">
        <v>0</v>
      </c>
      <c r="BW535">
        <v>73</v>
      </c>
      <c r="BX535">
        <v>0</v>
      </c>
      <c r="BY535">
        <v>73</v>
      </c>
      <c r="BZ535">
        <v>77</v>
      </c>
      <c r="CA535">
        <v>82</v>
      </c>
      <c r="CB535">
        <v>0</v>
      </c>
      <c r="CC535">
        <v>0</v>
      </c>
      <c r="CD535">
        <v>0</v>
      </c>
      <c r="CE535">
        <v>0</v>
      </c>
      <c r="CF535">
        <v>0</v>
      </c>
      <c r="CG535">
        <v>0</v>
      </c>
      <c r="CH535">
        <v>0</v>
      </c>
      <c r="CI535">
        <v>0</v>
      </c>
      <c r="CJ535">
        <v>0</v>
      </c>
      <c r="CK535">
        <v>0</v>
      </c>
      <c r="CL535">
        <v>0</v>
      </c>
      <c r="CM535">
        <v>0</v>
      </c>
      <c r="CR535" t="s">
        <v>2328</v>
      </c>
      <c r="CS535" s="1369" t="str">
        <f>INDEX([8]Sheet1!$H:$H,MATCH(CR:CR,[8]Sheet1!$AU:$AU,0))</f>
        <v>Water Distribution</v>
      </c>
    </row>
    <row r="536" spans="1:97" x14ac:dyDescent="0.2">
      <c r="A536" t="s">
        <v>3097</v>
      </c>
      <c r="B536">
        <v>589</v>
      </c>
      <c r="C536" t="s">
        <v>3097</v>
      </c>
      <c r="D536">
        <v>40643</v>
      </c>
      <c r="E536" t="s">
        <v>3050</v>
      </c>
      <c r="F536">
        <v>200</v>
      </c>
      <c r="G536" t="s">
        <v>559</v>
      </c>
      <c r="H536">
        <v>200</v>
      </c>
      <c r="I536" t="s">
        <v>2863</v>
      </c>
      <c r="J536" t="s">
        <v>2365</v>
      </c>
      <c r="K536" t="s">
        <v>2365</v>
      </c>
      <c r="L536">
        <v>1200</v>
      </c>
      <c r="M536" t="s">
        <v>1480</v>
      </c>
      <c r="N536">
        <v>1204</v>
      </c>
      <c r="O536" t="s">
        <v>1487</v>
      </c>
      <c r="P536" t="s">
        <v>2366</v>
      </c>
      <c r="Q536" t="s">
        <v>2364</v>
      </c>
      <c r="R536" t="s">
        <v>2364</v>
      </c>
      <c r="S536" t="s">
        <v>1881</v>
      </c>
      <c r="T536" t="s">
        <v>1811</v>
      </c>
      <c r="U536" t="s">
        <v>2365</v>
      </c>
      <c r="V536" t="s">
        <v>2365</v>
      </c>
      <c r="W536" t="s">
        <v>2365</v>
      </c>
      <c r="X536" t="s">
        <v>2365</v>
      </c>
      <c r="Y536" t="s">
        <v>2365</v>
      </c>
      <c r="Z536" t="s">
        <v>2365</v>
      </c>
      <c r="AA536" t="s">
        <v>2365</v>
      </c>
      <c r="AB536" t="s">
        <v>2365</v>
      </c>
      <c r="AC536" s="813" t="s">
        <v>2365</v>
      </c>
      <c r="AD536" s="813" t="s">
        <v>2365</v>
      </c>
      <c r="AE536" s="813" t="s">
        <v>2365</v>
      </c>
      <c r="AF536" t="s">
        <v>2365</v>
      </c>
      <c r="AG536" t="s">
        <v>2365</v>
      </c>
      <c r="AH536" t="s">
        <v>2365</v>
      </c>
      <c r="AI536" t="s">
        <v>2365</v>
      </c>
      <c r="AJ536" t="s">
        <v>2365</v>
      </c>
      <c r="AK536" t="s">
        <v>2365</v>
      </c>
      <c r="AL536" t="s">
        <v>2365</v>
      </c>
      <c r="AM536" t="s">
        <v>2365</v>
      </c>
      <c r="AN536" t="s">
        <v>2365</v>
      </c>
      <c r="AR536" t="s">
        <v>2365</v>
      </c>
      <c r="AS536" t="s">
        <v>2365</v>
      </c>
      <c r="AT536" t="s">
        <v>2365</v>
      </c>
      <c r="AU536" t="s">
        <v>2365</v>
      </c>
      <c r="AV536" t="s">
        <v>2365</v>
      </c>
      <c r="AW536" t="s">
        <v>2365</v>
      </c>
      <c r="AX536" t="s">
        <v>2365</v>
      </c>
      <c r="AY536" t="s">
        <v>2365</v>
      </c>
      <c r="AZ536" t="s">
        <v>2365</v>
      </c>
      <c r="BA536" t="s">
        <v>2365</v>
      </c>
      <c r="BB536" t="s">
        <v>2365</v>
      </c>
      <c r="BC536" t="s">
        <v>2365</v>
      </c>
      <c r="BD536" t="s">
        <v>2366</v>
      </c>
      <c r="BE536" t="s">
        <v>2365</v>
      </c>
      <c r="BF536" t="s">
        <v>2365</v>
      </c>
      <c r="BG536" t="s">
        <v>2365</v>
      </c>
      <c r="BH536" t="s">
        <v>2365</v>
      </c>
      <c r="BI536" t="s">
        <v>2366</v>
      </c>
      <c r="BJ536" t="s">
        <v>2365</v>
      </c>
      <c r="BK536" t="s">
        <v>2365</v>
      </c>
      <c r="BL536" t="s">
        <v>2365</v>
      </c>
      <c r="BM536" t="s">
        <v>2365</v>
      </c>
      <c r="BO536">
        <v>1</v>
      </c>
      <c r="BP536">
        <v>11</v>
      </c>
      <c r="BQ536" t="s">
        <v>2369</v>
      </c>
      <c r="BR536" t="s">
        <v>1487</v>
      </c>
      <c r="BU536">
        <v>70037</v>
      </c>
      <c r="BV536">
        <v>0</v>
      </c>
      <c r="BW536">
        <v>70037</v>
      </c>
      <c r="BX536">
        <v>0</v>
      </c>
      <c r="BY536">
        <v>70037</v>
      </c>
      <c r="BZ536">
        <v>74240</v>
      </c>
      <c r="CA536">
        <v>78694</v>
      </c>
      <c r="CB536">
        <v>0</v>
      </c>
      <c r="CC536">
        <v>0</v>
      </c>
      <c r="CD536">
        <v>0</v>
      </c>
      <c r="CE536">
        <v>0</v>
      </c>
      <c r="CF536">
        <v>0</v>
      </c>
      <c r="CG536">
        <v>0</v>
      </c>
      <c r="CH536">
        <v>0</v>
      </c>
      <c r="CI536">
        <v>0</v>
      </c>
      <c r="CJ536">
        <v>0</v>
      </c>
      <c r="CK536">
        <v>0</v>
      </c>
      <c r="CL536">
        <v>0</v>
      </c>
      <c r="CM536">
        <v>0</v>
      </c>
      <c r="CR536" t="s">
        <v>2328</v>
      </c>
      <c r="CS536" s="1369" t="str">
        <f>INDEX([8]Sheet1!$H:$H,MATCH(CR:CR,[8]Sheet1!$AU:$AU,0))</f>
        <v>Water Distribution</v>
      </c>
    </row>
    <row r="537" spans="1:97" x14ac:dyDescent="0.2">
      <c r="A537" t="s">
        <v>3098</v>
      </c>
      <c r="B537">
        <v>590</v>
      </c>
      <c r="C537" t="s">
        <v>3098</v>
      </c>
      <c r="D537">
        <v>40644</v>
      </c>
      <c r="E537" t="s">
        <v>3052</v>
      </c>
      <c r="F537">
        <v>200</v>
      </c>
      <c r="G537" t="s">
        <v>559</v>
      </c>
      <c r="H537">
        <v>200</v>
      </c>
      <c r="I537" t="s">
        <v>2863</v>
      </c>
      <c r="J537" t="s">
        <v>2365</v>
      </c>
      <c r="K537" t="s">
        <v>2365</v>
      </c>
      <c r="L537">
        <v>1200</v>
      </c>
      <c r="M537" t="s">
        <v>1480</v>
      </c>
      <c r="N537">
        <v>1204</v>
      </c>
      <c r="O537" t="s">
        <v>1487</v>
      </c>
      <c r="P537" t="s">
        <v>2366</v>
      </c>
      <c r="Q537" t="s">
        <v>2364</v>
      </c>
      <c r="R537" t="s">
        <v>2364</v>
      </c>
      <c r="S537" t="s">
        <v>1881</v>
      </c>
      <c r="T537" t="s">
        <v>1811</v>
      </c>
      <c r="U537" t="s">
        <v>2365</v>
      </c>
      <c r="V537" t="s">
        <v>2365</v>
      </c>
      <c r="W537" t="s">
        <v>2365</v>
      </c>
      <c r="X537" t="s">
        <v>2365</v>
      </c>
      <c r="Y537" t="s">
        <v>2365</v>
      </c>
      <c r="Z537" t="s">
        <v>2365</v>
      </c>
      <c r="AA537" t="s">
        <v>2365</v>
      </c>
      <c r="AB537" t="s">
        <v>2365</v>
      </c>
      <c r="AC537" s="813" t="s">
        <v>2365</v>
      </c>
      <c r="AD537" s="813" t="s">
        <v>2365</v>
      </c>
      <c r="AE537" s="813" t="s">
        <v>2365</v>
      </c>
      <c r="AF537" t="s">
        <v>2365</v>
      </c>
      <c r="AG537" t="s">
        <v>2365</v>
      </c>
      <c r="AH537" t="s">
        <v>2365</v>
      </c>
      <c r="AI537" t="s">
        <v>2365</v>
      </c>
      <c r="AJ537" t="s">
        <v>2365</v>
      </c>
      <c r="AK537" t="s">
        <v>2365</v>
      </c>
      <c r="AL537" t="s">
        <v>2365</v>
      </c>
      <c r="AM537" t="s">
        <v>2365</v>
      </c>
      <c r="AN537" t="s">
        <v>2365</v>
      </c>
      <c r="AR537" t="s">
        <v>2365</v>
      </c>
      <c r="AS537" t="s">
        <v>2365</v>
      </c>
      <c r="AT537" t="s">
        <v>2365</v>
      </c>
      <c r="AU537" t="s">
        <v>2365</v>
      </c>
      <c r="AV537" t="s">
        <v>2365</v>
      </c>
      <c r="AW537" t="s">
        <v>2365</v>
      </c>
      <c r="AX537" t="s">
        <v>2365</v>
      </c>
      <c r="AY537" t="s">
        <v>2365</v>
      </c>
      <c r="AZ537" t="s">
        <v>2365</v>
      </c>
      <c r="BA537" t="s">
        <v>2365</v>
      </c>
      <c r="BB537" t="s">
        <v>2365</v>
      </c>
      <c r="BC537" t="s">
        <v>2365</v>
      </c>
      <c r="BD537" t="s">
        <v>2366</v>
      </c>
      <c r="BE537" t="s">
        <v>2365</v>
      </c>
      <c r="BF537" t="s">
        <v>2365</v>
      </c>
      <c r="BG537" t="s">
        <v>2365</v>
      </c>
      <c r="BH537" t="s">
        <v>2365</v>
      </c>
      <c r="BI537" t="s">
        <v>2366</v>
      </c>
      <c r="BJ537" t="s">
        <v>2365</v>
      </c>
      <c r="BK537" t="s">
        <v>2365</v>
      </c>
      <c r="BL537" t="s">
        <v>2365</v>
      </c>
      <c r="BM537" t="s">
        <v>2365</v>
      </c>
      <c r="BO537">
        <v>1</v>
      </c>
      <c r="BP537">
        <v>11</v>
      </c>
      <c r="BQ537" t="s">
        <v>2369</v>
      </c>
      <c r="BR537" t="s">
        <v>1487</v>
      </c>
      <c r="BU537">
        <v>0</v>
      </c>
      <c r="BV537">
        <v>0</v>
      </c>
      <c r="BW537">
        <v>0</v>
      </c>
      <c r="BX537">
        <v>0</v>
      </c>
      <c r="BY537">
        <v>0</v>
      </c>
      <c r="BZ537">
        <v>0</v>
      </c>
      <c r="CA537">
        <v>0</v>
      </c>
      <c r="CB537">
        <v>0</v>
      </c>
      <c r="CC537">
        <v>0</v>
      </c>
      <c r="CD537">
        <v>0</v>
      </c>
      <c r="CE537">
        <v>0</v>
      </c>
      <c r="CF537">
        <v>0</v>
      </c>
      <c r="CG537">
        <v>0</v>
      </c>
      <c r="CH537">
        <v>0</v>
      </c>
      <c r="CI537">
        <v>0</v>
      </c>
      <c r="CJ537">
        <v>0</v>
      </c>
      <c r="CK537">
        <v>0</v>
      </c>
      <c r="CL537">
        <v>0</v>
      </c>
      <c r="CM537">
        <v>0</v>
      </c>
      <c r="CR537" t="s">
        <v>2328</v>
      </c>
      <c r="CS537" s="1369" t="str">
        <f>INDEX([8]Sheet1!$H:$H,MATCH(CR:CR,[8]Sheet1!$AU:$AU,0))</f>
        <v>Water Distribution</v>
      </c>
    </row>
    <row r="538" spans="1:97" x14ac:dyDescent="0.2">
      <c r="A538" t="s">
        <v>3099</v>
      </c>
      <c r="B538">
        <v>591</v>
      </c>
      <c r="C538" t="s">
        <v>3099</v>
      </c>
      <c r="D538">
        <v>40645</v>
      </c>
      <c r="E538" t="s">
        <v>3054</v>
      </c>
      <c r="F538">
        <v>200</v>
      </c>
      <c r="G538" t="s">
        <v>559</v>
      </c>
      <c r="H538">
        <v>200</v>
      </c>
      <c r="I538" t="s">
        <v>2863</v>
      </c>
      <c r="J538" t="s">
        <v>2365</v>
      </c>
      <c r="K538" t="s">
        <v>2365</v>
      </c>
      <c r="L538">
        <v>1200</v>
      </c>
      <c r="M538" t="s">
        <v>1480</v>
      </c>
      <c r="N538">
        <v>1204</v>
      </c>
      <c r="O538" t="s">
        <v>1487</v>
      </c>
      <c r="P538" t="s">
        <v>2366</v>
      </c>
      <c r="Q538" t="s">
        <v>2364</v>
      </c>
      <c r="R538" t="s">
        <v>2364</v>
      </c>
      <c r="S538" t="s">
        <v>1881</v>
      </c>
      <c r="T538" t="s">
        <v>1811</v>
      </c>
      <c r="U538" t="s">
        <v>2365</v>
      </c>
      <c r="V538" t="s">
        <v>2365</v>
      </c>
      <c r="W538" t="s">
        <v>2365</v>
      </c>
      <c r="X538" t="s">
        <v>2365</v>
      </c>
      <c r="Y538" t="s">
        <v>2365</v>
      </c>
      <c r="Z538" t="s">
        <v>2365</v>
      </c>
      <c r="AA538" t="s">
        <v>2365</v>
      </c>
      <c r="AB538" t="s">
        <v>2365</v>
      </c>
      <c r="AC538" s="813" t="s">
        <v>2365</v>
      </c>
      <c r="AD538" s="813" t="s">
        <v>2365</v>
      </c>
      <c r="AE538" s="813" t="s">
        <v>2365</v>
      </c>
      <c r="AF538" t="s">
        <v>2365</v>
      </c>
      <c r="AG538" t="s">
        <v>2365</v>
      </c>
      <c r="AH538" t="s">
        <v>2365</v>
      </c>
      <c r="AI538" t="s">
        <v>2365</v>
      </c>
      <c r="AJ538" t="s">
        <v>2365</v>
      </c>
      <c r="AK538" t="s">
        <v>2365</v>
      </c>
      <c r="AL538" t="s">
        <v>2365</v>
      </c>
      <c r="AM538" t="s">
        <v>2365</v>
      </c>
      <c r="AN538" t="s">
        <v>2365</v>
      </c>
      <c r="AR538" t="s">
        <v>2365</v>
      </c>
      <c r="AS538" t="s">
        <v>2365</v>
      </c>
      <c r="AT538" t="s">
        <v>2365</v>
      </c>
      <c r="AU538" t="s">
        <v>2365</v>
      </c>
      <c r="AV538" t="s">
        <v>2365</v>
      </c>
      <c r="AW538" t="s">
        <v>2365</v>
      </c>
      <c r="AX538" t="s">
        <v>2365</v>
      </c>
      <c r="AY538" t="s">
        <v>2365</v>
      </c>
      <c r="AZ538" t="s">
        <v>2365</v>
      </c>
      <c r="BA538" t="s">
        <v>2365</v>
      </c>
      <c r="BB538" t="s">
        <v>2365</v>
      </c>
      <c r="BC538" t="s">
        <v>2365</v>
      </c>
      <c r="BD538" t="s">
        <v>2366</v>
      </c>
      <c r="BE538" t="s">
        <v>2365</v>
      </c>
      <c r="BF538" t="s">
        <v>2365</v>
      </c>
      <c r="BG538" t="s">
        <v>2365</v>
      </c>
      <c r="BH538" t="s">
        <v>2365</v>
      </c>
      <c r="BI538" t="s">
        <v>2366</v>
      </c>
      <c r="BJ538" t="s">
        <v>2365</v>
      </c>
      <c r="BK538" t="s">
        <v>2365</v>
      </c>
      <c r="BL538" t="s">
        <v>2365</v>
      </c>
      <c r="BM538" t="s">
        <v>2365</v>
      </c>
      <c r="BO538">
        <v>1</v>
      </c>
      <c r="BP538">
        <v>11</v>
      </c>
      <c r="BQ538" t="s">
        <v>2369</v>
      </c>
      <c r="BR538" t="s">
        <v>1487</v>
      </c>
      <c r="BU538">
        <v>6982</v>
      </c>
      <c r="BV538">
        <v>0</v>
      </c>
      <c r="BW538">
        <v>6982</v>
      </c>
      <c r="BX538">
        <v>0</v>
      </c>
      <c r="BY538">
        <v>6982</v>
      </c>
      <c r="BZ538">
        <v>7401</v>
      </c>
      <c r="CA538">
        <v>7845</v>
      </c>
      <c r="CB538">
        <v>1128.6299999999999</v>
      </c>
      <c r="CC538">
        <v>1128.6299999999999</v>
      </c>
      <c r="CD538">
        <v>1128.6299999999999</v>
      </c>
      <c r="CE538">
        <v>1128.6299999999999</v>
      </c>
      <c r="CF538">
        <v>1128.6299999999999</v>
      </c>
      <c r="CG538">
        <v>1128.6299999999999</v>
      </c>
      <c r="CH538">
        <v>1128.6299999999999</v>
      </c>
      <c r="CI538">
        <v>1128.6299999999999</v>
      </c>
      <c r="CJ538">
        <v>0</v>
      </c>
      <c r="CK538">
        <v>0</v>
      </c>
      <c r="CL538">
        <v>0</v>
      </c>
      <c r="CM538">
        <v>0</v>
      </c>
      <c r="CR538" t="s">
        <v>2333</v>
      </c>
      <c r="CS538" s="1369" t="str">
        <f>INDEX([8]Sheet1!$H:$H,MATCH(CR:CR,[8]Sheet1!$AU:$AU,0))</f>
        <v>Municipal Manager, Town Secretary and Chief Executive</v>
      </c>
    </row>
    <row r="539" spans="1:97" x14ac:dyDescent="0.2">
      <c r="A539" t="s">
        <v>3100</v>
      </c>
      <c r="B539">
        <v>592</v>
      </c>
      <c r="C539" t="s">
        <v>3100</v>
      </c>
      <c r="D539">
        <v>40646</v>
      </c>
      <c r="E539" t="s">
        <v>3027</v>
      </c>
      <c r="F539">
        <v>200</v>
      </c>
      <c r="G539" t="s">
        <v>559</v>
      </c>
      <c r="H539">
        <v>200</v>
      </c>
      <c r="I539" t="s">
        <v>2863</v>
      </c>
      <c r="J539" t="s">
        <v>2365</v>
      </c>
      <c r="K539" t="s">
        <v>2365</v>
      </c>
      <c r="L539">
        <v>1200</v>
      </c>
      <c r="M539" t="s">
        <v>1480</v>
      </c>
      <c r="N539">
        <v>1204</v>
      </c>
      <c r="O539" t="s">
        <v>1487</v>
      </c>
      <c r="P539" t="s">
        <v>2366</v>
      </c>
      <c r="Q539" t="s">
        <v>2364</v>
      </c>
      <c r="R539" t="s">
        <v>2364</v>
      </c>
      <c r="S539" t="s">
        <v>1881</v>
      </c>
      <c r="T539" t="s">
        <v>1811</v>
      </c>
      <c r="U539" t="s">
        <v>2365</v>
      </c>
      <c r="V539" t="s">
        <v>2365</v>
      </c>
      <c r="W539" t="s">
        <v>2365</v>
      </c>
      <c r="X539" t="s">
        <v>2365</v>
      </c>
      <c r="Y539" t="s">
        <v>2365</v>
      </c>
      <c r="Z539" t="s">
        <v>2365</v>
      </c>
      <c r="AA539" t="s">
        <v>2365</v>
      </c>
      <c r="AB539" t="s">
        <v>2365</v>
      </c>
      <c r="AC539" s="813" t="s">
        <v>2365</v>
      </c>
      <c r="AD539" s="813" t="s">
        <v>2365</v>
      </c>
      <c r="AE539" s="813" t="s">
        <v>2365</v>
      </c>
      <c r="AF539" t="s">
        <v>2365</v>
      </c>
      <c r="AG539" t="s">
        <v>2365</v>
      </c>
      <c r="AH539" t="s">
        <v>2365</v>
      </c>
      <c r="AI539" t="s">
        <v>2365</v>
      </c>
      <c r="AJ539" t="s">
        <v>2365</v>
      </c>
      <c r="AK539" t="s">
        <v>2365</v>
      </c>
      <c r="AL539" t="s">
        <v>2365</v>
      </c>
      <c r="AM539" t="s">
        <v>2365</v>
      </c>
      <c r="AN539" t="s">
        <v>2365</v>
      </c>
      <c r="AR539" t="s">
        <v>2365</v>
      </c>
      <c r="AS539" t="s">
        <v>2365</v>
      </c>
      <c r="AT539" t="s">
        <v>2365</v>
      </c>
      <c r="AU539" t="s">
        <v>2365</v>
      </c>
      <c r="AV539" t="s">
        <v>2365</v>
      </c>
      <c r="AW539" t="s">
        <v>2365</v>
      </c>
      <c r="AX539" t="s">
        <v>2365</v>
      </c>
      <c r="AY539" t="s">
        <v>2365</v>
      </c>
      <c r="AZ539" t="s">
        <v>2365</v>
      </c>
      <c r="BA539" t="s">
        <v>2365</v>
      </c>
      <c r="BB539" t="s">
        <v>2365</v>
      </c>
      <c r="BC539" t="s">
        <v>2365</v>
      </c>
      <c r="BD539" t="s">
        <v>2366</v>
      </c>
      <c r="BE539" t="s">
        <v>2365</v>
      </c>
      <c r="BF539" t="s">
        <v>2365</v>
      </c>
      <c r="BG539" t="s">
        <v>2365</v>
      </c>
      <c r="BH539" t="s">
        <v>2365</v>
      </c>
      <c r="BI539" t="s">
        <v>2366</v>
      </c>
      <c r="BJ539" t="s">
        <v>2365</v>
      </c>
      <c r="BK539" t="s">
        <v>2365</v>
      </c>
      <c r="BL539" t="s">
        <v>2365</v>
      </c>
      <c r="BM539" t="s">
        <v>2365</v>
      </c>
      <c r="BO539">
        <v>1</v>
      </c>
      <c r="BP539">
        <v>11</v>
      </c>
      <c r="BQ539" t="s">
        <v>2369</v>
      </c>
      <c r="BR539" t="s">
        <v>1487</v>
      </c>
      <c r="BU539">
        <v>0</v>
      </c>
      <c r="BV539">
        <v>0</v>
      </c>
      <c r="BW539">
        <v>0</v>
      </c>
      <c r="BX539">
        <v>0</v>
      </c>
      <c r="BY539">
        <v>0</v>
      </c>
      <c r="BZ539">
        <v>0</v>
      </c>
      <c r="CA539">
        <v>0</v>
      </c>
      <c r="CB539">
        <v>0</v>
      </c>
      <c r="CC539">
        <v>0</v>
      </c>
      <c r="CD539">
        <v>0</v>
      </c>
      <c r="CE539">
        <v>0</v>
      </c>
      <c r="CF539">
        <v>0</v>
      </c>
      <c r="CG539">
        <v>0</v>
      </c>
      <c r="CH539">
        <v>0</v>
      </c>
      <c r="CI539">
        <v>0</v>
      </c>
      <c r="CJ539">
        <v>0</v>
      </c>
      <c r="CK539">
        <v>0</v>
      </c>
      <c r="CL539">
        <v>0</v>
      </c>
      <c r="CM539">
        <v>0</v>
      </c>
      <c r="CR539" t="s">
        <v>2343</v>
      </c>
      <c r="CS539" s="1369" t="str">
        <f>INDEX([8]Sheet1!$H:$H,MATCH(CR:CR,[8]Sheet1!$AU:$AU,0))</f>
        <v>Pollution Control</v>
      </c>
    </row>
    <row r="540" spans="1:97" x14ac:dyDescent="0.2">
      <c r="A540" t="s">
        <v>3101</v>
      </c>
      <c r="B540">
        <v>593</v>
      </c>
      <c r="C540" t="s">
        <v>3101</v>
      </c>
      <c r="D540">
        <v>40647</v>
      </c>
      <c r="E540" t="s">
        <v>3029</v>
      </c>
      <c r="F540">
        <v>200</v>
      </c>
      <c r="G540" t="s">
        <v>559</v>
      </c>
      <c r="H540">
        <v>200</v>
      </c>
      <c r="I540" t="s">
        <v>2863</v>
      </c>
      <c r="J540" t="s">
        <v>2365</v>
      </c>
      <c r="K540" t="s">
        <v>2365</v>
      </c>
      <c r="L540">
        <v>1200</v>
      </c>
      <c r="M540" t="s">
        <v>1480</v>
      </c>
      <c r="N540">
        <v>1204</v>
      </c>
      <c r="O540" t="s">
        <v>1487</v>
      </c>
      <c r="P540" t="s">
        <v>2366</v>
      </c>
      <c r="Q540" t="s">
        <v>2364</v>
      </c>
      <c r="R540" t="s">
        <v>2364</v>
      </c>
      <c r="S540" t="s">
        <v>1881</v>
      </c>
      <c r="T540" t="s">
        <v>1811</v>
      </c>
      <c r="U540" t="s">
        <v>2365</v>
      </c>
      <c r="V540" t="s">
        <v>2365</v>
      </c>
      <c r="W540" t="s">
        <v>2365</v>
      </c>
      <c r="X540" t="s">
        <v>2365</v>
      </c>
      <c r="Y540" t="s">
        <v>2365</v>
      </c>
      <c r="Z540" t="s">
        <v>2365</v>
      </c>
      <c r="AA540" t="s">
        <v>2365</v>
      </c>
      <c r="AB540" t="s">
        <v>2365</v>
      </c>
      <c r="AC540" s="813" t="s">
        <v>2365</v>
      </c>
      <c r="AD540" s="813" t="s">
        <v>2365</v>
      </c>
      <c r="AE540" s="813" t="s">
        <v>2365</v>
      </c>
      <c r="AF540" t="s">
        <v>2365</v>
      </c>
      <c r="AG540" t="s">
        <v>2365</v>
      </c>
      <c r="AH540" t="s">
        <v>2365</v>
      </c>
      <c r="AI540" t="s">
        <v>2365</v>
      </c>
      <c r="AJ540" t="s">
        <v>2365</v>
      </c>
      <c r="AK540" t="s">
        <v>2365</v>
      </c>
      <c r="AL540" t="s">
        <v>2365</v>
      </c>
      <c r="AM540" t="s">
        <v>2365</v>
      </c>
      <c r="AN540" t="s">
        <v>2365</v>
      </c>
      <c r="AR540" t="s">
        <v>2365</v>
      </c>
      <c r="AS540" t="s">
        <v>2365</v>
      </c>
      <c r="AT540" t="s">
        <v>2365</v>
      </c>
      <c r="AU540" t="s">
        <v>2365</v>
      </c>
      <c r="AV540" t="s">
        <v>2365</v>
      </c>
      <c r="AW540" t="s">
        <v>2365</v>
      </c>
      <c r="AX540" t="s">
        <v>2365</v>
      </c>
      <c r="AY540" t="s">
        <v>2365</v>
      </c>
      <c r="AZ540" t="s">
        <v>2365</v>
      </c>
      <c r="BA540" t="s">
        <v>2365</v>
      </c>
      <c r="BB540" t="s">
        <v>2365</v>
      </c>
      <c r="BC540" t="s">
        <v>2365</v>
      </c>
      <c r="BD540" t="s">
        <v>2366</v>
      </c>
      <c r="BE540" t="s">
        <v>2365</v>
      </c>
      <c r="BF540" t="s">
        <v>2365</v>
      </c>
      <c r="BG540" t="s">
        <v>2365</v>
      </c>
      <c r="BH540" t="s">
        <v>2365</v>
      </c>
      <c r="BI540" t="s">
        <v>2366</v>
      </c>
      <c r="BJ540" t="s">
        <v>2365</v>
      </c>
      <c r="BK540" t="s">
        <v>2365</v>
      </c>
      <c r="BL540" t="s">
        <v>2365</v>
      </c>
      <c r="BM540" t="s">
        <v>2365</v>
      </c>
      <c r="BO540">
        <v>1</v>
      </c>
      <c r="BP540">
        <v>11</v>
      </c>
      <c r="BQ540" t="s">
        <v>2369</v>
      </c>
      <c r="BR540" t="s">
        <v>1487</v>
      </c>
      <c r="BU540">
        <v>0</v>
      </c>
      <c r="BV540">
        <v>0</v>
      </c>
      <c r="BW540">
        <v>0</v>
      </c>
      <c r="BX540">
        <v>0</v>
      </c>
      <c r="BY540">
        <v>0</v>
      </c>
      <c r="BZ540">
        <v>0</v>
      </c>
      <c r="CA540">
        <v>0</v>
      </c>
      <c r="CB540">
        <v>0</v>
      </c>
      <c r="CC540">
        <v>0</v>
      </c>
      <c r="CD540">
        <v>0</v>
      </c>
      <c r="CE540">
        <v>0</v>
      </c>
      <c r="CF540">
        <v>0</v>
      </c>
      <c r="CG540">
        <v>0</v>
      </c>
      <c r="CH540">
        <v>0</v>
      </c>
      <c r="CI540">
        <v>0</v>
      </c>
      <c r="CJ540">
        <v>0</v>
      </c>
      <c r="CK540">
        <v>0</v>
      </c>
      <c r="CL540">
        <v>0</v>
      </c>
      <c r="CM540">
        <v>0</v>
      </c>
      <c r="CR540" t="s">
        <v>2343</v>
      </c>
      <c r="CS540" s="1369" t="str">
        <f>INDEX([8]Sheet1!$H:$H,MATCH(CR:CR,[8]Sheet1!$AU:$AU,0))</f>
        <v>Pollution Control</v>
      </c>
    </row>
    <row r="541" spans="1:97" x14ac:dyDescent="0.2">
      <c r="A541" t="s">
        <v>3102</v>
      </c>
      <c r="B541">
        <v>594</v>
      </c>
      <c r="C541" t="s">
        <v>3102</v>
      </c>
      <c r="D541">
        <v>40648</v>
      </c>
      <c r="E541" t="s">
        <v>3031</v>
      </c>
      <c r="F541">
        <v>200</v>
      </c>
      <c r="G541" t="s">
        <v>559</v>
      </c>
      <c r="H541">
        <v>200</v>
      </c>
      <c r="I541" t="s">
        <v>2863</v>
      </c>
      <c r="J541" t="s">
        <v>2365</v>
      </c>
      <c r="K541" t="s">
        <v>2365</v>
      </c>
      <c r="L541">
        <v>1200</v>
      </c>
      <c r="M541" t="s">
        <v>1480</v>
      </c>
      <c r="N541">
        <v>1204</v>
      </c>
      <c r="O541" t="s">
        <v>1487</v>
      </c>
      <c r="P541" t="s">
        <v>2366</v>
      </c>
      <c r="Q541" t="s">
        <v>2364</v>
      </c>
      <c r="R541" t="s">
        <v>2364</v>
      </c>
      <c r="S541" t="s">
        <v>1881</v>
      </c>
      <c r="T541" t="s">
        <v>1811</v>
      </c>
      <c r="U541" t="s">
        <v>2365</v>
      </c>
      <c r="V541" t="s">
        <v>2365</v>
      </c>
      <c r="W541" t="s">
        <v>2365</v>
      </c>
      <c r="X541" t="s">
        <v>2365</v>
      </c>
      <c r="Y541" t="s">
        <v>2365</v>
      </c>
      <c r="Z541" t="s">
        <v>2365</v>
      </c>
      <c r="AA541" t="s">
        <v>2365</v>
      </c>
      <c r="AB541" t="s">
        <v>2365</v>
      </c>
      <c r="AC541" s="813" t="s">
        <v>2365</v>
      </c>
      <c r="AD541" s="813" t="s">
        <v>2365</v>
      </c>
      <c r="AE541" s="813" t="s">
        <v>2365</v>
      </c>
      <c r="AF541" t="s">
        <v>2365</v>
      </c>
      <c r="AG541" t="s">
        <v>2365</v>
      </c>
      <c r="AH541" t="s">
        <v>2365</v>
      </c>
      <c r="AI541" t="s">
        <v>2365</v>
      </c>
      <c r="AJ541" t="s">
        <v>2365</v>
      </c>
      <c r="AK541" t="s">
        <v>2365</v>
      </c>
      <c r="AL541" t="s">
        <v>2365</v>
      </c>
      <c r="AM541" t="s">
        <v>2365</v>
      </c>
      <c r="AN541" t="s">
        <v>2365</v>
      </c>
      <c r="AR541" t="s">
        <v>2365</v>
      </c>
      <c r="AS541" t="s">
        <v>2365</v>
      </c>
      <c r="AT541" t="s">
        <v>2365</v>
      </c>
      <c r="AU541" t="s">
        <v>2365</v>
      </c>
      <c r="AV541" t="s">
        <v>2365</v>
      </c>
      <c r="AW541" t="s">
        <v>2365</v>
      </c>
      <c r="AX541" t="s">
        <v>2365</v>
      </c>
      <c r="AY541" t="s">
        <v>2365</v>
      </c>
      <c r="AZ541" t="s">
        <v>2365</v>
      </c>
      <c r="BA541" t="s">
        <v>2365</v>
      </c>
      <c r="BB541" t="s">
        <v>2365</v>
      </c>
      <c r="BC541" t="s">
        <v>2365</v>
      </c>
      <c r="BD541" t="s">
        <v>2366</v>
      </c>
      <c r="BE541" t="s">
        <v>2365</v>
      </c>
      <c r="BF541" t="s">
        <v>2365</v>
      </c>
      <c r="BG541" t="s">
        <v>2365</v>
      </c>
      <c r="BH541" t="s">
        <v>2365</v>
      </c>
      <c r="BI541" t="s">
        <v>2366</v>
      </c>
      <c r="BJ541" t="s">
        <v>2365</v>
      </c>
      <c r="BK541" t="s">
        <v>2365</v>
      </c>
      <c r="BL541" t="s">
        <v>2365</v>
      </c>
      <c r="BM541" t="s">
        <v>2365</v>
      </c>
      <c r="BO541">
        <v>1</v>
      </c>
      <c r="BP541">
        <v>11</v>
      </c>
      <c r="BQ541" t="s">
        <v>2369</v>
      </c>
      <c r="BR541" t="s">
        <v>1487</v>
      </c>
      <c r="BU541">
        <v>1233930</v>
      </c>
      <c r="BV541">
        <v>0</v>
      </c>
      <c r="BW541">
        <v>1233930</v>
      </c>
      <c r="BX541">
        <v>0</v>
      </c>
      <c r="BY541">
        <v>1233930</v>
      </c>
      <c r="BZ541">
        <v>1233930</v>
      </c>
      <c r="CA541">
        <v>1233930</v>
      </c>
      <c r="CB541">
        <v>90232.15</v>
      </c>
      <c r="CC541">
        <v>90611.9</v>
      </c>
      <c r="CD541">
        <v>90611.9</v>
      </c>
      <c r="CE541">
        <v>90611.9</v>
      </c>
      <c r="CF541">
        <v>90611.9</v>
      </c>
      <c r="CG541">
        <v>90611.9</v>
      </c>
      <c r="CH541">
        <v>90611.9</v>
      </c>
      <c r="CI541">
        <v>90844.41</v>
      </c>
      <c r="CJ541">
        <v>0</v>
      </c>
      <c r="CK541">
        <v>0</v>
      </c>
      <c r="CL541">
        <v>0</v>
      </c>
      <c r="CM541">
        <v>0</v>
      </c>
      <c r="CR541" t="s">
        <v>2343</v>
      </c>
      <c r="CS541" s="1369" t="str">
        <f>INDEX([8]Sheet1!$H:$H,MATCH(CR:CR,[8]Sheet1!$AU:$AU,0))</f>
        <v>Pollution Control</v>
      </c>
    </row>
    <row r="542" spans="1:97" x14ac:dyDescent="0.2">
      <c r="A542" t="s">
        <v>3103</v>
      </c>
      <c r="B542">
        <v>595</v>
      </c>
      <c r="C542" t="s">
        <v>3103</v>
      </c>
      <c r="D542">
        <v>40649</v>
      </c>
      <c r="E542" t="s">
        <v>3033</v>
      </c>
      <c r="F542">
        <v>200</v>
      </c>
      <c r="G542" t="s">
        <v>559</v>
      </c>
      <c r="H542">
        <v>200</v>
      </c>
      <c r="I542" t="s">
        <v>2863</v>
      </c>
      <c r="J542" t="s">
        <v>2365</v>
      </c>
      <c r="K542" t="s">
        <v>2365</v>
      </c>
      <c r="L542">
        <v>1200</v>
      </c>
      <c r="M542" t="s">
        <v>1480</v>
      </c>
      <c r="N542">
        <v>1204</v>
      </c>
      <c r="O542" t="s">
        <v>1487</v>
      </c>
      <c r="P542" t="s">
        <v>2366</v>
      </c>
      <c r="Q542" t="s">
        <v>2364</v>
      </c>
      <c r="R542" t="s">
        <v>2364</v>
      </c>
      <c r="S542" t="s">
        <v>1881</v>
      </c>
      <c r="T542" t="s">
        <v>1811</v>
      </c>
      <c r="U542" t="s">
        <v>2365</v>
      </c>
      <c r="V542" t="s">
        <v>2365</v>
      </c>
      <c r="W542" t="s">
        <v>2365</v>
      </c>
      <c r="X542" t="s">
        <v>2365</v>
      </c>
      <c r="Y542" t="s">
        <v>2365</v>
      </c>
      <c r="Z542" t="s">
        <v>2365</v>
      </c>
      <c r="AA542" t="s">
        <v>2365</v>
      </c>
      <c r="AB542" t="s">
        <v>2365</v>
      </c>
      <c r="AC542" s="813" t="s">
        <v>2365</v>
      </c>
      <c r="AD542" s="813" t="s">
        <v>2365</v>
      </c>
      <c r="AE542" s="813" t="s">
        <v>2365</v>
      </c>
      <c r="AF542" t="s">
        <v>2365</v>
      </c>
      <c r="AG542" t="s">
        <v>2365</v>
      </c>
      <c r="AH542" t="s">
        <v>2365</v>
      </c>
      <c r="AI542" t="s">
        <v>2365</v>
      </c>
      <c r="AJ542" t="s">
        <v>2365</v>
      </c>
      <c r="AK542" t="s">
        <v>2365</v>
      </c>
      <c r="AL542" t="s">
        <v>2365</v>
      </c>
      <c r="AM542" t="s">
        <v>2365</v>
      </c>
      <c r="AN542" t="s">
        <v>2365</v>
      </c>
      <c r="AR542" t="s">
        <v>2365</v>
      </c>
      <c r="AS542" t="s">
        <v>2365</v>
      </c>
      <c r="AT542" t="s">
        <v>2365</v>
      </c>
      <c r="AU542" t="s">
        <v>2365</v>
      </c>
      <c r="AV542" t="s">
        <v>2365</v>
      </c>
      <c r="AW542" t="s">
        <v>2365</v>
      </c>
      <c r="AX542" t="s">
        <v>2365</v>
      </c>
      <c r="AY542" t="s">
        <v>2365</v>
      </c>
      <c r="AZ542" t="s">
        <v>2365</v>
      </c>
      <c r="BA542" t="s">
        <v>2365</v>
      </c>
      <c r="BB542" t="s">
        <v>2365</v>
      </c>
      <c r="BC542" t="s">
        <v>2365</v>
      </c>
      <c r="BD542" t="s">
        <v>2366</v>
      </c>
      <c r="BE542" t="s">
        <v>2365</v>
      </c>
      <c r="BF542" t="s">
        <v>2365</v>
      </c>
      <c r="BG542" t="s">
        <v>2365</v>
      </c>
      <c r="BH542" t="s">
        <v>2365</v>
      </c>
      <c r="BI542" t="s">
        <v>2366</v>
      </c>
      <c r="BJ542" t="s">
        <v>2365</v>
      </c>
      <c r="BK542" t="s">
        <v>2365</v>
      </c>
      <c r="BL542" t="s">
        <v>2365</v>
      </c>
      <c r="BM542" t="s">
        <v>2365</v>
      </c>
      <c r="BO542">
        <v>1</v>
      </c>
      <c r="BP542">
        <v>11</v>
      </c>
      <c r="BQ542" t="s">
        <v>2369</v>
      </c>
      <c r="BR542" t="s">
        <v>1487</v>
      </c>
      <c r="BU542">
        <v>0</v>
      </c>
      <c r="BV542">
        <v>0</v>
      </c>
      <c r="BW542">
        <v>0</v>
      </c>
      <c r="BX542">
        <v>0</v>
      </c>
      <c r="BY542">
        <v>0</v>
      </c>
      <c r="BZ542">
        <v>0</v>
      </c>
      <c r="CA542">
        <v>0</v>
      </c>
      <c r="CB542">
        <v>0</v>
      </c>
      <c r="CC542">
        <v>0</v>
      </c>
      <c r="CD542">
        <v>0</v>
      </c>
      <c r="CE542">
        <v>0</v>
      </c>
      <c r="CF542">
        <v>0</v>
      </c>
      <c r="CG542">
        <v>0</v>
      </c>
      <c r="CH542">
        <v>0</v>
      </c>
      <c r="CI542">
        <v>0</v>
      </c>
      <c r="CJ542">
        <v>0</v>
      </c>
      <c r="CK542">
        <v>0</v>
      </c>
      <c r="CL542">
        <v>0</v>
      </c>
      <c r="CM542">
        <v>0</v>
      </c>
      <c r="CR542" t="s">
        <v>2343</v>
      </c>
      <c r="CS542" s="1369" t="str">
        <f>INDEX([8]Sheet1!$H:$H,MATCH(CR:CR,[8]Sheet1!$AU:$AU,0))</f>
        <v>Pollution Control</v>
      </c>
    </row>
    <row r="543" spans="1:97" x14ac:dyDescent="0.2">
      <c r="A543" t="s">
        <v>3104</v>
      </c>
      <c r="B543">
        <v>596</v>
      </c>
      <c r="C543" t="s">
        <v>3104</v>
      </c>
      <c r="D543">
        <v>40650</v>
      </c>
      <c r="E543" t="s">
        <v>3035</v>
      </c>
      <c r="F543">
        <v>200</v>
      </c>
      <c r="G543" t="s">
        <v>559</v>
      </c>
      <c r="H543">
        <v>200</v>
      </c>
      <c r="I543" t="s">
        <v>2863</v>
      </c>
      <c r="J543" t="s">
        <v>2365</v>
      </c>
      <c r="K543" t="s">
        <v>2365</v>
      </c>
      <c r="L543">
        <v>1200</v>
      </c>
      <c r="M543" t="s">
        <v>1480</v>
      </c>
      <c r="N543">
        <v>1204</v>
      </c>
      <c r="O543" t="s">
        <v>1487</v>
      </c>
      <c r="P543" t="s">
        <v>2366</v>
      </c>
      <c r="Q543" t="s">
        <v>2364</v>
      </c>
      <c r="R543" t="s">
        <v>2364</v>
      </c>
      <c r="S543" t="s">
        <v>1881</v>
      </c>
      <c r="T543" t="s">
        <v>1811</v>
      </c>
      <c r="U543" t="s">
        <v>2365</v>
      </c>
      <c r="V543" t="s">
        <v>2365</v>
      </c>
      <c r="W543" t="s">
        <v>2365</v>
      </c>
      <c r="X543" t="s">
        <v>2365</v>
      </c>
      <c r="Y543" t="s">
        <v>2365</v>
      </c>
      <c r="Z543" t="s">
        <v>2365</v>
      </c>
      <c r="AA543" t="s">
        <v>2365</v>
      </c>
      <c r="AB543" t="s">
        <v>2365</v>
      </c>
      <c r="AC543" s="813" t="s">
        <v>2365</v>
      </c>
      <c r="AD543" s="813" t="s">
        <v>2365</v>
      </c>
      <c r="AE543" s="813" t="s">
        <v>2365</v>
      </c>
      <c r="AF543" t="s">
        <v>2365</v>
      </c>
      <c r="AG543" t="s">
        <v>2365</v>
      </c>
      <c r="AH543" t="s">
        <v>2365</v>
      </c>
      <c r="AI543" t="s">
        <v>2365</v>
      </c>
      <c r="AJ543" t="s">
        <v>2365</v>
      </c>
      <c r="AK543" t="s">
        <v>2365</v>
      </c>
      <c r="AL543" t="s">
        <v>2365</v>
      </c>
      <c r="AM543" t="s">
        <v>2365</v>
      </c>
      <c r="AN543" t="s">
        <v>2365</v>
      </c>
      <c r="AR543" t="s">
        <v>2365</v>
      </c>
      <c r="AS543" t="s">
        <v>2365</v>
      </c>
      <c r="AT543" t="s">
        <v>2365</v>
      </c>
      <c r="AU543" t="s">
        <v>2365</v>
      </c>
      <c r="AV543" t="s">
        <v>2365</v>
      </c>
      <c r="AW543" t="s">
        <v>2365</v>
      </c>
      <c r="AX543" t="s">
        <v>2365</v>
      </c>
      <c r="AY543" t="s">
        <v>2365</v>
      </c>
      <c r="AZ543" t="s">
        <v>2365</v>
      </c>
      <c r="BA543" t="s">
        <v>2365</v>
      </c>
      <c r="BB543" t="s">
        <v>2365</v>
      </c>
      <c r="BC543" t="s">
        <v>2365</v>
      </c>
      <c r="BD543" t="s">
        <v>2366</v>
      </c>
      <c r="BE543" t="s">
        <v>2365</v>
      </c>
      <c r="BF543" t="s">
        <v>2365</v>
      </c>
      <c r="BG543" t="s">
        <v>2365</v>
      </c>
      <c r="BH543" t="s">
        <v>2365</v>
      </c>
      <c r="BI543" t="s">
        <v>2366</v>
      </c>
      <c r="BJ543" t="s">
        <v>2365</v>
      </c>
      <c r="BK543" t="s">
        <v>2365</v>
      </c>
      <c r="BL543" t="s">
        <v>2365</v>
      </c>
      <c r="BM543" t="s">
        <v>2365</v>
      </c>
      <c r="BO543">
        <v>1</v>
      </c>
      <c r="BP543">
        <v>11</v>
      </c>
      <c r="BQ543" t="s">
        <v>2369</v>
      </c>
      <c r="BR543" t="s">
        <v>1487</v>
      </c>
      <c r="BU543">
        <v>0</v>
      </c>
      <c r="BV543">
        <v>0</v>
      </c>
      <c r="BW543">
        <v>0</v>
      </c>
      <c r="BX543">
        <v>0</v>
      </c>
      <c r="BY543">
        <v>0</v>
      </c>
      <c r="BZ543">
        <v>0</v>
      </c>
      <c r="CA543">
        <v>0</v>
      </c>
      <c r="CB543">
        <v>0</v>
      </c>
      <c r="CC543">
        <v>0</v>
      </c>
      <c r="CD543">
        <v>0</v>
      </c>
      <c r="CE543">
        <v>0</v>
      </c>
      <c r="CF543">
        <v>0</v>
      </c>
      <c r="CG543">
        <v>0</v>
      </c>
      <c r="CH543">
        <v>0</v>
      </c>
      <c r="CI543">
        <v>0</v>
      </c>
      <c r="CJ543">
        <v>0</v>
      </c>
      <c r="CK543">
        <v>0</v>
      </c>
      <c r="CL543">
        <v>0</v>
      </c>
      <c r="CM543">
        <v>0</v>
      </c>
      <c r="CR543" t="s">
        <v>2328</v>
      </c>
      <c r="CS543" s="1369" t="str">
        <f>INDEX([8]Sheet1!$H:$H,MATCH(CR:CR,[8]Sheet1!$AU:$AU,0))</f>
        <v>Water Distribution</v>
      </c>
    </row>
    <row r="544" spans="1:97" x14ac:dyDescent="0.2">
      <c r="A544" t="s">
        <v>3105</v>
      </c>
      <c r="B544">
        <v>597</v>
      </c>
      <c r="C544" t="s">
        <v>3105</v>
      </c>
      <c r="D544">
        <v>40651</v>
      </c>
      <c r="E544" t="s">
        <v>3037</v>
      </c>
      <c r="F544">
        <v>200</v>
      </c>
      <c r="G544" t="s">
        <v>559</v>
      </c>
      <c r="H544">
        <v>200</v>
      </c>
      <c r="I544" t="s">
        <v>2863</v>
      </c>
      <c r="J544" t="s">
        <v>2365</v>
      </c>
      <c r="K544" t="s">
        <v>2365</v>
      </c>
      <c r="L544">
        <v>1200</v>
      </c>
      <c r="M544" t="s">
        <v>1480</v>
      </c>
      <c r="N544">
        <v>1204</v>
      </c>
      <c r="O544" t="s">
        <v>1487</v>
      </c>
      <c r="P544" t="s">
        <v>2366</v>
      </c>
      <c r="Q544" t="s">
        <v>2364</v>
      </c>
      <c r="R544" t="s">
        <v>2364</v>
      </c>
      <c r="S544" t="s">
        <v>1881</v>
      </c>
      <c r="T544" t="s">
        <v>1811</v>
      </c>
      <c r="U544" t="s">
        <v>2365</v>
      </c>
      <c r="V544" t="s">
        <v>2365</v>
      </c>
      <c r="W544" t="s">
        <v>2365</v>
      </c>
      <c r="X544" t="s">
        <v>2365</v>
      </c>
      <c r="Y544" t="s">
        <v>2365</v>
      </c>
      <c r="Z544" t="s">
        <v>2365</v>
      </c>
      <c r="AA544" t="s">
        <v>2365</v>
      </c>
      <c r="AB544" t="s">
        <v>2365</v>
      </c>
      <c r="AC544" s="813" t="s">
        <v>2365</v>
      </c>
      <c r="AD544" s="813" t="s">
        <v>2365</v>
      </c>
      <c r="AE544" s="813" t="s">
        <v>2365</v>
      </c>
      <c r="AF544" t="s">
        <v>2365</v>
      </c>
      <c r="AG544" t="s">
        <v>2365</v>
      </c>
      <c r="AH544" t="s">
        <v>2365</v>
      </c>
      <c r="AI544" t="s">
        <v>2365</v>
      </c>
      <c r="AJ544" t="s">
        <v>2365</v>
      </c>
      <c r="AK544" t="s">
        <v>2365</v>
      </c>
      <c r="AL544" t="s">
        <v>2365</v>
      </c>
      <c r="AM544" t="s">
        <v>2365</v>
      </c>
      <c r="AN544" t="s">
        <v>2365</v>
      </c>
      <c r="AR544" t="s">
        <v>2365</v>
      </c>
      <c r="AS544" t="s">
        <v>2365</v>
      </c>
      <c r="AT544" t="s">
        <v>2365</v>
      </c>
      <c r="AU544" t="s">
        <v>2365</v>
      </c>
      <c r="AV544" t="s">
        <v>2365</v>
      </c>
      <c r="AW544" t="s">
        <v>2365</v>
      </c>
      <c r="AX544" t="s">
        <v>2365</v>
      </c>
      <c r="AY544" t="s">
        <v>2365</v>
      </c>
      <c r="AZ544" t="s">
        <v>2365</v>
      </c>
      <c r="BA544" t="s">
        <v>2365</v>
      </c>
      <c r="BB544" t="s">
        <v>2365</v>
      </c>
      <c r="BC544" t="s">
        <v>2365</v>
      </c>
      <c r="BD544" t="s">
        <v>2366</v>
      </c>
      <c r="BE544" t="s">
        <v>2365</v>
      </c>
      <c r="BF544" t="s">
        <v>2365</v>
      </c>
      <c r="BG544" t="s">
        <v>2365</v>
      </c>
      <c r="BH544" t="s">
        <v>2365</v>
      </c>
      <c r="BI544" t="s">
        <v>2366</v>
      </c>
      <c r="BJ544" t="s">
        <v>2365</v>
      </c>
      <c r="BK544" t="s">
        <v>2365</v>
      </c>
      <c r="BL544" t="s">
        <v>2365</v>
      </c>
      <c r="BM544" t="s">
        <v>2365</v>
      </c>
      <c r="BO544">
        <v>1</v>
      </c>
      <c r="BP544">
        <v>11</v>
      </c>
      <c r="BQ544" t="s">
        <v>2369</v>
      </c>
      <c r="BR544" t="s">
        <v>1487</v>
      </c>
      <c r="BU544">
        <v>0</v>
      </c>
      <c r="BV544">
        <v>0</v>
      </c>
      <c r="BW544">
        <v>0</v>
      </c>
      <c r="BX544">
        <v>0</v>
      </c>
      <c r="BY544">
        <v>0</v>
      </c>
      <c r="BZ544">
        <v>0</v>
      </c>
      <c r="CA544">
        <v>0</v>
      </c>
      <c r="CB544">
        <v>0</v>
      </c>
      <c r="CC544">
        <v>0</v>
      </c>
      <c r="CD544">
        <v>0</v>
      </c>
      <c r="CE544">
        <v>0</v>
      </c>
      <c r="CF544">
        <v>0</v>
      </c>
      <c r="CG544">
        <v>0</v>
      </c>
      <c r="CH544">
        <v>0</v>
      </c>
      <c r="CI544">
        <v>0</v>
      </c>
      <c r="CJ544">
        <v>0</v>
      </c>
      <c r="CK544">
        <v>0</v>
      </c>
      <c r="CL544">
        <v>0</v>
      </c>
      <c r="CM544">
        <v>0</v>
      </c>
      <c r="CR544" t="s">
        <v>2328</v>
      </c>
      <c r="CS544" s="1369" t="str">
        <f>INDEX([8]Sheet1!$H:$H,MATCH(CR:CR,[8]Sheet1!$AU:$AU,0))</f>
        <v>Water Distribution</v>
      </c>
    </row>
    <row r="545" spans="1:97" x14ac:dyDescent="0.2">
      <c r="A545" t="s">
        <v>3106</v>
      </c>
      <c r="B545">
        <v>598</v>
      </c>
      <c r="C545" t="s">
        <v>3106</v>
      </c>
      <c r="D545">
        <v>40652</v>
      </c>
      <c r="E545" t="s">
        <v>2862</v>
      </c>
      <c r="F545">
        <v>200</v>
      </c>
      <c r="G545" t="s">
        <v>559</v>
      </c>
      <c r="H545">
        <v>200</v>
      </c>
      <c r="I545" t="s">
        <v>2863</v>
      </c>
      <c r="J545" t="s">
        <v>2365</v>
      </c>
      <c r="K545" t="s">
        <v>2365</v>
      </c>
      <c r="L545">
        <v>1200</v>
      </c>
      <c r="M545" t="s">
        <v>1480</v>
      </c>
      <c r="N545">
        <v>1210</v>
      </c>
      <c r="O545" t="s">
        <v>998</v>
      </c>
      <c r="P545" t="s">
        <v>2366</v>
      </c>
      <c r="Q545" t="s">
        <v>2364</v>
      </c>
      <c r="R545" t="s">
        <v>2364</v>
      </c>
      <c r="S545" t="s">
        <v>1881</v>
      </c>
      <c r="T545" t="s">
        <v>1811</v>
      </c>
      <c r="U545" t="s">
        <v>2365</v>
      </c>
      <c r="V545" t="s">
        <v>2365</v>
      </c>
      <c r="W545" t="s">
        <v>2365</v>
      </c>
      <c r="X545" t="s">
        <v>2365</v>
      </c>
      <c r="Y545" t="s">
        <v>2365</v>
      </c>
      <c r="Z545" t="s">
        <v>2365</v>
      </c>
      <c r="AA545" t="s">
        <v>2365</v>
      </c>
      <c r="AB545" t="s">
        <v>2365</v>
      </c>
      <c r="AC545" s="813" t="s">
        <v>2365</v>
      </c>
      <c r="AD545" s="813" t="s">
        <v>2365</v>
      </c>
      <c r="AE545" s="813" t="s">
        <v>2365</v>
      </c>
      <c r="AF545" t="s">
        <v>2365</v>
      </c>
      <c r="AG545" t="s">
        <v>2365</v>
      </c>
      <c r="AH545" t="s">
        <v>2365</v>
      </c>
      <c r="AI545" t="s">
        <v>2365</v>
      </c>
      <c r="AJ545" t="s">
        <v>2365</v>
      </c>
      <c r="AK545" t="s">
        <v>2365</v>
      </c>
      <c r="AL545" t="s">
        <v>2365</v>
      </c>
      <c r="AM545" t="s">
        <v>2365</v>
      </c>
      <c r="AN545" t="s">
        <v>2365</v>
      </c>
      <c r="AR545" t="s">
        <v>2365</v>
      </c>
      <c r="AS545" t="s">
        <v>2365</v>
      </c>
      <c r="AT545" t="s">
        <v>2365</v>
      </c>
      <c r="AU545" t="s">
        <v>2365</v>
      </c>
      <c r="AV545" t="s">
        <v>2365</v>
      </c>
      <c r="AW545" t="s">
        <v>2365</v>
      </c>
      <c r="AX545" t="s">
        <v>2365</v>
      </c>
      <c r="AY545" t="s">
        <v>2365</v>
      </c>
      <c r="AZ545" t="s">
        <v>2365</v>
      </c>
      <c r="BA545" t="s">
        <v>2365</v>
      </c>
      <c r="BB545" t="s">
        <v>2365</v>
      </c>
      <c r="BC545" t="s">
        <v>2365</v>
      </c>
      <c r="BD545" t="s">
        <v>2366</v>
      </c>
      <c r="BE545" t="s">
        <v>2365</v>
      </c>
      <c r="BF545" t="s">
        <v>2365</v>
      </c>
      <c r="BG545" t="s">
        <v>2365</v>
      </c>
      <c r="BH545" t="s">
        <v>2365</v>
      </c>
      <c r="BI545" t="s">
        <v>2366</v>
      </c>
      <c r="BJ545" t="s">
        <v>2365</v>
      </c>
      <c r="BK545" t="s">
        <v>2365</v>
      </c>
      <c r="BL545" t="s">
        <v>2365</v>
      </c>
      <c r="BM545" t="s">
        <v>2365</v>
      </c>
      <c r="BO545">
        <v>1</v>
      </c>
      <c r="BP545">
        <v>16</v>
      </c>
      <c r="BQ545" t="s">
        <v>2369</v>
      </c>
      <c r="BR545" t="s">
        <v>998</v>
      </c>
      <c r="BU545">
        <v>0</v>
      </c>
      <c r="BV545">
        <v>0</v>
      </c>
      <c r="BW545">
        <v>0</v>
      </c>
      <c r="BX545">
        <v>0</v>
      </c>
      <c r="BY545">
        <v>0</v>
      </c>
      <c r="BZ545">
        <v>0</v>
      </c>
      <c r="CA545">
        <v>0</v>
      </c>
      <c r="CB545">
        <v>0</v>
      </c>
      <c r="CC545">
        <v>0</v>
      </c>
      <c r="CD545">
        <v>0</v>
      </c>
      <c r="CE545">
        <v>0</v>
      </c>
      <c r="CF545">
        <v>0</v>
      </c>
      <c r="CG545">
        <v>0</v>
      </c>
      <c r="CH545">
        <v>0</v>
      </c>
      <c r="CI545">
        <v>0</v>
      </c>
      <c r="CJ545">
        <v>0</v>
      </c>
      <c r="CK545">
        <v>0</v>
      </c>
      <c r="CL545">
        <v>0</v>
      </c>
      <c r="CM545">
        <v>0</v>
      </c>
      <c r="CR545" t="s">
        <v>2328</v>
      </c>
      <c r="CS545" s="1369" t="str">
        <f>INDEX([8]Sheet1!$H:$H,MATCH(CR:CR,[8]Sheet1!$AU:$AU,0))</f>
        <v>Water Distribution</v>
      </c>
    </row>
    <row r="546" spans="1:97" x14ac:dyDescent="0.2">
      <c r="A546" t="s">
        <v>3107</v>
      </c>
      <c r="B546">
        <v>599</v>
      </c>
      <c r="C546" t="s">
        <v>3107</v>
      </c>
      <c r="D546">
        <v>40653</v>
      </c>
      <c r="E546" t="s">
        <v>3040</v>
      </c>
      <c r="F546">
        <v>200</v>
      </c>
      <c r="G546" t="s">
        <v>559</v>
      </c>
      <c r="H546">
        <v>200</v>
      </c>
      <c r="I546" t="s">
        <v>2863</v>
      </c>
      <c r="J546" t="s">
        <v>2365</v>
      </c>
      <c r="K546" t="s">
        <v>2365</v>
      </c>
      <c r="L546">
        <v>1200</v>
      </c>
      <c r="M546" t="s">
        <v>1480</v>
      </c>
      <c r="N546">
        <v>1204</v>
      </c>
      <c r="O546" t="s">
        <v>1487</v>
      </c>
      <c r="P546" t="s">
        <v>2366</v>
      </c>
      <c r="Q546" t="s">
        <v>2364</v>
      </c>
      <c r="R546" t="s">
        <v>2364</v>
      </c>
      <c r="S546" t="s">
        <v>1881</v>
      </c>
      <c r="T546" t="s">
        <v>1811</v>
      </c>
      <c r="U546" t="s">
        <v>2365</v>
      </c>
      <c r="V546" t="s">
        <v>2365</v>
      </c>
      <c r="W546" t="s">
        <v>2365</v>
      </c>
      <c r="X546" t="s">
        <v>2365</v>
      </c>
      <c r="Y546" t="s">
        <v>2365</v>
      </c>
      <c r="Z546" t="s">
        <v>2365</v>
      </c>
      <c r="AA546" t="s">
        <v>2365</v>
      </c>
      <c r="AB546" t="s">
        <v>2365</v>
      </c>
      <c r="AC546" s="813" t="s">
        <v>2365</v>
      </c>
      <c r="AD546" s="813" t="s">
        <v>2365</v>
      </c>
      <c r="AE546" s="813" t="s">
        <v>2365</v>
      </c>
      <c r="AF546" t="s">
        <v>2365</v>
      </c>
      <c r="AG546" t="s">
        <v>2365</v>
      </c>
      <c r="AH546" t="s">
        <v>2365</v>
      </c>
      <c r="AI546" t="s">
        <v>2365</v>
      </c>
      <c r="AJ546" t="s">
        <v>2365</v>
      </c>
      <c r="AK546" t="s">
        <v>2365</v>
      </c>
      <c r="AL546" t="s">
        <v>2365</v>
      </c>
      <c r="AM546" t="s">
        <v>2365</v>
      </c>
      <c r="AN546" t="s">
        <v>2365</v>
      </c>
      <c r="AR546" t="s">
        <v>2365</v>
      </c>
      <c r="AS546" t="s">
        <v>2365</v>
      </c>
      <c r="AT546" t="s">
        <v>2365</v>
      </c>
      <c r="AU546" t="s">
        <v>2365</v>
      </c>
      <c r="AV546" t="s">
        <v>2365</v>
      </c>
      <c r="AW546" t="s">
        <v>2365</v>
      </c>
      <c r="AX546" t="s">
        <v>2365</v>
      </c>
      <c r="AY546" t="s">
        <v>2365</v>
      </c>
      <c r="AZ546" t="s">
        <v>2365</v>
      </c>
      <c r="BA546" t="s">
        <v>2365</v>
      </c>
      <c r="BB546" t="s">
        <v>2365</v>
      </c>
      <c r="BC546" t="s">
        <v>2365</v>
      </c>
      <c r="BD546" t="s">
        <v>2366</v>
      </c>
      <c r="BE546" t="s">
        <v>2365</v>
      </c>
      <c r="BF546" t="s">
        <v>2365</v>
      </c>
      <c r="BG546" t="s">
        <v>2365</v>
      </c>
      <c r="BH546" t="s">
        <v>2365</v>
      </c>
      <c r="BI546" t="s">
        <v>2366</v>
      </c>
      <c r="BJ546" t="s">
        <v>2365</v>
      </c>
      <c r="BK546" t="s">
        <v>2365</v>
      </c>
      <c r="BL546" t="s">
        <v>2365</v>
      </c>
      <c r="BM546" t="s">
        <v>2365</v>
      </c>
      <c r="BO546">
        <v>1</v>
      </c>
      <c r="BP546">
        <v>11</v>
      </c>
      <c r="BQ546" t="s">
        <v>2369</v>
      </c>
      <c r="BR546" t="s">
        <v>1487</v>
      </c>
      <c r="BU546">
        <v>0</v>
      </c>
      <c r="BV546">
        <v>0</v>
      </c>
      <c r="BW546">
        <v>0</v>
      </c>
      <c r="BX546">
        <v>0</v>
      </c>
      <c r="BY546">
        <v>0</v>
      </c>
      <c r="BZ546">
        <v>0</v>
      </c>
      <c r="CA546">
        <v>0</v>
      </c>
      <c r="CB546">
        <v>0</v>
      </c>
      <c r="CC546">
        <v>0</v>
      </c>
      <c r="CD546">
        <v>0</v>
      </c>
      <c r="CE546">
        <v>0</v>
      </c>
      <c r="CF546">
        <v>0</v>
      </c>
      <c r="CG546">
        <v>0</v>
      </c>
      <c r="CH546">
        <v>0</v>
      </c>
      <c r="CI546">
        <v>0</v>
      </c>
      <c r="CJ546">
        <v>0</v>
      </c>
      <c r="CK546">
        <v>0</v>
      </c>
      <c r="CL546">
        <v>0</v>
      </c>
      <c r="CM546">
        <v>0</v>
      </c>
      <c r="CR546" t="s">
        <v>2328</v>
      </c>
      <c r="CS546" s="1369" t="str">
        <f>INDEX([8]Sheet1!$H:$H,MATCH(CR:CR,[8]Sheet1!$AU:$AU,0))</f>
        <v>Water Distribution</v>
      </c>
    </row>
    <row r="547" spans="1:97" x14ac:dyDescent="0.2">
      <c r="A547" t="s">
        <v>3108</v>
      </c>
      <c r="B547">
        <v>600</v>
      </c>
      <c r="C547" t="s">
        <v>3108</v>
      </c>
      <c r="D547">
        <v>40654</v>
      </c>
      <c r="E547" t="s">
        <v>3042</v>
      </c>
      <c r="F547">
        <v>200</v>
      </c>
      <c r="G547" t="s">
        <v>559</v>
      </c>
      <c r="H547">
        <v>200</v>
      </c>
      <c r="I547" t="s">
        <v>2863</v>
      </c>
      <c r="J547" t="s">
        <v>2365</v>
      </c>
      <c r="K547" t="s">
        <v>2365</v>
      </c>
      <c r="L547">
        <v>1200</v>
      </c>
      <c r="M547" t="s">
        <v>1480</v>
      </c>
      <c r="N547">
        <v>1204</v>
      </c>
      <c r="O547" t="s">
        <v>1487</v>
      </c>
      <c r="P547" t="s">
        <v>2366</v>
      </c>
      <c r="Q547" t="s">
        <v>2364</v>
      </c>
      <c r="R547" t="s">
        <v>2364</v>
      </c>
      <c r="S547" t="s">
        <v>1881</v>
      </c>
      <c r="T547" t="s">
        <v>1811</v>
      </c>
      <c r="U547" t="s">
        <v>2365</v>
      </c>
      <c r="V547" t="s">
        <v>2365</v>
      </c>
      <c r="W547" t="s">
        <v>2365</v>
      </c>
      <c r="X547" t="s">
        <v>2365</v>
      </c>
      <c r="Y547" t="s">
        <v>2365</v>
      </c>
      <c r="Z547" t="s">
        <v>2365</v>
      </c>
      <c r="AA547" t="s">
        <v>2365</v>
      </c>
      <c r="AB547" t="s">
        <v>2365</v>
      </c>
      <c r="AC547" s="813" t="s">
        <v>2365</v>
      </c>
      <c r="AD547" s="813" t="s">
        <v>2365</v>
      </c>
      <c r="AE547" s="813" t="s">
        <v>2365</v>
      </c>
      <c r="AF547" t="s">
        <v>2365</v>
      </c>
      <c r="AG547" t="s">
        <v>2365</v>
      </c>
      <c r="AH547" t="s">
        <v>2365</v>
      </c>
      <c r="AI547" t="s">
        <v>2365</v>
      </c>
      <c r="AJ547" t="s">
        <v>2365</v>
      </c>
      <c r="AK547" t="s">
        <v>2365</v>
      </c>
      <c r="AL547" t="s">
        <v>2365</v>
      </c>
      <c r="AM547" t="s">
        <v>2365</v>
      </c>
      <c r="AN547" t="s">
        <v>2365</v>
      </c>
      <c r="AR547" t="s">
        <v>2365</v>
      </c>
      <c r="AS547" t="s">
        <v>2365</v>
      </c>
      <c r="AT547" t="s">
        <v>2365</v>
      </c>
      <c r="AU547" t="s">
        <v>2365</v>
      </c>
      <c r="AV547" t="s">
        <v>2365</v>
      </c>
      <c r="AW547" t="s">
        <v>2365</v>
      </c>
      <c r="AX547" t="s">
        <v>2365</v>
      </c>
      <c r="AY547" t="s">
        <v>2365</v>
      </c>
      <c r="AZ547" t="s">
        <v>2365</v>
      </c>
      <c r="BA547" t="s">
        <v>2365</v>
      </c>
      <c r="BB547" t="s">
        <v>2365</v>
      </c>
      <c r="BC547" t="s">
        <v>2365</v>
      </c>
      <c r="BD547" t="s">
        <v>2366</v>
      </c>
      <c r="BE547" t="s">
        <v>2365</v>
      </c>
      <c r="BF547" t="s">
        <v>2365</v>
      </c>
      <c r="BG547" t="s">
        <v>2365</v>
      </c>
      <c r="BH547" t="s">
        <v>2365</v>
      </c>
      <c r="BI547" t="s">
        <v>2366</v>
      </c>
      <c r="BJ547" t="s">
        <v>2365</v>
      </c>
      <c r="BK547" t="s">
        <v>2365</v>
      </c>
      <c r="BL547" t="s">
        <v>2365</v>
      </c>
      <c r="BM547" t="s">
        <v>2365</v>
      </c>
      <c r="BO547">
        <v>1</v>
      </c>
      <c r="BP547">
        <v>11</v>
      </c>
      <c r="BQ547" t="s">
        <v>2369</v>
      </c>
      <c r="BR547" t="s">
        <v>1487</v>
      </c>
      <c r="BU547">
        <v>0</v>
      </c>
      <c r="BV547">
        <v>0</v>
      </c>
      <c r="BW547">
        <v>0</v>
      </c>
      <c r="BX547">
        <v>0</v>
      </c>
      <c r="BY547">
        <v>0</v>
      </c>
      <c r="BZ547">
        <v>0</v>
      </c>
      <c r="CA547">
        <v>0</v>
      </c>
      <c r="CB547">
        <v>0</v>
      </c>
      <c r="CC547">
        <v>0</v>
      </c>
      <c r="CD547">
        <v>0</v>
      </c>
      <c r="CE547">
        <v>0</v>
      </c>
      <c r="CF547">
        <v>0</v>
      </c>
      <c r="CG547">
        <v>0</v>
      </c>
      <c r="CH547">
        <v>0</v>
      </c>
      <c r="CI547">
        <v>0</v>
      </c>
      <c r="CJ547">
        <v>0</v>
      </c>
      <c r="CK547">
        <v>0</v>
      </c>
      <c r="CL547">
        <v>0</v>
      </c>
      <c r="CM547">
        <v>0</v>
      </c>
      <c r="CR547" t="s">
        <v>2337</v>
      </c>
      <c r="CS547" s="1369" t="str">
        <f>INDEX([8]Sheet1!$H:$H,MATCH(CR:CR,[8]Sheet1!$AU:$AU,0))</f>
        <v>Corporate Wide Strategic Planning (IDPs, LEDs)</v>
      </c>
    </row>
    <row r="548" spans="1:97" x14ac:dyDescent="0.2">
      <c r="A548" t="s">
        <v>3109</v>
      </c>
      <c r="B548">
        <v>601</v>
      </c>
      <c r="C548" t="s">
        <v>3109</v>
      </c>
      <c r="D548">
        <v>40655</v>
      </c>
      <c r="E548" t="s">
        <v>3044</v>
      </c>
      <c r="F548">
        <v>200</v>
      </c>
      <c r="G548" t="s">
        <v>559</v>
      </c>
      <c r="H548">
        <v>200</v>
      </c>
      <c r="I548" t="s">
        <v>2863</v>
      </c>
      <c r="J548" t="s">
        <v>2365</v>
      </c>
      <c r="K548" t="s">
        <v>2365</v>
      </c>
      <c r="L548">
        <v>1200</v>
      </c>
      <c r="M548" t="s">
        <v>1480</v>
      </c>
      <c r="N548">
        <v>1204</v>
      </c>
      <c r="O548" t="s">
        <v>1487</v>
      </c>
      <c r="P548" t="s">
        <v>2366</v>
      </c>
      <c r="Q548" t="s">
        <v>2364</v>
      </c>
      <c r="R548" t="s">
        <v>2364</v>
      </c>
      <c r="S548" t="s">
        <v>1881</v>
      </c>
      <c r="T548" t="s">
        <v>1811</v>
      </c>
      <c r="U548" t="s">
        <v>2365</v>
      </c>
      <c r="V548" t="s">
        <v>2365</v>
      </c>
      <c r="W548" t="s">
        <v>2365</v>
      </c>
      <c r="X548" t="s">
        <v>2365</v>
      </c>
      <c r="Y548" t="s">
        <v>2365</v>
      </c>
      <c r="Z548" t="s">
        <v>2365</v>
      </c>
      <c r="AA548" t="s">
        <v>2365</v>
      </c>
      <c r="AB548" t="s">
        <v>2365</v>
      </c>
      <c r="AC548" s="813" t="s">
        <v>2365</v>
      </c>
      <c r="AD548" s="813" t="s">
        <v>2365</v>
      </c>
      <c r="AE548" s="813" t="s">
        <v>2365</v>
      </c>
      <c r="AF548" t="s">
        <v>2365</v>
      </c>
      <c r="AG548" t="s">
        <v>2365</v>
      </c>
      <c r="AH548" t="s">
        <v>2365</v>
      </c>
      <c r="AI548" t="s">
        <v>2365</v>
      </c>
      <c r="AJ548" t="s">
        <v>2365</v>
      </c>
      <c r="AK548" t="s">
        <v>2365</v>
      </c>
      <c r="AL548" t="s">
        <v>2365</v>
      </c>
      <c r="AM548" t="s">
        <v>2365</v>
      </c>
      <c r="AN548" t="s">
        <v>2365</v>
      </c>
      <c r="AR548" t="s">
        <v>2365</v>
      </c>
      <c r="AS548" t="s">
        <v>2365</v>
      </c>
      <c r="AT548" t="s">
        <v>2365</v>
      </c>
      <c r="AU548" t="s">
        <v>2365</v>
      </c>
      <c r="AV548" t="s">
        <v>2365</v>
      </c>
      <c r="AW548" t="s">
        <v>2365</v>
      </c>
      <c r="AX548" t="s">
        <v>2365</v>
      </c>
      <c r="AY548" t="s">
        <v>2365</v>
      </c>
      <c r="AZ548" t="s">
        <v>2365</v>
      </c>
      <c r="BA548" t="s">
        <v>2365</v>
      </c>
      <c r="BB548" t="s">
        <v>2365</v>
      </c>
      <c r="BC548" t="s">
        <v>2365</v>
      </c>
      <c r="BD548" t="s">
        <v>2366</v>
      </c>
      <c r="BE548" t="s">
        <v>2365</v>
      </c>
      <c r="BF548" t="s">
        <v>2365</v>
      </c>
      <c r="BG548" t="s">
        <v>2365</v>
      </c>
      <c r="BH548" t="s">
        <v>2365</v>
      </c>
      <c r="BI548" t="s">
        <v>2366</v>
      </c>
      <c r="BJ548" t="s">
        <v>2365</v>
      </c>
      <c r="BK548" t="s">
        <v>2365</v>
      </c>
      <c r="BL548" t="s">
        <v>2365</v>
      </c>
      <c r="BM548" t="s">
        <v>2365</v>
      </c>
      <c r="BO548">
        <v>1</v>
      </c>
      <c r="BP548">
        <v>11</v>
      </c>
      <c r="BQ548" t="s">
        <v>2369</v>
      </c>
      <c r="BR548" t="s">
        <v>1487</v>
      </c>
      <c r="BU548">
        <v>0</v>
      </c>
      <c r="BV548">
        <v>0</v>
      </c>
      <c r="BW548">
        <v>0</v>
      </c>
      <c r="BX548">
        <v>0</v>
      </c>
      <c r="BY548">
        <v>0</v>
      </c>
      <c r="BZ548">
        <v>0</v>
      </c>
      <c r="CA548">
        <v>0</v>
      </c>
      <c r="CB548">
        <v>0</v>
      </c>
      <c r="CC548">
        <v>0</v>
      </c>
      <c r="CD548">
        <v>0</v>
      </c>
      <c r="CE548">
        <v>0</v>
      </c>
      <c r="CF548">
        <v>0</v>
      </c>
      <c r="CG548">
        <v>0</v>
      </c>
      <c r="CH548">
        <v>0</v>
      </c>
      <c r="CI548">
        <v>0</v>
      </c>
      <c r="CJ548">
        <v>0</v>
      </c>
      <c r="CK548">
        <v>0</v>
      </c>
      <c r="CL548">
        <v>0</v>
      </c>
      <c r="CM548">
        <v>0</v>
      </c>
      <c r="CR548" t="s">
        <v>2337</v>
      </c>
      <c r="CS548" s="1369" t="str">
        <f>INDEX([8]Sheet1!$H:$H,MATCH(CR:CR,[8]Sheet1!$AU:$AU,0))</f>
        <v>Corporate Wide Strategic Planning (IDPs, LEDs)</v>
      </c>
    </row>
    <row r="549" spans="1:97" x14ac:dyDescent="0.2">
      <c r="A549" t="s">
        <v>3110</v>
      </c>
      <c r="B549">
        <v>602</v>
      </c>
      <c r="C549" t="s">
        <v>3110</v>
      </c>
      <c r="D549">
        <v>40656</v>
      </c>
      <c r="E549" t="s">
        <v>3046</v>
      </c>
      <c r="F549">
        <v>200</v>
      </c>
      <c r="G549" t="s">
        <v>559</v>
      </c>
      <c r="H549">
        <v>200</v>
      </c>
      <c r="I549" t="s">
        <v>2863</v>
      </c>
      <c r="J549" t="s">
        <v>2365</v>
      </c>
      <c r="K549" t="s">
        <v>2365</v>
      </c>
      <c r="L549">
        <v>1200</v>
      </c>
      <c r="M549" t="s">
        <v>1480</v>
      </c>
      <c r="N549">
        <v>1204</v>
      </c>
      <c r="O549" t="s">
        <v>1487</v>
      </c>
      <c r="P549" t="s">
        <v>2366</v>
      </c>
      <c r="Q549" t="s">
        <v>2364</v>
      </c>
      <c r="R549" t="s">
        <v>2364</v>
      </c>
      <c r="S549" t="s">
        <v>1881</v>
      </c>
      <c r="T549" t="s">
        <v>1811</v>
      </c>
      <c r="U549" t="s">
        <v>2365</v>
      </c>
      <c r="V549" t="s">
        <v>2365</v>
      </c>
      <c r="W549" t="s">
        <v>2365</v>
      </c>
      <c r="X549" t="s">
        <v>2365</v>
      </c>
      <c r="Y549" t="s">
        <v>2365</v>
      </c>
      <c r="Z549" t="s">
        <v>2365</v>
      </c>
      <c r="AA549" t="s">
        <v>2365</v>
      </c>
      <c r="AB549" t="s">
        <v>2365</v>
      </c>
      <c r="AC549" s="813" t="s">
        <v>2365</v>
      </c>
      <c r="AD549" s="813" t="s">
        <v>2365</v>
      </c>
      <c r="AE549" s="813" t="s">
        <v>2365</v>
      </c>
      <c r="AF549" t="s">
        <v>2365</v>
      </c>
      <c r="AG549" t="s">
        <v>2365</v>
      </c>
      <c r="AH549" t="s">
        <v>2365</v>
      </c>
      <c r="AI549" t="s">
        <v>2365</v>
      </c>
      <c r="AJ549" t="s">
        <v>2365</v>
      </c>
      <c r="AK549" t="s">
        <v>2365</v>
      </c>
      <c r="AL549" t="s">
        <v>2365</v>
      </c>
      <c r="AM549" t="s">
        <v>2365</v>
      </c>
      <c r="AN549" t="s">
        <v>2365</v>
      </c>
      <c r="AR549" t="s">
        <v>2365</v>
      </c>
      <c r="AS549" t="s">
        <v>2365</v>
      </c>
      <c r="AT549" t="s">
        <v>2365</v>
      </c>
      <c r="AU549" t="s">
        <v>2365</v>
      </c>
      <c r="AV549" t="s">
        <v>2365</v>
      </c>
      <c r="AW549" t="s">
        <v>2365</v>
      </c>
      <c r="AX549" t="s">
        <v>2365</v>
      </c>
      <c r="AY549" t="s">
        <v>2365</v>
      </c>
      <c r="AZ549" t="s">
        <v>2365</v>
      </c>
      <c r="BA549" t="s">
        <v>2365</v>
      </c>
      <c r="BB549" t="s">
        <v>2365</v>
      </c>
      <c r="BC549" t="s">
        <v>2365</v>
      </c>
      <c r="BD549" t="s">
        <v>2366</v>
      </c>
      <c r="BE549" t="s">
        <v>2365</v>
      </c>
      <c r="BF549" t="s">
        <v>2365</v>
      </c>
      <c r="BG549" t="s">
        <v>2365</v>
      </c>
      <c r="BH549" t="s">
        <v>2365</v>
      </c>
      <c r="BI549" t="s">
        <v>2366</v>
      </c>
      <c r="BJ549" t="s">
        <v>2365</v>
      </c>
      <c r="BK549" t="s">
        <v>2365</v>
      </c>
      <c r="BL549" t="s">
        <v>2365</v>
      </c>
      <c r="BM549" t="s">
        <v>2365</v>
      </c>
      <c r="BO549">
        <v>1</v>
      </c>
      <c r="BP549">
        <v>11</v>
      </c>
      <c r="BQ549" t="s">
        <v>2369</v>
      </c>
      <c r="BR549" t="s">
        <v>1487</v>
      </c>
      <c r="BU549">
        <v>0</v>
      </c>
      <c r="BV549">
        <v>0</v>
      </c>
      <c r="BW549">
        <v>0</v>
      </c>
      <c r="BX549">
        <v>0</v>
      </c>
      <c r="BY549">
        <v>0</v>
      </c>
      <c r="BZ549">
        <v>0</v>
      </c>
      <c r="CA549">
        <v>0</v>
      </c>
      <c r="CB549">
        <v>0</v>
      </c>
      <c r="CC549">
        <v>0</v>
      </c>
      <c r="CD549">
        <v>0</v>
      </c>
      <c r="CE549">
        <v>0</v>
      </c>
      <c r="CF549">
        <v>0</v>
      </c>
      <c r="CG549">
        <v>0</v>
      </c>
      <c r="CH549">
        <v>0</v>
      </c>
      <c r="CI549">
        <v>0</v>
      </c>
      <c r="CJ549">
        <v>0</v>
      </c>
      <c r="CK549">
        <v>0</v>
      </c>
      <c r="CL549">
        <v>0</v>
      </c>
      <c r="CM549">
        <v>0</v>
      </c>
      <c r="CR549" t="s">
        <v>2337</v>
      </c>
      <c r="CS549" s="1369" t="str">
        <f>INDEX([8]Sheet1!$H:$H,MATCH(CR:CR,[8]Sheet1!$AU:$AU,0))</f>
        <v>Corporate Wide Strategic Planning (IDPs, LEDs)</v>
      </c>
    </row>
    <row r="550" spans="1:97" x14ac:dyDescent="0.2">
      <c r="A550" t="s">
        <v>3111</v>
      </c>
      <c r="B550">
        <v>603</v>
      </c>
      <c r="C550" t="s">
        <v>3111</v>
      </c>
      <c r="D550">
        <v>40657</v>
      </c>
      <c r="E550" t="s">
        <v>3048</v>
      </c>
      <c r="F550">
        <v>200</v>
      </c>
      <c r="G550" t="s">
        <v>559</v>
      </c>
      <c r="H550">
        <v>200</v>
      </c>
      <c r="I550" t="s">
        <v>2863</v>
      </c>
      <c r="J550" t="s">
        <v>2365</v>
      </c>
      <c r="K550" t="s">
        <v>2365</v>
      </c>
      <c r="L550">
        <v>1200</v>
      </c>
      <c r="M550" t="s">
        <v>1480</v>
      </c>
      <c r="N550">
        <v>1204</v>
      </c>
      <c r="O550" t="s">
        <v>1487</v>
      </c>
      <c r="P550" t="s">
        <v>2366</v>
      </c>
      <c r="Q550" t="s">
        <v>2364</v>
      </c>
      <c r="R550" t="s">
        <v>2364</v>
      </c>
      <c r="S550" t="s">
        <v>1881</v>
      </c>
      <c r="T550" t="s">
        <v>1811</v>
      </c>
      <c r="U550" t="s">
        <v>2365</v>
      </c>
      <c r="V550" t="s">
        <v>2365</v>
      </c>
      <c r="W550" t="s">
        <v>2365</v>
      </c>
      <c r="X550" t="s">
        <v>2365</v>
      </c>
      <c r="Y550" t="s">
        <v>2365</v>
      </c>
      <c r="Z550" t="s">
        <v>2365</v>
      </c>
      <c r="AA550" t="s">
        <v>2365</v>
      </c>
      <c r="AB550" t="s">
        <v>2365</v>
      </c>
      <c r="AC550" s="813" t="s">
        <v>2365</v>
      </c>
      <c r="AD550" s="813" t="s">
        <v>2365</v>
      </c>
      <c r="AE550" s="813" t="s">
        <v>2365</v>
      </c>
      <c r="AF550" t="s">
        <v>2365</v>
      </c>
      <c r="AG550" t="s">
        <v>2365</v>
      </c>
      <c r="AH550" t="s">
        <v>2365</v>
      </c>
      <c r="AI550" t="s">
        <v>2365</v>
      </c>
      <c r="AJ550" t="s">
        <v>2365</v>
      </c>
      <c r="AK550" t="s">
        <v>2365</v>
      </c>
      <c r="AL550" t="s">
        <v>2365</v>
      </c>
      <c r="AM550" t="s">
        <v>2365</v>
      </c>
      <c r="AN550" t="s">
        <v>2365</v>
      </c>
      <c r="AR550" t="s">
        <v>2365</v>
      </c>
      <c r="AS550" t="s">
        <v>2365</v>
      </c>
      <c r="AT550" t="s">
        <v>2365</v>
      </c>
      <c r="AU550" t="s">
        <v>2365</v>
      </c>
      <c r="AV550" t="s">
        <v>2365</v>
      </c>
      <c r="AW550" t="s">
        <v>2365</v>
      </c>
      <c r="AX550" t="s">
        <v>2365</v>
      </c>
      <c r="AY550" t="s">
        <v>2365</v>
      </c>
      <c r="AZ550" t="s">
        <v>2365</v>
      </c>
      <c r="BA550" t="s">
        <v>2365</v>
      </c>
      <c r="BB550" t="s">
        <v>2365</v>
      </c>
      <c r="BC550" t="s">
        <v>2365</v>
      </c>
      <c r="BD550" t="s">
        <v>2366</v>
      </c>
      <c r="BE550" t="s">
        <v>2365</v>
      </c>
      <c r="BF550" t="s">
        <v>2365</v>
      </c>
      <c r="BG550" t="s">
        <v>2365</v>
      </c>
      <c r="BH550" t="s">
        <v>2365</v>
      </c>
      <c r="BI550" t="s">
        <v>2366</v>
      </c>
      <c r="BJ550" t="s">
        <v>2365</v>
      </c>
      <c r="BK550" t="s">
        <v>2365</v>
      </c>
      <c r="BL550" t="s">
        <v>2365</v>
      </c>
      <c r="BM550" t="s">
        <v>2365</v>
      </c>
      <c r="BO550">
        <v>1</v>
      </c>
      <c r="BP550">
        <v>11</v>
      </c>
      <c r="BQ550" t="s">
        <v>2369</v>
      </c>
      <c r="BR550" t="s">
        <v>1487</v>
      </c>
      <c r="BU550">
        <v>0</v>
      </c>
      <c r="BV550">
        <v>0</v>
      </c>
      <c r="BW550">
        <v>0</v>
      </c>
      <c r="BX550">
        <v>0</v>
      </c>
      <c r="BY550">
        <v>0</v>
      </c>
      <c r="BZ550">
        <v>0</v>
      </c>
      <c r="CA550">
        <v>0</v>
      </c>
      <c r="CB550">
        <v>0</v>
      </c>
      <c r="CC550">
        <v>0</v>
      </c>
      <c r="CD550">
        <v>0</v>
      </c>
      <c r="CE550">
        <v>0</v>
      </c>
      <c r="CF550">
        <v>0</v>
      </c>
      <c r="CG550">
        <v>0</v>
      </c>
      <c r="CH550">
        <v>0</v>
      </c>
      <c r="CI550">
        <v>0</v>
      </c>
      <c r="CJ550">
        <v>0</v>
      </c>
      <c r="CK550">
        <v>0</v>
      </c>
      <c r="CL550">
        <v>0</v>
      </c>
      <c r="CM550">
        <v>0</v>
      </c>
      <c r="CR550" t="s">
        <v>2337</v>
      </c>
      <c r="CS550" s="1369" t="str">
        <f>INDEX([8]Sheet1!$H:$H,MATCH(CR:CR,[8]Sheet1!$AU:$AU,0))</f>
        <v>Corporate Wide Strategic Planning (IDPs, LEDs)</v>
      </c>
    </row>
    <row r="551" spans="1:97" x14ac:dyDescent="0.2">
      <c r="A551" t="s">
        <v>3112</v>
      </c>
      <c r="B551">
        <v>604</v>
      </c>
      <c r="C551" t="s">
        <v>3112</v>
      </c>
      <c r="D551">
        <v>40658</v>
      </c>
      <c r="E551" t="s">
        <v>3050</v>
      </c>
      <c r="F551">
        <v>200</v>
      </c>
      <c r="G551" t="s">
        <v>559</v>
      </c>
      <c r="H551">
        <v>200</v>
      </c>
      <c r="I551" t="s">
        <v>2863</v>
      </c>
      <c r="J551" t="s">
        <v>2365</v>
      </c>
      <c r="K551" t="s">
        <v>2365</v>
      </c>
      <c r="L551">
        <v>1200</v>
      </c>
      <c r="M551" t="s">
        <v>1480</v>
      </c>
      <c r="N551">
        <v>1204</v>
      </c>
      <c r="O551" t="s">
        <v>1487</v>
      </c>
      <c r="P551" t="s">
        <v>2366</v>
      </c>
      <c r="Q551" t="s">
        <v>2364</v>
      </c>
      <c r="R551" t="s">
        <v>2364</v>
      </c>
      <c r="S551" t="s">
        <v>1881</v>
      </c>
      <c r="T551" t="s">
        <v>1811</v>
      </c>
      <c r="U551" t="s">
        <v>2365</v>
      </c>
      <c r="V551" t="s">
        <v>2365</v>
      </c>
      <c r="W551" t="s">
        <v>2365</v>
      </c>
      <c r="X551" t="s">
        <v>2365</v>
      </c>
      <c r="Y551" t="s">
        <v>2365</v>
      </c>
      <c r="Z551" t="s">
        <v>2365</v>
      </c>
      <c r="AA551" t="s">
        <v>2365</v>
      </c>
      <c r="AB551" t="s">
        <v>2365</v>
      </c>
      <c r="AC551" s="813" t="s">
        <v>2365</v>
      </c>
      <c r="AD551" s="813" t="s">
        <v>2365</v>
      </c>
      <c r="AE551" s="813" t="s">
        <v>2365</v>
      </c>
      <c r="AF551" t="s">
        <v>2365</v>
      </c>
      <c r="AG551" t="s">
        <v>2365</v>
      </c>
      <c r="AH551" t="s">
        <v>2365</v>
      </c>
      <c r="AI551" t="s">
        <v>2365</v>
      </c>
      <c r="AJ551" t="s">
        <v>2365</v>
      </c>
      <c r="AK551" t="s">
        <v>2365</v>
      </c>
      <c r="AL551" t="s">
        <v>2365</v>
      </c>
      <c r="AM551" t="s">
        <v>2365</v>
      </c>
      <c r="AN551" t="s">
        <v>2365</v>
      </c>
      <c r="AR551" t="s">
        <v>2365</v>
      </c>
      <c r="AS551" t="s">
        <v>2365</v>
      </c>
      <c r="AT551" t="s">
        <v>2365</v>
      </c>
      <c r="AU551" t="s">
        <v>2365</v>
      </c>
      <c r="AV551" t="s">
        <v>2365</v>
      </c>
      <c r="AW551" t="s">
        <v>2365</v>
      </c>
      <c r="AX551" t="s">
        <v>2365</v>
      </c>
      <c r="AY551" t="s">
        <v>2365</v>
      </c>
      <c r="AZ551" t="s">
        <v>2365</v>
      </c>
      <c r="BA551" t="s">
        <v>2365</v>
      </c>
      <c r="BB551" t="s">
        <v>2365</v>
      </c>
      <c r="BC551" t="s">
        <v>2365</v>
      </c>
      <c r="BD551" t="s">
        <v>2366</v>
      </c>
      <c r="BE551" t="s">
        <v>2365</v>
      </c>
      <c r="BF551" t="s">
        <v>2365</v>
      </c>
      <c r="BG551" t="s">
        <v>2365</v>
      </c>
      <c r="BH551" t="s">
        <v>2365</v>
      </c>
      <c r="BI551" t="s">
        <v>2366</v>
      </c>
      <c r="BJ551" t="s">
        <v>2365</v>
      </c>
      <c r="BK551" t="s">
        <v>2365</v>
      </c>
      <c r="BL551" t="s">
        <v>2365</v>
      </c>
      <c r="BM551" t="s">
        <v>2365</v>
      </c>
      <c r="BO551">
        <v>1</v>
      </c>
      <c r="BP551">
        <v>11</v>
      </c>
      <c r="BQ551" t="s">
        <v>2369</v>
      </c>
      <c r="BR551" t="s">
        <v>1487</v>
      </c>
      <c r="BU551">
        <v>0</v>
      </c>
      <c r="BV551">
        <v>0</v>
      </c>
      <c r="BW551">
        <v>0</v>
      </c>
      <c r="BX551">
        <v>0</v>
      </c>
      <c r="BY551">
        <v>0</v>
      </c>
      <c r="BZ551">
        <v>0</v>
      </c>
      <c r="CA551">
        <v>0</v>
      </c>
      <c r="CB551">
        <v>0</v>
      </c>
      <c r="CC551">
        <v>0</v>
      </c>
      <c r="CD551">
        <v>0</v>
      </c>
      <c r="CE551">
        <v>0</v>
      </c>
      <c r="CF551">
        <v>0</v>
      </c>
      <c r="CG551">
        <v>0</v>
      </c>
      <c r="CH551">
        <v>0</v>
      </c>
      <c r="CI551">
        <v>0</v>
      </c>
      <c r="CJ551">
        <v>0</v>
      </c>
      <c r="CK551">
        <v>0</v>
      </c>
      <c r="CL551">
        <v>0</v>
      </c>
      <c r="CM551">
        <v>0</v>
      </c>
      <c r="CR551" t="s">
        <v>2337</v>
      </c>
      <c r="CS551" s="1369" t="str">
        <f>INDEX([8]Sheet1!$H:$H,MATCH(CR:CR,[8]Sheet1!$AU:$AU,0))</f>
        <v>Corporate Wide Strategic Planning (IDPs, LEDs)</v>
      </c>
    </row>
    <row r="552" spans="1:97" x14ac:dyDescent="0.2">
      <c r="A552" t="s">
        <v>3113</v>
      </c>
      <c r="B552">
        <v>605</v>
      </c>
      <c r="C552" t="s">
        <v>3113</v>
      </c>
      <c r="D552">
        <v>40659</v>
      </c>
      <c r="E552" t="s">
        <v>3052</v>
      </c>
      <c r="F552">
        <v>200</v>
      </c>
      <c r="G552" t="s">
        <v>559</v>
      </c>
      <c r="H552">
        <v>200</v>
      </c>
      <c r="I552" t="s">
        <v>2863</v>
      </c>
      <c r="J552" t="s">
        <v>2365</v>
      </c>
      <c r="K552" t="s">
        <v>2365</v>
      </c>
      <c r="L552">
        <v>1200</v>
      </c>
      <c r="M552" t="s">
        <v>1480</v>
      </c>
      <c r="N552">
        <v>1204</v>
      </c>
      <c r="O552" t="s">
        <v>1487</v>
      </c>
      <c r="P552" t="s">
        <v>2366</v>
      </c>
      <c r="Q552" t="s">
        <v>2364</v>
      </c>
      <c r="R552" t="s">
        <v>2364</v>
      </c>
      <c r="S552" t="s">
        <v>1881</v>
      </c>
      <c r="T552" t="s">
        <v>1811</v>
      </c>
      <c r="U552" t="s">
        <v>2365</v>
      </c>
      <c r="V552" t="s">
        <v>2365</v>
      </c>
      <c r="W552" t="s">
        <v>2365</v>
      </c>
      <c r="X552" t="s">
        <v>2365</v>
      </c>
      <c r="Y552" t="s">
        <v>2365</v>
      </c>
      <c r="Z552" t="s">
        <v>2365</v>
      </c>
      <c r="AA552" t="s">
        <v>2365</v>
      </c>
      <c r="AB552" t="s">
        <v>2365</v>
      </c>
      <c r="AC552" s="813" t="s">
        <v>2365</v>
      </c>
      <c r="AD552" s="813" t="s">
        <v>2365</v>
      </c>
      <c r="AE552" s="813" t="s">
        <v>2365</v>
      </c>
      <c r="AF552" t="s">
        <v>2365</v>
      </c>
      <c r="AG552" t="s">
        <v>2365</v>
      </c>
      <c r="AH552" t="s">
        <v>2365</v>
      </c>
      <c r="AI552" t="s">
        <v>2365</v>
      </c>
      <c r="AJ552" t="s">
        <v>2365</v>
      </c>
      <c r="AK552" t="s">
        <v>2365</v>
      </c>
      <c r="AL552" t="s">
        <v>2365</v>
      </c>
      <c r="AM552" t="s">
        <v>2365</v>
      </c>
      <c r="AN552" t="s">
        <v>2365</v>
      </c>
      <c r="AR552" t="s">
        <v>2365</v>
      </c>
      <c r="AS552" t="s">
        <v>2365</v>
      </c>
      <c r="AT552" t="s">
        <v>2365</v>
      </c>
      <c r="AU552" t="s">
        <v>2365</v>
      </c>
      <c r="AV552" t="s">
        <v>2365</v>
      </c>
      <c r="AW552" t="s">
        <v>2365</v>
      </c>
      <c r="AX552" t="s">
        <v>2365</v>
      </c>
      <c r="AY552" t="s">
        <v>2365</v>
      </c>
      <c r="AZ552" t="s">
        <v>2365</v>
      </c>
      <c r="BA552" t="s">
        <v>2365</v>
      </c>
      <c r="BB552" t="s">
        <v>2365</v>
      </c>
      <c r="BC552" t="s">
        <v>2365</v>
      </c>
      <c r="BD552" t="s">
        <v>2366</v>
      </c>
      <c r="BE552" t="s">
        <v>2365</v>
      </c>
      <c r="BF552" t="s">
        <v>2365</v>
      </c>
      <c r="BG552" t="s">
        <v>2365</v>
      </c>
      <c r="BH552" t="s">
        <v>2365</v>
      </c>
      <c r="BI552" t="s">
        <v>2366</v>
      </c>
      <c r="BJ552" t="s">
        <v>2365</v>
      </c>
      <c r="BK552" t="s">
        <v>2365</v>
      </c>
      <c r="BL552" t="s">
        <v>2365</v>
      </c>
      <c r="BM552" t="s">
        <v>2365</v>
      </c>
      <c r="BO552">
        <v>1</v>
      </c>
      <c r="BP552">
        <v>11</v>
      </c>
      <c r="BQ552" t="s">
        <v>2369</v>
      </c>
      <c r="BR552" t="s">
        <v>1487</v>
      </c>
      <c r="BU552">
        <v>0</v>
      </c>
      <c r="BV552">
        <v>0</v>
      </c>
      <c r="BW552">
        <v>0</v>
      </c>
      <c r="BX552">
        <v>0</v>
      </c>
      <c r="BY552">
        <v>0</v>
      </c>
      <c r="BZ552">
        <v>0</v>
      </c>
      <c r="CA552">
        <v>0</v>
      </c>
      <c r="CB552">
        <v>0</v>
      </c>
      <c r="CC552">
        <v>0</v>
      </c>
      <c r="CD552">
        <v>0</v>
      </c>
      <c r="CE552">
        <v>0</v>
      </c>
      <c r="CF552">
        <v>0</v>
      </c>
      <c r="CG552">
        <v>0</v>
      </c>
      <c r="CH552">
        <v>0</v>
      </c>
      <c r="CI552">
        <v>0</v>
      </c>
      <c r="CJ552">
        <v>0</v>
      </c>
      <c r="CK552">
        <v>0</v>
      </c>
      <c r="CL552">
        <v>0</v>
      </c>
      <c r="CM552">
        <v>0</v>
      </c>
      <c r="CR552" t="s">
        <v>2337</v>
      </c>
      <c r="CS552" s="1369" t="str">
        <f>INDEX([8]Sheet1!$H:$H,MATCH(CR:CR,[8]Sheet1!$AU:$AU,0))</f>
        <v>Corporate Wide Strategic Planning (IDPs, LEDs)</v>
      </c>
    </row>
    <row r="553" spans="1:97" x14ac:dyDescent="0.2">
      <c r="A553" t="s">
        <v>3114</v>
      </c>
      <c r="B553">
        <v>606</v>
      </c>
      <c r="C553" t="s">
        <v>3114</v>
      </c>
      <c r="D553">
        <v>40660</v>
      </c>
      <c r="E553" t="s">
        <v>3054</v>
      </c>
      <c r="F553">
        <v>200</v>
      </c>
      <c r="G553" t="s">
        <v>559</v>
      </c>
      <c r="H553">
        <v>200</v>
      </c>
      <c r="I553" t="s">
        <v>2863</v>
      </c>
      <c r="J553" t="s">
        <v>2365</v>
      </c>
      <c r="K553" t="s">
        <v>2365</v>
      </c>
      <c r="L553">
        <v>1200</v>
      </c>
      <c r="M553" t="s">
        <v>1480</v>
      </c>
      <c r="N553">
        <v>1204</v>
      </c>
      <c r="O553" t="s">
        <v>1487</v>
      </c>
      <c r="P553" t="s">
        <v>2366</v>
      </c>
      <c r="Q553" t="s">
        <v>2364</v>
      </c>
      <c r="R553" t="s">
        <v>2364</v>
      </c>
      <c r="S553" t="s">
        <v>1881</v>
      </c>
      <c r="T553" t="s">
        <v>1811</v>
      </c>
      <c r="U553" t="s">
        <v>2365</v>
      </c>
      <c r="V553" t="s">
        <v>2365</v>
      </c>
      <c r="W553" t="s">
        <v>2365</v>
      </c>
      <c r="X553" t="s">
        <v>2365</v>
      </c>
      <c r="Y553" t="s">
        <v>2365</v>
      </c>
      <c r="Z553" t="s">
        <v>2365</v>
      </c>
      <c r="AA553" t="s">
        <v>2365</v>
      </c>
      <c r="AB553" t="s">
        <v>2365</v>
      </c>
      <c r="AC553" s="813" t="s">
        <v>2365</v>
      </c>
      <c r="AD553" s="813" t="s">
        <v>2365</v>
      </c>
      <c r="AE553" s="813" t="s">
        <v>2365</v>
      </c>
      <c r="AF553" t="s">
        <v>2365</v>
      </c>
      <c r="AG553" t="s">
        <v>2365</v>
      </c>
      <c r="AH553" t="s">
        <v>2365</v>
      </c>
      <c r="AI553" t="s">
        <v>2365</v>
      </c>
      <c r="AJ553" t="s">
        <v>2365</v>
      </c>
      <c r="AK553" t="s">
        <v>2365</v>
      </c>
      <c r="AL553" t="s">
        <v>2365</v>
      </c>
      <c r="AM553" t="s">
        <v>2365</v>
      </c>
      <c r="AN553" t="s">
        <v>2365</v>
      </c>
      <c r="AR553" t="s">
        <v>2365</v>
      </c>
      <c r="AS553" t="s">
        <v>2365</v>
      </c>
      <c r="AT553" t="s">
        <v>2365</v>
      </c>
      <c r="AU553" t="s">
        <v>2365</v>
      </c>
      <c r="AV553" t="s">
        <v>2365</v>
      </c>
      <c r="AW553" t="s">
        <v>2365</v>
      </c>
      <c r="AX553" t="s">
        <v>2365</v>
      </c>
      <c r="AY553" t="s">
        <v>2365</v>
      </c>
      <c r="AZ553" t="s">
        <v>2365</v>
      </c>
      <c r="BA553" t="s">
        <v>2365</v>
      </c>
      <c r="BB553" t="s">
        <v>2365</v>
      </c>
      <c r="BC553" t="s">
        <v>2365</v>
      </c>
      <c r="BD553" t="s">
        <v>2366</v>
      </c>
      <c r="BE553" t="s">
        <v>2365</v>
      </c>
      <c r="BF553" t="s">
        <v>2365</v>
      </c>
      <c r="BG553" t="s">
        <v>2365</v>
      </c>
      <c r="BH553" t="s">
        <v>2365</v>
      </c>
      <c r="BI553" t="s">
        <v>2366</v>
      </c>
      <c r="BJ553" t="s">
        <v>2365</v>
      </c>
      <c r="BK553" t="s">
        <v>2365</v>
      </c>
      <c r="BL553" t="s">
        <v>2365</v>
      </c>
      <c r="BM553" t="s">
        <v>2365</v>
      </c>
      <c r="BO553">
        <v>1</v>
      </c>
      <c r="BP553">
        <v>11</v>
      </c>
      <c r="BQ553" t="s">
        <v>2369</v>
      </c>
      <c r="BR553" t="s">
        <v>1487</v>
      </c>
      <c r="BU553">
        <v>0</v>
      </c>
      <c r="BV553">
        <v>0</v>
      </c>
      <c r="BW553">
        <v>0</v>
      </c>
      <c r="BX553">
        <v>0</v>
      </c>
      <c r="BY553">
        <v>0</v>
      </c>
      <c r="BZ553">
        <v>0</v>
      </c>
      <c r="CA553">
        <v>0</v>
      </c>
      <c r="CB553">
        <v>0</v>
      </c>
      <c r="CC553">
        <v>0</v>
      </c>
      <c r="CD553">
        <v>0</v>
      </c>
      <c r="CE553">
        <v>0</v>
      </c>
      <c r="CF553">
        <v>0</v>
      </c>
      <c r="CG553">
        <v>0</v>
      </c>
      <c r="CH553">
        <v>0</v>
      </c>
      <c r="CI553">
        <v>0</v>
      </c>
      <c r="CJ553">
        <v>0</v>
      </c>
      <c r="CK553">
        <v>0</v>
      </c>
      <c r="CL553">
        <v>0</v>
      </c>
      <c r="CM553">
        <v>0</v>
      </c>
      <c r="CR553" t="s">
        <v>2337</v>
      </c>
      <c r="CS553" s="1369" t="str">
        <f>INDEX([8]Sheet1!$H:$H,MATCH(CR:CR,[8]Sheet1!$AU:$AU,0))</f>
        <v>Corporate Wide Strategic Planning (IDPs, LEDs)</v>
      </c>
    </row>
    <row r="554" spans="1:97" x14ac:dyDescent="0.2">
      <c r="A554" t="s">
        <v>3115</v>
      </c>
      <c r="B554">
        <v>607</v>
      </c>
      <c r="C554" t="s">
        <v>3115</v>
      </c>
      <c r="D554">
        <v>40661</v>
      </c>
      <c r="E554" t="s">
        <v>3027</v>
      </c>
      <c r="F554">
        <v>200</v>
      </c>
      <c r="G554" t="s">
        <v>559</v>
      </c>
      <c r="H554">
        <v>200</v>
      </c>
      <c r="I554" t="s">
        <v>2863</v>
      </c>
      <c r="J554" t="s">
        <v>2365</v>
      </c>
      <c r="K554" t="s">
        <v>2365</v>
      </c>
      <c r="L554">
        <v>1200</v>
      </c>
      <c r="M554" t="s">
        <v>1480</v>
      </c>
      <c r="N554">
        <v>1204</v>
      </c>
      <c r="O554" t="s">
        <v>1487</v>
      </c>
      <c r="P554" t="s">
        <v>2366</v>
      </c>
      <c r="Q554" t="s">
        <v>2364</v>
      </c>
      <c r="R554" t="s">
        <v>2364</v>
      </c>
      <c r="S554" t="s">
        <v>1881</v>
      </c>
      <c r="T554" t="s">
        <v>1811</v>
      </c>
      <c r="U554" t="s">
        <v>2365</v>
      </c>
      <c r="V554" t="s">
        <v>2365</v>
      </c>
      <c r="W554" t="s">
        <v>2365</v>
      </c>
      <c r="X554" t="s">
        <v>2365</v>
      </c>
      <c r="Y554" t="s">
        <v>2365</v>
      </c>
      <c r="Z554" t="s">
        <v>2365</v>
      </c>
      <c r="AA554" t="s">
        <v>2365</v>
      </c>
      <c r="AB554" t="s">
        <v>2365</v>
      </c>
      <c r="AC554" s="813" t="s">
        <v>2365</v>
      </c>
      <c r="AD554" s="813" t="s">
        <v>2365</v>
      </c>
      <c r="AE554" s="813" t="s">
        <v>2365</v>
      </c>
      <c r="AF554" t="s">
        <v>2365</v>
      </c>
      <c r="AG554" t="s">
        <v>2365</v>
      </c>
      <c r="AH554" t="s">
        <v>2365</v>
      </c>
      <c r="AI554" t="s">
        <v>2365</v>
      </c>
      <c r="AJ554" t="s">
        <v>2365</v>
      </c>
      <c r="AK554" t="s">
        <v>2365</v>
      </c>
      <c r="AL554" t="s">
        <v>2365</v>
      </c>
      <c r="AM554" t="s">
        <v>2365</v>
      </c>
      <c r="AN554" t="s">
        <v>2365</v>
      </c>
      <c r="AR554" t="s">
        <v>2365</v>
      </c>
      <c r="AS554" t="s">
        <v>2365</v>
      </c>
      <c r="AT554" t="s">
        <v>2365</v>
      </c>
      <c r="AU554" t="s">
        <v>2365</v>
      </c>
      <c r="AV554" t="s">
        <v>2365</v>
      </c>
      <c r="AW554" t="s">
        <v>2365</v>
      </c>
      <c r="AX554" t="s">
        <v>2365</v>
      </c>
      <c r="AY554" t="s">
        <v>2365</v>
      </c>
      <c r="AZ554" t="s">
        <v>2365</v>
      </c>
      <c r="BA554" t="s">
        <v>2365</v>
      </c>
      <c r="BB554" t="s">
        <v>2365</v>
      </c>
      <c r="BC554" t="s">
        <v>2365</v>
      </c>
      <c r="BD554" t="s">
        <v>2366</v>
      </c>
      <c r="BE554" t="s">
        <v>2365</v>
      </c>
      <c r="BF554" t="s">
        <v>2365</v>
      </c>
      <c r="BG554" t="s">
        <v>2365</v>
      </c>
      <c r="BH554" t="s">
        <v>2365</v>
      </c>
      <c r="BI554" t="s">
        <v>2366</v>
      </c>
      <c r="BJ554" t="s">
        <v>2365</v>
      </c>
      <c r="BK554" t="s">
        <v>2365</v>
      </c>
      <c r="BL554" t="s">
        <v>2365</v>
      </c>
      <c r="BM554" t="s">
        <v>2365</v>
      </c>
      <c r="BO554">
        <v>1</v>
      </c>
      <c r="BP554">
        <v>11</v>
      </c>
      <c r="BQ554" t="s">
        <v>2369</v>
      </c>
      <c r="BR554" t="s">
        <v>1487</v>
      </c>
      <c r="BU554">
        <v>0</v>
      </c>
      <c r="BV554">
        <v>0</v>
      </c>
      <c r="BW554">
        <v>0</v>
      </c>
      <c r="BX554">
        <v>0</v>
      </c>
      <c r="BY554">
        <v>0</v>
      </c>
      <c r="BZ554">
        <v>0</v>
      </c>
      <c r="CA554">
        <v>0</v>
      </c>
      <c r="CB554">
        <v>0</v>
      </c>
      <c r="CC554">
        <v>0</v>
      </c>
      <c r="CD554">
        <v>0</v>
      </c>
      <c r="CE554">
        <v>0</v>
      </c>
      <c r="CF554">
        <v>0</v>
      </c>
      <c r="CG554">
        <v>0</v>
      </c>
      <c r="CH554">
        <v>0</v>
      </c>
      <c r="CI554">
        <v>0</v>
      </c>
      <c r="CJ554">
        <v>0</v>
      </c>
      <c r="CK554">
        <v>0</v>
      </c>
      <c r="CL554">
        <v>0</v>
      </c>
      <c r="CM554">
        <v>0</v>
      </c>
      <c r="CR554" t="s">
        <v>2337</v>
      </c>
      <c r="CS554" s="1369" t="str">
        <f>INDEX([8]Sheet1!$H:$H,MATCH(CR:CR,[8]Sheet1!$AU:$AU,0))</f>
        <v>Corporate Wide Strategic Planning (IDPs, LEDs)</v>
      </c>
    </row>
    <row r="555" spans="1:97" x14ac:dyDescent="0.2">
      <c r="A555" t="s">
        <v>3116</v>
      </c>
      <c r="B555">
        <v>608</v>
      </c>
      <c r="C555" t="s">
        <v>3116</v>
      </c>
      <c r="D555">
        <v>40662</v>
      </c>
      <c r="E555" t="s">
        <v>3029</v>
      </c>
      <c r="F555">
        <v>200</v>
      </c>
      <c r="G555" t="s">
        <v>559</v>
      </c>
      <c r="H555">
        <v>200</v>
      </c>
      <c r="I555" t="s">
        <v>2863</v>
      </c>
      <c r="J555" t="s">
        <v>2365</v>
      </c>
      <c r="K555" t="s">
        <v>2365</v>
      </c>
      <c r="L555">
        <v>1200</v>
      </c>
      <c r="M555" t="s">
        <v>1480</v>
      </c>
      <c r="N555">
        <v>1204</v>
      </c>
      <c r="O555" t="s">
        <v>1487</v>
      </c>
      <c r="P555" t="s">
        <v>2366</v>
      </c>
      <c r="Q555" t="s">
        <v>2364</v>
      </c>
      <c r="R555" t="s">
        <v>2364</v>
      </c>
      <c r="S555" t="s">
        <v>1881</v>
      </c>
      <c r="T555" t="s">
        <v>1811</v>
      </c>
      <c r="U555" t="s">
        <v>2365</v>
      </c>
      <c r="V555" t="s">
        <v>2365</v>
      </c>
      <c r="W555" t="s">
        <v>2365</v>
      </c>
      <c r="X555" t="s">
        <v>2365</v>
      </c>
      <c r="Y555" t="s">
        <v>2365</v>
      </c>
      <c r="Z555" t="s">
        <v>2365</v>
      </c>
      <c r="AA555" t="s">
        <v>2365</v>
      </c>
      <c r="AB555" t="s">
        <v>2365</v>
      </c>
      <c r="AC555" s="813" t="s">
        <v>2365</v>
      </c>
      <c r="AD555" s="813" t="s">
        <v>2365</v>
      </c>
      <c r="AE555" s="813" t="s">
        <v>2365</v>
      </c>
      <c r="AF555" t="s">
        <v>2365</v>
      </c>
      <c r="AG555" t="s">
        <v>2365</v>
      </c>
      <c r="AH555" t="s">
        <v>2365</v>
      </c>
      <c r="AI555" t="s">
        <v>2365</v>
      </c>
      <c r="AJ555" t="s">
        <v>2365</v>
      </c>
      <c r="AK555" t="s">
        <v>2365</v>
      </c>
      <c r="AL555" t="s">
        <v>2365</v>
      </c>
      <c r="AM555" t="s">
        <v>2365</v>
      </c>
      <c r="AN555" t="s">
        <v>2365</v>
      </c>
      <c r="AR555" t="s">
        <v>2365</v>
      </c>
      <c r="AS555" t="s">
        <v>2365</v>
      </c>
      <c r="AT555" t="s">
        <v>2365</v>
      </c>
      <c r="AU555" t="s">
        <v>2365</v>
      </c>
      <c r="AV555" t="s">
        <v>2365</v>
      </c>
      <c r="AW555" t="s">
        <v>2365</v>
      </c>
      <c r="AX555" t="s">
        <v>2365</v>
      </c>
      <c r="AY555" t="s">
        <v>2365</v>
      </c>
      <c r="AZ555" t="s">
        <v>2365</v>
      </c>
      <c r="BA555" t="s">
        <v>2365</v>
      </c>
      <c r="BB555" t="s">
        <v>2365</v>
      </c>
      <c r="BC555" t="s">
        <v>2365</v>
      </c>
      <c r="BD555" t="s">
        <v>2366</v>
      </c>
      <c r="BE555" t="s">
        <v>2365</v>
      </c>
      <c r="BF555" t="s">
        <v>2365</v>
      </c>
      <c r="BG555" t="s">
        <v>2365</v>
      </c>
      <c r="BH555" t="s">
        <v>2365</v>
      </c>
      <c r="BI555" t="s">
        <v>2366</v>
      </c>
      <c r="BJ555" t="s">
        <v>2365</v>
      </c>
      <c r="BK555" t="s">
        <v>2365</v>
      </c>
      <c r="BL555" t="s">
        <v>2365</v>
      </c>
      <c r="BM555" t="s">
        <v>2365</v>
      </c>
      <c r="BO555">
        <v>1</v>
      </c>
      <c r="BP555">
        <v>11</v>
      </c>
      <c r="BQ555" t="s">
        <v>2369</v>
      </c>
      <c r="BR555" t="s">
        <v>1487</v>
      </c>
      <c r="BU555">
        <v>0</v>
      </c>
      <c r="BV555">
        <v>0</v>
      </c>
      <c r="BW555">
        <v>0</v>
      </c>
      <c r="BX555">
        <v>0</v>
      </c>
      <c r="BY555">
        <v>0</v>
      </c>
      <c r="BZ555">
        <v>0</v>
      </c>
      <c r="CA555">
        <v>0</v>
      </c>
      <c r="CB555">
        <v>0</v>
      </c>
      <c r="CC555">
        <v>0</v>
      </c>
      <c r="CD555">
        <v>0</v>
      </c>
      <c r="CE555">
        <v>0</v>
      </c>
      <c r="CF555">
        <v>0</v>
      </c>
      <c r="CG555">
        <v>0</v>
      </c>
      <c r="CH555">
        <v>0</v>
      </c>
      <c r="CI555">
        <v>0</v>
      </c>
      <c r="CJ555">
        <v>0</v>
      </c>
      <c r="CK555">
        <v>0</v>
      </c>
      <c r="CL555">
        <v>0</v>
      </c>
      <c r="CM555">
        <v>0</v>
      </c>
      <c r="CR555" t="s">
        <v>2337</v>
      </c>
      <c r="CS555" s="1369" t="str">
        <f>INDEX([8]Sheet1!$H:$H,MATCH(CR:CR,[8]Sheet1!$AU:$AU,0))</f>
        <v>Corporate Wide Strategic Planning (IDPs, LEDs)</v>
      </c>
    </row>
    <row r="556" spans="1:97" x14ac:dyDescent="0.2">
      <c r="A556" t="s">
        <v>3117</v>
      </c>
      <c r="B556">
        <v>609</v>
      </c>
      <c r="C556" t="s">
        <v>3117</v>
      </c>
      <c r="D556">
        <v>40663</v>
      </c>
      <c r="E556" t="s">
        <v>3031</v>
      </c>
      <c r="F556">
        <v>200</v>
      </c>
      <c r="G556" t="s">
        <v>559</v>
      </c>
      <c r="H556">
        <v>200</v>
      </c>
      <c r="I556" t="s">
        <v>2863</v>
      </c>
      <c r="J556" t="s">
        <v>2365</v>
      </c>
      <c r="K556" t="s">
        <v>2365</v>
      </c>
      <c r="L556">
        <v>1200</v>
      </c>
      <c r="M556" t="s">
        <v>1480</v>
      </c>
      <c r="N556">
        <v>1204</v>
      </c>
      <c r="O556" t="s">
        <v>1487</v>
      </c>
      <c r="P556" t="s">
        <v>2366</v>
      </c>
      <c r="Q556" t="s">
        <v>2364</v>
      </c>
      <c r="R556" t="s">
        <v>2364</v>
      </c>
      <c r="S556" t="s">
        <v>1881</v>
      </c>
      <c r="T556" t="s">
        <v>1811</v>
      </c>
      <c r="U556" t="s">
        <v>2365</v>
      </c>
      <c r="V556" t="s">
        <v>2365</v>
      </c>
      <c r="W556" t="s">
        <v>2365</v>
      </c>
      <c r="X556" t="s">
        <v>2365</v>
      </c>
      <c r="Y556" t="s">
        <v>2365</v>
      </c>
      <c r="Z556" t="s">
        <v>2365</v>
      </c>
      <c r="AA556" t="s">
        <v>2365</v>
      </c>
      <c r="AB556" t="s">
        <v>2365</v>
      </c>
      <c r="AC556" s="813" t="s">
        <v>2365</v>
      </c>
      <c r="AD556" s="813" t="s">
        <v>2365</v>
      </c>
      <c r="AE556" s="813" t="s">
        <v>2365</v>
      </c>
      <c r="AF556" t="s">
        <v>2365</v>
      </c>
      <c r="AG556" t="s">
        <v>2365</v>
      </c>
      <c r="AH556" t="s">
        <v>2365</v>
      </c>
      <c r="AI556" t="s">
        <v>2365</v>
      </c>
      <c r="AJ556" t="s">
        <v>2365</v>
      </c>
      <c r="AK556" t="s">
        <v>2365</v>
      </c>
      <c r="AL556" t="s">
        <v>2365</v>
      </c>
      <c r="AM556" t="s">
        <v>2365</v>
      </c>
      <c r="AN556" t="s">
        <v>2365</v>
      </c>
      <c r="AR556" t="s">
        <v>2365</v>
      </c>
      <c r="AS556" t="s">
        <v>2365</v>
      </c>
      <c r="AT556" t="s">
        <v>2365</v>
      </c>
      <c r="AU556" t="s">
        <v>2365</v>
      </c>
      <c r="AV556" t="s">
        <v>2365</v>
      </c>
      <c r="AW556" t="s">
        <v>2365</v>
      </c>
      <c r="AX556" t="s">
        <v>2365</v>
      </c>
      <c r="AY556" t="s">
        <v>2365</v>
      </c>
      <c r="AZ556" t="s">
        <v>2365</v>
      </c>
      <c r="BA556" t="s">
        <v>2365</v>
      </c>
      <c r="BB556" t="s">
        <v>2365</v>
      </c>
      <c r="BC556" t="s">
        <v>2365</v>
      </c>
      <c r="BD556" t="s">
        <v>2366</v>
      </c>
      <c r="BE556" t="s">
        <v>2365</v>
      </c>
      <c r="BF556" t="s">
        <v>2365</v>
      </c>
      <c r="BG556" t="s">
        <v>2365</v>
      </c>
      <c r="BH556" t="s">
        <v>2365</v>
      </c>
      <c r="BI556" t="s">
        <v>2366</v>
      </c>
      <c r="BJ556" t="s">
        <v>2365</v>
      </c>
      <c r="BK556" t="s">
        <v>2365</v>
      </c>
      <c r="BL556" t="s">
        <v>2365</v>
      </c>
      <c r="BM556" t="s">
        <v>2365</v>
      </c>
      <c r="BO556">
        <v>1</v>
      </c>
      <c r="BP556">
        <v>11</v>
      </c>
      <c r="BQ556" t="s">
        <v>2369</v>
      </c>
      <c r="BR556" t="s">
        <v>1487</v>
      </c>
      <c r="BU556">
        <v>0</v>
      </c>
      <c r="BV556">
        <v>0</v>
      </c>
      <c r="BW556">
        <v>0</v>
      </c>
      <c r="BX556">
        <v>0</v>
      </c>
      <c r="BY556">
        <v>0</v>
      </c>
      <c r="BZ556">
        <v>0</v>
      </c>
      <c r="CA556">
        <v>0</v>
      </c>
      <c r="CB556">
        <v>0</v>
      </c>
      <c r="CC556">
        <v>0</v>
      </c>
      <c r="CD556">
        <v>0</v>
      </c>
      <c r="CE556">
        <v>0</v>
      </c>
      <c r="CF556">
        <v>0</v>
      </c>
      <c r="CG556">
        <v>0</v>
      </c>
      <c r="CH556">
        <v>0</v>
      </c>
      <c r="CI556">
        <v>0</v>
      </c>
      <c r="CJ556">
        <v>0</v>
      </c>
      <c r="CK556">
        <v>0</v>
      </c>
      <c r="CL556">
        <v>0</v>
      </c>
      <c r="CM556">
        <v>0</v>
      </c>
      <c r="CR556" t="s">
        <v>2337</v>
      </c>
      <c r="CS556" s="1369" t="str">
        <f>INDEX([8]Sheet1!$H:$H,MATCH(CR:CR,[8]Sheet1!$AU:$AU,0))</f>
        <v>Corporate Wide Strategic Planning (IDPs, LEDs)</v>
      </c>
    </row>
    <row r="557" spans="1:97" x14ac:dyDescent="0.2">
      <c r="A557" t="s">
        <v>3118</v>
      </c>
      <c r="B557">
        <v>610</v>
      </c>
      <c r="C557" t="s">
        <v>3118</v>
      </c>
      <c r="D557">
        <v>40664</v>
      </c>
      <c r="E557" t="s">
        <v>3033</v>
      </c>
      <c r="F557">
        <v>200</v>
      </c>
      <c r="G557" t="s">
        <v>559</v>
      </c>
      <c r="H557">
        <v>200</v>
      </c>
      <c r="I557" t="s">
        <v>2863</v>
      </c>
      <c r="J557" t="s">
        <v>2365</v>
      </c>
      <c r="K557" t="s">
        <v>2365</v>
      </c>
      <c r="L557">
        <v>1200</v>
      </c>
      <c r="M557" t="s">
        <v>1480</v>
      </c>
      <c r="N557">
        <v>1204</v>
      </c>
      <c r="O557" t="s">
        <v>1487</v>
      </c>
      <c r="P557" t="s">
        <v>2366</v>
      </c>
      <c r="Q557" t="s">
        <v>2364</v>
      </c>
      <c r="R557" t="s">
        <v>2364</v>
      </c>
      <c r="S557" t="s">
        <v>1881</v>
      </c>
      <c r="T557" t="s">
        <v>1811</v>
      </c>
      <c r="U557" t="s">
        <v>2365</v>
      </c>
      <c r="V557" t="s">
        <v>2365</v>
      </c>
      <c r="W557" t="s">
        <v>2365</v>
      </c>
      <c r="X557" t="s">
        <v>2365</v>
      </c>
      <c r="Y557" t="s">
        <v>2365</v>
      </c>
      <c r="Z557" t="s">
        <v>2365</v>
      </c>
      <c r="AA557" t="s">
        <v>2365</v>
      </c>
      <c r="AB557" t="s">
        <v>2365</v>
      </c>
      <c r="AC557" s="813" t="s">
        <v>2365</v>
      </c>
      <c r="AD557" s="813" t="s">
        <v>2365</v>
      </c>
      <c r="AE557" s="813" t="s">
        <v>2365</v>
      </c>
      <c r="AF557" t="s">
        <v>2365</v>
      </c>
      <c r="AG557" t="s">
        <v>2365</v>
      </c>
      <c r="AH557" t="s">
        <v>2365</v>
      </c>
      <c r="AI557" t="s">
        <v>2365</v>
      </c>
      <c r="AJ557" t="s">
        <v>2365</v>
      </c>
      <c r="AK557" t="s">
        <v>2365</v>
      </c>
      <c r="AL557" t="s">
        <v>2365</v>
      </c>
      <c r="AM557" t="s">
        <v>2365</v>
      </c>
      <c r="AN557" t="s">
        <v>2365</v>
      </c>
      <c r="AR557" t="s">
        <v>2365</v>
      </c>
      <c r="AS557" t="s">
        <v>2365</v>
      </c>
      <c r="AT557" t="s">
        <v>2365</v>
      </c>
      <c r="AU557" t="s">
        <v>2365</v>
      </c>
      <c r="AV557" t="s">
        <v>2365</v>
      </c>
      <c r="AW557" t="s">
        <v>2365</v>
      </c>
      <c r="AX557" t="s">
        <v>2365</v>
      </c>
      <c r="AY557" t="s">
        <v>2365</v>
      </c>
      <c r="AZ557" t="s">
        <v>2365</v>
      </c>
      <c r="BA557" t="s">
        <v>2365</v>
      </c>
      <c r="BB557" t="s">
        <v>2365</v>
      </c>
      <c r="BC557" t="s">
        <v>2365</v>
      </c>
      <c r="BD557" t="s">
        <v>2366</v>
      </c>
      <c r="BE557" t="s">
        <v>2365</v>
      </c>
      <c r="BF557" t="s">
        <v>2365</v>
      </c>
      <c r="BG557" t="s">
        <v>2365</v>
      </c>
      <c r="BH557" t="s">
        <v>2365</v>
      </c>
      <c r="BI557" t="s">
        <v>2366</v>
      </c>
      <c r="BJ557" t="s">
        <v>2365</v>
      </c>
      <c r="BK557" t="s">
        <v>2365</v>
      </c>
      <c r="BL557" t="s">
        <v>2365</v>
      </c>
      <c r="BM557" t="s">
        <v>2365</v>
      </c>
      <c r="BO557">
        <v>1</v>
      </c>
      <c r="BP557">
        <v>11</v>
      </c>
      <c r="BQ557" t="s">
        <v>2369</v>
      </c>
      <c r="BR557" t="s">
        <v>1487</v>
      </c>
      <c r="BU557">
        <v>0</v>
      </c>
      <c r="BV557">
        <v>0</v>
      </c>
      <c r="BW557">
        <v>0</v>
      </c>
      <c r="BX557">
        <v>0</v>
      </c>
      <c r="BY557">
        <v>0</v>
      </c>
      <c r="BZ557">
        <v>0</v>
      </c>
      <c r="CA557">
        <v>0</v>
      </c>
      <c r="CB557">
        <v>0</v>
      </c>
      <c r="CC557">
        <v>0</v>
      </c>
      <c r="CD557">
        <v>0</v>
      </c>
      <c r="CE557">
        <v>0</v>
      </c>
      <c r="CF557">
        <v>0</v>
      </c>
      <c r="CG557">
        <v>0</v>
      </c>
      <c r="CH557">
        <v>0</v>
      </c>
      <c r="CI557">
        <v>0</v>
      </c>
      <c r="CJ557">
        <v>0</v>
      </c>
      <c r="CK557">
        <v>0</v>
      </c>
      <c r="CL557">
        <v>0</v>
      </c>
      <c r="CM557">
        <v>0</v>
      </c>
      <c r="CR557" t="s">
        <v>2337</v>
      </c>
      <c r="CS557" s="1369" t="str">
        <f>INDEX([8]Sheet1!$H:$H,MATCH(CR:CR,[8]Sheet1!$AU:$AU,0))</f>
        <v>Corporate Wide Strategic Planning (IDPs, LEDs)</v>
      </c>
    </row>
    <row r="558" spans="1:97" x14ac:dyDescent="0.2">
      <c r="A558" t="s">
        <v>3119</v>
      </c>
      <c r="B558">
        <v>611</v>
      </c>
      <c r="C558" t="s">
        <v>3119</v>
      </c>
      <c r="D558">
        <v>40665</v>
      </c>
      <c r="E558" t="s">
        <v>3035</v>
      </c>
      <c r="F558">
        <v>200</v>
      </c>
      <c r="G558" t="s">
        <v>559</v>
      </c>
      <c r="H558">
        <v>200</v>
      </c>
      <c r="I558" t="s">
        <v>2863</v>
      </c>
      <c r="J558" t="s">
        <v>2365</v>
      </c>
      <c r="K558" t="s">
        <v>2365</v>
      </c>
      <c r="L558">
        <v>1200</v>
      </c>
      <c r="M558" t="s">
        <v>1480</v>
      </c>
      <c r="N558">
        <v>1204</v>
      </c>
      <c r="O558" t="s">
        <v>1487</v>
      </c>
      <c r="P558" t="s">
        <v>2366</v>
      </c>
      <c r="Q558" t="s">
        <v>2364</v>
      </c>
      <c r="R558" t="s">
        <v>2364</v>
      </c>
      <c r="S558" t="s">
        <v>1881</v>
      </c>
      <c r="T558" t="s">
        <v>1811</v>
      </c>
      <c r="U558" t="s">
        <v>2365</v>
      </c>
      <c r="V558" t="s">
        <v>2365</v>
      </c>
      <c r="W558" t="s">
        <v>2365</v>
      </c>
      <c r="X558" t="s">
        <v>2365</v>
      </c>
      <c r="Y558" t="s">
        <v>2365</v>
      </c>
      <c r="Z558" t="s">
        <v>2365</v>
      </c>
      <c r="AA558" t="s">
        <v>2365</v>
      </c>
      <c r="AB558" t="s">
        <v>2365</v>
      </c>
      <c r="AC558" s="813" t="s">
        <v>2365</v>
      </c>
      <c r="AD558" s="813" t="s">
        <v>2365</v>
      </c>
      <c r="AE558" s="813" t="s">
        <v>2365</v>
      </c>
      <c r="AF558" t="s">
        <v>2365</v>
      </c>
      <c r="AG558" t="s">
        <v>2365</v>
      </c>
      <c r="AH558" t="s">
        <v>2365</v>
      </c>
      <c r="AI558" t="s">
        <v>2365</v>
      </c>
      <c r="AJ558" t="s">
        <v>2365</v>
      </c>
      <c r="AK558" t="s">
        <v>2365</v>
      </c>
      <c r="AL558" t="s">
        <v>2365</v>
      </c>
      <c r="AM558" t="s">
        <v>2365</v>
      </c>
      <c r="AN558" t="s">
        <v>2365</v>
      </c>
      <c r="AR558" t="s">
        <v>2365</v>
      </c>
      <c r="AS558" t="s">
        <v>2365</v>
      </c>
      <c r="AT558" t="s">
        <v>2365</v>
      </c>
      <c r="AU558" t="s">
        <v>2365</v>
      </c>
      <c r="AV558" t="s">
        <v>2365</v>
      </c>
      <c r="AW558" t="s">
        <v>2365</v>
      </c>
      <c r="AX558" t="s">
        <v>2365</v>
      </c>
      <c r="AY558" t="s">
        <v>2365</v>
      </c>
      <c r="AZ558" t="s">
        <v>2365</v>
      </c>
      <c r="BA558" t="s">
        <v>2365</v>
      </c>
      <c r="BB558" t="s">
        <v>2365</v>
      </c>
      <c r="BC558" t="s">
        <v>2365</v>
      </c>
      <c r="BD558" t="s">
        <v>2366</v>
      </c>
      <c r="BE558" t="s">
        <v>2365</v>
      </c>
      <c r="BF558" t="s">
        <v>2365</v>
      </c>
      <c r="BG558" t="s">
        <v>2365</v>
      </c>
      <c r="BH558" t="s">
        <v>2365</v>
      </c>
      <c r="BI558" t="s">
        <v>2366</v>
      </c>
      <c r="BJ558" t="s">
        <v>2365</v>
      </c>
      <c r="BK558" t="s">
        <v>2365</v>
      </c>
      <c r="BL558" t="s">
        <v>2365</v>
      </c>
      <c r="BM558" t="s">
        <v>2365</v>
      </c>
      <c r="BO558">
        <v>1</v>
      </c>
      <c r="BP558">
        <v>11</v>
      </c>
      <c r="BQ558" t="s">
        <v>2369</v>
      </c>
      <c r="BR558" t="s">
        <v>1487</v>
      </c>
      <c r="BU558">
        <v>0</v>
      </c>
      <c r="BV558">
        <v>0</v>
      </c>
      <c r="BW558">
        <v>0</v>
      </c>
      <c r="BX558">
        <v>0</v>
      </c>
      <c r="BY558">
        <v>0</v>
      </c>
      <c r="BZ558">
        <v>0</v>
      </c>
      <c r="CA558">
        <v>0</v>
      </c>
      <c r="CB558">
        <v>0</v>
      </c>
      <c r="CC558">
        <v>0</v>
      </c>
      <c r="CD558">
        <v>0</v>
      </c>
      <c r="CE558">
        <v>0</v>
      </c>
      <c r="CF558">
        <v>0</v>
      </c>
      <c r="CG558">
        <v>0</v>
      </c>
      <c r="CH558">
        <v>0</v>
      </c>
      <c r="CI558">
        <v>0</v>
      </c>
      <c r="CJ558">
        <v>0</v>
      </c>
      <c r="CK558">
        <v>0</v>
      </c>
      <c r="CL558">
        <v>0</v>
      </c>
      <c r="CM558">
        <v>0</v>
      </c>
      <c r="CR558" t="s">
        <v>2320</v>
      </c>
      <c r="CS558" s="1369" t="str">
        <f>INDEX([8]Sheet1!$H:$H,MATCH(CR:CR,[8]Sheet1!$AU:$AU,0))</f>
        <v>Administrative and Corporate Support</v>
      </c>
    </row>
    <row r="559" spans="1:97" x14ac:dyDescent="0.2">
      <c r="A559" t="s">
        <v>3120</v>
      </c>
      <c r="B559">
        <v>612</v>
      </c>
      <c r="C559" t="s">
        <v>3120</v>
      </c>
      <c r="D559">
        <v>40666</v>
      </c>
      <c r="E559" t="s">
        <v>3037</v>
      </c>
      <c r="F559">
        <v>200</v>
      </c>
      <c r="G559" t="s">
        <v>559</v>
      </c>
      <c r="H559">
        <v>200</v>
      </c>
      <c r="I559" t="s">
        <v>2863</v>
      </c>
      <c r="J559" t="s">
        <v>2365</v>
      </c>
      <c r="K559" t="s">
        <v>2365</v>
      </c>
      <c r="L559">
        <v>1200</v>
      </c>
      <c r="M559" t="s">
        <v>1480</v>
      </c>
      <c r="N559">
        <v>1204</v>
      </c>
      <c r="O559" t="s">
        <v>1487</v>
      </c>
      <c r="P559" t="s">
        <v>2366</v>
      </c>
      <c r="Q559" t="s">
        <v>2364</v>
      </c>
      <c r="R559" t="s">
        <v>2364</v>
      </c>
      <c r="S559" t="s">
        <v>1881</v>
      </c>
      <c r="T559" t="s">
        <v>1811</v>
      </c>
      <c r="U559" t="s">
        <v>2365</v>
      </c>
      <c r="V559" t="s">
        <v>2365</v>
      </c>
      <c r="W559" t="s">
        <v>2365</v>
      </c>
      <c r="X559" t="s">
        <v>2365</v>
      </c>
      <c r="Y559" t="s">
        <v>2365</v>
      </c>
      <c r="Z559" t="s">
        <v>2365</v>
      </c>
      <c r="AA559" t="s">
        <v>2365</v>
      </c>
      <c r="AB559" t="s">
        <v>2365</v>
      </c>
      <c r="AC559" s="813" t="s">
        <v>2365</v>
      </c>
      <c r="AD559" s="813" t="s">
        <v>2365</v>
      </c>
      <c r="AE559" s="813" t="s">
        <v>2365</v>
      </c>
      <c r="AF559" t="s">
        <v>2365</v>
      </c>
      <c r="AG559" t="s">
        <v>2365</v>
      </c>
      <c r="AH559" t="s">
        <v>2365</v>
      </c>
      <c r="AI559" t="s">
        <v>2365</v>
      </c>
      <c r="AJ559" t="s">
        <v>2365</v>
      </c>
      <c r="AK559" t="s">
        <v>2365</v>
      </c>
      <c r="AL559" t="s">
        <v>2365</v>
      </c>
      <c r="AM559" t="s">
        <v>2365</v>
      </c>
      <c r="AN559" t="s">
        <v>2365</v>
      </c>
      <c r="AR559" t="s">
        <v>2365</v>
      </c>
      <c r="AS559" t="s">
        <v>2365</v>
      </c>
      <c r="AT559" t="s">
        <v>2365</v>
      </c>
      <c r="AU559" t="s">
        <v>2365</v>
      </c>
      <c r="AV559" t="s">
        <v>2365</v>
      </c>
      <c r="AW559" t="s">
        <v>2365</v>
      </c>
      <c r="AX559" t="s">
        <v>2365</v>
      </c>
      <c r="AY559" t="s">
        <v>2365</v>
      </c>
      <c r="AZ559" t="s">
        <v>2365</v>
      </c>
      <c r="BA559" t="s">
        <v>2365</v>
      </c>
      <c r="BB559" t="s">
        <v>2365</v>
      </c>
      <c r="BC559" t="s">
        <v>2365</v>
      </c>
      <c r="BD559" t="s">
        <v>2366</v>
      </c>
      <c r="BE559" t="s">
        <v>2365</v>
      </c>
      <c r="BF559" t="s">
        <v>2365</v>
      </c>
      <c r="BG559" t="s">
        <v>2365</v>
      </c>
      <c r="BH559" t="s">
        <v>2365</v>
      </c>
      <c r="BI559" t="s">
        <v>2366</v>
      </c>
      <c r="BJ559" t="s">
        <v>2365</v>
      </c>
      <c r="BK559" t="s">
        <v>2365</v>
      </c>
      <c r="BL559" t="s">
        <v>2365</v>
      </c>
      <c r="BM559" t="s">
        <v>2365</v>
      </c>
      <c r="BO559">
        <v>1</v>
      </c>
      <c r="BP559">
        <v>11</v>
      </c>
      <c r="BQ559" t="s">
        <v>2369</v>
      </c>
      <c r="BR559" t="s">
        <v>1487</v>
      </c>
      <c r="BU559">
        <v>0</v>
      </c>
      <c r="BV559">
        <v>0</v>
      </c>
      <c r="BW559">
        <v>0</v>
      </c>
      <c r="BX559">
        <v>0</v>
      </c>
      <c r="BY559">
        <v>0</v>
      </c>
      <c r="BZ559">
        <v>0</v>
      </c>
      <c r="CA559">
        <v>0</v>
      </c>
      <c r="CB559">
        <v>0</v>
      </c>
      <c r="CC559">
        <v>0</v>
      </c>
      <c r="CD559">
        <v>0</v>
      </c>
      <c r="CE559">
        <v>0</v>
      </c>
      <c r="CF559">
        <v>0</v>
      </c>
      <c r="CG559">
        <v>0</v>
      </c>
      <c r="CH559">
        <v>0</v>
      </c>
      <c r="CI559">
        <v>0</v>
      </c>
      <c r="CJ559">
        <v>0</v>
      </c>
      <c r="CK559">
        <v>0</v>
      </c>
      <c r="CL559">
        <v>0</v>
      </c>
      <c r="CM559">
        <v>0</v>
      </c>
      <c r="CR559" t="s">
        <v>2328</v>
      </c>
      <c r="CS559" s="1369" t="str">
        <f>INDEX([8]Sheet1!$H:$H,MATCH(CR:CR,[8]Sheet1!$AU:$AU,0))</f>
        <v>Water Distribution</v>
      </c>
    </row>
    <row r="560" spans="1:97" x14ac:dyDescent="0.2">
      <c r="A560" t="s">
        <v>3121</v>
      </c>
      <c r="B560">
        <v>613</v>
      </c>
      <c r="C560" t="s">
        <v>3121</v>
      </c>
      <c r="D560">
        <v>40667</v>
      </c>
      <c r="E560" t="s">
        <v>2862</v>
      </c>
      <c r="F560">
        <v>200</v>
      </c>
      <c r="G560" t="s">
        <v>559</v>
      </c>
      <c r="H560">
        <v>200</v>
      </c>
      <c r="I560" t="s">
        <v>2863</v>
      </c>
      <c r="J560" t="s">
        <v>2365</v>
      </c>
      <c r="K560" t="s">
        <v>2365</v>
      </c>
      <c r="L560">
        <v>1200</v>
      </c>
      <c r="M560" t="s">
        <v>1480</v>
      </c>
      <c r="N560">
        <v>1204</v>
      </c>
      <c r="O560" t="s">
        <v>1487</v>
      </c>
      <c r="P560" t="s">
        <v>2366</v>
      </c>
      <c r="Q560" t="s">
        <v>2364</v>
      </c>
      <c r="R560" t="s">
        <v>2364</v>
      </c>
      <c r="S560" t="s">
        <v>1881</v>
      </c>
      <c r="T560" t="s">
        <v>1811</v>
      </c>
      <c r="U560" t="s">
        <v>2365</v>
      </c>
      <c r="V560" t="s">
        <v>2365</v>
      </c>
      <c r="W560" t="s">
        <v>2365</v>
      </c>
      <c r="X560" t="s">
        <v>2365</v>
      </c>
      <c r="Y560" t="s">
        <v>2365</v>
      </c>
      <c r="Z560" t="s">
        <v>2365</v>
      </c>
      <c r="AA560" t="s">
        <v>2365</v>
      </c>
      <c r="AB560" t="s">
        <v>2365</v>
      </c>
      <c r="AC560" s="813" t="s">
        <v>2365</v>
      </c>
      <c r="AD560" s="813" t="s">
        <v>2365</v>
      </c>
      <c r="AE560" s="813" t="s">
        <v>2365</v>
      </c>
      <c r="AF560" t="s">
        <v>2365</v>
      </c>
      <c r="AG560" t="s">
        <v>2365</v>
      </c>
      <c r="AH560" t="s">
        <v>2365</v>
      </c>
      <c r="AI560" t="s">
        <v>2365</v>
      </c>
      <c r="AJ560" t="s">
        <v>2365</v>
      </c>
      <c r="AK560" t="s">
        <v>2365</v>
      </c>
      <c r="AL560" t="s">
        <v>2365</v>
      </c>
      <c r="AM560" t="s">
        <v>2365</v>
      </c>
      <c r="AN560" t="s">
        <v>2365</v>
      </c>
      <c r="AR560" t="s">
        <v>2365</v>
      </c>
      <c r="AS560" t="s">
        <v>2365</v>
      </c>
      <c r="AT560" t="s">
        <v>2365</v>
      </c>
      <c r="AU560" t="s">
        <v>2365</v>
      </c>
      <c r="AV560" t="s">
        <v>2365</v>
      </c>
      <c r="AW560" t="s">
        <v>2365</v>
      </c>
      <c r="AX560" t="s">
        <v>2365</v>
      </c>
      <c r="AY560" t="s">
        <v>2365</v>
      </c>
      <c r="AZ560" t="s">
        <v>2365</v>
      </c>
      <c r="BA560" t="s">
        <v>2365</v>
      </c>
      <c r="BB560" t="s">
        <v>2365</v>
      </c>
      <c r="BC560" t="s">
        <v>2365</v>
      </c>
      <c r="BD560" t="s">
        <v>2366</v>
      </c>
      <c r="BE560" t="s">
        <v>2365</v>
      </c>
      <c r="BF560" t="s">
        <v>2365</v>
      </c>
      <c r="BG560" t="s">
        <v>2365</v>
      </c>
      <c r="BH560" t="s">
        <v>2365</v>
      </c>
      <c r="BI560" t="s">
        <v>2366</v>
      </c>
      <c r="BJ560" t="s">
        <v>2365</v>
      </c>
      <c r="BK560" t="s">
        <v>2365</v>
      </c>
      <c r="BL560" t="s">
        <v>2365</v>
      </c>
      <c r="BM560" t="s">
        <v>2365</v>
      </c>
      <c r="BO560">
        <v>1</v>
      </c>
      <c r="BP560">
        <v>11</v>
      </c>
      <c r="BQ560" t="s">
        <v>2369</v>
      </c>
      <c r="BR560" t="s">
        <v>1487</v>
      </c>
      <c r="BU560">
        <v>0</v>
      </c>
      <c r="BV560">
        <v>0</v>
      </c>
      <c r="BW560">
        <v>0</v>
      </c>
      <c r="BX560">
        <v>0</v>
      </c>
      <c r="BY560">
        <v>0</v>
      </c>
      <c r="BZ560">
        <v>0</v>
      </c>
      <c r="CA560">
        <v>0</v>
      </c>
      <c r="CB560">
        <v>0</v>
      </c>
      <c r="CC560">
        <v>0</v>
      </c>
      <c r="CD560">
        <v>0</v>
      </c>
      <c r="CE560">
        <v>0</v>
      </c>
      <c r="CF560">
        <v>0</v>
      </c>
      <c r="CG560">
        <v>0</v>
      </c>
      <c r="CH560">
        <v>0</v>
      </c>
      <c r="CI560">
        <v>0</v>
      </c>
      <c r="CJ560">
        <v>0</v>
      </c>
      <c r="CK560">
        <v>0</v>
      </c>
      <c r="CL560">
        <v>0</v>
      </c>
      <c r="CM560">
        <v>0</v>
      </c>
      <c r="CR560" t="s">
        <v>2328</v>
      </c>
      <c r="CS560" s="1369" t="str">
        <f>INDEX([8]Sheet1!$H:$H,MATCH(CR:CR,[8]Sheet1!$AU:$AU,0))</f>
        <v>Water Distribution</v>
      </c>
    </row>
    <row r="561" spans="1:97" x14ac:dyDescent="0.2">
      <c r="A561" t="s">
        <v>3122</v>
      </c>
      <c r="B561">
        <v>614</v>
      </c>
      <c r="C561" t="s">
        <v>3122</v>
      </c>
      <c r="D561">
        <v>40668</v>
      </c>
      <c r="E561" t="s">
        <v>3040</v>
      </c>
      <c r="F561">
        <v>200</v>
      </c>
      <c r="G561" t="s">
        <v>559</v>
      </c>
      <c r="H561">
        <v>200</v>
      </c>
      <c r="I561" t="s">
        <v>2863</v>
      </c>
      <c r="J561" t="s">
        <v>2365</v>
      </c>
      <c r="K561" t="s">
        <v>2365</v>
      </c>
      <c r="L561">
        <v>1200</v>
      </c>
      <c r="M561" t="s">
        <v>1480</v>
      </c>
      <c r="N561">
        <v>1204</v>
      </c>
      <c r="O561" t="s">
        <v>1487</v>
      </c>
      <c r="P561" t="s">
        <v>2366</v>
      </c>
      <c r="Q561" t="s">
        <v>2364</v>
      </c>
      <c r="R561" t="s">
        <v>2364</v>
      </c>
      <c r="S561" t="s">
        <v>1881</v>
      </c>
      <c r="T561" t="s">
        <v>1811</v>
      </c>
      <c r="U561" t="s">
        <v>2365</v>
      </c>
      <c r="V561" t="s">
        <v>2365</v>
      </c>
      <c r="W561" t="s">
        <v>2365</v>
      </c>
      <c r="X561" t="s">
        <v>2365</v>
      </c>
      <c r="Y561" t="s">
        <v>2365</v>
      </c>
      <c r="Z561" t="s">
        <v>2365</v>
      </c>
      <c r="AA561" t="s">
        <v>2365</v>
      </c>
      <c r="AB561" t="s">
        <v>2365</v>
      </c>
      <c r="AC561" s="813" t="s">
        <v>2365</v>
      </c>
      <c r="AD561" s="813" t="s">
        <v>2365</v>
      </c>
      <c r="AE561" s="813" t="s">
        <v>2365</v>
      </c>
      <c r="AF561" t="s">
        <v>2365</v>
      </c>
      <c r="AG561" t="s">
        <v>2365</v>
      </c>
      <c r="AH561" t="s">
        <v>2365</v>
      </c>
      <c r="AI561" t="s">
        <v>2365</v>
      </c>
      <c r="AJ561" t="s">
        <v>2365</v>
      </c>
      <c r="AK561" t="s">
        <v>2365</v>
      </c>
      <c r="AL561" t="s">
        <v>2365</v>
      </c>
      <c r="AM561" t="s">
        <v>2365</v>
      </c>
      <c r="AN561" t="s">
        <v>2365</v>
      </c>
      <c r="AR561" t="s">
        <v>2365</v>
      </c>
      <c r="AS561" t="s">
        <v>2365</v>
      </c>
      <c r="AT561" t="s">
        <v>2365</v>
      </c>
      <c r="AU561" t="s">
        <v>2365</v>
      </c>
      <c r="AV561" t="s">
        <v>2365</v>
      </c>
      <c r="AW561" t="s">
        <v>2365</v>
      </c>
      <c r="AX561" t="s">
        <v>2365</v>
      </c>
      <c r="AY561" t="s">
        <v>2365</v>
      </c>
      <c r="AZ561" t="s">
        <v>2365</v>
      </c>
      <c r="BA561" t="s">
        <v>2365</v>
      </c>
      <c r="BB561" t="s">
        <v>2365</v>
      </c>
      <c r="BC561" t="s">
        <v>2365</v>
      </c>
      <c r="BD561" t="s">
        <v>2366</v>
      </c>
      <c r="BE561" t="s">
        <v>2365</v>
      </c>
      <c r="BF561" t="s">
        <v>2365</v>
      </c>
      <c r="BG561" t="s">
        <v>2365</v>
      </c>
      <c r="BH561" t="s">
        <v>2365</v>
      </c>
      <c r="BI561" t="s">
        <v>2366</v>
      </c>
      <c r="BJ561" t="s">
        <v>2365</v>
      </c>
      <c r="BK561" t="s">
        <v>2365</v>
      </c>
      <c r="BL561" t="s">
        <v>2365</v>
      </c>
      <c r="BM561" t="s">
        <v>2365</v>
      </c>
      <c r="BO561">
        <v>1</v>
      </c>
      <c r="BP561">
        <v>11</v>
      </c>
      <c r="BQ561" t="s">
        <v>2369</v>
      </c>
      <c r="BR561" t="s">
        <v>1487</v>
      </c>
      <c r="BU561">
        <v>0</v>
      </c>
      <c r="BV561">
        <v>0</v>
      </c>
      <c r="BW561">
        <v>0</v>
      </c>
      <c r="BX561">
        <v>0</v>
      </c>
      <c r="BY561">
        <v>0</v>
      </c>
      <c r="BZ561">
        <v>0</v>
      </c>
      <c r="CA561">
        <v>0</v>
      </c>
      <c r="CB561">
        <v>0</v>
      </c>
      <c r="CC561">
        <v>0</v>
      </c>
      <c r="CD561">
        <v>0</v>
      </c>
      <c r="CE561">
        <v>0</v>
      </c>
      <c r="CF561">
        <v>0</v>
      </c>
      <c r="CG561">
        <v>0</v>
      </c>
      <c r="CH561">
        <v>0</v>
      </c>
      <c r="CI561">
        <v>0</v>
      </c>
      <c r="CJ561">
        <v>0</v>
      </c>
      <c r="CK561">
        <v>0</v>
      </c>
      <c r="CL561">
        <v>0</v>
      </c>
      <c r="CM561">
        <v>0</v>
      </c>
      <c r="CR561" t="s">
        <v>2328</v>
      </c>
      <c r="CS561" s="1369" t="str">
        <f>INDEX([8]Sheet1!$H:$H,MATCH(CR:CR,[8]Sheet1!$AU:$AU,0))</f>
        <v>Water Distribution</v>
      </c>
    </row>
    <row r="562" spans="1:97" x14ac:dyDescent="0.2">
      <c r="A562" t="s">
        <v>3123</v>
      </c>
      <c r="B562">
        <v>615</v>
      </c>
      <c r="C562" t="s">
        <v>3123</v>
      </c>
      <c r="D562">
        <v>40669</v>
      </c>
      <c r="E562" t="s">
        <v>3042</v>
      </c>
      <c r="F562">
        <v>200</v>
      </c>
      <c r="G562" t="s">
        <v>559</v>
      </c>
      <c r="H562">
        <v>200</v>
      </c>
      <c r="I562" t="s">
        <v>2863</v>
      </c>
      <c r="J562" t="s">
        <v>2365</v>
      </c>
      <c r="K562" t="s">
        <v>2365</v>
      </c>
      <c r="L562">
        <v>1200</v>
      </c>
      <c r="M562" t="s">
        <v>1480</v>
      </c>
      <c r="N562">
        <v>1204</v>
      </c>
      <c r="O562" t="s">
        <v>1487</v>
      </c>
      <c r="P562" t="s">
        <v>2366</v>
      </c>
      <c r="Q562" t="s">
        <v>2364</v>
      </c>
      <c r="R562" t="s">
        <v>2364</v>
      </c>
      <c r="S562" t="s">
        <v>1881</v>
      </c>
      <c r="T562" t="s">
        <v>1811</v>
      </c>
      <c r="U562" t="s">
        <v>2365</v>
      </c>
      <c r="V562" t="s">
        <v>2365</v>
      </c>
      <c r="W562" t="s">
        <v>2365</v>
      </c>
      <c r="X562" t="s">
        <v>2365</v>
      </c>
      <c r="Y562" t="s">
        <v>2365</v>
      </c>
      <c r="Z562" t="s">
        <v>2365</v>
      </c>
      <c r="AA562" t="s">
        <v>2365</v>
      </c>
      <c r="AB562" t="s">
        <v>2365</v>
      </c>
      <c r="AC562" s="813" t="s">
        <v>2365</v>
      </c>
      <c r="AD562" s="813" t="s">
        <v>2365</v>
      </c>
      <c r="AE562" s="813" t="s">
        <v>2365</v>
      </c>
      <c r="AF562" t="s">
        <v>2365</v>
      </c>
      <c r="AG562" t="s">
        <v>2365</v>
      </c>
      <c r="AH562" t="s">
        <v>2365</v>
      </c>
      <c r="AI562" t="s">
        <v>2365</v>
      </c>
      <c r="AJ562" t="s">
        <v>2365</v>
      </c>
      <c r="AK562" t="s">
        <v>2365</v>
      </c>
      <c r="AL562" t="s">
        <v>2365</v>
      </c>
      <c r="AM562" t="s">
        <v>2365</v>
      </c>
      <c r="AN562" t="s">
        <v>2365</v>
      </c>
      <c r="AR562" t="s">
        <v>2365</v>
      </c>
      <c r="AS562" t="s">
        <v>2365</v>
      </c>
      <c r="AT562" t="s">
        <v>2365</v>
      </c>
      <c r="AU562" t="s">
        <v>2365</v>
      </c>
      <c r="AV562" t="s">
        <v>2365</v>
      </c>
      <c r="AW562" t="s">
        <v>2365</v>
      </c>
      <c r="AX562" t="s">
        <v>2365</v>
      </c>
      <c r="AY562" t="s">
        <v>2365</v>
      </c>
      <c r="AZ562" t="s">
        <v>2365</v>
      </c>
      <c r="BA562" t="s">
        <v>2365</v>
      </c>
      <c r="BB562" t="s">
        <v>2365</v>
      </c>
      <c r="BC562" t="s">
        <v>2365</v>
      </c>
      <c r="BD562" t="s">
        <v>2366</v>
      </c>
      <c r="BE562" t="s">
        <v>2365</v>
      </c>
      <c r="BF562" t="s">
        <v>2365</v>
      </c>
      <c r="BG562" t="s">
        <v>2365</v>
      </c>
      <c r="BH562" t="s">
        <v>2365</v>
      </c>
      <c r="BI562" t="s">
        <v>2366</v>
      </c>
      <c r="BJ562" t="s">
        <v>2365</v>
      </c>
      <c r="BK562" t="s">
        <v>2365</v>
      </c>
      <c r="BL562" t="s">
        <v>2365</v>
      </c>
      <c r="BM562" t="s">
        <v>2365</v>
      </c>
      <c r="BO562">
        <v>1</v>
      </c>
      <c r="BP562">
        <v>11</v>
      </c>
      <c r="BQ562" t="s">
        <v>2369</v>
      </c>
      <c r="BR562" t="s">
        <v>1487</v>
      </c>
      <c r="BU562">
        <v>0</v>
      </c>
      <c r="BV562">
        <v>0</v>
      </c>
      <c r="BW562">
        <v>0</v>
      </c>
      <c r="BX562">
        <v>0</v>
      </c>
      <c r="BY562">
        <v>0</v>
      </c>
      <c r="BZ562">
        <v>0</v>
      </c>
      <c r="CA562">
        <v>0</v>
      </c>
      <c r="CB562">
        <v>0</v>
      </c>
      <c r="CC562">
        <v>0</v>
      </c>
      <c r="CD562">
        <v>0</v>
      </c>
      <c r="CE562">
        <v>0</v>
      </c>
      <c r="CF562">
        <v>0</v>
      </c>
      <c r="CG562">
        <v>0</v>
      </c>
      <c r="CH562">
        <v>0</v>
      </c>
      <c r="CI562">
        <v>0</v>
      </c>
      <c r="CJ562">
        <v>0</v>
      </c>
      <c r="CK562">
        <v>0</v>
      </c>
      <c r="CL562">
        <v>0</v>
      </c>
      <c r="CM562">
        <v>0</v>
      </c>
      <c r="CR562" t="s">
        <v>2328</v>
      </c>
      <c r="CS562" s="1369" t="str">
        <f>INDEX([8]Sheet1!$H:$H,MATCH(CR:CR,[8]Sheet1!$AU:$AU,0))</f>
        <v>Water Distribution</v>
      </c>
    </row>
    <row r="563" spans="1:97" x14ac:dyDescent="0.2">
      <c r="A563" t="s">
        <v>3124</v>
      </c>
      <c r="B563">
        <v>616</v>
      </c>
      <c r="C563" t="s">
        <v>3124</v>
      </c>
      <c r="D563">
        <v>40670</v>
      </c>
      <c r="E563" t="s">
        <v>3044</v>
      </c>
      <c r="F563">
        <v>200</v>
      </c>
      <c r="G563" t="s">
        <v>559</v>
      </c>
      <c r="H563">
        <v>200</v>
      </c>
      <c r="I563" t="s">
        <v>2863</v>
      </c>
      <c r="J563" t="s">
        <v>2365</v>
      </c>
      <c r="K563" t="s">
        <v>2365</v>
      </c>
      <c r="L563">
        <v>1200</v>
      </c>
      <c r="M563" t="s">
        <v>1480</v>
      </c>
      <c r="N563">
        <v>1204</v>
      </c>
      <c r="O563" t="s">
        <v>1487</v>
      </c>
      <c r="P563" t="s">
        <v>2366</v>
      </c>
      <c r="Q563" t="s">
        <v>2364</v>
      </c>
      <c r="R563" t="s">
        <v>2364</v>
      </c>
      <c r="S563" t="s">
        <v>1881</v>
      </c>
      <c r="T563" t="s">
        <v>1811</v>
      </c>
      <c r="U563" t="s">
        <v>2365</v>
      </c>
      <c r="V563" t="s">
        <v>2365</v>
      </c>
      <c r="W563" t="s">
        <v>2365</v>
      </c>
      <c r="X563" t="s">
        <v>2365</v>
      </c>
      <c r="Y563" t="s">
        <v>2365</v>
      </c>
      <c r="Z563" t="s">
        <v>2365</v>
      </c>
      <c r="AA563" t="s">
        <v>2365</v>
      </c>
      <c r="AB563" t="s">
        <v>2365</v>
      </c>
      <c r="AC563" s="813" t="s">
        <v>2365</v>
      </c>
      <c r="AD563" s="813" t="s">
        <v>2365</v>
      </c>
      <c r="AE563" s="813" t="s">
        <v>2365</v>
      </c>
      <c r="AF563" t="s">
        <v>2365</v>
      </c>
      <c r="AG563" t="s">
        <v>2365</v>
      </c>
      <c r="AH563" t="s">
        <v>2365</v>
      </c>
      <c r="AI563" t="s">
        <v>2365</v>
      </c>
      <c r="AJ563" t="s">
        <v>2365</v>
      </c>
      <c r="AK563" t="s">
        <v>2365</v>
      </c>
      <c r="AL563" t="s">
        <v>2365</v>
      </c>
      <c r="AM563" t="s">
        <v>2365</v>
      </c>
      <c r="AN563" t="s">
        <v>2365</v>
      </c>
      <c r="AR563" t="s">
        <v>2365</v>
      </c>
      <c r="AS563" t="s">
        <v>2365</v>
      </c>
      <c r="AT563" t="s">
        <v>2365</v>
      </c>
      <c r="AU563" t="s">
        <v>2365</v>
      </c>
      <c r="AV563" t="s">
        <v>2365</v>
      </c>
      <c r="AW563" t="s">
        <v>2365</v>
      </c>
      <c r="AX563" t="s">
        <v>2365</v>
      </c>
      <c r="AY563" t="s">
        <v>2365</v>
      </c>
      <c r="AZ563" t="s">
        <v>2365</v>
      </c>
      <c r="BA563" t="s">
        <v>2365</v>
      </c>
      <c r="BB563" t="s">
        <v>2365</v>
      </c>
      <c r="BC563" t="s">
        <v>2365</v>
      </c>
      <c r="BD563" t="s">
        <v>2366</v>
      </c>
      <c r="BE563" t="s">
        <v>2365</v>
      </c>
      <c r="BF563" t="s">
        <v>2365</v>
      </c>
      <c r="BG563" t="s">
        <v>2365</v>
      </c>
      <c r="BH563" t="s">
        <v>2365</v>
      </c>
      <c r="BI563" t="s">
        <v>2366</v>
      </c>
      <c r="BJ563" t="s">
        <v>2365</v>
      </c>
      <c r="BK563" t="s">
        <v>2365</v>
      </c>
      <c r="BL563" t="s">
        <v>2365</v>
      </c>
      <c r="BM563" t="s">
        <v>2365</v>
      </c>
      <c r="BO563">
        <v>1</v>
      </c>
      <c r="BP563">
        <v>11</v>
      </c>
      <c r="BQ563" t="s">
        <v>2369</v>
      </c>
      <c r="BR563" t="s">
        <v>1487</v>
      </c>
      <c r="BU563">
        <v>0</v>
      </c>
      <c r="BV563">
        <v>0</v>
      </c>
      <c r="BW563">
        <v>0</v>
      </c>
      <c r="BX563">
        <v>0</v>
      </c>
      <c r="BY563">
        <v>0</v>
      </c>
      <c r="BZ563">
        <v>0</v>
      </c>
      <c r="CA563">
        <v>0</v>
      </c>
      <c r="CB563">
        <v>0</v>
      </c>
      <c r="CC563">
        <v>0</v>
      </c>
      <c r="CD563">
        <v>0</v>
      </c>
      <c r="CE563">
        <v>0</v>
      </c>
      <c r="CF563">
        <v>0</v>
      </c>
      <c r="CG563">
        <v>0</v>
      </c>
      <c r="CH563">
        <v>0</v>
      </c>
      <c r="CI563">
        <v>0</v>
      </c>
      <c r="CJ563">
        <v>0</v>
      </c>
      <c r="CK563">
        <v>0</v>
      </c>
      <c r="CL563">
        <v>0</v>
      </c>
      <c r="CM563">
        <v>0</v>
      </c>
      <c r="CR563" t="s">
        <v>2335</v>
      </c>
      <c r="CS563" s="1369" t="str">
        <f>INDEX([8]Sheet1!$H:$H,MATCH(CR:CR,[8]Sheet1!$AU:$AU,0))</f>
        <v>Economic Development/Planning</v>
      </c>
    </row>
    <row r="564" spans="1:97" x14ac:dyDescent="0.2">
      <c r="A564" t="s">
        <v>3125</v>
      </c>
      <c r="B564">
        <v>617</v>
      </c>
      <c r="C564" t="s">
        <v>3125</v>
      </c>
      <c r="D564">
        <v>40671</v>
      </c>
      <c r="E564" t="s">
        <v>3046</v>
      </c>
      <c r="F564">
        <v>200</v>
      </c>
      <c r="G564" t="s">
        <v>559</v>
      </c>
      <c r="H564">
        <v>200</v>
      </c>
      <c r="I564" t="s">
        <v>2863</v>
      </c>
      <c r="J564" t="s">
        <v>2365</v>
      </c>
      <c r="K564" t="s">
        <v>2365</v>
      </c>
      <c r="L564">
        <v>1200</v>
      </c>
      <c r="M564" t="s">
        <v>1480</v>
      </c>
      <c r="N564">
        <v>1204</v>
      </c>
      <c r="O564" t="s">
        <v>1487</v>
      </c>
      <c r="P564" t="s">
        <v>2366</v>
      </c>
      <c r="Q564" t="s">
        <v>2364</v>
      </c>
      <c r="R564" t="s">
        <v>2364</v>
      </c>
      <c r="S564" t="s">
        <v>1881</v>
      </c>
      <c r="T564" t="s">
        <v>1811</v>
      </c>
      <c r="U564" t="s">
        <v>2365</v>
      </c>
      <c r="V564" t="s">
        <v>2365</v>
      </c>
      <c r="W564" t="s">
        <v>2365</v>
      </c>
      <c r="X564" t="s">
        <v>2365</v>
      </c>
      <c r="Y564" t="s">
        <v>2365</v>
      </c>
      <c r="Z564" t="s">
        <v>2365</v>
      </c>
      <c r="AA564" t="s">
        <v>2365</v>
      </c>
      <c r="AB564" t="s">
        <v>2365</v>
      </c>
      <c r="AC564" s="813" t="s">
        <v>2365</v>
      </c>
      <c r="AD564" s="813" t="s">
        <v>2365</v>
      </c>
      <c r="AE564" s="813" t="s">
        <v>2365</v>
      </c>
      <c r="AF564" t="s">
        <v>2365</v>
      </c>
      <c r="AG564" t="s">
        <v>2365</v>
      </c>
      <c r="AH564" t="s">
        <v>2365</v>
      </c>
      <c r="AI564" t="s">
        <v>2365</v>
      </c>
      <c r="AJ564" t="s">
        <v>2365</v>
      </c>
      <c r="AK564" t="s">
        <v>2365</v>
      </c>
      <c r="AL564" t="s">
        <v>2365</v>
      </c>
      <c r="AM564" t="s">
        <v>2365</v>
      </c>
      <c r="AN564" t="s">
        <v>2365</v>
      </c>
      <c r="AR564" t="s">
        <v>2365</v>
      </c>
      <c r="AS564" t="s">
        <v>2365</v>
      </c>
      <c r="AT564" t="s">
        <v>2365</v>
      </c>
      <c r="AU564" t="s">
        <v>2365</v>
      </c>
      <c r="AV564" t="s">
        <v>2365</v>
      </c>
      <c r="AW564" t="s">
        <v>2365</v>
      </c>
      <c r="AX564" t="s">
        <v>2365</v>
      </c>
      <c r="AY564" t="s">
        <v>2365</v>
      </c>
      <c r="AZ564" t="s">
        <v>2365</v>
      </c>
      <c r="BA564" t="s">
        <v>2365</v>
      </c>
      <c r="BB564" t="s">
        <v>2365</v>
      </c>
      <c r="BC564" t="s">
        <v>2365</v>
      </c>
      <c r="BD564" t="s">
        <v>2366</v>
      </c>
      <c r="BE564" t="s">
        <v>2365</v>
      </c>
      <c r="BF564" t="s">
        <v>2365</v>
      </c>
      <c r="BG564" t="s">
        <v>2365</v>
      </c>
      <c r="BH564" t="s">
        <v>2365</v>
      </c>
      <c r="BI564" t="s">
        <v>2366</v>
      </c>
      <c r="BJ564" t="s">
        <v>2365</v>
      </c>
      <c r="BK564" t="s">
        <v>2365</v>
      </c>
      <c r="BL564" t="s">
        <v>2365</v>
      </c>
      <c r="BM564" t="s">
        <v>2365</v>
      </c>
      <c r="BO564">
        <v>1</v>
      </c>
      <c r="BP564">
        <v>11</v>
      </c>
      <c r="BQ564" t="s">
        <v>2369</v>
      </c>
      <c r="BR564" t="s">
        <v>1487</v>
      </c>
      <c r="BU564">
        <v>0</v>
      </c>
      <c r="BV564">
        <v>0</v>
      </c>
      <c r="BW564">
        <v>0</v>
      </c>
      <c r="BX564">
        <v>0</v>
      </c>
      <c r="BY564">
        <v>0</v>
      </c>
      <c r="BZ564">
        <v>0</v>
      </c>
      <c r="CA564">
        <v>0</v>
      </c>
      <c r="CB564">
        <v>0</v>
      </c>
      <c r="CC564">
        <v>0</v>
      </c>
      <c r="CD564">
        <v>0</v>
      </c>
      <c r="CE564">
        <v>0</v>
      </c>
      <c r="CF564">
        <v>0</v>
      </c>
      <c r="CG564">
        <v>0</v>
      </c>
      <c r="CH564">
        <v>0</v>
      </c>
      <c r="CI564">
        <v>0</v>
      </c>
      <c r="CJ564">
        <v>0</v>
      </c>
      <c r="CK564">
        <v>0</v>
      </c>
      <c r="CL564">
        <v>0</v>
      </c>
      <c r="CM564">
        <v>0</v>
      </c>
      <c r="CR564" t="s">
        <v>2335</v>
      </c>
      <c r="CS564" s="1369" t="str">
        <f>INDEX([8]Sheet1!$H:$H,MATCH(CR:CR,[8]Sheet1!$AU:$AU,0))</f>
        <v>Economic Development/Planning</v>
      </c>
    </row>
    <row r="565" spans="1:97" x14ac:dyDescent="0.2">
      <c r="A565" t="s">
        <v>3126</v>
      </c>
      <c r="B565">
        <v>618</v>
      </c>
      <c r="C565" t="s">
        <v>3126</v>
      </c>
      <c r="D565">
        <v>40672</v>
      </c>
      <c r="E565" t="s">
        <v>3048</v>
      </c>
      <c r="F565">
        <v>200</v>
      </c>
      <c r="G565" t="s">
        <v>559</v>
      </c>
      <c r="H565" s="1373">
        <v>200</v>
      </c>
      <c r="I565" t="s">
        <v>2863</v>
      </c>
      <c r="J565" t="s">
        <v>2365</v>
      </c>
      <c r="K565" t="s">
        <v>2365</v>
      </c>
      <c r="L565" s="1373">
        <v>1200</v>
      </c>
      <c r="M565" t="s">
        <v>1480</v>
      </c>
      <c r="N565">
        <v>1204</v>
      </c>
      <c r="O565" t="s">
        <v>1487</v>
      </c>
      <c r="P565" t="s">
        <v>2366</v>
      </c>
      <c r="Q565" t="s">
        <v>2364</v>
      </c>
      <c r="R565" t="s">
        <v>2364</v>
      </c>
      <c r="S565" t="s">
        <v>1881</v>
      </c>
      <c r="T565" t="s">
        <v>1811</v>
      </c>
      <c r="U565" t="s">
        <v>2365</v>
      </c>
      <c r="V565" t="s">
        <v>2365</v>
      </c>
      <c r="W565" t="s">
        <v>2365</v>
      </c>
      <c r="X565" t="s">
        <v>2365</v>
      </c>
      <c r="Y565" t="s">
        <v>2365</v>
      </c>
      <c r="Z565" t="s">
        <v>2365</v>
      </c>
      <c r="AA565" t="s">
        <v>2365</v>
      </c>
      <c r="AB565" t="s">
        <v>2365</v>
      </c>
      <c r="AC565" s="813" t="s">
        <v>2365</v>
      </c>
      <c r="AD565" s="813" t="s">
        <v>2365</v>
      </c>
      <c r="AE565" s="813" t="s">
        <v>2365</v>
      </c>
      <c r="AF565" t="s">
        <v>2365</v>
      </c>
      <c r="AG565" t="s">
        <v>2365</v>
      </c>
      <c r="AH565" t="s">
        <v>2365</v>
      </c>
      <c r="AI565" t="s">
        <v>2365</v>
      </c>
      <c r="AJ565" t="s">
        <v>2365</v>
      </c>
      <c r="AK565" t="s">
        <v>2365</v>
      </c>
      <c r="AL565" t="s">
        <v>2365</v>
      </c>
      <c r="AM565" t="s">
        <v>2365</v>
      </c>
      <c r="AN565" t="s">
        <v>2365</v>
      </c>
      <c r="AR565" t="s">
        <v>2365</v>
      </c>
      <c r="AS565" t="s">
        <v>2365</v>
      </c>
      <c r="AT565" t="s">
        <v>2365</v>
      </c>
      <c r="AU565" t="s">
        <v>2365</v>
      </c>
      <c r="AV565" t="s">
        <v>2365</v>
      </c>
      <c r="AW565" t="s">
        <v>2365</v>
      </c>
      <c r="AX565" t="s">
        <v>2365</v>
      </c>
      <c r="AY565" t="s">
        <v>2365</v>
      </c>
      <c r="AZ565" t="s">
        <v>2365</v>
      </c>
      <c r="BA565" t="s">
        <v>2365</v>
      </c>
      <c r="BB565" t="s">
        <v>2365</v>
      </c>
      <c r="BC565" t="s">
        <v>2365</v>
      </c>
      <c r="BD565" t="s">
        <v>2366</v>
      </c>
      <c r="BE565" t="s">
        <v>2365</v>
      </c>
      <c r="BF565" t="s">
        <v>2365</v>
      </c>
      <c r="BG565" t="s">
        <v>2365</v>
      </c>
      <c r="BH565" t="s">
        <v>2365</v>
      </c>
      <c r="BI565" t="s">
        <v>2366</v>
      </c>
      <c r="BJ565" t="s">
        <v>2365</v>
      </c>
      <c r="BK565" t="s">
        <v>2365</v>
      </c>
      <c r="BL565" t="s">
        <v>2365</v>
      </c>
      <c r="BM565" t="s">
        <v>2365</v>
      </c>
      <c r="BO565">
        <v>1</v>
      </c>
      <c r="BP565">
        <v>11</v>
      </c>
      <c r="BQ565" t="s">
        <v>2369</v>
      </c>
      <c r="BR565" t="s">
        <v>1487</v>
      </c>
      <c r="BU565" s="1371">
        <v>0</v>
      </c>
      <c r="BV565" s="1371">
        <v>0</v>
      </c>
      <c r="BW565" s="1371">
        <v>0</v>
      </c>
      <c r="BX565" s="1371">
        <v>0</v>
      </c>
      <c r="BY565" s="1371">
        <v>0</v>
      </c>
      <c r="BZ565">
        <v>0</v>
      </c>
      <c r="CA565">
        <v>0</v>
      </c>
      <c r="CB565">
        <v>0</v>
      </c>
      <c r="CC565">
        <v>0</v>
      </c>
      <c r="CD565">
        <v>0</v>
      </c>
      <c r="CE565">
        <v>0</v>
      </c>
      <c r="CF565">
        <v>0</v>
      </c>
      <c r="CG565">
        <v>0</v>
      </c>
      <c r="CH565">
        <v>0</v>
      </c>
      <c r="CI565">
        <v>0</v>
      </c>
      <c r="CJ565">
        <v>0</v>
      </c>
      <c r="CK565">
        <v>0</v>
      </c>
      <c r="CL565">
        <v>0</v>
      </c>
      <c r="CM565">
        <v>0</v>
      </c>
      <c r="CR565" t="s">
        <v>2335</v>
      </c>
      <c r="CS565" s="1369" t="str">
        <f>INDEX([8]Sheet1!$H:$H,MATCH(CR:CR,[8]Sheet1!$AU:$AU,0))</f>
        <v>Economic Development/Planning</v>
      </c>
    </row>
    <row r="566" spans="1:97" x14ac:dyDescent="0.2">
      <c r="A566" t="s">
        <v>3127</v>
      </c>
      <c r="B566">
        <v>619</v>
      </c>
      <c r="C566" t="s">
        <v>3127</v>
      </c>
      <c r="D566">
        <v>40673</v>
      </c>
      <c r="E566" t="s">
        <v>3050</v>
      </c>
      <c r="F566">
        <v>200</v>
      </c>
      <c r="G566" t="s">
        <v>559</v>
      </c>
      <c r="H566">
        <v>200</v>
      </c>
      <c r="I566" t="s">
        <v>2863</v>
      </c>
      <c r="J566" t="s">
        <v>2365</v>
      </c>
      <c r="K566" t="s">
        <v>2365</v>
      </c>
      <c r="L566">
        <v>1200</v>
      </c>
      <c r="M566" t="s">
        <v>1480</v>
      </c>
      <c r="N566">
        <v>1204</v>
      </c>
      <c r="O566" t="s">
        <v>1487</v>
      </c>
      <c r="P566" t="s">
        <v>2366</v>
      </c>
      <c r="Q566" t="s">
        <v>2364</v>
      </c>
      <c r="R566" t="s">
        <v>2364</v>
      </c>
      <c r="S566" t="s">
        <v>1881</v>
      </c>
      <c r="T566" t="s">
        <v>1811</v>
      </c>
      <c r="U566" t="s">
        <v>2365</v>
      </c>
      <c r="V566" t="s">
        <v>2365</v>
      </c>
      <c r="W566" t="s">
        <v>2365</v>
      </c>
      <c r="X566" t="s">
        <v>2365</v>
      </c>
      <c r="Y566" t="s">
        <v>2365</v>
      </c>
      <c r="Z566" t="s">
        <v>2365</v>
      </c>
      <c r="AA566" t="s">
        <v>2365</v>
      </c>
      <c r="AB566" t="s">
        <v>2365</v>
      </c>
      <c r="AC566" s="813" t="s">
        <v>2365</v>
      </c>
      <c r="AD566" s="813" t="s">
        <v>2365</v>
      </c>
      <c r="AE566" s="813" t="s">
        <v>2365</v>
      </c>
      <c r="AF566" t="s">
        <v>2365</v>
      </c>
      <c r="AG566" t="s">
        <v>2365</v>
      </c>
      <c r="AH566" t="s">
        <v>2365</v>
      </c>
      <c r="AI566" t="s">
        <v>2365</v>
      </c>
      <c r="AJ566" t="s">
        <v>2365</v>
      </c>
      <c r="AK566" t="s">
        <v>2365</v>
      </c>
      <c r="AL566" t="s">
        <v>2365</v>
      </c>
      <c r="AM566" t="s">
        <v>2365</v>
      </c>
      <c r="AN566" t="s">
        <v>2365</v>
      </c>
      <c r="AR566" t="s">
        <v>2365</v>
      </c>
      <c r="AS566" t="s">
        <v>2365</v>
      </c>
      <c r="AT566" t="s">
        <v>2365</v>
      </c>
      <c r="AU566" t="s">
        <v>2365</v>
      </c>
      <c r="AV566" t="s">
        <v>2365</v>
      </c>
      <c r="AW566" t="s">
        <v>2365</v>
      </c>
      <c r="AX566" t="s">
        <v>2365</v>
      </c>
      <c r="AY566" t="s">
        <v>2365</v>
      </c>
      <c r="AZ566" t="s">
        <v>2365</v>
      </c>
      <c r="BA566" t="s">
        <v>2365</v>
      </c>
      <c r="BB566" t="s">
        <v>2365</v>
      </c>
      <c r="BC566" t="s">
        <v>2365</v>
      </c>
      <c r="BD566" t="s">
        <v>2366</v>
      </c>
      <c r="BE566" t="s">
        <v>2365</v>
      </c>
      <c r="BF566" t="s">
        <v>2365</v>
      </c>
      <c r="BG566" t="s">
        <v>2365</v>
      </c>
      <c r="BH566" t="s">
        <v>2365</v>
      </c>
      <c r="BI566" t="s">
        <v>2366</v>
      </c>
      <c r="BJ566" t="s">
        <v>2365</v>
      </c>
      <c r="BK566" t="s">
        <v>2365</v>
      </c>
      <c r="BL566" t="s">
        <v>2365</v>
      </c>
      <c r="BM566" t="s">
        <v>2365</v>
      </c>
      <c r="BO566">
        <v>1</v>
      </c>
      <c r="BP566">
        <v>11</v>
      </c>
      <c r="BQ566" t="s">
        <v>2369</v>
      </c>
      <c r="BR566" t="s">
        <v>1487</v>
      </c>
      <c r="BU566">
        <v>0</v>
      </c>
      <c r="BV566">
        <v>0</v>
      </c>
      <c r="BW566">
        <v>0</v>
      </c>
      <c r="BX566">
        <v>0</v>
      </c>
      <c r="BY566">
        <v>0</v>
      </c>
      <c r="BZ566">
        <v>0</v>
      </c>
      <c r="CA566">
        <v>0</v>
      </c>
      <c r="CB566">
        <v>0</v>
      </c>
      <c r="CC566">
        <v>0</v>
      </c>
      <c r="CD566">
        <v>0</v>
      </c>
      <c r="CE566">
        <v>0</v>
      </c>
      <c r="CF566">
        <v>0</v>
      </c>
      <c r="CG566">
        <v>0</v>
      </c>
      <c r="CH566">
        <v>0</v>
      </c>
      <c r="CI566">
        <v>0</v>
      </c>
      <c r="CJ566">
        <v>0</v>
      </c>
      <c r="CK566">
        <v>0</v>
      </c>
      <c r="CL566">
        <v>0</v>
      </c>
      <c r="CM566">
        <v>0</v>
      </c>
      <c r="CR566" t="s">
        <v>2334</v>
      </c>
      <c r="CS566" s="1369" t="str">
        <f>INDEX([8]Sheet1!$H:$H,MATCH(CR:CR,[8]Sheet1!$AU:$AU,0))</f>
        <v>Governance Function</v>
      </c>
    </row>
    <row r="567" spans="1:97" x14ac:dyDescent="0.2">
      <c r="A567" t="s">
        <v>3128</v>
      </c>
      <c r="B567">
        <v>620</v>
      </c>
      <c r="C567" t="s">
        <v>3128</v>
      </c>
      <c r="D567">
        <v>40674</v>
      </c>
      <c r="E567" t="s">
        <v>3052</v>
      </c>
      <c r="F567">
        <v>200</v>
      </c>
      <c r="G567" t="s">
        <v>559</v>
      </c>
      <c r="H567" s="1373">
        <v>200</v>
      </c>
      <c r="I567" t="s">
        <v>2863</v>
      </c>
      <c r="J567" t="s">
        <v>2365</v>
      </c>
      <c r="K567" t="s">
        <v>2365</v>
      </c>
      <c r="L567" s="1373">
        <v>1200</v>
      </c>
      <c r="M567" t="s">
        <v>1480</v>
      </c>
      <c r="N567">
        <v>1204</v>
      </c>
      <c r="O567" t="s">
        <v>1487</v>
      </c>
      <c r="P567" t="s">
        <v>2366</v>
      </c>
      <c r="Q567" t="s">
        <v>2364</v>
      </c>
      <c r="R567" t="s">
        <v>2364</v>
      </c>
      <c r="S567" t="s">
        <v>1881</v>
      </c>
      <c r="T567" t="s">
        <v>1811</v>
      </c>
      <c r="U567" t="s">
        <v>2365</v>
      </c>
      <c r="V567" t="s">
        <v>2365</v>
      </c>
      <c r="W567" t="s">
        <v>2365</v>
      </c>
      <c r="X567" t="s">
        <v>2365</v>
      </c>
      <c r="Y567" t="s">
        <v>2365</v>
      </c>
      <c r="Z567" t="s">
        <v>2365</v>
      </c>
      <c r="AA567" t="s">
        <v>2365</v>
      </c>
      <c r="AB567" t="s">
        <v>2365</v>
      </c>
      <c r="AC567" s="813" t="s">
        <v>2365</v>
      </c>
      <c r="AD567" s="813" t="s">
        <v>2365</v>
      </c>
      <c r="AE567" s="813" t="s">
        <v>2365</v>
      </c>
      <c r="AF567" t="s">
        <v>2365</v>
      </c>
      <c r="AG567" t="s">
        <v>2365</v>
      </c>
      <c r="AH567" t="s">
        <v>2365</v>
      </c>
      <c r="AI567" t="s">
        <v>2365</v>
      </c>
      <c r="AJ567" t="s">
        <v>2365</v>
      </c>
      <c r="AK567" t="s">
        <v>2365</v>
      </c>
      <c r="AL567" t="s">
        <v>2365</v>
      </c>
      <c r="AM567" t="s">
        <v>2365</v>
      </c>
      <c r="AN567" t="s">
        <v>2365</v>
      </c>
      <c r="AR567" t="s">
        <v>2365</v>
      </c>
      <c r="AS567" t="s">
        <v>2365</v>
      </c>
      <c r="AT567" t="s">
        <v>2365</v>
      </c>
      <c r="AU567" t="s">
        <v>2365</v>
      </c>
      <c r="AV567" t="s">
        <v>2365</v>
      </c>
      <c r="AW567" t="s">
        <v>2365</v>
      </c>
      <c r="AX567" t="s">
        <v>2365</v>
      </c>
      <c r="AY567" t="s">
        <v>2365</v>
      </c>
      <c r="AZ567" t="s">
        <v>2365</v>
      </c>
      <c r="BA567" t="s">
        <v>2365</v>
      </c>
      <c r="BB567" t="s">
        <v>2365</v>
      </c>
      <c r="BC567" t="s">
        <v>2365</v>
      </c>
      <c r="BD567" t="s">
        <v>2366</v>
      </c>
      <c r="BE567" t="s">
        <v>2365</v>
      </c>
      <c r="BF567" t="s">
        <v>2365</v>
      </c>
      <c r="BG567" t="s">
        <v>2365</v>
      </c>
      <c r="BH567" t="s">
        <v>2365</v>
      </c>
      <c r="BI567" t="s">
        <v>2366</v>
      </c>
      <c r="BJ567" t="s">
        <v>2365</v>
      </c>
      <c r="BK567" t="s">
        <v>2365</v>
      </c>
      <c r="BL567" t="s">
        <v>2365</v>
      </c>
      <c r="BM567" t="s">
        <v>2365</v>
      </c>
      <c r="BO567">
        <v>1</v>
      </c>
      <c r="BP567">
        <v>11</v>
      </c>
      <c r="BQ567" t="s">
        <v>2369</v>
      </c>
      <c r="BR567" t="s">
        <v>1487</v>
      </c>
      <c r="BU567" s="1371">
        <v>0</v>
      </c>
      <c r="BV567" s="1371">
        <v>0</v>
      </c>
      <c r="BW567" s="1371">
        <v>0</v>
      </c>
      <c r="BX567" s="1371">
        <v>0</v>
      </c>
      <c r="BY567" s="1371">
        <v>0</v>
      </c>
      <c r="BZ567">
        <v>0</v>
      </c>
      <c r="CA567">
        <v>0</v>
      </c>
      <c r="CB567">
        <v>0</v>
      </c>
      <c r="CC567">
        <v>0</v>
      </c>
      <c r="CD567">
        <v>0</v>
      </c>
      <c r="CE567">
        <v>0</v>
      </c>
      <c r="CF567">
        <v>0</v>
      </c>
      <c r="CG567">
        <v>0</v>
      </c>
      <c r="CH567">
        <v>0</v>
      </c>
      <c r="CI567">
        <v>0</v>
      </c>
      <c r="CJ567">
        <v>0</v>
      </c>
      <c r="CK567">
        <v>0</v>
      </c>
      <c r="CL567">
        <v>0</v>
      </c>
      <c r="CM567">
        <v>0</v>
      </c>
      <c r="CR567" t="s">
        <v>2337</v>
      </c>
      <c r="CS567" s="1369" t="str">
        <f>INDEX([8]Sheet1!$H:$H,MATCH(CR:CR,[8]Sheet1!$AU:$AU,0))</f>
        <v>Corporate Wide Strategic Planning (IDPs, LEDs)</v>
      </c>
    </row>
    <row r="568" spans="1:97" x14ac:dyDescent="0.2">
      <c r="A568" t="s">
        <v>3129</v>
      </c>
      <c r="B568">
        <v>621</v>
      </c>
      <c r="C568" t="s">
        <v>3129</v>
      </c>
      <c r="D568">
        <v>40675</v>
      </c>
      <c r="E568" t="s">
        <v>3054</v>
      </c>
      <c r="F568">
        <v>200</v>
      </c>
      <c r="G568" t="s">
        <v>559</v>
      </c>
      <c r="H568" s="1373">
        <v>200</v>
      </c>
      <c r="I568" t="s">
        <v>2863</v>
      </c>
      <c r="J568" t="s">
        <v>2365</v>
      </c>
      <c r="K568" t="s">
        <v>2365</v>
      </c>
      <c r="L568" s="1373">
        <v>1200</v>
      </c>
      <c r="M568" t="s">
        <v>1480</v>
      </c>
      <c r="N568">
        <v>1204</v>
      </c>
      <c r="O568" t="s">
        <v>1487</v>
      </c>
      <c r="P568" t="s">
        <v>2366</v>
      </c>
      <c r="Q568" t="s">
        <v>2364</v>
      </c>
      <c r="R568" t="s">
        <v>2364</v>
      </c>
      <c r="S568" t="s">
        <v>1881</v>
      </c>
      <c r="T568" t="s">
        <v>1811</v>
      </c>
      <c r="U568" t="s">
        <v>2365</v>
      </c>
      <c r="V568" t="s">
        <v>2365</v>
      </c>
      <c r="W568" t="s">
        <v>2365</v>
      </c>
      <c r="X568" t="s">
        <v>2365</v>
      </c>
      <c r="Y568" t="s">
        <v>2365</v>
      </c>
      <c r="Z568" t="s">
        <v>2365</v>
      </c>
      <c r="AA568" t="s">
        <v>2365</v>
      </c>
      <c r="AB568" t="s">
        <v>2365</v>
      </c>
      <c r="AC568" s="813" t="s">
        <v>2365</v>
      </c>
      <c r="AD568" s="813" t="s">
        <v>2365</v>
      </c>
      <c r="AE568" s="813" t="s">
        <v>2365</v>
      </c>
      <c r="AF568" t="s">
        <v>2365</v>
      </c>
      <c r="AG568" t="s">
        <v>2365</v>
      </c>
      <c r="AH568" t="s">
        <v>2365</v>
      </c>
      <c r="AI568" t="s">
        <v>2365</v>
      </c>
      <c r="AJ568" t="s">
        <v>2365</v>
      </c>
      <c r="AK568" t="s">
        <v>2365</v>
      </c>
      <c r="AL568" t="s">
        <v>2365</v>
      </c>
      <c r="AM568" t="s">
        <v>2365</v>
      </c>
      <c r="AN568" t="s">
        <v>2365</v>
      </c>
      <c r="AR568" t="s">
        <v>2365</v>
      </c>
      <c r="AS568" t="s">
        <v>2365</v>
      </c>
      <c r="AT568" t="s">
        <v>2365</v>
      </c>
      <c r="AU568" t="s">
        <v>2365</v>
      </c>
      <c r="AV568" t="s">
        <v>2365</v>
      </c>
      <c r="AW568" t="s">
        <v>2365</v>
      </c>
      <c r="AX568" t="s">
        <v>2365</v>
      </c>
      <c r="AY568" t="s">
        <v>2365</v>
      </c>
      <c r="AZ568" t="s">
        <v>2365</v>
      </c>
      <c r="BA568" t="s">
        <v>2365</v>
      </c>
      <c r="BB568" t="s">
        <v>2365</v>
      </c>
      <c r="BC568" t="s">
        <v>2365</v>
      </c>
      <c r="BD568" t="s">
        <v>2366</v>
      </c>
      <c r="BE568" t="s">
        <v>2365</v>
      </c>
      <c r="BF568" t="s">
        <v>2365</v>
      </c>
      <c r="BG568" t="s">
        <v>2365</v>
      </c>
      <c r="BH568" t="s">
        <v>2365</v>
      </c>
      <c r="BI568" t="s">
        <v>2366</v>
      </c>
      <c r="BJ568" t="s">
        <v>2365</v>
      </c>
      <c r="BK568" t="s">
        <v>2365</v>
      </c>
      <c r="BL568" t="s">
        <v>2365</v>
      </c>
      <c r="BM568" t="s">
        <v>2365</v>
      </c>
      <c r="BO568">
        <v>1</v>
      </c>
      <c r="BP568">
        <v>11</v>
      </c>
      <c r="BQ568" t="s">
        <v>2369</v>
      </c>
      <c r="BR568" t="s">
        <v>1487</v>
      </c>
      <c r="BU568" s="1371">
        <v>0</v>
      </c>
      <c r="BV568" s="1371">
        <v>0</v>
      </c>
      <c r="BW568" s="1371">
        <v>0</v>
      </c>
      <c r="BX568" s="1371">
        <v>0</v>
      </c>
      <c r="BY568" s="1371">
        <v>0</v>
      </c>
      <c r="BZ568">
        <v>0</v>
      </c>
      <c r="CA568">
        <v>0</v>
      </c>
      <c r="CB568">
        <v>0</v>
      </c>
      <c r="CC568">
        <v>0</v>
      </c>
      <c r="CD568">
        <v>0</v>
      </c>
      <c r="CE568">
        <v>0</v>
      </c>
      <c r="CF568">
        <v>0</v>
      </c>
      <c r="CG568">
        <v>0</v>
      </c>
      <c r="CH568">
        <v>0</v>
      </c>
      <c r="CI568">
        <v>0</v>
      </c>
      <c r="CJ568">
        <v>0</v>
      </c>
      <c r="CK568">
        <v>0</v>
      </c>
      <c r="CL568">
        <v>0</v>
      </c>
      <c r="CM568">
        <v>0</v>
      </c>
      <c r="CR568" t="s">
        <v>2335</v>
      </c>
      <c r="CS568" s="1369" t="str">
        <f>INDEX([8]Sheet1!$H:$H,MATCH(CR:CR,[8]Sheet1!$AU:$AU,0))</f>
        <v>Economic Development/Planning</v>
      </c>
    </row>
    <row r="569" spans="1:97" x14ac:dyDescent="0.2">
      <c r="A569" t="s">
        <v>3130</v>
      </c>
      <c r="B569">
        <v>622</v>
      </c>
      <c r="C569" t="s">
        <v>3130</v>
      </c>
      <c r="D569">
        <v>40676</v>
      </c>
      <c r="E569" t="s">
        <v>3027</v>
      </c>
      <c r="F569">
        <v>200</v>
      </c>
      <c r="G569" t="s">
        <v>559</v>
      </c>
      <c r="H569">
        <v>200</v>
      </c>
      <c r="I569" t="s">
        <v>2863</v>
      </c>
      <c r="J569" t="s">
        <v>2365</v>
      </c>
      <c r="K569" t="s">
        <v>2365</v>
      </c>
      <c r="L569">
        <v>1200</v>
      </c>
      <c r="M569" t="s">
        <v>1480</v>
      </c>
      <c r="N569">
        <v>1204</v>
      </c>
      <c r="O569" t="s">
        <v>1487</v>
      </c>
      <c r="P569" t="s">
        <v>2366</v>
      </c>
      <c r="Q569" t="s">
        <v>2364</v>
      </c>
      <c r="R569" t="s">
        <v>2364</v>
      </c>
      <c r="S569" t="s">
        <v>1881</v>
      </c>
      <c r="T569" t="s">
        <v>1811</v>
      </c>
      <c r="U569" t="s">
        <v>2365</v>
      </c>
      <c r="V569" t="s">
        <v>2365</v>
      </c>
      <c r="W569" t="s">
        <v>2365</v>
      </c>
      <c r="X569" t="s">
        <v>2365</v>
      </c>
      <c r="Y569" t="s">
        <v>2365</v>
      </c>
      <c r="Z569" t="s">
        <v>2365</v>
      </c>
      <c r="AA569" t="s">
        <v>2365</v>
      </c>
      <c r="AB569" t="s">
        <v>2365</v>
      </c>
      <c r="AC569" s="813" t="s">
        <v>2365</v>
      </c>
      <c r="AD569" s="813" t="s">
        <v>2365</v>
      </c>
      <c r="AE569" s="813" t="s">
        <v>2365</v>
      </c>
      <c r="AF569" t="s">
        <v>2365</v>
      </c>
      <c r="AG569" t="s">
        <v>2365</v>
      </c>
      <c r="AH569" t="s">
        <v>2365</v>
      </c>
      <c r="AI569" t="s">
        <v>2365</v>
      </c>
      <c r="AJ569" t="s">
        <v>2365</v>
      </c>
      <c r="AK569" t="s">
        <v>2365</v>
      </c>
      <c r="AL569" t="s">
        <v>2365</v>
      </c>
      <c r="AM569" t="s">
        <v>2365</v>
      </c>
      <c r="AN569" t="s">
        <v>2365</v>
      </c>
      <c r="AR569" t="s">
        <v>2365</v>
      </c>
      <c r="AS569" t="s">
        <v>2365</v>
      </c>
      <c r="AT569" t="s">
        <v>2365</v>
      </c>
      <c r="AU569" t="s">
        <v>2365</v>
      </c>
      <c r="AV569" t="s">
        <v>2365</v>
      </c>
      <c r="AW569" t="s">
        <v>2365</v>
      </c>
      <c r="AX569" t="s">
        <v>2365</v>
      </c>
      <c r="AY569" t="s">
        <v>2365</v>
      </c>
      <c r="AZ569" t="s">
        <v>2365</v>
      </c>
      <c r="BA569" t="s">
        <v>2365</v>
      </c>
      <c r="BB569" t="s">
        <v>2365</v>
      </c>
      <c r="BC569" t="s">
        <v>2365</v>
      </c>
      <c r="BD569" t="s">
        <v>2366</v>
      </c>
      <c r="BE569" t="s">
        <v>2365</v>
      </c>
      <c r="BF569" t="s">
        <v>2365</v>
      </c>
      <c r="BG569" t="s">
        <v>2365</v>
      </c>
      <c r="BH569" t="s">
        <v>2365</v>
      </c>
      <c r="BI569" t="s">
        <v>2366</v>
      </c>
      <c r="BJ569" t="s">
        <v>2365</v>
      </c>
      <c r="BK569" t="s">
        <v>2365</v>
      </c>
      <c r="BL569" t="s">
        <v>2365</v>
      </c>
      <c r="BM569" t="s">
        <v>2365</v>
      </c>
      <c r="BO569">
        <v>1</v>
      </c>
      <c r="BP569">
        <v>11</v>
      </c>
      <c r="BQ569" t="s">
        <v>2369</v>
      </c>
      <c r="BR569" t="s">
        <v>1487</v>
      </c>
      <c r="BU569">
        <v>0</v>
      </c>
      <c r="BV569">
        <v>0</v>
      </c>
      <c r="BW569" s="1371">
        <v>0</v>
      </c>
      <c r="BX569" s="1372">
        <v>0</v>
      </c>
      <c r="BY569">
        <v>0</v>
      </c>
      <c r="BZ569">
        <v>0</v>
      </c>
      <c r="CA569">
        <v>0</v>
      </c>
      <c r="CB569">
        <v>0</v>
      </c>
      <c r="CC569">
        <v>0</v>
      </c>
      <c r="CD569">
        <v>0</v>
      </c>
      <c r="CE569">
        <v>0</v>
      </c>
      <c r="CF569">
        <v>0</v>
      </c>
      <c r="CG569">
        <v>0</v>
      </c>
      <c r="CH569">
        <v>0</v>
      </c>
      <c r="CI569">
        <v>0</v>
      </c>
      <c r="CJ569">
        <v>0</v>
      </c>
      <c r="CK569">
        <v>0</v>
      </c>
      <c r="CL569">
        <v>0</v>
      </c>
      <c r="CM569">
        <v>0</v>
      </c>
      <c r="CR569" t="s">
        <v>2335</v>
      </c>
      <c r="CS569" s="1369" t="str">
        <f>INDEX([8]Sheet1!$H:$H,MATCH(CR:CR,[8]Sheet1!$AU:$AU,0))</f>
        <v>Economic Development/Planning</v>
      </c>
    </row>
    <row r="570" spans="1:97" x14ac:dyDescent="0.2">
      <c r="A570" t="s">
        <v>3131</v>
      </c>
      <c r="B570">
        <v>623</v>
      </c>
      <c r="C570" t="s">
        <v>3131</v>
      </c>
      <c r="D570">
        <v>40677</v>
      </c>
      <c r="E570" t="s">
        <v>3029</v>
      </c>
      <c r="F570">
        <v>200</v>
      </c>
      <c r="G570" t="s">
        <v>559</v>
      </c>
      <c r="H570">
        <v>200</v>
      </c>
      <c r="I570" t="s">
        <v>2863</v>
      </c>
      <c r="J570" t="s">
        <v>2365</v>
      </c>
      <c r="K570" t="s">
        <v>2365</v>
      </c>
      <c r="L570">
        <v>1200</v>
      </c>
      <c r="M570" t="s">
        <v>1480</v>
      </c>
      <c r="N570">
        <v>1204</v>
      </c>
      <c r="O570" t="s">
        <v>1487</v>
      </c>
      <c r="P570" t="s">
        <v>2366</v>
      </c>
      <c r="Q570" t="s">
        <v>2364</v>
      </c>
      <c r="R570" t="s">
        <v>2364</v>
      </c>
      <c r="S570" t="s">
        <v>1881</v>
      </c>
      <c r="T570" t="s">
        <v>1811</v>
      </c>
      <c r="U570" t="s">
        <v>2365</v>
      </c>
      <c r="V570" t="s">
        <v>2365</v>
      </c>
      <c r="W570" t="s">
        <v>2365</v>
      </c>
      <c r="X570" t="s">
        <v>2365</v>
      </c>
      <c r="Y570" t="s">
        <v>2365</v>
      </c>
      <c r="Z570" t="s">
        <v>2365</v>
      </c>
      <c r="AA570" t="s">
        <v>2365</v>
      </c>
      <c r="AB570" t="s">
        <v>2365</v>
      </c>
      <c r="AC570" s="813" t="s">
        <v>2365</v>
      </c>
      <c r="AD570" s="813" t="s">
        <v>2365</v>
      </c>
      <c r="AE570" s="813" t="s">
        <v>2365</v>
      </c>
      <c r="AF570" t="s">
        <v>2365</v>
      </c>
      <c r="AG570" t="s">
        <v>2365</v>
      </c>
      <c r="AH570" t="s">
        <v>2365</v>
      </c>
      <c r="AI570" t="s">
        <v>2365</v>
      </c>
      <c r="AJ570" t="s">
        <v>2365</v>
      </c>
      <c r="AK570" t="s">
        <v>2365</v>
      </c>
      <c r="AL570" t="s">
        <v>2365</v>
      </c>
      <c r="AM570" t="s">
        <v>2365</v>
      </c>
      <c r="AN570" t="s">
        <v>2365</v>
      </c>
      <c r="AR570" t="s">
        <v>2365</v>
      </c>
      <c r="AS570" t="s">
        <v>2365</v>
      </c>
      <c r="AT570" t="s">
        <v>2365</v>
      </c>
      <c r="AU570" t="s">
        <v>2365</v>
      </c>
      <c r="AV570" t="s">
        <v>2365</v>
      </c>
      <c r="AW570" t="s">
        <v>2365</v>
      </c>
      <c r="AX570" t="s">
        <v>2365</v>
      </c>
      <c r="AY570" t="s">
        <v>2365</v>
      </c>
      <c r="AZ570" t="s">
        <v>2365</v>
      </c>
      <c r="BA570" t="s">
        <v>2365</v>
      </c>
      <c r="BB570" t="s">
        <v>2365</v>
      </c>
      <c r="BC570" t="s">
        <v>2365</v>
      </c>
      <c r="BD570" t="s">
        <v>2366</v>
      </c>
      <c r="BE570" t="s">
        <v>2365</v>
      </c>
      <c r="BF570" t="s">
        <v>2365</v>
      </c>
      <c r="BG570" t="s">
        <v>2365</v>
      </c>
      <c r="BH570" t="s">
        <v>2365</v>
      </c>
      <c r="BI570" t="s">
        <v>2366</v>
      </c>
      <c r="BJ570" t="s">
        <v>2365</v>
      </c>
      <c r="BK570" t="s">
        <v>2365</v>
      </c>
      <c r="BL570" t="s">
        <v>2365</v>
      </c>
      <c r="BM570" t="s">
        <v>2365</v>
      </c>
      <c r="BO570">
        <v>1</v>
      </c>
      <c r="BP570">
        <v>11</v>
      </c>
      <c r="BQ570" t="s">
        <v>2369</v>
      </c>
      <c r="BR570" t="s">
        <v>1487</v>
      </c>
      <c r="BU570">
        <v>0</v>
      </c>
      <c r="BV570">
        <v>0</v>
      </c>
      <c r="BW570">
        <v>0</v>
      </c>
      <c r="BX570">
        <v>0</v>
      </c>
      <c r="BY570">
        <v>0</v>
      </c>
      <c r="BZ570">
        <v>0</v>
      </c>
      <c r="CA570">
        <v>0</v>
      </c>
      <c r="CB570">
        <v>0</v>
      </c>
      <c r="CC570">
        <v>0</v>
      </c>
      <c r="CD570">
        <v>0</v>
      </c>
      <c r="CE570">
        <v>0</v>
      </c>
      <c r="CF570">
        <v>0</v>
      </c>
      <c r="CG570">
        <v>0</v>
      </c>
      <c r="CH570">
        <v>0</v>
      </c>
      <c r="CI570">
        <v>0</v>
      </c>
      <c r="CJ570">
        <v>0</v>
      </c>
      <c r="CK570">
        <v>0</v>
      </c>
      <c r="CL570">
        <v>0</v>
      </c>
      <c r="CM570">
        <v>0</v>
      </c>
      <c r="CR570" t="s">
        <v>2335</v>
      </c>
      <c r="CS570" s="1369" t="str">
        <f>INDEX([8]Sheet1!$H:$H,MATCH(CR:CR,[8]Sheet1!$AU:$AU,0))</f>
        <v>Economic Development/Planning</v>
      </c>
    </row>
    <row r="571" spans="1:97" x14ac:dyDescent="0.2">
      <c r="A571" t="s">
        <v>3132</v>
      </c>
      <c r="B571">
        <v>624</v>
      </c>
      <c r="C571" t="s">
        <v>3132</v>
      </c>
      <c r="D571">
        <v>40678</v>
      </c>
      <c r="E571" t="s">
        <v>3031</v>
      </c>
      <c r="F571">
        <v>200</v>
      </c>
      <c r="G571" t="s">
        <v>559</v>
      </c>
      <c r="H571">
        <v>200</v>
      </c>
      <c r="I571" t="s">
        <v>2863</v>
      </c>
      <c r="J571" t="s">
        <v>2365</v>
      </c>
      <c r="K571" t="s">
        <v>2365</v>
      </c>
      <c r="L571">
        <v>1200</v>
      </c>
      <c r="M571" t="s">
        <v>1480</v>
      </c>
      <c r="N571">
        <v>1204</v>
      </c>
      <c r="O571" t="s">
        <v>1487</v>
      </c>
      <c r="P571" t="s">
        <v>2366</v>
      </c>
      <c r="Q571" t="s">
        <v>2364</v>
      </c>
      <c r="R571" t="s">
        <v>2364</v>
      </c>
      <c r="S571" t="s">
        <v>1881</v>
      </c>
      <c r="T571" t="s">
        <v>1811</v>
      </c>
      <c r="U571" t="s">
        <v>2365</v>
      </c>
      <c r="V571" t="s">
        <v>2365</v>
      </c>
      <c r="W571" t="s">
        <v>2365</v>
      </c>
      <c r="X571" t="s">
        <v>2365</v>
      </c>
      <c r="Y571" t="s">
        <v>2365</v>
      </c>
      <c r="Z571" t="s">
        <v>2365</v>
      </c>
      <c r="AA571" t="s">
        <v>2365</v>
      </c>
      <c r="AB571" t="s">
        <v>2365</v>
      </c>
      <c r="AC571" s="813" t="s">
        <v>2365</v>
      </c>
      <c r="AD571" s="813" t="s">
        <v>2365</v>
      </c>
      <c r="AE571" s="813" t="s">
        <v>2365</v>
      </c>
      <c r="AF571" t="s">
        <v>2365</v>
      </c>
      <c r="AG571" t="s">
        <v>2365</v>
      </c>
      <c r="AH571" t="s">
        <v>2365</v>
      </c>
      <c r="AI571" t="s">
        <v>2365</v>
      </c>
      <c r="AJ571" t="s">
        <v>2365</v>
      </c>
      <c r="AK571" t="s">
        <v>2365</v>
      </c>
      <c r="AL571" t="s">
        <v>2365</v>
      </c>
      <c r="AM571" t="s">
        <v>2365</v>
      </c>
      <c r="AN571" t="s">
        <v>2365</v>
      </c>
      <c r="AR571" t="s">
        <v>2365</v>
      </c>
      <c r="AS571" t="s">
        <v>2365</v>
      </c>
      <c r="AT571" t="s">
        <v>2365</v>
      </c>
      <c r="AU571" t="s">
        <v>2365</v>
      </c>
      <c r="AV571" t="s">
        <v>2365</v>
      </c>
      <c r="AW571" t="s">
        <v>2365</v>
      </c>
      <c r="AX571" t="s">
        <v>2365</v>
      </c>
      <c r="AY571" t="s">
        <v>2365</v>
      </c>
      <c r="AZ571" t="s">
        <v>2365</v>
      </c>
      <c r="BA571" t="s">
        <v>2365</v>
      </c>
      <c r="BB571" t="s">
        <v>2365</v>
      </c>
      <c r="BC571" t="s">
        <v>2365</v>
      </c>
      <c r="BD571" t="s">
        <v>2366</v>
      </c>
      <c r="BE571" t="s">
        <v>2365</v>
      </c>
      <c r="BF571" t="s">
        <v>2365</v>
      </c>
      <c r="BG571" t="s">
        <v>2365</v>
      </c>
      <c r="BH571" t="s">
        <v>2365</v>
      </c>
      <c r="BI571" t="s">
        <v>2366</v>
      </c>
      <c r="BJ571" t="s">
        <v>2365</v>
      </c>
      <c r="BK571" t="s">
        <v>2365</v>
      </c>
      <c r="BL571" t="s">
        <v>2365</v>
      </c>
      <c r="BM571" t="s">
        <v>2365</v>
      </c>
      <c r="BO571">
        <v>1</v>
      </c>
      <c r="BP571">
        <v>11</v>
      </c>
      <c r="BQ571" t="s">
        <v>2369</v>
      </c>
      <c r="BR571" t="s">
        <v>1487</v>
      </c>
      <c r="BU571">
        <v>153344</v>
      </c>
      <c r="BV571">
        <v>0</v>
      </c>
      <c r="BW571">
        <v>153344</v>
      </c>
      <c r="BX571">
        <v>0</v>
      </c>
      <c r="BY571">
        <v>153344</v>
      </c>
      <c r="BZ571">
        <v>162545</v>
      </c>
      <c r="CA571">
        <v>172297</v>
      </c>
      <c r="CB571">
        <v>0</v>
      </c>
      <c r="CC571">
        <v>0</v>
      </c>
      <c r="CD571">
        <v>0</v>
      </c>
      <c r="CE571">
        <v>0</v>
      </c>
      <c r="CF571">
        <v>0</v>
      </c>
      <c r="CG571">
        <v>0</v>
      </c>
      <c r="CH571">
        <v>0</v>
      </c>
      <c r="CI571">
        <v>0</v>
      </c>
      <c r="CJ571">
        <v>0</v>
      </c>
      <c r="CK571">
        <v>0</v>
      </c>
      <c r="CL571">
        <v>0</v>
      </c>
      <c r="CM571">
        <v>0</v>
      </c>
      <c r="CR571" t="s">
        <v>2337</v>
      </c>
      <c r="CS571" s="1369" t="str">
        <f>INDEX([8]Sheet1!$H:$H,MATCH(CR:CR,[8]Sheet1!$AU:$AU,0))</f>
        <v>Corporate Wide Strategic Planning (IDPs, LEDs)</v>
      </c>
    </row>
    <row r="572" spans="1:97" x14ac:dyDescent="0.2">
      <c r="A572" t="s">
        <v>3133</v>
      </c>
      <c r="B572">
        <v>625</v>
      </c>
      <c r="C572" t="s">
        <v>3133</v>
      </c>
      <c r="D572">
        <v>40679</v>
      </c>
      <c r="E572" t="s">
        <v>3033</v>
      </c>
      <c r="F572">
        <v>200</v>
      </c>
      <c r="G572" t="s">
        <v>559</v>
      </c>
      <c r="H572">
        <v>200</v>
      </c>
      <c r="I572" t="s">
        <v>2863</v>
      </c>
      <c r="J572" t="s">
        <v>2365</v>
      </c>
      <c r="K572" t="s">
        <v>2365</v>
      </c>
      <c r="L572">
        <v>1200</v>
      </c>
      <c r="M572" t="s">
        <v>1480</v>
      </c>
      <c r="N572">
        <v>1204</v>
      </c>
      <c r="O572" t="s">
        <v>1487</v>
      </c>
      <c r="P572" t="s">
        <v>2366</v>
      </c>
      <c r="Q572" t="s">
        <v>2364</v>
      </c>
      <c r="R572" t="s">
        <v>2364</v>
      </c>
      <c r="S572" t="s">
        <v>1881</v>
      </c>
      <c r="T572" t="s">
        <v>1811</v>
      </c>
      <c r="U572" t="s">
        <v>2365</v>
      </c>
      <c r="V572" t="s">
        <v>2365</v>
      </c>
      <c r="W572" t="s">
        <v>2365</v>
      </c>
      <c r="X572" t="s">
        <v>2365</v>
      </c>
      <c r="Y572" t="s">
        <v>2365</v>
      </c>
      <c r="Z572" t="s">
        <v>2365</v>
      </c>
      <c r="AA572" t="s">
        <v>2365</v>
      </c>
      <c r="AB572" t="s">
        <v>2365</v>
      </c>
      <c r="AC572" s="813" t="s">
        <v>2365</v>
      </c>
      <c r="AD572" s="813" t="s">
        <v>2365</v>
      </c>
      <c r="AE572" s="813" t="s">
        <v>2365</v>
      </c>
      <c r="AF572" t="s">
        <v>2365</v>
      </c>
      <c r="AG572" t="s">
        <v>2365</v>
      </c>
      <c r="AH572" t="s">
        <v>2365</v>
      </c>
      <c r="AI572" t="s">
        <v>2365</v>
      </c>
      <c r="AJ572" t="s">
        <v>2365</v>
      </c>
      <c r="AK572" t="s">
        <v>2365</v>
      </c>
      <c r="AL572" t="s">
        <v>2365</v>
      </c>
      <c r="AM572" t="s">
        <v>2365</v>
      </c>
      <c r="AN572" t="s">
        <v>2365</v>
      </c>
      <c r="AR572" t="s">
        <v>2365</v>
      </c>
      <c r="AS572" t="s">
        <v>2365</v>
      </c>
      <c r="AT572" t="s">
        <v>2365</v>
      </c>
      <c r="AU572" t="s">
        <v>2365</v>
      </c>
      <c r="AV572" t="s">
        <v>2365</v>
      </c>
      <c r="AW572" t="s">
        <v>2365</v>
      </c>
      <c r="AX572" t="s">
        <v>2365</v>
      </c>
      <c r="AY572" t="s">
        <v>2365</v>
      </c>
      <c r="AZ572" t="s">
        <v>2365</v>
      </c>
      <c r="BA572" t="s">
        <v>2365</v>
      </c>
      <c r="BB572" t="s">
        <v>2365</v>
      </c>
      <c r="BC572" t="s">
        <v>2365</v>
      </c>
      <c r="BD572" t="s">
        <v>2366</v>
      </c>
      <c r="BE572" t="s">
        <v>2365</v>
      </c>
      <c r="BF572" t="s">
        <v>2365</v>
      </c>
      <c r="BG572" t="s">
        <v>2365</v>
      </c>
      <c r="BH572" t="s">
        <v>2365</v>
      </c>
      <c r="BI572" t="s">
        <v>2366</v>
      </c>
      <c r="BJ572" t="s">
        <v>2365</v>
      </c>
      <c r="BK572" t="s">
        <v>2365</v>
      </c>
      <c r="BL572" t="s">
        <v>2365</v>
      </c>
      <c r="BM572" t="s">
        <v>2365</v>
      </c>
      <c r="BO572">
        <v>1</v>
      </c>
      <c r="BP572">
        <v>11</v>
      </c>
      <c r="BQ572" t="s">
        <v>2369</v>
      </c>
      <c r="BR572" t="s">
        <v>1487</v>
      </c>
      <c r="BU572">
        <v>0</v>
      </c>
      <c r="BV572">
        <v>0</v>
      </c>
      <c r="BW572">
        <v>0</v>
      </c>
      <c r="BX572">
        <v>0</v>
      </c>
      <c r="BY572">
        <v>0</v>
      </c>
      <c r="BZ572">
        <v>0</v>
      </c>
      <c r="CA572">
        <v>0</v>
      </c>
      <c r="CB572">
        <v>0</v>
      </c>
      <c r="CC572">
        <v>0</v>
      </c>
      <c r="CD572">
        <v>0</v>
      </c>
      <c r="CE572">
        <v>0</v>
      </c>
      <c r="CF572">
        <v>0</v>
      </c>
      <c r="CG572">
        <v>0</v>
      </c>
      <c r="CH572">
        <v>0</v>
      </c>
      <c r="CI572">
        <v>0</v>
      </c>
      <c r="CJ572">
        <v>0</v>
      </c>
      <c r="CK572">
        <v>0</v>
      </c>
      <c r="CL572">
        <v>0</v>
      </c>
      <c r="CM572">
        <v>0</v>
      </c>
      <c r="CR572" t="s">
        <v>2335</v>
      </c>
      <c r="CS572" s="1369" t="str">
        <f>INDEX([8]Sheet1!$H:$H,MATCH(CR:CR,[8]Sheet1!$AU:$AU,0))</f>
        <v>Economic Development/Planning</v>
      </c>
    </row>
    <row r="573" spans="1:97" x14ac:dyDescent="0.2">
      <c r="A573" t="s">
        <v>3134</v>
      </c>
      <c r="B573">
        <v>626</v>
      </c>
      <c r="C573" t="s">
        <v>3134</v>
      </c>
      <c r="D573">
        <v>40680</v>
      </c>
      <c r="E573" t="s">
        <v>3035</v>
      </c>
      <c r="F573">
        <v>200</v>
      </c>
      <c r="G573" t="s">
        <v>559</v>
      </c>
      <c r="H573">
        <v>200</v>
      </c>
      <c r="I573" t="s">
        <v>2863</v>
      </c>
      <c r="J573" t="s">
        <v>2365</v>
      </c>
      <c r="K573" t="s">
        <v>2365</v>
      </c>
      <c r="L573">
        <v>1200</v>
      </c>
      <c r="M573" t="s">
        <v>1480</v>
      </c>
      <c r="N573">
        <v>1204</v>
      </c>
      <c r="O573" t="s">
        <v>1487</v>
      </c>
      <c r="P573" t="s">
        <v>2366</v>
      </c>
      <c r="Q573" t="s">
        <v>2364</v>
      </c>
      <c r="R573" t="s">
        <v>2364</v>
      </c>
      <c r="S573" t="s">
        <v>1881</v>
      </c>
      <c r="T573" t="s">
        <v>1811</v>
      </c>
      <c r="U573" t="s">
        <v>2365</v>
      </c>
      <c r="V573" t="s">
        <v>2365</v>
      </c>
      <c r="W573" t="s">
        <v>2365</v>
      </c>
      <c r="X573" t="s">
        <v>2365</v>
      </c>
      <c r="Y573" t="s">
        <v>2365</v>
      </c>
      <c r="Z573" t="s">
        <v>2365</v>
      </c>
      <c r="AA573" t="s">
        <v>2365</v>
      </c>
      <c r="AB573" t="s">
        <v>2365</v>
      </c>
      <c r="AC573" s="813" t="s">
        <v>2365</v>
      </c>
      <c r="AD573" s="813" t="s">
        <v>2365</v>
      </c>
      <c r="AE573" s="813" t="s">
        <v>2365</v>
      </c>
      <c r="AF573" t="s">
        <v>2365</v>
      </c>
      <c r="AG573" t="s">
        <v>2365</v>
      </c>
      <c r="AH573" t="s">
        <v>2365</v>
      </c>
      <c r="AI573" t="s">
        <v>2365</v>
      </c>
      <c r="AJ573" t="s">
        <v>2365</v>
      </c>
      <c r="AK573" t="s">
        <v>2365</v>
      </c>
      <c r="AL573" t="s">
        <v>2365</v>
      </c>
      <c r="AM573" t="s">
        <v>2365</v>
      </c>
      <c r="AN573" t="s">
        <v>2365</v>
      </c>
      <c r="AR573" t="s">
        <v>2365</v>
      </c>
      <c r="AS573" t="s">
        <v>2365</v>
      </c>
      <c r="AT573" t="s">
        <v>2365</v>
      </c>
      <c r="AU573" t="s">
        <v>2365</v>
      </c>
      <c r="AV573" t="s">
        <v>2365</v>
      </c>
      <c r="AW573" t="s">
        <v>2365</v>
      </c>
      <c r="AX573" t="s">
        <v>2365</v>
      </c>
      <c r="AY573" t="s">
        <v>2365</v>
      </c>
      <c r="AZ573" t="s">
        <v>2365</v>
      </c>
      <c r="BA573" t="s">
        <v>2365</v>
      </c>
      <c r="BB573" t="s">
        <v>2365</v>
      </c>
      <c r="BC573" t="s">
        <v>2365</v>
      </c>
      <c r="BD573" t="s">
        <v>2366</v>
      </c>
      <c r="BE573" t="s">
        <v>2365</v>
      </c>
      <c r="BF573" t="s">
        <v>2365</v>
      </c>
      <c r="BG573" t="s">
        <v>2365</v>
      </c>
      <c r="BH573" t="s">
        <v>2365</v>
      </c>
      <c r="BI573" t="s">
        <v>2366</v>
      </c>
      <c r="BJ573" t="s">
        <v>2365</v>
      </c>
      <c r="BK573" t="s">
        <v>2365</v>
      </c>
      <c r="BL573" t="s">
        <v>2365</v>
      </c>
      <c r="BM573" t="s">
        <v>2365</v>
      </c>
      <c r="BO573">
        <v>1</v>
      </c>
      <c r="BP573">
        <v>11</v>
      </c>
      <c r="BQ573" t="s">
        <v>2369</v>
      </c>
      <c r="BR573" t="s">
        <v>1487</v>
      </c>
      <c r="BU573">
        <v>0</v>
      </c>
      <c r="BV573">
        <v>0</v>
      </c>
      <c r="BW573">
        <v>0</v>
      </c>
      <c r="BX573">
        <v>0</v>
      </c>
      <c r="BY573">
        <v>0</v>
      </c>
      <c r="BZ573">
        <v>0</v>
      </c>
      <c r="CA573">
        <v>0</v>
      </c>
      <c r="CB573">
        <v>0</v>
      </c>
      <c r="CC573">
        <v>0</v>
      </c>
      <c r="CD573">
        <v>0</v>
      </c>
      <c r="CE573">
        <v>0</v>
      </c>
      <c r="CF573">
        <v>0</v>
      </c>
      <c r="CG573">
        <v>0</v>
      </c>
      <c r="CH573">
        <v>0</v>
      </c>
      <c r="CI573">
        <v>0</v>
      </c>
      <c r="CJ573">
        <v>0</v>
      </c>
      <c r="CK573">
        <v>0</v>
      </c>
      <c r="CL573">
        <v>0</v>
      </c>
      <c r="CM573">
        <v>0</v>
      </c>
      <c r="CR573" t="s">
        <v>2333</v>
      </c>
      <c r="CS573" s="1369" t="str">
        <f>INDEX([8]Sheet1!$H:$H,MATCH(CR:CR,[8]Sheet1!$AU:$AU,0))</f>
        <v>Municipal Manager, Town Secretary and Chief Executive</v>
      </c>
    </row>
    <row r="574" spans="1:97" x14ac:dyDescent="0.2">
      <c r="A574" t="s">
        <v>3135</v>
      </c>
      <c r="B574">
        <v>627</v>
      </c>
      <c r="C574" t="s">
        <v>3135</v>
      </c>
      <c r="D574">
        <v>40681</v>
      </c>
      <c r="E574" t="s">
        <v>3037</v>
      </c>
      <c r="F574">
        <v>200</v>
      </c>
      <c r="G574" t="s">
        <v>559</v>
      </c>
      <c r="H574">
        <v>200</v>
      </c>
      <c r="I574" t="s">
        <v>2863</v>
      </c>
      <c r="J574" t="s">
        <v>2365</v>
      </c>
      <c r="K574" t="s">
        <v>2365</v>
      </c>
      <c r="L574">
        <v>1200</v>
      </c>
      <c r="M574" t="s">
        <v>1480</v>
      </c>
      <c r="N574">
        <v>1204</v>
      </c>
      <c r="O574" t="s">
        <v>1487</v>
      </c>
      <c r="P574" t="s">
        <v>2366</v>
      </c>
      <c r="Q574" t="s">
        <v>2364</v>
      </c>
      <c r="R574" t="s">
        <v>2364</v>
      </c>
      <c r="S574" t="s">
        <v>1881</v>
      </c>
      <c r="T574" t="s">
        <v>1811</v>
      </c>
      <c r="U574" t="s">
        <v>2365</v>
      </c>
      <c r="V574" t="s">
        <v>2365</v>
      </c>
      <c r="W574" t="s">
        <v>2365</v>
      </c>
      <c r="X574" t="s">
        <v>2365</v>
      </c>
      <c r="Y574" t="s">
        <v>2365</v>
      </c>
      <c r="Z574" t="s">
        <v>2365</v>
      </c>
      <c r="AA574" t="s">
        <v>2365</v>
      </c>
      <c r="AB574" t="s">
        <v>2365</v>
      </c>
      <c r="AC574" s="813" t="s">
        <v>2365</v>
      </c>
      <c r="AD574" s="813" t="s">
        <v>2365</v>
      </c>
      <c r="AE574" s="813" t="s">
        <v>2365</v>
      </c>
      <c r="AF574" t="s">
        <v>2365</v>
      </c>
      <c r="AG574" t="s">
        <v>2365</v>
      </c>
      <c r="AH574" t="s">
        <v>2365</v>
      </c>
      <c r="AI574" t="s">
        <v>2365</v>
      </c>
      <c r="AJ574" t="s">
        <v>2365</v>
      </c>
      <c r="AK574" t="s">
        <v>2365</v>
      </c>
      <c r="AL574" t="s">
        <v>2365</v>
      </c>
      <c r="AM574" t="s">
        <v>2365</v>
      </c>
      <c r="AN574" t="s">
        <v>2365</v>
      </c>
      <c r="AR574" t="s">
        <v>2365</v>
      </c>
      <c r="AS574" t="s">
        <v>2365</v>
      </c>
      <c r="AT574" t="s">
        <v>2365</v>
      </c>
      <c r="AU574" t="s">
        <v>2365</v>
      </c>
      <c r="AV574" t="s">
        <v>2365</v>
      </c>
      <c r="AW574" t="s">
        <v>2365</v>
      </c>
      <c r="AX574" t="s">
        <v>2365</v>
      </c>
      <c r="AY574" t="s">
        <v>2365</v>
      </c>
      <c r="AZ574" t="s">
        <v>2365</v>
      </c>
      <c r="BA574" t="s">
        <v>2365</v>
      </c>
      <c r="BB574" t="s">
        <v>2365</v>
      </c>
      <c r="BC574" t="s">
        <v>2365</v>
      </c>
      <c r="BD574" t="s">
        <v>2366</v>
      </c>
      <c r="BE574" t="s">
        <v>2365</v>
      </c>
      <c r="BF574" t="s">
        <v>2365</v>
      </c>
      <c r="BG574" t="s">
        <v>2365</v>
      </c>
      <c r="BH574" t="s">
        <v>2365</v>
      </c>
      <c r="BI574" t="s">
        <v>2366</v>
      </c>
      <c r="BJ574" t="s">
        <v>2365</v>
      </c>
      <c r="BK574" t="s">
        <v>2365</v>
      </c>
      <c r="BL574" t="s">
        <v>2365</v>
      </c>
      <c r="BM574" t="s">
        <v>2365</v>
      </c>
      <c r="BO574">
        <v>1</v>
      </c>
      <c r="BP574">
        <v>11</v>
      </c>
      <c r="BQ574" t="s">
        <v>2369</v>
      </c>
      <c r="BR574" t="s">
        <v>1487</v>
      </c>
      <c r="BU574">
        <v>0</v>
      </c>
      <c r="BV574">
        <v>0</v>
      </c>
      <c r="BW574">
        <v>0</v>
      </c>
      <c r="BX574">
        <v>0</v>
      </c>
      <c r="BY574">
        <v>0</v>
      </c>
      <c r="BZ574">
        <v>0</v>
      </c>
      <c r="CA574">
        <v>0</v>
      </c>
      <c r="CB574">
        <v>0</v>
      </c>
      <c r="CC574">
        <v>0</v>
      </c>
      <c r="CD574">
        <v>0</v>
      </c>
      <c r="CE574">
        <v>0</v>
      </c>
      <c r="CF574">
        <v>0</v>
      </c>
      <c r="CG574">
        <v>0</v>
      </c>
      <c r="CH574">
        <v>0</v>
      </c>
      <c r="CI574">
        <v>0</v>
      </c>
      <c r="CJ574">
        <v>0</v>
      </c>
      <c r="CK574">
        <v>0</v>
      </c>
      <c r="CL574">
        <v>0</v>
      </c>
      <c r="CM574">
        <v>0</v>
      </c>
      <c r="CR574" t="s">
        <v>2333</v>
      </c>
      <c r="CS574" s="1369" t="str">
        <f>INDEX([8]Sheet1!$H:$H,MATCH(CR:CR,[8]Sheet1!$AU:$AU,0))</f>
        <v>Municipal Manager, Town Secretary and Chief Executive</v>
      </c>
    </row>
    <row r="575" spans="1:97" x14ac:dyDescent="0.2">
      <c r="A575" t="s">
        <v>3136</v>
      </c>
      <c r="B575">
        <v>628</v>
      </c>
      <c r="C575" t="s">
        <v>3136</v>
      </c>
      <c r="D575">
        <v>40682</v>
      </c>
      <c r="E575" t="s">
        <v>2862</v>
      </c>
      <c r="F575">
        <v>200</v>
      </c>
      <c r="G575" t="s">
        <v>559</v>
      </c>
      <c r="H575">
        <v>200</v>
      </c>
      <c r="I575" t="s">
        <v>2863</v>
      </c>
      <c r="J575" t="s">
        <v>2365</v>
      </c>
      <c r="K575" t="s">
        <v>2365</v>
      </c>
      <c r="L575">
        <v>1200</v>
      </c>
      <c r="M575" t="s">
        <v>1480</v>
      </c>
      <c r="N575">
        <v>1204</v>
      </c>
      <c r="O575" t="s">
        <v>1487</v>
      </c>
      <c r="P575" t="s">
        <v>2366</v>
      </c>
      <c r="Q575" t="s">
        <v>2364</v>
      </c>
      <c r="R575" t="s">
        <v>2364</v>
      </c>
      <c r="S575" t="s">
        <v>1881</v>
      </c>
      <c r="T575" t="s">
        <v>1811</v>
      </c>
      <c r="U575" t="s">
        <v>2365</v>
      </c>
      <c r="V575" t="s">
        <v>2365</v>
      </c>
      <c r="W575" t="s">
        <v>2365</v>
      </c>
      <c r="X575" t="s">
        <v>2365</v>
      </c>
      <c r="Y575" t="s">
        <v>2365</v>
      </c>
      <c r="Z575" t="s">
        <v>2365</v>
      </c>
      <c r="AA575" t="s">
        <v>2365</v>
      </c>
      <c r="AB575" t="s">
        <v>2365</v>
      </c>
      <c r="AC575" s="813" t="s">
        <v>2365</v>
      </c>
      <c r="AD575" s="813" t="s">
        <v>2365</v>
      </c>
      <c r="AE575" s="813" t="s">
        <v>2365</v>
      </c>
      <c r="AF575" t="s">
        <v>2365</v>
      </c>
      <c r="AG575" t="s">
        <v>2365</v>
      </c>
      <c r="AH575" t="s">
        <v>2365</v>
      </c>
      <c r="AI575" t="s">
        <v>2365</v>
      </c>
      <c r="AJ575" t="s">
        <v>2365</v>
      </c>
      <c r="AK575" t="s">
        <v>2365</v>
      </c>
      <c r="AL575" t="s">
        <v>2365</v>
      </c>
      <c r="AM575" t="s">
        <v>2365</v>
      </c>
      <c r="AN575" t="s">
        <v>2365</v>
      </c>
      <c r="AR575" t="s">
        <v>2365</v>
      </c>
      <c r="AS575" t="s">
        <v>2365</v>
      </c>
      <c r="AT575" t="s">
        <v>2365</v>
      </c>
      <c r="AU575" t="s">
        <v>2365</v>
      </c>
      <c r="AV575" t="s">
        <v>2365</v>
      </c>
      <c r="AW575" t="s">
        <v>2365</v>
      </c>
      <c r="AX575" t="s">
        <v>2365</v>
      </c>
      <c r="AY575" t="s">
        <v>2365</v>
      </c>
      <c r="AZ575" t="s">
        <v>2365</v>
      </c>
      <c r="BA575" t="s">
        <v>2365</v>
      </c>
      <c r="BB575" t="s">
        <v>2365</v>
      </c>
      <c r="BC575" t="s">
        <v>2365</v>
      </c>
      <c r="BD575" t="s">
        <v>2366</v>
      </c>
      <c r="BE575" t="s">
        <v>2365</v>
      </c>
      <c r="BF575" t="s">
        <v>2365</v>
      </c>
      <c r="BG575" t="s">
        <v>2365</v>
      </c>
      <c r="BH575" t="s">
        <v>2365</v>
      </c>
      <c r="BI575" t="s">
        <v>2366</v>
      </c>
      <c r="BJ575" t="s">
        <v>2365</v>
      </c>
      <c r="BK575" t="s">
        <v>2365</v>
      </c>
      <c r="BL575" t="s">
        <v>2365</v>
      </c>
      <c r="BM575" t="s">
        <v>2365</v>
      </c>
      <c r="BO575">
        <v>1</v>
      </c>
      <c r="BP575">
        <v>11</v>
      </c>
      <c r="BQ575" t="s">
        <v>2369</v>
      </c>
      <c r="BR575" t="s">
        <v>1487</v>
      </c>
      <c r="BU575">
        <v>0</v>
      </c>
      <c r="BV575">
        <v>0</v>
      </c>
      <c r="BW575">
        <v>0</v>
      </c>
      <c r="BX575">
        <v>0</v>
      </c>
      <c r="BY575">
        <v>0</v>
      </c>
      <c r="BZ575">
        <v>0</v>
      </c>
      <c r="CA575">
        <v>0</v>
      </c>
      <c r="CB575">
        <v>0</v>
      </c>
      <c r="CC575">
        <v>0</v>
      </c>
      <c r="CD575">
        <v>0</v>
      </c>
      <c r="CE575">
        <v>0</v>
      </c>
      <c r="CF575">
        <v>0</v>
      </c>
      <c r="CG575">
        <v>0</v>
      </c>
      <c r="CH575">
        <v>0</v>
      </c>
      <c r="CI575">
        <v>0</v>
      </c>
      <c r="CJ575">
        <v>0</v>
      </c>
      <c r="CK575">
        <v>0</v>
      </c>
      <c r="CL575">
        <v>0</v>
      </c>
      <c r="CM575">
        <v>0</v>
      </c>
      <c r="CR575" t="s">
        <v>2333</v>
      </c>
      <c r="CS575" s="1369" t="str">
        <f>INDEX([8]Sheet1!$H:$H,MATCH(CR:CR,[8]Sheet1!$AU:$AU,0))</f>
        <v>Municipal Manager, Town Secretary and Chief Executive</v>
      </c>
    </row>
    <row r="576" spans="1:97" x14ac:dyDescent="0.2">
      <c r="A576" t="s">
        <v>3137</v>
      </c>
      <c r="B576">
        <v>629</v>
      </c>
      <c r="C576" t="s">
        <v>3137</v>
      </c>
      <c r="D576">
        <v>40683</v>
      </c>
      <c r="E576" t="s">
        <v>3040</v>
      </c>
      <c r="F576">
        <v>200</v>
      </c>
      <c r="G576" t="s">
        <v>559</v>
      </c>
      <c r="H576">
        <v>200</v>
      </c>
      <c r="I576" t="s">
        <v>2863</v>
      </c>
      <c r="J576" t="s">
        <v>2365</v>
      </c>
      <c r="K576" t="s">
        <v>2365</v>
      </c>
      <c r="L576">
        <v>1200</v>
      </c>
      <c r="M576" t="s">
        <v>1480</v>
      </c>
      <c r="N576">
        <v>1204</v>
      </c>
      <c r="O576" t="s">
        <v>1487</v>
      </c>
      <c r="P576" t="s">
        <v>2366</v>
      </c>
      <c r="Q576" t="s">
        <v>2364</v>
      </c>
      <c r="R576" t="s">
        <v>2364</v>
      </c>
      <c r="S576" t="s">
        <v>1881</v>
      </c>
      <c r="T576" t="s">
        <v>1811</v>
      </c>
      <c r="U576" t="s">
        <v>2365</v>
      </c>
      <c r="V576" t="s">
        <v>2365</v>
      </c>
      <c r="W576" t="s">
        <v>2365</v>
      </c>
      <c r="X576" t="s">
        <v>2365</v>
      </c>
      <c r="Y576" t="s">
        <v>2365</v>
      </c>
      <c r="Z576" t="s">
        <v>2365</v>
      </c>
      <c r="AA576" t="s">
        <v>2365</v>
      </c>
      <c r="AB576" t="s">
        <v>2365</v>
      </c>
      <c r="AC576" s="813" t="s">
        <v>2365</v>
      </c>
      <c r="AD576" s="813" t="s">
        <v>2365</v>
      </c>
      <c r="AE576" s="813" t="s">
        <v>2365</v>
      </c>
      <c r="AF576" t="s">
        <v>2365</v>
      </c>
      <c r="AG576" t="s">
        <v>2365</v>
      </c>
      <c r="AH576" t="s">
        <v>2365</v>
      </c>
      <c r="AI576" t="s">
        <v>2365</v>
      </c>
      <c r="AJ576" t="s">
        <v>2365</v>
      </c>
      <c r="AK576" t="s">
        <v>2365</v>
      </c>
      <c r="AL576" t="s">
        <v>2365</v>
      </c>
      <c r="AM576" t="s">
        <v>2365</v>
      </c>
      <c r="AN576" t="s">
        <v>2365</v>
      </c>
      <c r="AR576" t="s">
        <v>2365</v>
      </c>
      <c r="AS576" t="s">
        <v>2365</v>
      </c>
      <c r="AT576" t="s">
        <v>2365</v>
      </c>
      <c r="AU576" t="s">
        <v>2365</v>
      </c>
      <c r="AV576" t="s">
        <v>2365</v>
      </c>
      <c r="AW576" t="s">
        <v>2365</v>
      </c>
      <c r="AX576" t="s">
        <v>2365</v>
      </c>
      <c r="AY576" t="s">
        <v>2365</v>
      </c>
      <c r="AZ576" t="s">
        <v>2365</v>
      </c>
      <c r="BA576" t="s">
        <v>2365</v>
      </c>
      <c r="BB576" t="s">
        <v>2365</v>
      </c>
      <c r="BC576" t="s">
        <v>2365</v>
      </c>
      <c r="BD576" t="s">
        <v>2366</v>
      </c>
      <c r="BE576" t="s">
        <v>2365</v>
      </c>
      <c r="BF576" t="s">
        <v>2365</v>
      </c>
      <c r="BG576" t="s">
        <v>2365</v>
      </c>
      <c r="BH576" t="s">
        <v>2365</v>
      </c>
      <c r="BI576" t="s">
        <v>2366</v>
      </c>
      <c r="BJ576" t="s">
        <v>2365</v>
      </c>
      <c r="BK576" t="s">
        <v>2365</v>
      </c>
      <c r="BL576" t="s">
        <v>2365</v>
      </c>
      <c r="BM576" t="s">
        <v>2365</v>
      </c>
      <c r="BO576">
        <v>1</v>
      </c>
      <c r="BP576">
        <v>11</v>
      </c>
      <c r="BQ576" t="s">
        <v>2369</v>
      </c>
      <c r="BR576" t="s">
        <v>1487</v>
      </c>
      <c r="BU576">
        <v>0</v>
      </c>
      <c r="BV576">
        <v>0</v>
      </c>
      <c r="BW576">
        <v>0</v>
      </c>
      <c r="BX576">
        <v>0</v>
      </c>
      <c r="BY576">
        <v>0</v>
      </c>
      <c r="BZ576">
        <v>0</v>
      </c>
      <c r="CA576">
        <v>0</v>
      </c>
      <c r="CB576">
        <v>0</v>
      </c>
      <c r="CC576">
        <v>0</v>
      </c>
      <c r="CD576">
        <v>0</v>
      </c>
      <c r="CE576">
        <v>0</v>
      </c>
      <c r="CF576">
        <v>0</v>
      </c>
      <c r="CG576">
        <v>0</v>
      </c>
      <c r="CH576">
        <v>0</v>
      </c>
      <c r="CI576">
        <v>0</v>
      </c>
      <c r="CJ576">
        <v>0</v>
      </c>
      <c r="CK576">
        <v>0</v>
      </c>
      <c r="CL576">
        <v>0</v>
      </c>
      <c r="CM576">
        <v>0</v>
      </c>
      <c r="CR576" t="s">
        <v>2333</v>
      </c>
      <c r="CS576" s="1369" t="str">
        <f>INDEX([8]Sheet1!$H:$H,MATCH(CR:CR,[8]Sheet1!$AU:$AU,0))</f>
        <v>Municipal Manager, Town Secretary and Chief Executive</v>
      </c>
    </row>
    <row r="577" spans="1:97" x14ac:dyDescent="0.2">
      <c r="A577" t="s">
        <v>3138</v>
      </c>
      <c r="B577">
        <v>630</v>
      </c>
      <c r="C577" t="s">
        <v>3138</v>
      </c>
      <c r="D577">
        <v>40684</v>
      </c>
      <c r="E577" t="s">
        <v>3042</v>
      </c>
      <c r="F577">
        <v>200</v>
      </c>
      <c r="G577" t="s">
        <v>559</v>
      </c>
      <c r="H577" s="1373">
        <v>200</v>
      </c>
      <c r="I577" t="s">
        <v>2863</v>
      </c>
      <c r="J577" t="s">
        <v>2365</v>
      </c>
      <c r="K577" t="s">
        <v>2365</v>
      </c>
      <c r="L577" s="1373">
        <v>1200</v>
      </c>
      <c r="M577" t="s">
        <v>1480</v>
      </c>
      <c r="N577">
        <v>1204</v>
      </c>
      <c r="O577" t="s">
        <v>1487</v>
      </c>
      <c r="P577" t="s">
        <v>2366</v>
      </c>
      <c r="Q577" t="s">
        <v>2364</v>
      </c>
      <c r="R577" t="s">
        <v>2364</v>
      </c>
      <c r="S577" t="s">
        <v>1881</v>
      </c>
      <c r="T577" t="s">
        <v>1811</v>
      </c>
      <c r="U577" t="s">
        <v>2365</v>
      </c>
      <c r="V577" t="s">
        <v>2365</v>
      </c>
      <c r="W577" t="s">
        <v>2365</v>
      </c>
      <c r="X577" t="s">
        <v>2365</v>
      </c>
      <c r="Y577" t="s">
        <v>2365</v>
      </c>
      <c r="Z577" t="s">
        <v>2365</v>
      </c>
      <c r="AA577" t="s">
        <v>2365</v>
      </c>
      <c r="AB577" t="s">
        <v>2365</v>
      </c>
      <c r="AC577" s="813" t="s">
        <v>2365</v>
      </c>
      <c r="AD577" s="813" t="s">
        <v>2365</v>
      </c>
      <c r="AE577" s="813" t="s">
        <v>2365</v>
      </c>
      <c r="AF577" t="s">
        <v>2365</v>
      </c>
      <c r="AG577" t="s">
        <v>2365</v>
      </c>
      <c r="AH577" t="s">
        <v>2365</v>
      </c>
      <c r="AI577" t="s">
        <v>2365</v>
      </c>
      <c r="AJ577" t="s">
        <v>2365</v>
      </c>
      <c r="AK577" t="s">
        <v>2365</v>
      </c>
      <c r="AL577" t="s">
        <v>2365</v>
      </c>
      <c r="AM577" t="s">
        <v>2365</v>
      </c>
      <c r="AN577" t="s">
        <v>2365</v>
      </c>
      <c r="AR577" t="s">
        <v>2365</v>
      </c>
      <c r="AS577" t="s">
        <v>2365</v>
      </c>
      <c r="AT577" t="s">
        <v>2365</v>
      </c>
      <c r="AU577" t="s">
        <v>2365</v>
      </c>
      <c r="AV577" t="s">
        <v>2365</v>
      </c>
      <c r="AW577" t="s">
        <v>2365</v>
      </c>
      <c r="AX577" t="s">
        <v>2365</v>
      </c>
      <c r="AY577" t="s">
        <v>2365</v>
      </c>
      <c r="AZ577" t="s">
        <v>2365</v>
      </c>
      <c r="BA577" t="s">
        <v>2365</v>
      </c>
      <c r="BB577" t="s">
        <v>2365</v>
      </c>
      <c r="BC577" t="s">
        <v>2365</v>
      </c>
      <c r="BD577" t="s">
        <v>2366</v>
      </c>
      <c r="BE577" t="s">
        <v>2365</v>
      </c>
      <c r="BF577" t="s">
        <v>2365</v>
      </c>
      <c r="BG577" t="s">
        <v>2365</v>
      </c>
      <c r="BH577" t="s">
        <v>2365</v>
      </c>
      <c r="BI577" t="s">
        <v>2366</v>
      </c>
      <c r="BJ577" t="s">
        <v>2365</v>
      </c>
      <c r="BK577" t="s">
        <v>2365</v>
      </c>
      <c r="BL577" t="s">
        <v>2365</v>
      </c>
      <c r="BM577" t="s">
        <v>2365</v>
      </c>
      <c r="BO577">
        <v>1</v>
      </c>
      <c r="BP577">
        <v>11</v>
      </c>
      <c r="BQ577" t="s">
        <v>2369</v>
      </c>
      <c r="BR577" t="s">
        <v>1487</v>
      </c>
      <c r="BU577" s="1371">
        <v>0</v>
      </c>
      <c r="BV577" s="1371">
        <v>0</v>
      </c>
      <c r="BW577" s="1371">
        <v>0</v>
      </c>
      <c r="BX577" s="1371">
        <v>0</v>
      </c>
      <c r="BY577" s="1371">
        <v>0</v>
      </c>
      <c r="BZ577">
        <v>0</v>
      </c>
      <c r="CA577">
        <v>0</v>
      </c>
      <c r="CB577">
        <v>0</v>
      </c>
      <c r="CC577">
        <v>0</v>
      </c>
      <c r="CD577">
        <v>0</v>
      </c>
      <c r="CE577">
        <v>0</v>
      </c>
      <c r="CF577">
        <v>0</v>
      </c>
      <c r="CG577">
        <v>0</v>
      </c>
      <c r="CH577">
        <v>0</v>
      </c>
      <c r="CI577">
        <v>0</v>
      </c>
      <c r="CJ577">
        <v>0</v>
      </c>
      <c r="CK577">
        <v>0</v>
      </c>
      <c r="CL577">
        <v>0</v>
      </c>
      <c r="CM577">
        <v>0</v>
      </c>
      <c r="CR577" t="s">
        <v>2328</v>
      </c>
      <c r="CS577" s="1369" t="str">
        <f>INDEX([8]Sheet1!$H:$H,MATCH(CR:CR,[8]Sheet1!$AU:$AU,0))</f>
        <v>Water Distribution</v>
      </c>
    </row>
    <row r="578" spans="1:97" x14ac:dyDescent="0.2">
      <c r="A578" t="s">
        <v>3139</v>
      </c>
      <c r="B578">
        <v>631</v>
      </c>
      <c r="C578" t="s">
        <v>3139</v>
      </c>
      <c r="D578">
        <v>40685</v>
      </c>
      <c r="E578" t="s">
        <v>3044</v>
      </c>
      <c r="F578">
        <v>200</v>
      </c>
      <c r="G578" t="s">
        <v>559</v>
      </c>
      <c r="H578" s="1373">
        <v>200</v>
      </c>
      <c r="I578" t="s">
        <v>2863</v>
      </c>
      <c r="J578" t="s">
        <v>2365</v>
      </c>
      <c r="K578" t="s">
        <v>2365</v>
      </c>
      <c r="L578" s="1373">
        <v>1200</v>
      </c>
      <c r="M578" t="s">
        <v>1480</v>
      </c>
      <c r="N578">
        <v>1204</v>
      </c>
      <c r="O578" t="s">
        <v>1487</v>
      </c>
      <c r="P578" t="s">
        <v>2366</v>
      </c>
      <c r="Q578" t="s">
        <v>2364</v>
      </c>
      <c r="R578" t="s">
        <v>2364</v>
      </c>
      <c r="S578" t="s">
        <v>1881</v>
      </c>
      <c r="T578" t="s">
        <v>1811</v>
      </c>
      <c r="U578" t="s">
        <v>2365</v>
      </c>
      <c r="V578" t="s">
        <v>2365</v>
      </c>
      <c r="W578" t="s">
        <v>2365</v>
      </c>
      <c r="X578" t="s">
        <v>2365</v>
      </c>
      <c r="Y578" t="s">
        <v>2365</v>
      </c>
      <c r="Z578" t="s">
        <v>2365</v>
      </c>
      <c r="AA578" t="s">
        <v>2365</v>
      </c>
      <c r="AB578" t="s">
        <v>2365</v>
      </c>
      <c r="AC578" s="813" t="s">
        <v>2365</v>
      </c>
      <c r="AD578" s="813" t="s">
        <v>2365</v>
      </c>
      <c r="AE578" s="813" t="s">
        <v>2365</v>
      </c>
      <c r="AF578" t="s">
        <v>2365</v>
      </c>
      <c r="AG578" t="s">
        <v>2365</v>
      </c>
      <c r="AH578" t="s">
        <v>2365</v>
      </c>
      <c r="AI578" t="s">
        <v>2365</v>
      </c>
      <c r="AJ578" t="s">
        <v>2365</v>
      </c>
      <c r="AK578" t="s">
        <v>2365</v>
      </c>
      <c r="AL578" t="s">
        <v>2365</v>
      </c>
      <c r="AM578" t="s">
        <v>2365</v>
      </c>
      <c r="AN578" t="s">
        <v>2365</v>
      </c>
      <c r="AR578" t="s">
        <v>2365</v>
      </c>
      <c r="AS578" t="s">
        <v>2365</v>
      </c>
      <c r="AT578" t="s">
        <v>2365</v>
      </c>
      <c r="AU578" t="s">
        <v>2365</v>
      </c>
      <c r="AV578" t="s">
        <v>2365</v>
      </c>
      <c r="AW578" t="s">
        <v>2365</v>
      </c>
      <c r="AX578" t="s">
        <v>2365</v>
      </c>
      <c r="AY578" t="s">
        <v>2365</v>
      </c>
      <c r="AZ578" t="s">
        <v>2365</v>
      </c>
      <c r="BA578" t="s">
        <v>2365</v>
      </c>
      <c r="BB578" t="s">
        <v>2365</v>
      </c>
      <c r="BC578" t="s">
        <v>2365</v>
      </c>
      <c r="BD578" t="s">
        <v>2366</v>
      </c>
      <c r="BE578" t="s">
        <v>2365</v>
      </c>
      <c r="BF578" t="s">
        <v>2365</v>
      </c>
      <c r="BG578" t="s">
        <v>2365</v>
      </c>
      <c r="BH578" t="s">
        <v>2365</v>
      </c>
      <c r="BI578" t="s">
        <v>2366</v>
      </c>
      <c r="BJ578" t="s">
        <v>2365</v>
      </c>
      <c r="BK578" t="s">
        <v>2365</v>
      </c>
      <c r="BL578" t="s">
        <v>2365</v>
      </c>
      <c r="BM578" t="s">
        <v>2365</v>
      </c>
      <c r="BO578">
        <v>1</v>
      </c>
      <c r="BP578">
        <v>11</v>
      </c>
      <c r="BQ578" t="s">
        <v>2369</v>
      </c>
      <c r="BR578" t="s">
        <v>1487</v>
      </c>
      <c r="BU578" s="1371">
        <v>0</v>
      </c>
      <c r="BV578" s="1371">
        <v>0</v>
      </c>
      <c r="BW578" s="1371">
        <v>0</v>
      </c>
      <c r="BX578" s="1371">
        <v>0</v>
      </c>
      <c r="BY578" s="1371">
        <v>0</v>
      </c>
      <c r="BZ578">
        <v>0</v>
      </c>
      <c r="CA578">
        <v>0</v>
      </c>
      <c r="CB578">
        <v>0</v>
      </c>
      <c r="CC578">
        <v>0</v>
      </c>
      <c r="CD578">
        <v>0</v>
      </c>
      <c r="CE578">
        <v>0</v>
      </c>
      <c r="CF578">
        <v>0</v>
      </c>
      <c r="CG578">
        <v>0</v>
      </c>
      <c r="CH578">
        <v>0</v>
      </c>
      <c r="CI578">
        <v>0</v>
      </c>
      <c r="CJ578">
        <v>0</v>
      </c>
      <c r="CK578">
        <v>0</v>
      </c>
      <c r="CL578">
        <v>0</v>
      </c>
      <c r="CM578">
        <v>0</v>
      </c>
      <c r="CR578" t="s">
        <v>2328</v>
      </c>
      <c r="CS578" s="1369" t="str">
        <f>INDEX([8]Sheet1!$H:$H,MATCH(CR:CR,[8]Sheet1!$AU:$AU,0))</f>
        <v>Water Distribution</v>
      </c>
    </row>
    <row r="579" spans="1:97" x14ac:dyDescent="0.2">
      <c r="A579" t="s">
        <v>3140</v>
      </c>
      <c r="B579">
        <v>632</v>
      </c>
      <c r="C579" t="s">
        <v>3140</v>
      </c>
      <c r="D579">
        <v>40686</v>
      </c>
      <c r="E579" t="s">
        <v>3046</v>
      </c>
      <c r="F579">
        <v>200</v>
      </c>
      <c r="G579" t="s">
        <v>559</v>
      </c>
      <c r="H579" s="1373">
        <v>200</v>
      </c>
      <c r="I579" t="s">
        <v>2863</v>
      </c>
      <c r="J579" t="s">
        <v>2365</v>
      </c>
      <c r="K579" t="s">
        <v>2365</v>
      </c>
      <c r="L579" s="1373">
        <v>1200</v>
      </c>
      <c r="M579" t="s">
        <v>1480</v>
      </c>
      <c r="N579">
        <v>1204</v>
      </c>
      <c r="O579" t="s">
        <v>1487</v>
      </c>
      <c r="P579" t="s">
        <v>2366</v>
      </c>
      <c r="Q579" t="s">
        <v>2364</v>
      </c>
      <c r="R579" t="s">
        <v>2364</v>
      </c>
      <c r="S579" t="s">
        <v>1881</v>
      </c>
      <c r="T579" t="s">
        <v>1811</v>
      </c>
      <c r="U579" t="s">
        <v>2365</v>
      </c>
      <c r="V579" t="s">
        <v>2365</v>
      </c>
      <c r="W579" t="s">
        <v>2365</v>
      </c>
      <c r="X579" t="s">
        <v>2365</v>
      </c>
      <c r="Y579" t="s">
        <v>2365</v>
      </c>
      <c r="Z579" t="s">
        <v>2365</v>
      </c>
      <c r="AA579" t="s">
        <v>2365</v>
      </c>
      <c r="AB579" t="s">
        <v>2365</v>
      </c>
      <c r="AC579" s="813" t="s">
        <v>2365</v>
      </c>
      <c r="AD579" s="813" t="s">
        <v>2365</v>
      </c>
      <c r="AE579" s="813" t="s">
        <v>2365</v>
      </c>
      <c r="AF579" t="s">
        <v>2365</v>
      </c>
      <c r="AG579" t="s">
        <v>2365</v>
      </c>
      <c r="AH579" t="s">
        <v>2365</v>
      </c>
      <c r="AI579" t="s">
        <v>2365</v>
      </c>
      <c r="AJ579" t="s">
        <v>2365</v>
      </c>
      <c r="AK579" t="s">
        <v>2365</v>
      </c>
      <c r="AL579" t="s">
        <v>2365</v>
      </c>
      <c r="AM579" t="s">
        <v>2365</v>
      </c>
      <c r="AN579" t="s">
        <v>2365</v>
      </c>
      <c r="AR579" t="s">
        <v>2365</v>
      </c>
      <c r="AS579" t="s">
        <v>2365</v>
      </c>
      <c r="AT579" t="s">
        <v>2365</v>
      </c>
      <c r="AU579" t="s">
        <v>2365</v>
      </c>
      <c r="AV579" t="s">
        <v>2365</v>
      </c>
      <c r="AW579" t="s">
        <v>2365</v>
      </c>
      <c r="AX579" t="s">
        <v>2365</v>
      </c>
      <c r="AY579" t="s">
        <v>2365</v>
      </c>
      <c r="AZ579" t="s">
        <v>2365</v>
      </c>
      <c r="BA579" t="s">
        <v>2365</v>
      </c>
      <c r="BB579" t="s">
        <v>2365</v>
      </c>
      <c r="BC579" t="s">
        <v>2365</v>
      </c>
      <c r="BD579" t="s">
        <v>2366</v>
      </c>
      <c r="BE579" t="s">
        <v>2365</v>
      </c>
      <c r="BF579" t="s">
        <v>2365</v>
      </c>
      <c r="BG579" t="s">
        <v>2365</v>
      </c>
      <c r="BH579" t="s">
        <v>2365</v>
      </c>
      <c r="BI579" t="s">
        <v>2366</v>
      </c>
      <c r="BJ579" t="s">
        <v>2365</v>
      </c>
      <c r="BK579" t="s">
        <v>2365</v>
      </c>
      <c r="BL579" t="s">
        <v>2365</v>
      </c>
      <c r="BM579" t="s">
        <v>2365</v>
      </c>
      <c r="BO579">
        <v>1</v>
      </c>
      <c r="BP579">
        <v>11</v>
      </c>
      <c r="BQ579" t="s">
        <v>2369</v>
      </c>
      <c r="BR579" t="s">
        <v>1487</v>
      </c>
      <c r="BU579" s="1371">
        <v>0</v>
      </c>
      <c r="BV579" s="1371">
        <v>0</v>
      </c>
      <c r="BW579" s="1371">
        <v>0</v>
      </c>
      <c r="BX579" s="1371">
        <v>0</v>
      </c>
      <c r="BY579" s="1371">
        <v>0</v>
      </c>
      <c r="BZ579">
        <v>0</v>
      </c>
      <c r="CA579">
        <v>0</v>
      </c>
      <c r="CB579">
        <v>0</v>
      </c>
      <c r="CC579">
        <v>0</v>
      </c>
      <c r="CD579">
        <v>0</v>
      </c>
      <c r="CE579">
        <v>0</v>
      </c>
      <c r="CF579">
        <v>0</v>
      </c>
      <c r="CG579">
        <v>0</v>
      </c>
      <c r="CH579">
        <v>0</v>
      </c>
      <c r="CI579">
        <v>0</v>
      </c>
      <c r="CJ579">
        <v>0</v>
      </c>
      <c r="CK579">
        <v>0</v>
      </c>
      <c r="CL579">
        <v>0</v>
      </c>
      <c r="CM579">
        <v>0</v>
      </c>
      <c r="CR579" t="s">
        <v>2328</v>
      </c>
      <c r="CS579" s="1369" t="str">
        <f>INDEX([8]Sheet1!$H:$H,MATCH(CR:CR,[8]Sheet1!$AU:$AU,0))</f>
        <v>Water Distribution</v>
      </c>
    </row>
    <row r="580" spans="1:97" x14ac:dyDescent="0.2">
      <c r="A580" t="s">
        <v>3141</v>
      </c>
      <c r="B580">
        <v>633</v>
      </c>
      <c r="C580" t="s">
        <v>3141</v>
      </c>
      <c r="D580">
        <v>40687</v>
      </c>
      <c r="E580" t="s">
        <v>3048</v>
      </c>
      <c r="F580">
        <v>200</v>
      </c>
      <c r="G580" t="s">
        <v>559</v>
      </c>
      <c r="H580">
        <v>200</v>
      </c>
      <c r="I580" t="s">
        <v>2863</v>
      </c>
      <c r="J580" t="s">
        <v>2365</v>
      </c>
      <c r="K580" t="s">
        <v>2365</v>
      </c>
      <c r="L580">
        <v>1200</v>
      </c>
      <c r="M580" t="s">
        <v>1480</v>
      </c>
      <c r="N580">
        <v>1204</v>
      </c>
      <c r="O580" t="s">
        <v>1487</v>
      </c>
      <c r="P580" t="s">
        <v>2366</v>
      </c>
      <c r="Q580" t="s">
        <v>2364</v>
      </c>
      <c r="R580" t="s">
        <v>2364</v>
      </c>
      <c r="S580" t="s">
        <v>1881</v>
      </c>
      <c r="T580" t="s">
        <v>1811</v>
      </c>
      <c r="U580" t="s">
        <v>2365</v>
      </c>
      <c r="V580" t="s">
        <v>2365</v>
      </c>
      <c r="W580" t="s">
        <v>2365</v>
      </c>
      <c r="X580" t="s">
        <v>2365</v>
      </c>
      <c r="Y580" t="s">
        <v>2365</v>
      </c>
      <c r="Z580" t="s">
        <v>2365</v>
      </c>
      <c r="AA580" t="s">
        <v>2365</v>
      </c>
      <c r="AB580" t="s">
        <v>2365</v>
      </c>
      <c r="AC580" s="813" t="s">
        <v>2365</v>
      </c>
      <c r="AD580" s="813" t="s">
        <v>2365</v>
      </c>
      <c r="AE580" s="813" t="s">
        <v>2365</v>
      </c>
      <c r="AF580" t="s">
        <v>2365</v>
      </c>
      <c r="AG580" t="s">
        <v>2365</v>
      </c>
      <c r="AH580" t="s">
        <v>2365</v>
      </c>
      <c r="AI580" t="s">
        <v>2365</v>
      </c>
      <c r="AJ580" t="s">
        <v>2365</v>
      </c>
      <c r="AK580" t="s">
        <v>2365</v>
      </c>
      <c r="AL580" t="s">
        <v>2365</v>
      </c>
      <c r="AM580" t="s">
        <v>2365</v>
      </c>
      <c r="AN580" t="s">
        <v>2365</v>
      </c>
      <c r="AR580" t="s">
        <v>2365</v>
      </c>
      <c r="AS580" t="s">
        <v>2365</v>
      </c>
      <c r="AT580" t="s">
        <v>2365</v>
      </c>
      <c r="AU580" t="s">
        <v>2365</v>
      </c>
      <c r="AV580" t="s">
        <v>2365</v>
      </c>
      <c r="AW580" t="s">
        <v>2365</v>
      </c>
      <c r="AX580" t="s">
        <v>2365</v>
      </c>
      <c r="AY580" t="s">
        <v>2365</v>
      </c>
      <c r="AZ580" t="s">
        <v>2365</v>
      </c>
      <c r="BA580" t="s">
        <v>2365</v>
      </c>
      <c r="BB580" t="s">
        <v>2365</v>
      </c>
      <c r="BC580" t="s">
        <v>2365</v>
      </c>
      <c r="BD580" t="s">
        <v>2366</v>
      </c>
      <c r="BE580" t="s">
        <v>2365</v>
      </c>
      <c r="BF580" t="s">
        <v>2365</v>
      </c>
      <c r="BG580" t="s">
        <v>2365</v>
      </c>
      <c r="BH580" t="s">
        <v>2365</v>
      </c>
      <c r="BI580" t="s">
        <v>2366</v>
      </c>
      <c r="BJ580" t="s">
        <v>2365</v>
      </c>
      <c r="BK580" t="s">
        <v>2365</v>
      </c>
      <c r="BL580" t="s">
        <v>2365</v>
      </c>
      <c r="BM580" t="s">
        <v>2365</v>
      </c>
      <c r="BO580">
        <v>1</v>
      </c>
      <c r="BP580">
        <v>11</v>
      </c>
      <c r="BQ580" t="s">
        <v>2369</v>
      </c>
      <c r="BR580" t="s">
        <v>1487</v>
      </c>
      <c r="BU580">
        <v>0</v>
      </c>
      <c r="BV580">
        <v>0</v>
      </c>
      <c r="BW580">
        <v>0</v>
      </c>
      <c r="BX580">
        <v>0</v>
      </c>
      <c r="BY580">
        <v>0</v>
      </c>
      <c r="BZ580">
        <v>0</v>
      </c>
      <c r="CA580">
        <v>0</v>
      </c>
      <c r="CB580">
        <v>0</v>
      </c>
      <c r="CC580">
        <v>0</v>
      </c>
      <c r="CD580">
        <v>0</v>
      </c>
      <c r="CE580">
        <v>0</v>
      </c>
      <c r="CF580">
        <v>0</v>
      </c>
      <c r="CG580">
        <v>0</v>
      </c>
      <c r="CH580">
        <v>0</v>
      </c>
      <c r="CI580">
        <v>0</v>
      </c>
      <c r="CJ580">
        <v>0</v>
      </c>
      <c r="CK580">
        <v>0</v>
      </c>
      <c r="CL580">
        <v>0</v>
      </c>
      <c r="CM580">
        <v>0</v>
      </c>
      <c r="CR580" t="s">
        <v>2328</v>
      </c>
      <c r="CS580" s="1369" t="str">
        <f>INDEX([8]Sheet1!$H:$H,MATCH(CR:CR,[8]Sheet1!$AU:$AU,0))</f>
        <v>Water Distribution</v>
      </c>
    </row>
    <row r="581" spans="1:97" x14ac:dyDescent="0.2">
      <c r="A581" t="s">
        <v>3142</v>
      </c>
      <c r="B581">
        <v>634</v>
      </c>
      <c r="C581" t="s">
        <v>3142</v>
      </c>
      <c r="D581">
        <v>40688</v>
      </c>
      <c r="E581" t="s">
        <v>3050</v>
      </c>
      <c r="F581">
        <v>200</v>
      </c>
      <c r="G581" t="s">
        <v>559</v>
      </c>
      <c r="H581">
        <v>200</v>
      </c>
      <c r="I581" t="s">
        <v>2863</v>
      </c>
      <c r="J581" t="s">
        <v>2365</v>
      </c>
      <c r="K581" t="s">
        <v>2365</v>
      </c>
      <c r="L581">
        <v>1200</v>
      </c>
      <c r="M581" t="s">
        <v>1480</v>
      </c>
      <c r="N581">
        <v>1204</v>
      </c>
      <c r="O581" t="s">
        <v>1487</v>
      </c>
      <c r="P581" t="s">
        <v>2366</v>
      </c>
      <c r="Q581" t="s">
        <v>2364</v>
      </c>
      <c r="R581" t="s">
        <v>2364</v>
      </c>
      <c r="S581" t="s">
        <v>1881</v>
      </c>
      <c r="T581" t="s">
        <v>1811</v>
      </c>
      <c r="U581" t="s">
        <v>2365</v>
      </c>
      <c r="V581" t="s">
        <v>2365</v>
      </c>
      <c r="W581" t="s">
        <v>2365</v>
      </c>
      <c r="X581" t="s">
        <v>2365</v>
      </c>
      <c r="Y581" t="s">
        <v>2365</v>
      </c>
      <c r="Z581" t="s">
        <v>2365</v>
      </c>
      <c r="AA581" t="s">
        <v>2365</v>
      </c>
      <c r="AB581" t="s">
        <v>2365</v>
      </c>
      <c r="AC581" s="813" t="s">
        <v>2365</v>
      </c>
      <c r="AD581" s="813" t="s">
        <v>2365</v>
      </c>
      <c r="AE581" s="813" t="s">
        <v>2365</v>
      </c>
      <c r="AF581" t="s">
        <v>2365</v>
      </c>
      <c r="AG581" t="s">
        <v>2365</v>
      </c>
      <c r="AH581" t="s">
        <v>2365</v>
      </c>
      <c r="AI581" t="s">
        <v>2365</v>
      </c>
      <c r="AJ581" t="s">
        <v>2365</v>
      </c>
      <c r="AK581" t="s">
        <v>2365</v>
      </c>
      <c r="AL581" t="s">
        <v>2365</v>
      </c>
      <c r="AM581" t="s">
        <v>2365</v>
      </c>
      <c r="AN581" t="s">
        <v>2365</v>
      </c>
      <c r="AR581" t="s">
        <v>2365</v>
      </c>
      <c r="AS581" t="s">
        <v>2365</v>
      </c>
      <c r="AT581" t="s">
        <v>2365</v>
      </c>
      <c r="AU581" t="s">
        <v>2365</v>
      </c>
      <c r="AV581" t="s">
        <v>2365</v>
      </c>
      <c r="AW581" t="s">
        <v>2365</v>
      </c>
      <c r="AX581" t="s">
        <v>2365</v>
      </c>
      <c r="AY581" t="s">
        <v>2365</v>
      </c>
      <c r="AZ581" t="s">
        <v>2365</v>
      </c>
      <c r="BA581" t="s">
        <v>2365</v>
      </c>
      <c r="BB581" t="s">
        <v>2365</v>
      </c>
      <c r="BC581" t="s">
        <v>2365</v>
      </c>
      <c r="BD581" t="s">
        <v>2366</v>
      </c>
      <c r="BE581" t="s">
        <v>2365</v>
      </c>
      <c r="BF581" t="s">
        <v>2365</v>
      </c>
      <c r="BG581" t="s">
        <v>2365</v>
      </c>
      <c r="BH581" t="s">
        <v>2365</v>
      </c>
      <c r="BI581" t="s">
        <v>2366</v>
      </c>
      <c r="BJ581" t="s">
        <v>2365</v>
      </c>
      <c r="BK581" t="s">
        <v>2365</v>
      </c>
      <c r="BL581" t="s">
        <v>2365</v>
      </c>
      <c r="BM581" t="s">
        <v>2365</v>
      </c>
      <c r="BO581">
        <v>1</v>
      </c>
      <c r="BP581">
        <v>11</v>
      </c>
      <c r="BQ581" t="s">
        <v>2369</v>
      </c>
      <c r="BR581" t="s">
        <v>1487</v>
      </c>
      <c r="BU581">
        <v>0</v>
      </c>
      <c r="BV581">
        <v>0</v>
      </c>
      <c r="BW581">
        <v>0</v>
      </c>
      <c r="BX581">
        <v>0</v>
      </c>
      <c r="BY581">
        <v>0</v>
      </c>
      <c r="BZ581">
        <v>0</v>
      </c>
      <c r="CA581">
        <v>0</v>
      </c>
      <c r="CB581">
        <v>0</v>
      </c>
      <c r="CC581">
        <v>0</v>
      </c>
      <c r="CD581">
        <v>0</v>
      </c>
      <c r="CE581">
        <v>0</v>
      </c>
      <c r="CF581">
        <v>0</v>
      </c>
      <c r="CG581">
        <v>0</v>
      </c>
      <c r="CH581">
        <v>0</v>
      </c>
      <c r="CI581">
        <v>0</v>
      </c>
      <c r="CJ581">
        <v>0</v>
      </c>
      <c r="CK581">
        <v>0</v>
      </c>
      <c r="CL581">
        <v>0</v>
      </c>
      <c r="CM581">
        <v>0</v>
      </c>
      <c r="CR581" t="s">
        <v>2328</v>
      </c>
      <c r="CS581" s="1369" t="str">
        <f>INDEX([8]Sheet1!$H:$H,MATCH(CR:CR,[8]Sheet1!$AU:$AU,0))</f>
        <v>Water Distribution</v>
      </c>
    </row>
    <row r="582" spans="1:97" x14ac:dyDescent="0.2">
      <c r="A582" t="s">
        <v>3143</v>
      </c>
      <c r="B582">
        <v>635</v>
      </c>
      <c r="C582" t="s">
        <v>3143</v>
      </c>
      <c r="D582">
        <v>40689</v>
      </c>
      <c r="E582" t="s">
        <v>3052</v>
      </c>
      <c r="F582">
        <v>200</v>
      </c>
      <c r="G582" t="s">
        <v>559</v>
      </c>
      <c r="H582">
        <v>200</v>
      </c>
      <c r="I582" t="s">
        <v>2863</v>
      </c>
      <c r="J582" t="s">
        <v>2365</v>
      </c>
      <c r="K582" t="s">
        <v>2365</v>
      </c>
      <c r="L582">
        <v>1200</v>
      </c>
      <c r="M582" t="s">
        <v>1480</v>
      </c>
      <c r="N582">
        <v>1204</v>
      </c>
      <c r="O582" t="s">
        <v>1487</v>
      </c>
      <c r="P582" t="s">
        <v>2366</v>
      </c>
      <c r="Q582" t="s">
        <v>2364</v>
      </c>
      <c r="R582" t="s">
        <v>2364</v>
      </c>
      <c r="S582" t="s">
        <v>1881</v>
      </c>
      <c r="T582" t="s">
        <v>1811</v>
      </c>
      <c r="U582" t="s">
        <v>2365</v>
      </c>
      <c r="V582" t="s">
        <v>2365</v>
      </c>
      <c r="W582" t="s">
        <v>2365</v>
      </c>
      <c r="X582" t="s">
        <v>2365</v>
      </c>
      <c r="Y582" t="s">
        <v>2365</v>
      </c>
      <c r="Z582" t="s">
        <v>2365</v>
      </c>
      <c r="AA582" t="s">
        <v>2365</v>
      </c>
      <c r="AB582" t="s">
        <v>2365</v>
      </c>
      <c r="AC582" s="813" t="s">
        <v>2365</v>
      </c>
      <c r="AD582" s="813" t="s">
        <v>2365</v>
      </c>
      <c r="AE582" s="813" t="s">
        <v>2365</v>
      </c>
      <c r="AF582" t="s">
        <v>2365</v>
      </c>
      <c r="AG582" t="s">
        <v>2365</v>
      </c>
      <c r="AH582" t="s">
        <v>2365</v>
      </c>
      <c r="AI582" t="s">
        <v>2365</v>
      </c>
      <c r="AJ582" t="s">
        <v>2365</v>
      </c>
      <c r="AK582" t="s">
        <v>2365</v>
      </c>
      <c r="AL582" t="s">
        <v>2365</v>
      </c>
      <c r="AM582" t="s">
        <v>2365</v>
      </c>
      <c r="AN582" t="s">
        <v>2365</v>
      </c>
      <c r="AR582" t="s">
        <v>2365</v>
      </c>
      <c r="AS582" t="s">
        <v>2365</v>
      </c>
      <c r="AT582" t="s">
        <v>2365</v>
      </c>
      <c r="AU582" t="s">
        <v>2365</v>
      </c>
      <c r="AV582" t="s">
        <v>2365</v>
      </c>
      <c r="AW582" t="s">
        <v>2365</v>
      </c>
      <c r="AX582" t="s">
        <v>2365</v>
      </c>
      <c r="AY582" t="s">
        <v>2365</v>
      </c>
      <c r="AZ582" t="s">
        <v>2365</v>
      </c>
      <c r="BA582" t="s">
        <v>2365</v>
      </c>
      <c r="BB582" t="s">
        <v>2365</v>
      </c>
      <c r="BC582" t="s">
        <v>2365</v>
      </c>
      <c r="BD582" t="s">
        <v>2366</v>
      </c>
      <c r="BE582" t="s">
        <v>2365</v>
      </c>
      <c r="BF582" t="s">
        <v>2365</v>
      </c>
      <c r="BG582" t="s">
        <v>2365</v>
      </c>
      <c r="BH582" t="s">
        <v>2365</v>
      </c>
      <c r="BI582" t="s">
        <v>2366</v>
      </c>
      <c r="BJ582" t="s">
        <v>2365</v>
      </c>
      <c r="BK582" t="s">
        <v>2365</v>
      </c>
      <c r="BL582" t="s">
        <v>2365</v>
      </c>
      <c r="BM582" t="s">
        <v>2365</v>
      </c>
      <c r="BO582">
        <v>1</v>
      </c>
      <c r="BP582">
        <v>11</v>
      </c>
      <c r="BQ582" t="s">
        <v>2369</v>
      </c>
      <c r="BR582" t="s">
        <v>1487</v>
      </c>
      <c r="BU582">
        <v>0</v>
      </c>
      <c r="BV582">
        <v>0</v>
      </c>
      <c r="BW582">
        <v>0</v>
      </c>
      <c r="BX582">
        <v>0</v>
      </c>
      <c r="BY582">
        <v>0</v>
      </c>
      <c r="BZ582">
        <v>0</v>
      </c>
      <c r="CA582">
        <v>0</v>
      </c>
      <c r="CB582">
        <v>0</v>
      </c>
      <c r="CC582">
        <v>0</v>
      </c>
      <c r="CD582">
        <v>0</v>
      </c>
      <c r="CE582">
        <v>0</v>
      </c>
      <c r="CF582">
        <v>0</v>
      </c>
      <c r="CG582">
        <v>0</v>
      </c>
      <c r="CH582">
        <v>0</v>
      </c>
      <c r="CI582">
        <v>0</v>
      </c>
      <c r="CJ582">
        <v>0</v>
      </c>
      <c r="CK582">
        <v>0</v>
      </c>
      <c r="CL582">
        <v>0</v>
      </c>
      <c r="CM582">
        <v>0</v>
      </c>
      <c r="CR582" t="s">
        <v>2328</v>
      </c>
      <c r="CS582" s="1369" t="str">
        <f>INDEX([8]Sheet1!$H:$H,MATCH(CR:CR,[8]Sheet1!$AU:$AU,0))</f>
        <v>Water Distribution</v>
      </c>
    </row>
    <row r="583" spans="1:97" x14ac:dyDescent="0.2">
      <c r="A583" t="s">
        <v>3144</v>
      </c>
      <c r="B583">
        <v>636</v>
      </c>
      <c r="C583" t="s">
        <v>3144</v>
      </c>
      <c r="D583">
        <v>40690</v>
      </c>
      <c r="E583" t="s">
        <v>3054</v>
      </c>
      <c r="F583">
        <v>200</v>
      </c>
      <c r="G583" t="s">
        <v>559</v>
      </c>
      <c r="H583">
        <v>200</v>
      </c>
      <c r="I583" t="s">
        <v>2863</v>
      </c>
      <c r="J583" t="s">
        <v>2365</v>
      </c>
      <c r="K583" t="s">
        <v>2365</v>
      </c>
      <c r="L583">
        <v>1200</v>
      </c>
      <c r="M583" t="s">
        <v>1480</v>
      </c>
      <c r="N583">
        <v>1204</v>
      </c>
      <c r="O583" t="s">
        <v>1487</v>
      </c>
      <c r="P583" t="s">
        <v>2366</v>
      </c>
      <c r="Q583" t="s">
        <v>2364</v>
      </c>
      <c r="R583" t="s">
        <v>2364</v>
      </c>
      <c r="S583" t="s">
        <v>1881</v>
      </c>
      <c r="T583" t="s">
        <v>1811</v>
      </c>
      <c r="U583" t="s">
        <v>2365</v>
      </c>
      <c r="V583" t="s">
        <v>2365</v>
      </c>
      <c r="W583" t="s">
        <v>2365</v>
      </c>
      <c r="X583" t="s">
        <v>2365</v>
      </c>
      <c r="Y583" t="s">
        <v>2365</v>
      </c>
      <c r="Z583" t="s">
        <v>2365</v>
      </c>
      <c r="AA583" t="s">
        <v>2365</v>
      </c>
      <c r="AB583" t="s">
        <v>2365</v>
      </c>
      <c r="AC583" s="813" t="s">
        <v>2365</v>
      </c>
      <c r="AD583" s="813" t="s">
        <v>2365</v>
      </c>
      <c r="AE583" s="813" t="s">
        <v>2365</v>
      </c>
      <c r="AF583" t="s">
        <v>2365</v>
      </c>
      <c r="AG583" t="s">
        <v>2365</v>
      </c>
      <c r="AH583" t="s">
        <v>2365</v>
      </c>
      <c r="AI583" t="s">
        <v>2365</v>
      </c>
      <c r="AJ583" t="s">
        <v>2365</v>
      </c>
      <c r="AK583" t="s">
        <v>2365</v>
      </c>
      <c r="AL583" t="s">
        <v>2365</v>
      </c>
      <c r="AM583" t="s">
        <v>2365</v>
      </c>
      <c r="AN583" t="s">
        <v>2365</v>
      </c>
      <c r="AR583" t="s">
        <v>2365</v>
      </c>
      <c r="AS583" t="s">
        <v>2365</v>
      </c>
      <c r="AT583" t="s">
        <v>2365</v>
      </c>
      <c r="AU583" t="s">
        <v>2365</v>
      </c>
      <c r="AV583" t="s">
        <v>2365</v>
      </c>
      <c r="AW583" t="s">
        <v>2365</v>
      </c>
      <c r="AX583" t="s">
        <v>2365</v>
      </c>
      <c r="AY583" t="s">
        <v>2365</v>
      </c>
      <c r="AZ583" t="s">
        <v>2365</v>
      </c>
      <c r="BA583" t="s">
        <v>2365</v>
      </c>
      <c r="BB583" t="s">
        <v>2365</v>
      </c>
      <c r="BC583" t="s">
        <v>2365</v>
      </c>
      <c r="BD583" t="s">
        <v>2366</v>
      </c>
      <c r="BE583" t="s">
        <v>2365</v>
      </c>
      <c r="BF583" t="s">
        <v>2365</v>
      </c>
      <c r="BG583" t="s">
        <v>2365</v>
      </c>
      <c r="BH583" t="s">
        <v>2365</v>
      </c>
      <c r="BI583" t="s">
        <v>2366</v>
      </c>
      <c r="BJ583" t="s">
        <v>2365</v>
      </c>
      <c r="BK583" t="s">
        <v>2365</v>
      </c>
      <c r="BL583" t="s">
        <v>2365</v>
      </c>
      <c r="BM583" t="s">
        <v>2365</v>
      </c>
      <c r="BO583">
        <v>1</v>
      </c>
      <c r="BP583">
        <v>11</v>
      </c>
      <c r="BQ583" t="s">
        <v>2369</v>
      </c>
      <c r="BR583" t="s">
        <v>1487</v>
      </c>
      <c r="BU583">
        <v>0</v>
      </c>
      <c r="BV583">
        <v>0</v>
      </c>
      <c r="BW583">
        <v>0</v>
      </c>
      <c r="BX583">
        <v>0</v>
      </c>
      <c r="BY583">
        <v>0</v>
      </c>
      <c r="BZ583">
        <v>0</v>
      </c>
      <c r="CA583">
        <v>0</v>
      </c>
      <c r="CB583">
        <v>0</v>
      </c>
      <c r="CC583">
        <v>0</v>
      </c>
      <c r="CD583">
        <v>0</v>
      </c>
      <c r="CE583">
        <v>0</v>
      </c>
      <c r="CF583">
        <v>0</v>
      </c>
      <c r="CG583">
        <v>0</v>
      </c>
      <c r="CH583">
        <v>0</v>
      </c>
      <c r="CI583">
        <v>0</v>
      </c>
      <c r="CJ583">
        <v>0</v>
      </c>
      <c r="CK583">
        <v>0</v>
      </c>
      <c r="CL583">
        <v>0</v>
      </c>
      <c r="CM583">
        <v>0</v>
      </c>
      <c r="CR583" t="s">
        <v>2328</v>
      </c>
      <c r="CS583" s="1369" t="str">
        <f>INDEX([8]Sheet1!$H:$H,MATCH(CR:CR,[8]Sheet1!$AU:$AU,0))</f>
        <v>Water Distribution</v>
      </c>
    </row>
    <row r="584" spans="1:97" x14ac:dyDescent="0.2">
      <c r="A584" t="s">
        <v>3145</v>
      </c>
      <c r="B584">
        <v>637</v>
      </c>
      <c r="C584" t="s">
        <v>3145</v>
      </c>
      <c r="D584">
        <v>40691</v>
      </c>
      <c r="E584" t="s">
        <v>3027</v>
      </c>
      <c r="F584">
        <v>200</v>
      </c>
      <c r="G584" t="s">
        <v>559</v>
      </c>
      <c r="H584">
        <v>200</v>
      </c>
      <c r="I584" t="s">
        <v>2863</v>
      </c>
      <c r="J584" t="s">
        <v>2365</v>
      </c>
      <c r="K584" t="s">
        <v>2365</v>
      </c>
      <c r="L584">
        <v>1200</v>
      </c>
      <c r="M584" t="s">
        <v>1480</v>
      </c>
      <c r="N584">
        <v>1204</v>
      </c>
      <c r="O584" t="s">
        <v>1487</v>
      </c>
      <c r="P584" t="s">
        <v>2366</v>
      </c>
      <c r="Q584" t="s">
        <v>2364</v>
      </c>
      <c r="R584" t="s">
        <v>2364</v>
      </c>
      <c r="S584" t="s">
        <v>1881</v>
      </c>
      <c r="T584" t="s">
        <v>1811</v>
      </c>
      <c r="U584" t="s">
        <v>2365</v>
      </c>
      <c r="V584" t="s">
        <v>2365</v>
      </c>
      <c r="W584" t="s">
        <v>2365</v>
      </c>
      <c r="X584" t="s">
        <v>2365</v>
      </c>
      <c r="Y584" t="s">
        <v>2365</v>
      </c>
      <c r="Z584" t="s">
        <v>2365</v>
      </c>
      <c r="AA584" t="s">
        <v>2365</v>
      </c>
      <c r="AB584" t="s">
        <v>2365</v>
      </c>
      <c r="AC584" s="813" t="s">
        <v>2365</v>
      </c>
      <c r="AD584" s="813" t="s">
        <v>2365</v>
      </c>
      <c r="AE584" s="813" t="s">
        <v>2365</v>
      </c>
      <c r="AF584" t="s">
        <v>2365</v>
      </c>
      <c r="AG584" t="s">
        <v>2365</v>
      </c>
      <c r="AH584" t="s">
        <v>2365</v>
      </c>
      <c r="AI584" t="s">
        <v>2365</v>
      </c>
      <c r="AJ584" t="s">
        <v>2365</v>
      </c>
      <c r="AK584" t="s">
        <v>2365</v>
      </c>
      <c r="AL584" t="s">
        <v>2365</v>
      </c>
      <c r="AM584" t="s">
        <v>2365</v>
      </c>
      <c r="AN584" t="s">
        <v>2365</v>
      </c>
      <c r="AR584" t="s">
        <v>2365</v>
      </c>
      <c r="AS584" t="s">
        <v>2365</v>
      </c>
      <c r="AT584" t="s">
        <v>2365</v>
      </c>
      <c r="AU584" t="s">
        <v>2365</v>
      </c>
      <c r="AV584" t="s">
        <v>2365</v>
      </c>
      <c r="AW584" t="s">
        <v>2365</v>
      </c>
      <c r="AX584" t="s">
        <v>2365</v>
      </c>
      <c r="AY584" t="s">
        <v>2365</v>
      </c>
      <c r="AZ584" t="s">
        <v>2365</v>
      </c>
      <c r="BA584" t="s">
        <v>2365</v>
      </c>
      <c r="BB584" t="s">
        <v>2365</v>
      </c>
      <c r="BC584" t="s">
        <v>2365</v>
      </c>
      <c r="BD584" t="s">
        <v>2366</v>
      </c>
      <c r="BE584" t="s">
        <v>2365</v>
      </c>
      <c r="BF584" t="s">
        <v>2365</v>
      </c>
      <c r="BG584" t="s">
        <v>2365</v>
      </c>
      <c r="BH584" t="s">
        <v>2365</v>
      </c>
      <c r="BI584" t="s">
        <v>2366</v>
      </c>
      <c r="BJ584" t="s">
        <v>2365</v>
      </c>
      <c r="BK584" t="s">
        <v>2365</v>
      </c>
      <c r="BL584" t="s">
        <v>2365</v>
      </c>
      <c r="BM584" t="s">
        <v>2365</v>
      </c>
      <c r="BO584">
        <v>1</v>
      </c>
      <c r="BP584">
        <v>11</v>
      </c>
      <c r="BQ584" t="s">
        <v>2369</v>
      </c>
      <c r="BR584" t="s">
        <v>1487</v>
      </c>
      <c r="BU584">
        <v>0</v>
      </c>
      <c r="BV584">
        <v>0</v>
      </c>
      <c r="BW584">
        <v>0</v>
      </c>
      <c r="BX584">
        <v>0</v>
      </c>
      <c r="BY584">
        <v>0</v>
      </c>
      <c r="BZ584">
        <v>0</v>
      </c>
      <c r="CA584">
        <v>0</v>
      </c>
      <c r="CB584">
        <v>0</v>
      </c>
      <c r="CC584">
        <v>0</v>
      </c>
      <c r="CD584">
        <v>0</v>
      </c>
      <c r="CE584">
        <v>0</v>
      </c>
      <c r="CF584">
        <v>0</v>
      </c>
      <c r="CG584">
        <v>0</v>
      </c>
      <c r="CH584">
        <v>0</v>
      </c>
      <c r="CI584">
        <v>0</v>
      </c>
      <c r="CJ584">
        <v>0</v>
      </c>
      <c r="CK584">
        <v>0</v>
      </c>
      <c r="CL584">
        <v>0</v>
      </c>
      <c r="CM584">
        <v>0</v>
      </c>
      <c r="CR584" t="s">
        <v>2328</v>
      </c>
      <c r="CS584" s="1369" t="str">
        <f>INDEX([8]Sheet1!$H:$H,MATCH(CR:CR,[8]Sheet1!$AU:$AU,0))</f>
        <v>Water Distribution</v>
      </c>
    </row>
    <row r="585" spans="1:97" x14ac:dyDescent="0.2">
      <c r="A585" t="s">
        <v>3146</v>
      </c>
      <c r="B585">
        <v>638</v>
      </c>
      <c r="C585" t="s">
        <v>3146</v>
      </c>
      <c r="D585">
        <v>40692</v>
      </c>
      <c r="E585" t="s">
        <v>3029</v>
      </c>
      <c r="F585">
        <v>200</v>
      </c>
      <c r="G585" t="s">
        <v>559</v>
      </c>
      <c r="H585">
        <v>200</v>
      </c>
      <c r="I585" t="s">
        <v>2863</v>
      </c>
      <c r="J585" t="s">
        <v>2365</v>
      </c>
      <c r="K585" t="s">
        <v>2365</v>
      </c>
      <c r="L585">
        <v>1200</v>
      </c>
      <c r="M585" t="s">
        <v>1480</v>
      </c>
      <c r="N585">
        <v>1204</v>
      </c>
      <c r="O585" t="s">
        <v>1487</v>
      </c>
      <c r="P585" t="s">
        <v>2366</v>
      </c>
      <c r="Q585" t="s">
        <v>2364</v>
      </c>
      <c r="R585" t="s">
        <v>2364</v>
      </c>
      <c r="S585" t="s">
        <v>1881</v>
      </c>
      <c r="T585" t="s">
        <v>1811</v>
      </c>
      <c r="U585" t="s">
        <v>2365</v>
      </c>
      <c r="V585" t="s">
        <v>2365</v>
      </c>
      <c r="W585" t="s">
        <v>2365</v>
      </c>
      <c r="X585" t="s">
        <v>2365</v>
      </c>
      <c r="Y585" t="s">
        <v>2365</v>
      </c>
      <c r="Z585" t="s">
        <v>2365</v>
      </c>
      <c r="AA585" t="s">
        <v>2365</v>
      </c>
      <c r="AB585" t="s">
        <v>2365</v>
      </c>
      <c r="AC585" s="813" t="s">
        <v>2365</v>
      </c>
      <c r="AD585" s="813" t="s">
        <v>2365</v>
      </c>
      <c r="AE585" s="813" t="s">
        <v>2365</v>
      </c>
      <c r="AF585" t="s">
        <v>2365</v>
      </c>
      <c r="AG585" t="s">
        <v>2365</v>
      </c>
      <c r="AH585" t="s">
        <v>2365</v>
      </c>
      <c r="AI585" t="s">
        <v>2365</v>
      </c>
      <c r="AJ585" t="s">
        <v>2365</v>
      </c>
      <c r="AK585" t="s">
        <v>2365</v>
      </c>
      <c r="AL585" t="s">
        <v>2365</v>
      </c>
      <c r="AM585" t="s">
        <v>2365</v>
      </c>
      <c r="AN585" t="s">
        <v>2365</v>
      </c>
      <c r="AR585" t="s">
        <v>2365</v>
      </c>
      <c r="AS585" t="s">
        <v>2365</v>
      </c>
      <c r="AT585" t="s">
        <v>2365</v>
      </c>
      <c r="AU585" t="s">
        <v>2365</v>
      </c>
      <c r="AV585" t="s">
        <v>2365</v>
      </c>
      <c r="AW585" t="s">
        <v>2365</v>
      </c>
      <c r="AX585" t="s">
        <v>2365</v>
      </c>
      <c r="AY585" t="s">
        <v>2365</v>
      </c>
      <c r="AZ585" t="s">
        <v>2365</v>
      </c>
      <c r="BA585" t="s">
        <v>2365</v>
      </c>
      <c r="BB585" t="s">
        <v>2365</v>
      </c>
      <c r="BC585" t="s">
        <v>2365</v>
      </c>
      <c r="BD585" t="s">
        <v>2366</v>
      </c>
      <c r="BE585" t="s">
        <v>2365</v>
      </c>
      <c r="BF585" t="s">
        <v>2365</v>
      </c>
      <c r="BG585" t="s">
        <v>2365</v>
      </c>
      <c r="BH585" t="s">
        <v>2365</v>
      </c>
      <c r="BI585" t="s">
        <v>2366</v>
      </c>
      <c r="BJ585" t="s">
        <v>2365</v>
      </c>
      <c r="BK585" t="s">
        <v>2365</v>
      </c>
      <c r="BL585" t="s">
        <v>2365</v>
      </c>
      <c r="BM585" t="s">
        <v>2365</v>
      </c>
      <c r="BO585">
        <v>1</v>
      </c>
      <c r="BP585">
        <v>11</v>
      </c>
      <c r="BQ585" t="s">
        <v>2369</v>
      </c>
      <c r="BR585" t="s">
        <v>1487</v>
      </c>
      <c r="BU585">
        <v>0</v>
      </c>
      <c r="BV585">
        <v>0</v>
      </c>
      <c r="BW585">
        <v>0</v>
      </c>
      <c r="BX585">
        <v>0</v>
      </c>
      <c r="BY585">
        <v>0</v>
      </c>
      <c r="BZ585">
        <v>0</v>
      </c>
      <c r="CA585">
        <v>0</v>
      </c>
      <c r="CB585">
        <v>0</v>
      </c>
      <c r="CC585">
        <v>0</v>
      </c>
      <c r="CD585">
        <v>0</v>
      </c>
      <c r="CE585">
        <v>0</v>
      </c>
      <c r="CF585">
        <v>0</v>
      </c>
      <c r="CG585">
        <v>0</v>
      </c>
      <c r="CH585">
        <v>0</v>
      </c>
      <c r="CI585">
        <v>0</v>
      </c>
      <c r="CJ585">
        <v>0</v>
      </c>
      <c r="CK585">
        <v>0</v>
      </c>
      <c r="CL585">
        <v>0</v>
      </c>
      <c r="CM585">
        <v>0</v>
      </c>
      <c r="CR585" t="s">
        <v>2324</v>
      </c>
      <c r="CS585" s="1369" t="str">
        <f>INDEX([8]Sheet1!$H:$H,MATCH(CR:CR,[8]Sheet1!$AU:$AU,0))</f>
        <v>Finance</v>
      </c>
    </row>
    <row r="586" spans="1:97" x14ac:dyDescent="0.2">
      <c r="A586" t="s">
        <v>3147</v>
      </c>
      <c r="B586">
        <v>639</v>
      </c>
      <c r="C586" t="s">
        <v>3147</v>
      </c>
      <c r="D586">
        <v>40693</v>
      </c>
      <c r="E586" t="s">
        <v>3031</v>
      </c>
      <c r="F586">
        <v>200</v>
      </c>
      <c r="G586" t="s">
        <v>559</v>
      </c>
      <c r="H586">
        <v>200</v>
      </c>
      <c r="I586" t="s">
        <v>2863</v>
      </c>
      <c r="J586" t="s">
        <v>2365</v>
      </c>
      <c r="K586" t="s">
        <v>2365</v>
      </c>
      <c r="L586">
        <v>1200</v>
      </c>
      <c r="M586" t="s">
        <v>1480</v>
      </c>
      <c r="N586">
        <v>1204</v>
      </c>
      <c r="O586" t="s">
        <v>1487</v>
      </c>
      <c r="P586" t="s">
        <v>2366</v>
      </c>
      <c r="Q586" t="s">
        <v>2364</v>
      </c>
      <c r="R586" t="s">
        <v>2364</v>
      </c>
      <c r="S586" t="s">
        <v>1881</v>
      </c>
      <c r="T586" t="s">
        <v>1811</v>
      </c>
      <c r="U586" t="s">
        <v>2365</v>
      </c>
      <c r="V586" t="s">
        <v>2365</v>
      </c>
      <c r="W586" t="s">
        <v>2365</v>
      </c>
      <c r="X586" t="s">
        <v>2365</v>
      </c>
      <c r="Y586" t="s">
        <v>2365</v>
      </c>
      <c r="Z586" t="s">
        <v>2365</v>
      </c>
      <c r="AA586" t="s">
        <v>2365</v>
      </c>
      <c r="AB586" t="s">
        <v>2365</v>
      </c>
      <c r="AC586" s="813" t="s">
        <v>2365</v>
      </c>
      <c r="AD586" s="813" t="s">
        <v>2365</v>
      </c>
      <c r="AE586" s="813" t="s">
        <v>2365</v>
      </c>
      <c r="AF586" t="s">
        <v>2365</v>
      </c>
      <c r="AG586" t="s">
        <v>2365</v>
      </c>
      <c r="AH586" t="s">
        <v>2365</v>
      </c>
      <c r="AI586" t="s">
        <v>2365</v>
      </c>
      <c r="AJ586" t="s">
        <v>2365</v>
      </c>
      <c r="AK586" t="s">
        <v>2365</v>
      </c>
      <c r="AL586" t="s">
        <v>2365</v>
      </c>
      <c r="AM586" t="s">
        <v>2365</v>
      </c>
      <c r="AN586" t="s">
        <v>2365</v>
      </c>
      <c r="AR586" t="s">
        <v>2365</v>
      </c>
      <c r="AS586" t="s">
        <v>2365</v>
      </c>
      <c r="AT586" t="s">
        <v>2365</v>
      </c>
      <c r="AU586" t="s">
        <v>2365</v>
      </c>
      <c r="AV586" t="s">
        <v>2365</v>
      </c>
      <c r="AW586" t="s">
        <v>2365</v>
      </c>
      <c r="AX586" t="s">
        <v>2365</v>
      </c>
      <c r="AY586" t="s">
        <v>2365</v>
      </c>
      <c r="AZ586" t="s">
        <v>2365</v>
      </c>
      <c r="BA586" t="s">
        <v>2365</v>
      </c>
      <c r="BB586" t="s">
        <v>2365</v>
      </c>
      <c r="BC586" t="s">
        <v>2365</v>
      </c>
      <c r="BD586" t="s">
        <v>2366</v>
      </c>
      <c r="BE586" t="s">
        <v>2365</v>
      </c>
      <c r="BF586" t="s">
        <v>2365</v>
      </c>
      <c r="BG586" t="s">
        <v>2365</v>
      </c>
      <c r="BH586" t="s">
        <v>2365</v>
      </c>
      <c r="BI586" t="s">
        <v>2366</v>
      </c>
      <c r="BJ586" t="s">
        <v>2365</v>
      </c>
      <c r="BK586" t="s">
        <v>2365</v>
      </c>
      <c r="BL586" t="s">
        <v>2365</v>
      </c>
      <c r="BM586" t="s">
        <v>2365</v>
      </c>
      <c r="BO586">
        <v>1</v>
      </c>
      <c r="BP586">
        <v>11</v>
      </c>
      <c r="BQ586" t="s">
        <v>2369</v>
      </c>
      <c r="BR586" t="s">
        <v>1487</v>
      </c>
      <c r="BU586">
        <v>0</v>
      </c>
      <c r="BV586">
        <v>0</v>
      </c>
      <c r="BW586">
        <v>0</v>
      </c>
      <c r="BX586">
        <v>0</v>
      </c>
      <c r="BY586">
        <v>0</v>
      </c>
      <c r="BZ586">
        <v>0</v>
      </c>
      <c r="CA586">
        <v>0</v>
      </c>
      <c r="CB586">
        <v>0</v>
      </c>
      <c r="CC586">
        <v>0</v>
      </c>
      <c r="CD586">
        <v>0</v>
      </c>
      <c r="CE586">
        <v>0</v>
      </c>
      <c r="CF586">
        <v>0</v>
      </c>
      <c r="CG586">
        <v>0</v>
      </c>
      <c r="CH586">
        <v>0</v>
      </c>
      <c r="CI586">
        <v>0</v>
      </c>
      <c r="CJ586">
        <v>0</v>
      </c>
      <c r="CK586">
        <v>0</v>
      </c>
      <c r="CL586">
        <v>0</v>
      </c>
      <c r="CM586">
        <v>0</v>
      </c>
      <c r="CR586" t="s">
        <v>2324</v>
      </c>
      <c r="CS586" s="1369" t="str">
        <f>INDEX([8]Sheet1!$H:$H,MATCH(CR:CR,[8]Sheet1!$AU:$AU,0))</f>
        <v>Finance</v>
      </c>
    </row>
    <row r="587" spans="1:97" x14ac:dyDescent="0.2">
      <c r="A587" t="s">
        <v>3148</v>
      </c>
      <c r="B587">
        <v>640</v>
      </c>
      <c r="C587" t="s">
        <v>3148</v>
      </c>
      <c r="D587">
        <v>40694</v>
      </c>
      <c r="E587" t="s">
        <v>3033</v>
      </c>
      <c r="F587">
        <v>200</v>
      </c>
      <c r="G587" t="s">
        <v>559</v>
      </c>
      <c r="H587">
        <v>200</v>
      </c>
      <c r="I587" t="s">
        <v>2863</v>
      </c>
      <c r="J587" t="s">
        <v>2365</v>
      </c>
      <c r="K587" t="s">
        <v>2365</v>
      </c>
      <c r="L587">
        <v>1200</v>
      </c>
      <c r="M587" t="s">
        <v>1480</v>
      </c>
      <c r="N587">
        <v>1204</v>
      </c>
      <c r="O587" t="s">
        <v>1487</v>
      </c>
      <c r="P587" t="s">
        <v>2366</v>
      </c>
      <c r="Q587" t="s">
        <v>2364</v>
      </c>
      <c r="R587" t="s">
        <v>2364</v>
      </c>
      <c r="S587" t="s">
        <v>1881</v>
      </c>
      <c r="T587" t="s">
        <v>1811</v>
      </c>
      <c r="U587" t="s">
        <v>2365</v>
      </c>
      <c r="V587" t="s">
        <v>2365</v>
      </c>
      <c r="W587" t="s">
        <v>2365</v>
      </c>
      <c r="X587" t="s">
        <v>2365</v>
      </c>
      <c r="Y587" t="s">
        <v>2365</v>
      </c>
      <c r="Z587" t="s">
        <v>2365</v>
      </c>
      <c r="AA587" t="s">
        <v>2365</v>
      </c>
      <c r="AB587" t="s">
        <v>2365</v>
      </c>
      <c r="AC587" s="813" t="s">
        <v>2365</v>
      </c>
      <c r="AD587" s="813" t="s">
        <v>2365</v>
      </c>
      <c r="AE587" s="813" t="s">
        <v>2365</v>
      </c>
      <c r="AF587" t="s">
        <v>2365</v>
      </c>
      <c r="AG587" t="s">
        <v>2365</v>
      </c>
      <c r="AH587" t="s">
        <v>2365</v>
      </c>
      <c r="AI587" t="s">
        <v>2365</v>
      </c>
      <c r="AJ587" t="s">
        <v>2365</v>
      </c>
      <c r="AK587" t="s">
        <v>2365</v>
      </c>
      <c r="AL587" t="s">
        <v>2365</v>
      </c>
      <c r="AM587" t="s">
        <v>2365</v>
      </c>
      <c r="AN587" t="s">
        <v>2365</v>
      </c>
      <c r="AR587" t="s">
        <v>2365</v>
      </c>
      <c r="AS587" t="s">
        <v>2365</v>
      </c>
      <c r="AT587" t="s">
        <v>2365</v>
      </c>
      <c r="AU587" t="s">
        <v>2365</v>
      </c>
      <c r="AV587" t="s">
        <v>2365</v>
      </c>
      <c r="AW587" t="s">
        <v>2365</v>
      </c>
      <c r="AX587" t="s">
        <v>2365</v>
      </c>
      <c r="AY587" t="s">
        <v>2365</v>
      </c>
      <c r="AZ587" t="s">
        <v>2365</v>
      </c>
      <c r="BA587" t="s">
        <v>2365</v>
      </c>
      <c r="BB587" t="s">
        <v>2365</v>
      </c>
      <c r="BC587" t="s">
        <v>2365</v>
      </c>
      <c r="BD587" t="s">
        <v>2366</v>
      </c>
      <c r="BE587" t="s">
        <v>2365</v>
      </c>
      <c r="BF587" t="s">
        <v>2365</v>
      </c>
      <c r="BG587" t="s">
        <v>2365</v>
      </c>
      <c r="BH587" t="s">
        <v>2365</v>
      </c>
      <c r="BI587" t="s">
        <v>2366</v>
      </c>
      <c r="BJ587" t="s">
        <v>2365</v>
      </c>
      <c r="BK587" t="s">
        <v>2365</v>
      </c>
      <c r="BL587" t="s">
        <v>2365</v>
      </c>
      <c r="BM587" t="s">
        <v>2365</v>
      </c>
      <c r="BO587">
        <v>1</v>
      </c>
      <c r="BP587">
        <v>11</v>
      </c>
      <c r="BQ587" t="s">
        <v>2369</v>
      </c>
      <c r="BR587" t="s">
        <v>1487</v>
      </c>
      <c r="BU587">
        <v>0</v>
      </c>
      <c r="BV587">
        <v>0</v>
      </c>
      <c r="BW587">
        <v>0</v>
      </c>
      <c r="BX587">
        <v>0</v>
      </c>
      <c r="BY587">
        <v>0</v>
      </c>
      <c r="BZ587">
        <v>0</v>
      </c>
      <c r="CA587">
        <v>0</v>
      </c>
      <c r="CB587">
        <v>0</v>
      </c>
      <c r="CC587">
        <v>0</v>
      </c>
      <c r="CD587">
        <v>0</v>
      </c>
      <c r="CE587">
        <v>0</v>
      </c>
      <c r="CF587">
        <v>0</v>
      </c>
      <c r="CG587">
        <v>0</v>
      </c>
      <c r="CH587">
        <v>0</v>
      </c>
      <c r="CI587">
        <v>0</v>
      </c>
      <c r="CJ587">
        <v>0</v>
      </c>
      <c r="CK587">
        <v>0</v>
      </c>
      <c r="CL587">
        <v>0</v>
      </c>
      <c r="CM587">
        <v>0</v>
      </c>
      <c r="CR587" t="s">
        <v>2324</v>
      </c>
      <c r="CS587" s="1369" t="str">
        <f>INDEX([8]Sheet1!$H:$H,MATCH(CR:CR,[8]Sheet1!$AU:$AU,0))</f>
        <v>Finance</v>
      </c>
    </row>
    <row r="588" spans="1:97" x14ac:dyDescent="0.2">
      <c r="A588" t="s">
        <v>3149</v>
      </c>
      <c r="B588">
        <v>641</v>
      </c>
      <c r="C588" t="s">
        <v>3149</v>
      </c>
      <c r="D588">
        <v>40695</v>
      </c>
      <c r="E588" t="s">
        <v>3035</v>
      </c>
      <c r="F588">
        <v>200</v>
      </c>
      <c r="G588" t="s">
        <v>559</v>
      </c>
      <c r="H588">
        <v>200</v>
      </c>
      <c r="I588" t="s">
        <v>2863</v>
      </c>
      <c r="J588" t="s">
        <v>2365</v>
      </c>
      <c r="K588" t="s">
        <v>2365</v>
      </c>
      <c r="L588">
        <v>1200</v>
      </c>
      <c r="M588" t="s">
        <v>1480</v>
      </c>
      <c r="N588">
        <v>1204</v>
      </c>
      <c r="O588" t="s">
        <v>1487</v>
      </c>
      <c r="P588" t="s">
        <v>2366</v>
      </c>
      <c r="Q588" t="s">
        <v>2364</v>
      </c>
      <c r="R588" t="s">
        <v>2364</v>
      </c>
      <c r="S588" t="s">
        <v>1881</v>
      </c>
      <c r="T588" t="s">
        <v>1811</v>
      </c>
      <c r="U588" t="s">
        <v>2365</v>
      </c>
      <c r="V588" t="s">
        <v>2365</v>
      </c>
      <c r="W588" t="s">
        <v>2365</v>
      </c>
      <c r="X588" t="s">
        <v>2365</v>
      </c>
      <c r="Y588" t="s">
        <v>2365</v>
      </c>
      <c r="Z588" t="s">
        <v>2365</v>
      </c>
      <c r="AA588" t="s">
        <v>2365</v>
      </c>
      <c r="AB588" t="s">
        <v>2365</v>
      </c>
      <c r="AC588" s="813" t="s">
        <v>2365</v>
      </c>
      <c r="AD588" s="813" t="s">
        <v>2365</v>
      </c>
      <c r="AE588" s="813" t="s">
        <v>2365</v>
      </c>
      <c r="AF588" t="s">
        <v>2365</v>
      </c>
      <c r="AG588" t="s">
        <v>2365</v>
      </c>
      <c r="AH588" t="s">
        <v>2365</v>
      </c>
      <c r="AI588" t="s">
        <v>2365</v>
      </c>
      <c r="AJ588" t="s">
        <v>2365</v>
      </c>
      <c r="AK588" t="s">
        <v>2365</v>
      </c>
      <c r="AL588" t="s">
        <v>2365</v>
      </c>
      <c r="AM588" t="s">
        <v>2365</v>
      </c>
      <c r="AN588" t="s">
        <v>2365</v>
      </c>
      <c r="AR588" t="s">
        <v>2365</v>
      </c>
      <c r="AS588" t="s">
        <v>2365</v>
      </c>
      <c r="AT588" t="s">
        <v>2365</v>
      </c>
      <c r="AU588" t="s">
        <v>2365</v>
      </c>
      <c r="AV588" t="s">
        <v>2365</v>
      </c>
      <c r="AW588" t="s">
        <v>2365</v>
      </c>
      <c r="AX588" t="s">
        <v>2365</v>
      </c>
      <c r="AY588" t="s">
        <v>2365</v>
      </c>
      <c r="AZ588" t="s">
        <v>2365</v>
      </c>
      <c r="BA588" t="s">
        <v>2365</v>
      </c>
      <c r="BB588" t="s">
        <v>2365</v>
      </c>
      <c r="BC588" t="s">
        <v>2365</v>
      </c>
      <c r="BD588" t="s">
        <v>2366</v>
      </c>
      <c r="BE588" t="s">
        <v>2365</v>
      </c>
      <c r="BF588" t="s">
        <v>2365</v>
      </c>
      <c r="BG588" t="s">
        <v>2365</v>
      </c>
      <c r="BH588" t="s">
        <v>2365</v>
      </c>
      <c r="BI588" t="s">
        <v>2366</v>
      </c>
      <c r="BJ588" t="s">
        <v>2365</v>
      </c>
      <c r="BK588" t="s">
        <v>2365</v>
      </c>
      <c r="BL588" t="s">
        <v>2365</v>
      </c>
      <c r="BM588" t="s">
        <v>2365</v>
      </c>
      <c r="BO588">
        <v>1</v>
      </c>
      <c r="BP588">
        <v>11</v>
      </c>
      <c r="BQ588" t="s">
        <v>2369</v>
      </c>
      <c r="BR588" t="s">
        <v>1487</v>
      </c>
      <c r="BU588">
        <v>0</v>
      </c>
      <c r="BV588">
        <v>0</v>
      </c>
      <c r="BW588">
        <v>0</v>
      </c>
      <c r="BX588">
        <v>0</v>
      </c>
      <c r="BY588">
        <v>0</v>
      </c>
      <c r="BZ588">
        <v>0</v>
      </c>
      <c r="CA588">
        <v>0</v>
      </c>
      <c r="CB588">
        <v>0</v>
      </c>
      <c r="CC588">
        <v>0</v>
      </c>
      <c r="CD588">
        <v>0</v>
      </c>
      <c r="CE588">
        <v>0</v>
      </c>
      <c r="CF588">
        <v>0</v>
      </c>
      <c r="CG588">
        <v>0</v>
      </c>
      <c r="CH588">
        <v>0</v>
      </c>
      <c r="CI588">
        <v>0</v>
      </c>
      <c r="CJ588">
        <v>0</v>
      </c>
      <c r="CK588">
        <v>0</v>
      </c>
      <c r="CL588">
        <v>0</v>
      </c>
      <c r="CM588">
        <v>0</v>
      </c>
      <c r="CR588" t="s">
        <v>2324</v>
      </c>
      <c r="CS588" s="1369" t="str">
        <f>INDEX([8]Sheet1!$H:$H,MATCH(CR:CR,[8]Sheet1!$AU:$AU,0))</f>
        <v>Finance</v>
      </c>
    </row>
    <row r="589" spans="1:97" x14ac:dyDescent="0.2">
      <c r="A589" t="s">
        <v>3150</v>
      </c>
      <c r="B589">
        <v>642</v>
      </c>
      <c r="C589" t="s">
        <v>3150</v>
      </c>
      <c r="D589">
        <v>40696</v>
      </c>
      <c r="E589" t="s">
        <v>3037</v>
      </c>
      <c r="F589">
        <v>200</v>
      </c>
      <c r="G589" t="s">
        <v>559</v>
      </c>
      <c r="H589" s="1373">
        <v>200</v>
      </c>
      <c r="I589" t="s">
        <v>2863</v>
      </c>
      <c r="J589" t="s">
        <v>2365</v>
      </c>
      <c r="K589" t="s">
        <v>2365</v>
      </c>
      <c r="L589" s="1373">
        <v>1200</v>
      </c>
      <c r="M589" t="s">
        <v>1480</v>
      </c>
      <c r="N589">
        <v>1204</v>
      </c>
      <c r="O589" t="s">
        <v>1487</v>
      </c>
      <c r="P589" t="s">
        <v>2366</v>
      </c>
      <c r="Q589" t="s">
        <v>2364</v>
      </c>
      <c r="R589" t="s">
        <v>2364</v>
      </c>
      <c r="S589" t="s">
        <v>1881</v>
      </c>
      <c r="T589" t="s">
        <v>1811</v>
      </c>
      <c r="U589" t="s">
        <v>2365</v>
      </c>
      <c r="V589" t="s">
        <v>2365</v>
      </c>
      <c r="W589" t="s">
        <v>2365</v>
      </c>
      <c r="X589" t="s">
        <v>2365</v>
      </c>
      <c r="Y589" t="s">
        <v>2365</v>
      </c>
      <c r="Z589" t="s">
        <v>2365</v>
      </c>
      <c r="AA589" t="s">
        <v>2365</v>
      </c>
      <c r="AB589" t="s">
        <v>2365</v>
      </c>
      <c r="AC589" s="813" t="s">
        <v>2365</v>
      </c>
      <c r="AD589" s="813" t="s">
        <v>2365</v>
      </c>
      <c r="AE589" s="813" t="s">
        <v>2365</v>
      </c>
      <c r="AF589" t="s">
        <v>2365</v>
      </c>
      <c r="AG589" t="s">
        <v>2365</v>
      </c>
      <c r="AH589" t="s">
        <v>2365</v>
      </c>
      <c r="AI589" t="s">
        <v>2365</v>
      </c>
      <c r="AJ589" t="s">
        <v>2365</v>
      </c>
      <c r="AK589" t="s">
        <v>2365</v>
      </c>
      <c r="AL589" t="s">
        <v>2365</v>
      </c>
      <c r="AM589" t="s">
        <v>2365</v>
      </c>
      <c r="AN589" t="s">
        <v>2365</v>
      </c>
      <c r="AR589" t="s">
        <v>2365</v>
      </c>
      <c r="AS589" t="s">
        <v>2365</v>
      </c>
      <c r="AT589" t="s">
        <v>2365</v>
      </c>
      <c r="AU589" t="s">
        <v>2365</v>
      </c>
      <c r="AV589" t="s">
        <v>2365</v>
      </c>
      <c r="AW589" t="s">
        <v>2365</v>
      </c>
      <c r="AX589" t="s">
        <v>2365</v>
      </c>
      <c r="AY589" t="s">
        <v>2365</v>
      </c>
      <c r="AZ589" t="s">
        <v>2365</v>
      </c>
      <c r="BA589" t="s">
        <v>2365</v>
      </c>
      <c r="BB589" t="s">
        <v>2365</v>
      </c>
      <c r="BC589" t="s">
        <v>2365</v>
      </c>
      <c r="BD589" t="s">
        <v>2366</v>
      </c>
      <c r="BE589" t="s">
        <v>2365</v>
      </c>
      <c r="BF589" t="s">
        <v>2365</v>
      </c>
      <c r="BG589" t="s">
        <v>2365</v>
      </c>
      <c r="BH589" t="s">
        <v>2365</v>
      </c>
      <c r="BI589" t="s">
        <v>2366</v>
      </c>
      <c r="BJ589" t="s">
        <v>2365</v>
      </c>
      <c r="BK589" t="s">
        <v>2365</v>
      </c>
      <c r="BL589" t="s">
        <v>2365</v>
      </c>
      <c r="BM589" t="s">
        <v>2365</v>
      </c>
      <c r="BO589">
        <v>1</v>
      </c>
      <c r="BP589">
        <v>11</v>
      </c>
      <c r="BQ589" t="s">
        <v>2369</v>
      </c>
      <c r="BR589" t="s">
        <v>1487</v>
      </c>
      <c r="BU589" s="1371">
        <v>0</v>
      </c>
      <c r="BV589" s="1371">
        <v>0</v>
      </c>
      <c r="BW589" s="1371">
        <v>0</v>
      </c>
      <c r="BX589" s="1371">
        <v>0</v>
      </c>
      <c r="BY589" s="1371">
        <v>0</v>
      </c>
      <c r="BZ589">
        <v>0</v>
      </c>
      <c r="CA589">
        <v>0</v>
      </c>
      <c r="CB589">
        <v>0</v>
      </c>
      <c r="CC589">
        <v>0</v>
      </c>
      <c r="CD589">
        <v>0</v>
      </c>
      <c r="CE589">
        <v>0</v>
      </c>
      <c r="CF589">
        <v>0</v>
      </c>
      <c r="CG589">
        <v>0</v>
      </c>
      <c r="CH589">
        <v>0</v>
      </c>
      <c r="CI589">
        <v>0</v>
      </c>
      <c r="CJ589">
        <v>0</v>
      </c>
      <c r="CK589">
        <v>0</v>
      </c>
      <c r="CL589">
        <v>0</v>
      </c>
      <c r="CM589">
        <v>0</v>
      </c>
      <c r="CR589" t="s">
        <v>2324</v>
      </c>
      <c r="CS589" s="1369" t="str">
        <f>INDEX([8]Sheet1!$H:$H,MATCH(CR:CR,[8]Sheet1!$AU:$AU,0))</f>
        <v>Finance</v>
      </c>
    </row>
    <row r="590" spans="1:97" x14ac:dyDescent="0.2">
      <c r="A590" t="s">
        <v>3151</v>
      </c>
      <c r="B590">
        <v>643</v>
      </c>
      <c r="C590" t="s">
        <v>3151</v>
      </c>
      <c r="D590">
        <v>40697</v>
      </c>
      <c r="E590" t="s">
        <v>2862</v>
      </c>
      <c r="F590">
        <v>200</v>
      </c>
      <c r="G590" t="s">
        <v>559</v>
      </c>
      <c r="H590">
        <v>200</v>
      </c>
      <c r="I590" t="s">
        <v>2863</v>
      </c>
      <c r="J590" t="s">
        <v>2365</v>
      </c>
      <c r="K590" t="s">
        <v>2365</v>
      </c>
      <c r="L590">
        <v>1200</v>
      </c>
      <c r="M590" t="s">
        <v>1480</v>
      </c>
      <c r="N590">
        <v>1204</v>
      </c>
      <c r="O590" t="s">
        <v>1487</v>
      </c>
      <c r="P590" t="s">
        <v>2366</v>
      </c>
      <c r="Q590" t="s">
        <v>2364</v>
      </c>
      <c r="R590" t="s">
        <v>2364</v>
      </c>
      <c r="S590" t="s">
        <v>1881</v>
      </c>
      <c r="T590" t="s">
        <v>1811</v>
      </c>
      <c r="U590" t="s">
        <v>2365</v>
      </c>
      <c r="V590" t="s">
        <v>2365</v>
      </c>
      <c r="W590" t="s">
        <v>2365</v>
      </c>
      <c r="X590" t="s">
        <v>2365</v>
      </c>
      <c r="Y590" t="s">
        <v>2365</v>
      </c>
      <c r="Z590" t="s">
        <v>2365</v>
      </c>
      <c r="AA590" t="s">
        <v>2365</v>
      </c>
      <c r="AB590" t="s">
        <v>2365</v>
      </c>
      <c r="AC590" s="813" t="s">
        <v>2365</v>
      </c>
      <c r="AD590" s="813" t="s">
        <v>2365</v>
      </c>
      <c r="AE590" s="813" t="s">
        <v>2365</v>
      </c>
      <c r="AF590" t="s">
        <v>2365</v>
      </c>
      <c r="AG590" t="s">
        <v>2365</v>
      </c>
      <c r="AH590" t="s">
        <v>2365</v>
      </c>
      <c r="AI590" t="s">
        <v>2365</v>
      </c>
      <c r="AJ590" t="s">
        <v>2365</v>
      </c>
      <c r="AK590" t="s">
        <v>2365</v>
      </c>
      <c r="AL590" t="s">
        <v>2365</v>
      </c>
      <c r="AM590" t="s">
        <v>2365</v>
      </c>
      <c r="AN590" t="s">
        <v>2365</v>
      </c>
      <c r="AR590" t="s">
        <v>2365</v>
      </c>
      <c r="AS590" t="s">
        <v>2365</v>
      </c>
      <c r="AT590" t="s">
        <v>2365</v>
      </c>
      <c r="AU590" t="s">
        <v>2365</v>
      </c>
      <c r="AV590" t="s">
        <v>2365</v>
      </c>
      <c r="AW590" t="s">
        <v>2365</v>
      </c>
      <c r="AX590" t="s">
        <v>2365</v>
      </c>
      <c r="AY590" t="s">
        <v>2365</v>
      </c>
      <c r="AZ590" t="s">
        <v>2365</v>
      </c>
      <c r="BA590" t="s">
        <v>2365</v>
      </c>
      <c r="BB590" t="s">
        <v>2365</v>
      </c>
      <c r="BC590" t="s">
        <v>2365</v>
      </c>
      <c r="BD590" t="s">
        <v>2366</v>
      </c>
      <c r="BE590" t="s">
        <v>2365</v>
      </c>
      <c r="BF590" t="s">
        <v>2365</v>
      </c>
      <c r="BG590" t="s">
        <v>2365</v>
      </c>
      <c r="BH590" t="s">
        <v>2365</v>
      </c>
      <c r="BI590" t="s">
        <v>2366</v>
      </c>
      <c r="BJ590" t="s">
        <v>2365</v>
      </c>
      <c r="BK590" t="s">
        <v>2365</v>
      </c>
      <c r="BL590" t="s">
        <v>2365</v>
      </c>
      <c r="BM590" t="s">
        <v>2365</v>
      </c>
      <c r="BO590">
        <v>1</v>
      </c>
      <c r="BP590">
        <v>11</v>
      </c>
      <c r="BQ590" t="s">
        <v>2369</v>
      </c>
      <c r="BR590" t="s">
        <v>1487</v>
      </c>
      <c r="BU590">
        <v>0</v>
      </c>
      <c r="BV590">
        <v>0</v>
      </c>
      <c r="BW590">
        <v>0</v>
      </c>
      <c r="BX590">
        <v>0</v>
      </c>
      <c r="BY590">
        <v>0</v>
      </c>
      <c r="BZ590">
        <v>0</v>
      </c>
      <c r="CA590">
        <v>0</v>
      </c>
      <c r="CB590">
        <v>0</v>
      </c>
      <c r="CC590">
        <v>0</v>
      </c>
      <c r="CD590">
        <v>0</v>
      </c>
      <c r="CE590">
        <v>0</v>
      </c>
      <c r="CF590">
        <v>0</v>
      </c>
      <c r="CG590">
        <v>0</v>
      </c>
      <c r="CH590">
        <v>0</v>
      </c>
      <c r="CI590">
        <v>0</v>
      </c>
      <c r="CJ590">
        <v>0</v>
      </c>
      <c r="CK590">
        <v>0</v>
      </c>
      <c r="CL590">
        <v>0</v>
      </c>
      <c r="CM590">
        <v>0</v>
      </c>
      <c r="CR590" t="s">
        <v>2324</v>
      </c>
      <c r="CS590" s="1369" t="str">
        <f>INDEX([8]Sheet1!$H:$H,MATCH(CR:CR,[8]Sheet1!$AU:$AU,0))</f>
        <v>Finance</v>
      </c>
    </row>
    <row r="591" spans="1:97" x14ac:dyDescent="0.2">
      <c r="A591" t="s">
        <v>3152</v>
      </c>
      <c r="B591">
        <v>644</v>
      </c>
      <c r="C591" t="s">
        <v>3152</v>
      </c>
      <c r="D591">
        <v>40698</v>
      </c>
      <c r="E591" t="s">
        <v>3040</v>
      </c>
      <c r="F591">
        <v>200</v>
      </c>
      <c r="G591" t="s">
        <v>559</v>
      </c>
      <c r="H591">
        <v>200</v>
      </c>
      <c r="I591" t="s">
        <v>2863</v>
      </c>
      <c r="J591" t="s">
        <v>2365</v>
      </c>
      <c r="K591" t="s">
        <v>2365</v>
      </c>
      <c r="L591">
        <v>1200</v>
      </c>
      <c r="M591" t="s">
        <v>1480</v>
      </c>
      <c r="N591">
        <v>1204</v>
      </c>
      <c r="O591" t="s">
        <v>1487</v>
      </c>
      <c r="P591" t="s">
        <v>2366</v>
      </c>
      <c r="Q591" t="s">
        <v>2364</v>
      </c>
      <c r="R591" t="s">
        <v>2364</v>
      </c>
      <c r="S591" t="s">
        <v>1881</v>
      </c>
      <c r="T591" t="s">
        <v>1811</v>
      </c>
      <c r="U591" t="s">
        <v>2365</v>
      </c>
      <c r="V591" t="s">
        <v>2365</v>
      </c>
      <c r="W591" t="s">
        <v>2365</v>
      </c>
      <c r="X591" t="s">
        <v>2365</v>
      </c>
      <c r="Y591" t="s">
        <v>2365</v>
      </c>
      <c r="Z591" t="s">
        <v>2365</v>
      </c>
      <c r="AA591" t="s">
        <v>2365</v>
      </c>
      <c r="AB591" t="s">
        <v>2365</v>
      </c>
      <c r="AC591" s="813" t="s">
        <v>2365</v>
      </c>
      <c r="AD591" s="813" t="s">
        <v>2365</v>
      </c>
      <c r="AE591" s="813" t="s">
        <v>2365</v>
      </c>
      <c r="AF591" t="s">
        <v>2365</v>
      </c>
      <c r="AG591" t="s">
        <v>2365</v>
      </c>
      <c r="AH591" t="s">
        <v>2365</v>
      </c>
      <c r="AI591" t="s">
        <v>2365</v>
      </c>
      <c r="AJ591" t="s">
        <v>2365</v>
      </c>
      <c r="AK591" t="s">
        <v>2365</v>
      </c>
      <c r="AL591" t="s">
        <v>2365</v>
      </c>
      <c r="AM591" t="s">
        <v>2365</v>
      </c>
      <c r="AN591" t="s">
        <v>2365</v>
      </c>
      <c r="AR591" t="s">
        <v>2365</v>
      </c>
      <c r="AS591" t="s">
        <v>2365</v>
      </c>
      <c r="AT591" t="s">
        <v>2365</v>
      </c>
      <c r="AU591" t="s">
        <v>2365</v>
      </c>
      <c r="AV591" t="s">
        <v>2365</v>
      </c>
      <c r="AW591" t="s">
        <v>2365</v>
      </c>
      <c r="AX591" t="s">
        <v>2365</v>
      </c>
      <c r="AY591" t="s">
        <v>2365</v>
      </c>
      <c r="AZ591" t="s">
        <v>2365</v>
      </c>
      <c r="BA591" t="s">
        <v>2365</v>
      </c>
      <c r="BB591" t="s">
        <v>2365</v>
      </c>
      <c r="BC591" t="s">
        <v>2365</v>
      </c>
      <c r="BD591" t="s">
        <v>2366</v>
      </c>
      <c r="BE591" t="s">
        <v>2365</v>
      </c>
      <c r="BF591" t="s">
        <v>2365</v>
      </c>
      <c r="BG591" t="s">
        <v>2365</v>
      </c>
      <c r="BH591" t="s">
        <v>2365</v>
      </c>
      <c r="BI591" t="s">
        <v>2366</v>
      </c>
      <c r="BJ591" t="s">
        <v>2365</v>
      </c>
      <c r="BK591" t="s">
        <v>2365</v>
      </c>
      <c r="BL591" t="s">
        <v>2365</v>
      </c>
      <c r="BM591" t="s">
        <v>2365</v>
      </c>
      <c r="BO591">
        <v>1</v>
      </c>
      <c r="BP591">
        <v>11</v>
      </c>
      <c r="BQ591" t="s">
        <v>2369</v>
      </c>
      <c r="BR591" t="s">
        <v>1487</v>
      </c>
      <c r="BU591">
        <v>0</v>
      </c>
      <c r="BV591">
        <v>0</v>
      </c>
      <c r="BW591">
        <v>0</v>
      </c>
      <c r="BX591">
        <v>0</v>
      </c>
      <c r="BY591">
        <v>0</v>
      </c>
      <c r="BZ591">
        <v>0</v>
      </c>
      <c r="CA591">
        <v>0</v>
      </c>
      <c r="CB591">
        <v>0</v>
      </c>
      <c r="CC591">
        <v>0</v>
      </c>
      <c r="CD591">
        <v>0</v>
      </c>
      <c r="CE591">
        <v>0</v>
      </c>
      <c r="CF591">
        <v>0</v>
      </c>
      <c r="CG591">
        <v>0</v>
      </c>
      <c r="CH591">
        <v>0</v>
      </c>
      <c r="CI591">
        <v>0</v>
      </c>
      <c r="CJ591">
        <v>0</v>
      </c>
      <c r="CK591">
        <v>0</v>
      </c>
      <c r="CL591">
        <v>0</v>
      </c>
      <c r="CM591">
        <v>0</v>
      </c>
      <c r="CR591" t="s">
        <v>2324</v>
      </c>
      <c r="CS591" s="1369" t="str">
        <f>INDEX([8]Sheet1!$H:$H,MATCH(CR:CR,[8]Sheet1!$AU:$AU,0))</f>
        <v>Finance</v>
      </c>
    </row>
    <row r="592" spans="1:97" x14ac:dyDescent="0.2">
      <c r="A592" t="s">
        <v>3153</v>
      </c>
      <c r="B592">
        <v>645</v>
      </c>
      <c r="C592" t="s">
        <v>3153</v>
      </c>
      <c r="D592">
        <v>40699</v>
      </c>
      <c r="E592" t="s">
        <v>3042</v>
      </c>
      <c r="F592">
        <v>200</v>
      </c>
      <c r="G592" t="s">
        <v>559</v>
      </c>
      <c r="H592">
        <v>200</v>
      </c>
      <c r="I592" t="s">
        <v>2863</v>
      </c>
      <c r="J592" t="s">
        <v>2365</v>
      </c>
      <c r="K592" t="s">
        <v>2365</v>
      </c>
      <c r="L592">
        <v>1200</v>
      </c>
      <c r="M592" t="s">
        <v>1480</v>
      </c>
      <c r="N592">
        <v>1204</v>
      </c>
      <c r="O592" t="s">
        <v>1487</v>
      </c>
      <c r="P592" t="s">
        <v>2366</v>
      </c>
      <c r="Q592" t="s">
        <v>2364</v>
      </c>
      <c r="R592" t="s">
        <v>2364</v>
      </c>
      <c r="S592" t="s">
        <v>1881</v>
      </c>
      <c r="T592" t="s">
        <v>1811</v>
      </c>
      <c r="U592" t="s">
        <v>2365</v>
      </c>
      <c r="V592" t="s">
        <v>2365</v>
      </c>
      <c r="W592" t="s">
        <v>2365</v>
      </c>
      <c r="X592" t="s">
        <v>2365</v>
      </c>
      <c r="Y592" t="s">
        <v>2365</v>
      </c>
      <c r="Z592" t="s">
        <v>2365</v>
      </c>
      <c r="AA592" t="s">
        <v>2365</v>
      </c>
      <c r="AB592" t="s">
        <v>2365</v>
      </c>
      <c r="AC592" s="813" t="s">
        <v>2365</v>
      </c>
      <c r="AD592" s="813" t="s">
        <v>2365</v>
      </c>
      <c r="AE592" s="813" t="s">
        <v>2365</v>
      </c>
      <c r="AF592" t="s">
        <v>2365</v>
      </c>
      <c r="AG592" t="s">
        <v>2365</v>
      </c>
      <c r="AH592" t="s">
        <v>2365</v>
      </c>
      <c r="AI592" t="s">
        <v>2365</v>
      </c>
      <c r="AJ592" t="s">
        <v>2365</v>
      </c>
      <c r="AK592" t="s">
        <v>2365</v>
      </c>
      <c r="AL592" t="s">
        <v>2365</v>
      </c>
      <c r="AM592" t="s">
        <v>2365</v>
      </c>
      <c r="AN592" t="s">
        <v>2365</v>
      </c>
      <c r="AR592" t="s">
        <v>2365</v>
      </c>
      <c r="AS592" t="s">
        <v>2365</v>
      </c>
      <c r="AT592" t="s">
        <v>2365</v>
      </c>
      <c r="AU592" t="s">
        <v>2365</v>
      </c>
      <c r="AV592" t="s">
        <v>2365</v>
      </c>
      <c r="AW592" t="s">
        <v>2365</v>
      </c>
      <c r="AX592" t="s">
        <v>2365</v>
      </c>
      <c r="AY592" t="s">
        <v>2365</v>
      </c>
      <c r="AZ592" t="s">
        <v>2365</v>
      </c>
      <c r="BA592" t="s">
        <v>2365</v>
      </c>
      <c r="BB592" t="s">
        <v>2365</v>
      </c>
      <c r="BC592" t="s">
        <v>2365</v>
      </c>
      <c r="BD592" t="s">
        <v>2366</v>
      </c>
      <c r="BE592" t="s">
        <v>2365</v>
      </c>
      <c r="BF592" t="s">
        <v>2365</v>
      </c>
      <c r="BG592" t="s">
        <v>2365</v>
      </c>
      <c r="BH592" t="s">
        <v>2365</v>
      </c>
      <c r="BI592" t="s">
        <v>2366</v>
      </c>
      <c r="BJ592" t="s">
        <v>2365</v>
      </c>
      <c r="BK592" t="s">
        <v>2365</v>
      </c>
      <c r="BL592" t="s">
        <v>2365</v>
      </c>
      <c r="BM592" t="s">
        <v>2365</v>
      </c>
      <c r="BO592">
        <v>1</v>
      </c>
      <c r="BP592">
        <v>11</v>
      </c>
      <c r="BQ592" t="s">
        <v>2369</v>
      </c>
      <c r="BR592" t="s">
        <v>1487</v>
      </c>
      <c r="BU592">
        <v>0</v>
      </c>
      <c r="BV592">
        <v>0</v>
      </c>
      <c r="BW592">
        <v>0</v>
      </c>
      <c r="BX592">
        <v>0</v>
      </c>
      <c r="BY592">
        <v>0</v>
      </c>
      <c r="BZ592">
        <v>0</v>
      </c>
      <c r="CA592">
        <v>0</v>
      </c>
      <c r="CB592">
        <v>0</v>
      </c>
      <c r="CC592">
        <v>0</v>
      </c>
      <c r="CD592">
        <v>0</v>
      </c>
      <c r="CE592">
        <v>0</v>
      </c>
      <c r="CF592">
        <v>0</v>
      </c>
      <c r="CG592">
        <v>0</v>
      </c>
      <c r="CH592">
        <v>0</v>
      </c>
      <c r="CI592">
        <v>0</v>
      </c>
      <c r="CJ592">
        <v>0</v>
      </c>
      <c r="CK592">
        <v>0</v>
      </c>
      <c r="CL592">
        <v>0</v>
      </c>
      <c r="CM592">
        <v>0</v>
      </c>
      <c r="CR592" t="s">
        <v>2319</v>
      </c>
      <c r="CS592" s="1369" t="str">
        <f>INDEX([8]Sheet1!$H:$H,MATCH(CR:CR,[8]Sheet1!$AU:$AU,0))</f>
        <v>Mayor and Council</v>
      </c>
    </row>
    <row r="593" spans="1:97" x14ac:dyDescent="0.2">
      <c r="A593" t="s">
        <v>3154</v>
      </c>
      <c r="B593">
        <v>646</v>
      </c>
      <c r="C593" t="s">
        <v>3154</v>
      </c>
      <c r="D593">
        <v>40700</v>
      </c>
      <c r="E593" t="s">
        <v>3044</v>
      </c>
      <c r="F593">
        <v>200</v>
      </c>
      <c r="G593" t="s">
        <v>559</v>
      </c>
      <c r="H593">
        <v>200</v>
      </c>
      <c r="I593" t="s">
        <v>2863</v>
      </c>
      <c r="J593" t="s">
        <v>2365</v>
      </c>
      <c r="K593" t="s">
        <v>2365</v>
      </c>
      <c r="L593">
        <v>1200</v>
      </c>
      <c r="M593" t="s">
        <v>1480</v>
      </c>
      <c r="N593">
        <v>1204</v>
      </c>
      <c r="O593" t="s">
        <v>1487</v>
      </c>
      <c r="P593" t="s">
        <v>2366</v>
      </c>
      <c r="Q593" t="s">
        <v>2364</v>
      </c>
      <c r="R593" t="s">
        <v>2364</v>
      </c>
      <c r="S593" t="s">
        <v>1881</v>
      </c>
      <c r="T593" t="s">
        <v>1811</v>
      </c>
      <c r="U593" t="s">
        <v>2365</v>
      </c>
      <c r="V593" t="s">
        <v>2365</v>
      </c>
      <c r="W593" t="s">
        <v>2365</v>
      </c>
      <c r="X593" t="s">
        <v>2365</v>
      </c>
      <c r="Y593" t="s">
        <v>2365</v>
      </c>
      <c r="Z593" t="s">
        <v>2365</v>
      </c>
      <c r="AA593" t="s">
        <v>2365</v>
      </c>
      <c r="AB593" t="s">
        <v>2365</v>
      </c>
      <c r="AC593" s="813" t="s">
        <v>2365</v>
      </c>
      <c r="AD593" s="813" t="s">
        <v>2365</v>
      </c>
      <c r="AE593" s="813" t="s">
        <v>2365</v>
      </c>
      <c r="AF593" t="s">
        <v>2365</v>
      </c>
      <c r="AG593" t="s">
        <v>2365</v>
      </c>
      <c r="AH593" t="s">
        <v>2365</v>
      </c>
      <c r="AI593" t="s">
        <v>2365</v>
      </c>
      <c r="AJ593" t="s">
        <v>2365</v>
      </c>
      <c r="AK593" t="s">
        <v>2365</v>
      </c>
      <c r="AL593" t="s">
        <v>2365</v>
      </c>
      <c r="AM593" t="s">
        <v>2365</v>
      </c>
      <c r="AN593" t="s">
        <v>2365</v>
      </c>
      <c r="AR593" t="s">
        <v>2365</v>
      </c>
      <c r="AS593" t="s">
        <v>2365</v>
      </c>
      <c r="AT593" t="s">
        <v>2365</v>
      </c>
      <c r="AU593" t="s">
        <v>2365</v>
      </c>
      <c r="AV593" t="s">
        <v>2365</v>
      </c>
      <c r="AW593" t="s">
        <v>2365</v>
      </c>
      <c r="AX593" t="s">
        <v>2365</v>
      </c>
      <c r="AY593" t="s">
        <v>2365</v>
      </c>
      <c r="AZ593" t="s">
        <v>2365</v>
      </c>
      <c r="BA593" t="s">
        <v>2365</v>
      </c>
      <c r="BB593" t="s">
        <v>2365</v>
      </c>
      <c r="BC593" t="s">
        <v>2365</v>
      </c>
      <c r="BD593" t="s">
        <v>2366</v>
      </c>
      <c r="BE593" t="s">
        <v>2365</v>
      </c>
      <c r="BF593" t="s">
        <v>2365</v>
      </c>
      <c r="BG593" t="s">
        <v>2365</v>
      </c>
      <c r="BH593" t="s">
        <v>2365</v>
      </c>
      <c r="BI593" t="s">
        <v>2366</v>
      </c>
      <c r="BJ593" t="s">
        <v>2365</v>
      </c>
      <c r="BK593" t="s">
        <v>2365</v>
      </c>
      <c r="BL593" t="s">
        <v>2365</v>
      </c>
      <c r="BM593" t="s">
        <v>2365</v>
      </c>
      <c r="BO593">
        <v>1</v>
      </c>
      <c r="BP593">
        <v>11</v>
      </c>
      <c r="BQ593" t="s">
        <v>2369</v>
      </c>
      <c r="BR593" t="s">
        <v>1487</v>
      </c>
      <c r="BU593">
        <v>0</v>
      </c>
      <c r="BV593">
        <v>0</v>
      </c>
      <c r="BW593">
        <v>0</v>
      </c>
      <c r="BX593">
        <v>0</v>
      </c>
      <c r="BY593">
        <v>0</v>
      </c>
      <c r="BZ593">
        <v>0</v>
      </c>
      <c r="CA593">
        <v>0</v>
      </c>
      <c r="CB593">
        <v>0</v>
      </c>
      <c r="CC593">
        <v>0</v>
      </c>
      <c r="CD593">
        <v>0</v>
      </c>
      <c r="CE593">
        <v>0</v>
      </c>
      <c r="CF593">
        <v>0</v>
      </c>
      <c r="CG593">
        <v>0</v>
      </c>
      <c r="CH593">
        <v>0</v>
      </c>
      <c r="CI593">
        <v>0</v>
      </c>
      <c r="CJ593">
        <v>0</v>
      </c>
      <c r="CK593">
        <v>0</v>
      </c>
      <c r="CL593">
        <v>0</v>
      </c>
      <c r="CM593">
        <v>0</v>
      </c>
      <c r="CR593" t="s">
        <v>2319</v>
      </c>
      <c r="CS593" s="1369" t="str">
        <f>INDEX([8]Sheet1!$H:$H,MATCH(CR:CR,[8]Sheet1!$AU:$AU,0))</f>
        <v>Mayor and Council</v>
      </c>
    </row>
    <row r="594" spans="1:97" x14ac:dyDescent="0.2">
      <c r="A594" t="s">
        <v>3155</v>
      </c>
      <c r="B594">
        <v>647</v>
      </c>
      <c r="C594" t="s">
        <v>3155</v>
      </c>
      <c r="D594">
        <v>40701</v>
      </c>
      <c r="E594" t="s">
        <v>3046</v>
      </c>
      <c r="F594">
        <v>200</v>
      </c>
      <c r="G594" t="s">
        <v>559</v>
      </c>
      <c r="H594">
        <v>200</v>
      </c>
      <c r="I594" t="s">
        <v>2863</v>
      </c>
      <c r="J594" t="s">
        <v>2365</v>
      </c>
      <c r="K594" t="s">
        <v>2365</v>
      </c>
      <c r="L594">
        <v>1200</v>
      </c>
      <c r="M594" t="s">
        <v>1480</v>
      </c>
      <c r="N594">
        <v>1204</v>
      </c>
      <c r="O594" t="s">
        <v>1487</v>
      </c>
      <c r="P594" t="s">
        <v>2366</v>
      </c>
      <c r="Q594" t="s">
        <v>2364</v>
      </c>
      <c r="R594" t="s">
        <v>2364</v>
      </c>
      <c r="S594" t="s">
        <v>1881</v>
      </c>
      <c r="T594" t="s">
        <v>1811</v>
      </c>
      <c r="U594" t="s">
        <v>2365</v>
      </c>
      <c r="V594" t="s">
        <v>2365</v>
      </c>
      <c r="W594" t="s">
        <v>2365</v>
      </c>
      <c r="X594" t="s">
        <v>2365</v>
      </c>
      <c r="Y594" t="s">
        <v>2365</v>
      </c>
      <c r="Z594" t="s">
        <v>2365</v>
      </c>
      <c r="AA594" t="s">
        <v>2365</v>
      </c>
      <c r="AB594" t="s">
        <v>2365</v>
      </c>
      <c r="AC594" s="813" t="s">
        <v>2365</v>
      </c>
      <c r="AD594" s="813" t="s">
        <v>2365</v>
      </c>
      <c r="AE594" s="813" t="s">
        <v>2365</v>
      </c>
      <c r="AF594" t="s">
        <v>2365</v>
      </c>
      <c r="AG594" t="s">
        <v>2365</v>
      </c>
      <c r="AH594" t="s">
        <v>2365</v>
      </c>
      <c r="AI594" t="s">
        <v>2365</v>
      </c>
      <c r="AJ594" t="s">
        <v>2365</v>
      </c>
      <c r="AK594" t="s">
        <v>2365</v>
      </c>
      <c r="AL594" t="s">
        <v>2365</v>
      </c>
      <c r="AM594" t="s">
        <v>2365</v>
      </c>
      <c r="AN594" t="s">
        <v>2365</v>
      </c>
      <c r="AR594" t="s">
        <v>2365</v>
      </c>
      <c r="AS594" t="s">
        <v>2365</v>
      </c>
      <c r="AT594" t="s">
        <v>2365</v>
      </c>
      <c r="AU594" t="s">
        <v>2365</v>
      </c>
      <c r="AV594" t="s">
        <v>2365</v>
      </c>
      <c r="AW594" t="s">
        <v>2365</v>
      </c>
      <c r="AX594" t="s">
        <v>2365</v>
      </c>
      <c r="AY594" t="s">
        <v>2365</v>
      </c>
      <c r="AZ594" t="s">
        <v>2365</v>
      </c>
      <c r="BA594" t="s">
        <v>2365</v>
      </c>
      <c r="BB594" t="s">
        <v>2365</v>
      </c>
      <c r="BC594" t="s">
        <v>2365</v>
      </c>
      <c r="BD594" t="s">
        <v>2366</v>
      </c>
      <c r="BE594" t="s">
        <v>2365</v>
      </c>
      <c r="BF594" t="s">
        <v>2365</v>
      </c>
      <c r="BG594" t="s">
        <v>2365</v>
      </c>
      <c r="BH594" t="s">
        <v>2365</v>
      </c>
      <c r="BI594" t="s">
        <v>2366</v>
      </c>
      <c r="BJ594" t="s">
        <v>2365</v>
      </c>
      <c r="BK594" t="s">
        <v>2365</v>
      </c>
      <c r="BL594" t="s">
        <v>2365</v>
      </c>
      <c r="BM594" t="s">
        <v>2365</v>
      </c>
      <c r="BO594">
        <v>1</v>
      </c>
      <c r="BP594">
        <v>11</v>
      </c>
      <c r="BQ594" t="s">
        <v>2369</v>
      </c>
      <c r="BR594" t="s">
        <v>1487</v>
      </c>
      <c r="BU594">
        <v>0</v>
      </c>
      <c r="BV594">
        <v>0</v>
      </c>
      <c r="BW594">
        <v>0</v>
      </c>
      <c r="BX594">
        <v>0</v>
      </c>
      <c r="BY594">
        <v>0</v>
      </c>
      <c r="BZ594">
        <v>0</v>
      </c>
      <c r="CA594">
        <v>0</v>
      </c>
      <c r="CB594">
        <v>0</v>
      </c>
      <c r="CC594">
        <v>0</v>
      </c>
      <c r="CD594">
        <v>0</v>
      </c>
      <c r="CE594">
        <v>0</v>
      </c>
      <c r="CF594">
        <v>0</v>
      </c>
      <c r="CG594">
        <v>0</v>
      </c>
      <c r="CH594">
        <v>0</v>
      </c>
      <c r="CI594">
        <v>0</v>
      </c>
      <c r="CJ594">
        <v>0</v>
      </c>
      <c r="CK594">
        <v>0</v>
      </c>
      <c r="CL594">
        <v>0</v>
      </c>
      <c r="CM594">
        <v>0</v>
      </c>
      <c r="CR594" t="s">
        <v>2319</v>
      </c>
      <c r="CS594" s="1369" t="str">
        <f>INDEX([8]Sheet1!$H:$H,MATCH(CR:CR,[8]Sheet1!$AU:$AU,0))</f>
        <v>Mayor and Council</v>
      </c>
    </row>
    <row r="595" spans="1:97" x14ac:dyDescent="0.2">
      <c r="A595" t="s">
        <v>3156</v>
      </c>
      <c r="B595">
        <v>648</v>
      </c>
      <c r="C595" t="s">
        <v>3156</v>
      </c>
      <c r="D595">
        <v>40702</v>
      </c>
      <c r="E595" t="s">
        <v>3048</v>
      </c>
      <c r="F595">
        <v>200</v>
      </c>
      <c r="G595" t="s">
        <v>559</v>
      </c>
      <c r="H595">
        <v>200</v>
      </c>
      <c r="I595" t="s">
        <v>2863</v>
      </c>
      <c r="J595" t="s">
        <v>2365</v>
      </c>
      <c r="K595" t="s">
        <v>2365</v>
      </c>
      <c r="L595">
        <v>1200</v>
      </c>
      <c r="M595" t="s">
        <v>1480</v>
      </c>
      <c r="N595">
        <v>1204</v>
      </c>
      <c r="O595" t="s">
        <v>1487</v>
      </c>
      <c r="P595" t="s">
        <v>2366</v>
      </c>
      <c r="Q595" t="s">
        <v>2364</v>
      </c>
      <c r="R595" t="s">
        <v>2364</v>
      </c>
      <c r="S595" t="s">
        <v>1881</v>
      </c>
      <c r="T595" t="s">
        <v>1811</v>
      </c>
      <c r="U595" t="s">
        <v>2365</v>
      </c>
      <c r="V595" t="s">
        <v>2365</v>
      </c>
      <c r="W595" t="s">
        <v>2365</v>
      </c>
      <c r="X595" t="s">
        <v>2365</v>
      </c>
      <c r="Y595" t="s">
        <v>2365</v>
      </c>
      <c r="Z595" t="s">
        <v>2365</v>
      </c>
      <c r="AA595" t="s">
        <v>2365</v>
      </c>
      <c r="AB595" t="s">
        <v>2365</v>
      </c>
      <c r="AC595" s="813" t="s">
        <v>2365</v>
      </c>
      <c r="AD595" s="813" t="s">
        <v>2365</v>
      </c>
      <c r="AE595" s="813" t="s">
        <v>2365</v>
      </c>
      <c r="AF595" t="s">
        <v>2365</v>
      </c>
      <c r="AG595" t="s">
        <v>2365</v>
      </c>
      <c r="AH595" t="s">
        <v>2365</v>
      </c>
      <c r="AI595" t="s">
        <v>2365</v>
      </c>
      <c r="AJ595" t="s">
        <v>2365</v>
      </c>
      <c r="AK595" t="s">
        <v>2365</v>
      </c>
      <c r="AL595" t="s">
        <v>2365</v>
      </c>
      <c r="AM595" t="s">
        <v>2365</v>
      </c>
      <c r="AN595" t="s">
        <v>2365</v>
      </c>
      <c r="AR595" t="s">
        <v>2365</v>
      </c>
      <c r="AS595" t="s">
        <v>2365</v>
      </c>
      <c r="AT595" t="s">
        <v>2365</v>
      </c>
      <c r="AU595" t="s">
        <v>2365</v>
      </c>
      <c r="AV595" t="s">
        <v>2365</v>
      </c>
      <c r="AW595" t="s">
        <v>2365</v>
      </c>
      <c r="AX595" t="s">
        <v>2365</v>
      </c>
      <c r="AY595" t="s">
        <v>2365</v>
      </c>
      <c r="AZ595" t="s">
        <v>2365</v>
      </c>
      <c r="BA595" t="s">
        <v>2365</v>
      </c>
      <c r="BB595" t="s">
        <v>2365</v>
      </c>
      <c r="BC595" t="s">
        <v>2365</v>
      </c>
      <c r="BD595" t="s">
        <v>2366</v>
      </c>
      <c r="BE595" t="s">
        <v>2365</v>
      </c>
      <c r="BF595" t="s">
        <v>2365</v>
      </c>
      <c r="BG595" t="s">
        <v>2365</v>
      </c>
      <c r="BH595" t="s">
        <v>2365</v>
      </c>
      <c r="BI595" t="s">
        <v>2366</v>
      </c>
      <c r="BJ595" t="s">
        <v>2365</v>
      </c>
      <c r="BK595" t="s">
        <v>2365</v>
      </c>
      <c r="BL595" t="s">
        <v>2365</v>
      </c>
      <c r="BM595" t="s">
        <v>2365</v>
      </c>
      <c r="BO595">
        <v>1</v>
      </c>
      <c r="BP595">
        <v>11</v>
      </c>
      <c r="BQ595" t="s">
        <v>2369</v>
      </c>
      <c r="BR595" t="s">
        <v>1487</v>
      </c>
      <c r="BU595">
        <v>0</v>
      </c>
      <c r="BV595">
        <v>0</v>
      </c>
      <c r="BW595">
        <v>0</v>
      </c>
      <c r="BX595">
        <v>0</v>
      </c>
      <c r="BY595">
        <v>0</v>
      </c>
      <c r="BZ595">
        <v>0</v>
      </c>
      <c r="CA595">
        <v>0</v>
      </c>
      <c r="CB595">
        <v>0</v>
      </c>
      <c r="CC595">
        <v>0</v>
      </c>
      <c r="CD595">
        <v>0</v>
      </c>
      <c r="CE595">
        <v>0</v>
      </c>
      <c r="CF595">
        <v>0</v>
      </c>
      <c r="CG595">
        <v>0</v>
      </c>
      <c r="CH595">
        <v>0</v>
      </c>
      <c r="CI595">
        <v>0</v>
      </c>
      <c r="CJ595">
        <v>0</v>
      </c>
      <c r="CK595">
        <v>0</v>
      </c>
      <c r="CL595">
        <v>0</v>
      </c>
      <c r="CM595">
        <v>0</v>
      </c>
      <c r="CR595" t="s">
        <v>2319</v>
      </c>
      <c r="CS595" s="1369" t="str">
        <f>INDEX([8]Sheet1!$H:$H,MATCH(CR:CR,[8]Sheet1!$AU:$AU,0))</f>
        <v>Mayor and Council</v>
      </c>
    </row>
    <row r="596" spans="1:97" x14ac:dyDescent="0.2">
      <c r="A596" t="s">
        <v>3157</v>
      </c>
      <c r="B596">
        <v>649</v>
      </c>
      <c r="C596" t="s">
        <v>3157</v>
      </c>
      <c r="D596">
        <v>40703</v>
      </c>
      <c r="E596" t="s">
        <v>3050</v>
      </c>
      <c r="F596">
        <v>200</v>
      </c>
      <c r="G596" t="s">
        <v>559</v>
      </c>
      <c r="H596">
        <v>200</v>
      </c>
      <c r="I596" t="s">
        <v>2863</v>
      </c>
      <c r="J596" t="s">
        <v>2365</v>
      </c>
      <c r="K596" t="s">
        <v>2365</v>
      </c>
      <c r="L596">
        <v>1200</v>
      </c>
      <c r="M596" t="s">
        <v>1480</v>
      </c>
      <c r="N596">
        <v>1204</v>
      </c>
      <c r="O596" t="s">
        <v>1487</v>
      </c>
      <c r="P596" t="s">
        <v>2366</v>
      </c>
      <c r="Q596" t="s">
        <v>2364</v>
      </c>
      <c r="R596" t="s">
        <v>2364</v>
      </c>
      <c r="S596" t="s">
        <v>1881</v>
      </c>
      <c r="T596" t="s">
        <v>1811</v>
      </c>
      <c r="U596" t="s">
        <v>2365</v>
      </c>
      <c r="V596" t="s">
        <v>2365</v>
      </c>
      <c r="W596" t="s">
        <v>2365</v>
      </c>
      <c r="X596" t="s">
        <v>2365</v>
      </c>
      <c r="Y596" t="s">
        <v>2365</v>
      </c>
      <c r="Z596" t="s">
        <v>2365</v>
      </c>
      <c r="AA596" t="s">
        <v>2365</v>
      </c>
      <c r="AB596" t="s">
        <v>2365</v>
      </c>
      <c r="AC596" s="813" t="s">
        <v>2365</v>
      </c>
      <c r="AD596" s="813" t="s">
        <v>2365</v>
      </c>
      <c r="AE596" s="813" t="s">
        <v>2365</v>
      </c>
      <c r="AF596" t="s">
        <v>2365</v>
      </c>
      <c r="AG596" t="s">
        <v>2365</v>
      </c>
      <c r="AH596" t="s">
        <v>2365</v>
      </c>
      <c r="AI596" t="s">
        <v>2365</v>
      </c>
      <c r="AJ596" t="s">
        <v>2365</v>
      </c>
      <c r="AK596" t="s">
        <v>2365</v>
      </c>
      <c r="AL596" t="s">
        <v>2365</v>
      </c>
      <c r="AM596" t="s">
        <v>2365</v>
      </c>
      <c r="AN596" t="s">
        <v>2365</v>
      </c>
      <c r="AR596" t="s">
        <v>2365</v>
      </c>
      <c r="AS596" t="s">
        <v>2365</v>
      </c>
      <c r="AT596" t="s">
        <v>2365</v>
      </c>
      <c r="AU596" t="s">
        <v>2365</v>
      </c>
      <c r="AV596" t="s">
        <v>2365</v>
      </c>
      <c r="AW596" t="s">
        <v>2365</v>
      </c>
      <c r="AX596" t="s">
        <v>2365</v>
      </c>
      <c r="AY596" t="s">
        <v>2365</v>
      </c>
      <c r="AZ596" t="s">
        <v>2365</v>
      </c>
      <c r="BA596" t="s">
        <v>2365</v>
      </c>
      <c r="BB596" t="s">
        <v>2365</v>
      </c>
      <c r="BC596" t="s">
        <v>2365</v>
      </c>
      <c r="BD596" t="s">
        <v>2366</v>
      </c>
      <c r="BE596" t="s">
        <v>2365</v>
      </c>
      <c r="BF596" t="s">
        <v>2365</v>
      </c>
      <c r="BG596" t="s">
        <v>2365</v>
      </c>
      <c r="BH596" t="s">
        <v>2365</v>
      </c>
      <c r="BI596" t="s">
        <v>2366</v>
      </c>
      <c r="BJ596" t="s">
        <v>2365</v>
      </c>
      <c r="BK596" t="s">
        <v>2365</v>
      </c>
      <c r="BL596" t="s">
        <v>2365</v>
      </c>
      <c r="BM596" t="s">
        <v>2365</v>
      </c>
      <c r="BO596">
        <v>1</v>
      </c>
      <c r="BP596">
        <v>11</v>
      </c>
      <c r="BQ596" t="s">
        <v>2369</v>
      </c>
      <c r="BR596" t="s">
        <v>1487</v>
      </c>
      <c r="BU596">
        <v>0</v>
      </c>
      <c r="BV596">
        <v>0</v>
      </c>
      <c r="BW596">
        <v>0</v>
      </c>
      <c r="BX596">
        <v>0</v>
      </c>
      <c r="BY596">
        <v>0</v>
      </c>
      <c r="BZ596">
        <v>0</v>
      </c>
      <c r="CA596">
        <v>0</v>
      </c>
      <c r="CB596">
        <v>0</v>
      </c>
      <c r="CC596">
        <v>0</v>
      </c>
      <c r="CD596">
        <v>0</v>
      </c>
      <c r="CE596">
        <v>0</v>
      </c>
      <c r="CF596">
        <v>0</v>
      </c>
      <c r="CG596">
        <v>0</v>
      </c>
      <c r="CH596">
        <v>0</v>
      </c>
      <c r="CI596">
        <v>0</v>
      </c>
      <c r="CJ596">
        <v>0</v>
      </c>
      <c r="CK596">
        <v>0</v>
      </c>
      <c r="CL596">
        <v>0</v>
      </c>
      <c r="CM596">
        <v>0</v>
      </c>
      <c r="CR596" t="s">
        <v>2319</v>
      </c>
      <c r="CS596" s="1369" t="str">
        <f>INDEX([8]Sheet1!$H:$H,MATCH(CR:CR,[8]Sheet1!$AU:$AU,0))</f>
        <v>Mayor and Council</v>
      </c>
    </row>
    <row r="597" spans="1:97" x14ac:dyDescent="0.2">
      <c r="A597" t="s">
        <v>3158</v>
      </c>
      <c r="B597">
        <v>650</v>
      </c>
      <c r="C597" t="s">
        <v>3158</v>
      </c>
      <c r="D597">
        <v>40704</v>
      </c>
      <c r="E597" t="s">
        <v>3052</v>
      </c>
      <c r="F597">
        <v>200</v>
      </c>
      <c r="G597" t="s">
        <v>559</v>
      </c>
      <c r="H597">
        <v>200</v>
      </c>
      <c r="I597" t="s">
        <v>2863</v>
      </c>
      <c r="J597" t="s">
        <v>2365</v>
      </c>
      <c r="K597" t="s">
        <v>2365</v>
      </c>
      <c r="L597">
        <v>1200</v>
      </c>
      <c r="M597" t="s">
        <v>1480</v>
      </c>
      <c r="N597">
        <v>1204</v>
      </c>
      <c r="O597" t="s">
        <v>1487</v>
      </c>
      <c r="P597" t="s">
        <v>2366</v>
      </c>
      <c r="Q597" t="s">
        <v>2364</v>
      </c>
      <c r="R597" t="s">
        <v>2364</v>
      </c>
      <c r="S597" t="s">
        <v>1881</v>
      </c>
      <c r="T597" t="s">
        <v>1811</v>
      </c>
      <c r="U597" t="s">
        <v>2365</v>
      </c>
      <c r="V597" t="s">
        <v>2365</v>
      </c>
      <c r="W597" t="s">
        <v>2365</v>
      </c>
      <c r="X597" t="s">
        <v>2365</v>
      </c>
      <c r="Y597" t="s">
        <v>2365</v>
      </c>
      <c r="Z597" t="s">
        <v>2365</v>
      </c>
      <c r="AA597" t="s">
        <v>2365</v>
      </c>
      <c r="AB597" t="s">
        <v>2365</v>
      </c>
      <c r="AC597" s="813" t="s">
        <v>2365</v>
      </c>
      <c r="AD597" s="813" t="s">
        <v>2365</v>
      </c>
      <c r="AE597" s="813" t="s">
        <v>2365</v>
      </c>
      <c r="AF597" t="s">
        <v>2365</v>
      </c>
      <c r="AG597" t="s">
        <v>2365</v>
      </c>
      <c r="AH597" t="s">
        <v>2365</v>
      </c>
      <c r="AI597" t="s">
        <v>2365</v>
      </c>
      <c r="AJ597" t="s">
        <v>2365</v>
      </c>
      <c r="AK597" t="s">
        <v>2365</v>
      </c>
      <c r="AL597" t="s">
        <v>2365</v>
      </c>
      <c r="AM597" t="s">
        <v>2365</v>
      </c>
      <c r="AN597" t="s">
        <v>2365</v>
      </c>
      <c r="AR597" t="s">
        <v>2365</v>
      </c>
      <c r="AS597" t="s">
        <v>2365</v>
      </c>
      <c r="AT597" t="s">
        <v>2365</v>
      </c>
      <c r="AU597" t="s">
        <v>2365</v>
      </c>
      <c r="AV597" t="s">
        <v>2365</v>
      </c>
      <c r="AW597" t="s">
        <v>2365</v>
      </c>
      <c r="AX597" t="s">
        <v>2365</v>
      </c>
      <c r="AY597" t="s">
        <v>2365</v>
      </c>
      <c r="AZ597" t="s">
        <v>2365</v>
      </c>
      <c r="BA597" t="s">
        <v>2365</v>
      </c>
      <c r="BB597" t="s">
        <v>2365</v>
      </c>
      <c r="BC597" t="s">
        <v>2365</v>
      </c>
      <c r="BD597" t="s">
        <v>2366</v>
      </c>
      <c r="BE597" t="s">
        <v>2365</v>
      </c>
      <c r="BF597" t="s">
        <v>2365</v>
      </c>
      <c r="BG597" t="s">
        <v>2365</v>
      </c>
      <c r="BH597" t="s">
        <v>2365</v>
      </c>
      <c r="BI597" t="s">
        <v>2366</v>
      </c>
      <c r="BJ597" t="s">
        <v>2365</v>
      </c>
      <c r="BK597" t="s">
        <v>2365</v>
      </c>
      <c r="BL597" t="s">
        <v>2365</v>
      </c>
      <c r="BM597" t="s">
        <v>2365</v>
      </c>
      <c r="BO597">
        <v>1</v>
      </c>
      <c r="BP597">
        <v>11</v>
      </c>
      <c r="BQ597" t="s">
        <v>2369</v>
      </c>
      <c r="BR597" t="s">
        <v>1487</v>
      </c>
      <c r="BU597">
        <v>0</v>
      </c>
      <c r="BV597">
        <v>0</v>
      </c>
      <c r="BW597">
        <v>0</v>
      </c>
      <c r="BX597">
        <v>0</v>
      </c>
      <c r="BY597">
        <v>0</v>
      </c>
      <c r="BZ597">
        <v>0</v>
      </c>
      <c r="CA597">
        <v>0</v>
      </c>
      <c r="CB597">
        <v>0</v>
      </c>
      <c r="CC597">
        <v>0</v>
      </c>
      <c r="CD597">
        <v>0</v>
      </c>
      <c r="CE597">
        <v>0</v>
      </c>
      <c r="CF597">
        <v>0</v>
      </c>
      <c r="CG597">
        <v>0</v>
      </c>
      <c r="CH597">
        <v>0</v>
      </c>
      <c r="CI597">
        <v>0</v>
      </c>
      <c r="CJ597">
        <v>0</v>
      </c>
      <c r="CK597">
        <v>0</v>
      </c>
      <c r="CL597">
        <v>0</v>
      </c>
      <c r="CM597">
        <v>0</v>
      </c>
      <c r="CR597" t="s">
        <v>2319</v>
      </c>
      <c r="CS597" s="1369" t="str">
        <f>INDEX([8]Sheet1!$H:$H,MATCH(CR:CR,[8]Sheet1!$AU:$AU,0))</f>
        <v>Mayor and Council</v>
      </c>
    </row>
    <row r="598" spans="1:97" x14ac:dyDescent="0.2">
      <c r="A598" t="s">
        <v>3159</v>
      </c>
      <c r="B598">
        <v>651</v>
      </c>
      <c r="C598" t="s">
        <v>3159</v>
      </c>
      <c r="D598">
        <v>40705</v>
      </c>
      <c r="E598" t="s">
        <v>3054</v>
      </c>
      <c r="F598">
        <v>200</v>
      </c>
      <c r="G598" t="s">
        <v>559</v>
      </c>
      <c r="H598">
        <v>200</v>
      </c>
      <c r="I598" t="s">
        <v>2863</v>
      </c>
      <c r="J598" t="s">
        <v>2365</v>
      </c>
      <c r="K598" t="s">
        <v>2365</v>
      </c>
      <c r="L598">
        <v>1200</v>
      </c>
      <c r="M598" t="s">
        <v>1480</v>
      </c>
      <c r="N598">
        <v>1204</v>
      </c>
      <c r="O598" t="s">
        <v>1487</v>
      </c>
      <c r="P598" t="s">
        <v>2366</v>
      </c>
      <c r="Q598" t="s">
        <v>2364</v>
      </c>
      <c r="R598" t="s">
        <v>2364</v>
      </c>
      <c r="S598" t="s">
        <v>1881</v>
      </c>
      <c r="T598" t="s">
        <v>1811</v>
      </c>
      <c r="U598" t="s">
        <v>2365</v>
      </c>
      <c r="V598" t="s">
        <v>2365</v>
      </c>
      <c r="W598" t="s">
        <v>2365</v>
      </c>
      <c r="X598" t="s">
        <v>2365</v>
      </c>
      <c r="Y598" t="s">
        <v>2365</v>
      </c>
      <c r="Z598" t="s">
        <v>2365</v>
      </c>
      <c r="AA598" t="s">
        <v>2365</v>
      </c>
      <c r="AB598" t="s">
        <v>2365</v>
      </c>
      <c r="AC598" s="813" t="s">
        <v>2365</v>
      </c>
      <c r="AD598" s="813" t="s">
        <v>2365</v>
      </c>
      <c r="AE598" s="813" t="s">
        <v>2365</v>
      </c>
      <c r="AF598" t="s">
        <v>2365</v>
      </c>
      <c r="AG598" t="s">
        <v>2365</v>
      </c>
      <c r="AH598" t="s">
        <v>2365</v>
      </c>
      <c r="AI598" t="s">
        <v>2365</v>
      </c>
      <c r="AJ598" t="s">
        <v>2365</v>
      </c>
      <c r="AK598" t="s">
        <v>2365</v>
      </c>
      <c r="AL598" t="s">
        <v>2365</v>
      </c>
      <c r="AM598" t="s">
        <v>2365</v>
      </c>
      <c r="AN598" t="s">
        <v>2365</v>
      </c>
      <c r="AR598" t="s">
        <v>2365</v>
      </c>
      <c r="AS598" t="s">
        <v>2365</v>
      </c>
      <c r="AT598" t="s">
        <v>2365</v>
      </c>
      <c r="AU598" t="s">
        <v>2365</v>
      </c>
      <c r="AV598" t="s">
        <v>2365</v>
      </c>
      <c r="AW598" t="s">
        <v>2365</v>
      </c>
      <c r="AX598" t="s">
        <v>2365</v>
      </c>
      <c r="AY598" t="s">
        <v>2365</v>
      </c>
      <c r="AZ598" t="s">
        <v>2365</v>
      </c>
      <c r="BA598" t="s">
        <v>2365</v>
      </c>
      <c r="BB598" t="s">
        <v>2365</v>
      </c>
      <c r="BC598" t="s">
        <v>2365</v>
      </c>
      <c r="BD598" t="s">
        <v>2366</v>
      </c>
      <c r="BE598" t="s">
        <v>2365</v>
      </c>
      <c r="BF598" t="s">
        <v>2365</v>
      </c>
      <c r="BG598" t="s">
        <v>2365</v>
      </c>
      <c r="BH598" t="s">
        <v>2365</v>
      </c>
      <c r="BI598" t="s">
        <v>2366</v>
      </c>
      <c r="BJ598" t="s">
        <v>2365</v>
      </c>
      <c r="BK598" t="s">
        <v>2365</v>
      </c>
      <c r="BL598" t="s">
        <v>2365</v>
      </c>
      <c r="BM598" t="s">
        <v>2365</v>
      </c>
      <c r="BO598">
        <v>1</v>
      </c>
      <c r="BP598">
        <v>11</v>
      </c>
      <c r="BQ598" t="s">
        <v>2369</v>
      </c>
      <c r="BR598" t="s">
        <v>1487</v>
      </c>
      <c r="BU598">
        <v>0</v>
      </c>
      <c r="BV598">
        <v>0</v>
      </c>
      <c r="BW598">
        <v>0</v>
      </c>
      <c r="BX598">
        <v>0</v>
      </c>
      <c r="BY598">
        <v>0</v>
      </c>
      <c r="BZ598">
        <v>0</v>
      </c>
      <c r="CA598">
        <v>0</v>
      </c>
      <c r="CB598">
        <v>0</v>
      </c>
      <c r="CC598">
        <v>0</v>
      </c>
      <c r="CD598">
        <v>0</v>
      </c>
      <c r="CE598">
        <v>0</v>
      </c>
      <c r="CF598">
        <v>0</v>
      </c>
      <c r="CG598">
        <v>0</v>
      </c>
      <c r="CH598">
        <v>0</v>
      </c>
      <c r="CI598">
        <v>0</v>
      </c>
      <c r="CJ598">
        <v>0</v>
      </c>
      <c r="CK598">
        <v>0</v>
      </c>
      <c r="CL598">
        <v>0</v>
      </c>
      <c r="CM598">
        <v>0</v>
      </c>
      <c r="CR598" t="s">
        <v>2319</v>
      </c>
      <c r="CS598" s="1369" t="str">
        <f>INDEX([8]Sheet1!$H:$H,MATCH(CR:CR,[8]Sheet1!$AU:$AU,0))</f>
        <v>Mayor and Council</v>
      </c>
    </row>
    <row r="599" spans="1:97" x14ac:dyDescent="0.2">
      <c r="A599" t="s">
        <v>3160</v>
      </c>
      <c r="B599">
        <v>652</v>
      </c>
      <c r="C599" t="s">
        <v>3160</v>
      </c>
      <c r="D599">
        <v>40706</v>
      </c>
      <c r="E599" t="s">
        <v>3027</v>
      </c>
      <c r="F599">
        <v>200</v>
      </c>
      <c r="G599" t="s">
        <v>559</v>
      </c>
      <c r="H599">
        <v>200</v>
      </c>
      <c r="I599" t="s">
        <v>2863</v>
      </c>
      <c r="J599" t="s">
        <v>2365</v>
      </c>
      <c r="K599" t="s">
        <v>2365</v>
      </c>
      <c r="L599">
        <v>1200</v>
      </c>
      <c r="M599" t="s">
        <v>1480</v>
      </c>
      <c r="N599">
        <v>1204</v>
      </c>
      <c r="O599" t="s">
        <v>1487</v>
      </c>
      <c r="P599" t="s">
        <v>2366</v>
      </c>
      <c r="Q599" t="s">
        <v>2364</v>
      </c>
      <c r="R599" t="s">
        <v>2364</v>
      </c>
      <c r="S599" t="s">
        <v>1881</v>
      </c>
      <c r="T599" t="s">
        <v>1811</v>
      </c>
      <c r="U599" t="s">
        <v>2365</v>
      </c>
      <c r="V599" t="s">
        <v>2365</v>
      </c>
      <c r="W599" t="s">
        <v>2365</v>
      </c>
      <c r="X599" t="s">
        <v>2365</v>
      </c>
      <c r="Y599" t="s">
        <v>2365</v>
      </c>
      <c r="Z599" t="s">
        <v>2365</v>
      </c>
      <c r="AA599" t="s">
        <v>2365</v>
      </c>
      <c r="AB599" t="s">
        <v>2365</v>
      </c>
      <c r="AC599" s="813" t="s">
        <v>2365</v>
      </c>
      <c r="AD599" s="813" t="s">
        <v>2365</v>
      </c>
      <c r="AE599" s="813" t="s">
        <v>2365</v>
      </c>
      <c r="AF599" t="s">
        <v>2365</v>
      </c>
      <c r="AG599" t="s">
        <v>2365</v>
      </c>
      <c r="AH599" t="s">
        <v>2365</v>
      </c>
      <c r="AI599" t="s">
        <v>2365</v>
      </c>
      <c r="AJ599" t="s">
        <v>2365</v>
      </c>
      <c r="AK599" t="s">
        <v>2365</v>
      </c>
      <c r="AL599" t="s">
        <v>2365</v>
      </c>
      <c r="AM599" t="s">
        <v>2365</v>
      </c>
      <c r="AN599" t="s">
        <v>2365</v>
      </c>
      <c r="AR599" t="s">
        <v>2365</v>
      </c>
      <c r="AS599" t="s">
        <v>2365</v>
      </c>
      <c r="AT599" t="s">
        <v>2365</v>
      </c>
      <c r="AU599" t="s">
        <v>2365</v>
      </c>
      <c r="AV599" t="s">
        <v>2365</v>
      </c>
      <c r="AW599" t="s">
        <v>2365</v>
      </c>
      <c r="AX599" t="s">
        <v>2365</v>
      </c>
      <c r="AY599" t="s">
        <v>2365</v>
      </c>
      <c r="AZ599" t="s">
        <v>2365</v>
      </c>
      <c r="BA599" t="s">
        <v>2365</v>
      </c>
      <c r="BB599" t="s">
        <v>2365</v>
      </c>
      <c r="BC599" t="s">
        <v>2365</v>
      </c>
      <c r="BD599" t="s">
        <v>2366</v>
      </c>
      <c r="BE599" t="s">
        <v>2365</v>
      </c>
      <c r="BF599" t="s">
        <v>2365</v>
      </c>
      <c r="BG599" t="s">
        <v>2365</v>
      </c>
      <c r="BH599" t="s">
        <v>2365</v>
      </c>
      <c r="BI599" t="s">
        <v>2366</v>
      </c>
      <c r="BJ599" t="s">
        <v>2365</v>
      </c>
      <c r="BK599" t="s">
        <v>2365</v>
      </c>
      <c r="BL599" t="s">
        <v>2365</v>
      </c>
      <c r="BM599" t="s">
        <v>2365</v>
      </c>
      <c r="BO599">
        <v>1</v>
      </c>
      <c r="BP599">
        <v>11</v>
      </c>
      <c r="BQ599" t="s">
        <v>2369</v>
      </c>
      <c r="BR599" t="s">
        <v>1487</v>
      </c>
      <c r="BU599">
        <v>0</v>
      </c>
      <c r="BV599">
        <v>0</v>
      </c>
      <c r="BW599">
        <v>0</v>
      </c>
      <c r="BX599">
        <v>0</v>
      </c>
      <c r="BY599">
        <v>0</v>
      </c>
      <c r="BZ599">
        <v>0</v>
      </c>
      <c r="CA599">
        <v>0</v>
      </c>
      <c r="CB599">
        <v>0</v>
      </c>
      <c r="CC599">
        <v>0</v>
      </c>
      <c r="CD599">
        <v>0</v>
      </c>
      <c r="CE599">
        <v>0</v>
      </c>
      <c r="CF599">
        <v>0</v>
      </c>
      <c r="CG599">
        <v>0</v>
      </c>
      <c r="CH599">
        <v>0</v>
      </c>
      <c r="CI599">
        <v>0</v>
      </c>
      <c r="CJ599">
        <v>0</v>
      </c>
      <c r="CK599">
        <v>0</v>
      </c>
      <c r="CL599">
        <v>0</v>
      </c>
      <c r="CM599">
        <v>0</v>
      </c>
      <c r="CR599" t="s">
        <v>2319</v>
      </c>
      <c r="CS599" s="1369" t="str">
        <f>INDEX([8]Sheet1!$H:$H,MATCH(CR:CR,[8]Sheet1!$AU:$AU,0))</f>
        <v>Mayor and Council</v>
      </c>
    </row>
    <row r="600" spans="1:97" x14ac:dyDescent="0.2">
      <c r="A600" t="s">
        <v>3161</v>
      </c>
      <c r="B600">
        <v>653</v>
      </c>
      <c r="C600" t="s">
        <v>3161</v>
      </c>
      <c r="D600">
        <v>40707</v>
      </c>
      <c r="E600" t="s">
        <v>3029</v>
      </c>
      <c r="F600">
        <v>200</v>
      </c>
      <c r="G600" t="s">
        <v>559</v>
      </c>
      <c r="H600">
        <v>200</v>
      </c>
      <c r="I600" t="s">
        <v>2863</v>
      </c>
      <c r="J600" t="s">
        <v>2365</v>
      </c>
      <c r="K600" t="s">
        <v>2365</v>
      </c>
      <c r="L600">
        <v>1200</v>
      </c>
      <c r="M600" t="s">
        <v>1480</v>
      </c>
      <c r="N600">
        <v>1204</v>
      </c>
      <c r="O600" t="s">
        <v>1487</v>
      </c>
      <c r="P600" t="s">
        <v>2366</v>
      </c>
      <c r="Q600" t="s">
        <v>2364</v>
      </c>
      <c r="R600" t="s">
        <v>2364</v>
      </c>
      <c r="S600" t="s">
        <v>1881</v>
      </c>
      <c r="T600" t="s">
        <v>1811</v>
      </c>
      <c r="U600" t="s">
        <v>2365</v>
      </c>
      <c r="V600" t="s">
        <v>2365</v>
      </c>
      <c r="W600" t="s">
        <v>2365</v>
      </c>
      <c r="X600" t="s">
        <v>2365</v>
      </c>
      <c r="Y600" t="s">
        <v>2365</v>
      </c>
      <c r="Z600" t="s">
        <v>2365</v>
      </c>
      <c r="AA600" t="s">
        <v>2365</v>
      </c>
      <c r="AB600" t="s">
        <v>2365</v>
      </c>
      <c r="AC600" s="813" t="s">
        <v>2365</v>
      </c>
      <c r="AD600" s="813" t="s">
        <v>2365</v>
      </c>
      <c r="AE600" s="813" t="s">
        <v>2365</v>
      </c>
      <c r="AF600" t="s">
        <v>2365</v>
      </c>
      <c r="AG600" t="s">
        <v>2365</v>
      </c>
      <c r="AH600" t="s">
        <v>2365</v>
      </c>
      <c r="AI600" t="s">
        <v>2365</v>
      </c>
      <c r="AJ600" t="s">
        <v>2365</v>
      </c>
      <c r="AK600" t="s">
        <v>2365</v>
      </c>
      <c r="AL600" t="s">
        <v>2365</v>
      </c>
      <c r="AM600" t="s">
        <v>2365</v>
      </c>
      <c r="AN600" t="s">
        <v>2365</v>
      </c>
      <c r="AR600" t="s">
        <v>2365</v>
      </c>
      <c r="AS600" t="s">
        <v>2365</v>
      </c>
      <c r="AT600" t="s">
        <v>2365</v>
      </c>
      <c r="AU600" t="s">
        <v>2365</v>
      </c>
      <c r="AV600" t="s">
        <v>2365</v>
      </c>
      <c r="AW600" t="s">
        <v>2365</v>
      </c>
      <c r="AX600" t="s">
        <v>2365</v>
      </c>
      <c r="AY600" t="s">
        <v>2365</v>
      </c>
      <c r="AZ600" t="s">
        <v>2365</v>
      </c>
      <c r="BA600" t="s">
        <v>2365</v>
      </c>
      <c r="BB600" t="s">
        <v>2365</v>
      </c>
      <c r="BC600" t="s">
        <v>2365</v>
      </c>
      <c r="BD600" t="s">
        <v>2366</v>
      </c>
      <c r="BE600" t="s">
        <v>2365</v>
      </c>
      <c r="BF600" t="s">
        <v>2365</v>
      </c>
      <c r="BG600" t="s">
        <v>2365</v>
      </c>
      <c r="BH600" t="s">
        <v>2365</v>
      </c>
      <c r="BI600" t="s">
        <v>2366</v>
      </c>
      <c r="BJ600" t="s">
        <v>2365</v>
      </c>
      <c r="BK600" t="s">
        <v>2365</v>
      </c>
      <c r="BL600" t="s">
        <v>2365</v>
      </c>
      <c r="BM600" t="s">
        <v>2365</v>
      </c>
      <c r="BO600">
        <v>1</v>
      </c>
      <c r="BP600">
        <v>11</v>
      </c>
      <c r="BQ600" t="s">
        <v>2369</v>
      </c>
      <c r="BR600" t="s">
        <v>1487</v>
      </c>
      <c r="BU600">
        <v>0</v>
      </c>
      <c r="BV600">
        <v>0</v>
      </c>
      <c r="BW600">
        <v>0</v>
      </c>
      <c r="BX600">
        <v>0</v>
      </c>
      <c r="BY600">
        <v>0</v>
      </c>
      <c r="BZ600">
        <v>0</v>
      </c>
      <c r="CA600">
        <v>0</v>
      </c>
      <c r="CB600">
        <v>0</v>
      </c>
      <c r="CC600">
        <v>0</v>
      </c>
      <c r="CD600">
        <v>0</v>
      </c>
      <c r="CE600">
        <v>0</v>
      </c>
      <c r="CF600">
        <v>0</v>
      </c>
      <c r="CG600">
        <v>0</v>
      </c>
      <c r="CH600">
        <v>0</v>
      </c>
      <c r="CI600">
        <v>0</v>
      </c>
      <c r="CJ600">
        <v>0</v>
      </c>
      <c r="CK600">
        <v>0</v>
      </c>
      <c r="CL600">
        <v>0</v>
      </c>
      <c r="CM600">
        <v>0</v>
      </c>
      <c r="CR600" t="s">
        <v>2319</v>
      </c>
      <c r="CS600" s="1369" t="str">
        <f>INDEX([8]Sheet1!$H:$H,MATCH(CR:CR,[8]Sheet1!$AU:$AU,0))</f>
        <v>Mayor and Council</v>
      </c>
    </row>
    <row r="601" spans="1:97" x14ac:dyDescent="0.2">
      <c r="A601" t="s">
        <v>3162</v>
      </c>
      <c r="B601">
        <v>654</v>
      </c>
      <c r="C601" t="s">
        <v>3162</v>
      </c>
      <c r="D601">
        <v>40708</v>
      </c>
      <c r="E601" t="s">
        <v>3031</v>
      </c>
      <c r="F601">
        <v>200</v>
      </c>
      <c r="G601" t="s">
        <v>559</v>
      </c>
      <c r="H601">
        <v>200</v>
      </c>
      <c r="I601" t="s">
        <v>2863</v>
      </c>
      <c r="J601" t="s">
        <v>2365</v>
      </c>
      <c r="K601" t="s">
        <v>2365</v>
      </c>
      <c r="L601">
        <v>1200</v>
      </c>
      <c r="M601" t="s">
        <v>1480</v>
      </c>
      <c r="N601">
        <v>1204</v>
      </c>
      <c r="O601" t="s">
        <v>1487</v>
      </c>
      <c r="P601" t="s">
        <v>2366</v>
      </c>
      <c r="Q601" t="s">
        <v>2364</v>
      </c>
      <c r="R601" t="s">
        <v>2364</v>
      </c>
      <c r="S601" t="s">
        <v>1881</v>
      </c>
      <c r="T601" t="s">
        <v>1811</v>
      </c>
      <c r="U601" t="s">
        <v>2365</v>
      </c>
      <c r="V601" t="s">
        <v>2365</v>
      </c>
      <c r="W601" t="s">
        <v>2365</v>
      </c>
      <c r="X601" t="s">
        <v>2365</v>
      </c>
      <c r="Y601" t="s">
        <v>2365</v>
      </c>
      <c r="Z601" t="s">
        <v>2365</v>
      </c>
      <c r="AA601" t="s">
        <v>2365</v>
      </c>
      <c r="AB601" t="s">
        <v>2365</v>
      </c>
      <c r="AC601" s="813" t="s">
        <v>2365</v>
      </c>
      <c r="AD601" s="813" t="s">
        <v>2365</v>
      </c>
      <c r="AE601" s="813" t="s">
        <v>2365</v>
      </c>
      <c r="AF601" t="s">
        <v>2365</v>
      </c>
      <c r="AG601" t="s">
        <v>2365</v>
      </c>
      <c r="AH601" t="s">
        <v>2365</v>
      </c>
      <c r="AI601" t="s">
        <v>2365</v>
      </c>
      <c r="AJ601" t="s">
        <v>2365</v>
      </c>
      <c r="AK601" t="s">
        <v>2365</v>
      </c>
      <c r="AL601" t="s">
        <v>2365</v>
      </c>
      <c r="AM601" t="s">
        <v>2365</v>
      </c>
      <c r="AN601" t="s">
        <v>2365</v>
      </c>
      <c r="AR601" t="s">
        <v>2365</v>
      </c>
      <c r="AS601" t="s">
        <v>2365</v>
      </c>
      <c r="AT601" t="s">
        <v>2365</v>
      </c>
      <c r="AU601" t="s">
        <v>2365</v>
      </c>
      <c r="AV601" t="s">
        <v>2365</v>
      </c>
      <c r="AW601" t="s">
        <v>2365</v>
      </c>
      <c r="AX601" t="s">
        <v>2365</v>
      </c>
      <c r="AY601" t="s">
        <v>2365</v>
      </c>
      <c r="AZ601" t="s">
        <v>2365</v>
      </c>
      <c r="BA601" t="s">
        <v>2365</v>
      </c>
      <c r="BB601" t="s">
        <v>2365</v>
      </c>
      <c r="BC601" t="s">
        <v>2365</v>
      </c>
      <c r="BD601" t="s">
        <v>2366</v>
      </c>
      <c r="BE601" t="s">
        <v>2365</v>
      </c>
      <c r="BF601" t="s">
        <v>2365</v>
      </c>
      <c r="BG601" t="s">
        <v>2365</v>
      </c>
      <c r="BH601" t="s">
        <v>2365</v>
      </c>
      <c r="BI601" t="s">
        <v>2366</v>
      </c>
      <c r="BJ601" t="s">
        <v>2365</v>
      </c>
      <c r="BK601" t="s">
        <v>2365</v>
      </c>
      <c r="BL601" t="s">
        <v>2365</v>
      </c>
      <c r="BM601" t="s">
        <v>2365</v>
      </c>
      <c r="BO601">
        <v>1</v>
      </c>
      <c r="BP601">
        <v>11</v>
      </c>
      <c r="BQ601" t="s">
        <v>2369</v>
      </c>
      <c r="BR601" t="s">
        <v>1487</v>
      </c>
      <c r="BU601">
        <v>0</v>
      </c>
      <c r="BV601">
        <v>0</v>
      </c>
      <c r="BW601">
        <v>0</v>
      </c>
      <c r="BX601">
        <v>0</v>
      </c>
      <c r="BY601">
        <v>0</v>
      </c>
      <c r="BZ601">
        <v>0</v>
      </c>
      <c r="CA601">
        <v>0</v>
      </c>
      <c r="CB601">
        <v>0</v>
      </c>
      <c r="CC601">
        <v>0</v>
      </c>
      <c r="CD601">
        <v>0</v>
      </c>
      <c r="CE601">
        <v>0</v>
      </c>
      <c r="CF601">
        <v>0</v>
      </c>
      <c r="CG601">
        <v>0</v>
      </c>
      <c r="CH601">
        <v>0</v>
      </c>
      <c r="CI601">
        <v>0</v>
      </c>
      <c r="CJ601">
        <v>0</v>
      </c>
      <c r="CK601">
        <v>0</v>
      </c>
      <c r="CL601">
        <v>0</v>
      </c>
      <c r="CM601">
        <v>0</v>
      </c>
      <c r="CR601" t="s">
        <v>2319</v>
      </c>
      <c r="CS601" s="1369" t="str">
        <f>INDEX([8]Sheet1!$H:$H,MATCH(CR:CR,[8]Sheet1!$AU:$AU,0))</f>
        <v>Mayor and Council</v>
      </c>
    </row>
    <row r="602" spans="1:97" x14ac:dyDescent="0.2">
      <c r="A602" t="s">
        <v>3163</v>
      </c>
      <c r="B602">
        <v>655</v>
      </c>
      <c r="C602" t="s">
        <v>3163</v>
      </c>
      <c r="D602">
        <v>40709</v>
      </c>
      <c r="E602" t="s">
        <v>3033</v>
      </c>
      <c r="F602">
        <v>200</v>
      </c>
      <c r="G602" t="s">
        <v>559</v>
      </c>
      <c r="H602">
        <v>200</v>
      </c>
      <c r="I602" t="s">
        <v>2863</v>
      </c>
      <c r="J602" t="s">
        <v>2365</v>
      </c>
      <c r="K602" t="s">
        <v>2365</v>
      </c>
      <c r="L602">
        <v>1200</v>
      </c>
      <c r="M602" t="s">
        <v>1480</v>
      </c>
      <c r="N602">
        <v>1204</v>
      </c>
      <c r="O602" t="s">
        <v>1487</v>
      </c>
      <c r="P602" t="s">
        <v>2366</v>
      </c>
      <c r="Q602" t="s">
        <v>2364</v>
      </c>
      <c r="R602" t="s">
        <v>2364</v>
      </c>
      <c r="S602" t="s">
        <v>1881</v>
      </c>
      <c r="T602" t="s">
        <v>1811</v>
      </c>
      <c r="U602" t="s">
        <v>2365</v>
      </c>
      <c r="V602" t="s">
        <v>2365</v>
      </c>
      <c r="W602" t="s">
        <v>2365</v>
      </c>
      <c r="X602" t="s">
        <v>2365</v>
      </c>
      <c r="Y602" t="s">
        <v>2365</v>
      </c>
      <c r="Z602" t="s">
        <v>2365</v>
      </c>
      <c r="AA602" t="s">
        <v>2365</v>
      </c>
      <c r="AB602" t="s">
        <v>2365</v>
      </c>
      <c r="AC602" s="813" t="s">
        <v>2365</v>
      </c>
      <c r="AD602" s="813" t="s">
        <v>2365</v>
      </c>
      <c r="AE602" s="813" t="s">
        <v>2365</v>
      </c>
      <c r="AF602" t="s">
        <v>2365</v>
      </c>
      <c r="AG602" t="s">
        <v>2365</v>
      </c>
      <c r="AH602" t="s">
        <v>2365</v>
      </c>
      <c r="AI602" t="s">
        <v>2365</v>
      </c>
      <c r="AJ602" t="s">
        <v>2365</v>
      </c>
      <c r="AK602" t="s">
        <v>2365</v>
      </c>
      <c r="AL602" t="s">
        <v>2365</v>
      </c>
      <c r="AM602" t="s">
        <v>2365</v>
      </c>
      <c r="AN602" t="s">
        <v>2365</v>
      </c>
      <c r="AR602" t="s">
        <v>2365</v>
      </c>
      <c r="AS602" t="s">
        <v>2365</v>
      </c>
      <c r="AT602" t="s">
        <v>2365</v>
      </c>
      <c r="AU602" t="s">
        <v>2365</v>
      </c>
      <c r="AV602" t="s">
        <v>2365</v>
      </c>
      <c r="AW602" t="s">
        <v>2365</v>
      </c>
      <c r="AX602" t="s">
        <v>2365</v>
      </c>
      <c r="AY602" t="s">
        <v>2365</v>
      </c>
      <c r="AZ602" t="s">
        <v>2365</v>
      </c>
      <c r="BA602" t="s">
        <v>2365</v>
      </c>
      <c r="BB602" t="s">
        <v>2365</v>
      </c>
      <c r="BC602" t="s">
        <v>2365</v>
      </c>
      <c r="BD602" t="s">
        <v>2366</v>
      </c>
      <c r="BE602" t="s">
        <v>2365</v>
      </c>
      <c r="BF602" t="s">
        <v>2365</v>
      </c>
      <c r="BG602" t="s">
        <v>2365</v>
      </c>
      <c r="BH602" t="s">
        <v>2365</v>
      </c>
      <c r="BI602" t="s">
        <v>2366</v>
      </c>
      <c r="BJ602" t="s">
        <v>2365</v>
      </c>
      <c r="BK602" t="s">
        <v>2365</v>
      </c>
      <c r="BL602" t="s">
        <v>2365</v>
      </c>
      <c r="BM602" t="s">
        <v>2365</v>
      </c>
      <c r="BO602">
        <v>1</v>
      </c>
      <c r="BP602">
        <v>11</v>
      </c>
      <c r="BQ602" t="s">
        <v>2369</v>
      </c>
      <c r="BR602" t="s">
        <v>1487</v>
      </c>
      <c r="BU602">
        <v>0</v>
      </c>
      <c r="BV602">
        <v>0</v>
      </c>
      <c r="BW602">
        <v>0</v>
      </c>
      <c r="BX602">
        <v>0</v>
      </c>
      <c r="BY602">
        <v>0</v>
      </c>
      <c r="BZ602">
        <v>0</v>
      </c>
      <c r="CA602">
        <v>0</v>
      </c>
      <c r="CB602">
        <v>0</v>
      </c>
      <c r="CC602">
        <v>0</v>
      </c>
      <c r="CD602">
        <v>0</v>
      </c>
      <c r="CE602">
        <v>0</v>
      </c>
      <c r="CF602">
        <v>0</v>
      </c>
      <c r="CG602">
        <v>0</v>
      </c>
      <c r="CH602">
        <v>0</v>
      </c>
      <c r="CI602">
        <v>0</v>
      </c>
      <c r="CJ602">
        <v>0</v>
      </c>
      <c r="CK602">
        <v>0</v>
      </c>
      <c r="CL602">
        <v>0</v>
      </c>
      <c r="CM602">
        <v>0</v>
      </c>
      <c r="CR602" t="s">
        <v>2319</v>
      </c>
      <c r="CS602" s="1369" t="str">
        <f>INDEX([8]Sheet1!$H:$H,MATCH(CR:CR,[8]Sheet1!$AU:$AU,0))</f>
        <v>Mayor and Council</v>
      </c>
    </row>
    <row r="603" spans="1:97" x14ac:dyDescent="0.2">
      <c r="A603" t="s">
        <v>3164</v>
      </c>
      <c r="B603">
        <v>656</v>
      </c>
      <c r="C603" t="s">
        <v>3164</v>
      </c>
      <c r="D603">
        <v>40710</v>
      </c>
      <c r="E603" t="s">
        <v>3035</v>
      </c>
      <c r="F603">
        <v>200</v>
      </c>
      <c r="G603" t="s">
        <v>559</v>
      </c>
      <c r="H603">
        <v>200</v>
      </c>
      <c r="I603" t="s">
        <v>2863</v>
      </c>
      <c r="J603" t="s">
        <v>2365</v>
      </c>
      <c r="K603" t="s">
        <v>2365</v>
      </c>
      <c r="L603">
        <v>1200</v>
      </c>
      <c r="M603" t="s">
        <v>1480</v>
      </c>
      <c r="N603">
        <v>1204</v>
      </c>
      <c r="O603" t="s">
        <v>1487</v>
      </c>
      <c r="P603" t="s">
        <v>2366</v>
      </c>
      <c r="Q603" t="s">
        <v>2364</v>
      </c>
      <c r="R603" t="s">
        <v>2364</v>
      </c>
      <c r="S603" t="s">
        <v>1881</v>
      </c>
      <c r="T603" t="s">
        <v>1811</v>
      </c>
      <c r="U603" t="s">
        <v>2365</v>
      </c>
      <c r="V603" t="s">
        <v>2365</v>
      </c>
      <c r="W603" t="s">
        <v>2365</v>
      </c>
      <c r="X603" t="s">
        <v>2365</v>
      </c>
      <c r="Y603" t="s">
        <v>2365</v>
      </c>
      <c r="Z603" t="s">
        <v>2365</v>
      </c>
      <c r="AA603" t="s">
        <v>2365</v>
      </c>
      <c r="AB603" t="s">
        <v>2365</v>
      </c>
      <c r="AC603" s="813" t="s">
        <v>2365</v>
      </c>
      <c r="AD603" s="813" t="s">
        <v>2365</v>
      </c>
      <c r="AE603" s="813" t="s">
        <v>2365</v>
      </c>
      <c r="AF603" t="s">
        <v>2365</v>
      </c>
      <c r="AG603" t="s">
        <v>2365</v>
      </c>
      <c r="AH603" t="s">
        <v>2365</v>
      </c>
      <c r="AI603" t="s">
        <v>2365</v>
      </c>
      <c r="AJ603" t="s">
        <v>2365</v>
      </c>
      <c r="AK603" t="s">
        <v>2365</v>
      </c>
      <c r="AL603" t="s">
        <v>2365</v>
      </c>
      <c r="AM603" t="s">
        <v>2365</v>
      </c>
      <c r="AN603" t="s">
        <v>2365</v>
      </c>
      <c r="AR603" t="s">
        <v>2365</v>
      </c>
      <c r="AS603" t="s">
        <v>2365</v>
      </c>
      <c r="AT603" t="s">
        <v>2365</v>
      </c>
      <c r="AU603" t="s">
        <v>2365</v>
      </c>
      <c r="AV603" t="s">
        <v>2365</v>
      </c>
      <c r="AW603" t="s">
        <v>2365</v>
      </c>
      <c r="AX603" t="s">
        <v>2365</v>
      </c>
      <c r="AY603" t="s">
        <v>2365</v>
      </c>
      <c r="AZ603" t="s">
        <v>2365</v>
      </c>
      <c r="BA603" t="s">
        <v>2365</v>
      </c>
      <c r="BB603" t="s">
        <v>2365</v>
      </c>
      <c r="BC603" t="s">
        <v>2365</v>
      </c>
      <c r="BD603" t="s">
        <v>2366</v>
      </c>
      <c r="BE603" t="s">
        <v>2365</v>
      </c>
      <c r="BF603" t="s">
        <v>2365</v>
      </c>
      <c r="BG603" t="s">
        <v>2365</v>
      </c>
      <c r="BH603" t="s">
        <v>2365</v>
      </c>
      <c r="BI603" t="s">
        <v>2366</v>
      </c>
      <c r="BJ603" t="s">
        <v>2365</v>
      </c>
      <c r="BK603" t="s">
        <v>2365</v>
      </c>
      <c r="BL603" t="s">
        <v>2365</v>
      </c>
      <c r="BM603" t="s">
        <v>2365</v>
      </c>
      <c r="BO603">
        <v>1</v>
      </c>
      <c r="BP603">
        <v>11</v>
      </c>
      <c r="BQ603" t="s">
        <v>2369</v>
      </c>
      <c r="BR603" t="s">
        <v>1487</v>
      </c>
      <c r="BU603">
        <v>0</v>
      </c>
      <c r="BV603">
        <v>0</v>
      </c>
      <c r="BW603">
        <v>0</v>
      </c>
      <c r="BX603">
        <v>0</v>
      </c>
      <c r="BY603">
        <v>0</v>
      </c>
      <c r="BZ603">
        <v>0</v>
      </c>
      <c r="CA603">
        <v>0</v>
      </c>
      <c r="CB603">
        <v>0</v>
      </c>
      <c r="CC603">
        <v>0</v>
      </c>
      <c r="CD603">
        <v>0</v>
      </c>
      <c r="CE603">
        <v>0</v>
      </c>
      <c r="CF603">
        <v>0</v>
      </c>
      <c r="CG603">
        <v>0</v>
      </c>
      <c r="CH603">
        <v>0</v>
      </c>
      <c r="CI603">
        <v>0</v>
      </c>
      <c r="CJ603">
        <v>0</v>
      </c>
      <c r="CK603">
        <v>0</v>
      </c>
      <c r="CL603">
        <v>0</v>
      </c>
      <c r="CM603">
        <v>0</v>
      </c>
      <c r="CR603" t="s">
        <v>2319</v>
      </c>
      <c r="CS603" s="1369" t="str">
        <f>INDEX([8]Sheet1!$H:$H,MATCH(CR:CR,[8]Sheet1!$AU:$AU,0))</f>
        <v>Mayor and Council</v>
      </c>
    </row>
    <row r="604" spans="1:97" x14ac:dyDescent="0.2">
      <c r="A604" t="s">
        <v>3165</v>
      </c>
      <c r="B604">
        <v>657</v>
      </c>
      <c r="C604" t="s">
        <v>3165</v>
      </c>
      <c r="D604">
        <v>40711</v>
      </c>
      <c r="E604" t="s">
        <v>3037</v>
      </c>
      <c r="F604">
        <v>200</v>
      </c>
      <c r="G604" t="s">
        <v>559</v>
      </c>
      <c r="H604" s="1373">
        <v>200</v>
      </c>
      <c r="I604" t="s">
        <v>2863</v>
      </c>
      <c r="J604" t="s">
        <v>2365</v>
      </c>
      <c r="K604" t="s">
        <v>2365</v>
      </c>
      <c r="L604" s="1373">
        <v>1200</v>
      </c>
      <c r="M604" t="s">
        <v>1480</v>
      </c>
      <c r="N604">
        <v>1204</v>
      </c>
      <c r="O604" t="s">
        <v>1487</v>
      </c>
      <c r="P604" t="s">
        <v>2366</v>
      </c>
      <c r="Q604" t="s">
        <v>2364</v>
      </c>
      <c r="R604" t="s">
        <v>2364</v>
      </c>
      <c r="S604" t="s">
        <v>1881</v>
      </c>
      <c r="T604" t="s">
        <v>1811</v>
      </c>
      <c r="U604" t="s">
        <v>2365</v>
      </c>
      <c r="V604" t="s">
        <v>2365</v>
      </c>
      <c r="W604" t="s">
        <v>2365</v>
      </c>
      <c r="X604" t="s">
        <v>2365</v>
      </c>
      <c r="Y604" t="s">
        <v>2365</v>
      </c>
      <c r="Z604" t="s">
        <v>2365</v>
      </c>
      <c r="AA604" t="s">
        <v>2365</v>
      </c>
      <c r="AB604" t="s">
        <v>2365</v>
      </c>
      <c r="AC604" s="813" t="s">
        <v>2365</v>
      </c>
      <c r="AD604" s="813" t="s">
        <v>2365</v>
      </c>
      <c r="AE604" s="813" t="s">
        <v>2365</v>
      </c>
      <c r="AF604" t="s">
        <v>2365</v>
      </c>
      <c r="AG604" t="s">
        <v>2365</v>
      </c>
      <c r="AH604" t="s">
        <v>2365</v>
      </c>
      <c r="AI604" t="s">
        <v>2365</v>
      </c>
      <c r="AJ604" t="s">
        <v>2365</v>
      </c>
      <c r="AK604" t="s">
        <v>2365</v>
      </c>
      <c r="AL604" t="s">
        <v>2365</v>
      </c>
      <c r="AM604" t="s">
        <v>2365</v>
      </c>
      <c r="AN604" t="s">
        <v>2365</v>
      </c>
      <c r="AR604" t="s">
        <v>2365</v>
      </c>
      <c r="AS604" t="s">
        <v>2365</v>
      </c>
      <c r="AT604" t="s">
        <v>2365</v>
      </c>
      <c r="AU604" t="s">
        <v>2365</v>
      </c>
      <c r="AV604" t="s">
        <v>2365</v>
      </c>
      <c r="AW604" t="s">
        <v>2365</v>
      </c>
      <c r="AX604" t="s">
        <v>2365</v>
      </c>
      <c r="AY604" t="s">
        <v>2365</v>
      </c>
      <c r="AZ604" t="s">
        <v>2365</v>
      </c>
      <c r="BA604" t="s">
        <v>2365</v>
      </c>
      <c r="BB604" t="s">
        <v>2365</v>
      </c>
      <c r="BC604" t="s">
        <v>2365</v>
      </c>
      <c r="BD604" t="s">
        <v>2366</v>
      </c>
      <c r="BE604" t="s">
        <v>2365</v>
      </c>
      <c r="BF604" t="s">
        <v>2365</v>
      </c>
      <c r="BG604" t="s">
        <v>2365</v>
      </c>
      <c r="BH604" t="s">
        <v>2365</v>
      </c>
      <c r="BI604" t="s">
        <v>2366</v>
      </c>
      <c r="BJ604" t="s">
        <v>2365</v>
      </c>
      <c r="BK604" t="s">
        <v>2365</v>
      </c>
      <c r="BL604" t="s">
        <v>2365</v>
      </c>
      <c r="BM604" t="s">
        <v>2365</v>
      </c>
      <c r="BO604">
        <v>1</v>
      </c>
      <c r="BP604">
        <v>11</v>
      </c>
      <c r="BQ604" t="s">
        <v>2369</v>
      </c>
      <c r="BR604" t="s">
        <v>1487</v>
      </c>
      <c r="BU604" s="1371">
        <v>0</v>
      </c>
      <c r="BV604" s="1371">
        <v>0</v>
      </c>
      <c r="BW604" s="1371">
        <v>0</v>
      </c>
      <c r="BX604" s="1371">
        <v>0</v>
      </c>
      <c r="BY604" s="1371">
        <v>0</v>
      </c>
      <c r="BZ604">
        <v>0</v>
      </c>
      <c r="CA604">
        <v>0</v>
      </c>
      <c r="CB604">
        <v>0</v>
      </c>
      <c r="CC604">
        <v>0</v>
      </c>
      <c r="CD604">
        <v>0</v>
      </c>
      <c r="CE604">
        <v>0</v>
      </c>
      <c r="CF604">
        <v>0</v>
      </c>
      <c r="CG604">
        <v>0</v>
      </c>
      <c r="CH604">
        <v>0</v>
      </c>
      <c r="CI604">
        <v>0</v>
      </c>
      <c r="CJ604">
        <v>0</v>
      </c>
      <c r="CK604">
        <v>0</v>
      </c>
      <c r="CL604">
        <v>0</v>
      </c>
      <c r="CM604">
        <v>0</v>
      </c>
      <c r="CR604" t="s">
        <v>2319</v>
      </c>
      <c r="CS604" s="1369" t="str">
        <f>INDEX([8]Sheet1!$H:$H,MATCH(CR:CR,[8]Sheet1!$AU:$AU,0))</f>
        <v>Mayor and Council</v>
      </c>
    </row>
    <row r="605" spans="1:97" x14ac:dyDescent="0.2">
      <c r="A605" t="s">
        <v>3166</v>
      </c>
      <c r="B605">
        <v>658</v>
      </c>
      <c r="C605" t="s">
        <v>3166</v>
      </c>
      <c r="D605">
        <v>40712</v>
      </c>
      <c r="E605" t="s">
        <v>2862</v>
      </c>
      <c r="F605">
        <v>200</v>
      </c>
      <c r="G605" t="s">
        <v>559</v>
      </c>
      <c r="H605" s="1373">
        <v>200</v>
      </c>
      <c r="I605" t="s">
        <v>2863</v>
      </c>
      <c r="J605" t="s">
        <v>2365</v>
      </c>
      <c r="K605" t="s">
        <v>2365</v>
      </c>
      <c r="L605" s="1373">
        <v>1200</v>
      </c>
      <c r="M605" t="s">
        <v>1480</v>
      </c>
      <c r="N605">
        <v>1204</v>
      </c>
      <c r="O605" t="s">
        <v>1487</v>
      </c>
      <c r="P605" t="s">
        <v>2366</v>
      </c>
      <c r="Q605" t="s">
        <v>2364</v>
      </c>
      <c r="R605" t="s">
        <v>2364</v>
      </c>
      <c r="S605" t="s">
        <v>1881</v>
      </c>
      <c r="T605" t="s">
        <v>1811</v>
      </c>
      <c r="U605" t="s">
        <v>2365</v>
      </c>
      <c r="V605" t="s">
        <v>2365</v>
      </c>
      <c r="W605" t="s">
        <v>2365</v>
      </c>
      <c r="X605" t="s">
        <v>2365</v>
      </c>
      <c r="Y605" t="s">
        <v>2365</v>
      </c>
      <c r="Z605" t="s">
        <v>2365</v>
      </c>
      <c r="AA605" t="s">
        <v>2365</v>
      </c>
      <c r="AB605" t="s">
        <v>2365</v>
      </c>
      <c r="AC605" s="813" t="s">
        <v>2365</v>
      </c>
      <c r="AD605" s="813" t="s">
        <v>2365</v>
      </c>
      <c r="AE605" s="813" t="s">
        <v>2365</v>
      </c>
      <c r="AF605" t="s">
        <v>2365</v>
      </c>
      <c r="AG605" t="s">
        <v>2365</v>
      </c>
      <c r="AH605" t="s">
        <v>2365</v>
      </c>
      <c r="AI605" t="s">
        <v>2365</v>
      </c>
      <c r="AJ605" t="s">
        <v>2365</v>
      </c>
      <c r="AK605" t="s">
        <v>2365</v>
      </c>
      <c r="AL605" t="s">
        <v>2365</v>
      </c>
      <c r="AM605" t="s">
        <v>2365</v>
      </c>
      <c r="AN605" t="s">
        <v>2365</v>
      </c>
      <c r="AR605" t="s">
        <v>2365</v>
      </c>
      <c r="AS605" t="s">
        <v>2365</v>
      </c>
      <c r="AT605" t="s">
        <v>2365</v>
      </c>
      <c r="AU605" t="s">
        <v>2365</v>
      </c>
      <c r="AV605" t="s">
        <v>2365</v>
      </c>
      <c r="AW605" t="s">
        <v>2365</v>
      </c>
      <c r="AX605" t="s">
        <v>2365</v>
      </c>
      <c r="AY605" t="s">
        <v>2365</v>
      </c>
      <c r="AZ605" t="s">
        <v>2365</v>
      </c>
      <c r="BA605" t="s">
        <v>2365</v>
      </c>
      <c r="BB605" t="s">
        <v>2365</v>
      </c>
      <c r="BC605" t="s">
        <v>2365</v>
      </c>
      <c r="BD605" t="s">
        <v>2366</v>
      </c>
      <c r="BE605" t="s">
        <v>2365</v>
      </c>
      <c r="BF605" t="s">
        <v>2365</v>
      </c>
      <c r="BG605" t="s">
        <v>2365</v>
      </c>
      <c r="BH605" t="s">
        <v>2365</v>
      </c>
      <c r="BI605" t="s">
        <v>2366</v>
      </c>
      <c r="BJ605" t="s">
        <v>2365</v>
      </c>
      <c r="BK605" t="s">
        <v>2365</v>
      </c>
      <c r="BL605" t="s">
        <v>2365</v>
      </c>
      <c r="BM605" t="s">
        <v>2365</v>
      </c>
      <c r="BO605">
        <v>1</v>
      </c>
      <c r="BP605">
        <v>11</v>
      </c>
      <c r="BQ605" t="s">
        <v>2369</v>
      </c>
      <c r="BR605" t="s">
        <v>1487</v>
      </c>
      <c r="BU605" s="1371">
        <v>0</v>
      </c>
      <c r="BV605" s="1371">
        <v>0</v>
      </c>
      <c r="BW605" s="1371">
        <v>0</v>
      </c>
      <c r="BX605" s="1371">
        <v>0</v>
      </c>
      <c r="BY605" s="1371">
        <v>0</v>
      </c>
      <c r="BZ605">
        <v>0</v>
      </c>
      <c r="CA605">
        <v>0</v>
      </c>
      <c r="CB605">
        <v>0</v>
      </c>
      <c r="CC605">
        <v>0</v>
      </c>
      <c r="CD605">
        <v>0</v>
      </c>
      <c r="CE605">
        <v>0</v>
      </c>
      <c r="CF605">
        <v>0</v>
      </c>
      <c r="CG605">
        <v>0</v>
      </c>
      <c r="CH605">
        <v>0</v>
      </c>
      <c r="CI605">
        <v>0</v>
      </c>
      <c r="CJ605">
        <v>0</v>
      </c>
      <c r="CK605">
        <v>0</v>
      </c>
      <c r="CL605">
        <v>0</v>
      </c>
      <c r="CM605">
        <v>0</v>
      </c>
      <c r="CR605" t="s">
        <v>2319</v>
      </c>
      <c r="CS605" s="1369" t="str">
        <f>INDEX([8]Sheet1!$H:$H,MATCH(CR:CR,[8]Sheet1!$AU:$AU,0))</f>
        <v>Mayor and Council</v>
      </c>
    </row>
    <row r="606" spans="1:97" x14ac:dyDescent="0.2">
      <c r="A606" t="s">
        <v>3167</v>
      </c>
      <c r="B606">
        <v>659</v>
      </c>
      <c r="C606" t="s">
        <v>3167</v>
      </c>
      <c r="D606">
        <v>40713</v>
      </c>
      <c r="E606" t="s">
        <v>3040</v>
      </c>
      <c r="F606">
        <v>200</v>
      </c>
      <c r="G606" t="s">
        <v>559</v>
      </c>
      <c r="H606">
        <v>200</v>
      </c>
      <c r="I606" t="s">
        <v>2863</v>
      </c>
      <c r="J606" t="s">
        <v>2365</v>
      </c>
      <c r="K606" t="s">
        <v>2365</v>
      </c>
      <c r="L606">
        <v>1200</v>
      </c>
      <c r="M606" t="s">
        <v>1480</v>
      </c>
      <c r="N606">
        <v>1204</v>
      </c>
      <c r="O606" t="s">
        <v>1487</v>
      </c>
      <c r="P606" t="s">
        <v>2366</v>
      </c>
      <c r="Q606" t="s">
        <v>2364</v>
      </c>
      <c r="R606" t="s">
        <v>2364</v>
      </c>
      <c r="S606" t="s">
        <v>1881</v>
      </c>
      <c r="T606" t="s">
        <v>1811</v>
      </c>
      <c r="U606" t="s">
        <v>2365</v>
      </c>
      <c r="V606" t="s">
        <v>2365</v>
      </c>
      <c r="W606" t="s">
        <v>2365</v>
      </c>
      <c r="X606" t="s">
        <v>2365</v>
      </c>
      <c r="Y606" t="s">
        <v>2365</v>
      </c>
      <c r="Z606" t="s">
        <v>2365</v>
      </c>
      <c r="AA606" t="s">
        <v>2365</v>
      </c>
      <c r="AB606" t="s">
        <v>2365</v>
      </c>
      <c r="AC606" s="813" t="s">
        <v>2365</v>
      </c>
      <c r="AD606" s="813" t="s">
        <v>2365</v>
      </c>
      <c r="AE606" s="813" t="s">
        <v>2365</v>
      </c>
      <c r="AF606" t="s">
        <v>2365</v>
      </c>
      <c r="AG606" t="s">
        <v>2365</v>
      </c>
      <c r="AH606" t="s">
        <v>2365</v>
      </c>
      <c r="AI606" t="s">
        <v>2365</v>
      </c>
      <c r="AJ606" t="s">
        <v>2365</v>
      </c>
      <c r="AK606" t="s">
        <v>2365</v>
      </c>
      <c r="AL606" t="s">
        <v>2365</v>
      </c>
      <c r="AM606" t="s">
        <v>2365</v>
      </c>
      <c r="AN606" t="s">
        <v>2365</v>
      </c>
      <c r="AR606" t="s">
        <v>2365</v>
      </c>
      <c r="AS606" t="s">
        <v>2365</v>
      </c>
      <c r="AT606" t="s">
        <v>2365</v>
      </c>
      <c r="AU606" t="s">
        <v>2365</v>
      </c>
      <c r="AV606" t="s">
        <v>2365</v>
      </c>
      <c r="AW606" t="s">
        <v>2365</v>
      </c>
      <c r="AX606" t="s">
        <v>2365</v>
      </c>
      <c r="AY606" t="s">
        <v>2365</v>
      </c>
      <c r="AZ606" t="s">
        <v>2365</v>
      </c>
      <c r="BA606" t="s">
        <v>2365</v>
      </c>
      <c r="BB606" t="s">
        <v>2365</v>
      </c>
      <c r="BC606" t="s">
        <v>2365</v>
      </c>
      <c r="BD606" t="s">
        <v>2366</v>
      </c>
      <c r="BE606" t="s">
        <v>2365</v>
      </c>
      <c r="BF606" t="s">
        <v>2365</v>
      </c>
      <c r="BG606" t="s">
        <v>2365</v>
      </c>
      <c r="BH606" t="s">
        <v>2365</v>
      </c>
      <c r="BI606" t="s">
        <v>2366</v>
      </c>
      <c r="BJ606" t="s">
        <v>2365</v>
      </c>
      <c r="BK606" t="s">
        <v>2365</v>
      </c>
      <c r="BL606" t="s">
        <v>2365</v>
      </c>
      <c r="BM606" t="s">
        <v>2365</v>
      </c>
      <c r="BO606">
        <v>1</v>
      </c>
      <c r="BP606">
        <v>11</v>
      </c>
      <c r="BQ606" t="s">
        <v>2369</v>
      </c>
      <c r="BR606" t="s">
        <v>1487</v>
      </c>
      <c r="BU606">
        <v>0</v>
      </c>
      <c r="BV606">
        <v>0</v>
      </c>
      <c r="BW606">
        <v>0</v>
      </c>
      <c r="BX606">
        <v>0</v>
      </c>
      <c r="BY606">
        <v>0</v>
      </c>
      <c r="BZ606">
        <v>0</v>
      </c>
      <c r="CA606">
        <v>0</v>
      </c>
      <c r="CB606">
        <v>0</v>
      </c>
      <c r="CC606">
        <v>0</v>
      </c>
      <c r="CD606">
        <v>0</v>
      </c>
      <c r="CE606">
        <v>0</v>
      </c>
      <c r="CF606">
        <v>0</v>
      </c>
      <c r="CG606">
        <v>0</v>
      </c>
      <c r="CH606">
        <v>0</v>
      </c>
      <c r="CI606">
        <v>0</v>
      </c>
      <c r="CJ606">
        <v>0</v>
      </c>
      <c r="CK606">
        <v>0</v>
      </c>
      <c r="CL606">
        <v>0</v>
      </c>
      <c r="CM606">
        <v>0</v>
      </c>
      <c r="CR606" t="s">
        <v>2319</v>
      </c>
      <c r="CS606" s="1369" t="str">
        <f>INDEX([8]Sheet1!$H:$H,MATCH(CR:CR,[8]Sheet1!$AU:$AU,0))</f>
        <v>Mayor and Council</v>
      </c>
    </row>
    <row r="607" spans="1:97" x14ac:dyDescent="0.2">
      <c r="A607" t="s">
        <v>3168</v>
      </c>
      <c r="B607">
        <v>660</v>
      </c>
      <c r="C607" t="s">
        <v>3168</v>
      </c>
      <c r="D607">
        <v>40714</v>
      </c>
      <c r="E607" t="s">
        <v>3042</v>
      </c>
      <c r="F607">
        <v>200</v>
      </c>
      <c r="G607" t="s">
        <v>559</v>
      </c>
      <c r="H607" s="1373">
        <v>200</v>
      </c>
      <c r="I607" t="s">
        <v>2863</v>
      </c>
      <c r="J607" t="s">
        <v>2365</v>
      </c>
      <c r="K607" t="s">
        <v>2365</v>
      </c>
      <c r="L607" s="1373">
        <v>1200</v>
      </c>
      <c r="M607" t="s">
        <v>1480</v>
      </c>
      <c r="N607">
        <v>1204</v>
      </c>
      <c r="O607" t="s">
        <v>1487</v>
      </c>
      <c r="P607" t="s">
        <v>2366</v>
      </c>
      <c r="Q607" t="s">
        <v>2364</v>
      </c>
      <c r="R607" t="s">
        <v>2364</v>
      </c>
      <c r="S607" t="s">
        <v>1881</v>
      </c>
      <c r="T607" t="s">
        <v>1811</v>
      </c>
      <c r="U607" t="s">
        <v>2365</v>
      </c>
      <c r="V607" t="s">
        <v>2365</v>
      </c>
      <c r="W607" t="s">
        <v>2365</v>
      </c>
      <c r="X607" t="s">
        <v>2365</v>
      </c>
      <c r="Y607" t="s">
        <v>2365</v>
      </c>
      <c r="Z607" t="s">
        <v>2365</v>
      </c>
      <c r="AA607" t="s">
        <v>2365</v>
      </c>
      <c r="AB607" t="s">
        <v>2365</v>
      </c>
      <c r="AC607" s="813" t="s">
        <v>2365</v>
      </c>
      <c r="AD607" s="813" t="s">
        <v>2365</v>
      </c>
      <c r="AE607" s="813" t="s">
        <v>2365</v>
      </c>
      <c r="AF607" t="s">
        <v>2365</v>
      </c>
      <c r="AG607" t="s">
        <v>2365</v>
      </c>
      <c r="AH607" t="s">
        <v>2365</v>
      </c>
      <c r="AI607" t="s">
        <v>2365</v>
      </c>
      <c r="AJ607" t="s">
        <v>2365</v>
      </c>
      <c r="AK607" t="s">
        <v>2365</v>
      </c>
      <c r="AL607" t="s">
        <v>2365</v>
      </c>
      <c r="AM607" t="s">
        <v>2365</v>
      </c>
      <c r="AN607" t="s">
        <v>2365</v>
      </c>
      <c r="AR607" t="s">
        <v>2365</v>
      </c>
      <c r="AS607" t="s">
        <v>2365</v>
      </c>
      <c r="AT607" t="s">
        <v>2365</v>
      </c>
      <c r="AU607" t="s">
        <v>2365</v>
      </c>
      <c r="AV607" t="s">
        <v>2365</v>
      </c>
      <c r="AW607" t="s">
        <v>2365</v>
      </c>
      <c r="AX607" t="s">
        <v>2365</v>
      </c>
      <c r="AY607" t="s">
        <v>2365</v>
      </c>
      <c r="AZ607" t="s">
        <v>2365</v>
      </c>
      <c r="BA607" t="s">
        <v>2365</v>
      </c>
      <c r="BB607" t="s">
        <v>2365</v>
      </c>
      <c r="BC607" t="s">
        <v>2365</v>
      </c>
      <c r="BD607" t="s">
        <v>2366</v>
      </c>
      <c r="BE607" t="s">
        <v>2365</v>
      </c>
      <c r="BF607" t="s">
        <v>2365</v>
      </c>
      <c r="BG607" t="s">
        <v>2365</v>
      </c>
      <c r="BH607" t="s">
        <v>2365</v>
      </c>
      <c r="BI607" t="s">
        <v>2366</v>
      </c>
      <c r="BJ607" t="s">
        <v>2365</v>
      </c>
      <c r="BK607" t="s">
        <v>2365</v>
      </c>
      <c r="BL607" t="s">
        <v>2365</v>
      </c>
      <c r="BM607" t="s">
        <v>2365</v>
      </c>
      <c r="BO607">
        <v>1</v>
      </c>
      <c r="BP607">
        <v>11</v>
      </c>
      <c r="BQ607" t="s">
        <v>2369</v>
      </c>
      <c r="BR607" t="s">
        <v>1487</v>
      </c>
      <c r="BU607" s="1371">
        <v>0</v>
      </c>
      <c r="BV607" s="1371">
        <v>0</v>
      </c>
      <c r="BW607" s="1371">
        <v>0</v>
      </c>
      <c r="BX607" s="1371">
        <v>0</v>
      </c>
      <c r="BY607" s="1371">
        <v>0</v>
      </c>
      <c r="BZ607">
        <v>0</v>
      </c>
      <c r="CA607">
        <v>0</v>
      </c>
      <c r="CB607">
        <v>0</v>
      </c>
      <c r="CC607">
        <v>0</v>
      </c>
      <c r="CD607">
        <v>0</v>
      </c>
      <c r="CE607">
        <v>0</v>
      </c>
      <c r="CF607">
        <v>0</v>
      </c>
      <c r="CG607">
        <v>0</v>
      </c>
      <c r="CH607">
        <v>0</v>
      </c>
      <c r="CI607">
        <v>0</v>
      </c>
      <c r="CJ607">
        <v>0</v>
      </c>
      <c r="CK607">
        <v>0</v>
      </c>
      <c r="CL607">
        <v>0</v>
      </c>
      <c r="CM607">
        <v>0</v>
      </c>
      <c r="CR607" t="s">
        <v>2319</v>
      </c>
      <c r="CS607" s="1369" t="str">
        <f>INDEX([8]Sheet1!$H:$H,MATCH(CR:CR,[8]Sheet1!$AU:$AU,0))</f>
        <v>Mayor and Council</v>
      </c>
    </row>
    <row r="608" spans="1:97" x14ac:dyDescent="0.2">
      <c r="A608" t="s">
        <v>3169</v>
      </c>
      <c r="B608">
        <v>661</v>
      </c>
      <c r="C608" t="s">
        <v>3169</v>
      </c>
      <c r="D608">
        <v>40715</v>
      </c>
      <c r="E608" t="s">
        <v>3044</v>
      </c>
      <c r="F608">
        <v>200</v>
      </c>
      <c r="G608" t="s">
        <v>559</v>
      </c>
      <c r="H608">
        <v>200</v>
      </c>
      <c r="I608" t="s">
        <v>2863</v>
      </c>
      <c r="J608" t="s">
        <v>2365</v>
      </c>
      <c r="K608" t="s">
        <v>2365</v>
      </c>
      <c r="L608">
        <v>1200</v>
      </c>
      <c r="M608" t="s">
        <v>1480</v>
      </c>
      <c r="N608">
        <v>1204</v>
      </c>
      <c r="O608" t="s">
        <v>1487</v>
      </c>
      <c r="P608" t="s">
        <v>2366</v>
      </c>
      <c r="Q608" t="s">
        <v>2364</v>
      </c>
      <c r="R608" t="s">
        <v>2364</v>
      </c>
      <c r="S608" t="s">
        <v>1881</v>
      </c>
      <c r="T608" t="s">
        <v>1811</v>
      </c>
      <c r="U608" t="s">
        <v>2365</v>
      </c>
      <c r="V608" t="s">
        <v>2365</v>
      </c>
      <c r="W608" t="s">
        <v>2365</v>
      </c>
      <c r="X608" t="s">
        <v>2365</v>
      </c>
      <c r="Y608" t="s">
        <v>2365</v>
      </c>
      <c r="Z608" t="s">
        <v>2365</v>
      </c>
      <c r="AA608" t="s">
        <v>2365</v>
      </c>
      <c r="AB608" t="s">
        <v>2365</v>
      </c>
      <c r="AC608" s="813" t="s">
        <v>2365</v>
      </c>
      <c r="AD608" s="813" t="s">
        <v>2365</v>
      </c>
      <c r="AE608" s="813" t="s">
        <v>2365</v>
      </c>
      <c r="AF608" t="s">
        <v>2365</v>
      </c>
      <c r="AG608" t="s">
        <v>2365</v>
      </c>
      <c r="AH608" t="s">
        <v>2365</v>
      </c>
      <c r="AI608" t="s">
        <v>2365</v>
      </c>
      <c r="AJ608" t="s">
        <v>2365</v>
      </c>
      <c r="AK608" t="s">
        <v>2365</v>
      </c>
      <c r="AL608" t="s">
        <v>2365</v>
      </c>
      <c r="AM608" t="s">
        <v>2365</v>
      </c>
      <c r="AN608" t="s">
        <v>2365</v>
      </c>
      <c r="AR608" t="s">
        <v>2365</v>
      </c>
      <c r="AS608" t="s">
        <v>2365</v>
      </c>
      <c r="AT608" t="s">
        <v>2365</v>
      </c>
      <c r="AU608" t="s">
        <v>2365</v>
      </c>
      <c r="AV608" t="s">
        <v>2365</v>
      </c>
      <c r="AW608" t="s">
        <v>2365</v>
      </c>
      <c r="AX608" t="s">
        <v>2365</v>
      </c>
      <c r="AY608" t="s">
        <v>2365</v>
      </c>
      <c r="AZ608" t="s">
        <v>2365</v>
      </c>
      <c r="BA608" t="s">
        <v>2365</v>
      </c>
      <c r="BB608" t="s">
        <v>2365</v>
      </c>
      <c r="BC608" t="s">
        <v>2365</v>
      </c>
      <c r="BD608" t="s">
        <v>2366</v>
      </c>
      <c r="BE608" t="s">
        <v>2365</v>
      </c>
      <c r="BF608" t="s">
        <v>2365</v>
      </c>
      <c r="BG608" t="s">
        <v>2365</v>
      </c>
      <c r="BH608" t="s">
        <v>2365</v>
      </c>
      <c r="BI608" t="s">
        <v>2366</v>
      </c>
      <c r="BJ608" t="s">
        <v>2365</v>
      </c>
      <c r="BK608" t="s">
        <v>2365</v>
      </c>
      <c r="BL608" t="s">
        <v>2365</v>
      </c>
      <c r="BM608" t="s">
        <v>2365</v>
      </c>
      <c r="BO608">
        <v>1</v>
      </c>
      <c r="BP608">
        <v>11</v>
      </c>
      <c r="BQ608" t="s">
        <v>2369</v>
      </c>
      <c r="BR608" t="s">
        <v>1487</v>
      </c>
      <c r="BU608">
        <v>0</v>
      </c>
      <c r="BV608">
        <v>0</v>
      </c>
      <c r="BW608">
        <v>0</v>
      </c>
      <c r="BX608">
        <v>0</v>
      </c>
      <c r="BY608">
        <v>0</v>
      </c>
      <c r="BZ608">
        <v>0</v>
      </c>
      <c r="CA608">
        <v>0</v>
      </c>
      <c r="CB608">
        <v>0</v>
      </c>
      <c r="CC608">
        <v>0</v>
      </c>
      <c r="CD608">
        <v>0</v>
      </c>
      <c r="CE608">
        <v>0</v>
      </c>
      <c r="CF608">
        <v>0</v>
      </c>
      <c r="CG608">
        <v>0</v>
      </c>
      <c r="CH608">
        <v>0</v>
      </c>
      <c r="CI608">
        <v>0</v>
      </c>
      <c r="CJ608">
        <v>0</v>
      </c>
      <c r="CK608">
        <v>0</v>
      </c>
      <c r="CL608">
        <v>0</v>
      </c>
      <c r="CM608">
        <v>0</v>
      </c>
      <c r="CR608" t="s">
        <v>2319</v>
      </c>
      <c r="CS608" s="1369" t="str">
        <f>INDEX([8]Sheet1!$H:$H,MATCH(CR:CR,[8]Sheet1!$AU:$AU,0))</f>
        <v>Mayor and Council</v>
      </c>
    </row>
    <row r="609" spans="1:97" x14ac:dyDescent="0.2">
      <c r="A609" t="s">
        <v>3170</v>
      </c>
      <c r="B609">
        <v>662</v>
      </c>
      <c r="C609" t="s">
        <v>3170</v>
      </c>
      <c r="D609">
        <v>40716</v>
      </c>
      <c r="E609" t="s">
        <v>3046</v>
      </c>
      <c r="F609">
        <v>200</v>
      </c>
      <c r="G609" t="s">
        <v>559</v>
      </c>
      <c r="H609">
        <v>200</v>
      </c>
      <c r="I609" t="s">
        <v>2863</v>
      </c>
      <c r="J609" t="s">
        <v>2365</v>
      </c>
      <c r="K609" t="s">
        <v>2365</v>
      </c>
      <c r="L609">
        <v>1200</v>
      </c>
      <c r="M609" t="s">
        <v>1480</v>
      </c>
      <c r="N609">
        <v>1204</v>
      </c>
      <c r="O609" t="s">
        <v>1487</v>
      </c>
      <c r="P609" t="s">
        <v>2366</v>
      </c>
      <c r="Q609" t="s">
        <v>2364</v>
      </c>
      <c r="R609" t="s">
        <v>2364</v>
      </c>
      <c r="S609" t="s">
        <v>1881</v>
      </c>
      <c r="T609" t="s">
        <v>1811</v>
      </c>
      <c r="U609" t="s">
        <v>2365</v>
      </c>
      <c r="V609" t="s">
        <v>2365</v>
      </c>
      <c r="W609" t="s">
        <v>2365</v>
      </c>
      <c r="X609" t="s">
        <v>2365</v>
      </c>
      <c r="Y609" t="s">
        <v>2365</v>
      </c>
      <c r="Z609" t="s">
        <v>2365</v>
      </c>
      <c r="AA609" t="s">
        <v>2365</v>
      </c>
      <c r="AB609" t="s">
        <v>2365</v>
      </c>
      <c r="AC609" s="813" t="s">
        <v>2365</v>
      </c>
      <c r="AD609" s="813" t="s">
        <v>2365</v>
      </c>
      <c r="AE609" s="813" t="s">
        <v>2365</v>
      </c>
      <c r="AF609" t="s">
        <v>2365</v>
      </c>
      <c r="AG609" t="s">
        <v>2365</v>
      </c>
      <c r="AH609" t="s">
        <v>2365</v>
      </c>
      <c r="AI609" t="s">
        <v>2365</v>
      </c>
      <c r="AJ609" t="s">
        <v>2365</v>
      </c>
      <c r="AK609" t="s">
        <v>2365</v>
      </c>
      <c r="AL609" t="s">
        <v>2365</v>
      </c>
      <c r="AM609" t="s">
        <v>2365</v>
      </c>
      <c r="AN609" t="s">
        <v>2365</v>
      </c>
      <c r="AR609" t="s">
        <v>2365</v>
      </c>
      <c r="AS609" t="s">
        <v>2365</v>
      </c>
      <c r="AT609" t="s">
        <v>2365</v>
      </c>
      <c r="AU609" t="s">
        <v>2365</v>
      </c>
      <c r="AV609" t="s">
        <v>2365</v>
      </c>
      <c r="AW609" t="s">
        <v>2365</v>
      </c>
      <c r="AX609" t="s">
        <v>2365</v>
      </c>
      <c r="AY609" t="s">
        <v>2365</v>
      </c>
      <c r="AZ609" t="s">
        <v>2365</v>
      </c>
      <c r="BA609" t="s">
        <v>2365</v>
      </c>
      <c r="BB609" t="s">
        <v>2365</v>
      </c>
      <c r="BC609" t="s">
        <v>2365</v>
      </c>
      <c r="BD609" t="s">
        <v>2366</v>
      </c>
      <c r="BE609" t="s">
        <v>2365</v>
      </c>
      <c r="BF609" t="s">
        <v>2365</v>
      </c>
      <c r="BG609" t="s">
        <v>2365</v>
      </c>
      <c r="BH609" t="s">
        <v>2365</v>
      </c>
      <c r="BI609" t="s">
        <v>2366</v>
      </c>
      <c r="BJ609" t="s">
        <v>2365</v>
      </c>
      <c r="BK609" t="s">
        <v>2365</v>
      </c>
      <c r="BL609" t="s">
        <v>2365</v>
      </c>
      <c r="BM609" t="s">
        <v>2365</v>
      </c>
      <c r="BO609">
        <v>1</v>
      </c>
      <c r="BP609">
        <v>11</v>
      </c>
      <c r="BQ609" t="s">
        <v>2369</v>
      </c>
      <c r="BR609" t="s">
        <v>1487</v>
      </c>
      <c r="BU609">
        <v>0</v>
      </c>
      <c r="BV609">
        <v>0</v>
      </c>
      <c r="BW609">
        <v>0</v>
      </c>
      <c r="BX609">
        <v>0</v>
      </c>
      <c r="BY609">
        <v>0</v>
      </c>
      <c r="BZ609">
        <v>0</v>
      </c>
      <c r="CA609">
        <v>0</v>
      </c>
      <c r="CB609">
        <v>0</v>
      </c>
      <c r="CC609">
        <v>0</v>
      </c>
      <c r="CD609">
        <v>0</v>
      </c>
      <c r="CE609">
        <v>0</v>
      </c>
      <c r="CF609">
        <v>0</v>
      </c>
      <c r="CG609">
        <v>0</v>
      </c>
      <c r="CH609">
        <v>0</v>
      </c>
      <c r="CI609">
        <v>0</v>
      </c>
      <c r="CJ609">
        <v>0</v>
      </c>
      <c r="CK609">
        <v>0</v>
      </c>
      <c r="CL609">
        <v>0</v>
      </c>
      <c r="CM609">
        <v>0</v>
      </c>
      <c r="CR609" t="s">
        <v>2328</v>
      </c>
      <c r="CS609" s="1369" t="str">
        <f>INDEX([8]Sheet1!$H:$H,MATCH(CR:CR,[8]Sheet1!$AU:$AU,0))</f>
        <v>Water Distribution</v>
      </c>
    </row>
    <row r="610" spans="1:97" x14ac:dyDescent="0.2">
      <c r="A610" t="s">
        <v>3171</v>
      </c>
      <c r="B610">
        <v>663</v>
      </c>
      <c r="C610" t="s">
        <v>3171</v>
      </c>
      <c r="D610">
        <v>40717</v>
      </c>
      <c r="E610" t="s">
        <v>3048</v>
      </c>
      <c r="F610">
        <v>200</v>
      </c>
      <c r="G610" t="s">
        <v>559</v>
      </c>
      <c r="H610">
        <v>200</v>
      </c>
      <c r="I610" t="s">
        <v>2863</v>
      </c>
      <c r="J610" t="s">
        <v>2365</v>
      </c>
      <c r="K610" t="s">
        <v>2365</v>
      </c>
      <c r="L610">
        <v>1200</v>
      </c>
      <c r="M610" t="s">
        <v>1480</v>
      </c>
      <c r="N610">
        <v>1204</v>
      </c>
      <c r="O610" t="s">
        <v>1487</v>
      </c>
      <c r="P610" t="s">
        <v>2366</v>
      </c>
      <c r="Q610" t="s">
        <v>2364</v>
      </c>
      <c r="R610" t="s">
        <v>2364</v>
      </c>
      <c r="S610" t="s">
        <v>1881</v>
      </c>
      <c r="T610" t="s">
        <v>1811</v>
      </c>
      <c r="U610" t="s">
        <v>2365</v>
      </c>
      <c r="V610" t="s">
        <v>2365</v>
      </c>
      <c r="W610" t="s">
        <v>2365</v>
      </c>
      <c r="X610" t="s">
        <v>2365</v>
      </c>
      <c r="Y610" t="s">
        <v>2365</v>
      </c>
      <c r="Z610" t="s">
        <v>2365</v>
      </c>
      <c r="AA610" t="s">
        <v>2365</v>
      </c>
      <c r="AB610" t="s">
        <v>2365</v>
      </c>
      <c r="AC610" s="813" t="s">
        <v>2365</v>
      </c>
      <c r="AD610" s="813" t="s">
        <v>2365</v>
      </c>
      <c r="AE610" s="813" t="s">
        <v>2365</v>
      </c>
      <c r="AF610" t="s">
        <v>2365</v>
      </c>
      <c r="AG610" t="s">
        <v>2365</v>
      </c>
      <c r="AH610" t="s">
        <v>2365</v>
      </c>
      <c r="AI610" t="s">
        <v>2365</v>
      </c>
      <c r="AJ610" t="s">
        <v>2365</v>
      </c>
      <c r="AK610" t="s">
        <v>2365</v>
      </c>
      <c r="AL610" t="s">
        <v>2365</v>
      </c>
      <c r="AM610" t="s">
        <v>2365</v>
      </c>
      <c r="AN610" t="s">
        <v>2365</v>
      </c>
      <c r="AR610" t="s">
        <v>2365</v>
      </c>
      <c r="AS610" t="s">
        <v>2365</v>
      </c>
      <c r="AT610" t="s">
        <v>2365</v>
      </c>
      <c r="AU610" t="s">
        <v>2365</v>
      </c>
      <c r="AV610" t="s">
        <v>2365</v>
      </c>
      <c r="AW610" t="s">
        <v>2365</v>
      </c>
      <c r="AX610" t="s">
        <v>2365</v>
      </c>
      <c r="AY610" t="s">
        <v>2365</v>
      </c>
      <c r="AZ610" t="s">
        <v>2365</v>
      </c>
      <c r="BA610" t="s">
        <v>2365</v>
      </c>
      <c r="BB610" t="s">
        <v>2365</v>
      </c>
      <c r="BC610" t="s">
        <v>2365</v>
      </c>
      <c r="BD610" t="s">
        <v>2366</v>
      </c>
      <c r="BE610" t="s">
        <v>2365</v>
      </c>
      <c r="BF610" t="s">
        <v>2365</v>
      </c>
      <c r="BG610" t="s">
        <v>2365</v>
      </c>
      <c r="BH610" t="s">
        <v>2365</v>
      </c>
      <c r="BI610" t="s">
        <v>2366</v>
      </c>
      <c r="BJ610" t="s">
        <v>2365</v>
      </c>
      <c r="BK610" t="s">
        <v>2365</v>
      </c>
      <c r="BL610" t="s">
        <v>2365</v>
      </c>
      <c r="BM610" t="s">
        <v>2365</v>
      </c>
      <c r="BO610">
        <v>1</v>
      </c>
      <c r="BP610">
        <v>11</v>
      </c>
      <c r="BQ610" t="s">
        <v>2369</v>
      </c>
      <c r="BR610" t="s">
        <v>1487</v>
      </c>
      <c r="BU610">
        <v>0</v>
      </c>
      <c r="BV610">
        <v>0</v>
      </c>
      <c r="BW610">
        <v>0</v>
      </c>
      <c r="BX610">
        <v>0</v>
      </c>
      <c r="BY610">
        <v>0</v>
      </c>
      <c r="BZ610">
        <v>0</v>
      </c>
      <c r="CA610">
        <v>0</v>
      </c>
      <c r="CB610">
        <v>0</v>
      </c>
      <c r="CC610">
        <v>0</v>
      </c>
      <c r="CD610">
        <v>0</v>
      </c>
      <c r="CE610">
        <v>0</v>
      </c>
      <c r="CF610">
        <v>0</v>
      </c>
      <c r="CG610">
        <v>0</v>
      </c>
      <c r="CH610">
        <v>0</v>
      </c>
      <c r="CI610">
        <v>0</v>
      </c>
      <c r="CJ610">
        <v>0</v>
      </c>
      <c r="CK610">
        <v>0</v>
      </c>
      <c r="CL610">
        <v>0</v>
      </c>
      <c r="CM610">
        <v>0</v>
      </c>
      <c r="CR610" t="s">
        <v>2335</v>
      </c>
      <c r="CS610" s="1369" t="str">
        <f>INDEX([8]Sheet1!$H:$H,MATCH(CR:CR,[8]Sheet1!$AU:$AU,0))</f>
        <v>Economic Development/Planning</v>
      </c>
    </row>
    <row r="611" spans="1:97" x14ac:dyDescent="0.2">
      <c r="A611" t="s">
        <v>3172</v>
      </c>
      <c r="B611">
        <v>664</v>
      </c>
      <c r="C611" t="s">
        <v>3172</v>
      </c>
      <c r="D611">
        <v>40718</v>
      </c>
      <c r="E611" t="s">
        <v>3050</v>
      </c>
      <c r="F611">
        <v>200</v>
      </c>
      <c r="G611" t="s">
        <v>559</v>
      </c>
      <c r="H611">
        <v>200</v>
      </c>
      <c r="I611" t="s">
        <v>2863</v>
      </c>
      <c r="J611" t="s">
        <v>2365</v>
      </c>
      <c r="K611" t="s">
        <v>2365</v>
      </c>
      <c r="L611">
        <v>1200</v>
      </c>
      <c r="M611" t="s">
        <v>1480</v>
      </c>
      <c r="N611">
        <v>1204</v>
      </c>
      <c r="O611" t="s">
        <v>1487</v>
      </c>
      <c r="P611" t="s">
        <v>2366</v>
      </c>
      <c r="Q611" t="s">
        <v>2364</v>
      </c>
      <c r="R611" t="s">
        <v>2364</v>
      </c>
      <c r="S611" t="s">
        <v>1881</v>
      </c>
      <c r="T611" t="s">
        <v>1811</v>
      </c>
      <c r="U611" t="s">
        <v>2365</v>
      </c>
      <c r="V611" t="s">
        <v>2365</v>
      </c>
      <c r="W611" t="s">
        <v>2365</v>
      </c>
      <c r="X611" t="s">
        <v>2365</v>
      </c>
      <c r="Y611" t="s">
        <v>2365</v>
      </c>
      <c r="Z611" t="s">
        <v>2365</v>
      </c>
      <c r="AA611" t="s">
        <v>2365</v>
      </c>
      <c r="AB611" t="s">
        <v>2365</v>
      </c>
      <c r="AC611" s="813" t="s">
        <v>2365</v>
      </c>
      <c r="AD611" s="813" t="s">
        <v>2365</v>
      </c>
      <c r="AE611" s="813" t="s">
        <v>2365</v>
      </c>
      <c r="AF611" t="s">
        <v>2365</v>
      </c>
      <c r="AG611" t="s">
        <v>2365</v>
      </c>
      <c r="AH611" t="s">
        <v>2365</v>
      </c>
      <c r="AI611" t="s">
        <v>2365</v>
      </c>
      <c r="AJ611" t="s">
        <v>2365</v>
      </c>
      <c r="AK611" t="s">
        <v>2365</v>
      </c>
      <c r="AL611" t="s">
        <v>2365</v>
      </c>
      <c r="AM611" t="s">
        <v>2365</v>
      </c>
      <c r="AN611" t="s">
        <v>2365</v>
      </c>
      <c r="AR611" t="s">
        <v>2365</v>
      </c>
      <c r="AS611" t="s">
        <v>2365</v>
      </c>
      <c r="AT611" t="s">
        <v>2365</v>
      </c>
      <c r="AU611" t="s">
        <v>2365</v>
      </c>
      <c r="AV611" t="s">
        <v>2365</v>
      </c>
      <c r="AW611" t="s">
        <v>2365</v>
      </c>
      <c r="AX611" t="s">
        <v>2365</v>
      </c>
      <c r="AY611" t="s">
        <v>2365</v>
      </c>
      <c r="AZ611" t="s">
        <v>2365</v>
      </c>
      <c r="BA611" t="s">
        <v>2365</v>
      </c>
      <c r="BB611" t="s">
        <v>2365</v>
      </c>
      <c r="BC611" t="s">
        <v>2365</v>
      </c>
      <c r="BD611" t="s">
        <v>2366</v>
      </c>
      <c r="BE611" t="s">
        <v>2365</v>
      </c>
      <c r="BF611" t="s">
        <v>2365</v>
      </c>
      <c r="BG611" t="s">
        <v>2365</v>
      </c>
      <c r="BH611" t="s">
        <v>2365</v>
      </c>
      <c r="BI611" t="s">
        <v>2366</v>
      </c>
      <c r="BJ611" t="s">
        <v>2365</v>
      </c>
      <c r="BK611" t="s">
        <v>2365</v>
      </c>
      <c r="BL611" t="s">
        <v>2365</v>
      </c>
      <c r="BM611" t="s">
        <v>2365</v>
      </c>
      <c r="BO611">
        <v>1</v>
      </c>
      <c r="BP611">
        <v>11</v>
      </c>
      <c r="BQ611" t="s">
        <v>2369</v>
      </c>
      <c r="BR611" t="s">
        <v>1487</v>
      </c>
      <c r="BU611">
        <v>0</v>
      </c>
      <c r="BV611">
        <v>0</v>
      </c>
      <c r="BW611">
        <v>0</v>
      </c>
      <c r="BX611">
        <v>0</v>
      </c>
      <c r="BY611">
        <v>0</v>
      </c>
      <c r="BZ611">
        <v>0</v>
      </c>
      <c r="CA611">
        <v>0</v>
      </c>
      <c r="CB611">
        <v>0</v>
      </c>
      <c r="CC611">
        <v>0</v>
      </c>
      <c r="CD611">
        <v>0</v>
      </c>
      <c r="CE611">
        <v>0</v>
      </c>
      <c r="CF611">
        <v>0</v>
      </c>
      <c r="CG611">
        <v>0</v>
      </c>
      <c r="CH611">
        <v>0</v>
      </c>
      <c r="CI611">
        <v>0</v>
      </c>
      <c r="CJ611">
        <v>0</v>
      </c>
      <c r="CK611">
        <v>0</v>
      </c>
      <c r="CL611">
        <v>0</v>
      </c>
      <c r="CM611">
        <v>0</v>
      </c>
      <c r="CR611" t="s">
        <v>2335</v>
      </c>
      <c r="CS611" s="1369" t="str">
        <f>INDEX([8]Sheet1!$H:$H,MATCH(CR:CR,[8]Sheet1!$AU:$AU,0))</f>
        <v>Economic Development/Planning</v>
      </c>
    </row>
    <row r="612" spans="1:97" x14ac:dyDescent="0.2">
      <c r="A612" t="s">
        <v>3173</v>
      </c>
      <c r="B612">
        <v>665</v>
      </c>
      <c r="C612" t="s">
        <v>3173</v>
      </c>
      <c r="D612">
        <v>40719</v>
      </c>
      <c r="E612" t="s">
        <v>3052</v>
      </c>
      <c r="F612">
        <v>200</v>
      </c>
      <c r="G612" t="s">
        <v>559</v>
      </c>
      <c r="H612">
        <v>200</v>
      </c>
      <c r="I612" t="s">
        <v>2863</v>
      </c>
      <c r="J612" t="s">
        <v>2365</v>
      </c>
      <c r="K612" t="s">
        <v>2365</v>
      </c>
      <c r="L612">
        <v>1200</v>
      </c>
      <c r="M612" t="s">
        <v>1480</v>
      </c>
      <c r="N612">
        <v>1204</v>
      </c>
      <c r="O612" t="s">
        <v>1487</v>
      </c>
      <c r="P612" t="s">
        <v>2366</v>
      </c>
      <c r="Q612" t="s">
        <v>2364</v>
      </c>
      <c r="R612" t="s">
        <v>2364</v>
      </c>
      <c r="S612" t="s">
        <v>1881</v>
      </c>
      <c r="T612" t="s">
        <v>1811</v>
      </c>
      <c r="U612" t="s">
        <v>2365</v>
      </c>
      <c r="V612" t="s">
        <v>2365</v>
      </c>
      <c r="W612" t="s">
        <v>2365</v>
      </c>
      <c r="X612" t="s">
        <v>2365</v>
      </c>
      <c r="Y612" t="s">
        <v>2365</v>
      </c>
      <c r="Z612" t="s">
        <v>2365</v>
      </c>
      <c r="AA612" t="s">
        <v>2365</v>
      </c>
      <c r="AB612" t="s">
        <v>2365</v>
      </c>
      <c r="AC612" s="813" t="s">
        <v>2365</v>
      </c>
      <c r="AD612" s="813" t="s">
        <v>2365</v>
      </c>
      <c r="AE612" s="813" t="s">
        <v>2365</v>
      </c>
      <c r="AF612" t="s">
        <v>2365</v>
      </c>
      <c r="AG612" t="s">
        <v>2365</v>
      </c>
      <c r="AH612" t="s">
        <v>2365</v>
      </c>
      <c r="AI612" t="s">
        <v>2365</v>
      </c>
      <c r="AJ612" t="s">
        <v>2365</v>
      </c>
      <c r="AK612" t="s">
        <v>2365</v>
      </c>
      <c r="AL612" t="s">
        <v>2365</v>
      </c>
      <c r="AM612" t="s">
        <v>2365</v>
      </c>
      <c r="AN612" t="s">
        <v>2365</v>
      </c>
      <c r="AR612" t="s">
        <v>2365</v>
      </c>
      <c r="AS612" t="s">
        <v>2365</v>
      </c>
      <c r="AT612" t="s">
        <v>2365</v>
      </c>
      <c r="AU612" t="s">
        <v>2365</v>
      </c>
      <c r="AV612" t="s">
        <v>2365</v>
      </c>
      <c r="AW612" t="s">
        <v>2365</v>
      </c>
      <c r="AX612" t="s">
        <v>2365</v>
      </c>
      <c r="AY612" t="s">
        <v>2365</v>
      </c>
      <c r="AZ612" t="s">
        <v>2365</v>
      </c>
      <c r="BA612" t="s">
        <v>2365</v>
      </c>
      <c r="BB612" t="s">
        <v>2365</v>
      </c>
      <c r="BC612" t="s">
        <v>2365</v>
      </c>
      <c r="BD612" t="s">
        <v>2366</v>
      </c>
      <c r="BE612" t="s">
        <v>2365</v>
      </c>
      <c r="BF612" t="s">
        <v>2365</v>
      </c>
      <c r="BG612" t="s">
        <v>2365</v>
      </c>
      <c r="BH612" t="s">
        <v>2365</v>
      </c>
      <c r="BI612" t="s">
        <v>2366</v>
      </c>
      <c r="BJ612" t="s">
        <v>2365</v>
      </c>
      <c r="BK612" t="s">
        <v>2365</v>
      </c>
      <c r="BL612" t="s">
        <v>2365</v>
      </c>
      <c r="BM612" t="s">
        <v>2365</v>
      </c>
      <c r="BO612">
        <v>1</v>
      </c>
      <c r="BP612">
        <v>11</v>
      </c>
      <c r="BQ612" t="s">
        <v>2369</v>
      </c>
      <c r="BR612" t="s">
        <v>1487</v>
      </c>
      <c r="BU612">
        <v>0</v>
      </c>
      <c r="BV612">
        <v>0</v>
      </c>
      <c r="BW612">
        <v>0</v>
      </c>
      <c r="BX612">
        <v>0</v>
      </c>
      <c r="BY612">
        <v>0</v>
      </c>
      <c r="BZ612">
        <v>0</v>
      </c>
      <c r="CA612">
        <v>0</v>
      </c>
      <c r="CB612">
        <v>0</v>
      </c>
      <c r="CC612">
        <v>0</v>
      </c>
      <c r="CD612">
        <v>0</v>
      </c>
      <c r="CE612">
        <v>0</v>
      </c>
      <c r="CF612">
        <v>0</v>
      </c>
      <c r="CG612">
        <v>0</v>
      </c>
      <c r="CH612">
        <v>0</v>
      </c>
      <c r="CI612">
        <v>0</v>
      </c>
      <c r="CJ612">
        <v>0</v>
      </c>
      <c r="CK612">
        <v>0</v>
      </c>
      <c r="CL612">
        <v>0</v>
      </c>
      <c r="CM612">
        <v>0</v>
      </c>
      <c r="CR612" t="s">
        <v>2335</v>
      </c>
      <c r="CS612" s="1369" t="str">
        <f>INDEX([8]Sheet1!$H:$H,MATCH(CR:CR,[8]Sheet1!$AU:$AU,0))</f>
        <v>Economic Development/Planning</v>
      </c>
    </row>
    <row r="613" spans="1:97" x14ac:dyDescent="0.2">
      <c r="A613" t="s">
        <v>3174</v>
      </c>
      <c r="B613">
        <v>666</v>
      </c>
      <c r="C613" t="s">
        <v>3174</v>
      </c>
      <c r="D613">
        <v>40720</v>
      </c>
      <c r="E613" t="s">
        <v>3054</v>
      </c>
      <c r="F613">
        <v>200</v>
      </c>
      <c r="G613" t="s">
        <v>559</v>
      </c>
      <c r="H613">
        <v>200</v>
      </c>
      <c r="I613" t="s">
        <v>2863</v>
      </c>
      <c r="J613" t="s">
        <v>2365</v>
      </c>
      <c r="K613" t="s">
        <v>2365</v>
      </c>
      <c r="L613">
        <v>1200</v>
      </c>
      <c r="M613" t="s">
        <v>1480</v>
      </c>
      <c r="N613">
        <v>1204</v>
      </c>
      <c r="O613" t="s">
        <v>1487</v>
      </c>
      <c r="P613" t="s">
        <v>2366</v>
      </c>
      <c r="Q613" t="s">
        <v>2364</v>
      </c>
      <c r="R613" t="s">
        <v>2364</v>
      </c>
      <c r="S613" t="s">
        <v>1881</v>
      </c>
      <c r="T613" t="s">
        <v>1811</v>
      </c>
      <c r="U613" t="s">
        <v>2365</v>
      </c>
      <c r="V613" t="s">
        <v>2365</v>
      </c>
      <c r="W613" t="s">
        <v>2365</v>
      </c>
      <c r="X613" t="s">
        <v>2365</v>
      </c>
      <c r="Y613" t="s">
        <v>2365</v>
      </c>
      <c r="Z613" t="s">
        <v>2365</v>
      </c>
      <c r="AA613" t="s">
        <v>2365</v>
      </c>
      <c r="AB613" t="s">
        <v>2365</v>
      </c>
      <c r="AC613" s="813" t="s">
        <v>2365</v>
      </c>
      <c r="AD613" s="813" t="s">
        <v>2365</v>
      </c>
      <c r="AE613" s="813" t="s">
        <v>2365</v>
      </c>
      <c r="AF613" t="s">
        <v>2365</v>
      </c>
      <c r="AG613" t="s">
        <v>2365</v>
      </c>
      <c r="AH613" t="s">
        <v>2365</v>
      </c>
      <c r="AI613" t="s">
        <v>2365</v>
      </c>
      <c r="AJ613" t="s">
        <v>2365</v>
      </c>
      <c r="AK613" t="s">
        <v>2365</v>
      </c>
      <c r="AL613" t="s">
        <v>2365</v>
      </c>
      <c r="AM613" t="s">
        <v>2365</v>
      </c>
      <c r="AN613" t="s">
        <v>2365</v>
      </c>
      <c r="AR613" t="s">
        <v>2365</v>
      </c>
      <c r="AS613" t="s">
        <v>2365</v>
      </c>
      <c r="AT613" t="s">
        <v>2365</v>
      </c>
      <c r="AU613" t="s">
        <v>2365</v>
      </c>
      <c r="AV613" t="s">
        <v>2365</v>
      </c>
      <c r="AW613" t="s">
        <v>2365</v>
      </c>
      <c r="AX613" t="s">
        <v>2365</v>
      </c>
      <c r="AY613" t="s">
        <v>2365</v>
      </c>
      <c r="AZ613" t="s">
        <v>2365</v>
      </c>
      <c r="BA613" t="s">
        <v>2365</v>
      </c>
      <c r="BB613" t="s">
        <v>2365</v>
      </c>
      <c r="BC613" t="s">
        <v>2365</v>
      </c>
      <c r="BD613" t="s">
        <v>2366</v>
      </c>
      <c r="BE613" t="s">
        <v>2365</v>
      </c>
      <c r="BF613" t="s">
        <v>2365</v>
      </c>
      <c r="BG613" t="s">
        <v>2365</v>
      </c>
      <c r="BH613" t="s">
        <v>2365</v>
      </c>
      <c r="BI613" t="s">
        <v>2366</v>
      </c>
      <c r="BJ613" t="s">
        <v>2365</v>
      </c>
      <c r="BK613" t="s">
        <v>2365</v>
      </c>
      <c r="BL613" t="s">
        <v>2365</v>
      </c>
      <c r="BM613" t="s">
        <v>2365</v>
      </c>
      <c r="BO613">
        <v>1</v>
      </c>
      <c r="BP613">
        <v>11</v>
      </c>
      <c r="BQ613" t="s">
        <v>2369</v>
      </c>
      <c r="BR613" t="s">
        <v>1487</v>
      </c>
      <c r="BU613">
        <v>0</v>
      </c>
      <c r="BV613">
        <v>0</v>
      </c>
      <c r="BW613">
        <v>0</v>
      </c>
      <c r="BX613">
        <v>0</v>
      </c>
      <c r="BY613">
        <v>0</v>
      </c>
      <c r="BZ613">
        <v>0</v>
      </c>
      <c r="CA613">
        <v>0</v>
      </c>
      <c r="CB613">
        <v>0</v>
      </c>
      <c r="CC613">
        <v>0</v>
      </c>
      <c r="CD613">
        <v>0</v>
      </c>
      <c r="CE613">
        <v>0</v>
      </c>
      <c r="CF613">
        <v>0</v>
      </c>
      <c r="CG613">
        <v>0</v>
      </c>
      <c r="CH613">
        <v>0</v>
      </c>
      <c r="CI613">
        <v>0</v>
      </c>
      <c r="CJ613">
        <v>0</v>
      </c>
      <c r="CK613">
        <v>0</v>
      </c>
      <c r="CL613">
        <v>0</v>
      </c>
      <c r="CM613">
        <v>0</v>
      </c>
      <c r="CR613" t="s">
        <v>2337</v>
      </c>
      <c r="CS613" s="1369" t="str">
        <f>INDEX([8]Sheet1!$H:$H,MATCH(CR:CR,[8]Sheet1!$AU:$AU,0))</f>
        <v>Corporate Wide Strategic Planning (IDPs, LEDs)</v>
      </c>
    </row>
    <row r="614" spans="1:97" x14ac:dyDescent="0.2">
      <c r="A614" t="s">
        <v>3175</v>
      </c>
      <c r="B614">
        <v>667</v>
      </c>
      <c r="C614" t="s">
        <v>3175</v>
      </c>
      <c r="D614">
        <v>41218</v>
      </c>
      <c r="E614" t="s">
        <v>3176</v>
      </c>
      <c r="F614">
        <v>1300</v>
      </c>
      <c r="G614" t="s">
        <v>648</v>
      </c>
      <c r="H614" s="1373">
        <v>1300</v>
      </c>
      <c r="I614" t="s">
        <v>648</v>
      </c>
      <c r="J614" t="s">
        <v>2365</v>
      </c>
      <c r="K614" t="s">
        <v>2365</v>
      </c>
      <c r="L614" s="1373">
        <v>5000</v>
      </c>
      <c r="M614" t="s">
        <v>632</v>
      </c>
      <c r="N614">
        <v>5004</v>
      </c>
      <c r="O614" t="s">
        <v>1560</v>
      </c>
      <c r="P614" t="s">
        <v>2366</v>
      </c>
      <c r="Q614" t="s">
        <v>2364</v>
      </c>
      <c r="R614" t="s">
        <v>2364</v>
      </c>
      <c r="S614" t="s">
        <v>553</v>
      </c>
      <c r="T614" t="s">
        <v>1811</v>
      </c>
      <c r="U614" t="s">
        <v>2365</v>
      </c>
      <c r="V614" t="s">
        <v>2365</v>
      </c>
      <c r="W614" t="s">
        <v>2365</v>
      </c>
      <c r="X614" t="s">
        <v>2365</v>
      </c>
      <c r="Y614" t="s">
        <v>2365</v>
      </c>
      <c r="Z614" t="s">
        <v>2365</v>
      </c>
      <c r="AA614" t="s">
        <v>2365</v>
      </c>
      <c r="AB614" t="s">
        <v>2365</v>
      </c>
      <c r="AC614" s="813" t="s">
        <v>2365</v>
      </c>
      <c r="AD614" s="813" t="s">
        <v>2365</v>
      </c>
      <c r="AE614" s="813" t="s">
        <v>2365</v>
      </c>
      <c r="AF614" t="s">
        <v>2365</v>
      </c>
      <c r="AG614" t="s">
        <v>2365</v>
      </c>
      <c r="AH614" t="s">
        <v>2365</v>
      </c>
      <c r="AI614" t="s">
        <v>2365</v>
      </c>
      <c r="AJ614" t="s">
        <v>2365</v>
      </c>
      <c r="AK614" t="s">
        <v>2365</v>
      </c>
      <c r="AL614" t="s">
        <v>2365</v>
      </c>
      <c r="AM614" t="s">
        <v>2365</v>
      </c>
      <c r="AN614" t="s">
        <v>2365</v>
      </c>
      <c r="AR614" t="s">
        <v>2365</v>
      </c>
      <c r="AS614" t="s">
        <v>2365</v>
      </c>
      <c r="AT614" t="s">
        <v>2365</v>
      </c>
      <c r="AU614" t="s">
        <v>2365</v>
      </c>
      <c r="AV614" t="s">
        <v>2365</v>
      </c>
      <c r="AW614" t="s">
        <v>2365</v>
      </c>
      <c r="AX614" t="s">
        <v>2365</v>
      </c>
      <c r="AY614" t="s">
        <v>2365</v>
      </c>
      <c r="AZ614" t="s">
        <v>2365</v>
      </c>
      <c r="BA614" t="s">
        <v>2365</v>
      </c>
      <c r="BB614" t="s">
        <v>2365</v>
      </c>
      <c r="BC614" t="s">
        <v>2365</v>
      </c>
      <c r="BD614" t="s">
        <v>2366</v>
      </c>
      <c r="BE614" t="s">
        <v>2365</v>
      </c>
      <c r="BF614" t="s">
        <v>2365</v>
      </c>
      <c r="BG614" t="s">
        <v>2365</v>
      </c>
      <c r="BH614" t="s">
        <v>2365</v>
      </c>
      <c r="BI614" t="s">
        <v>2366</v>
      </c>
      <c r="BJ614" t="s">
        <v>2365</v>
      </c>
      <c r="BK614" t="s">
        <v>2365</v>
      </c>
      <c r="BL614" t="s">
        <v>2365</v>
      </c>
      <c r="BM614" t="s">
        <v>2365</v>
      </c>
      <c r="BO614">
        <v>11</v>
      </c>
      <c r="BP614">
        <v>111</v>
      </c>
      <c r="BQ614" t="s">
        <v>632</v>
      </c>
      <c r="BR614" t="s">
        <v>1560</v>
      </c>
      <c r="BU614" s="1371">
        <v>-800</v>
      </c>
      <c r="BV614" s="1371">
        <v>0</v>
      </c>
      <c r="BW614" s="1371">
        <v>-800</v>
      </c>
      <c r="BX614" s="1371">
        <v>1200</v>
      </c>
      <c r="BY614" s="1371">
        <v>-2000</v>
      </c>
      <c r="BZ614">
        <v>-848</v>
      </c>
      <c r="CA614">
        <v>-899</v>
      </c>
      <c r="CB614">
        <v>-350</v>
      </c>
      <c r="CC614">
        <v>0</v>
      </c>
      <c r="CD614">
        <v>0</v>
      </c>
      <c r="CE614">
        <v>-350</v>
      </c>
      <c r="CF614">
        <v>-350</v>
      </c>
      <c r="CG614">
        <v>0</v>
      </c>
      <c r="CH614">
        <v>0</v>
      </c>
      <c r="CI614">
        <v>0</v>
      </c>
      <c r="CJ614">
        <v>0</v>
      </c>
      <c r="CK614">
        <v>0</v>
      </c>
      <c r="CL614">
        <v>0</v>
      </c>
      <c r="CM614">
        <v>0</v>
      </c>
      <c r="CR614" t="s">
        <v>2337</v>
      </c>
      <c r="CS614" s="1369" t="str">
        <f>INDEX([8]Sheet1!$H:$H,MATCH(CR:CR,[8]Sheet1!$AU:$AU,0))</f>
        <v>Corporate Wide Strategic Planning (IDPs, LEDs)</v>
      </c>
    </row>
    <row r="615" spans="1:97" x14ac:dyDescent="0.2">
      <c r="A615" t="s">
        <v>3177</v>
      </c>
      <c r="B615">
        <v>668</v>
      </c>
      <c r="C615" t="s">
        <v>3177</v>
      </c>
      <c r="D615">
        <v>41219</v>
      </c>
      <c r="E615" t="s">
        <v>3178</v>
      </c>
      <c r="F615">
        <v>1300</v>
      </c>
      <c r="G615" t="s">
        <v>648</v>
      </c>
      <c r="H615" s="1373">
        <v>1300</v>
      </c>
      <c r="I615" t="s">
        <v>648</v>
      </c>
      <c r="J615" t="s">
        <v>2365</v>
      </c>
      <c r="K615" t="s">
        <v>2365</v>
      </c>
      <c r="L615" s="1373">
        <v>5000</v>
      </c>
      <c r="M615" t="s">
        <v>632</v>
      </c>
      <c r="N615">
        <v>5004</v>
      </c>
      <c r="O615" t="s">
        <v>1560</v>
      </c>
      <c r="P615" t="s">
        <v>2366</v>
      </c>
      <c r="Q615" t="s">
        <v>2364</v>
      </c>
      <c r="R615" t="s">
        <v>2364</v>
      </c>
      <c r="S615" t="s">
        <v>553</v>
      </c>
      <c r="T615" t="s">
        <v>1811</v>
      </c>
      <c r="U615" t="s">
        <v>2365</v>
      </c>
      <c r="V615" t="s">
        <v>2365</v>
      </c>
      <c r="W615" t="s">
        <v>2365</v>
      </c>
      <c r="X615" t="s">
        <v>2365</v>
      </c>
      <c r="Y615" t="s">
        <v>2365</v>
      </c>
      <c r="Z615" t="s">
        <v>2365</v>
      </c>
      <c r="AA615" t="s">
        <v>2365</v>
      </c>
      <c r="AB615" t="s">
        <v>2365</v>
      </c>
      <c r="AC615" s="813" t="s">
        <v>2365</v>
      </c>
      <c r="AD615" s="813" t="s">
        <v>2365</v>
      </c>
      <c r="AE615" s="813" t="s">
        <v>2365</v>
      </c>
      <c r="AF615" t="s">
        <v>2365</v>
      </c>
      <c r="AG615" t="s">
        <v>2365</v>
      </c>
      <c r="AH615" t="s">
        <v>2365</v>
      </c>
      <c r="AI615" t="s">
        <v>2365</v>
      </c>
      <c r="AJ615" t="s">
        <v>2365</v>
      </c>
      <c r="AK615" t="s">
        <v>2365</v>
      </c>
      <c r="AL615" t="s">
        <v>2365</v>
      </c>
      <c r="AM615" t="s">
        <v>2365</v>
      </c>
      <c r="AN615" t="s">
        <v>2365</v>
      </c>
      <c r="AR615" t="s">
        <v>2365</v>
      </c>
      <c r="AS615" t="s">
        <v>2365</v>
      </c>
      <c r="AT615" t="s">
        <v>2365</v>
      </c>
      <c r="AU615" t="s">
        <v>2365</v>
      </c>
      <c r="AV615" t="s">
        <v>2365</v>
      </c>
      <c r="AW615" t="s">
        <v>2365</v>
      </c>
      <c r="AX615" t="s">
        <v>2365</v>
      </c>
      <c r="AY615" t="s">
        <v>2365</v>
      </c>
      <c r="AZ615" t="s">
        <v>2365</v>
      </c>
      <c r="BA615" t="s">
        <v>2365</v>
      </c>
      <c r="BB615" t="s">
        <v>2365</v>
      </c>
      <c r="BC615" t="s">
        <v>2365</v>
      </c>
      <c r="BD615" t="s">
        <v>2366</v>
      </c>
      <c r="BE615" t="s">
        <v>2365</v>
      </c>
      <c r="BF615" t="s">
        <v>2365</v>
      </c>
      <c r="BG615" t="s">
        <v>2365</v>
      </c>
      <c r="BH615" t="s">
        <v>2365</v>
      </c>
      <c r="BI615" t="s">
        <v>2366</v>
      </c>
      <c r="BJ615" t="s">
        <v>2365</v>
      </c>
      <c r="BK615" t="s">
        <v>2365</v>
      </c>
      <c r="BL615" t="s">
        <v>2365</v>
      </c>
      <c r="BM615" t="s">
        <v>2365</v>
      </c>
      <c r="BO615">
        <v>11</v>
      </c>
      <c r="BP615">
        <v>111</v>
      </c>
      <c r="BQ615" t="s">
        <v>632</v>
      </c>
      <c r="BR615" t="s">
        <v>1560</v>
      </c>
      <c r="BU615" s="1371">
        <v>-1073778</v>
      </c>
      <c r="BV615" s="1371">
        <v>0</v>
      </c>
      <c r="BW615" s="1371">
        <v>-1073778</v>
      </c>
      <c r="BX615" s="1371">
        <v>0</v>
      </c>
      <c r="BY615" s="1371">
        <v>-1073778</v>
      </c>
      <c r="BZ615">
        <v>-1138205</v>
      </c>
      <c r="CA615">
        <v>-1206497</v>
      </c>
      <c r="CB615">
        <v>-63782.579999999994</v>
      </c>
      <c r="CC615">
        <v>-121043.48999999999</v>
      </c>
      <c r="CD615">
        <v>-105130.43000000001</v>
      </c>
      <c r="CE615">
        <v>0</v>
      </c>
      <c r="CF615">
        <v>-140660.85999999993</v>
      </c>
      <c r="CG615">
        <v>-42652.170000000006</v>
      </c>
      <c r="CH615">
        <v>-5608.7</v>
      </c>
      <c r="CI615">
        <v>-97304.34</v>
      </c>
      <c r="CJ615">
        <v>-66130.430000000008</v>
      </c>
      <c r="CK615">
        <v>0</v>
      </c>
      <c r="CL615">
        <v>0</v>
      </c>
      <c r="CM615">
        <v>0</v>
      </c>
      <c r="CR615" t="s">
        <v>2337</v>
      </c>
      <c r="CS615" s="1369" t="str">
        <f>INDEX([8]Sheet1!$H:$H,MATCH(CR:CR,[8]Sheet1!$AU:$AU,0))</f>
        <v>Corporate Wide Strategic Planning (IDPs, LEDs)</v>
      </c>
    </row>
    <row r="616" spans="1:97" x14ac:dyDescent="0.2">
      <c r="A616" t="s">
        <v>3179</v>
      </c>
      <c r="B616">
        <v>669</v>
      </c>
      <c r="C616" t="s">
        <v>3179</v>
      </c>
      <c r="D616">
        <v>41220</v>
      </c>
      <c r="E616" t="s">
        <v>3180</v>
      </c>
      <c r="F616">
        <v>1300</v>
      </c>
      <c r="G616" t="s">
        <v>648</v>
      </c>
      <c r="H616">
        <v>1300</v>
      </c>
      <c r="I616" t="s">
        <v>648</v>
      </c>
      <c r="J616" t="s">
        <v>2365</v>
      </c>
      <c r="K616" t="s">
        <v>2365</v>
      </c>
      <c r="L616">
        <v>5000</v>
      </c>
      <c r="M616" t="s">
        <v>632</v>
      </c>
      <c r="N616">
        <v>5004</v>
      </c>
      <c r="O616" t="s">
        <v>1560</v>
      </c>
      <c r="P616" t="s">
        <v>2366</v>
      </c>
      <c r="Q616" t="s">
        <v>2364</v>
      </c>
      <c r="R616" t="s">
        <v>2364</v>
      </c>
      <c r="S616" t="s">
        <v>553</v>
      </c>
      <c r="T616" t="s">
        <v>1811</v>
      </c>
      <c r="U616" t="s">
        <v>2365</v>
      </c>
      <c r="V616" t="s">
        <v>2365</v>
      </c>
      <c r="W616" t="s">
        <v>2365</v>
      </c>
      <c r="X616" t="s">
        <v>2365</v>
      </c>
      <c r="Y616" t="s">
        <v>2365</v>
      </c>
      <c r="Z616" t="s">
        <v>2365</v>
      </c>
      <c r="AA616" t="s">
        <v>2365</v>
      </c>
      <c r="AB616" t="s">
        <v>2365</v>
      </c>
      <c r="AC616" s="813" t="s">
        <v>2365</v>
      </c>
      <c r="AD616" s="813" t="s">
        <v>2365</v>
      </c>
      <c r="AE616" s="813" t="s">
        <v>2365</v>
      </c>
      <c r="AF616" t="s">
        <v>2365</v>
      </c>
      <c r="AG616" t="s">
        <v>2365</v>
      </c>
      <c r="AH616" t="s">
        <v>2365</v>
      </c>
      <c r="AI616" t="s">
        <v>2365</v>
      </c>
      <c r="AJ616" t="s">
        <v>2365</v>
      </c>
      <c r="AK616" t="s">
        <v>2365</v>
      </c>
      <c r="AL616" t="s">
        <v>2365</v>
      </c>
      <c r="AM616" t="s">
        <v>2365</v>
      </c>
      <c r="AN616" t="s">
        <v>2365</v>
      </c>
      <c r="AR616" t="s">
        <v>2365</v>
      </c>
      <c r="AS616" t="s">
        <v>2365</v>
      </c>
      <c r="AT616" t="s">
        <v>2365</v>
      </c>
      <c r="AU616" t="s">
        <v>2365</v>
      </c>
      <c r="AV616" t="s">
        <v>2365</v>
      </c>
      <c r="AW616" t="s">
        <v>2365</v>
      </c>
      <c r="AX616" t="s">
        <v>2365</v>
      </c>
      <c r="AY616" t="s">
        <v>2365</v>
      </c>
      <c r="AZ616" t="s">
        <v>2365</v>
      </c>
      <c r="BA616" t="s">
        <v>2365</v>
      </c>
      <c r="BB616" t="s">
        <v>2365</v>
      </c>
      <c r="BC616" t="s">
        <v>2365</v>
      </c>
      <c r="BD616" t="s">
        <v>2366</v>
      </c>
      <c r="BE616" t="s">
        <v>2365</v>
      </c>
      <c r="BF616" t="s">
        <v>2365</v>
      </c>
      <c r="BG616" t="s">
        <v>2365</v>
      </c>
      <c r="BH616" t="s">
        <v>2365</v>
      </c>
      <c r="BI616" t="s">
        <v>2366</v>
      </c>
      <c r="BJ616" t="s">
        <v>2365</v>
      </c>
      <c r="BK616" t="s">
        <v>2365</v>
      </c>
      <c r="BL616" t="s">
        <v>2365</v>
      </c>
      <c r="BM616" t="s">
        <v>2365</v>
      </c>
      <c r="BO616">
        <v>11</v>
      </c>
      <c r="BP616">
        <v>111</v>
      </c>
      <c r="BQ616" t="s">
        <v>632</v>
      </c>
      <c r="BR616" t="s">
        <v>1560</v>
      </c>
      <c r="BU616">
        <v>-390465</v>
      </c>
      <c r="BV616">
        <v>0</v>
      </c>
      <c r="BW616">
        <v>-390465</v>
      </c>
      <c r="BX616">
        <v>0</v>
      </c>
      <c r="BY616">
        <v>-390465</v>
      </c>
      <c r="BZ616">
        <v>-413893</v>
      </c>
      <c r="CA616">
        <v>-438727</v>
      </c>
      <c r="CB616">
        <v>-8643.4599999999991</v>
      </c>
      <c r="CC616">
        <v>-40965.22</v>
      </c>
      <c r="CD616">
        <v>-22208.679999999997</v>
      </c>
      <c r="CE616">
        <v>0</v>
      </c>
      <c r="CF616">
        <v>-52695.630000000005</v>
      </c>
      <c r="CG616">
        <v>-17060.849999999999</v>
      </c>
      <c r="CH616">
        <v>-1304.3499999999999</v>
      </c>
      <c r="CI616">
        <v>-24782.6</v>
      </c>
      <c r="CJ616">
        <v>-14973.910000000002</v>
      </c>
      <c r="CK616">
        <v>0</v>
      </c>
      <c r="CL616">
        <v>0</v>
      </c>
      <c r="CM616">
        <v>0</v>
      </c>
      <c r="CR616" t="s">
        <v>2325</v>
      </c>
      <c r="CS616" s="1369" t="str">
        <f>INDEX([8]Sheet1!$H:$H,MATCH(CR:CR,[8]Sheet1!$AU:$AU,0))</f>
        <v>Asset Management</v>
      </c>
    </row>
    <row r="617" spans="1:97" x14ac:dyDescent="0.2">
      <c r="A617" t="s">
        <v>3181</v>
      </c>
      <c r="B617">
        <v>670</v>
      </c>
      <c r="C617" t="s">
        <v>3181</v>
      </c>
      <c r="D617">
        <v>41221</v>
      </c>
      <c r="E617" t="s">
        <v>3182</v>
      </c>
      <c r="F617">
        <v>1300</v>
      </c>
      <c r="G617" t="s">
        <v>648</v>
      </c>
      <c r="H617">
        <v>1300</v>
      </c>
      <c r="I617" t="s">
        <v>648</v>
      </c>
      <c r="J617" t="s">
        <v>2365</v>
      </c>
      <c r="K617" t="s">
        <v>2365</v>
      </c>
      <c r="L617">
        <v>5000</v>
      </c>
      <c r="M617" t="s">
        <v>632</v>
      </c>
      <c r="N617">
        <v>5004</v>
      </c>
      <c r="O617" t="s">
        <v>1560</v>
      </c>
      <c r="P617" t="s">
        <v>2366</v>
      </c>
      <c r="Q617" t="s">
        <v>2364</v>
      </c>
      <c r="R617" t="s">
        <v>2364</v>
      </c>
      <c r="S617" t="s">
        <v>553</v>
      </c>
      <c r="T617" t="s">
        <v>1811</v>
      </c>
      <c r="U617" t="s">
        <v>2365</v>
      </c>
      <c r="V617" t="s">
        <v>2365</v>
      </c>
      <c r="W617" t="s">
        <v>2365</v>
      </c>
      <c r="X617" t="s">
        <v>2365</v>
      </c>
      <c r="Y617" t="s">
        <v>2365</v>
      </c>
      <c r="Z617" t="s">
        <v>2365</v>
      </c>
      <c r="AA617" t="s">
        <v>2365</v>
      </c>
      <c r="AB617" t="s">
        <v>2365</v>
      </c>
      <c r="AC617" s="813" t="s">
        <v>2365</v>
      </c>
      <c r="AD617" s="813" t="s">
        <v>2365</v>
      </c>
      <c r="AE617" s="813" t="s">
        <v>2365</v>
      </c>
      <c r="AF617" t="s">
        <v>2365</v>
      </c>
      <c r="AG617" t="s">
        <v>2365</v>
      </c>
      <c r="AH617" t="s">
        <v>2365</v>
      </c>
      <c r="AI617" t="s">
        <v>2365</v>
      </c>
      <c r="AJ617" t="s">
        <v>2365</v>
      </c>
      <c r="AK617" t="s">
        <v>2365</v>
      </c>
      <c r="AL617" t="s">
        <v>2365</v>
      </c>
      <c r="AM617" t="s">
        <v>2365</v>
      </c>
      <c r="AN617" t="s">
        <v>2365</v>
      </c>
      <c r="AR617" t="s">
        <v>2365</v>
      </c>
      <c r="AS617" t="s">
        <v>2365</v>
      </c>
      <c r="AT617" t="s">
        <v>2365</v>
      </c>
      <c r="AU617" t="s">
        <v>2365</v>
      </c>
      <c r="AV617" t="s">
        <v>2365</v>
      </c>
      <c r="AW617" t="s">
        <v>2365</v>
      </c>
      <c r="AX617" t="s">
        <v>2365</v>
      </c>
      <c r="AY617" t="s">
        <v>2365</v>
      </c>
      <c r="AZ617" t="s">
        <v>2365</v>
      </c>
      <c r="BA617" t="s">
        <v>2365</v>
      </c>
      <c r="BB617" t="s">
        <v>2365</v>
      </c>
      <c r="BC617" t="s">
        <v>2365</v>
      </c>
      <c r="BD617" t="s">
        <v>2366</v>
      </c>
      <c r="BE617" t="s">
        <v>2365</v>
      </c>
      <c r="BF617" t="s">
        <v>2365</v>
      </c>
      <c r="BG617" t="s">
        <v>2365</v>
      </c>
      <c r="BH617" t="s">
        <v>2365</v>
      </c>
      <c r="BI617" t="s">
        <v>2366</v>
      </c>
      <c r="BJ617" t="s">
        <v>2365</v>
      </c>
      <c r="BK617" t="s">
        <v>2365</v>
      </c>
      <c r="BL617" t="s">
        <v>2365</v>
      </c>
      <c r="BM617" t="s">
        <v>2365</v>
      </c>
      <c r="BO617">
        <v>11</v>
      </c>
      <c r="BP617">
        <v>111</v>
      </c>
      <c r="BQ617" t="s">
        <v>632</v>
      </c>
      <c r="BR617" t="s">
        <v>1560</v>
      </c>
      <c r="BU617">
        <v>-2239499</v>
      </c>
      <c r="BV617">
        <v>0</v>
      </c>
      <c r="BW617">
        <v>-2239499</v>
      </c>
      <c r="BX617">
        <v>0</v>
      </c>
      <c r="BY617">
        <v>-2239499</v>
      </c>
      <c r="BZ617">
        <v>-2373869</v>
      </c>
      <c r="CA617">
        <v>-2516301</v>
      </c>
      <c r="CB617">
        <v>-150639.99000000002</v>
      </c>
      <c r="CC617">
        <v>-34543.75</v>
      </c>
      <c r="CD617">
        <v>0</v>
      </c>
      <c r="CE617">
        <v>-477467.36</v>
      </c>
      <c r="CF617">
        <v>-249622.01</v>
      </c>
      <c r="CG617">
        <v>-178943.57</v>
      </c>
      <c r="CH617">
        <v>-141284.47999999998</v>
      </c>
      <c r="CI617">
        <v>-118365.51</v>
      </c>
      <c r="CJ617">
        <v>0</v>
      </c>
      <c r="CK617">
        <v>0</v>
      </c>
      <c r="CL617">
        <v>0</v>
      </c>
      <c r="CM617">
        <v>0</v>
      </c>
      <c r="CR617" t="s">
        <v>2325</v>
      </c>
      <c r="CS617" s="1369" t="str">
        <f>INDEX([8]Sheet1!$H:$H,MATCH(CR:CR,[8]Sheet1!$AU:$AU,0))</f>
        <v>Asset Management</v>
      </c>
    </row>
    <row r="618" spans="1:97" x14ac:dyDescent="0.2">
      <c r="A618" t="s">
        <v>3183</v>
      </c>
      <c r="B618">
        <v>671</v>
      </c>
      <c r="C618" t="s">
        <v>3183</v>
      </c>
      <c r="D618">
        <v>41261</v>
      </c>
      <c r="E618" t="s">
        <v>3184</v>
      </c>
      <c r="F618">
        <v>2900</v>
      </c>
      <c r="G618" t="s">
        <v>569</v>
      </c>
      <c r="H618" s="1373" t="s">
        <v>2366</v>
      </c>
      <c r="I618" t="s">
        <v>2366</v>
      </c>
      <c r="J618">
        <v>2904</v>
      </c>
      <c r="K618" t="s">
        <v>1432</v>
      </c>
      <c r="L618" s="1373">
        <v>1200</v>
      </c>
      <c r="M618" t="s">
        <v>1480</v>
      </c>
      <c r="N618">
        <v>1201</v>
      </c>
      <c r="O618" t="s">
        <v>1486</v>
      </c>
      <c r="P618" t="s">
        <v>2366</v>
      </c>
      <c r="Q618" t="s">
        <v>2364</v>
      </c>
      <c r="R618" t="s">
        <v>2364</v>
      </c>
      <c r="S618" t="s">
        <v>1881</v>
      </c>
      <c r="T618" t="s">
        <v>1812</v>
      </c>
      <c r="U618" t="s">
        <v>2365</v>
      </c>
      <c r="V618" t="s">
        <v>2365</v>
      </c>
      <c r="W618" t="s">
        <v>2365</v>
      </c>
      <c r="X618" t="s">
        <v>2365</v>
      </c>
      <c r="Y618" t="s">
        <v>2365</v>
      </c>
      <c r="Z618" t="s">
        <v>2365</v>
      </c>
      <c r="AA618" t="s">
        <v>2365</v>
      </c>
      <c r="AB618" t="s">
        <v>2365</v>
      </c>
      <c r="AC618" s="813" t="s">
        <v>2365</v>
      </c>
      <c r="AD618" s="813" t="s">
        <v>2365</v>
      </c>
      <c r="AE618" s="813" t="s">
        <v>2365</v>
      </c>
      <c r="AF618" t="s">
        <v>2365</v>
      </c>
      <c r="AG618" t="s">
        <v>2365</v>
      </c>
      <c r="AH618" t="s">
        <v>2365</v>
      </c>
      <c r="AI618" t="s">
        <v>2365</v>
      </c>
      <c r="AJ618" t="s">
        <v>2365</v>
      </c>
      <c r="AK618" t="s">
        <v>2365</v>
      </c>
      <c r="AL618" t="s">
        <v>2365</v>
      </c>
      <c r="AM618" t="s">
        <v>2365</v>
      </c>
      <c r="AN618" t="s">
        <v>2365</v>
      </c>
      <c r="AR618" t="s">
        <v>2365</v>
      </c>
      <c r="AS618" t="s">
        <v>2365</v>
      </c>
      <c r="AT618" t="s">
        <v>2365</v>
      </c>
      <c r="AU618" t="s">
        <v>2365</v>
      </c>
      <c r="AV618" t="s">
        <v>2365</v>
      </c>
      <c r="AW618" t="s">
        <v>2365</v>
      </c>
      <c r="AX618" t="s">
        <v>2365</v>
      </c>
      <c r="AY618" t="s">
        <v>2365</v>
      </c>
      <c r="AZ618" t="s">
        <v>2365</v>
      </c>
      <c r="BA618" t="s">
        <v>2365</v>
      </c>
      <c r="BB618" t="s">
        <v>2365</v>
      </c>
      <c r="BC618" t="s">
        <v>2365</v>
      </c>
      <c r="BD618" t="s">
        <v>2366</v>
      </c>
      <c r="BE618" t="s">
        <v>2365</v>
      </c>
      <c r="BF618" t="s">
        <v>2365</v>
      </c>
      <c r="BG618" t="s">
        <v>2365</v>
      </c>
      <c r="BH618" t="s">
        <v>2365</v>
      </c>
      <c r="BI618" t="s">
        <v>2366</v>
      </c>
      <c r="BJ618" t="s">
        <v>2365</v>
      </c>
      <c r="BK618" t="s">
        <v>2365</v>
      </c>
      <c r="BL618" t="s">
        <v>2365</v>
      </c>
      <c r="BM618" t="s">
        <v>2365</v>
      </c>
      <c r="BO618">
        <v>1</v>
      </c>
      <c r="BP618">
        <v>14</v>
      </c>
      <c r="BQ618" t="s">
        <v>2369</v>
      </c>
      <c r="BR618" t="s">
        <v>1486</v>
      </c>
      <c r="BU618" s="1371">
        <v>24000</v>
      </c>
      <c r="BV618" s="1371">
        <v>0</v>
      </c>
      <c r="BW618" s="1371">
        <v>24000</v>
      </c>
      <c r="BX618" s="1371">
        <v>-10000</v>
      </c>
      <c r="BY618" s="1371">
        <v>14000</v>
      </c>
      <c r="BZ618">
        <v>25440</v>
      </c>
      <c r="CA618">
        <v>26966</v>
      </c>
      <c r="CB618">
        <v>0</v>
      </c>
      <c r="CC618">
        <v>0</v>
      </c>
      <c r="CD618">
        <v>0</v>
      </c>
      <c r="CE618">
        <v>0</v>
      </c>
      <c r="CF618">
        <v>0</v>
      </c>
      <c r="CG618">
        <v>0</v>
      </c>
      <c r="CH618">
        <v>0</v>
      </c>
      <c r="CI618">
        <v>0</v>
      </c>
      <c r="CJ618">
        <v>0</v>
      </c>
      <c r="CK618">
        <v>0</v>
      </c>
      <c r="CL618">
        <v>0</v>
      </c>
      <c r="CM618">
        <v>0</v>
      </c>
      <c r="CR618" t="s">
        <v>2325</v>
      </c>
      <c r="CS618" s="1369" t="str">
        <f>INDEX([8]Sheet1!$H:$H,MATCH(CR:CR,[8]Sheet1!$AU:$AU,0))</f>
        <v>Asset Management</v>
      </c>
    </row>
    <row r="619" spans="1:97" x14ac:dyDescent="0.2">
      <c r="A619" t="s">
        <v>3185</v>
      </c>
      <c r="B619">
        <v>672</v>
      </c>
      <c r="C619" t="s">
        <v>3185</v>
      </c>
      <c r="D619">
        <v>41263</v>
      </c>
      <c r="E619" t="s">
        <v>3186</v>
      </c>
      <c r="F619">
        <v>2900</v>
      </c>
      <c r="G619" t="s">
        <v>569</v>
      </c>
      <c r="H619" t="s">
        <v>2366</v>
      </c>
      <c r="I619" t="s">
        <v>2366</v>
      </c>
      <c r="J619">
        <v>2904</v>
      </c>
      <c r="K619" t="s">
        <v>1432</v>
      </c>
      <c r="L619">
        <v>5000</v>
      </c>
      <c r="M619" t="s">
        <v>632</v>
      </c>
      <c r="N619">
        <v>5004</v>
      </c>
      <c r="O619" t="s">
        <v>1560</v>
      </c>
      <c r="P619" t="s">
        <v>2366</v>
      </c>
      <c r="Q619" t="s">
        <v>2364</v>
      </c>
      <c r="R619" t="s">
        <v>2364</v>
      </c>
      <c r="S619" t="s">
        <v>1881</v>
      </c>
      <c r="T619" t="s">
        <v>1812</v>
      </c>
      <c r="U619" t="s">
        <v>2365</v>
      </c>
      <c r="V619" t="s">
        <v>2365</v>
      </c>
      <c r="W619" t="s">
        <v>2365</v>
      </c>
      <c r="X619" t="s">
        <v>2365</v>
      </c>
      <c r="Y619" t="s">
        <v>2365</v>
      </c>
      <c r="Z619" t="s">
        <v>2365</v>
      </c>
      <c r="AA619" t="s">
        <v>2365</v>
      </c>
      <c r="AB619" t="s">
        <v>2365</v>
      </c>
      <c r="AC619" s="813" t="s">
        <v>2365</v>
      </c>
      <c r="AD619" s="813" t="s">
        <v>2365</v>
      </c>
      <c r="AE619" s="813" t="s">
        <v>2365</v>
      </c>
      <c r="AF619" t="s">
        <v>2365</v>
      </c>
      <c r="AG619" t="s">
        <v>2365</v>
      </c>
      <c r="AH619" t="s">
        <v>2365</v>
      </c>
      <c r="AI619" t="s">
        <v>2365</v>
      </c>
      <c r="AJ619" t="s">
        <v>2365</v>
      </c>
      <c r="AK619" t="s">
        <v>2365</v>
      </c>
      <c r="AL619" t="s">
        <v>2365</v>
      </c>
      <c r="AM619" t="s">
        <v>2365</v>
      </c>
      <c r="AN619" t="s">
        <v>2365</v>
      </c>
      <c r="AR619" t="s">
        <v>2365</v>
      </c>
      <c r="AS619" t="s">
        <v>2365</v>
      </c>
      <c r="AT619" t="s">
        <v>2365</v>
      </c>
      <c r="AU619" t="s">
        <v>2365</v>
      </c>
      <c r="AV619" t="s">
        <v>2365</v>
      </c>
      <c r="AW619" t="s">
        <v>2365</v>
      </c>
      <c r="AX619" t="s">
        <v>2365</v>
      </c>
      <c r="AY619" t="s">
        <v>2365</v>
      </c>
      <c r="AZ619" t="s">
        <v>2365</v>
      </c>
      <c r="BA619" t="s">
        <v>2365</v>
      </c>
      <c r="BB619" t="s">
        <v>2365</v>
      </c>
      <c r="BC619" t="s">
        <v>2365</v>
      </c>
      <c r="BD619" t="s">
        <v>2366</v>
      </c>
      <c r="BE619" t="s">
        <v>2365</v>
      </c>
      <c r="BF619" t="s">
        <v>2365</v>
      </c>
      <c r="BG619" t="s">
        <v>2365</v>
      </c>
      <c r="BH619" t="s">
        <v>2365</v>
      </c>
      <c r="BI619" t="s">
        <v>2366</v>
      </c>
      <c r="BJ619" t="s">
        <v>2365</v>
      </c>
      <c r="BK619" t="s">
        <v>2365</v>
      </c>
      <c r="BL619" t="s">
        <v>2365</v>
      </c>
      <c r="BM619" t="s">
        <v>2365</v>
      </c>
      <c r="BO619">
        <v>11</v>
      </c>
      <c r="BP619">
        <v>111</v>
      </c>
      <c r="BQ619" t="s">
        <v>632</v>
      </c>
      <c r="BR619" t="s">
        <v>1560</v>
      </c>
      <c r="BU619">
        <v>900000</v>
      </c>
      <c r="BV619">
        <v>0</v>
      </c>
      <c r="BW619">
        <v>900000</v>
      </c>
      <c r="BX619">
        <v>0</v>
      </c>
      <c r="BY619">
        <v>900000</v>
      </c>
      <c r="BZ619">
        <v>936000</v>
      </c>
      <c r="CA619">
        <v>973440</v>
      </c>
      <c r="CB619">
        <v>20443.88</v>
      </c>
      <c r="CC619">
        <v>0</v>
      </c>
      <c r="CD619">
        <v>94642</v>
      </c>
      <c r="CE619">
        <v>60905.02</v>
      </c>
      <c r="CF619">
        <v>511.51</v>
      </c>
      <c r="CG619">
        <v>156420</v>
      </c>
      <c r="CH619">
        <v>0</v>
      </c>
      <c r="CI619">
        <v>17064</v>
      </c>
      <c r="CJ619">
        <v>35550</v>
      </c>
      <c r="CK619">
        <v>0</v>
      </c>
      <c r="CL619">
        <v>0</v>
      </c>
      <c r="CM619">
        <v>0</v>
      </c>
      <c r="CR619" t="s">
        <v>2325</v>
      </c>
      <c r="CS619" s="1369" t="str">
        <f>INDEX([8]Sheet1!$H:$H,MATCH(CR:CR,[8]Sheet1!$AU:$AU,0))</f>
        <v>Asset Management</v>
      </c>
    </row>
    <row r="620" spans="1:97" x14ac:dyDescent="0.2">
      <c r="A620" t="s">
        <v>3187</v>
      </c>
      <c r="B620">
        <v>673</v>
      </c>
      <c r="C620" t="s">
        <v>3187</v>
      </c>
      <c r="D620">
        <v>41264</v>
      </c>
      <c r="E620" t="s">
        <v>2516</v>
      </c>
      <c r="F620">
        <v>2900</v>
      </c>
      <c r="G620" t="s">
        <v>569</v>
      </c>
      <c r="H620" t="s">
        <v>2366</v>
      </c>
      <c r="I620" t="s">
        <v>2366</v>
      </c>
      <c r="J620">
        <v>2904</v>
      </c>
      <c r="K620" t="s">
        <v>1432</v>
      </c>
      <c r="L620">
        <v>1200</v>
      </c>
      <c r="M620" t="s">
        <v>1480</v>
      </c>
      <c r="N620">
        <v>1201</v>
      </c>
      <c r="O620" t="s">
        <v>1486</v>
      </c>
      <c r="P620" t="s">
        <v>2366</v>
      </c>
      <c r="Q620" t="s">
        <v>2364</v>
      </c>
      <c r="R620" t="s">
        <v>2364</v>
      </c>
      <c r="S620" t="s">
        <v>1881</v>
      </c>
      <c r="T620" t="s">
        <v>1812</v>
      </c>
      <c r="U620" t="s">
        <v>2365</v>
      </c>
      <c r="V620" t="s">
        <v>2365</v>
      </c>
      <c r="W620" t="s">
        <v>2365</v>
      </c>
      <c r="X620" t="s">
        <v>2365</v>
      </c>
      <c r="Y620" t="s">
        <v>2365</v>
      </c>
      <c r="Z620" t="s">
        <v>2365</v>
      </c>
      <c r="AA620" t="s">
        <v>2365</v>
      </c>
      <c r="AB620" t="s">
        <v>2365</v>
      </c>
      <c r="AC620" s="813" t="s">
        <v>2365</v>
      </c>
      <c r="AD620" s="813" t="s">
        <v>2365</v>
      </c>
      <c r="AE620" s="813" t="s">
        <v>2365</v>
      </c>
      <c r="AF620" t="s">
        <v>2365</v>
      </c>
      <c r="AG620" t="s">
        <v>2365</v>
      </c>
      <c r="AH620" t="s">
        <v>2365</v>
      </c>
      <c r="AI620" t="s">
        <v>2365</v>
      </c>
      <c r="AJ620" t="s">
        <v>2365</v>
      </c>
      <c r="AK620" t="s">
        <v>2365</v>
      </c>
      <c r="AL620" t="s">
        <v>2365</v>
      </c>
      <c r="AM620" t="s">
        <v>2365</v>
      </c>
      <c r="AN620" t="s">
        <v>2365</v>
      </c>
      <c r="AR620" t="s">
        <v>2365</v>
      </c>
      <c r="AS620" t="s">
        <v>2365</v>
      </c>
      <c r="AT620" t="s">
        <v>2365</v>
      </c>
      <c r="AU620" t="s">
        <v>2365</v>
      </c>
      <c r="AV620" t="s">
        <v>2365</v>
      </c>
      <c r="AW620" t="s">
        <v>2365</v>
      </c>
      <c r="AX620" t="s">
        <v>2365</v>
      </c>
      <c r="AY620" t="s">
        <v>2365</v>
      </c>
      <c r="AZ620" t="s">
        <v>2365</v>
      </c>
      <c r="BA620" t="s">
        <v>2365</v>
      </c>
      <c r="BB620" t="s">
        <v>2365</v>
      </c>
      <c r="BC620" t="s">
        <v>2365</v>
      </c>
      <c r="BD620" t="s">
        <v>2366</v>
      </c>
      <c r="BE620" t="s">
        <v>2365</v>
      </c>
      <c r="BF620" t="s">
        <v>2365</v>
      </c>
      <c r="BG620" t="s">
        <v>2365</v>
      </c>
      <c r="BH620" t="s">
        <v>2365</v>
      </c>
      <c r="BI620" t="s">
        <v>2366</v>
      </c>
      <c r="BJ620" t="s">
        <v>2365</v>
      </c>
      <c r="BK620" t="s">
        <v>2365</v>
      </c>
      <c r="BL620" t="s">
        <v>2365</v>
      </c>
      <c r="BM620" t="s">
        <v>2365</v>
      </c>
      <c r="BO620">
        <v>1</v>
      </c>
      <c r="BP620">
        <v>14</v>
      </c>
      <c r="BQ620" t="s">
        <v>2369</v>
      </c>
      <c r="BR620" t="s">
        <v>1486</v>
      </c>
      <c r="BU620">
        <v>100000</v>
      </c>
      <c r="BV620">
        <v>0</v>
      </c>
      <c r="BW620">
        <v>100000</v>
      </c>
      <c r="BX620">
        <v>0</v>
      </c>
      <c r="BY620">
        <v>100000</v>
      </c>
      <c r="BZ620">
        <v>106000</v>
      </c>
      <c r="CA620">
        <v>112360</v>
      </c>
      <c r="CB620">
        <v>0</v>
      </c>
      <c r="CC620">
        <v>38443.659999999996</v>
      </c>
      <c r="CD620">
        <v>0</v>
      </c>
      <c r="CE620">
        <v>0</v>
      </c>
      <c r="CF620">
        <v>4453.55</v>
      </c>
      <c r="CG620">
        <v>23034.880000000001</v>
      </c>
      <c r="CH620">
        <v>24547.64</v>
      </c>
      <c r="CI620">
        <v>25306.85</v>
      </c>
      <c r="CJ620">
        <v>0</v>
      </c>
      <c r="CK620">
        <v>0</v>
      </c>
      <c r="CL620">
        <v>0</v>
      </c>
      <c r="CM620">
        <v>0</v>
      </c>
      <c r="CR620" t="s">
        <v>2325</v>
      </c>
      <c r="CS620" s="1369" t="str">
        <f>INDEX([8]Sheet1!$H:$H,MATCH(CR:CR,[8]Sheet1!$AU:$AU,0))</f>
        <v>Asset Management</v>
      </c>
    </row>
    <row r="621" spans="1:97" x14ac:dyDescent="0.2">
      <c r="A621" t="s">
        <v>3188</v>
      </c>
      <c r="B621">
        <v>674</v>
      </c>
      <c r="C621" t="s">
        <v>3188</v>
      </c>
      <c r="D621">
        <v>41265</v>
      </c>
      <c r="E621" t="s">
        <v>2468</v>
      </c>
      <c r="F621">
        <v>2600</v>
      </c>
      <c r="G621" t="s">
        <v>655</v>
      </c>
      <c r="H621">
        <v>2600</v>
      </c>
      <c r="I621" t="s">
        <v>655</v>
      </c>
      <c r="J621" t="s">
        <v>2365</v>
      </c>
      <c r="K621" t="s">
        <v>2365</v>
      </c>
      <c r="L621">
        <v>1200</v>
      </c>
      <c r="M621" t="s">
        <v>1480</v>
      </c>
      <c r="N621">
        <v>1201</v>
      </c>
      <c r="O621" t="s">
        <v>1486</v>
      </c>
      <c r="P621" t="s">
        <v>2366</v>
      </c>
      <c r="Q621" t="s">
        <v>2364</v>
      </c>
      <c r="R621" t="s">
        <v>2364</v>
      </c>
      <c r="S621" t="s">
        <v>1881</v>
      </c>
      <c r="T621" t="s">
        <v>1812</v>
      </c>
      <c r="U621" t="s">
        <v>2365</v>
      </c>
      <c r="V621" t="s">
        <v>2365</v>
      </c>
      <c r="W621" t="s">
        <v>2365</v>
      </c>
      <c r="X621" t="s">
        <v>2365</v>
      </c>
      <c r="Y621" t="s">
        <v>2365</v>
      </c>
      <c r="Z621" t="s">
        <v>2365</v>
      </c>
      <c r="AA621" t="s">
        <v>2365</v>
      </c>
      <c r="AB621" t="s">
        <v>2365</v>
      </c>
      <c r="AC621" s="813" t="s">
        <v>2365</v>
      </c>
      <c r="AD621" s="813" t="s">
        <v>2365</v>
      </c>
      <c r="AE621" s="813" t="s">
        <v>2365</v>
      </c>
      <c r="AF621" t="s">
        <v>2365</v>
      </c>
      <c r="AG621" t="s">
        <v>2365</v>
      </c>
      <c r="AH621" t="s">
        <v>2365</v>
      </c>
      <c r="AI621" t="s">
        <v>2365</v>
      </c>
      <c r="AJ621" t="s">
        <v>2365</v>
      </c>
      <c r="AK621" t="s">
        <v>2365</v>
      </c>
      <c r="AL621" t="s">
        <v>2365</v>
      </c>
      <c r="AM621" t="s">
        <v>2365</v>
      </c>
      <c r="AN621" t="s">
        <v>2365</v>
      </c>
      <c r="AR621" t="s">
        <v>2365</v>
      </c>
      <c r="AS621" t="s">
        <v>2365</v>
      </c>
      <c r="AT621" t="s">
        <v>2365</v>
      </c>
      <c r="AU621" t="s">
        <v>2365</v>
      </c>
      <c r="AV621" t="s">
        <v>2365</v>
      </c>
      <c r="AW621" t="s">
        <v>2365</v>
      </c>
      <c r="AX621" t="s">
        <v>2365</v>
      </c>
      <c r="AY621" t="s">
        <v>2365</v>
      </c>
      <c r="AZ621" t="s">
        <v>2365</v>
      </c>
      <c r="BA621" t="s">
        <v>2365</v>
      </c>
      <c r="BB621" t="s">
        <v>2365</v>
      </c>
      <c r="BC621" t="s">
        <v>2365</v>
      </c>
      <c r="BD621" t="s">
        <v>2366</v>
      </c>
      <c r="BE621" t="s">
        <v>2365</v>
      </c>
      <c r="BF621" t="s">
        <v>2365</v>
      </c>
      <c r="BG621" t="s">
        <v>2365</v>
      </c>
      <c r="BH621" t="s">
        <v>2365</v>
      </c>
      <c r="BI621" t="s">
        <v>2366</v>
      </c>
      <c r="BJ621" t="s">
        <v>2365</v>
      </c>
      <c r="BK621" t="s">
        <v>2365</v>
      </c>
      <c r="BL621" t="s">
        <v>2365</v>
      </c>
      <c r="BM621" t="s">
        <v>2365</v>
      </c>
      <c r="BO621">
        <v>1</v>
      </c>
      <c r="BP621">
        <v>14</v>
      </c>
      <c r="BQ621" t="s">
        <v>2369</v>
      </c>
      <c r="BR621" t="s">
        <v>1486</v>
      </c>
      <c r="BU621">
        <v>180000</v>
      </c>
      <c r="BV621">
        <v>0</v>
      </c>
      <c r="BW621">
        <v>180000</v>
      </c>
      <c r="BX621">
        <v>-180000</v>
      </c>
      <c r="BY621">
        <v>0</v>
      </c>
      <c r="BZ621">
        <v>190800</v>
      </c>
      <c r="CA621">
        <v>202248</v>
      </c>
      <c r="CB621">
        <v>0</v>
      </c>
      <c r="CC621">
        <v>0</v>
      </c>
      <c r="CD621">
        <v>0</v>
      </c>
      <c r="CE621">
        <v>0</v>
      </c>
      <c r="CF621">
        <v>0</v>
      </c>
      <c r="CG621">
        <v>0</v>
      </c>
      <c r="CH621">
        <v>0</v>
      </c>
      <c r="CI621">
        <v>0</v>
      </c>
      <c r="CJ621">
        <v>0</v>
      </c>
      <c r="CK621">
        <v>0</v>
      </c>
      <c r="CL621">
        <v>0</v>
      </c>
      <c r="CM621">
        <v>0</v>
      </c>
      <c r="CR621" t="s">
        <v>2325</v>
      </c>
      <c r="CS621" s="1369" t="str">
        <f>INDEX([8]Sheet1!$H:$H,MATCH(CR:CR,[8]Sheet1!$AU:$AU,0))</f>
        <v>Asset Management</v>
      </c>
    </row>
    <row r="622" spans="1:97" x14ac:dyDescent="0.2">
      <c r="A622" t="s">
        <v>3189</v>
      </c>
      <c r="B622">
        <v>675</v>
      </c>
      <c r="C622" t="s">
        <v>3189</v>
      </c>
      <c r="D622">
        <v>41266</v>
      </c>
      <c r="E622" t="s">
        <v>3190</v>
      </c>
      <c r="F622">
        <v>2600</v>
      </c>
      <c r="G622" t="s">
        <v>655</v>
      </c>
      <c r="H622">
        <v>2600</v>
      </c>
      <c r="I622" t="s">
        <v>655</v>
      </c>
      <c r="J622" t="s">
        <v>2365</v>
      </c>
      <c r="K622" t="s">
        <v>2365</v>
      </c>
      <c r="L622">
        <v>1200</v>
      </c>
      <c r="M622" t="s">
        <v>1480</v>
      </c>
      <c r="N622">
        <v>1201</v>
      </c>
      <c r="O622" t="s">
        <v>1486</v>
      </c>
      <c r="P622" t="s">
        <v>2366</v>
      </c>
      <c r="Q622" t="s">
        <v>2364</v>
      </c>
      <c r="R622" t="s">
        <v>2364</v>
      </c>
      <c r="S622" t="s">
        <v>1881</v>
      </c>
      <c r="T622" t="s">
        <v>1812</v>
      </c>
      <c r="U622" t="s">
        <v>2365</v>
      </c>
      <c r="V622" t="s">
        <v>2365</v>
      </c>
      <c r="W622" t="s">
        <v>2365</v>
      </c>
      <c r="X622" t="s">
        <v>2365</v>
      </c>
      <c r="Y622" t="s">
        <v>2365</v>
      </c>
      <c r="Z622" t="s">
        <v>2365</v>
      </c>
      <c r="AA622" t="s">
        <v>2365</v>
      </c>
      <c r="AB622" t="s">
        <v>2365</v>
      </c>
      <c r="AC622" s="813" t="s">
        <v>2365</v>
      </c>
      <c r="AD622" s="813" t="s">
        <v>2365</v>
      </c>
      <c r="AE622" s="813" t="s">
        <v>2365</v>
      </c>
      <c r="AF622" t="s">
        <v>2365</v>
      </c>
      <c r="AG622" t="s">
        <v>2365</v>
      </c>
      <c r="AH622" t="s">
        <v>2365</v>
      </c>
      <c r="AI622" t="s">
        <v>2365</v>
      </c>
      <c r="AJ622" t="s">
        <v>2365</v>
      </c>
      <c r="AK622" t="s">
        <v>2365</v>
      </c>
      <c r="AL622" t="s">
        <v>2365</v>
      </c>
      <c r="AM622" t="s">
        <v>2365</v>
      </c>
      <c r="AN622" t="s">
        <v>2365</v>
      </c>
      <c r="AR622" t="s">
        <v>2365</v>
      </c>
      <c r="AS622" t="s">
        <v>2365</v>
      </c>
      <c r="AT622" t="s">
        <v>2365</v>
      </c>
      <c r="AU622" t="s">
        <v>2365</v>
      </c>
      <c r="AV622" t="s">
        <v>2365</v>
      </c>
      <c r="AW622" t="s">
        <v>2365</v>
      </c>
      <c r="AX622" t="s">
        <v>2365</v>
      </c>
      <c r="AY622" t="s">
        <v>2365</v>
      </c>
      <c r="AZ622" t="s">
        <v>2365</v>
      </c>
      <c r="BA622" t="s">
        <v>2365</v>
      </c>
      <c r="BB622" t="s">
        <v>2365</v>
      </c>
      <c r="BC622" t="s">
        <v>2365</v>
      </c>
      <c r="BD622" t="s">
        <v>2366</v>
      </c>
      <c r="BE622" t="s">
        <v>2365</v>
      </c>
      <c r="BF622" t="s">
        <v>2365</v>
      </c>
      <c r="BG622" t="s">
        <v>2365</v>
      </c>
      <c r="BH622" t="s">
        <v>2365</v>
      </c>
      <c r="BI622" t="s">
        <v>2366</v>
      </c>
      <c r="BJ622" t="s">
        <v>2365</v>
      </c>
      <c r="BK622" t="s">
        <v>2365</v>
      </c>
      <c r="BL622" t="s">
        <v>2365</v>
      </c>
      <c r="BM622" t="s">
        <v>2365</v>
      </c>
      <c r="BO622">
        <v>1</v>
      </c>
      <c r="BP622">
        <v>14</v>
      </c>
      <c r="BQ622" t="s">
        <v>2369</v>
      </c>
      <c r="BR622" t="s">
        <v>1486</v>
      </c>
      <c r="BU622">
        <v>0</v>
      </c>
      <c r="BV622">
        <v>0</v>
      </c>
      <c r="BW622">
        <v>0</v>
      </c>
      <c r="BX622">
        <v>0</v>
      </c>
      <c r="BY622">
        <v>0</v>
      </c>
      <c r="BZ622">
        <v>0</v>
      </c>
      <c r="CA622">
        <v>0</v>
      </c>
      <c r="CB622">
        <v>0</v>
      </c>
      <c r="CC622">
        <v>0</v>
      </c>
      <c r="CD622">
        <v>0</v>
      </c>
      <c r="CE622">
        <v>0</v>
      </c>
      <c r="CF622">
        <v>0</v>
      </c>
      <c r="CG622">
        <v>0</v>
      </c>
      <c r="CH622">
        <v>0</v>
      </c>
      <c r="CI622">
        <v>0</v>
      </c>
      <c r="CJ622">
        <v>0</v>
      </c>
      <c r="CK622">
        <v>0</v>
      </c>
      <c r="CL622">
        <v>0</v>
      </c>
      <c r="CM622">
        <v>0</v>
      </c>
      <c r="CR622" t="s">
        <v>2325</v>
      </c>
      <c r="CS622" s="1369" t="str">
        <f>INDEX([8]Sheet1!$H:$H,MATCH(CR:CR,[8]Sheet1!$AU:$AU,0))</f>
        <v>Asset Management</v>
      </c>
    </row>
    <row r="623" spans="1:97" x14ac:dyDescent="0.2">
      <c r="A623" t="s">
        <v>3191</v>
      </c>
      <c r="B623">
        <v>676</v>
      </c>
      <c r="C623" t="s">
        <v>3191</v>
      </c>
      <c r="D623">
        <v>41267</v>
      </c>
      <c r="E623" t="s">
        <v>3192</v>
      </c>
      <c r="F623">
        <v>2700</v>
      </c>
      <c r="G623" t="s">
        <v>656</v>
      </c>
      <c r="H623" t="s">
        <v>2664</v>
      </c>
      <c r="I623" t="s">
        <v>1801</v>
      </c>
      <c r="J623">
        <v>2702</v>
      </c>
      <c r="K623" t="s">
        <v>1801</v>
      </c>
      <c r="L623">
        <v>3100</v>
      </c>
      <c r="M623" t="s">
        <v>624</v>
      </c>
      <c r="N623">
        <v>3102</v>
      </c>
      <c r="O623" t="s">
        <v>1531</v>
      </c>
      <c r="P623" t="s">
        <v>2366</v>
      </c>
      <c r="Q623" t="s">
        <v>2364</v>
      </c>
      <c r="R623" t="s">
        <v>2364</v>
      </c>
      <c r="S623" t="s">
        <v>1881</v>
      </c>
      <c r="T623" t="s">
        <v>1812</v>
      </c>
      <c r="U623" t="s">
        <v>2365</v>
      </c>
      <c r="V623" t="s">
        <v>2365</v>
      </c>
      <c r="W623" t="s">
        <v>2365</v>
      </c>
      <c r="X623" t="s">
        <v>2365</v>
      </c>
      <c r="Y623" t="s">
        <v>2365</v>
      </c>
      <c r="Z623" t="s">
        <v>2365</v>
      </c>
      <c r="AA623" t="s">
        <v>2365</v>
      </c>
      <c r="AB623" t="s">
        <v>2365</v>
      </c>
      <c r="AC623" s="813" t="s">
        <v>2365</v>
      </c>
      <c r="AD623" s="813" t="s">
        <v>2365</v>
      </c>
      <c r="AE623" s="813" t="s">
        <v>2365</v>
      </c>
      <c r="AF623" t="s">
        <v>2365</v>
      </c>
      <c r="AG623" t="s">
        <v>2365</v>
      </c>
      <c r="AH623" t="s">
        <v>2365</v>
      </c>
      <c r="AI623" t="s">
        <v>2365</v>
      </c>
      <c r="AJ623" t="s">
        <v>2365</v>
      </c>
      <c r="AK623" t="s">
        <v>2365</v>
      </c>
      <c r="AL623" t="s">
        <v>2365</v>
      </c>
      <c r="AM623" t="s">
        <v>2365</v>
      </c>
      <c r="AN623" t="s">
        <v>2365</v>
      </c>
      <c r="AR623" t="s">
        <v>2365</v>
      </c>
      <c r="AS623" t="s">
        <v>2365</v>
      </c>
      <c r="AT623" t="s">
        <v>2365</v>
      </c>
      <c r="AU623" t="s">
        <v>2365</v>
      </c>
      <c r="AV623" t="s">
        <v>2365</v>
      </c>
      <c r="AW623" t="s">
        <v>2365</v>
      </c>
      <c r="AX623" t="s">
        <v>2365</v>
      </c>
      <c r="AY623" t="s">
        <v>2365</v>
      </c>
      <c r="AZ623" t="s">
        <v>2365</v>
      </c>
      <c r="BA623" t="s">
        <v>2365</v>
      </c>
      <c r="BB623" t="s">
        <v>2365</v>
      </c>
      <c r="BC623" t="s">
        <v>2365</v>
      </c>
      <c r="BD623" t="s">
        <v>2366</v>
      </c>
      <c r="BE623" t="s">
        <v>2365</v>
      </c>
      <c r="BF623" t="s">
        <v>2365</v>
      </c>
      <c r="BG623" t="s">
        <v>2365</v>
      </c>
      <c r="BH623" t="s">
        <v>2365</v>
      </c>
      <c r="BI623" t="s">
        <v>2366</v>
      </c>
      <c r="BJ623" t="s">
        <v>2365</v>
      </c>
      <c r="BK623" t="s">
        <v>2365</v>
      </c>
      <c r="BL623" t="s">
        <v>2365</v>
      </c>
      <c r="BM623" t="s">
        <v>2365</v>
      </c>
      <c r="BO623">
        <v>8</v>
      </c>
      <c r="BP623">
        <v>85</v>
      </c>
      <c r="BQ623" t="s">
        <v>2442</v>
      </c>
      <c r="BR623" t="s">
        <v>1531</v>
      </c>
      <c r="BU623">
        <v>0</v>
      </c>
      <c r="BV623">
        <v>0</v>
      </c>
      <c r="BW623">
        <v>0</v>
      </c>
      <c r="BX623">
        <v>0</v>
      </c>
      <c r="BY623">
        <v>0</v>
      </c>
      <c r="BZ623">
        <v>0</v>
      </c>
      <c r="CA623">
        <v>0</v>
      </c>
      <c r="CB623">
        <v>0</v>
      </c>
      <c r="CC623">
        <v>0</v>
      </c>
      <c r="CD623">
        <v>0</v>
      </c>
      <c r="CE623">
        <v>0</v>
      </c>
      <c r="CF623">
        <v>0</v>
      </c>
      <c r="CG623">
        <v>0</v>
      </c>
      <c r="CH623">
        <v>0</v>
      </c>
      <c r="CI623">
        <v>0</v>
      </c>
      <c r="CJ623">
        <v>0</v>
      </c>
      <c r="CK623">
        <v>0</v>
      </c>
      <c r="CL623">
        <v>0</v>
      </c>
      <c r="CM623">
        <v>0</v>
      </c>
      <c r="CR623" t="s">
        <v>2325</v>
      </c>
      <c r="CS623" s="1369" t="str">
        <f>INDEX([8]Sheet1!$H:$H,MATCH(CR:CR,[8]Sheet1!$AU:$AU,0))</f>
        <v>Asset Management</v>
      </c>
    </row>
    <row r="624" spans="1:97" x14ac:dyDescent="0.2">
      <c r="A624" t="s">
        <v>3193</v>
      </c>
      <c r="B624">
        <v>677</v>
      </c>
      <c r="C624" t="s">
        <v>3193</v>
      </c>
      <c r="D624">
        <v>41268</v>
      </c>
      <c r="E624" t="s">
        <v>3194</v>
      </c>
      <c r="F624">
        <v>2700</v>
      </c>
      <c r="G624" t="s">
        <v>656</v>
      </c>
      <c r="H624" t="s">
        <v>2664</v>
      </c>
      <c r="I624" t="s">
        <v>1801</v>
      </c>
      <c r="J624">
        <v>2702</v>
      </c>
      <c r="K624" t="s">
        <v>1801</v>
      </c>
      <c r="L624">
        <v>1200</v>
      </c>
      <c r="M624" t="s">
        <v>1480</v>
      </c>
      <c r="N624">
        <v>1208</v>
      </c>
      <c r="O624" t="s">
        <v>1489</v>
      </c>
      <c r="P624" t="s">
        <v>2366</v>
      </c>
      <c r="Q624" t="s">
        <v>2364</v>
      </c>
      <c r="R624" t="s">
        <v>2364</v>
      </c>
      <c r="S624" t="s">
        <v>1881</v>
      </c>
      <c r="T624" t="s">
        <v>1812</v>
      </c>
      <c r="U624" t="s">
        <v>2365</v>
      </c>
      <c r="V624" t="s">
        <v>2365</v>
      </c>
      <c r="W624" t="s">
        <v>2365</v>
      </c>
      <c r="X624" t="s">
        <v>2365</v>
      </c>
      <c r="Y624" t="s">
        <v>2365</v>
      </c>
      <c r="Z624" t="s">
        <v>2365</v>
      </c>
      <c r="AA624" t="s">
        <v>2365</v>
      </c>
      <c r="AB624" t="s">
        <v>2365</v>
      </c>
      <c r="AC624" s="813" t="s">
        <v>2365</v>
      </c>
      <c r="AD624" s="813" t="s">
        <v>2365</v>
      </c>
      <c r="AE624" s="813" t="s">
        <v>2365</v>
      </c>
      <c r="AF624" t="s">
        <v>2365</v>
      </c>
      <c r="AG624" t="s">
        <v>2365</v>
      </c>
      <c r="AH624" t="s">
        <v>2365</v>
      </c>
      <c r="AI624" t="s">
        <v>2365</v>
      </c>
      <c r="AJ624" t="s">
        <v>2365</v>
      </c>
      <c r="AK624" t="s">
        <v>2365</v>
      </c>
      <c r="AL624" t="s">
        <v>2365</v>
      </c>
      <c r="AM624" t="s">
        <v>2365</v>
      </c>
      <c r="AN624" t="s">
        <v>2365</v>
      </c>
      <c r="AR624" t="s">
        <v>2365</v>
      </c>
      <c r="AS624" t="s">
        <v>2365</v>
      </c>
      <c r="AT624" t="s">
        <v>2365</v>
      </c>
      <c r="AU624" t="s">
        <v>2365</v>
      </c>
      <c r="AV624" t="s">
        <v>2365</v>
      </c>
      <c r="AW624" t="s">
        <v>2365</v>
      </c>
      <c r="AX624" t="s">
        <v>2365</v>
      </c>
      <c r="AY624" t="s">
        <v>2365</v>
      </c>
      <c r="AZ624" t="s">
        <v>2365</v>
      </c>
      <c r="BA624" t="s">
        <v>2365</v>
      </c>
      <c r="BB624" t="s">
        <v>2365</v>
      </c>
      <c r="BC624" t="s">
        <v>2365</v>
      </c>
      <c r="BD624" t="s">
        <v>2366</v>
      </c>
      <c r="BE624" t="s">
        <v>2365</v>
      </c>
      <c r="BF624" t="s">
        <v>2365</v>
      </c>
      <c r="BG624" t="s">
        <v>2365</v>
      </c>
      <c r="BH624" t="s">
        <v>2365</v>
      </c>
      <c r="BI624" t="s">
        <v>2366</v>
      </c>
      <c r="BJ624" t="s">
        <v>2365</v>
      </c>
      <c r="BK624" t="s">
        <v>2365</v>
      </c>
      <c r="BL624" t="s">
        <v>2365</v>
      </c>
      <c r="BM624" t="s">
        <v>2365</v>
      </c>
      <c r="BO624">
        <v>1</v>
      </c>
      <c r="BP624">
        <v>17</v>
      </c>
      <c r="BQ624" t="s">
        <v>2369</v>
      </c>
      <c r="BR624" t="s">
        <v>1489</v>
      </c>
      <c r="BU624">
        <v>0</v>
      </c>
      <c r="BV624">
        <v>0</v>
      </c>
      <c r="BW624">
        <v>0</v>
      </c>
      <c r="BX624">
        <v>0</v>
      </c>
      <c r="BY624">
        <v>0</v>
      </c>
      <c r="BZ624">
        <v>0</v>
      </c>
      <c r="CA624">
        <v>0</v>
      </c>
      <c r="CB624">
        <v>0</v>
      </c>
      <c r="CC624">
        <v>0</v>
      </c>
      <c r="CD624">
        <v>0</v>
      </c>
      <c r="CE624">
        <v>0</v>
      </c>
      <c r="CF624">
        <v>0</v>
      </c>
      <c r="CG624">
        <v>0</v>
      </c>
      <c r="CH624">
        <v>0</v>
      </c>
      <c r="CI624">
        <v>0</v>
      </c>
      <c r="CJ624">
        <v>0</v>
      </c>
      <c r="CK624">
        <v>0</v>
      </c>
      <c r="CL624">
        <v>0</v>
      </c>
      <c r="CM624">
        <v>0</v>
      </c>
      <c r="CR624" t="s">
        <v>2325</v>
      </c>
      <c r="CS624" s="1369" t="str">
        <f>INDEX([8]Sheet1!$H:$H,MATCH(CR:CR,[8]Sheet1!$AU:$AU,0))</f>
        <v>Asset Management</v>
      </c>
    </row>
    <row r="625" spans="1:97" x14ac:dyDescent="0.2">
      <c r="A625" t="s">
        <v>3195</v>
      </c>
      <c r="B625">
        <v>678</v>
      </c>
      <c r="C625" t="s">
        <v>3195</v>
      </c>
      <c r="D625">
        <v>41269</v>
      </c>
      <c r="E625" t="s">
        <v>3196</v>
      </c>
      <c r="F625">
        <v>2700</v>
      </c>
      <c r="G625" t="s">
        <v>656</v>
      </c>
      <c r="H625" t="s">
        <v>2664</v>
      </c>
      <c r="I625" t="s">
        <v>1801</v>
      </c>
      <c r="J625">
        <v>2702</v>
      </c>
      <c r="K625" t="s">
        <v>1801</v>
      </c>
      <c r="L625">
        <v>1200</v>
      </c>
      <c r="M625" t="s">
        <v>1480</v>
      </c>
      <c r="N625">
        <v>1208</v>
      </c>
      <c r="O625" t="s">
        <v>1489</v>
      </c>
      <c r="P625" t="s">
        <v>2366</v>
      </c>
      <c r="Q625" t="s">
        <v>2364</v>
      </c>
      <c r="R625" t="s">
        <v>2364</v>
      </c>
      <c r="S625" t="s">
        <v>1881</v>
      </c>
      <c r="T625" t="s">
        <v>1812</v>
      </c>
      <c r="U625" t="s">
        <v>2365</v>
      </c>
      <c r="V625" t="s">
        <v>2365</v>
      </c>
      <c r="W625" t="s">
        <v>2365</v>
      </c>
      <c r="X625" t="s">
        <v>2365</v>
      </c>
      <c r="Y625" t="s">
        <v>2365</v>
      </c>
      <c r="Z625" t="s">
        <v>2365</v>
      </c>
      <c r="AA625" t="s">
        <v>2365</v>
      </c>
      <c r="AB625" t="s">
        <v>2365</v>
      </c>
      <c r="AC625" s="813" t="s">
        <v>2365</v>
      </c>
      <c r="AD625" s="813" t="s">
        <v>2365</v>
      </c>
      <c r="AE625" s="813" t="s">
        <v>2365</v>
      </c>
      <c r="AF625" t="s">
        <v>2365</v>
      </c>
      <c r="AG625" t="s">
        <v>2365</v>
      </c>
      <c r="AH625" t="s">
        <v>2365</v>
      </c>
      <c r="AI625" t="s">
        <v>2365</v>
      </c>
      <c r="AJ625" t="s">
        <v>2365</v>
      </c>
      <c r="AK625" t="s">
        <v>2365</v>
      </c>
      <c r="AL625" t="s">
        <v>2365</v>
      </c>
      <c r="AM625" t="s">
        <v>2365</v>
      </c>
      <c r="AN625" t="s">
        <v>2365</v>
      </c>
      <c r="AR625" t="s">
        <v>2365</v>
      </c>
      <c r="AS625" t="s">
        <v>2365</v>
      </c>
      <c r="AT625" t="s">
        <v>2365</v>
      </c>
      <c r="AU625" t="s">
        <v>2365</v>
      </c>
      <c r="AV625" t="s">
        <v>2365</v>
      </c>
      <c r="AW625" t="s">
        <v>2365</v>
      </c>
      <c r="AX625" t="s">
        <v>2365</v>
      </c>
      <c r="AY625" t="s">
        <v>2365</v>
      </c>
      <c r="AZ625" t="s">
        <v>2365</v>
      </c>
      <c r="BA625" t="s">
        <v>2365</v>
      </c>
      <c r="BB625" t="s">
        <v>2365</v>
      </c>
      <c r="BC625" t="s">
        <v>2365</v>
      </c>
      <c r="BD625" t="s">
        <v>2366</v>
      </c>
      <c r="BE625" t="s">
        <v>2365</v>
      </c>
      <c r="BF625" t="s">
        <v>2365</v>
      </c>
      <c r="BG625" t="s">
        <v>2365</v>
      </c>
      <c r="BH625" t="s">
        <v>2365</v>
      </c>
      <c r="BI625" t="s">
        <v>2366</v>
      </c>
      <c r="BJ625" t="s">
        <v>2365</v>
      </c>
      <c r="BK625" t="s">
        <v>2365</v>
      </c>
      <c r="BL625" t="s">
        <v>2365</v>
      </c>
      <c r="BM625" t="s">
        <v>2365</v>
      </c>
      <c r="BO625">
        <v>1</v>
      </c>
      <c r="BP625">
        <v>17</v>
      </c>
      <c r="BQ625" t="s">
        <v>2369</v>
      </c>
      <c r="BR625" t="s">
        <v>1489</v>
      </c>
      <c r="BU625">
        <v>0</v>
      </c>
      <c r="BV625">
        <v>0</v>
      </c>
      <c r="BW625">
        <v>0</v>
      </c>
      <c r="BX625">
        <v>0</v>
      </c>
      <c r="BY625">
        <v>0</v>
      </c>
      <c r="BZ625">
        <v>0</v>
      </c>
      <c r="CA625">
        <v>0</v>
      </c>
      <c r="CB625">
        <v>0</v>
      </c>
      <c r="CC625">
        <v>0</v>
      </c>
      <c r="CD625">
        <v>0</v>
      </c>
      <c r="CE625">
        <v>0</v>
      </c>
      <c r="CF625">
        <v>0</v>
      </c>
      <c r="CG625">
        <v>0</v>
      </c>
      <c r="CH625">
        <v>0</v>
      </c>
      <c r="CI625">
        <v>0</v>
      </c>
      <c r="CJ625">
        <v>0</v>
      </c>
      <c r="CK625">
        <v>0</v>
      </c>
      <c r="CL625">
        <v>0</v>
      </c>
      <c r="CM625">
        <v>0</v>
      </c>
      <c r="CR625" t="s">
        <v>2325</v>
      </c>
      <c r="CS625" s="1369" t="str">
        <f>INDEX([8]Sheet1!$H:$H,MATCH(CR:CR,[8]Sheet1!$AU:$AU,0))</f>
        <v>Asset Management</v>
      </c>
    </row>
    <row r="626" spans="1:97" x14ac:dyDescent="0.2">
      <c r="A626" t="s">
        <v>3197</v>
      </c>
      <c r="B626">
        <v>679</v>
      </c>
      <c r="C626" t="s">
        <v>3197</v>
      </c>
      <c r="D626">
        <v>41270</v>
      </c>
      <c r="E626" t="s">
        <v>3198</v>
      </c>
      <c r="F626">
        <v>2700</v>
      </c>
      <c r="G626" t="s">
        <v>656</v>
      </c>
      <c r="H626" t="s">
        <v>2664</v>
      </c>
      <c r="I626" t="s">
        <v>1801</v>
      </c>
      <c r="J626">
        <v>2702</v>
      </c>
      <c r="K626" t="s">
        <v>1801</v>
      </c>
      <c r="L626">
        <v>1200</v>
      </c>
      <c r="M626" t="s">
        <v>1480</v>
      </c>
      <c r="N626">
        <v>1208</v>
      </c>
      <c r="O626" t="s">
        <v>1489</v>
      </c>
      <c r="P626" t="s">
        <v>2366</v>
      </c>
      <c r="Q626" t="s">
        <v>2364</v>
      </c>
      <c r="R626" t="s">
        <v>2364</v>
      </c>
      <c r="S626" t="s">
        <v>1881</v>
      </c>
      <c r="T626" t="s">
        <v>1812</v>
      </c>
      <c r="U626" t="s">
        <v>2365</v>
      </c>
      <c r="V626" t="s">
        <v>2365</v>
      </c>
      <c r="W626" t="s">
        <v>2365</v>
      </c>
      <c r="X626" t="s">
        <v>2365</v>
      </c>
      <c r="Y626" t="s">
        <v>2365</v>
      </c>
      <c r="Z626" t="s">
        <v>2365</v>
      </c>
      <c r="AA626" t="s">
        <v>2365</v>
      </c>
      <c r="AB626" t="s">
        <v>2365</v>
      </c>
      <c r="AC626" s="813" t="s">
        <v>2365</v>
      </c>
      <c r="AD626" s="813" t="s">
        <v>2365</v>
      </c>
      <c r="AE626" s="813" t="s">
        <v>2365</v>
      </c>
      <c r="AF626" t="s">
        <v>2365</v>
      </c>
      <c r="AG626" t="s">
        <v>2365</v>
      </c>
      <c r="AH626" t="s">
        <v>2365</v>
      </c>
      <c r="AI626" t="s">
        <v>2365</v>
      </c>
      <c r="AJ626" t="s">
        <v>2365</v>
      </c>
      <c r="AK626" t="s">
        <v>2365</v>
      </c>
      <c r="AL626" t="s">
        <v>2365</v>
      </c>
      <c r="AM626" t="s">
        <v>2365</v>
      </c>
      <c r="AN626" t="s">
        <v>2365</v>
      </c>
      <c r="AR626" t="s">
        <v>2365</v>
      </c>
      <c r="AS626" t="s">
        <v>2365</v>
      </c>
      <c r="AT626" t="s">
        <v>2365</v>
      </c>
      <c r="AU626" t="s">
        <v>2365</v>
      </c>
      <c r="AV626" t="s">
        <v>2365</v>
      </c>
      <c r="AW626" t="s">
        <v>2365</v>
      </c>
      <c r="AX626" t="s">
        <v>2365</v>
      </c>
      <c r="AY626" t="s">
        <v>2365</v>
      </c>
      <c r="AZ626" t="s">
        <v>2365</v>
      </c>
      <c r="BA626" t="s">
        <v>2365</v>
      </c>
      <c r="BB626" t="s">
        <v>2365</v>
      </c>
      <c r="BC626" t="s">
        <v>2365</v>
      </c>
      <c r="BD626" t="s">
        <v>2366</v>
      </c>
      <c r="BE626" t="s">
        <v>2365</v>
      </c>
      <c r="BF626" t="s">
        <v>2365</v>
      </c>
      <c r="BG626" t="s">
        <v>2365</v>
      </c>
      <c r="BH626" t="s">
        <v>2365</v>
      </c>
      <c r="BI626" t="s">
        <v>2366</v>
      </c>
      <c r="BJ626" t="s">
        <v>2365</v>
      </c>
      <c r="BK626" t="s">
        <v>2365</v>
      </c>
      <c r="BL626" t="s">
        <v>2365</v>
      </c>
      <c r="BM626" t="s">
        <v>2365</v>
      </c>
      <c r="BO626">
        <v>1</v>
      </c>
      <c r="BP626">
        <v>17</v>
      </c>
      <c r="BQ626" t="s">
        <v>2369</v>
      </c>
      <c r="BR626" t="s">
        <v>1489</v>
      </c>
      <c r="BU626">
        <v>500000</v>
      </c>
      <c r="BV626">
        <v>0</v>
      </c>
      <c r="BW626">
        <v>500000</v>
      </c>
      <c r="BX626">
        <v>0</v>
      </c>
      <c r="BY626">
        <v>500000</v>
      </c>
      <c r="BZ626">
        <v>530000</v>
      </c>
      <c r="CA626">
        <v>561800</v>
      </c>
      <c r="CB626">
        <v>183413.35</v>
      </c>
      <c r="CC626">
        <v>0</v>
      </c>
      <c r="CD626">
        <v>162783.65</v>
      </c>
      <c r="CE626">
        <v>46268.37</v>
      </c>
      <c r="CF626">
        <v>193.6</v>
      </c>
      <c r="CG626">
        <v>393.2</v>
      </c>
      <c r="CH626">
        <v>96366.67</v>
      </c>
      <c r="CI626">
        <v>192147.24</v>
      </c>
      <c r="CJ626">
        <v>167.6</v>
      </c>
      <c r="CK626">
        <v>0</v>
      </c>
      <c r="CL626">
        <v>0</v>
      </c>
      <c r="CM626">
        <v>0</v>
      </c>
      <c r="CR626" t="s">
        <v>2325</v>
      </c>
      <c r="CS626" s="1369" t="str">
        <f>INDEX([8]Sheet1!$H:$H,MATCH(CR:CR,[8]Sheet1!$AU:$AU,0))</f>
        <v>Asset Management</v>
      </c>
    </row>
    <row r="627" spans="1:97" x14ac:dyDescent="0.2">
      <c r="A627" t="s">
        <v>3199</v>
      </c>
      <c r="B627">
        <v>680</v>
      </c>
      <c r="C627" t="s">
        <v>3199</v>
      </c>
      <c r="D627">
        <v>41271</v>
      </c>
      <c r="E627" t="s">
        <v>2499</v>
      </c>
      <c r="F627">
        <v>2900</v>
      </c>
      <c r="G627" t="s">
        <v>569</v>
      </c>
      <c r="H627" s="1373" t="s">
        <v>2366</v>
      </c>
      <c r="I627" t="s">
        <v>2366</v>
      </c>
      <c r="J627">
        <v>2904</v>
      </c>
      <c r="K627" t="s">
        <v>1432</v>
      </c>
      <c r="L627" s="1373">
        <v>1200</v>
      </c>
      <c r="M627" t="s">
        <v>1480</v>
      </c>
      <c r="N627">
        <v>1201</v>
      </c>
      <c r="O627" t="s">
        <v>1486</v>
      </c>
      <c r="P627" t="s">
        <v>2366</v>
      </c>
      <c r="Q627" t="s">
        <v>2364</v>
      </c>
      <c r="R627" t="s">
        <v>2364</v>
      </c>
      <c r="S627" t="s">
        <v>1881</v>
      </c>
      <c r="T627" t="s">
        <v>1812</v>
      </c>
      <c r="U627" t="s">
        <v>2365</v>
      </c>
      <c r="V627" t="s">
        <v>2365</v>
      </c>
      <c r="W627" t="s">
        <v>2365</v>
      </c>
      <c r="X627" t="s">
        <v>2365</v>
      </c>
      <c r="Y627" t="s">
        <v>2365</v>
      </c>
      <c r="Z627" t="s">
        <v>2365</v>
      </c>
      <c r="AA627" t="s">
        <v>2365</v>
      </c>
      <c r="AB627" t="s">
        <v>2365</v>
      </c>
      <c r="AC627" s="813" t="s">
        <v>2365</v>
      </c>
      <c r="AD627" s="813" t="s">
        <v>2365</v>
      </c>
      <c r="AE627" s="813" t="s">
        <v>2365</v>
      </c>
      <c r="AF627" t="s">
        <v>2365</v>
      </c>
      <c r="AG627" t="s">
        <v>2365</v>
      </c>
      <c r="AH627" t="s">
        <v>2365</v>
      </c>
      <c r="AI627" t="s">
        <v>2365</v>
      </c>
      <c r="AJ627" t="s">
        <v>2365</v>
      </c>
      <c r="AK627" t="s">
        <v>2365</v>
      </c>
      <c r="AL627" t="s">
        <v>2365</v>
      </c>
      <c r="AM627" t="s">
        <v>2365</v>
      </c>
      <c r="AN627" t="s">
        <v>2365</v>
      </c>
      <c r="AR627" t="s">
        <v>2365</v>
      </c>
      <c r="AS627" t="s">
        <v>2365</v>
      </c>
      <c r="AT627" t="s">
        <v>2365</v>
      </c>
      <c r="AU627" t="s">
        <v>2365</v>
      </c>
      <c r="AV627" t="s">
        <v>2365</v>
      </c>
      <c r="AW627" t="s">
        <v>2365</v>
      </c>
      <c r="AX627" t="s">
        <v>2365</v>
      </c>
      <c r="AY627" t="s">
        <v>2365</v>
      </c>
      <c r="AZ627" t="s">
        <v>2365</v>
      </c>
      <c r="BA627" t="s">
        <v>2365</v>
      </c>
      <c r="BB627" t="s">
        <v>2365</v>
      </c>
      <c r="BC627" t="s">
        <v>2365</v>
      </c>
      <c r="BD627" t="s">
        <v>2366</v>
      </c>
      <c r="BE627" t="s">
        <v>2365</v>
      </c>
      <c r="BF627" t="s">
        <v>2365</v>
      </c>
      <c r="BG627" t="s">
        <v>2365</v>
      </c>
      <c r="BH627" t="s">
        <v>2365</v>
      </c>
      <c r="BI627" t="s">
        <v>2366</v>
      </c>
      <c r="BJ627" t="s">
        <v>2365</v>
      </c>
      <c r="BK627" t="s">
        <v>2365</v>
      </c>
      <c r="BL627" t="s">
        <v>2365</v>
      </c>
      <c r="BM627" t="s">
        <v>2365</v>
      </c>
      <c r="BO627">
        <v>1</v>
      </c>
      <c r="BP627">
        <v>14</v>
      </c>
      <c r="BQ627" t="s">
        <v>2369</v>
      </c>
      <c r="BR627" t="s">
        <v>1486</v>
      </c>
      <c r="BU627" s="1371">
        <v>0</v>
      </c>
      <c r="BV627" s="1371">
        <v>0</v>
      </c>
      <c r="BW627" s="1371">
        <v>0</v>
      </c>
      <c r="BX627" s="1371">
        <v>0</v>
      </c>
      <c r="BY627" s="1371">
        <v>0</v>
      </c>
      <c r="BZ627">
        <v>0</v>
      </c>
      <c r="CA627">
        <v>0</v>
      </c>
      <c r="CB627">
        <v>0</v>
      </c>
      <c r="CC627">
        <v>0</v>
      </c>
      <c r="CD627">
        <v>0</v>
      </c>
      <c r="CE627">
        <v>0</v>
      </c>
      <c r="CF627">
        <v>0</v>
      </c>
      <c r="CG627">
        <v>0</v>
      </c>
      <c r="CH627">
        <v>0</v>
      </c>
      <c r="CI627">
        <v>0</v>
      </c>
      <c r="CJ627">
        <v>0</v>
      </c>
      <c r="CK627">
        <v>0</v>
      </c>
      <c r="CL627">
        <v>0</v>
      </c>
      <c r="CM627">
        <v>0</v>
      </c>
      <c r="CR627" t="s">
        <v>2325</v>
      </c>
      <c r="CS627" s="1369" t="str">
        <f>INDEX([8]Sheet1!$H:$H,MATCH(CR:CR,[8]Sheet1!$AU:$AU,0))</f>
        <v>Asset Management</v>
      </c>
    </row>
    <row r="628" spans="1:97" x14ac:dyDescent="0.2">
      <c r="A628" t="s">
        <v>3200</v>
      </c>
      <c r="B628">
        <v>681</v>
      </c>
      <c r="C628" t="s">
        <v>3200</v>
      </c>
      <c r="D628">
        <v>41272</v>
      </c>
      <c r="E628" t="s">
        <v>3201</v>
      </c>
      <c r="F628">
        <v>2900</v>
      </c>
      <c r="G628" t="s">
        <v>569</v>
      </c>
      <c r="H628" t="s">
        <v>2366</v>
      </c>
      <c r="I628" t="s">
        <v>2366</v>
      </c>
      <c r="J628">
        <v>2904</v>
      </c>
      <c r="K628" t="s">
        <v>1432</v>
      </c>
      <c r="L628">
        <v>1200</v>
      </c>
      <c r="M628" t="s">
        <v>1480</v>
      </c>
      <c r="N628">
        <v>1201</v>
      </c>
      <c r="O628" t="s">
        <v>1486</v>
      </c>
      <c r="P628" t="s">
        <v>2366</v>
      </c>
      <c r="Q628" t="s">
        <v>2364</v>
      </c>
      <c r="R628" t="s">
        <v>2364</v>
      </c>
      <c r="S628" t="s">
        <v>1881</v>
      </c>
      <c r="T628" t="s">
        <v>1812</v>
      </c>
      <c r="U628" t="s">
        <v>2365</v>
      </c>
      <c r="V628" t="s">
        <v>2365</v>
      </c>
      <c r="W628" t="s">
        <v>2365</v>
      </c>
      <c r="X628" t="s">
        <v>2365</v>
      </c>
      <c r="Y628" t="s">
        <v>2365</v>
      </c>
      <c r="Z628" t="s">
        <v>2365</v>
      </c>
      <c r="AA628" t="s">
        <v>2365</v>
      </c>
      <c r="AB628" t="s">
        <v>2365</v>
      </c>
      <c r="AC628" s="813" t="s">
        <v>2365</v>
      </c>
      <c r="AD628" s="813" t="s">
        <v>2365</v>
      </c>
      <c r="AE628" s="813" t="s">
        <v>2365</v>
      </c>
      <c r="AF628" t="s">
        <v>2365</v>
      </c>
      <c r="AG628" t="s">
        <v>2365</v>
      </c>
      <c r="AH628" t="s">
        <v>2365</v>
      </c>
      <c r="AI628" t="s">
        <v>2365</v>
      </c>
      <c r="AJ628" t="s">
        <v>2365</v>
      </c>
      <c r="AK628" t="s">
        <v>2365</v>
      </c>
      <c r="AL628" t="s">
        <v>2365</v>
      </c>
      <c r="AM628" t="s">
        <v>2365</v>
      </c>
      <c r="AN628" t="s">
        <v>2365</v>
      </c>
      <c r="AR628" t="s">
        <v>2365</v>
      </c>
      <c r="AS628" t="s">
        <v>2365</v>
      </c>
      <c r="AT628" t="s">
        <v>2365</v>
      </c>
      <c r="AU628" t="s">
        <v>2365</v>
      </c>
      <c r="AV628" t="s">
        <v>2365</v>
      </c>
      <c r="AW628" t="s">
        <v>2365</v>
      </c>
      <c r="AX628" t="s">
        <v>2365</v>
      </c>
      <c r="AY628" t="s">
        <v>2365</v>
      </c>
      <c r="AZ628" t="s">
        <v>2365</v>
      </c>
      <c r="BA628" t="s">
        <v>2365</v>
      </c>
      <c r="BB628" t="s">
        <v>2365</v>
      </c>
      <c r="BC628" t="s">
        <v>2365</v>
      </c>
      <c r="BD628" t="s">
        <v>2366</v>
      </c>
      <c r="BE628" t="s">
        <v>2365</v>
      </c>
      <c r="BF628" t="s">
        <v>2365</v>
      </c>
      <c r="BG628" t="s">
        <v>2365</v>
      </c>
      <c r="BH628" t="s">
        <v>2365</v>
      </c>
      <c r="BI628" t="s">
        <v>2366</v>
      </c>
      <c r="BJ628" t="s">
        <v>2365</v>
      </c>
      <c r="BK628" t="s">
        <v>2365</v>
      </c>
      <c r="BL628" t="s">
        <v>2365</v>
      </c>
      <c r="BM628" t="s">
        <v>2365</v>
      </c>
      <c r="BO628">
        <v>1</v>
      </c>
      <c r="BP628">
        <v>14</v>
      </c>
      <c r="BQ628" t="s">
        <v>2369</v>
      </c>
      <c r="BR628" t="s">
        <v>1486</v>
      </c>
      <c r="BU628">
        <v>0</v>
      </c>
      <c r="BV628">
        <v>0</v>
      </c>
      <c r="BW628">
        <v>0</v>
      </c>
      <c r="BX628">
        <v>0</v>
      </c>
      <c r="BY628">
        <v>0</v>
      </c>
      <c r="BZ628">
        <v>0</v>
      </c>
      <c r="CA628">
        <v>0</v>
      </c>
      <c r="CB628">
        <v>0</v>
      </c>
      <c r="CC628">
        <v>0</v>
      </c>
      <c r="CD628">
        <v>0</v>
      </c>
      <c r="CE628">
        <v>0</v>
      </c>
      <c r="CF628">
        <v>0</v>
      </c>
      <c r="CG628">
        <v>0</v>
      </c>
      <c r="CH628">
        <v>0</v>
      </c>
      <c r="CI628">
        <v>0</v>
      </c>
      <c r="CJ628">
        <v>0</v>
      </c>
      <c r="CK628">
        <v>0</v>
      </c>
      <c r="CL628">
        <v>0</v>
      </c>
      <c r="CM628">
        <v>0</v>
      </c>
      <c r="CR628" t="s">
        <v>2325</v>
      </c>
      <c r="CS628" s="1369" t="str">
        <f>INDEX([8]Sheet1!$H:$H,MATCH(CR:CR,[8]Sheet1!$AU:$AU,0))</f>
        <v>Asset Management</v>
      </c>
    </row>
    <row r="629" spans="1:97" x14ac:dyDescent="0.2">
      <c r="A629" t="s">
        <v>3202</v>
      </c>
      <c r="B629">
        <v>682</v>
      </c>
      <c r="C629" t="s">
        <v>3202</v>
      </c>
      <c r="D629">
        <v>41273</v>
      </c>
      <c r="E629" t="s">
        <v>3203</v>
      </c>
      <c r="F629">
        <v>2900</v>
      </c>
      <c r="G629" t="s">
        <v>569</v>
      </c>
      <c r="H629" s="1373" t="s">
        <v>2366</v>
      </c>
      <c r="I629" t="s">
        <v>2366</v>
      </c>
      <c r="J629">
        <v>2904</v>
      </c>
      <c r="K629" t="s">
        <v>1432</v>
      </c>
      <c r="L629" s="1373">
        <v>1200</v>
      </c>
      <c r="M629" t="s">
        <v>1480</v>
      </c>
      <c r="N629">
        <v>1201</v>
      </c>
      <c r="O629" t="s">
        <v>1486</v>
      </c>
      <c r="P629" t="s">
        <v>2366</v>
      </c>
      <c r="Q629" t="s">
        <v>2364</v>
      </c>
      <c r="R629" t="s">
        <v>2364</v>
      </c>
      <c r="S629" t="s">
        <v>1881</v>
      </c>
      <c r="T629" t="s">
        <v>1812</v>
      </c>
      <c r="U629" t="s">
        <v>2365</v>
      </c>
      <c r="V629" t="s">
        <v>2365</v>
      </c>
      <c r="W629" t="s">
        <v>2365</v>
      </c>
      <c r="X629" t="s">
        <v>2365</v>
      </c>
      <c r="Y629" t="s">
        <v>2365</v>
      </c>
      <c r="Z629" t="s">
        <v>2365</v>
      </c>
      <c r="AA629" t="s">
        <v>2365</v>
      </c>
      <c r="AB629" t="s">
        <v>2365</v>
      </c>
      <c r="AC629" s="813" t="s">
        <v>2365</v>
      </c>
      <c r="AD629" s="813" t="s">
        <v>2365</v>
      </c>
      <c r="AE629" s="813" t="s">
        <v>2365</v>
      </c>
      <c r="AF629" t="s">
        <v>2365</v>
      </c>
      <c r="AG629" t="s">
        <v>2365</v>
      </c>
      <c r="AH629" t="s">
        <v>2365</v>
      </c>
      <c r="AI629" t="s">
        <v>2365</v>
      </c>
      <c r="AJ629" t="s">
        <v>2365</v>
      </c>
      <c r="AK629" t="s">
        <v>2365</v>
      </c>
      <c r="AL629" t="s">
        <v>2365</v>
      </c>
      <c r="AM629" t="s">
        <v>2365</v>
      </c>
      <c r="AN629" t="s">
        <v>2365</v>
      </c>
      <c r="AR629" t="s">
        <v>2365</v>
      </c>
      <c r="AS629" t="s">
        <v>2365</v>
      </c>
      <c r="AT629" t="s">
        <v>2365</v>
      </c>
      <c r="AU629" t="s">
        <v>2365</v>
      </c>
      <c r="AV629" t="s">
        <v>2365</v>
      </c>
      <c r="AW629" t="s">
        <v>2365</v>
      </c>
      <c r="AX629" t="s">
        <v>2365</v>
      </c>
      <c r="AY629" t="s">
        <v>2365</v>
      </c>
      <c r="AZ629" t="s">
        <v>2365</v>
      </c>
      <c r="BA629" t="s">
        <v>2365</v>
      </c>
      <c r="BB629" t="s">
        <v>2365</v>
      </c>
      <c r="BC629" t="s">
        <v>2365</v>
      </c>
      <c r="BD629" t="s">
        <v>2366</v>
      </c>
      <c r="BE629" t="s">
        <v>2365</v>
      </c>
      <c r="BF629" t="s">
        <v>2365</v>
      </c>
      <c r="BG629" t="s">
        <v>2365</v>
      </c>
      <c r="BH629" t="s">
        <v>2365</v>
      </c>
      <c r="BI629" t="s">
        <v>2366</v>
      </c>
      <c r="BJ629" t="s">
        <v>2365</v>
      </c>
      <c r="BK629" t="s">
        <v>2365</v>
      </c>
      <c r="BL629" t="s">
        <v>2365</v>
      </c>
      <c r="BM629" t="s">
        <v>2365</v>
      </c>
      <c r="BO629">
        <v>1</v>
      </c>
      <c r="BP629">
        <v>14</v>
      </c>
      <c r="BQ629" t="s">
        <v>2369</v>
      </c>
      <c r="BR629" t="s">
        <v>1486</v>
      </c>
      <c r="BU629" s="1371">
        <v>170000</v>
      </c>
      <c r="BV629" s="1371">
        <v>0</v>
      </c>
      <c r="BW629" s="1371">
        <v>170000</v>
      </c>
      <c r="BX629" s="1371">
        <v>0</v>
      </c>
      <c r="BY629" s="1371">
        <v>170000</v>
      </c>
      <c r="BZ629">
        <v>180200</v>
      </c>
      <c r="CA629">
        <v>0</v>
      </c>
      <c r="CB629">
        <v>0</v>
      </c>
      <c r="CC629">
        <v>0</v>
      </c>
      <c r="CD629">
        <v>0</v>
      </c>
      <c r="CE629">
        <v>0</v>
      </c>
      <c r="CF629">
        <v>0</v>
      </c>
      <c r="CG629">
        <v>0</v>
      </c>
      <c r="CH629">
        <v>0</v>
      </c>
      <c r="CI629">
        <v>0</v>
      </c>
      <c r="CJ629">
        <v>0</v>
      </c>
      <c r="CK629">
        <v>0</v>
      </c>
      <c r="CL629">
        <v>0</v>
      </c>
      <c r="CM629">
        <v>0</v>
      </c>
      <c r="CR629" t="s">
        <v>2325</v>
      </c>
      <c r="CS629" s="1369" t="str">
        <f>INDEX([8]Sheet1!$H:$H,MATCH(CR:CR,[8]Sheet1!$AU:$AU,0))</f>
        <v>Asset Management</v>
      </c>
    </row>
    <row r="630" spans="1:97" x14ac:dyDescent="0.2">
      <c r="A630" t="s">
        <v>3204</v>
      </c>
      <c r="B630">
        <v>683</v>
      </c>
      <c r="C630" t="s">
        <v>3204</v>
      </c>
      <c r="D630">
        <v>41274</v>
      </c>
      <c r="E630" t="s">
        <v>2464</v>
      </c>
      <c r="F630">
        <v>2900</v>
      </c>
      <c r="G630" t="s">
        <v>569</v>
      </c>
      <c r="H630" s="1373" t="s">
        <v>2366</v>
      </c>
      <c r="I630" t="s">
        <v>2366</v>
      </c>
      <c r="J630">
        <v>2904</v>
      </c>
      <c r="K630" t="s">
        <v>1432</v>
      </c>
      <c r="L630" s="1373">
        <v>1200</v>
      </c>
      <c r="M630" t="s">
        <v>1480</v>
      </c>
      <c r="N630">
        <v>1201</v>
      </c>
      <c r="O630" t="s">
        <v>1486</v>
      </c>
      <c r="P630" t="s">
        <v>2366</v>
      </c>
      <c r="Q630" t="s">
        <v>2364</v>
      </c>
      <c r="R630" t="s">
        <v>2364</v>
      </c>
      <c r="S630" t="s">
        <v>1881</v>
      </c>
      <c r="T630" t="s">
        <v>1812</v>
      </c>
      <c r="U630" t="s">
        <v>2365</v>
      </c>
      <c r="V630" t="s">
        <v>2365</v>
      </c>
      <c r="W630" t="s">
        <v>2365</v>
      </c>
      <c r="X630" t="s">
        <v>2365</v>
      </c>
      <c r="Y630" t="s">
        <v>2365</v>
      </c>
      <c r="Z630" t="s">
        <v>2365</v>
      </c>
      <c r="AA630" t="s">
        <v>2365</v>
      </c>
      <c r="AB630" t="s">
        <v>2365</v>
      </c>
      <c r="AC630" s="813" t="s">
        <v>2365</v>
      </c>
      <c r="AD630" s="813" t="s">
        <v>2365</v>
      </c>
      <c r="AE630" s="813" t="s">
        <v>2365</v>
      </c>
      <c r="AF630" t="s">
        <v>2365</v>
      </c>
      <c r="AG630" t="s">
        <v>2365</v>
      </c>
      <c r="AH630" t="s">
        <v>2365</v>
      </c>
      <c r="AI630" t="s">
        <v>2365</v>
      </c>
      <c r="AJ630" t="s">
        <v>2365</v>
      </c>
      <c r="AK630" t="s">
        <v>2365</v>
      </c>
      <c r="AL630" t="s">
        <v>2365</v>
      </c>
      <c r="AM630" t="s">
        <v>2365</v>
      </c>
      <c r="AN630" t="s">
        <v>2365</v>
      </c>
      <c r="AR630" t="s">
        <v>2365</v>
      </c>
      <c r="AS630" t="s">
        <v>2365</v>
      </c>
      <c r="AT630" t="s">
        <v>2365</v>
      </c>
      <c r="AU630" t="s">
        <v>2365</v>
      </c>
      <c r="AV630" t="s">
        <v>2365</v>
      </c>
      <c r="AW630" t="s">
        <v>2365</v>
      </c>
      <c r="AX630" t="s">
        <v>2365</v>
      </c>
      <c r="AY630" t="s">
        <v>2365</v>
      </c>
      <c r="AZ630" t="s">
        <v>2365</v>
      </c>
      <c r="BA630" t="s">
        <v>2365</v>
      </c>
      <c r="BB630" t="s">
        <v>2365</v>
      </c>
      <c r="BC630" t="s">
        <v>2365</v>
      </c>
      <c r="BD630" t="s">
        <v>2366</v>
      </c>
      <c r="BE630" t="s">
        <v>2365</v>
      </c>
      <c r="BF630" t="s">
        <v>2365</v>
      </c>
      <c r="BG630" t="s">
        <v>2365</v>
      </c>
      <c r="BH630" t="s">
        <v>2365</v>
      </c>
      <c r="BI630" t="s">
        <v>2366</v>
      </c>
      <c r="BJ630" t="s">
        <v>2365</v>
      </c>
      <c r="BK630" t="s">
        <v>2365</v>
      </c>
      <c r="BL630" t="s">
        <v>2365</v>
      </c>
      <c r="BM630" t="s">
        <v>2365</v>
      </c>
      <c r="BO630">
        <v>1</v>
      </c>
      <c r="BP630">
        <v>14</v>
      </c>
      <c r="BQ630" t="s">
        <v>2369</v>
      </c>
      <c r="BR630" t="s">
        <v>1486</v>
      </c>
      <c r="BU630" s="1371">
        <v>200000</v>
      </c>
      <c r="BV630" s="1371">
        <v>0</v>
      </c>
      <c r="BW630" s="1371">
        <v>200000</v>
      </c>
      <c r="BX630" s="1371">
        <v>100000</v>
      </c>
      <c r="BY630" s="1371">
        <v>300000</v>
      </c>
      <c r="BZ630">
        <v>212000</v>
      </c>
      <c r="CA630">
        <v>224720</v>
      </c>
      <c r="CB630">
        <v>0</v>
      </c>
      <c r="CC630">
        <v>25739.11</v>
      </c>
      <c r="CD630">
        <v>6500</v>
      </c>
      <c r="CE630">
        <v>0</v>
      </c>
      <c r="CF630">
        <v>0</v>
      </c>
      <c r="CG630">
        <v>0</v>
      </c>
      <c r="CH630">
        <v>0</v>
      </c>
      <c r="CI630">
        <v>23240</v>
      </c>
      <c r="CJ630">
        <v>0</v>
      </c>
      <c r="CK630">
        <v>0</v>
      </c>
      <c r="CL630">
        <v>0</v>
      </c>
      <c r="CM630">
        <v>0</v>
      </c>
      <c r="CR630" t="s">
        <v>2325</v>
      </c>
      <c r="CS630" s="1369" t="str">
        <f>INDEX([8]Sheet1!$H:$H,MATCH(CR:CR,[8]Sheet1!$AU:$AU,0))</f>
        <v>Asset Management</v>
      </c>
    </row>
    <row r="631" spans="1:97" x14ac:dyDescent="0.2">
      <c r="A631" t="s">
        <v>3205</v>
      </c>
      <c r="B631">
        <v>684</v>
      </c>
      <c r="C631" t="s">
        <v>3205</v>
      </c>
      <c r="D631">
        <v>41275</v>
      </c>
      <c r="E631" t="s">
        <v>2504</v>
      </c>
      <c r="F631">
        <v>2900</v>
      </c>
      <c r="G631" t="s">
        <v>569</v>
      </c>
      <c r="H631" s="1373" t="s">
        <v>2366</v>
      </c>
      <c r="I631" t="s">
        <v>2366</v>
      </c>
      <c r="J631">
        <v>2904</v>
      </c>
      <c r="K631" t="s">
        <v>1432</v>
      </c>
      <c r="L631" s="1373">
        <v>1200</v>
      </c>
      <c r="M631" t="s">
        <v>1480</v>
      </c>
      <c r="N631">
        <v>1201</v>
      </c>
      <c r="O631" t="s">
        <v>1486</v>
      </c>
      <c r="P631" t="s">
        <v>2366</v>
      </c>
      <c r="Q631" t="s">
        <v>2364</v>
      </c>
      <c r="R631" t="s">
        <v>2364</v>
      </c>
      <c r="S631" t="s">
        <v>1881</v>
      </c>
      <c r="T631" t="s">
        <v>1812</v>
      </c>
      <c r="U631" t="s">
        <v>2365</v>
      </c>
      <c r="V631" t="s">
        <v>2365</v>
      </c>
      <c r="W631" t="s">
        <v>2365</v>
      </c>
      <c r="X631" t="s">
        <v>2365</v>
      </c>
      <c r="Y631" t="s">
        <v>2365</v>
      </c>
      <c r="Z631" t="s">
        <v>2365</v>
      </c>
      <c r="AA631" t="s">
        <v>2365</v>
      </c>
      <c r="AB631" t="s">
        <v>2365</v>
      </c>
      <c r="AC631" s="813" t="s">
        <v>2365</v>
      </c>
      <c r="AD631" s="813" t="s">
        <v>2365</v>
      </c>
      <c r="AE631" s="813" t="s">
        <v>2365</v>
      </c>
      <c r="AF631" t="s">
        <v>2365</v>
      </c>
      <c r="AG631" t="s">
        <v>2365</v>
      </c>
      <c r="AH631" t="s">
        <v>2365</v>
      </c>
      <c r="AI631" t="s">
        <v>2365</v>
      </c>
      <c r="AJ631" t="s">
        <v>2365</v>
      </c>
      <c r="AK631" t="s">
        <v>2365</v>
      </c>
      <c r="AL631" t="s">
        <v>2365</v>
      </c>
      <c r="AM631" t="s">
        <v>2365</v>
      </c>
      <c r="AN631" t="s">
        <v>2365</v>
      </c>
      <c r="AR631" t="s">
        <v>2365</v>
      </c>
      <c r="AS631" t="s">
        <v>2365</v>
      </c>
      <c r="AT631" t="s">
        <v>2365</v>
      </c>
      <c r="AU631" t="s">
        <v>2365</v>
      </c>
      <c r="AV631" t="s">
        <v>2365</v>
      </c>
      <c r="AW631" t="s">
        <v>2365</v>
      </c>
      <c r="AX631" t="s">
        <v>2365</v>
      </c>
      <c r="AY631" t="s">
        <v>2365</v>
      </c>
      <c r="AZ631" t="s">
        <v>2365</v>
      </c>
      <c r="BA631" t="s">
        <v>2365</v>
      </c>
      <c r="BB631" t="s">
        <v>2365</v>
      </c>
      <c r="BC631" t="s">
        <v>2365</v>
      </c>
      <c r="BD631" t="s">
        <v>2366</v>
      </c>
      <c r="BE631" t="s">
        <v>2365</v>
      </c>
      <c r="BF631" t="s">
        <v>2365</v>
      </c>
      <c r="BG631" t="s">
        <v>2365</v>
      </c>
      <c r="BH631" t="s">
        <v>2365</v>
      </c>
      <c r="BI631" t="s">
        <v>2366</v>
      </c>
      <c r="BJ631" t="s">
        <v>2365</v>
      </c>
      <c r="BK631" t="s">
        <v>2365</v>
      </c>
      <c r="BL631" t="s">
        <v>2365</v>
      </c>
      <c r="BM631" t="s">
        <v>2365</v>
      </c>
      <c r="BO631">
        <v>1</v>
      </c>
      <c r="BP631">
        <v>14</v>
      </c>
      <c r="BQ631" t="s">
        <v>2369</v>
      </c>
      <c r="BR631" t="s">
        <v>1486</v>
      </c>
      <c r="BU631" s="1371">
        <v>0</v>
      </c>
      <c r="BV631" s="1371">
        <v>0</v>
      </c>
      <c r="BW631" s="1371">
        <v>0</v>
      </c>
      <c r="BX631" s="1371">
        <v>0</v>
      </c>
      <c r="BY631" s="1371">
        <v>0</v>
      </c>
      <c r="BZ631">
        <v>0</v>
      </c>
      <c r="CA631">
        <v>0</v>
      </c>
      <c r="CB631">
        <v>0</v>
      </c>
      <c r="CC631">
        <v>0</v>
      </c>
      <c r="CD631">
        <v>0</v>
      </c>
      <c r="CE631">
        <v>0</v>
      </c>
      <c r="CF631">
        <v>0</v>
      </c>
      <c r="CG631">
        <v>0</v>
      </c>
      <c r="CH631">
        <v>0</v>
      </c>
      <c r="CI631">
        <v>0</v>
      </c>
      <c r="CJ631">
        <v>0</v>
      </c>
      <c r="CK631">
        <v>0</v>
      </c>
      <c r="CL631">
        <v>0</v>
      </c>
      <c r="CM631">
        <v>0</v>
      </c>
      <c r="CR631" t="s">
        <v>2325</v>
      </c>
      <c r="CS631" s="1369" t="str">
        <f>INDEX([8]Sheet1!$H:$H,MATCH(CR:CR,[8]Sheet1!$AU:$AU,0))</f>
        <v>Asset Management</v>
      </c>
    </row>
    <row r="632" spans="1:97" x14ac:dyDescent="0.2">
      <c r="A632" t="s">
        <v>3206</v>
      </c>
      <c r="B632">
        <v>685</v>
      </c>
      <c r="C632" t="s">
        <v>3206</v>
      </c>
      <c r="D632">
        <v>41276</v>
      </c>
      <c r="E632" t="s">
        <v>2453</v>
      </c>
      <c r="F632">
        <v>2900</v>
      </c>
      <c r="G632" t="s">
        <v>569</v>
      </c>
      <c r="H632" t="s">
        <v>2366</v>
      </c>
      <c r="I632" t="s">
        <v>2366</v>
      </c>
      <c r="J632">
        <v>2904</v>
      </c>
      <c r="K632" t="s">
        <v>1432</v>
      </c>
      <c r="L632">
        <v>1200</v>
      </c>
      <c r="M632" t="s">
        <v>1480</v>
      </c>
      <c r="N632">
        <v>1201</v>
      </c>
      <c r="O632" t="s">
        <v>1486</v>
      </c>
      <c r="P632" t="s">
        <v>2366</v>
      </c>
      <c r="Q632" t="s">
        <v>2364</v>
      </c>
      <c r="R632" t="s">
        <v>2364</v>
      </c>
      <c r="S632" t="s">
        <v>1881</v>
      </c>
      <c r="T632" t="s">
        <v>1812</v>
      </c>
      <c r="U632" t="s">
        <v>2365</v>
      </c>
      <c r="V632" t="s">
        <v>2365</v>
      </c>
      <c r="W632" t="s">
        <v>2365</v>
      </c>
      <c r="X632" t="s">
        <v>2365</v>
      </c>
      <c r="Y632" t="s">
        <v>2365</v>
      </c>
      <c r="Z632" t="s">
        <v>2365</v>
      </c>
      <c r="AA632" t="s">
        <v>2365</v>
      </c>
      <c r="AB632" t="s">
        <v>2365</v>
      </c>
      <c r="AC632" s="813" t="s">
        <v>2365</v>
      </c>
      <c r="AD632" s="813" t="s">
        <v>2365</v>
      </c>
      <c r="AE632" s="813" t="s">
        <v>2365</v>
      </c>
      <c r="AF632" t="s">
        <v>2365</v>
      </c>
      <c r="AG632" t="s">
        <v>2365</v>
      </c>
      <c r="AH632" t="s">
        <v>2365</v>
      </c>
      <c r="AI632" t="s">
        <v>2365</v>
      </c>
      <c r="AJ632" t="s">
        <v>2365</v>
      </c>
      <c r="AK632" t="s">
        <v>2365</v>
      </c>
      <c r="AL632" t="s">
        <v>2365</v>
      </c>
      <c r="AM632" t="s">
        <v>2365</v>
      </c>
      <c r="AN632" t="s">
        <v>2365</v>
      </c>
      <c r="AR632" t="s">
        <v>2365</v>
      </c>
      <c r="AS632" t="s">
        <v>2365</v>
      </c>
      <c r="AT632" t="s">
        <v>2365</v>
      </c>
      <c r="AU632" t="s">
        <v>2365</v>
      </c>
      <c r="AV632" t="s">
        <v>2365</v>
      </c>
      <c r="AW632" t="s">
        <v>2365</v>
      </c>
      <c r="AX632" t="s">
        <v>2365</v>
      </c>
      <c r="AY632" t="s">
        <v>2365</v>
      </c>
      <c r="AZ632" t="s">
        <v>2365</v>
      </c>
      <c r="BA632" t="s">
        <v>2365</v>
      </c>
      <c r="BB632" t="s">
        <v>2365</v>
      </c>
      <c r="BC632" t="s">
        <v>2365</v>
      </c>
      <c r="BD632" t="s">
        <v>2366</v>
      </c>
      <c r="BE632" t="s">
        <v>2365</v>
      </c>
      <c r="BF632" t="s">
        <v>2365</v>
      </c>
      <c r="BG632" t="s">
        <v>2365</v>
      </c>
      <c r="BH632" t="s">
        <v>2365</v>
      </c>
      <c r="BI632" t="s">
        <v>2366</v>
      </c>
      <c r="BJ632" t="s">
        <v>2365</v>
      </c>
      <c r="BK632" t="s">
        <v>2365</v>
      </c>
      <c r="BL632" t="s">
        <v>2365</v>
      </c>
      <c r="BM632" t="s">
        <v>2365</v>
      </c>
      <c r="BO632">
        <v>1</v>
      </c>
      <c r="BP632">
        <v>14</v>
      </c>
      <c r="BQ632" t="s">
        <v>2369</v>
      </c>
      <c r="BR632" t="s">
        <v>1486</v>
      </c>
      <c r="BU632">
        <v>0</v>
      </c>
      <c r="BV632">
        <v>0</v>
      </c>
      <c r="BW632">
        <v>0</v>
      </c>
      <c r="BX632">
        <v>0</v>
      </c>
      <c r="BY632">
        <v>0</v>
      </c>
      <c r="BZ632">
        <v>0</v>
      </c>
      <c r="CA632">
        <v>0</v>
      </c>
      <c r="CB632">
        <v>0</v>
      </c>
      <c r="CC632">
        <v>0</v>
      </c>
      <c r="CD632">
        <v>0</v>
      </c>
      <c r="CE632">
        <v>0</v>
      </c>
      <c r="CF632">
        <v>0</v>
      </c>
      <c r="CG632">
        <v>0</v>
      </c>
      <c r="CH632">
        <v>0</v>
      </c>
      <c r="CI632">
        <v>0</v>
      </c>
      <c r="CJ632">
        <v>0</v>
      </c>
      <c r="CK632">
        <v>0</v>
      </c>
      <c r="CL632">
        <v>0</v>
      </c>
      <c r="CM632">
        <v>0</v>
      </c>
      <c r="CR632" t="s">
        <v>2325</v>
      </c>
      <c r="CS632" s="1369" t="str">
        <f>INDEX([8]Sheet1!$H:$H,MATCH(CR:CR,[8]Sheet1!$AU:$AU,0))</f>
        <v>Asset Management</v>
      </c>
    </row>
    <row r="633" spans="1:97" x14ac:dyDescent="0.2">
      <c r="A633" t="s">
        <v>3207</v>
      </c>
      <c r="B633">
        <v>686</v>
      </c>
      <c r="C633" t="s">
        <v>3207</v>
      </c>
      <c r="D633">
        <v>41277</v>
      </c>
      <c r="E633" t="s">
        <v>2911</v>
      </c>
      <c r="F633">
        <v>2900</v>
      </c>
      <c r="G633" t="s">
        <v>569</v>
      </c>
      <c r="H633" t="s">
        <v>2366</v>
      </c>
      <c r="I633" t="s">
        <v>2366</v>
      </c>
      <c r="J633">
        <v>2904</v>
      </c>
      <c r="K633" t="s">
        <v>1432</v>
      </c>
      <c r="L633">
        <v>1200</v>
      </c>
      <c r="M633" t="s">
        <v>1480</v>
      </c>
      <c r="N633">
        <v>1201</v>
      </c>
      <c r="O633" t="s">
        <v>1486</v>
      </c>
      <c r="P633" t="s">
        <v>2366</v>
      </c>
      <c r="Q633" t="s">
        <v>2364</v>
      </c>
      <c r="R633" t="s">
        <v>2364</v>
      </c>
      <c r="S633" t="s">
        <v>1881</v>
      </c>
      <c r="T633" t="s">
        <v>1812</v>
      </c>
      <c r="U633" t="s">
        <v>2365</v>
      </c>
      <c r="V633" t="s">
        <v>2365</v>
      </c>
      <c r="W633" t="s">
        <v>2365</v>
      </c>
      <c r="X633" t="s">
        <v>2365</v>
      </c>
      <c r="Y633" t="s">
        <v>2365</v>
      </c>
      <c r="Z633" t="s">
        <v>2365</v>
      </c>
      <c r="AA633" t="s">
        <v>2365</v>
      </c>
      <c r="AB633" t="s">
        <v>2365</v>
      </c>
      <c r="AC633" s="813" t="s">
        <v>2365</v>
      </c>
      <c r="AD633" s="813" t="s">
        <v>2365</v>
      </c>
      <c r="AE633" s="813" t="s">
        <v>2365</v>
      </c>
      <c r="AF633" t="s">
        <v>2365</v>
      </c>
      <c r="AG633" t="s">
        <v>2365</v>
      </c>
      <c r="AH633" t="s">
        <v>2365</v>
      </c>
      <c r="AI633" t="s">
        <v>2365</v>
      </c>
      <c r="AJ633" t="s">
        <v>2365</v>
      </c>
      <c r="AK633" t="s">
        <v>2365</v>
      </c>
      <c r="AL633" t="s">
        <v>2365</v>
      </c>
      <c r="AM633" t="s">
        <v>2365</v>
      </c>
      <c r="AN633" t="s">
        <v>2365</v>
      </c>
      <c r="AR633" t="s">
        <v>2365</v>
      </c>
      <c r="AS633" t="s">
        <v>2365</v>
      </c>
      <c r="AT633" t="s">
        <v>2365</v>
      </c>
      <c r="AU633" t="s">
        <v>2365</v>
      </c>
      <c r="AV633" t="s">
        <v>2365</v>
      </c>
      <c r="AW633" t="s">
        <v>2365</v>
      </c>
      <c r="AX633" t="s">
        <v>2365</v>
      </c>
      <c r="AY633" t="s">
        <v>2365</v>
      </c>
      <c r="AZ633" t="s">
        <v>2365</v>
      </c>
      <c r="BA633" t="s">
        <v>2365</v>
      </c>
      <c r="BB633" t="s">
        <v>2365</v>
      </c>
      <c r="BC633" t="s">
        <v>2365</v>
      </c>
      <c r="BD633" t="s">
        <v>2366</v>
      </c>
      <c r="BE633" t="s">
        <v>2365</v>
      </c>
      <c r="BF633" t="s">
        <v>2365</v>
      </c>
      <c r="BG633" t="s">
        <v>2365</v>
      </c>
      <c r="BH633" t="s">
        <v>2365</v>
      </c>
      <c r="BI633" t="s">
        <v>2366</v>
      </c>
      <c r="BJ633" t="s">
        <v>2365</v>
      </c>
      <c r="BK633" t="s">
        <v>2365</v>
      </c>
      <c r="BL633" t="s">
        <v>2365</v>
      </c>
      <c r="BM633" t="s">
        <v>2365</v>
      </c>
      <c r="BO633">
        <v>1</v>
      </c>
      <c r="BP633">
        <v>14</v>
      </c>
      <c r="BQ633" t="s">
        <v>2369</v>
      </c>
      <c r="BR633" t="s">
        <v>1486</v>
      </c>
      <c r="BU633">
        <v>0</v>
      </c>
      <c r="BV633">
        <v>0</v>
      </c>
      <c r="BW633">
        <v>0</v>
      </c>
      <c r="BX633">
        <v>0</v>
      </c>
      <c r="BY633">
        <v>0</v>
      </c>
      <c r="BZ633">
        <v>0</v>
      </c>
      <c r="CA633">
        <v>0</v>
      </c>
      <c r="CB633">
        <v>0</v>
      </c>
      <c r="CC633">
        <v>0</v>
      </c>
      <c r="CD633">
        <v>0</v>
      </c>
      <c r="CE633">
        <v>0</v>
      </c>
      <c r="CF633">
        <v>0</v>
      </c>
      <c r="CG633">
        <v>0</v>
      </c>
      <c r="CH633">
        <v>0</v>
      </c>
      <c r="CI633">
        <v>0</v>
      </c>
      <c r="CJ633">
        <v>0</v>
      </c>
      <c r="CK633">
        <v>0</v>
      </c>
      <c r="CL633">
        <v>0</v>
      </c>
      <c r="CM633">
        <v>0</v>
      </c>
      <c r="CR633" t="s">
        <v>2325</v>
      </c>
      <c r="CS633" s="1369" t="str">
        <f>INDEX([8]Sheet1!$H:$H,MATCH(CR:CR,[8]Sheet1!$AU:$AU,0))</f>
        <v>Asset Management</v>
      </c>
    </row>
    <row r="634" spans="1:97" x14ac:dyDescent="0.2">
      <c r="A634" t="s">
        <v>3208</v>
      </c>
      <c r="B634">
        <v>687</v>
      </c>
      <c r="C634" t="s">
        <v>3208</v>
      </c>
      <c r="D634">
        <v>41278</v>
      </c>
      <c r="E634" t="s">
        <v>2508</v>
      </c>
      <c r="F634">
        <v>2900</v>
      </c>
      <c r="G634" t="s">
        <v>569</v>
      </c>
      <c r="H634" t="s">
        <v>2366</v>
      </c>
      <c r="I634" t="s">
        <v>2366</v>
      </c>
      <c r="J634">
        <v>2904</v>
      </c>
      <c r="K634" t="s">
        <v>1432</v>
      </c>
      <c r="L634">
        <v>1200</v>
      </c>
      <c r="M634" t="s">
        <v>1480</v>
      </c>
      <c r="N634">
        <v>1201</v>
      </c>
      <c r="O634" t="s">
        <v>1486</v>
      </c>
      <c r="P634" t="s">
        <v>2366</v>
      </c>
      <c r="Q634" t="s">
        <v>2364</v>
      </c>
      <c r="R634" t="s">
        <v>2364</v>
      </c>
      <c r="S634" t="s">
        <v>1881</v>
      </c>
      <c r="T634" t="s">
        <v>1812</v>
      </c>
      <c r="U634" t="s">
        <v>2365</v>
      </c>
      <c r="V634" t="s">
        <v>2365</v>
      </c>
      <c r="W634" t="s">
        <v>2365</v>
      </c>
      <c r="X634" t="s">
        <v>2365</v>
      </c>
      <c r="Y634" t="s">
        <v>2365</v>
      </c>
      <c r="Z634" t="s">
        <v>2365</v>
      </c>
      <c r="AA634" t="s">
        <v>2365</v>
      </c>
      <c r="AB634" t="s">
        <v>2365</v>
      </c>
      <c r="AC634" s="813" t="s">
        <v>2365</v>
      </c>
      <c r="AD634" s="813" t="s">
        <v>2365</v>
      </c>
      <c r="AE634" s="813" t="s">
        <v>2365</v>
      </c>
      <c r="AF634" t="s">
        <v>2365</v>
      </c>
      <c r="AG634" t="s">
        <v>2365</v>
      </c>
      <c r="AH634" t="s">
        <v>2365</v>
      </c>
      <c r="AI634" t="s">
        <v>2365</v>
      </c>
      <c r="AJ634" t="s">
        <v>2365</v>
      </c>
      <c r="AK634" t="s">
        <v>2365</v>
      </c>
      <c r="AL634" t="s">
        <v>2365</v>
      </c>
      <c r="AM634" t="s">
        <v>2365</v>
      </c>
      <c r="AN634" t="s">
        <v>2365</v>
      </c>
      <c r="AR634" t="s">
        <v>2365</v>
      </c>
      <c r="AS634" t="s">
        <v>2365</v>
      </c>
      <c r="AT634" t="s">
        <v>2365</v>
      </c>
      <c r="AU634" t="s">
        <v>2365</v>
      </c>
      <c r="AV634" t="s">
        <v>2365</v>
      </c>
      <c r="AW634" t="s">
        <v>2365</v>
      </c>
      <c r="AX634" t="s">
        <v>2365</v>
      </c>
      <c r="AY634" t="s">
        <v>2365</v>
      </c>
      <c r="AZ634" t="s">
        <v>2365</v>
      </c>
      <c r="BA634" t="s">
        <v>2365</v>
      </c>
      <c r="BB634" t="s">
        <v>2365</v>
      </c>
      <c r="BC634" t="s">
        <v>2365</v>
      </c>
      <c r="BD634" t="s">
        <v>2366</v>
      </c>
      <c r="BE634" t="s">
        <v>2365</v>
      </c>
      <c r="BF634" t="s">
        <v>2365</v>
      </c>
      <c r="BG634" t="s">
        <v>2365</v>
      </c>
      <c r="BH634" t="s">
        <v>2365</v>
      </c>
      <c r="BI634" t="s">
        <v>2366</v>
      </c>
      <c r="BJ634" t="s">
        <v>2365</v>
      </c>
      <c r="BK634" t="s">
        <v>2365</v>
      </c>
      <c r="BL634" t="s">
        <v>2365</v>
      </c>
      <c r="BM634" t="s">
        <v>2365</v>
      </c>
      <c r="BO634">
        <v>1</v>
      </c>
      <c r="BP634">
        <v>14</v>
      </c>
      <c r="BQ634" t="s">
        <v>2369</v>
      </c>
      <c r="BR634" t="s">
        <v>1486</v>
      </c>
      <c r="BU634">
        <v>150000</v>
      </c>
      <c r="BV634">
        <v>0</v>
      </c>
      <c r="BW634">
        <v>150000</v>
      </c>
      <c r="BX634">
        <v>-100000</v>
      </c>
      <c r="BY634">
        <v>50000</v>
      </c>
      <c r="BZ634">
        <v>159000</v>
      </c>
      <c r="CA634">
        <v>168540</v>
      </c>
      <c r="CB634">
        <v>0</v>
      </c>
      <c r="CC634">
        <v>8291.9</v>
      </c>
      <c r="CD634">
        <v>10108.689999999999</v>
      </c>
      <c r="CE634">
        <v>1535.48</v>
      </c>
      <c r="CF634">
        <v>0</v>
      </c>
      <c r="CG634">
        <v>3260.64</v>
      </c>
      <c r="CH634">
        <v>0</v>
      </c>
      <c r="CI634">
        <v>0</v>
      </c>
      <c r="CJ634">
        <v>0</v>
      </c>
      <c r="CK634">
        <v>0</v>
      </c>
      <c r="CL634">
        <v>0</v>
      </c>
      <c r="CM634">
        <v>0</v>
      </c>
      <c r="CR634" t="s">
        <v>2325</v>
      </c>
      <c r="CS634" s="1369" t="str">
        <f>INDEX([8]Sheet1!$H:$H,MATCH(CR:CR,[8]Sheet1!$AU:$AU,0))</f>
        <v>Asset Management</v>
      </c>
    </row>
    <row r="635" spans="1:97" x14ac:dyDescent="0.2">
      <c r="A635" t="s">
        <v>3209</v>
      </c>
      <c r="B635">
        <v>688</v>
      </c>
      <c r="C635" t="s">
        <v>3209</v>
      </c>
      <c r="D635">
        <v>41279</v>
      </c>
      <c r="E635" t="s">
        <v>2916</v>
      </c>
      <c r="F635">
        <v>2900</v>
      </c>
      <c r="G635" t="s">
        <v>569</v>
      </c>
      <c r="H635" t="s">
        <v>2366</v>
      </c>
      <c r="I635" t="s">
        <v>2366</v>
      </c>
      <c r="J635">
        <v>2904</v>
      </c>
      <c r="K635" t="s">
        <v>1432</v>
      </c>
      <c r="L635">
        <v>1200</v>
      </c>
      <c r="M635" t="s">
        <v>1480</v>
      </c>
      <c r="N635">
        <v>1201</v>
      </c>
      <c r="O635" t="s">
        <v>1486</v>
      </c>
      <c r="P635" t="s">
        <v>2366</v>
      </c>
      <c r="Q635" t="s">
        <v>2364</v>
      </c>
      <c r="R635" t="s">
        <v>2364</v>
      </c>
      <c r="S635" t="s">
        <v>1881</v>
      </c>
      <c r="T635" t="s">
        <v>1812</v>
      </c>
      <c r="U635" t="s">
        <v>2365</v>
      </c>
      <c r="V635" t="s">
        <v>2365</v>
      </c>
      <c r="W635" t="s">
        <v>2365</v>
      </c>
      <c r="X635" t="s">
        <v>2365</v>
      </c>
      <c r="Y635" t="s">
        <v>2365</v>
      </c>
      <c r="Z635" t="s">
        <v>2365</v>
      </c>
      <c r="AA635" t="s">
        <v>2365</v>
      </c>
      <c r="AB635" t="s">
        <v>2365</v>
      </c>
      <c r="AC635" s="813" t="s">
        <v>2365</v>
      </c>
      <c r="AD635" s="813" t="s">
        <v>2365</v>
      </c>
      <c r="AE635" s="813" t="s">
        <v>2365</v>
      </c>
      <c r="AF635" t="s">
        <v>2365</v>
      </c>
      <c r="AG635" t="s">
        <v>2365</v>
      </c>
      <c r="AH635" t="s">
        <v>2365</v>
      </c>
      <c r="AI635" t="s">
        <v>2365</v>
      </c>
      <c r="AJ635" t="s">
        <v>2365</v>
      </c>
      <c r="AK635" t="s">
        <v>2365</v>
      </c>
      <c r="AL635" t="s">
        <v>2365</v>
      </c>
      <c r="AM635" t="s">
        <v>2365</v>
      </c>
      <c r="AN635" t="s">
        <v>2365</v>
      </c>
      <c r="AR635" t="s">
        <v>2365</v>
      </c>
      <c r="AS635" t="s">
        <v>2365</v>
      </c>
      <c r="AT635" t="s">
        <v>2365</v>
      </c>
      <c r="AU635" t="s">
        <v>2365</v>
      </c>
      <c r="AV635" t="s">
        <v>2365</v>
      </c>
      <c r="AW635" t="s">
        <v>2365</v>
      </c>
      <c r="AX635" t="s">
        <v>2365</v>
      </c>
      <c r="AY635" t="s">
        <v>2365</v>
      </c>
      <c r="AZ635" t="s">
        <v>2365</v>
      </c>
      <c r="BA635" t="s">
        <v>2365</v>
      </c>
      <c r="BB635" t="s">
        <v>2365</v>
      </c>
      <c r="BC635" t="s">
        <v>2365</v>
      </c>
      <c r="BD635" t="s">
        <v>2366</v>
      </c>
      <c r="BE635" t="s">
        <v>2365</v>
      </c>
      <c r="BF635" t="s">
        <v>2365</v>
      </c>
      <c r="BG635" t="s">
        <v>2365</v>
      </c>
      <c r="BH635" t="s">
        <v>2365</v>
      </c>
      <c r="BI635" t="s">
        <v>2366</v>
      </c>
      <c r="BJ635" t="s">
        <v>2365</v>
      </c>
      <c r="BK635" t="s">
        <v>2365</v>
      </c>
      <c r="BL635" t="s">
        <v>2365</v>
      </c>
      <c r="BM635" t="s">
        <v>2365</v>
      </c>
      <c r="BO635">
        <v>1</v>
      </c>
      <c r="BP635">
        <v>14</v>
      </c>
      <c r="BQ635" t="s">
        <v>2369</v>
      </c>
      <c r="BR635" t="s">
        <v>1486</v>
      </c>
      <c r="BU635">
        <v>0</v>
      </c>
      <c r="BV635">
        <v>0</v>
      </c>
      <c r="BW635">
        <v>0</v>
      </c>
      <c r="BX635">
        <v>0</v>
      </c>
      <c r="BY635">
        <v>0</v>
      </c>
      <c r="BZ635">
        <v>0</v>
      </c>
      <c r="CA635">
        <v>0</v>
      </c>
      <c r="CB635">
        <v>0</v>
      </c>
      <c r="CC635">
        <v>0</v>
      </c>
      <c r="CD635">
        <v>0</v>
      </c>
      <c r="CE635">
        <v>0</v>
      </c>
      <c r="CF635">
        <v>0</v>
      </c>
      <c r="CG635">
        <v>0</v>
      </c>
      <c r="CH635">
        <v>0</v>
      </c>
      <c r="CI635">
        <v>0</v>
      </c>
      <c r="CJ635">
        <v>0</v>
      </c>
      <c r="CK635">
        <v>0</v>
      </c>
      <c r="CL635">
        <v>0</v>
      </c>
      <c r="CM635">
        <v>0</v>
      </c>
      <c r="CR635" t="s">
        <v>2325</v>
      </c>
      <c r="CS635" s="1369" t="str">
        <f>INDEX([8]Sheet1!$H:$H,MATCH(CR:CR,[8]Sheet1!$AU:$AU,0))</f>
        <v>Asset Management</v>
      </c>
    </row>
    <row r="636" spans="1:97" x14ac:dyDescent="0.2">
      <c r="A636" t="s">
        <v>3210</v>
      </c>
      <c r="B636">
        <v>689</v>
      </c>
      <c r="C636" t="s">
        <v>3210</v>
      </c>
      <c r="D636">
        <v>41280</v>
      </c>
      <c r="E636" t="s">
        <v>2510</v>
      </c>
      <c r="F636">
        <v>2900</v>
      </c>
      <c r="G636" t="s">
        <v>569</v>
      </c>
      <c r="H636" t="s">
        <v>2366</v>
      </c>
      <c r="I636" t="s">
        <v>2366</v>
      </c>
      <c r="J636">
        <v>2904</v>
      </c>
      <c r="K636" t="s">
        <v>1432</v>
      </c>
      <c r="L636">
        <v>1200</v>
      </c>
      <c r="M636" t="s">
        <v>1480</v>
      </c>
      <c r="N636">
        <v>1201</v>
      </c>
      <c r="O636" t="s">
        <v>1486</v>
      </c>
      <c r="P636" t="s">
        <v>2366</v>
      </c>
      <c r="Q636" t="s">
        <v>2364</v>
      </c>
      <c r="R636" t="s">
        <v>2364</v>
      </c>
      <c r="S636" t="s">
        <v>1881</v>
      </c>
      <c r="T636" t="s">
        <v>1812</v>
      </c>
      <c r="U636" t="s">
        <v>2365</v>
      </c>
      <c r="V636" t="s">
        <v>2365</v>
      </c>
      <c r="W636" t="s">
        <v>2365</v>
      </c>
      <c r="X636" t="s">
        <v>2365</v>
      </c>
      <c r="Y636" t="s">
        <v>2365</v>
      </c>
      <c r="Z636" t="s">
        <v>2365</v>
      </c>
      <c r="AA636" t="s">
        <v>2365</v>
      </c>
      <c r="AB636" t="s">
        <v>2365</v>
      </c>
      <c r="AC636" s="813" t="s">
        <v>2365</v>
      </c>
      <c r="AD636" s="813" t="s">
        <v>2365</v>
      </c>
      <c r="AE636" s="813" t="s">
        <v>2365</v>
      </c>
      <c r="AF636" t="s">
        <v>2365</v>
      </c>
      <c r="AG636" t="s">
        <v>2365</v>
      </c>
      <c r="AH636" t="s">
        <v>2365</v>
      </c>
      <c r="AI636" t="s">
        <v>2365</v>
      </c>
      <c r="AJ636" t="s">
        <v>2365</v>
      </c>
      <c r="AK636" t="s">
        <v>2365</v>
      </c>
      <c r="AL636" t="s">
        <v>2365</v>
      </c>
      <c r="AM636" t="s">
        <v>2365</v>
      </c>
      <c r="AN636" t="s">
        <v>2365</v>
      </c>
      <c r="AR636" t="s">
        <v>2365</v>
      </c>
      <c r="AS636" t="s">
        <v>2365</v>
      </c>
      <c r="AT636" t="s">
        <v>2365</v>
      </c>
      <c r="AU636" t="s">
        <v>2365</v>
      </c>
      <c r="AV636" t="s">
        <v>2365</v>
      </c>
      <c r="AW636" t="s">
        <v>2365</v>
      </c>
      <c r="AX636" t="s">
        <v>2365</v>
      </c>
      <c r="AY636" t="s">
        <v>2365</v>
      </c>
      <c r="AZ636" t="s">
        <v>2365</v>
      </c>
      <c r="BA636" t="s">
        <v>2365</v>
      </c>
      <c r="BB636" t="s">
        <v>2365</v>
      </c>
      <c r="BC636" t="s">
        <v>2365</v>
      </c>
      <c r="BD636" t="s">
        <v>2366</v>
      </c>
      <c r="BE636" t="s">
        <v>2365</v>
      </c>
      <c r="BF636" t="s">
        <v>2365</v>
      </c>
      <c r="BG636" t="s">
        <v>2365</v>
      </c>
      <c r="BH636" t="s">
        <v>2365</v>
      </c>
      <c r="BI636" t="s">
        <v>2366</v>
      </c>
      <c r="BJ636" t="s">
        <v>2365</v>
      </c>
      <c r="BK636" t="s">
        <v>2365</v>
      </c>
      <c r="BL636" t="s">
        <v>2365</v>
      </c>
      <c r="BM636" t="s">
        <v>2365</v>
      </c>
      <c r="BO636">
        <v>1</v>
      </c>
      <c r="BP636">
        <v>14</v>
      </c>
      <c r="BQ636" t="s">
        <v>2369</v>
      </c>
      <c r="BR636" t="s">
        <v>1486</v>
      </c>
      <c r="BU636">
        <v>40000</v>
      </c>
      <c r="BV636">
        <v>0</v>
      </c>
      <c r="BW636">
        <v>40000</v>
      </c>
      <c r="BX636">
        <v>-30000</v>
      </c>
      <c r="BY636">
        <v>10000</v>
      </c>
      <c r="BZ636">
        <v>42400</v>
      </c>
      <c r="CA636">
        <v>44944</v>
      </c>
      <c r="CB636">
        <v>0</v>
      </c>
      <c r="CC636">
        <v>0</v>
      </c>
      <c r="CD636">
        <v>0</v>
      </c>
      <c r="CE636">
        <v>0</v>
      </c>
      <c r="CF636">
        <v>0</v>
      </c>
      <c r="CG636">
        <v>0</v>
      </c>
      <c r="CH636">
        <v>0</v>
      </c>
      <c r="CI636">
        <v>12756.5</v>
      </c>
      <c r="CJ636">
        <v>0</v>
      </c>
      <c r="CK636">
        <v>0</v>
      </c>
      <c r="CL636">
        <v>0</v>
      </c>
      <c r="CM636">
        <v>0</v>
      </c>
      <c r="CR636" t="s">
        <v>2325</v>
      </c>
      <c r="CS636" s="1369" t="str">
        <f>INDEX([8]Sheet1!$H:$H,MATCH(CR:CR,[8]Sheet1!$AU:$AU,0))</f>
        <v>Asset Management</v>
      </c>
    </row>
    <row r="637" spans="1:97" x14ac:dyDescent="0.2">
      <c r="A637" t="s">
        <v>3211</v>
      </c>
      <c r="B637">
        <v>690</v>
      </c>
      <c r="C637" t="s">
        <v>3211</v>
      </c>
      <c r="D637">
        <v>41281</v>
      </c>
      <c r="E637" t="s">
        <v>2919</v>
      </c>
      <c r="F637">
        <v>2900</v>
      </c>
      <c r="G637" t="s">
        <v>569</v>
      </c>
      <c r="H637" t="s">
        <v>2366</v>
      </c>
      <c r="I637" t="s">
        <v>2366</v>
      </c>
      <c r="J637">
        <v>2904</v>
      </c>
      <c r="K637" t="s">
        <v>1432</v>
      </c>
      <c r="L637">
        <v>1200</v>
      </c>
      <c r="M637" t="s">
        <v>1480</v>
      </c>
      <c r="N637">
        <v>1201</v>
      </c>
      <c r="O637" t="s">
        <v>1486</v>
      </c>
      <c r="P637" t="s">
        <v>2366</v>
      </c>
      <c r="Q637" t="s">
        <v>2364</v>
      </c>
      <c r="R637" t="s">
        <v>2364</v>
      </c>
      <c r="S637" t="s">
        <v>1881</v>
      </c>
      <c r="T637" t="s">
        <v>1812</v>
      </c>
      <c r="U637" t="s">
        <v>2365</v>
      </c>
      <c r="V637" t="s">
        <v>2365</v>
      </c>
      <c r="W637" t="s">
        <v>2365</v>
      </c>
      <c r="X637" t="s">
        <v>2365</v>
      </c>
      <c r="Y637" t="s">
        <v>2365</v>
      </c>
      <c r="Z637" t="s">
        <v>2365</v>
      </c>
      <c r="AA637" t="s">
        <v>2365</v>
      </c>
      <c r="AB637" t="s">
        <v>2365</v>
      </c>
      <c r="AC637" s="813" t="s">
        <v>2365</v>
      </c>
      <c r="AD637" s="813" t="s">
        <v>2365</v>
      </c>
      <c r="AE637" s="813" t="s">
        <v>2365</v>
      </c>
      <c r="AF637" t="s">
        <v>2365</v>
      </c>
      <c r="AG637" t="s">
        <v>2365</v>
      </c>
      <c r="AH637" t="s">
        <v>2365</v>
      </c>
      <c r="AI637" t="s">
        <v>2365</v>
      </c>
      <c r="AJ637" t="s">
        <v>2365</v>
      </c>
      <c r="AK637" t="s">
        <v>2365</v>
      </c>
      <c r="AL637" t="s">
        <v>2365</v>
      </c>
      <c r="AM637" t="s">
        <v>2365</v>
      </c>
      <c r="AN637" t="s">
        <v>2365</v>
      </c>
      <c r="AR637" t="s">
        <v>2365</v>
      </c>
      <c r="AS637" t="s">
        <v>2365</v>
      </c>
      <c r="AT637" t="s">
        <v>2365</v>
      </c>
      <c r="AU637" t="s">
        <v>2365</v>
      </c>
      <c r="AV637" t="s">
        <v>2365</v>
      </c>
      <c r="AW637" t="s">
        <v>2365</v>
      </c>
      <c r="AX637" t="s">
        <v>2365</v>
      </c>
      <c r="AY637" t="s">
        <v>2365</v>
      </c>
      <c r="AZ637" t="s">
        <v>2365</v>
      </c>
      <c r="BA637" t="s">
        <v>2365</v>
      </c>
      <c r="BB637" t="s">
        <v>2365</v>
      </c>
      <c r="BC637" t="s">
        <v>2365</v>
      </c>
      <c r="BD637" t="s">
        <v>2366</v>
      </c>
      <c r="BE637" t="s">
        <v>2365</v>
      </c>
      <c r="BF637" t="s">
        <v>2365</v>
      </c>
      <c r="BG637" t="s">
        <v>2365</v>
      </c>
      <c r="BH637" t="s">
        <v>2365</v>
      </c>
      <c r="BI637" t="s">
        <v>2366</v>
      </c>
      <c r="BJ637" t="s">
        <v>2365</v>
      </c>
      <c r="BK637" t="s">
        <v>2365</v>
      </c>
      <c r="BL637" t="s">
        <v>2365</v>
      </c>
      <c r="BM637" t="s">
        <v>2365</v>
      </c>
      <c r="BO637">
        <v>1</v>
      </c>
      <c r="BP637">
        <v>14</v>
      </c>
      <c r="BQ637" t="s">
        <v>2369</v>
      </c>
      <c r="BR637" t="s">
        <v>1486</v>
      </c>
      <c r="BU637">
        <v>0</v>
      </c>
      <c r="BV637">
        <v>0</v>
      </c>
      <c r="BW637">
        <v>0</v>
      </c>
      <c r="BX637">
        <v>0</v>
      </c>
      <c r="BY637">
        <v>0</v>
      </c>
      <c r="BZ637">
        <v>0</v>
      </c>
      <c r="CA637">
        <v>0</v>
      </c>
      <c r="CB637">
        <v>0</v>
      </c>
      <c r="CC637">
        <v>0</v>
      </c>
      <c r="CD637">
        <v>0</v>
      </c>
      <c r="CE637">
        <v>0</v>
      </c>
      <c r="CF637">
        <v>0</v>
      </c>
      <c r="CG637">
        <v>0</v>
      </c>
      <c r="CH637">
        <v>0</v>
      </c>
      <c r="CI637">
        <v>0</v>
      </c>
      <c r="CJ637">
        <v>0</v>
      </c>
      <c r="CK637">
        <v>0</v>
      </c>
      <c r="CL637">
        <v>0</v>
      </c>
      <c r="CM637">
        <v>0</v>
      </c>
      <c r="CR637" t="s">
        <v>2325</v>
      </c>
      <c r="CS637" s="1369" t="str">
        <f>INDEX([8]Sheet1!$H:$H,MATCH(CR:CR,[8]Sheet1!$AU:$AU,0))</f>
        <v>Asset Management</v>
      </c>
    </row>
    <row r="638" spans="1:97" x14ac:dyDescent="0.2">
      <c r="A638" t="s">
        <v>3212</v>
      </c>
      <c r="B638">
        <v>691</v>
      </c>
      <c r="C638" t="s">
        <v>3212</v>
      </c>
      <c r="D638">
        <v>41282</v>
      </c>
      <c r="E638" t="s">
        <v>2610</v>
      </c>
      <c r="F638">
        <v>2900</v>
      </c>
      <c r="G638" t="s">
        <v>569</v>
      </c>
      <c r="H638" t="s">
        <v>2366</v>
      </c>
      <c r="I638" t="s">
        <v>2366</v>
      </c>
      <c r="J638">
        <v>2904</v>
      </c>
      <c r="K638" t="s">
        <v>1432</v>
      </c>
      <c r="L638">
        <v>1200</v>
      </c>
      <c r="M638" t="s">
        <v>1480</v>
      </c>
      <c r="N638">
        <v>1201</v>
      </c>
      <c r="O638" t="s">
        <v>1486</v>
      </c>
      <c r="P638" t="s">
        <v>2366</v>
      </c>
      <c r="Q638" t="s">
        <v>2364</v>
      </c>
      <c r="R638" t="s">
        <v>2364</v>
      </c>
      <c r="S638" t="s">
        <v>1881</v>
      </c>
      <c r="T638" t="s">
        <v>1812</v>
      </c>
      <c r="U638" t="s">
        <v>2365</v>
      </c>
      <c r="V638" t="s">
        <v>2365</v>
      </c>
      <c r="W638" t="s">
        <v>2365</v>
      </c>
      <c r="X638" t="s">
        <v>2365</v>
      </c>
      <c r="Y638" t="s">
        <v>2365</v>
      </c>
      <c r="Z638" t="s">
        <v>2365</v>
      </c>
      <c r="AA638" t="s">
        <v>2365</v>
      </c>
      <c r="AB638" t="s">
        <v>2365</v>
      </c>
      <c r="AC638" s="813" t="s">
        <v>2365</v>
      </c>
      <c r="AD638" s="813" t="s">
        <v>2365</v>
      </c>
      <c r="AE638" s="813" t="s">
        <v>2365</v>
      </c>
      <c r="AF638" t="s">
        <v>2365</v>
      </c>
      <c r="AG638" t="s">
        <v>2365</v>
      </c>
      <c r="AH638" t="s">
        <v>2365</v>
      </c>
      <c r="AI638" t="s">
        <v>2365</v>
      </c>
      <c r="AJ638" t="s">
        <v>2365</v>
      </c>
      <c r="AK638" t="s">
        <v>2365</v>
      </c>
      <c r="AL638" t="s">
        <v>2365</v>
      </c>
      <c r="AM638" t="s">
        <v>2365</v>
      </c>
      <c r="AN638" t="s">
        <v>2365</v>
      </c>
      <c r="AR638" t="s">
        <v>2365</v>
      </c>
      <c r="AS638" t="s">
        <v>2365</v>
      </c>
      <c r="AT638" t="s">
        <v>2365</v>
      </c>
      <c r="AU638" t="s">
        <v>2365</v>
      </c>
      <c r="AV638" t="s">
        <v>2365</v>
      </c>
      <c r="AW638" t="s">
        <v>2365</v>
      </c>
      <c r="AX638" t="s">
        <v>2365</v>
      </c>
      <c r="AY638" t="s">
        <v>2365</v>
      </c>
      <c r="AZ638" t="s">
        <v>2365</v>
      </c>
      <c r="BA638" t="s">
        <v>2365</v>
      </c>
      <c r="BB638" t="s">
        <v>2365</v>
      </c>
      <c r="BC638" t="s">
        <v>2365</v>
      </c>
      <c r="BD638" t="s">
        <v>2366</v>
      </c>
      <c r="BE638" t="s">
        <v>2365</v>
      </c>
      <c r="BF638" t="s">
        <v>2365</v>
      </c>
      <c r="BG638" t="s">
        <v>2365</v>
      </c>
      <c r="BH638" t="s">
        <v>2365</v>
      </c>
      <c r="BI638" t="s">
        <v>2366</v>
      </c>
      <c r="BJ638" t="s">
        <v>2365</v>
      </c>
      <c r="BK638" t="s">
        <v>2365</v>
      </c>
      <c r="BL638" t="s">
        <v>2365</v>
      </c>
      <c r="BM638" t="s">
        <v>2365</v>
      </c>
      <c r="BO638">
        <v>1</v>
      </c>
      <c r="BP638">
        <v>14</v>
      </c>
      <c r="BQ638" t="s">
        <v>2369</v>
      </c>
      <c r="BR638" t="s">
        <v>1486</v>
      </c>
      <c r="BU638">
        <v>0</v>
      </c>
      <c r="BV638">
        <v>0</v>
      </c>
      <c r="BW638">
        <v>0</v>
      </c>
      <c r="BX638">
        <v>0</v>
      </c>
      <c r="BY638">
        <v>0</v>
      </c>
      <c r="BZ638">
        <v>0</v>
      </c>
      <c r="CA638">
        <v>0</v>
      </c>
      <c r="CB638">
        <v>0</v>
      </c>
      <c r="CC638">
        <v>0</v>
      </c>
      <c r="CD638">
        <v>0</v>
      </c>
      <c r="CE638">
        <v>0</v>
      </c>
      <c r="CF638">
        <v>0</v>
      </c>
      <c r="CG638">
        <v>0</v>
      </c>
      <c r="CH638">
        <v>0</v>
      </c>
      <c r="CI638">
        <v>0</v>
      </c>
      <c r="CJ638">
        <v>0</v>
      </c>
      <c r="CK638">
        <v>0</v>
      </c>
      <c r="CL638">
        <v>0</v>
      </c>
      <c r="CM638">
        <v>0</v>
      </c>
      <c r="CR638" t="s">
        <v>2324</v>
      </c>
      <c r="CS638" s="1369" t="str">
        <f>INDEX([8]Sheet1!$H:$H,MATCH(CR:CR,[8]Sheet1!$AU:$AU,0))</f>
        <v>Finance</v>
      </c>
    </row>
    <row r="639" spans="1:97" x14ac:dyDescent="0.2">
      <c r="A639" t="s">
        <v>3213</v>
      </c>
      <c r="B639">
        <v>692</v>
      </c>
      <c r="C639" t="s">
        <v>3213</v>
      </c>
      <c r="D639">
        <v>41283</v>
      </c>
      <c r="E639" t="s">
        <v>2504</v>
      </c>
      <c r="F639">
        <v>2900</v>
      </c>
      <c r="G639" t="s">
        <v>569</v>
      </c>
      <c r="H639" t="s">
        <v>2366</v>
      </c>
      <c r="I639" t="s">
        <v>2366</v>
      </c>
      <c r="J639">
        <v>2904</v>
      </c>
      <c r="K639" t="s">
        <v>1432</v>
      </c>
      <c r="L639">
        <v>1200</v>
      </c>
      <c r="M639" t="s">
        <v>1480</v>
      </c>
      <c r="N639">
        <v>1207</v>
      </c>
      <c r="O639" t="s">
        <v>997</v>
      </c>
      <c r="P639" t="s">
        <v>2366</v>
      </c>
      <c r="Q639" t="s">
        <v>2364</v>
      </c>
      <c r="R639" t="s">
        <v>2364</v>
      </c>
      <c r="S639" t="s">
        <v>1881</v>
      </c>
      <c r="T639" t="s">
        <v>1812</v>
      </c>
      <c r="U639" t="s">
        <v>2365</v>
      </c>
      <c r="V639" t="s">
        <v>2365</v>
      </c>
      <c r="W639" t="s">
        <v>2365</v>
      </c>
      <c r="X639" t="s">
        <v>2365</v>
      </c>
      <c r="Y639" t="s">
        <v>2365</v>
      </c>
      <c r="Z639" t="s">
        <v>2365</v>
      </c>
      <c r="AA639" t="s">
        <v>2365</v>
      </c>
      <c r="AB639" t="s">
        <v>2365</v>
      </c>
      <c r="AC639" s="813" t="s">
        <v>2365</v>
      </c>
      <c r="AD639" s="813" t="s">
        <v>2365</v>
      </c>
      <c r="AE639" s="813" t="s">
        <v>2365</v>
      </c>
      <c r="AF639" t="s">
        <v>2365</v>
      </c>
      <c r="AG639" t="s">
        <v>2365</v>
      </c>
      <c r="AH639" t="s">
        <v>2365</v>
      </c>
      <c r="AI639" t="s">
        <v>2365</v>
      </c>
      <c r="AJ639" t="s">
        <v>2365</v>
      </c>
      <c r="AK639" t="s">
        <v>2365</v>
      </c>
      <c r="AL639" t="s">
        <v>2365</v>
      </c>
      <c r="AM639" t="s">
        <v>2365</v>
      </c>
      <c r="AN639" t="s">
        <v>2365</v>
      </c>
      <c r="AR639" t="s">
        <v>2365</v>
      </c>
      <c r="AS639" t="s">
        <v>2365</v>
      </c>
      <c r="AT639" t="s">
        <v>2365</v>
      </c>
      <c r="AU639" t="s">
        <v>2365</v>
      </c>
      <c r="AV639" t="s">
        <v>2365</v>
      </c>
      <c r="AW639" t="s">
        <v>2365</v>
      </c>
      <c r="AX639" t="s">
        <v>2365</v>
      </c>
      <c r="AY639" t="s">
        <v>2365</v>
      </c>
      <c r="AZ639" t="s">
        <v>2365</v>
      </c>
      <c r="BA639" t="s">
        <v>2365</v>
      </c>
      <c r="BB639" t="s">
        <v>2365</v>
      </c>
      <c r="BC639" t="s">
        <v>2365</v>
      </c>
      <c r="BD639" t="s">
        <v>2366</v>
      </c>
      <c r="BE639" t="s">
        <v>2365</v>
      </c>
      <c r="BF639" t="s">
        <v>2365</v>
      </c>
      <c r="BG639" t="s">
        <v>2365</v>
      </c>
      <c r="BH639" t="s">
        <v>2365</v>
      </c>
      <c r="BI639" t="s">
        <v>2366</v>
      </c>
      <c r="BJ639" t="s">
        <v>2365</v>
      </c>
      <c r="BK639" t="s">
        <v>2365</v>
      </c>
      <c r="BL639" t="s">
        <v>2365</v>
      </c>
      <c r="BM639" t="s">
        <v>2365</v>
      </c>
      <c r="BO639">
        <v>1</v>
      </c>
      <c r="BP639">
        <v>18</v>
      </c>
      <c r="BQ639" t="s">
        <v>2369</v>
      </c>
      <c r="BR639" t="s">
        <v>997</v>
      </c>
      <c r="BU639">
        <v>0</v>
      </c>
      <c r="BV639">
        <v>0</v>
      </c>
      <c r="BW639">
        <v>0</v>
      </c>
      <c r="BX639">
        <v>0</v>
      </c>
      <c r="BY639">
        <v>0</v>
      </c>
      <c r="BZ639">
        <v>0</v>
      </c>
      <c r="CA639">
        <v>0</v>
      </c>
      <c r="CB639">
        <v>0</v>
      </c>
      <c r="CC639">
        <v>0</v>
      </c>
      <c r="CD639">
        <v>0</v>
      </c>
      <c r="CE639">
        <v>0</v>
      </c>
      <c r="CF639">
        <v>0</v>
      </c>
      <c r="CG639">
        <v>0</v>
      </c>
      <c r="CH639">
        <v>0</v>
      </c>
      <c r="CI639">
        <v>0</v>
      </c>
      <c r="CJ639">
        <v>0</v>
      </c>
      <c r="CK639">
        <v>0</v>
      </c>
      <c r="CL639">
        <v>0</v>
      </c>
      <c r="CM639">
        <v>0</v>
      </c>
      <c r="CR639" t="s">
        <v>2324</v>
      </c>
      <c r="CS639" s="1369" t="str">
        <f>INDEX([8]Sheet1!$H:$H,MATCH(CR:CR,[8]Sheet1!$AU:$AU,0))</f>
        <v>Finance</v>
      </c>
    </row>
    <row r="640" spans="1:97" x14ac:dyDescent="0.2">
      <c r="A640" t="s">
        <v>3214</v>
      </c>
      <c r="B640">
        <v>693</v>
      </c>
      <c r="C640" t="s">
        <v>3214</v>
      </c>
      <c r="D640">
        <v>41284</v>
      </c>
      <c r="E640" t="s">
        <v>2911</v>
      </c>
      <c r="F640">
        <v>2900</v>
      </c>
      <c r="G640" t="s">
        <v>569</v>
      </c>
      <c r="H640" t="s">
        <v>2366</v>
      </c>
      <c r="I640" t="s">
        <v>2366</v>
      </c>
      <c r="J640">
        <v>2904</v>
      </c>
      <c r="K640" t="s">
        <v>1432</v>
      </c>
      <c r="L640">
        <v>1200</v>
      </c>
      <c r="M640" t="s">
        <v>1480</v>
      </c>
      <c r="N640">
        <v>1207</v>
      </c>
      <c r="O640" t="s">
        <v>997</v>
      </c>
      <c r="P640" t="s">
        <v>2366</v>
      </c>
      <c r="Q640" t="s">
        <v>2364</v>
      </c>
      <c r="R640" t="s">
        <v>2364</v>
      </c>
      <c r="S640" t="s">
        <v>1881</v>
      </c>
      <c r="T640" t="s">
        <v>1812</v>
      </c>
      <c r="U640" t="s">
        <v>2365</v>
      </c>
      <c r="V640" t="s">
        <v>2365</v>
      </c>
      <c r="W640" t="s">
        <v>2365</v>
      </c>
      <c r="X640" t="s">
        <v>2365</v>
      </c>
      <c r="Y640" t="s">
        <v>2365</v>
      </c>
      <c r="Z640" t="s">
        <v>2365</v>
      </c>
      <c r="AA640" t="s">
        <v>2365</v>
      </c>
      <c r="AB640" t="s">
        <v>2365</v>
      </c>
      <c r="AC640" s="813" t="s">
        <v>2365</v>
      </c>
      <c r="AD640" s="813" t="s">
        <v>2365</v>
      </c>
      <c r="AE640" s="813" t="s">
        <v>2365</v>
      </c>
      <c r="AF640" t="s">
        <v>2365</v>
      </c>
      <c r="AG640" t="s">
        <v>2365</v>
      </c>
      <c r="AH640" t="s">
        <v>2365</v>
      </c>
      <c r="AI640" t="s">
        <v>2365</v>
      </c>
      <c r="AJ640" t="s">
        <v>2365</v>
      </c>
      <c r="AK640" t="s">
        <v>2365</v>
      </c>
      <c r="AL640" t="s">
        <v>2365</v>
      </c>
      <c r="AM640" t="s">
        <v>2365</v>
      </c>
      <c r="AN640" t="s">
        <v>2365</v>
      </c>
      <c r="AR640" t="s">
        <v>2365</v>
      </c>
      <c r="AS640" t="s">
        <v>2365</v>
      </c>
      <c r="AT640" t="s">
        <v>2365</v>
      </c>
      <c r="AU640" t="s">
        <v>2365</v>
      </c>
      <c r="AV640" t="s">
        <v>2365</v>
      </c>
      <c r="AW640" t="s">
        <v>2365</v>
      </c>
      <c r="AX640" t="s">
        <v>2365</v>
      </c>
      <c r="AY640" t="s">
        <v>2365</v>
      </c>
      <c r="AZ640" t="s">
        <v>2365</v>
      </c>
      <c r="BA640" t="s">
        <v>2365</v>
      </c>
      <c r="BB640" t="s">
        <v>2365</v>
      </c>
      <c r="BC640" t="s">
        <v>2365</v>
      </c>
      <c r="BD640" t="s">
        <v>2366</v>
      </c>
      <c r="BE640" t="s">
        <v>2365</v>
      </c>
      <c r="BF640" t="s">
        <v>2365</v>
      </c>
      <c r="BG640" t="s">
        <v>2365</v>
      </c>
      <c r="BH640" t="s">
        <v>2365</v>
      </c>
      <c r="BI640" t="s">
        <v>2366</v>
      </c>
      <c r="BJ640" t="s">
        <v>2365</v>
      </c>
      <c r="BK640" t="s">
        <v>2365</v>
      </c>
      <c r="BL640" t="s">
        <v>2365</v>
      </c>
      <c r="BM640" t="s">
        <v>2365</v>
      </c>
      <c r="BO640">
        <v>1</v>
      </c>
      <c r="BP640">
        <v>18</v>
      </c>
      <c r="BQ640" t="s">
        <v>2369</v>
      </c>
      <c r="BR640" t="s">
        <v>997</v>
      </c>
      <c r="BU640">
        <v>0</v>
      </c>
      <c r="BV640">
        <v>0</v>
      </c>
      <c r="BW640">
        <v>0</v>
      </c>
      <c r="BX640">
        <v>0</v>
      </c>
      <c r="BY640">
        <v>0</v>
      </c>
      <c r="BZ640">
        <v>0</v>
      </c>
      <c r="CA640">
        <v>0</v>
      </c>
      <c r="CB640">
        <v>0</v>
      </c>
      <c r="CC640">
        <v>0</v>
      </c>
      <c r="CD640">
        <v>0</v>
      </c>
      <c r="CE640">
        <v>0</v>
      </c>
      <c r="CF640">
        <v>0</v>
      </c>
      <c r="CG640">
        <v>0</v>
      </c>
      <c r="CH640">
        <v>0</v>
      </c>
      <c r="CI640">
        <v>0</v>
      </c>
      <c r="CJ640">
        <v>0</v>
      </c>
      <c r="CK640">
        <v>0</v>
      </c>
      <c r="CL640">
        <v>0</v>
      </c>
      <c r="CM640">
        <v>0</v>
      </c>
      <c r="CR640" t="s">
        <v>2324</v>
      </c>
      <c r="CS640" s="1369" t="str">
        <f>INDEX([8]Sheet1!$H:$H,MATCH(CR:CR,[8]Sheet1!$AU:$AU,0))</f>
        <v>Finance</v>
      </c>
    </row>
    <row r="641" spans="1:97" x14ac:dyDescent="0.2">
      <c r="A641" t="s">
        <v>3215</v>
      </c>
      <c r="B641">
        <v>694</v>
      </c>
      <c r="C641" t="s">
        <v>3215</v>
      </c>
      <c r="D641">
        <v>41285</v>
      </c>
      <c r="E641" t="s">
        <v>2508</v>
      </c>
      <c r="F641">
        <v>2900</v>
      </c>
      <c r="G641" t="s">
        <v>569</v>
      </c>
      <c r="H641" t="s">
        <v>2366</v>
      </c>
      <c r="I641" t="s">
        <v>2366</v>
      </c>
      <c r="J641">
        <v>2904</v>
      </c>
      <c r="K641" t="s">
        <v>1432</v>
      </c>
      <c r="L641">
        <v>1200</v>
      </c>
      <c r="M641" t="s">
        <v>1480</v>
      </c>
      <c r="N641">
        <v>1207</v>
      </c>
      <c r="O641" t="s">
        <v>997</v>
      </c>
      <c r="P641" t="s">
        <v>2366</v>
      </c>
      <c r="Q641" t="s">
        <v>2364</v>
      </c>
      <c r="R641" t="s">
        <v>2364</v>
      </c>
      <c r="S641" t="s">
        <v>1881</v>
      </c>
      <c r="T641" t="s">
        <v>1812</v>
      </c>
      <c r="U641" t="s">
        <v>2365</v>
      </c>
      <c r="V641" t="s">
        <v>2365</v>
      </c>
      <c r="W641" t="s">
        <v>2365</v>
      </c>
      <c r="X641" t="s">
        <v>2365</v>
      </c>
      <c r="Y641" t="s">
        <v>2365</v>
      </c>
      <c r="Z641" t="s">
        <v>2365</v>
      </c>
      <c r="AA641" t="s">
        <v>2365</v>
      </c>
      <c r="AB641" t="s">
        <v>2365</v>
      </c>
      <c r="AC641" s="813" t="s">
        <v>2365</v>
      </c>
      <c r="AD641" s="813" t="s">
        <v>2365</v>
      </c>
      <c r="AE641" s="813" t="s">
        <v>2365</v>
      </c>
      <c r="AF641" t="s">
        <v>2365</v>
      </c>
      <c r="AG641" t="s">
        <v>2365</v>
      </c>
      <c r="AH641" t="s">
        <v>2365</v>
      </c>
      <c r="AI641" t="s">
        <v>2365</v>
      </c>
      <c r="AJ641" t="s">
        <v>2365</v>
      </c>
      <c r="AK641" t="s">
        <v>2365</v>
      </c>
      <c r="AL641" t="s">
        <v>2365</v>
      </c>
      <c r="AM641" t="s">
        <v>2365</v>
      </c>
      <c r="AN641" t="s">
        <v>2365</v>
      </c>
      <c r="AR641" t="s">
        <v>2365</v>
      </c>
      <c r="AS641" t="s">
        <v>2365</v>
      </c>
      <c r="AT641" t="s">
        <v>2365</v>
      </c>
      <c r="AU641" t="s">
        <v>2365</v>
      </c>
      <c r="AV641" t="s">
        <v>2365</v>
      </c>
      <c r="AW641" t="s">
        <v>2365</v>
      </c>
      <c r="AX641" t="s">
        <v>2365</v>
      </c>
      <c r="AY641" t="s">
        <v>2365</v>
      </c>
      <c r="AZ641" t="s">
        <v>2365</v>
      </c>
      <c r="BA641" t="s">
        <v>2365</v>
      </c>
      <c r="BB641" t="s">
        <v>2365</v>
      </c>
      <c r="BC641" t="s">
        <v>2365</v>
      </c>
      <c r="BD641" t="s">
        <v>2366</v>
      </c>
      <c r="BE641" t="s">
        <v>2365</v>
      </c>
      <c r="BF641" t="s">
        <v>2365</v>
      </c>
      <c r="BG641" t="s">
        <v>2365</v>
      </c>
      <c r="BH641" t="s">
        <v>2365</v>
      </c>
      <c r="BI641" t="s">
        <v>2366</v>
      </c>
      <c r="BJ641" t="s">
        <v>2365</v>
      </c>
      <c r="BK641" t="s">
        <v>2365</v>
      </c>
      <c r="BL641" t="s">
        <v>2365</v>
      </c>
      <c r="BM641" t="s">
        <v>2365</v>
      </c>
      <c r="BO641">
        <v>1</v>
      </c>
      <c r="BP641">
        <v>18</v>
      </c>
      <c r="BQ641" t="s">
        <v>2369</v>
      </c>
      <c r="BR641" t="s">
        <v>997</v>
      </c>
      <c r="BU641">
        <v>0</v>
      </c>
      <c r="BV641">
        <v>0</v>
      </c>
      <c r="BW641">
        <v>0</v>
      </c>
      <c r="BX641">
        <v>0</v>
      </c>
      <c r="BY641">
        <v>0</v>
      </c>
      <c r="BZ641">
        <v>0</v>
      </c>
      <c r="CA641">
        <v>0</v>
      </c>
      <c r="CB641">
        <v>0</v>
      </c>
      <c r="CC641">
        <v>0</v>
      </c>
      <c r="CD641">
        <v>0</v>
      </c>
      <c r="CE641">
        <v>0</v>
      </c>
      <c r="CF641">
        <v>0</v>
      </c>
      <c r="CG641">
        <v>0</v>
      </c>
      <c r="CH641">
        <v>0</v>
      </c>
      <c r="CI641">
        <v>0</v>
      </c>
      <c r="CJ641">
        <v>0</v>
      </c>
      <c r="CK641">
        <v>0</v>
      </c>
      <c r="CL641">
        <v>0</v>
      </c>
      <c r="CM641">
        <v>0</v>
      </c>
      <c r="CR641" t="s">
        <v>2324</v>
      </c>
      <c r="CS641" s="1369" t="str">
        <f>INDEX([8]Sheet1!$H:$H,MATCH(CR:CR,[8]Sheet1!$AU:$AU,0))</f>
        <v>Finance</v>
      </c>
    </row>
    <row r="642" spans="1:97" x14ac:dyDescent="0.2">
      <c r="A642" t="s">
        <v>3216</v>
      </c>
      <c r="B642">
        <v>695</v>
      </c>
      <c r="C642" t="s">
        <v>3216</v>
      </c>
      <c r="D642">
        <v>41286</v>
      </c>
      <c r="E642" t="s">
        <v>2510</v>
      </c>
      <c r="F642">
        <v>2900</v>
      </c>
      <c r="G642" t="s">
        <v>569</v>
      </c>
      <c r="H642" s="1373" t="s">
        <v>2366</v>
      </c>
      <c r="I642" t="s">
        <v>2366</v>
      </c>
      <c r="J642">
        <v>2904</v>
      </c>
      <c r="K642" t="s">
        <v>1432</v>
      </c>
      <c r="L642" s="1373">
        <v>1200</v>
      </c>
      <c r="M642" t="s">
        <v>1480</v>
      </c>
      <c r="N642">
        <v>1207</v>
      </c>
      <c r="O642" t="s">
        <v>997</v>
      </c>
      <c r="P642" t="s">
        <v>2366</v>
      </c>
      <c r="Q642" t="s">
        <v>2364</v>
      </c>
      <c r="R642" t="s">
        <v>2364</v>
      </c>
      <c r="S642" t="s">
        <v>1881</v>
      </c>
      <c r="T642" t="s">
        <v>1812</v>
      </c>
      <c r="U642" t="s">
        <v>2365</v>
      </c>
      <c r="V642" t="s">
        <v>2365</v>
      </c>
      <c r="W642" t="s">
        <v>2365</v>
      </c>
      <c r="X642" t="s">
        <v>2365</v>
      </c>
      <c r="Y642" t="s">
        <v>2365</v>
      </c>
      <c r="Z642" t="s">
        <v>2365</v>
      </c>
      <c r="AA642" t="s">
        <v>2365</v>
      </c>
      <c r="AB642" t="s">
        <v>2365</v>
      </c>
      <c r="AC642" s="813" t="s">
        <v>2365</v>
      </c>
      <c r="AD642" s="813" t="s">
        <v>2365</v>
      </c>
      <c r="AE642" s="813" t="s">
        <v>2365</v>
      </c>
      <c r="AF642" t="s">
        <v>2365</v>
      </c>
      <c r="AG642" t="s">
        <v>2365</v>
      </c>
      <c r="AH642" t="s">
        <v>2365</v>
      </c>
      <c r="AI642" t="s">
        <v>2365</v>
      </c>
      <c r="AJ642" t="s">
        <v>2365</v>
      </c>
      <c r="AK642" t="s">
        <v>2365</v>
      </c>
      <c r="AL642" t="s">
        <v>2365</v>
      </c>
      <c r="AM642" t="s">
        <v>2365</v>
      </c>
      <c r="AN642" t="s">
        <v>2365</v>
      </c>
      <c r="AR642" t="s">
        <v>2365</v>
      </c>
      <c r="AS642" t="s">
        <v>2365</v>
      </c>
      <c r="AT642" t="s">
        <v>2365</v>
      </c>
      <c r="AU642" t="s">
        <v>2365</v>
      </c>
      <c r="AV642" t="s">
        <v>2365</v>
      </c>
      <c r="AW642" t="s">
        <v>2365</v>
      </c>
      <c r="AX642" t="s">
        <v>2365</v>
      </c>
      <c r="AY642" t="s">
        <v>2365</v>
      </c>
      <c r="AZ642" t="s">
        <v>2365</v>
      </c>
      <c r="BA642" t="s">
        <v>2365</v>
      </c>
      <c r="BB642" t="s">
        <v>2365</v>
      </c>
      <c r="BC642" t="s">
        <v>2365</v>
      </c>
      <c r="BD642" t="s">
        <v>2366</v>
      </c>
      <c r="BE642" t="s">
        <v>2365</v>
      </c>
      <c r="BF642" t="s">
        <v>2365</v>
      </c>
      <c r="BG642" t="s">
        <v>2365</v>
      </c>
      <c r="BH642" t="s">
        <v>2365</v>
      </c>
      <c r="BI642" t="s">
        <v>2366</v>
      </c>
      <c r="BJ642" t="s">
        <v>2365</v>
      </c>
      <c r="BK642" t="s">
        <v>2365</v>
      </c>
      <c r="BL642" t="s">
        <v>2365</v>
      </c>
      <c r="BM642" t="s">
        <v>2365</v>
      </c>
      <c r="BO642">
        <v>1</v>
      </c>
      <c r="BP642">
        <v>18</v>
      </c>
      <c r="BQ642" t="s">
        <v>2369</v>
      </c>
      <c r="BR642" t="s">
        <v>997</v>
      </c>
      <c r="BU642" s="1371">
        <v>0</v>
      </c>
      <c r="BV642" s="1371">
        <v>0</v>
      </c>
      <c r="BW642" s="1371">
        <v>0</v>
      </c>
      <c r="BX642" s="1371">
        <v>0</v>
      </c>
      <c r="BY642" s="1371">
        <v>0</v>
      </c>
      <c r="BZ642">
        <v>0</v>
      </c>
      <c r="CA642">
        <v>0</v>
      </c>
      <c r="CB642">
        <v>0</v>
      </c>
      <c r="CC642">
        <v>0</v>
      </c>
      <c r="CD642">
        <v>0</v>
      </c>
      <c r="CE642">
        <v>0</v>
      </c>
      <c r="CF642">
        <v>0</v>
      </c>
      <c r="CG642">
        <v>0</v>
      </c>
      <c r="CH642">
        <v>0</v>
      </c>
      <c r="CI642">
        <v>0</v>
      </c>
      <c r="CJ642">
        <v>0</v>
      </c>
      <c r="CK642">
        <v>0</v>
      </c>
      <c r="CL642">
        <v>0</v>
      </c>
      <c r="CM642">
        <v>0</v>
      </c>
      <c r="CR642" t="s">
        <v>2324</v>
      </c>
      <c r="CS642" s="1369" t="str">
        <f>INDEX([8]Sheet1!$H:$H,MATCH(CR:CR,[8]Sheet1!$AU:$AU,0))</f>
        <v>Finance</v>
      </c>
    </row>
    <row r="643" spans="1:97" x14ac:dyDescent="0.2">
      <c r="A643" t="s">
        <v>3217</v>
      </c>
      <c r="B643">
        <v>696</v>
      </c>
      <c r="C643" t="s">
        <v>3217</v>
      </c>
      <c r="D643">
        <v>41287</v>
      </c>
      <c r="E643" t="s">
        <v>2919</v>
      </c>
      <c r="F643">
        <v>2900</v>
      </c>
      <c r="G643" t="s">
        <v>569</v>
      </c>
      <c r="H643" t="s">
        <v>2366</v>
      </c>
      <c r="I643" t="s">
        <v>2366</v>
      </c>
      <c r="J643">
        <v>2904</v>
      </c>
      <c r="K643" t="s">
        <v>1432</v>
      </c>
      <c r="L643">
        <v>1200</v>
      </c>
      <c r="M643" t="s">
        <v>1480</v>
      </c>
      <c r="N643">
        <v>1207</v>
      </c>
      <c r="O643" t="s">
        <v>997</v>
      </c>
      <c r="P643" t="s">
        <v>2366</v>
      </c>
      <c r="Q643" t="s">
        <v>2364</v>
      </c>
      <c r="R643" t="s">
        <v>2364</v>
      </c>
      <c r="S643" t="s">
        <v>1881</v>
      </c>
      <c r="T643" t="s">
        <v>1812</v>
      </c>
      <c r="U643" t="s">
        <v>2365</v>
      </c>
      <c r="V643" t="s">
        <v>2365</v>
      </c>
      <c r="W643" t="s">
        <v>2365</v>
      </c>
      <c r="X643" t="s">
        <v>2365</v>
      </c>
      <c r="Y643" t="s">
        <v>2365</v>
      </c>
      <c r="Z643" t="s">
        <v>2365</v>
      </c>
      <c r="AA643" t="s">
        <v>2365</v>
      </c>
      <c r="AB643" t="s">
        <v>2365</v>
      </c>
      <c r="AC643" s="813" t="s">
        <v>2365</v>
      </c>
      <c r="AD643" s="813" t="s">
        <v>2365</v>
      </c>
      <c r="AE643" s="813" t="s">
        <v>2365</v>
      </c>
      <c r="AF643" t="s">
        <v>2365</v>
      </c>
      <c r="AG643" t="s">
        <v>2365</v>
      </c>
      <c r="AH643" t="s">
        <v>2365</v>
      </c>
      <c r="AI643" t="s">
        <v>2365</v>
      </c>
      <c r="AJ643" t="s">
        <v>2365</v>
      </c>
      <c r="AK643" t="s">
        <v>2365</v>
      </c>
      <c r="AL643" t="s">
        <v>2365</v>
      </c>
      <c r="AM643" t="s">
        <v>2365</v>
      </c>
      <c r="AN643" t="s">
        <v>2365</v>
      </c>
      <c r="AR643" t="s">
        <v>2365</v>
      </c>
      <c r="AS643" t="s">
        <v>2365</v>
      </c>
      <c r="AT643" t="s">
        <v>2365</v>
      </c>
      <c r="AU643" t="s">
        <v>2365</v>
      </c>
      <c r="AV643" t="s">
        <v>2365</v>
      </c>
      <c r="AW643" t="s">
        <v>2365</v>
      </c>
      <c r="AX643" t="s">
        <v>2365</v>
      </c>
      <c r="AY643" t="s">
        <v>2365</v>
      </c>
      <c r="AZ643" t="s">
        <v>2365</v>
      </c>
      <c r="BA643" t="s">
        <v>2365</v>
      </c>
      <c r="BB643" t="s">
        <v>2365</v>
      </c>
      <c r="BC643" t="s">
        <v>2365</v>
      </c>
      <c r="BD643" t="s">
        <v>2366</v>
      </c>
      <c r="BE643" t="s">
        <v>2365</v>
      </c>
      <c r="BF643" t="s">
        <v>2365</v>
      </c>
      <c r="BG643" t="s">
        <v>2365</v>
      </c>
      <c r="BH643" t="s">
        <v>2365</v>
      </c>
      <c r="BI643" t="s">
        <v>2366</v>
      </c>
      <c r="BJ643" t="s">
        <v>2365</v>
      </c>
      <c r="BK643" t="s">
        <v>2365</v>
      </c>
      <c r="BL643" t="s">
        <v>2365</v>
      </c>
      <c r="BM643" t="s">
        <v>2365</v>
      </c>
      <c r="BO643">
        <v>1</v>
      </c>
      <c r="BP643">
        <v>18</v>
      </c>
      <c r="BQ643" t="s">
        <v>2369</v>
      </c>
      <c r="BR643" t="s">
        <v>997</v>
      </c>
      <c r="BU643">
        <v>0</v>
      </c>
      <c r="BV643">
        <v>0</v>
      </c>
      <c r="BW643">
        <v>0</v>
      </c>
      <c r="BX643">
        <v>0</v>
      </c>
      <c r="BY643">
        <v>0</v>
      </c>
      <c r="BZ643">
        <v>0</v>
      </c>
      <c r="CA643">
        <v>0</v>
      </c>
      <c r="CB643">
        <v>0</v>
      </c>
      <c r="CC643">
        <v>0</v>
      </c>
      <c r="CD643">
        <v>0</v>
      </c>
      <c r="CE643">
        <v>0</v>
      </c>
      <c r="CF643">
        <v>0</v>
      </c>
      <c r="CG643">
        <v>0</v>
      </c>
      <c r="CH643">
        <v>0</v>
      </c>
      <c r="CI643">
        <v>0</v>
      </c>
      <c r="CJ643">
        <v>0</v>
      </c>
      <c r="CK643">
        <v>0</v>
      </c>
      <c r="CL643">
        <v>0</v>
      </c>
      <c r="CM643">
        <v>0</v>
      </c>
      <c r="CR643" t="s">
        <v>2324</v>
      </c>
      <c r="CS643" s="1369" t="str">
        <f>INDEX([8]Sheet1!$H:$H,MATCH(CR:CR,[8]Sheet1!$AU:$AU,0))</f>
        <v>Finance</v>
      </c>
    </row>
    <row r="644" spans="1:97" x14ac:dyDescent="0.2">
      <c r="A644" t="s">
        <v>3218</v>
      </c>
      <c r="B644">
        <v>697</v>
      </c>
      <c r="C644" t="s">
        <v>3218</v>
      </c>
      <c r="D644">
        <v>41288</v>
      </c>
      <c r="E644" t="s">
        <v>3219</v>
      </c>
      <c r="F644">
        <v>2900</v>
      </c>
      <c r="G644" t="s">
        <v>569</v>
      </c>
      <c r="H644" t="s">
        <v>2366</v>
      </c>
      <c r="I644" t="s">
        <v>2366</v>
      </c>
      <c r="J644">
        <v>2904</v>
      </c>
      <c r="K644" t="s">
        <v>1432</v>
      </c>
      <c r="L644">
        <v>1200</v>
      </c>
      <c r="M644" t="s">
        <v>1480</v>
      </c>
      <c r="N644">
        <v>1205</v>
      </c>
      <c r="O644" t="s">
        <v>1488</v>
      </c>
      <c r="P644" t="s">
        <v>2366</v>
      </c>
      <c r="Q644" t="s">
        <v>2364</v>
      </c>
      <c r="R644" t="s">
        <v>2364</v>
      </c>
      <c r="S644" t="s">
        <v>1881</v>
      </c>
      <c r="T644" t="s">
        <v>1812</v>
      </c>
      <c r="U644" t="s">
        <v>2365</v>
      </c>
      <c r="V644" t="s">
        <v>2365</v>
      </c>
      <c r="W644" t="s">
        <v>2365</v>
      </c>
      <c r="X644" t="s">
        <v>2365</v>
      </c>
      <c r="Y644" t="s">
        <v>2365</v>
      </c>
      <c r="Z644" t="s">
        <v>2365</v>
      </c>
      <c r="AA644" t="s">
        <v>2365</v>
      </c>
      <c r="AB644" t="s">
        <v>2365</v>
      </c>
      <c r="AC644" s="813" t="s">
        <v>2365</v>
      </c>
      <c r="AD644" s="813" t="s">
        <v>2365</v>
      </c>
      <c r="AE644" s="813" t="s">
        <v>2365</v>
      </c>
      <c r="AF644" t="s">
        <v>2365</v>
      </c>
      <c r="AG644" t="s">
        <v>2365</v>
      </c>
      <c r="AH644" t="s">
        <v>2365</v>
      </c>
      <c r="AI644" t="s">
        <v>2365</v>
      </c>
      <c r="AJ644" t="s">
        <v>2365</v>
      </c>
      <c r="AK644" t="s">
        <v>2365</v>
      </c>
      <c r="AL644" t="s">
        <v>2365</v>
      </c>
      <c r="AM644" t="s">
        <v>2365</v>
      </c>
      <c r="AN644" t="s">
        <v>2365</v>
      </c>
      <c r="AR644" t="s">
        <v>2365</v>
      </c>
      <c r="AS644" t="s">
        <v>2365</v>
      </c>
      <c r="AT644" t="s">
        <v>2365</v>
      </c>
      <c r="AU644" t="s">
        <v>2365</v>
      </c>
      <c r="AV644" t="s">
        <v>2365</v>
      </c>
      <c r="AW644" t="s">
        <v>2365</v>
      </c>
      <c r="AX644" t="s">
        <v>2365</v>
      </c>
      <c r="AY644" t="s">
        <v>2365</v>
      </c>
      <c r="AZ644" t="s">
        <v>2365</v>
      </c>
      <c r="BA644" t="s">
        <v>2365</v>
      </c>
      <c r="BB644" t="s">
        <v>2365</v>
      </c>
      <c r="BC644" t="s">
        <v>2365</v>
      </c>
      <c r="BD644" t="s">
        <v>2366</v>
      </c>
      <c r="BE644" t="s">
        <v>2365</v>
      </c>
      <c r="BF644" t="s">
        <v>2365</v>
      </c>
      <c r="BG644" t="s">
        <v>2365</v>
      </c>
      <c r="BH644" t="s">
        <v>2365</v>
      </c>
      <c r="BI644" t="s">
        <v>2366</v>
      </c>
      <c r="BJ644" t="s">
        <v>2365</v>
      </c>
      <c r="BK644" t="s">
        <v>2365</v>
      </c>
      <c r="BL644" t="s">
        <v>2365</v>
      </c>
      <c r="BM644" t="s">
        <v>2365</v>
      </c>
      <c r="BO644">
        <v>1</v>
      </c>
      <c r="BP644">
        <v>12</v>
      </c>
      <c r="BQ644" t="s">
        <v>2369</v>
      </c>
      <c r="BR644" t="s">
        <v>1488</v>
      </c>
      <c r="BU644">
        <v>0</v>
      </c>
      <c r="BV644">
        <v>0</v>
      </c>
      <c r="BW644">
        <v>0</v>
      </c>
      <c r="BX644">
        <v>0</v>
      </c>
      <c r="BY644">
        <v>0</v>
      </c>
      <c r="BZ644">
        <v>0</v>
      </c>
      <c r="CA644">
        <v>0</v>
      </c>
      <c r="CB644">
        <v>0</v>
      </c>
      <c r="CC644">
        <v>0</v>
      </c>
      <c r="CD644">
        <v>0</v>
      </c>
      <c r="CE644">
        <v>0</v>
      </c>
      <c r="CF644">
        <v>0</v>
      </c>
      <c r="CG644">
        <v>0</v>
      </c>
      <c r="CH644">
        <v>0</v>
      </c>
      <c r="CI644">
        <v>0</v>
      </c>
      <c r="CJ644">
        <v>0</v>
      </c>
      <c r="CK644">
        <v>0</v>
      </c>
      <c r="CL644">
        <v>0</v>
      </c>
      <c r="CM644">
        <v>0</v>
      </c>
      <c r="CR644" t="s">
        <v>2324</v>
      </c>
      <c r="CS644" s="1369" t="str">
        <f>INDEX([8]Sheet1!$H:$H,MATCH(CR:CR,[8]Sheet1!$AU:$AU,0))</f>
        <v>Finance</v>
      </c>
    </row>
    <row r="645" spans="1:97" x14ac:dyDescent="0.2">
      <c r="A645" t="s">
        <v>3220</v>
      </c>
      <c r="B645">
        <v>698</v>
      </c>
      <c r="C645" t="s">
        <v>3220</v>
      </c>
      <c r="D645">
        <v>41289</v>
      </c>
      <c r="E645" t="s">
        <v>3221</v>
      </c>
      <c r="F645">
        <v>2900</v>
      </c>
      <c r="G645" t="s">
        <v>569</v>
      </c>
      <c r="H645" t="s">
        <v>2366</v>
      </c>
      <c r="I645" t="s">
        <v>2366</v>
      </c>
      <c r="J645">
        <v>2904</v>
      </c>
      <c r="K645" t="s">
        <v>1432</v>
      </c>
      <c r="L645">
        <v>1200</v>
      </c>
      <c r="M645" t="s">
        <v>1480</v>
      </c>
      <c r="N645">
        <v>1201</v>
      </c>
      <c r="O645" t="s">
        <v>1486</v>
      </c>
      <c r="P645" t="s">
        <v>2366</v>
      </c>
      <c r="Q645" t="s">
        <v>2364</v>
      </c>
      <c r="R645" t="s">
        <v>2364</v>
      </c>
      <c r="S645" t="s">
        <v>1881</v>
      </c>
      <c r="T645" t="s">
        <v>1812</v>
      </c>
      <c r="U645" t="s">
        <v>2365</v>
      </c>
      <c r="V645" t="s">
        <v>2365</v>
      </c>
      <c r="W645" t="s">
        <v>2365</v>
      </c>
      <c r="X645" t="s">
        <v>2365</v>
      </c>
      <c r="Y645" t="s">
        <v>2365</v>
      </c>
      <c r="Z645" t="s">
        <v>2365</v>
      </c>
      <c r="AA645" t="s">
        <v>2365</v>
      </c>
      <c r="AB645" t="s">
        <v>2365</v>
      </c>
      <c r="AC645" s="813" t="s">
        <v>2365</v>
      </c>
      <c r="AD645" s="813" t="s">
        <v>2365</v>
      </c>
      <c r="AE645" s="813" t="s">
        <v>2365</v>
      </c>
      <c r="AF645" t="s">
        <v>2365</v>
      </c>
      <c r="AG645" t="s">
        <v>2365</v>
      </c>
      <c r="AH645" t="s">
        <v>2365</v>
      </c>
      <c r="AI645" t="s">
        <v>2365</v>
      </c>
      <c r="AJ645" t="s">
        <v>2365</v>
      </c>
      <c r="AK645" t="s">
        <v>2365</v>
      </c>
      <c r="AL645" t="s">
        <v>2365</v>
      </c>
      <c r="AM645" t="s">
        <v>2365</v>
      </c>
      <c r="AN645" t="s">
        <v>2365</v>
      </c>
      <c r="AR645" t="s">
        <v>2365</v>
      </c>
      <c r="AS645" t="s">
        <v>2365</v>
      </c>
      <c r="AT645" t="s">
        <v>2365</v>
      </c>
      <c r="AU645" t="s">
        <v>2365</v>
      </c>
      <c r="AV645" t="s">
        <v>2365</v>
      </c>
      <c r="AW645" t="s">
        <v>2365</v>
      </c>
      <c r="AX645" t="s">
        <v>2365</v>
      </c>
      <c r="AY645" t="s">
        <v>2365</v>
      </c>
      <c r="AZ645" t="s">
        <v>2365</v>
      </c>
      <c r="BA645" t="s">
        <v>2365</v>
      </c>
      <c r="BB645" t="s">
        <v>2365</v>
      </c>
      <c r="BC645" t="s">
        <v>2365</v>
      </c>
      <c r="BD645" t="s">
        <v>2366</v>
      </c>
      <c r="BE645" t="s">
        <v>2365</v>
      </c>
      <c r="BF645" t="s">
        <v>2365</v>
      </c>
      <c r="BG645" t="s">
        <v>2365</v>
      </c>
      <c r="BH645" t="s">
        <v>2365</v>
      </c>
      <c r="BI645" t="s">
        <v>2366</v>
      </c>
      <c r="BJ645" t="s">
        <v>2365</v>
      </c>
      <c r="BK645" t="s">
        <v>2365</v>
      </c>
      <c r="BL645" t="s">
        <v>2365</v>
      </c>
      <c r="BM645" t="s">
        <v>2365</v>
      </c>
      <c r="BO645">
        <v>1</v>
      </c>
      <c r="BP645">
        <v>14</v>
      </c>
      <c r="BQ645" t="s">
        <v>2369</v>
      </c>
      <c r="BR645" t="s">
        <v>1486</v>
      </c>
      <c r="BU645">
        <v>840000</v>
      </c>
      <c r="BV645">
        <v>0</v>
      </c>
      <c r="BW645">
        <v>840000</v>
      </c>
      <c r="BX645">
        <v>0</v>
      </c>
      <c r="BY645">
        <v>840000</v>
      </c>
      <c r="BZ645">
        <v>890400</v>
      </c>
      <c r="CA645">
        <v>943824</v>
      </c>
      <c r="CB645">
        <v>0</v>
      </c>
      <c r="CC645">
        <v>0</v>
      </c>
      <c r="CD645">
        <v>70000</v>
      </c>
      <c r="CE645">
        <v>0</v>
      </c>
      <c r="CF645">
        <v>0</v>
      </c>
      <c r="CG645">
        <v>0</v>
      </c>
      <c r="CH645">
        <v>0</v>
      </c>
      <c r="CI645">
        <v>0</v>
      </c>
      <c r="CJ645">
        <v>0</v>
      </c>
      <c r="CK645">
        <v>0</v>
      </c>
      <c r="CL645">
        <v>0</v>
      </c>
      <c r="CM645">
        <v>0</v>
      </c>
      <c r="CR645" t="s">
        <v>2333</v>
      </c>
      <c r="CS645" s="1369" t="str">
        <f>INDEX([8]Sheet1!$H:$H,MATCH(CR:CR,[8]Sheet1!$AU:$AU,0))</f>
        <v>Municipal Manager, Town Secretary and Chief Executive</v>
      </c>
    </row>
    <row r="646" spans="1:97" x14ac:dyDescent="0.2">
      <c r="A646" t="s">
        <v>3222</v>
      </c>
      <c r="B646">
        <v>699</v>
      </c>
      <c r="C646" t="s">
        <v>3222</v>
      </c>
      <c r="D646">
        <v>41291</v>
      </c>
      <c r="E646" t="s">
        <v>3223</v>
      </c>
      <c r="F646">
        <v>2900</v>
      </c>
      <c r="G646" t="s">
        <v>569</v>
      </c>
      <c r="H646" t="s">
        <v>2366</v>
      </c>
      <c r="I646" t="s">
        <v>2366</v>
      </c>
      <c r="J646">
        <v>2904</v>
      </c>
      <c r="K646" t="s">
        <v>1432</v>
      </c>
      <c r="L646">
        <v>1200</v>
      </c>
      <c r="M646" t="s">
        <v>1480</v>
      </c>
      <c r="N646">
        <v>1207</v>
      </c>
      <c r="O646" t="s">
        <v>997</v>
      </c>
      <c r="P646" t="s">
        <v>2366</v>
      </c>
      <c r="Q646" t="s">
        <v>2364</v>
      </c>
      <c r="R646" t="s">
        <v>2364</v>
      </c>
      <c r="S646" t="s">
        <v>1881</v>
      </c>
      <c r="T646" t="s">
        <v>1812</v>
      </c>
      <c r="U646" t="s">
        <v>2365</v>
      </c>
      <c r="V646" t="s">
        <v>2365</v>
      </c>
      <c r="W646" t="s">
        <v>2365</v>
      </c>
      <c r="X646" t="s">
        <v>2365</v>
      </c>
      <c r="Y646" t="s">
        <v>2365</v>
      </c>
      <c r="Z646" t="s">
        <v>2365</v>
      </c>
      <c r="AA646" t="s">
        <v>2365</v>
      </c>
      <c r="AB646" t="s">
        <v>2365</v>
      </c>
      <c r="AC646" s="813" t="s">
        <v>2365</v>
      </c>
      <c r="AD646" s="813" t="s">
        <v>2365</v>
      </c>
      <c r="AE646" s="813" t="s">
        <v>2365</v>
      </c>
      <c r="AF646" t="s">
        <v>2365</v>
      </c>
      <c r="AG646" t="s">
        <v>2365</v>
      </c>
      <c r="AH646" t="s">
        <v>2365</v>
      </c>
      <c r="AI646" t="s">
        <v>2365</v>
      </c>
      <c r="AJ646" t="s">
        <v>2365</v>
      </c>
      <c r="AK646" t="s">
        <v>2365</v>
      </c>
      <c r="AL646" t="s">
        <v>2365</v>
      </c>
      <c r="AM646" t="s">
        <v>2365</v>
      </c>
      <c r="AN646" t="s">
        <v>2365</v>
      </c>
      <c r="AR646" t="s">
        <v>2365</v>
      </c>
      <c r="AS646" t="s">
        <v>2365</v>
      </c>
      <c r="AT646" t="s">
        <v>2365</v>
      </c>
      <c r="AU646" t="s">
        <v>2365</v>
      </c>
      <c r="AV646" t="s">
        <v>2365</v>
      </c>
      <c r="AW646" t="s">
        <v>2365</v>
      </c>
      <c r="AX646" t="s">
        <v>2365</v>
      </c>
      <c r="AY646" t="s">
        <v>2365</v>
      </c>
      <c r="AZ646" t="s">
        <v>2365</v>
      </c>
      <c r="BA646" t="s">
        <v>2365</v>
      </c>
      <c r="BB646" t="s">
        <v>2365</v>
      </c>
      <c r="BC646" t="s">
        <v>2365</v>
      </c>
      <c r="BD646" t="s">
        <v>2366</v>
      </c>
      <c r="BE646" t="s">
        <v>2365</v>
      </c>
      <c r="BF646" t="s">
        <v>2365</v>
      </c>
      <c r="BG646" t="s">
        <v>2365</v>
      </c>
      <c r="BH646" t="s">
        <v>2365</v>
      </c>
      <c r="BI646" t="s">
        <v>2366</v>
      </c>
      <c r="BJ646" t="s">
        <v>2365</v>
      </c>
      <c r="BK646" t="s">
        <v>2365</v>
      </c>
      <c r="BL646" t="s">
        <v>2365</v>
      </c>
      <c r="BM646" t="s">
        <v>2365</v>
      </c>
      <c r="BO646">
        <v>1</v>
      </c>
      <c r="BP646">
        <v>18</v>
      </c>
      <c r="BQ646" t="s">
        <v>2369</v>
      </c>
      <c r="BR646" t="s">
        <v>997</v>
      </c>
      <c r="BU646">
        <v>0</v>
      </c>
      <c r="BV646">
        <v>0</v>
      </c>
      <c r="BW646">
        <v>0</v>
      </c>
      <c r="BX646">
        <v>0</v>
      </c>
      <c r="BY646">
        <v>0</v>
      </c>
      <c r="BZ646">
        <v>0</v>
      </c>
      <c r="CA646">
        <v>0</v>
      </c>
      <c r="CB646">
        <v>0</v>
      </c>
      <c r="CC646">
        <v>0</v>
      </c>
      <c r="CD646">
        <v>0</v>
      </c>
      <c r="CE646">
        <v>0</v>
      </c>
      <c r="CF646">
        <v>0</v>
      </c>
      <c r="CG646">
        <v>0</v>
      </c>
      <c r="CH646">
        <v>0</v>
      </c>
      <c r="CI646">
        <v>0</v>
      </c>
      <c r="CJ646">
        <v>0</v>
      </c>
      <c r="CK646">
        <v>0</v>
      </c>
      <c r="CL646">
        <v>0</v>
      </c>
      <c r="CM646">
        <v>0</v>
      </c>
      <c r="CR646" t="s">
        <v>2319</v>
      </c>
      <c r="CS646" s="1369" t="str">
        <f>INDEX([8]Sheet1!$H:$H,MATCH(CR:CR,[8]Sheet1!$AU:$AU,0))</f>
        <v>Mayor and Council</v>
      </c>
    </row>
    <row r="647" spans="1:97" x14ac:dyDescent="0.2">
      <c r="A647" t="s">
        <v>3224</v>
      </c>
      <c r="B647">
        <v>700</v>
      </c>
      <c r="C647" t="s">
        <v>3224</v>
      </c>
      <c r="D647">
        <v>41292</v>
      </c>
      <c r="E647" t="s">
        <v>3225</v>
      </c>
      <c r="F647">
        <v>2900</v>
      </c>
      <c r="G647" t="s">
        <v>569</v>
      </c>
      <c r="H647" t="s">
        <v>2366</v>
      </c>
      <c r="I647" t="s">
        <v>2366</v>
      </c>
      <c r="J647">
        <v>2904</v>
      </c>
      <c r="K647" t="s">
        <v>1432</v>
      </c>
      <c r="L647">
        <v>1200</v>
      </c>
      <c r="M647" t="s">
        <v>1480</v>
      </c>
      <c r="N647">
        <v>1207</v>
      </c>
      <c r="O647" t="s">
        <v>997</v>
      </c>
      <c r="P647" t="s">
        <v>2366</v>
      </c>
      <c r="Q647" t="s">
        <v>2364</v>
      </c>
      <c r="R647" t="s">
        <v>2364</v>
      </c>
      <c r="S647" t="s">
        <v>1881</v>
      </c>
      <c r="T647" t="s">
        <v>1812</v>
      </c>
      <c r="U647" t="s">
        <v>2365</v>
      </c>
      <c r="V647" t="s">
        <v>2365</v>
      </c>
      <c r="W647" t="s">
        <v>2365</v>
      </c>
      <c r="X647" t="s">
        <v>2365</v>
      </c>
      <c r="Y647" t="s">
        <v>2365</v>
      </c>
      <c r="Z647" t="s">
        <v>2365</v>
      </c>
      <c r="AA647" t="s">
        <v>2365</v>
      </c>
      <c r="AB647" t="s">
        <v>2365</v>
      </c>
      <c r="AC647" s="813" t="s">
        <v>2365</v>
      </c>
      <c r="AD647" s="813" t="s">
        <v>2365</v>
      </c>
      <c r="AE647" s="813" t="s">
        <v>2365</v>
      </c>
      <c r="AF647" t="s">
        <v>2365</v>
      </c>
      <c r="AG647" t="s">
        <v>2365</v>
      </c>
      <c r="AH647" t="s">
        <v>2365</v>
      </c>
      <c r="AI647" t="s">
        <v>2365</v>
      </c>
      <c r="AJ647" t="s">
        <v>2365</v>
      </c>
      <c r="AK647" t="s">
        <v>2365</v>
      </c>
      <c r="AL647" t="s">
        <v>2365</v>
      </c>
      <c r="AM647" t="s">
        <v>2365</v>
      </c>
      <c r="AN647" t="s">
        <v>2365</v>
      </c>
      <c r="AR647" t="s">
        <v>2365</v>
      </c>
      <c r="AS647" t="s">
        <v>2365</v>
      </c>
      <c r="AT647" t="s">
        <v>2365</v>
      </c>
      <c r="AU647" t="s">
        <v>2365</v>
      </c>
      <c r="AV647" t="s">
        <v>2365</v>
      </c>
      <c r="AW647" t="s">
        <v>2365</v>
      </c>
      <c r="AX647" t="s">
        <v>2365</v>
      </c>
      <c r="AY647" t="s">
        <v>2365</v>
      </c>
      <c r="AZ647" t="s">
        <v>2365</v>
      </c>
      <c r="BA647" t="s">
        <v>2365</v>
      </c>
      <c r="BB647" t="s">
        <v>2365</v>
      </c>
      <c r="BC647" t="s">
        <v>2365</v>
      </c>
      <c r="BD647" t="s">
        <v>2366</v>
      </c>
      <c r="BE647" t="s">
        <v>2365</v>
      </c>
      <c r="BF647" t="s">
        <v>2365</v>
      </c>
      <c r="BG647" t="s">
        <v>2365</v>
      </c>
      <c r="BH647" t="s">
        <v>2365</v>
      </c>
      <c r="BI647" t="s">
        <v>2366</v>
      </c>
      <c r="BJ647" t="s">
        <v>2365</v>
      </c>
      <c r="BK647" t="s">
        <v>2365</v>
      </c>
      <c r="BL647" t="s">
        <v>2365</v>
      </c>
      <c r="BM647" t="s">
        <v>2365</v>
      </c>
      <c r="BO647">
        <v>1</v>
      </c>
      <c r="BP647">
        <v>18</v>
      </c>
      <c r="BQ647" t="s">
        <v>2369</v>
      </c>
      <c r="BR647" t="s">
        <v>997</v>
      </c>
      <c r="BU647">
        <v>195000</v>
      </c>
      <c r="BV647">
        <v>0</v>
      </c>
      <c r="BW647">
        <v>195000</v>
      </c>
      <c r="BX647">
        <v>0</v>
      </c>
      <c r="BY647">
        <v>195000</v>
      </c>
      <c r="BZ647">
        <v>206700</v>
      </c>
      <c r="CA647">
        <v>219102</v>
      </c>
      <c r="CB647">
        <v>13049</v>
      </c>
      <c r="CC647">
        <v>15049</v>
      </c>
      <c r="CD647">
        <v>15049</v>
      </c>
      <c r="CE647">
        <v>15049</v>
      </c>
      <c r="CF647">
        <v>0</v>
      </c>
      <c r="CG647">
        <v>4000</v>
      </c>
      <c r="CH647">
        <v>0</v>
      </c>
      <c r="CI647">
        <v>0</v>
      </c>
      <c r="CJ647">
        <v>0</v>
      </c>
      <c r="CK647">
        <v>0</v>
      </c>
      <c r="CL647">
        <v>0</v>
      </c>
      <c r="CM647">
        <v>0</v>
      </c>
      <c r="CR647" t="s">
        <v>2322</v>
      </c>
      <c r="CS647" s="1369" t="str">
        <f>INDEX([8]Sheet1!$H:$H,MATCH(CR:CR,[8]Sheet1!$AU:$AU,0))</f>
        <v>Human Resources</v>
      </c>
    </row>
    <row r="648" spans="1:97" x14ac:dyDescent="0.2">
      <c r="A648" t="s">
        <v>3226</v>
      </c>
      <c r="B648">
        <v>701</v>
      </c>
      <c r="C648" t="s">
        <v>3226</v>
      </c>
      <c r="D648">
        <v>41293</v>
      </c>
      <c r="E648" t="s">
        <v>3227</v>
      </c>
      <c r="F648">
        <v>2900</v>
      </c>
      <c r="G648" t="s">
        <v>569</v>
      </c>
      <c r="H648" t="s">
        <v>2366</v>
      </c>
      <c r="I648" t="s">
        <v>2366</v>
      </c>
      <c r="J648">
        <v>2904</v>
      </c>
      <c r="K648" t="s">
        <v>1432</v>
      </c>
      <c r="L648">
        <v>1200</v>
      </c>
      <c r="M648" t="s">
        <v>1480</v>
      </c>
      <c r="N648">
        <v>1207</v>
      </c>
      <c r="O648" t="s">
        <v>997</v>
      </c>
      <c r="P648" t="s">
        <v>2366</v>
      </c>
      <c r="Q648" t="s">
        <v>2364</v>
      </c>
      <c r="R648" t="s">
        <v>2364</v>
      </c>
      <c r="S648" t="s">
        <v>1881</v>
      </c>
      <c r="T648" t="s">
        <v>1812</v>
      </c>
      <c r="U648" t="s">
        <v>2365</v>
      </c>
      <c r="V648" t="s">
        <v>2365</v>
      </c>
      <c r="W648" t="s">
        <v>2365</v>
      </c>
      <c r="X648" t="s">
        <v>2365</v>
      </c>
      <c r="Y648" t="s">
        <v>2365</v>
      </c>
      <c r="Z648" t="s">
        <v>2365</v>
      </c>
      <c r="AA648" t="s">
        <v>2365</v>
      </c>
      <c r="AB648" t="s">
        <v>2365</v>
      </c>
      <c r="AC648" s="813" t="s">
        <v>2365</v>
      </c>
      <c r="AD648" s="813" t="s">
        <v>2365</v>
      </c>
      <c r="AE648" s="813" t="s">
        <v>2365</v>
      </c>
      <c r="AF648" t="s">
        <v>2365</v>
      </c>
      <c r="AG648" t="s">
        <v>2365</v>
      </c>
      <c r="AH648" t="s">
        <v>2365</v>
      </c>
      <c r="AI648" t="s">
        <v>2365</v>
      </c>
      <c r="AJ648" t="s">
        <v>2365</v>
      </c>
      <c r="AK648" t="s">
        <v>2365</v>
      </c>
      <c r="AL648" t="s">
        <v>2365</v>
      </c>
      <c r="AM648" t="s">
        <v>2365</v>
      </c>
      <c r="AN648" t="s">
        <v>2365</v>
      </c>
      <c r="AR648" t="s">
        <v>2365</v>
      </c>
      <c r="AS648" t="s">
        <v>2365</v>
      </c>
      <c r="AT648" t="s">
        <v>2365</v>
      </c>
      <c r="AU648" t="s">
        <v>2365</v>
      </c>
      <c r="AV648" t="s">
        <v>2365</v>
      </c>
      <c r="AW648" t="s">
        <v>2365</v>
      </c>
      <c r="AX648" t="s">
        <v>2365</v>
      </c>
      <c r="AY648" t="s">
        <v>2365</v>
      </c>
      <c r="AZ648" t="s">
        <v>2365</v>
      </c>
      <c r="BA648" t="s">
        <v>2365</v>
      </c>
      <c r="BB648" t="s">
        <v>2365</v>
      </c>
      <c r="BC648" t="s">
        <v>2365</v>
      </c>
      <c r="BD648" t="s">
        <v>2366</v>
      </c>
      <c r="BE648" t="s">
        <v>2365</v>
      </c>
      <c r="BF648" t="s">
        <v>2365</v>
      </c>
      <c r="BG648" t="s">
        <v>2365</v>
      </c>
      <c r="BH648" t="s">
        <v>2365</v>
      </c>
      <c r="BI648" t="s">
        <v>2366</v>
      </c>
      <c r="BJ648" t="s">
        <v>2365</v>
      </c>
      <c r="BK648" t="s">
        <v>2365</v>
      </c>
      <c r="BL648" t="s">
        <v>2365</v>
      </c>
      <c r="BM648" t="s">
        <v>2365</v>
      </c>
      <c r="BO648">
        <v>1</v>
      </c>
      <c r="BP648">
        <v>18</v>
      </c>
      <c r="BQ648" t="s">
        <v>2369</v>
      </c>
      <c r="BR648" t="s">
        <v>997</v>
      </c>
      <c r="BU648">
        <v>0</v>
      </c>
      <c r="BV648">
        <v>0</v>
      </c>
      <c r="BW648">
        <v>0</v>
      </c>
      <c r="BX648">
        <v>0</v>
      </c>
      <c r="BY648">
        <v>0</v>
      </c>
      <c r="BZ648">
        <v>0</v>
      </c>
      <c r="CA648">
        <v>0</v>
      </c>
      <c r="CB648">
        <v>0</v>
      </c>
      <c r="CC648">
        <v>0</v>
      </c>
      <c r="CD648">
        <v>0</v>
      </c>
      <c r="CE648">
        <v>0</v>
      </c>
      <c r="CF648">
        <v>0</v>
      </c>
      <c r="CG648">
        <v>0</v>
      </c>
      <c r="CH648">
        <v>0</v>
      </c>
      <c r="CI648">
        <v>0</v>
      </c>
      <c r="CJ648">
        <v>0</v>
      </c>
      <c r="CK648">
        <v>0</v>
      </c>
      <c r="CL648">
        <v>0</v>
      </c>
      <c r="CM648">
        <v>0</v>
      </c>
      <c r="CR648" t="s">
        <v>2323</v>
      </c>
      <c r="CS648" s="1369" t="str">
        <f>INDEX([8]Sheet1!$H:$H,MATCH(CR:CR,[8]Sheet1!$AU:$AU,0))</f>
        <v>Information Technology</v>
      </c>
    </row>
    <row r="649" spans="1:97" x14ac:dyDescent="0.2">
      <c r="A649" t="s">
        <v>3228</v>
      </c>
      <c r="B649">
        <v>702</v>
      </c>
      <c r="C649" t="s">
        <v>3228</v>
      </c>
      <c r="D649">
        <v>41294</v>
      </c>
      <c r="E649" t="s">
        <v>3229</v>
      </c>
      <c r="F649">
        <v>2900</v>
      </c>
      <c r="G649" t="s">
        <v>569</v>
      </c>
      <c r="H649" t="s">
        <v>2366</v>
      </c>
      <c r="I649" t="s">
        <v>2366</v>
      </c>
      <c r="J649">
        <v>2904</v>
      </c>
      <c r="K649" t="s">
        <v>1432</v>
      </c>
      <c r="L649">
        <v>1200</v>
      </c>
      <c r="M649" t="s">
        <v>1480</v>
      </c>
      <c r="N649">
        <v>1207</v>
      </c>
      <c r="O649" t="s">
        <v>997</v>
      </c>
      <c r="P649" t="s">
        <v>2366</v>
      </c>
      <c r="Q649" t="s">
        <v>2364</v>
      </c>
      <c r="R649" t="s">
        <v>2364</v>
      </c>
      <c r="S649" t="s">
        <v>1881</v>
      </c>
      <c r="T649" t="s">
        <v>1812</v>
      </c>
      <c r="U649" t="s">
        <v>2365</v>
      </c>
      <c r="V649" t="s">
        <v>2365</v>
      </c>
      <c r="W649" t="s">
        <v>2365</v>
      </c>
      <c r="X649" t="s">
        <v>2365</v>
      </c>
      <c r="Y649" t="s">
        <v>2365</v>
      </c>
      <c r="Z649" t="s">
        <v>2365</v>
      </c>
      <c r="AA649" t="s">
        <v>2365</v>
      </c>
      <c r="AB649" t="s">
        <v>2365</v>
      </c>
      <c r="AC649" s="813" t="s">
        <v>2365</v>
      </c>
      <c r="AD649" s="813" t="s">
        <v>2365</v>
      </c>
      <c r="AE649" s="813" t="s">
        <v>2365</v>
      </c>
      <c r="AF649" t="s">
        <v>2365</v>
      </c>
      <c r="AG649" t="s">
        <v>2365</v>
      </c>
      <c r="AH649" t="s">
        <v>2365</v>
      </c>
      <c r="AI649" t="s">
        <v>2365</v>
      </c>
      <c r="AJ649" t="s">
        <v>2365</v>
      </c>
      <c r="AK649" t="s">
        <v>2365</v>
      </c>
      <c r="AL649" t="s">
        <v>2365</v>
      </c>
      <c r="AM649" t="s">
        <v>2365</v>
      </c>
      <c r="AN649" t="s">
        <v>2365</v>
      </c>
      <c r="AR649" t="s">
        <v>2365</v>
      </c>
      <c r="AS649" t="s">
        <v>2365</v>
      </c>
      <c r="AT649" t="s">
        <v>2365</v>
      </c>
      <c r="AU649" t="s">
        <v>2365</v>
      </c>
      <c r="AV649" t="s">
        <v>2365</v>
      </c>
      <c r="AW649" t="s">
        <v>2365</v>
      </c>
      <c r="AX649" t="s">
        <v>2365</v>
      </c>
      <c r="AY649" t="s">
        <v>2365</v>
      </c>
      <c r="AZ649" t="s">
        <v>2365</v>
      </c>
      <c r="BA649" t="s">
        <v>2365</v>
      </c>
      <c r="BB649" t="s">
        <v>2365</v>
      </c>
      <c r="BC649" t="s">
        <v>2365</v>
      </c>
      <c r="BD649" t="s">
        <v>2366</v>
      </c>
      <c r="BE649" t="s">
        <v>2365</v>
      </c>
      <c r="BF649" t="s">
        <v>2365</v>
      </c>
      <c r="BG649" t="s">
        <v>2365</v>
      </c>
      <c r="BH649" t="s">
        <v>2365</v>
      </c>
      <c r="BI649" t="s">
        <v>2366</v>
      </c>
      <c r="BJ649" t="s">
        <v>2365</v>
      </c>
      <c r="BK649" t="s">
        <v>2365</v>
      </c>
      <c r="BL649" t="s">
        <v>2365</v>
      </c>
      <c r="BM649" t="s">
        <v>2365</v>
      </c>
      <c r="BO649">
        <v>1</v>
      </c>
      <c r="BP649">
        <v>18</v>
      </c>
      <c r="BQ649" t="s">
        <v>2369</v>
      </c>
      <c r="BR649" t="s">
        <v>997</v>
      </c>
      <c r="BU649">
        <v>0</v>
      </c>
      <c r="BV649">
        <v>0</v>
      </c>
      <c r="BW649">
        <v>0</v>
      </c>
      <c r="BX649">
        <v>0</v>
      </c>
      <c r="BY649">
        <v>0</v>
      </c>
      <c r="BZ649">
        <v>0</v>
      </c>
      <c r="CA649">
        <v>0</v>
      </c>
      <c r="CB649">
        <v>0</v>
      </c>
      <c r="CC649">
        <v>0</v>
      </c>
      <c r="CD649">
        <v>0</v>
      </c>
      <c r="CE649">
        <v>0</v>
      </c>
      <c r="CF649">
        <v>0</v>
      </c>
      <c r="CG649">
        <v>0</v>
      </c>
      <c r="CH649">
        <v>0</v>
      </c>
      <c r="CI649">
        <v>0</v>
      </c>
      <c r="CJ649">
        <v>0</v>
      </c>
      <c r="CK649">
        <v>0</v>
      </c>
      <c r="CL649">
        <v>0</v>
      </c>
      <c r="CM649">
        <v>0</v>
      </c>
      <c r="CR649" t="s">
        <v>2321</v>
      </c>
      <c r="CS649" s="1369" t="str">
        <f>INDEX([8]Sheet1!$H:$H,MATCH(CR:CR,[8]Sheet1!$AU:$AU,0))</f>
        <v>Marketing, Customer Relations, Publicity and Media Co-ordination</v>
      </c>
    </row>
    <row r="650" spans="1:97" x14ac:dyDescent="0.2">
      <c r="A650" t="s">
        <v>3230</v>
      </c>
      <c r="B650">
        <v>703</v>
      </c>
      <c r="C650" t="s">
        <v>3230</v>
      </c>
      <c r="D650">
        <v>41295</v>
      </c>
      <c r="E650" t="s">
        <v>2432</v>
      </c>
      <c r="F650">
        <v>2600</v>
      </c>
      <c r="G650" t="s">
        <v>655</v>
      </c>
      <c r="H650">
        <v>2600</v>
      </c>
      <c r="I650" t="s">
        <v>655</v>
      </c>
      <c r="J650" t="s">
        <v>2365</v>
      </c>
      <c r="K650" t="s">
        <v>2365</v>
      </c>
      <c r="L650">
        <v>1200</v>
      </c>
      <c r="M650" t="s">
        <v>1480</v>
      </c>
      <c r="N650">
        <v>1207</v>
      </c>
      <c r="O650" t="s">
        <v>997</v>
      </c>
      <c r="P650" t="s">
        <v>2366</v>
      </c>
      <c r="Q650" t="s">
        <v>2364</v>
      </c>
      <c r="R650" t="s">
        <v>2364</v>
      </c>
      <c r="S650" t="s">
        <v>1881</v>
      </c>
      <c r="T650" t="s">
        <v>1812</v>
      </c>
      <c r="U650" t="s">
        <v>2365</v>
      </c>
      <c r="V650" t="s">
        <v>2365</v>
      </c>
      <c r="W650" t="s">
        <v>2365</v>
      </c>
      <c r="X650" t="s">
        <v>2365</v>
      </c>
      <c r="Y650" t="s">
        <v>2365</v>
      </c>
      <c r="Z650" t="s">
        <v>2365</v>
      </c>
      <c r="AA650" t="s">
        <v>2365</v>
      </c>
      <c r="AB650" t="s">
        <v>2365</v>
      </c>
      <c r="AC650" s="813" t="s">
        <v>2365</v>
      </c>
      <c r="AD650" s="813" t="s">
        <v>2365</v>
      </c>
      <c r="AE650" s="813" t="s">
        <v>2365</v>
      </c>
      <c r="AF650" t="s">
        <v>2365</v>
      </c>
      <c r="AG650" t="s">
        <v>2365</v>
      </c>
      <c r="AH650" t="s">
        <v>2365</v>
      </c>
      <c r="AI650" t="s">
        <v>2365</v>
      </c>
      <c r="AJ650" t="s">
        <v>2365</v>
      </c>
      <c r="AK650" t="s">
        <v>2365</v>
      </c>
      <c r="AL650" t="s">
        <v>2365</v>
      </c>
      <c r="AM650" t="s">
        <v>2365</v>
      </c>
      <c r="AN650" t="s">
        <v>2365</v>
      </c>
      <c r="AR650" t="s">
        <v>2365</v>
      </c>
      <c r="AS650" t="s">
        <v>2365</v>
      </c>
      <c r="AT650" t="s">
        <v>2365</v>
      </c>
      <c r="AU650" t="s">
        <v>2365</v>
      </c>
      <c r="AV650" t="s">
        <v>2365</v>
      </c>
      <c r="AW650" t="s">
        <v>2365</v>
      </c>
      <c r="AX650" t="s">
        <v>2365</v>
      </c>
      <c r="AY650" t="s">
        <v>2365</v>
      </c>
      <c r="AZ650" t="s">
        <v>2365</v>
      </c>
      <c r="BA650" t="s">
        <v>2365</v>
      </c>
      <c r="BB650" t="s">
        <v>2365</v>
      </c>
      <c r="BC650" t="s">
        <v>2365</v>
      </c>
      <c r="BD650" t="s">
        <v>2366</v>
      </c>
      <c r="BE650" t="s">
        <v>2365</v>
      </c>
      <c r="BF650" t="s">
        <v>2365</v>
      </c>
      <c r="BG650" t="s">
        <v>2365</v>
      </c>
      <c r="BH650" t="s">
        <v>2365</v>
      </c>
      <c r="BI650" t="s">
        <v>2366</v>
      </c>
      <c r="BJ650" t="s">
        <v>2365</v>
      </c>
      <c r="BK650" t="s">
        <v>2365</v>
      </c>
      <c r="BL650" t="s">
        <v>2365</v>
      </c>
      <c r="BM650" t="s">
        <v>2365</v>
      </c>
      <c r="BO650">
        <v>1</v>
      </c>
      <c r="BP650">
        <v>18</v>
      </c>
      <c r="BQ650" t="s">
        <v>2369</v>
      </c>
      <c r="BR650" t="s">
        <v>997</v>
      </c>
      <c r="BU650">
        <v>100000</v>
      </c>
      <c r="BV650">
        <v>0</v>
      </c>
      <c r="BW650">
        <v>100000</v>
      </c>
      <c r="BX650">
        <v>0</v>
      </c>
      <c r="BY650">
        <v>100000</v>
      </c>
      <c r="BZ650">
        <v>106000</v>
      </c>
      <c r="CA650">
        <v>112360</v>
      </c>
      <c r="CB650">
        <v>0</v>
      </c>
      <c r="CC650">
        <v>1399.8999999999999</v>
      </c>
      <c r="CD650">
        <v>0</v>
      </c>
      <c r="CE650">
        <v>14594.9</v>
      </c>
      <c r="CF650">
        <v>7688</v>
      </c>
      <c r="CG650">
        <v>41338</v>
      </c>
      <c r="CH650">
        <v>722.35</v>
      </c>
      <c r="CI650">
        <v>92</v>
      </c>
      <c r="CJ650">
        <v>0</v>
      </c>
      <c r="CK650">
        <v>0</v>
      </c>
      <c r="CL650">
        <v>0</v>
      </c>
      <c r="CM650">
        <v>0</v>
      </c>
      <c r="CR650" t="s">
        <v>2320</v>
      </c>
      <c r="CS650" s="1369" t="str">
        <f>INDEX([8]Sheet1!$H:$H,MATCH(CR:CR,[8]Sheet1!$AU:$AU,0))</f>
        <v>Administrative and Corporate Support</v>
      </c>
    </row>
    <row r="651" spans="1:97" x14ac:dyDescent="0.2">
      <c r="A651" t="s">
        <v>3231</v>
      </c>
      <c r="B651">
        <v>704</v>
      </c>
      <c r="C651" t="s">
        <v>3231</v>
      </c>
      <c r="D651">
        <v>41296</v>
      </c>
      <c r="E651" t="s">
        <v>3232</v>
      </c>
      <c r="F651">
        <v>2900</v>
      </c>
      <c r="G651" t="s">
        <v>569</v>
      </c>
      <c r="H651" t="s">
        <v>2366</v>
      </c>
      <c r="I651" t="s">
        <v>2366</v>
      </c>
      <c r="J651">
        <v>2904</v>
      </c>
      <c r="K651" t="s">
        <v>1432</v>
      </c>
      <c r="L651">
        <v>1200</v>
      </c>
      <c r="M651" t="s">
        <v>1480</v>
      </c>
      <c r="N651">
        <v>1207</v>
      </c>
      <c r="O651" t="s">
        <v>997</v>
      </c>
      <c r="P651" t="s">
        <v>2366</v>
      </c>
      <c r="Q651" t="s">
        <v>2364</v>
      </c>
      <c r="R651" t="s">
        <v>2364</v>
      </c>
      <c r="S651" t="s">
        <v>1881</v>
      </c>
      <c r="T651" t="s">
        <v>1812</v>
      </c>
      <c r="U651" t="s">
        <v>2365</v>
      </c>
      <c r="V651" t="s">
        <v>2365</v>
      </c>
      <c r="W651" t="s">
        <v>2365</v>
      </c>
      <c r="X651" t="s">
        <v>2365</v>
      </c>
      <c r="Y651" t="s">
        <v>2365</v>
      </c>
      <c r="Z651" t="s">
        <v>2365</v>
      </c>
      <c r="AA651" t="s">
        <v>2365</v>
      </c>
      <c r="AB651" t="s">
        <v>2365</v>
      </c>
      <c r="AC651" s="813" t="s">
        <v>2365</v>
      </c>
      <c r="AD651" s="813" t="s">
        <v>2365</v>
      </c>
      <c r="AE651" s="813" t="s">
        <v>2365</v>
      </c>
      <c r="AF651" t="s">
        <v>2365</v>
      </c>
      <c r="AG651" t="s">
        <v>2365</v>
      </c>
      <c r="AH651" t="s">
        <v>2365</v>
      </c>
      <c r="AI651" t="s">
        <v>2365</v>
      </c>
      <c r="AJ651" t="s">
        <v>2365</v>
      </c>
      <c r="AK651" t="s">
        <v>2365</v>
      </c>
      <c r="AL651" t="s">
        <v>2365</v>
      </c>
      <c r="AM651" t="s">
        <v>2365</v>
      </c>
      <c r="AN651" t="s">
        <v>2365</v>
      </c>
      <c r="AR651" t="s">
        <v>2365</v>
      </c>
      <c r="AS651" t="s">
        <v>2365</v>
      </c>
      <c r="AT651" t="s">
        <v>2365</v>
      </c>
      <c r="AU651" t="s">
        <v>2365</v>
      </c>
      <c r="AV651" t="s">
        <v>2365</v>
      </c>
      <c r="AW651" t="s">
        <v>2365</v>
      </c>
      <c r="AX651" t="s">
        <v>2365</v>
      </c>
      <c r="AY651" t="s">
        <v>2365</v>
      </c>
      <c r="AZ651" t="s">
        <v>2365</v>
      </c>
      <c r="BA651" t="s">
        <v>2365</v>
      </c>
      <c r="BB651" t="s">
        <v>2365</v>
      </c>
      <c r="BC651" t="s">
        <v>2365</v>
      </c>
      <c r="BD651" t="s">
        <v>2366</v>
      </c>
      <c r="BE651" t="s">
        <v>2365</v>
      </c>
      <c r="BF651" t="s">
        <v>2365</v>
      </c>
      <c r="BG651" t="s">
        <v>2365</v>
      </c>
      <c r="BH651" t="s">
        <v>2365</v>
      </c>
      <c r="BI651" t="s">
        <v>2366</v>
      </c>
      <c r="BJ651" t="s">
        <v>2365</v>
      </c>
      <c r="BK651" t="s">
        <v>2365</v>
      </c>
      <c r="BL651" t="s">
        <v>2365</v>
      </c>
      <c r="BM651" t="s">
        <v>2365</v>
      </c>
      <c r="BO651">
        <v>1</v>
      </c>
      <c r="BP651">
        <v>18</v>
      </c>
      <c r="BQ651" t="s">
        <v>2369</v>
      </c>
      <c r="BR651" t="s">
        <v>997</v>
      </c>
      <c r="BU651">
        <v>40000</v>
      </c>
      <c r="BV651">
        <v>0</v>
      </c>
      <c r="BW651">
        <v>40000</v>
      </c>
      <c r="BX651">
        <v>0</v>
      </c>
      <c r="BY651">
        <v>40000</v>
      </c>
      <c r="BZ651">
        <v>42400</v>
      </c>
      <c r="CA651">
        <v>44944</v>
      </c>
      <c r="CB651">
        <v>0</v>
      </c>
      <c r="CC651">
        <v>0</v>
      </c>
      <c r="CD651">
        <v>500</v>
      </c>
      <c r="CE651">
        <v>0</v>
      </c>
      <c r="CF651">
        <v>0</v>
      </c>
      <c r="CG651">
        <v>0</v>
      </c>
      <c r="CH651">
        <v>0</v>
      </c>
      <c r="CI651">
        <v>0</v>
      </c>
      <c r="CJ651">
        <v>0</v>
      </c>
      <c r="CK651">
        <v>0</v>
      </c>
      <c r="CL651">
        <v>0</v>
      </c>
      <c r="CM651">
        <v>0</v>
      </c>
      <c r="CR651" t="s">
        <v>2337</v>
      </c>
      <c r="CS651" s="1369" t="str">
        <f>INDEX([8]Sheet1!$H:$H,MATCH(CR:CR,[8]Sheet1!$AU:$AU,0))</f>
        <v>Corporate Wide Strategic Planning (IDPs, LEDs)</v>
      </c>
    </row>
    <row r="652" spans="1:97" x14ac:dyDescent="0.2">
      <c r="A652" t="s">
        <v>3233</v>
      </c>
      <c r="B652">
        <v>705</v>
      </c>
      <c r="C652" t="s">
        <v>3233</v>
      </c>
      <c r="D652">
        <v>41297</v>
      </c>
      <c r="E652" t="s">
        <v>3234</v>
      </c>
      <c r="F652">
        <v>2900</v>
      </c>
      <c r="G652" t="s">
        <v>569</v>
      </c>
      <c r="H652" t="s">
        <v>2366</v>
      </c>
      <c r="I652" t="s">
        <v>2366</v>
      </c>
      <c r="J652">
        <v>2904</v>
      </c>
      <c r="K652" t="s">
        <v>1432</v>
      </c>
      <c r="L652">
        <v>1200</v>
      </c>
      <c r="M652" t="s">
        <v>1480</v>
      </c>
      <c r="N652">
        <v>1207</v>
      </c>
      <c r="O652" t="s">
        <v>997</v>
      </c>
      <c r="P652" t="s">
        <v>2366</v>
      </c>
      <c r="Q652" t="s">
        <v>2364</v>
      </c>
      <c r="R652" t="s">
        <v>2364</v>
      </c>
      <c r="S652" t="s">
        <v>1881</v>
      </c>
      <c r="T652" t="s">
        <v>1812</v>
      </c>
      <c r="U652" t="s">
        <v>2365</v>
      </c>
      <c r="V652" t="s">
        <v>2365</v>
      </c>
      <c r="W652" t="s">
        <v>2365</v>
      </c>
      <c r="X652" t="s">
        <v>2365</v>
      </c>
      <c r="Y652" t="s">
        <v>2365</v>
      </c>
      <c r="Z652" t="s">
        <v>2365</v>
      </c>
      <c r="AA652" t="s">
        <v>2365</v>
      </c>
      <c r="AB652" t="s">
        <v>2365</v>
      </c>
      <c r="AC652" s="813" t="s">
        <v>2365</v>
      </c>
      <c r="AD652" s="813" t="s">
        <v>2365</v>
      </c>
      <c r="AE652" s="813" t="s">
        <v>2365</v>
      </c>
      <c r="AF652" t="s">
        <v>2365</v>
      </c>
      <c r="AG652" t="s">
        <v>2365</v>
      </c>
      <c r="AH652" t="s">
        <v>2365</v>
      </c>
      <c r="AI652" t="s">
        <v>2365</v>
      </c>
      <c r="AJ652" t="s">
        <v>2365</v>
      </c>
      <c r="AK652" t="s">
        <v>2365</v>
      </c>
      <c r="AL652" t="s">
        <v>2365</v>
      </c>
      <c r="AM652" t="s">
        <v>2365</v>
      </c>
      <c r="AN652" t="s">
        <v>2365</v>
      </c>
      <c r="AR652" t="s">
        <v>2365</v>
      </c>
      <c r="AS652" t="s">
        <v>2365</v>
      </c>
      <c r="AT652" t="s">
        <v>2365</v>
      </c>
      <c r="AU652" t="s">
        <v>2365</v>
      </c>
      <c r="AV652" t="s">
        <v>2365</v>
      </c>
      <c r="AW652" t="s">
        <v>2365</v>
      </c>
      <c r="AX652" t="s">
        <v>2365</v>
      </c>
      <c r="AY652" t="s">
        <v>2365</v>
      </c>
      <c r="AZ652" t="s">
        <v>2365</v>
      </c>
      <c r="BA652" t="s">
        <v>2365</v>
      </c>
      <c r="BB652" t="s">
        <v>2365</v>
      </c>
      <c r="BC652" t="s">
        <v>2365</v>
      </c>
      <c r="BD652" t="s">
        <v>2366</v>
      </c>
      <c r="BE652" t="s">
        <v>2365</v>
      </c>
      <c r="BF652" t="s">
        <v>2365</v>
      </c>
      <c r="BG652" t="s">
        <v>2365</v>
      </c>
      <c r="BH652" t="s">
        <v>2365</v>
      </c>
      <c r="BI652" t="s">
        <v>2366</v>
      </c>
      <c r="BJ652" t="s">
        <v>2365</v>
      </c>
      <c r="BK652" t="s">
        <v>2365</v>
      </c>
      <c r="BL652" t="s">
        <v>2365</v>
      </c>
      <c r="BM652" t="s">
        <v>2365</v>
      </c>
      <c r="BO652">
        <v>1</v>
      </c>
      <c r="BP652">
        <v>18</v>
      </c>
      <c r="BQ652" t="s">
        <v>2369</v>
      </c>
      <c r="BR652" t="s">
        <v>997</v>
      </c>
      <c r="BU652">
        <v>0</v>
      </c>
      <c r="BV652">
        <v>0</v>
      </c>
      <c r="BW652">
        <v>0</v>
      </c>
      <c r="BX652">
        <v>0</v>
      </c>
      <c r="BY652">
        <v>0</v>
      </c>
      <c r="BZ652">
        <v>0</v>
      </c>
      <c r="CA652">
        <v>0</v>
      </c>
      <c r="CB652">
        <v>0</v>
      </c>
      <c r="CC652">
        <v>0</v>
      </c>
      <c r="CD652">
        <v>0</v>
      </c>
      <c r="CE652">
        <v>0</v>
      </c>
      <c r="CF652">
        <v>0</v>
      </c>
      <c r="CG652">
        <v>0</v>
      </c>
      <c r="CH652">
        <v>0</v>
      </c>
      <c r="CI652">
        <v>0</v>
      </c>
      <c r="CJ652">
        <v>0</v>
      </c>
      <c r="CK652">
        <v>0</v>
      </c>
      <c r="CL652">
        <v>0</v>
      </c>
      <c r="CM652">
        <v>0</v>
      </c>
      <c r="CR652" t="s">
        <v>2337</v>
      </c>
      <c r="CS652" s="1369" t="str">
        <f>INDEX([8]Sheet1!$H:$H,MATCH(CR:CR,[8]Sheet1!$AU:$AU,0))</f>
        <v>Corporate Wide Strategic Planning (IDPs, LEDs)</v>
      </c>
    </row>
    <row r="653" spans="1:97" x14ac:dyDescent="0.2">
      <c r="A653" t="s">
        <v>3235</v>
      </c>
      <c r="B653">
        <v>706</v>
      </c>
      <c r="C653" t="s">
        <v>3235</v>
      </c>
      <c r="D653">
        <v>41298</v>
      </c>
      <c r="E653" t="s">
        <v>3236</v>
      </c>
      <c r="F653">
        <v>2900</v>
      </c>
      <c r="G653" t="s">
        <v>569</v>
      </c>
      <c r="H653" t="s">
        <v>2366</v>
      </c>
      <c r="I653" t="s">
        <v>2366</v>
      </c>
      <c r="J653">
        <v>2904</v>
      </c>
      <c r="K653" t="s">
        <v>1432</v>
      </c>
      <c r="L653">
        <v>1200</v>
      </c>
      <c r="M653" t="s">
        <v>1480</v>
      </c>
      <c r="N653">
        <v>1207</v>
      </c>
      <c r="O653" t="s">
        <v>997</v>
      </c>
      <c r="P653" t="s">
        <v>2366</v>
      </c>
      <c r="Q653" t="s">
        <v>2364</v>
      </c>
      <c r="R653" t="s">
        <v>2364</v>
      </c>
      <c r="S653" t="s">
        <v>1881</v>
      </c>
      <c r="T653" t="s">
        <v>1812</v>
      </c>
      <c r="U653" t="s">
        <v>2365</v>
      </c>
      <c r="V653" t="s">
        <v>2365</v>
      </c>
      <c r="W653" t="s">
        <v>2365</v>
      </c>
      <c r="X653" t="s">
        <v>2365</v>
      </c>
      <c r="Y653" t="s">
        <v>2365</v>
      </c>
      <c r="Z653" t="s">
        <v>2365</v>
      </c>
      <c r="AA653" t="s">
        <v>2365</v>
      </c>
      <c r="AB653" t="s">
        <v>2365</v>
      </c>
      <c r="AC653" s="813" t="s">
        <v>2365</v>
      </c>
      <c r="AD653" s="813" t="s">
        <v>2365</v>
      </c>
      <c r="AE653" s="813" t="s">
        <v>2365</v>
      </c>
      <c r="AF653" t="s">
        <v>2365</v>
      </c>
      <c r="AG653" t="s">
        <v>2365</v>
      </c>
      <c r="AH653" t="s">
        <v>2365</v>
      </c>
      <c r="AI653" t="s">
        <v>2365</v>
      </c>
      <c r="AJ653" t="s">
        <v>2365</v>
      </c>
      <c r="AK653" t="s">
        <v>2365</v>
      </c>
      <c r="AL653" t="s">
        <v>2365</v>
      </c>
      <c r="AM653" t="s">
        <v>2365</v>
      </c>
      <c r="AN653" t="s">
        <v>2365</v>
      </c>
      <c r="AR653" t="s">
        <v>2365</v>
      </c>
      <c r="AS653" t="s">
        <v>2365</v>
      </c>
      <c r="AT653" t="s">
        <v>2365</v>
      </c>
      <c r="AU653" t="s">
        <v>2365</v>
      </c>
      <c r="AV653" t="s">
        <v>2365</v>
      </c>
      <c r="AW653" t="s">
        <v>2365</v>
      </c>
      <c r="AX653" t="s">
        <v>2365</v>
      </c>
      <c r="AY653" t="s">
        <v>2365</v>
      </c>
      <c r="AZ653" t="s">
        <v>2365</v>
      </c>
      <c r="BA653" t="s">
        <v>2365</v>
      </c>
      <c r="BB653" t="s">
        <v>2365</v>
      </c>
      <c r="BC653" t="s">
        <v>2365</v>
      </c>
      <c r="BD653" t="s">
        <v>2366</v>
      </c>
      <c r="BE653" t="s">
        <v>2365</v>
      </c>
      <c r="BF653" t="s">
        <v>2365</v>
      </c>
      <c r="BG653" t="s">
        <v>2365</v>
      </c>
      <c r="BH653" t="s">
        <v>2365</v>
      </c>
      <c r="BI653" t="s">
        <v>2366</v>
      </c>
      <c r="BJ653" t="s">
        <v>2365</v>
      </c>
      <c r="BK653" t="s">
        <v>2365</v>
      </c>
      <c r="BL653" t="s">
        <v>2365</v>
      </c>
      <c r="BM653" t="s">
        <v>2365</v>
      </c>
      <c r="BO653">
        <v>1</v>
      </c>
      <c r="BP653">
        <v>18</v>
      </c>
      <c r="BQ653" t="s">
        <v>2369</v>
      </c>
      <c r="BR653" t="s">
        <v>997</v>
      </c>
      <c r="BU653">
        <v>950000</v>
      </c>
      <c r="BV653">
        <v>0</v>
      </c>
      <c r="BW653">
        <v>950000</v>
      </c>
      <c r="BX653">
        <v>900000</v>
      </c>
      <c r="BY653">
        <v>1850000</v>
      </c>
      <c r="BZ653">
        <v>1007000</v>
      </c>
      <c r="CA653">
        <v>1067420</v>
      </c>
      <c r="CB653">
        <v>0</v>
      </c>
      <c r="CC653">
        <v>39091</v>
      </c>
      <c r="CD653">
        <v>0</v>
      </c>
      <c r="CE653">
        <v>862922.49</v>
      </c>
      <c r="CF653">
        <v>0</v>
      </c>
      <c r="CG653">
        <v>0</v>
      </c>
      <c r="CH653">
        <v>-793228</v>
      </c>
      <c r="CI653">
        <v>0</v>
      </c>
      <c r="CJ653">
        <v>0</v>
      </c>
      <c r="CK653">
        <v>0</v>
      </c>
      <c r="CL653">
        <v>0</v>
      </c>
      <c r="CM653">
        <v>0</v>
      </c>
      <c r="CR653" t="s">
        <v>2337</v>
      </c>
      <c r="CS653" s="1369" t="str">
        <f>INDEX([8]Sheet1!$H:$H,MATCH(CR:CR,[8]Sheet1!$AU:$AU,0))</f>
        <v>Corporate Wide Strategic Planning (IDPs, LEDs)</v>
      </c>
    </row>
    <row r="654" spans="1:97" x14ac:dyDescent="0.2">
      <c r="A654" t="s">
        <v>3237</v>
      </c>
      <c r="B654">
        <v>707</v>
      </c>
      <c r="C654" t="s">
        <v>3237</v>
      </c>
      <c r="D654">
        <v>41299</v>
      </c>
      <c r="E654" t="s">
        <v>3238</v>
      </c>
      <c r="F654">
        <v>2900</v>
      </c>
      <c r="G654" t="s">
        <v>569</v>
      </c>
      <c r="H654" t="s">
        <v>2366</v>
      </c>
      <c r="I654" t="s">
        <v>2366</v>
      </c>
      <c r="J654">
        <v>2904</v>
      </c>
      <c r="K654" t="s">
        <v>1432</v>
      </c>
      <c r="L654">
        <v>1200</v>
      </c>
      <c r="M654" t="s">
        <v>1480</v>
      </c>
      <c r="N654">
        <v>1209</v>
      </c>
      <c r="O654" t="s">
        <v>1490</v>
      </c>
      <c r="P654" t="s">
        <v>2366</v>
      </c>
      <c r="Q654" t="s">
        <v>2364</v>
      </c>
      <c r="R654" t="s">
        <v>2364</v>
      </c>
      <c r="S654" t="s">
        <v>1881</v>
      </c>
      <c r="T654" t="s">
        <v>1812</v>
      </c>
      <c r="U654" t="s">
        <v>2365</v>
      </c>
      <c r="V654" t="s">
        <v>2365</v>
      </c>
      <c r="W654" t="s">
        <v>2365</v>
      </c>
      <c r="X654" t="s">
        <v>2365</v>
      </c>
      <c r="Y654" t="s">
        <v>2365</v>
      </c>
      <c r="Z654" t="s">
        <v>2365</v>
      </c>
      <c r="AA654" t="s">
        <v>2365</v>
      </c>
      <c r="AB654" t="s">
        <v>2365</v>
      </c>
      <c r="AC654" s="813" t="s">
        <v>2365</v>
      </c>
      <c r="AD654" s="813" t="s">
        <v>2365</v>
      </c>
      <c r="AE654" s="813" t="s">
        <v>2365</v>
      </c>
      <c r="AF654" t="s">
        <v>2365</v>
      </c>
      <c r="AG654" t="s">
        <v>2365</v>
      </c>
      <c r="AH654" t="s">
        <v>2365</v>
      </c>
      <c r="AI654" t="s">
        <v>2365</v>
      </c>
      <c r="AJ654" t="s">
        <v>2365</v>
      </c>
      <c r="AK654" t="s">
        <v>2365</v>
      </c>
      <c r="AL654" t="s">
        <v>2365</v>
      </c>
      <c r="AM654" t="s">
        <v>2365</v>
      </c>
      <c r="AN654" t="s">
        <v>2365</v>
      </c>
      <c r="AR654" t="s">
        <v>2365</v>
      </c>
      <c r="AS654" t="s">
        <v>2365</v>
      </c>
      <c r="AT654" t="s">
        <v>2365</v>
      </c>
      <c r="AU654" t="s">
        <v>2365</v>
      </c>
      <c r="AV654" t="s">
        <v>2365</v>
      </c>
      <c r="AW654" t="s">
        <v>2365</v>
      </c>
      <c r="AX654" t="s">
        <v>2365</v>
      </c>
      <c r="AY654" t="s">
        <v>2365</v>
      </c>
      <c r="AZ654" t="s">
        <v>2365</v>
      </c>
      <c r="BA654" t="s">
        <v>2365</v>
      </c>
      <c r="BB654" t="s">
        <v>2365</v>
      </c>
      <c r="BC654" t="s">
        <v>2365</v>
      </c>
      <c r="BD654" t="s">
        <v>2366</v>
      </c>
      <c r="BE654" t="s">
        <v>2365</v>
      </c>
      <c r="BF654" t="s">
        <v>2365</v>
      </c>
      <c r="BG654" t="s">
        <v>2365</v>
      </c>
      <c r="BH654" t="s">
        <v>2365</v>
      </c>
      <c r="BI654" t="s">
        <v>2366</v>
      </c>
      <c r="BJ654" t="s">
        <v>2365</v>
      </c>
      <c r="BK654" t="s">
        <v>2365</v>
      </c>
      <c r="BL654" t="s">
        <v>2365</v>
      </c>
      <c r="BM654" t="s">
        <v>2365</v>
      </c>
      <c r="BO654">
        <v>1</v>
      </c>
      <c r="BP654">
        <v>19</v>
      </c>
      <c r="BQ654" t="s">
        <v>2369</v>
      </c>
      <c r="BR654" t="s">
        <v>1490</v>
      </c>
      <c r="BU654">
        <v>0</v>
      </c>
      <c r="BV654">
        <v>0</v>
      </c>
      <c r="BW654">
        <v>0</v>
      </c>
      <c r="BX654">
        <v>0</v>
      </c>
      <c r="BY654">
        <v>0</v>
      </c>
      <c r="BZ654">
        <v>0</v>
      </c>
      <c r="CA654">
        <v>0</v>
      </c>
      <c r="CB654">
        <v>0</v>
      </c>
      <c r="CC654">
        <v>0</v>
      </c>
      <c r="CD654">
        <v>0</v>
      </c>
      <c r="CE654">
        <v>0</v>
      </c>
      <c r="CF654">
        <v>0</v>
      </c>
      <c r="CG654">
        <v>0</v>
      </c>
      <c r="CH654">
        <v>0</v>
      </c>
      <c r="CI654">
        <v>0</v>
      </c>
      <c r="CJ654">
        <v>0</v>
      </c>
      <c r="CK654">
        <v>0</v>
      </c>
      <c r="CL654">
        <v>0</v>
      </c>
      <c r="CM654">
        <v>0</v>
      </c>
      <c r="CR654" t="s">
        <v>2325</v>
      </c>
      <c r="CS654" s="1369" t="str">
        <f>INDEX([8]Sheet1!$H:$H,MATCH(CR:CR,[8]Sheet1!$AU:$AU,0))</f>
        <v>Asset Management</v>
      </c>
    </row>
    <row r="655" spans="1:97" x14ac:dyDescent="0.2">
      <c r="A655" t="s">
        <v>3239</v>
      </c>
      <c r="B655">
        <v>708</v>
      </c>
      <c r="C655" t="s">
        <v>3239</v>
      </c>
      <c r="D655">
        <v>41300</v>
      </c>
      <c r="E655" t="s">
        <v>3240</v>
      </c>
      <c r="F655">
        <v>2700</v>
      </c>
      <c r="G655" t="s">
        <v>656</v>
      </c>
      <c r="H655" t="s">
        <v>2664</v>
      </c>
      <c r="I655" t="s">
        <v>1801</v>
      </c>
      <c r="J655">
        <v>2702</v>
      </c>
      <c r="K655" t="s">
        <v>1801</v>
      </c>
      <c r="L655">
        <v>1200</v>
      </c>
      <c r="M655" t="s">
        <v>1480</v>
      </c>
      <c r="N655">
        <v>1209</v>
      </c>
      <c r="O655" t="s">
        <v>1490</v>
      </c>
      <c r="P655" t="s">
        <v>2366</v>
      </c>
      <c r="Q655" t="s">
        <v>2364</v>
      </c>
      <c r="R655" t="s">
        <v>2364</v>
      </c>
      <c r="S655" t="s">
        <v>1881</v>
      </c>
      <c r="T655" t="s">
        <v>1812</v>
      </c>
      <c r="U655" t="s">
        <v>2365</v>
      </c>
      <c r="V655" t="s">
        <v>2365</v>
      </c>
      <c r="W655" t="s">
        <v>2365</v>
      </c>
      <c r="X655" t="s">
        <v>2365</v>
      </c>
      <c r="Y655" t="s">
        <v>2365</v>
      </c>
      <c r="Z655" t="s">
        <v>2365</v>
      </c>
      <c r="AA655" t="s">
        <v>2365</v>
      </c>
      <c r="AB655" t="s">
        <v>2365</v>
      </c>
      <c r="AC655" s="813" t="s">
        <v>2365</v>
      </c>
      <c r="AD655" s="813" t="s">
        <v>2365</v>
      </c>
      <c r="AE655" s="813" t="s">
        <v>2365</v>
      </c>
      <c r="AF655" t="s">
        <v>2365</v>
      </c>
      <c r="AG655" t="s">
        <v>2365</v>
      </c>
      <c r="AH655" t="s">
        <v>2365</v>
      </c>
      <c r="AI655" t="s">
        <v>2365</v>
      </c>
      <c r="AJ655" t="s">
        <v>2365</v>
      </c>
      <c r="AK655" t="s">
        <v>2365</v>
      </c>
      <c r="AL655" t="s">
        <v>2365</v>
      </c>
      <c r="AM655" t="s">
        <v>2365</v>
      </c>
      <c r="AN655" t="s">
        <v>2365</v>
      </c>
      <c r="AR655" t="s">
        <v>2365</v>
      </c>
      <c r="AS655" t="s">
        <v>2365</v>
      </c>
      <c r="AT655" t="s">
        <v>2365</v>
      </c>
      <c r="AU655" t="s">
        <v>2365</v>
      </c>
      <c r="AV655" t="s">
        <v>2365</v>
      </c>
      <c r="AW655" t="s">
        <v>2365</v>
      </c>
      <c r="AX655" t="s">
        <v>2365</v>
      </c>
      <c r="AY655" t="s">
        <v>2365</v>
      </c>
      <c r="AZ655" t="s">
        <v>2365</v>
      </c>
      <c r="BA655" t="s">
        <v>2365</v>
      </c>
      <c r="BB655" t="s">
        <v>2365</v>
      </c>
      <c r="BC655" t="s">
        <v>2365</v>
      </c>
      <c r="BD655" t="s">
        <v>2366</v>
      </c>
      <c r="BE655" t="s">
        <v>2365</v>
      </c>
      <c r="BF655" t="s">
        <v>2365</v>
      </c>
      <c r="BG655" t="s">
        <v>2365</v>
      </c>
      <c r="BH655" t="s">
        <v>2365</v>
      </c>
      <c r="BI655" t="s">
        <v>2366</v>
      </c>
      <c r="BJ655" t="s">
        <v>2365</v>
      </c>
      <c r="BK655" t="s">
        <v>2365</v>
      </c>
      <c r="BL655" t="s">
        <v>2365</v>
      </c>
      <c r="BM655" t="s">
        <v>2365</v>
      </c>
      <c r="BO655">
        <v>1</v>
      </c>
      <c r="BP655">
        <v>19</v>
      </c>
      <c r="BQ655" t="s">
        <v>2369</v>
      </c>
      <c r="BR655" t="s">
        <v>1490</v>
      </c>
      <c r="BU655">
        <v>0</v>
      </c>
      <c r="BV655">
        <v>0</v>
      </c>
      <c r="BW655">
        <v>0</v>
      </c>
      <c r="BX655">
        <v>0</v>
      </c>
      <c r="BY655">
        <v>0</v>
      </c>
      <c r="BZ655">
        <v>0</v>
      </c>
      <c r="CA655">
        <v>0</v>
      </c>
      <c r="CB655">
        <v>0</v>
      </c>
      <c r="CC655">
        <v>0</v>
      </c>
      <c r="CD655">
        <v>0</v>
      </c>
      <c r="CE655">
        <v>0</v>
      </c>
      <c r="CF655">
        <v>0</v>
      </c>
      <c r="CG655">
        <v>0</v>
      </c>
      <c r="CH655">
        <v>0</v>
      </c>
      <c r="CI655">
        <v>0</v>
      </c>
      <c r="CJ655">
        <v>0</v>
      </c>
      <c r="CK655">
        <v>0</v>
      </c>
      <c r="CL655">
        <v>0</v>
      </c>
      <c r="CM655">
        <v>0</v>
      </c>
      <c r="CR655" t="s">
        <v>2324</v>
      </c>
      <c r="CS655" s="1369" t="str">
        <f>INDEX([8]Sheet1!$H:$H,MATCH(CR:CR,[8]Sheet1!$AU:$AU,0))</f>
        <v>Finance</v>
      </c>
    </row>
    <row r="656" spans="1:97" x14ac:dyDescent="0.2">
      <c r="A656" t="s">
        <v>3241</v>
      </c>
      <c r="B656">
        <v>709</v>
      </c>
      <c r="C656" t="s">
        <v>3241</v>
      </c>
      <c r="D656">
        <v>41400</v>
      </c>
      <c r="E656" t="s">
        <v>3242</v>
      </c>
      <c r="F656">
        <v>2700</v>
      </c>
      <c r="G656" t="s">
        <v>656</v>
      </c>
      <c r="H656" t="s">
        <v>2428</v>
      </c>
      <c r="I656" t="s">
        <v>1800</v>
      </c>
      <c r="J656">
        <v>2701</v>
      </c>
      <c r="K656" t="s">
        <v>1800</v>
      </c>
      <c r="L656">
        <v>1200</v>
      </c>
      <c r="M656" t="s">
        <v>1480</v>
      </c>
      <c r="N656">
        <v>1201</v>
      </c>
      <c r="O656" t="s">
        <v>1486</v>
      </c>
      <c r="P656" t="s">
        <v>2366</v>
      </c>
      <c r="Q656" t="s">
        <v>2364</v>
      </c>
      <c r="R656" t="s">
        <v>2364</v>
      </c>
      <c r="S656" t="s">
        <v>1881</v>
      </c>
      <c r="T656" t="s">
        <v>1812</v>
      </c>
      <c r="U656" t="s">
        <v>2365</v>
      </c>
      <c r="V656" t="s">
        <v>2365</v>
      </c>
      <c r="W656" t="s">
        <v>2365</v>
      </c>
      <c r="X656" t="s">
        <v>2365</v>
      </c>
      <c r="Y656" t="s">
        <v>2365</v>
      </c>
      <c r="Z656" t="s">
        <v>2365</v>
      </c>
      <c r="AA656" t="s">
        <v>2365</v>
      </c>
      <c r="AB656" t="s">
        <v>2365</v>
      </c>
      <c r="AC656" s="813" t="s">
        <v>2365</v>
      </c>
      <c r="AD656" s="813" t="s">
        <v>2365</v>
      </c>
      <c r="AE656" s="813" t="s">
        <v>2365</v>
      </c>
      <c r="AF656" t="s">
        <v>2365</v>
      </c>
      <c r="AG656" t="s">
        <v>2365</v>
      </c>
      <c r="AH656" t="s">
        <v>2365</v>
      </c>
      <c r="AI656" t="s">
        <v>2365</v>
      </c>
      <c r="AJ656" t="s">
        <v>2365</v>
      </c>
      <c r="AK656" t="s">
        <v>2365</v>
      </c>
      <c r="AL656" t="s">
        <v>2365</v>
      </c>
      <c r="AM656" t="s">
        <v>2365</v>
      </c>
      <c r="AN656" t="s">
        <v>2365</v>
      </c>
      <c r="AR656" t="s">
        <v>2365</v>
      </c>
      <c r="AS656" t="s">
        <v>2365</v>
      </c>
      <c r="AT656" t="s">
        <v>2365</v>
      </c>
      <c r="AU656" t="s">
        <v>2365</v>
      </c>
      <c r="AV656" t="s">
        <v>2365</v>
      </c>
      <c r="AW656" t="s">
        <v>2365</v>
      </c>
      <c r="AX656" t="s">
        <v>2365</v>
      </c>
      <c r="AY656" t="s">
        <v>2365</v>
      </c>
      <c r="AZ656" t="s">
        <v>2365</v>
      </c>
      <c r="BA656" t="s">
        <v>2365</v>
      </c>
      <c r="BB656" t="s">
        <v>2365</v>
      </c>
      <c r="BC656" t="s">
        <v>2365</v>
      </c>
      <c r="BD656" t="s">
        <v>2366</v>
      </c>
      <c r="BE656" t="s">
        <v>2365</v>
      </c>
      <c r="BF656" t="s">
        <v>2365</v>
      </c>
      <c r="BG656" t="s">
        <v>2365</v>
      </c>
      <c r="BH656" t="s">
        <v>2365</v>
      </c>
      <c r="BI656" t="s">
        <v>2366</v>
      </c>
      <c r="BJ656" t="s">
        <v>2365</v>
      </c>
      <c r="BK656" t="s">
        <v>2365</v>
      </c>
      <c r="BL656" t="s">
        <v>2365</v>
      </c>
      <c r="BM656" t="s">
        <v>2365</v>
      </c>
      <c r="BO656">
        <v>1</v>
      </c>
      <c r="BP656">
        <v>14</v>
      </c>
      <c r="BQ656" t="s">
        <v>2369</v>
      </c>
      <c r="BR656" t="s">
        <v>1486</v>
      </c>
      <c r="BU656">
        <v>0</v>
      </c>
      <c r="BV656">
        <v>0</v>
      </c>
      <c r="BW656">
        <v>0</v>
      </c>
      <c r="BX656">
        <v>0</v>
      </c>
      <c r="BY656">
        <v>0</v>
      </c>
      <c r="BZ656">
        <v>0</v>
      </c>
      <c r="CA656">
        <v>0</v>
      </c>
      <c r="CB656">
        <v>0</v>
      </c>
      <c r="CC656">
        <v>3136</v>
      </c>
      <c r="CD656">
        <v>2425.15</v>
      </c>
      <c r="CE656">
        <v>0</v>
      </c>
      <c r="CF656">
        <v>556.01</v>
      </c>
      <c r="CG656">
        <v>-6117.16</v>
      </c>
      <c r="CH656">
        <v>0</v>
      </c>
      <c r="CI656">
        <v>0</v>
      </c>
      <c r="CJ656">
        <v>0</v>
      </c>
      <c r="CK656">
        <v>0</v>
      </c>
      <c r="CL656">
        <v>0</v>
      </c>
      <c r="CM656">
        <v>0</v>
      </c>
      <c r="CR656" t="s">
        <v>2326</v>
      </c>
      <c r="CS656" s="1369" t="str">
        <f>INDEX([8]Sheet1!$H:$H,MATCH(CR:CR,[8]Sheet1!$AU:$AU,0))</f>
        <v>Supply Chain Management</v>
      </c>
    </row>
    <row r="657" spans="1:97" x14ac:dyDescent="0.2">
      <c r="A657" t="s">
        <v>3243</v>
      </c>
      <c r="B657">
        <v>710</v>
      </c>
      <c r="C657" t="s">
        <v>3243</v>
      </c>
      <c r="D657">
        <v>41401</v>
      </c>
      <c r="E657" t="s">
        <v>2508</v>
      </c>
      <c r="F657">
        <v>2900</v>
      </c>
      <c r="G657" t="s">
        <v>569</v>
      </c>
      <c r="H657" t="s">
        <v>2366</v>
      </c>
      <c r="I657" t="s">
        <v>2366</v>
      </c>
      <c r="J657">
        <v>2904</v>
      </c>
      <c r="K657" t="s">
        <v>1432</v>
      </c>
      <c r="L657">
        <v>1200</v>
      </c>
      <c r="M657" t="s">
        <v>1480</v>
      </c>
      <c r="N657">
        <v>1201</v>
      </c>
      <c r="O657" t="s">
        <v>1486</v>
      </c>
      <c r="P657" t="s">
        <v>2366</v>
      </c>
      <c r="Q657" t="s">
        <v>2364</v>
      </c>
      <c r="R657" t="s">
        <v>2364</v>
      </c>
      <c r="S657" t="s">
        <v>1881</v>
      </c>
      <c r="T657" t="s">
        <v>1812</v>
      </c>
      <c r="U657" t="s">
        <v>2365</v>
      </c>
      <c r="V657" t="s">
        <v>2365</v>
      </c>
      <c r="W657" t="s">
        <v>2365</v>
      </c>
      <c r="X657" t="s">
        <v>2365</v>
      </c>
      <c r="Y657" t="s">
        <v>2365</v>
      </c>
      <c r="Z657" t="s">
        <v>2365</v>
      </c>
      <c r="AA657" t="s">
        <v>2365</v>
      </c>
      <c r="AB657" t="s">
        <v>2365</v>
      </c>
      <c r="AC657" s="813" t="s">
        <v>2365</v>
      </c>
      <c r="AD657" s="813" t="s">
        <v>2365</v>
      </c>
      <c r="AE657" s="813" t="s">
        <v>2365</v>
      </c>
      <c r="AF657" t="s">
        <v>2365</v>
      </c>
      <c r="AG657" t="s">
        <v>2365</v>
      </c>
      <c r="AH657" t="s">
        <v>2365</v>
      </c>
      <c r="AI657" t="s">
        <v>2365</v>
      </c>
      <c r="AJ657" t="s">
        <v>2365</v>
      </c>
      <c r="AK657" t="s">
        <v>2365</v>
      </c>
      <c r="AL657" t="s">
        <v>2365</v>
      </c>
      <c r="AM657" t="s">
        <v>2365</v>
      </c>
      <c r="AN657" t="s">
        <v>2365</v>
      </c>
      <c r="AR657" t="s">
        <v>2365</v>
      </c>
      <c r="AS657" t="s">
        <v>2365</v>
      </c>
      <c r="AT657" t="s">
        <v>2365</v>
      </c>
      <c r="AU657" t="s">
        <v>2365</v>
      </c>
      <c r="AV657" t="s">
        <v>2365</v>
      </c>
      <c r="AW657" t="s">
        <v>2365</v>
      </c>
      <c r="AX657" t="s">
        <v>2365</v>
      </c>
      <c r="AY657" t="s">
        <v>2365</v>
      </c>
      <c r="AZ657" t="s">
        <v>2365</v>
      </c>
      <c r="BA657" t="s">
        <v>2365</v>
      </c>
      <c r="BB657" t="s">
        <v>2365</v>
      </c>
      <c r="BC657" t="s">
        <v>2365</v>
      </c>
      <c r="BD657" t="s">
        <v>2366</v>
      </c>
      <c r="BE657" t="s">
        <v>2365</v>
      </c>
      <c r="BF657" t="s">
        <v>2365</v>
      </c>
      <c r="BG657" t="s">
        <v>2365</v>
      </c>
      <c r="BH657" t="s">
        <v>2365</v>
      </c>
      <c r="BI657" t="s">
        <v>2366</v>
      </c>
      <c r="BJ657" t="s">
        <v>2365</v>
      </c>
      <c r="BK657" t="s">
        <v>2365</v>
      </c>
      <c r="BL657" t="s">
        <v>2365</v>
      </c>
      <c r="BM657" t="s">
        <v>2365</v>
      </c>
      <c r="BO657">
        <v>1</v>
      </c>
      <c r="BP657">
        <v>14</v>
      </c>
      <c r="BQ657" t="s">
        <v>2369</v>
      </c>
      <c r="BR657" t="s">
        <v>1486</v>
      </c>
      <c r="BU657">
        <v>0</v>
      </c>
      <c r="BV657">
        <v>0</v>
      </c>
      <c r="BW657">
        <v>0</v>
      </c>
      <c r="BX657">
        <v>0</v>
      </c>
      <c r="BY657">
        <v>0</v>
      </c>
      <c r="BZ657">
        <v>0</v>
      </c>
      <c r="CA657">
        <v>0</v>
      </c>
      <c r="CB657">
        <v>0</v>
      </c>
      <c r="CC657">
        <v>0</v>
      </c>
      <c r="CD657">
        <v>0</v>
      </c>
      <c r="CE657">
        <v>0</v>
      </c>
      <c r="CF657">
        <v>0</v>
      </c>
      <c r="CG657">
        <v>0</v>
      </c>
      <c r="CH657">
        <v>0</v>
      </c>
      <c r="CI657">
        <v>0</v>
      </c>
      <c r="CJ657">
        <v>0</v>
      </c>
      <c r="CK657">
        <v>0</v>
      </c>
      <c r="CL657">
        <v>0</v>
      </c>
      <c r="CM657">
        <v>0</v>
      </c>
      <c r="CR657" t="s">
        <v>2328</v>
      </c>
      <c r="CS657" s="1369" t="str">
        <f>INDEX([8]Sheet1!$H:$H,MATCH(CR:CR,[8]Sheet1!$AU:$AU,0))</f>
        <v>Water Distribution</v>
      </c>
    </row>
    <row r="658" spans="1:97" x14ac:dyDescent="0.2">
      <c r="A658" t="s">
        <v>3244</v>
      </c>
      <c r="B658">
        <v>711</v>
      </c>
      <c r="C658" t="s">
        <v>3244</v>
      </c>
      <c r="D658">
        <v>41402</v>
      </c>
      <c r="E658" t="s">
        <v>3010</v>
      </c>
      <c r="F658">
        <v>2700</v>
      </c>
      <c r="G658" t="s">
        <v>656</v>
      </c>
      <c r="H658" s="1373" t="s">
        <v>2428</v>
      </c>
      <c r="I658" t="s">
        <v>1800</v>
      </c>
      <c r="J658">
        <v>2701</v>
      </c>
      <c r="K658" t="s">
        <v>1800</v>
      </c>
      <c r="L658" s="1373">
        <v>1200</v>
      </c>
      <c r="M658" t="s">
        <v>1480</v>
      </c>
      <c r="N658">
        <v>1201</v>
      </c>
      <c r="O658" t="s">
        <v>1486</v>
      </c>
      <c r="P658" t="s">
        <v>2366</v>
      </c>
      <c r="Q658" t="s">
        <v>2364</v>
      </c>
      <c r="R658" t="s">
        <v>2364</v>
      </c>
      <c r="S658" t="s">
        <v>1881</v>
      </c>
      <c r="T658" t="s">
        <v>1812</v>
      </c>
      <c r="U658" t="s">
        <v>2365</v>
      </c>
      <c r="V658" t="s">
        <v>2365</v>
      </c>
      <c r="W658" t="s">
        <v>2365</v>
      </c>
      <c r="X658" t="s">
        <v>2365</v>
      </c>
      <c r="Y658" t="s">
        <v>2365</v>
      </c>
      <c r="Z658" t="s">
        <v>2365</v>
      </c>
      <c r="AA658" t="s">
        <v>2365</v>
      </c>
      <c r="AB658" t="s">
        <v>2365</v>
      </c>
      <c r="AC658" s="813" t="s">
        <v>2365</v>
      </c>
      <c r="AD658" s="813" t="s">
        <v>2365</v>
      </c>
      <c r="AE658" s="813" t="s">
        <v>2365</v>
      </c>
      <c r="AF658" t="s">
        <v>2365</v>
      </c>
      <c r="AG658" t="s">
        <v>2365</v>
      </c>
      <c r="AH658" t="s">
        <v>2365</v>
      </c>
      <c r="AI658" t="s">
        <v>2365</v>
      </c>
      <c r="AJ658" t="s">
        <v>2365</v>
      </c>
      <c r="AK658" t="s">
        <v>2365</v>
      </c>
      <c r="AL658" t="s">
        <v>2365</v>
      </c>
      <c r="AM658" t="s">
        <v>2365</v>
      </c>
      <c r="AN658" t="s">
        <v>2365</v>
      </c>
      <c r="AR658" t="s">
        <v>2365</v>
      </c>
      <c r="AS658" t="s">
        <v>2365</v>
      </c>
      <c r="AT658" t="s">
        <v>2365</v>
      </c>
      <c r="AU658" t="s">
        <v>2365</v>
      </c>
      <c r="AV658" t="s">
        <v>2365</v>
      </c>
      <c r="AW658" t="s">
        <v>2365</v>
      </c>
      <c r="AX658" t="s">
        <v>2365</v>
      </c>
      <c r="AY658" t="s">
        <v>2365</v>
      </c>
      <c r="AZ658" t="s">
        <v>2365</v>
      </c>
      <c r="BA658" t="s">
        <v>2365</v>
      </c>
      <c r="BB658" t="s">
        <v>2365</v>
      </c>
      <c r="BC658" t="s">
        <v>2365</v>
      </c>
      <c r="BD658" t="s">
        <v>2366</v>
      </c>
      <c r="BE658" t="s">
        <v>2365</v>
      </c>
      <c r="BF658" t="s">
        <v>2365</v>
      </c>
      <c r="BG658" t="s">
        <v>2365</v>
      </c>
      <c r="BH658" t="s">
        <v>2365</v>
      </c>
      <c r="BI658" t="s">
        <v>2366</v>
      </c>
      <c r="BJ658" t="s">
        <v>2365</v>
      </c>
      <c r="BK658" t="s">
        <v>2365</v>
      </c>
      <c r="BL658" t="s">
        <v>2365</v>
      </c>
      <c r="BM658" t="s">
        <v>2365</v>
      </c>
      <c r="BO658">
        <v>1</v>
      </c>
      <c r="BP658">
        <v>14</v>
      </c>
      <c r="BQ658" t="s">
        <v>2369</v>
      </c>
      <c r="BR658" t="s">
        <v>1486</v>
      </c>
      <c r="BU658" s="1371">
        <v>0</v>
      </c>
      <c r="BV658" s="1371">
        <v>0</v>
      </c>
      <c r="BW658" s="1371">
        <v>0</v>
      </c>
      <c r="BX658" s="1371">
        <v>0</v>
      </c>
      <c r="BY658" s="1371">
        <v>0</v>
      </c>
      <c r="BZ658">
        <v>0</v>
      </c>
      <c r="CA658">
        <v>0</v>
      </c>
      <c r="CB658">
        <v>0</v>
      </c>
      <c r="CC658">
        <v>0</v>
      </c>
      <c r="CD658">
        <v>0</v>
      </c>
      <c r="CE658">
        <v>0</v>
      </c>
      <c r="CF658">
        <v>0</v>
      </c>
      <c r="CG658">
        <v>0</v>
      </c>
      <c r="CH658">
        <v>0</v>
      </c>
      <c r="CI658">
        <v>0</v>
      </c>
      <c r="CJ658">
        <v>0</v>
      </c>
      <c r="CK658">
        <v>0</v>
      </c>
      <c r="CL658">
        <v>0</v>
      </c>
      <c r="CM658">
        <v>0</v>
      </c>
      <c r="CR658" t="s">
        <v>2332</v>
      </c>
      <c r="CS658" s="1369" t="str">
        <f>INDEX([8]Sheet1!$H:$H,MATCH(CR:CR,[8]Sheet1!$AU:$AU,0))</f>
        <v>Water Storage</v>
      </c>
    </row>
    <row r="659" spans="1:97" x14ac:dyDescent="0.2">
      <c r="A659" t="s">
        <v>3245</v>
      </c>
      <c r="B659">
        <v>712</v>
      </c>
      <c r="C659" t="s">
        <v>3245</v>
      </c>
      <c r="D659">
        <v>41403</v>
      </c>
      <c r="E659" t="s">
        <v>3246</v>
      </c>
      <c r="F659">
        <v>2700</v>
      </c>
      <c r="G659" t="s">
        <v>656</v>
      </c>
      <c r="H659" t="s">
        <v>2664</v>
      </c>
      <c r="I659" t="s">
        <v>1801</v>
      </c>
      <c r="J659">
        <v>2702</v>
      </c>
      <c r="K659" t="s">
        <v>1801</v>
      </c>
      <c r="L659">
        <v>1200</v>
      </c>
      <c r="M659" t="s">
        <v>1480</v>
      </c>
      <c r="N659">
        <v>1201</v>
      </c>
      <c r="O659" t="s">
        <v>1486</v>
      </c>
      <c r="P659" t="s">
        <v>2366</v>
      </c>
      <c r="Q659" t="s">
        <v>2364</v>
      </c>
      <c r="R659" t="s">
        <v>2364</v>
      </c>
      <c r="S659" t="s">
        <v>1881</v>
      </c>
      <c r="T659" t="s">
        <v>1812</v>
      </c>
      <c r="U659" t="s">
        <v>2365</v>
      </c>
      <c r="V659" t="s">
        <v>2365</v>
      </c>
      <c r="W659" t="s">
        <v>2365</v>
      </c>
      <c r="X659" t="s">
        <v>2365</v>
      </c>
      <c r="Y659" t="s">
        <v>2365</v>
      </c>
      <c r="Z659" t="s">
        <v>2365</v>
      </c>
      <c r="AA659" t="s">
        <v>2365</v>
      </c>
      <c r="AB659" t="s">
        <v>2365</v>
      </c>
      <c r="AC659" s="813" t="s">
        <v>2365</v>
      </c>
      <c r="AD659" s="813" t="s">
        <v>2365</v>
      </c>
      <c r="AE659" s="813" t="s">
        <v>2365</v>
      </c>
      <c r="AF659" t="s">
        <v>2365</v>
      </c>
      <c r="AG659" t="s">
        <v>2365</v>
      </c>
      <c r="AH659" t="s">
        <v>2365</v>
      </c>
      <c r="AI659" t="s">
        <v>2365</v>
      </c>
      <c r="AJ659" t="s">
        <v>2365</v>
      </c>
      <c r="AK659" t="s">
        <v>2365</v>
      </c>
      <c r="AL659" t="s">
        <v>2365</v>
      </c>
      <c r="AM659" t="s">
        <v>2365</v>
      </c>
      <c r="AN659" t="s">
        <v>2365</v>
      </c>
      <c r="AR659" t="s">
        <v>2365</v>
      </c>
      <c r="AS659" t="s">
        <v>2365</v>
      </c>
      <c r="AT659" t="s">
        <v>2365</v>
      </c>
      <c r="AU659" t="s">
        <v>2365</v>
      </c>
      <c r="AV659" t="s">
        <v>2365</v>
      </c>
      <c r="AW659" t="s">
        <v>2365</v>
      </c>
      <c r="AX659" t="s">
        <v>2365</v>
      </c>
      <c r="AY659" t="s">
        <v>2365</v>
      </c>
      <c r="AZ659" t="s">
        <v>2365</v>
      </c>
      <c r="BA659" t="s">
        <v>2365</v>
      </c>
      <c r="BB659" t="s">
        <v>2365</v>
      </c>
      <c r="BC659" t="s">
        <v>2365</v>
      </c>
      <c r="BD659" t="s">
        <v>2366</v>
      </c>
      <c r="BE659" t="s">
        <v>2365</v>
      </c>
      <c r="BF659" t="s">
        <v>2365</v>
      </c>
      <c r="BG659" t="s">
        <v>2365</v>
      </c>
      <c r="BH659" t="s">
        <v>2365</v>
      </c>
      <c r="BI659" t="s">
        <v>2366</v>
      </c>
      <c r="BJ659" t="s">
        <v>2365</v>
      </c>
      <c r="BK659" t="s">
        <v>2365</v>
      </c>
      <c r="BL659" t="s">
        <v>2365</v>
      </c>
      <c r="BM659" t="s">
        <v>2365</v>
      </c>
      <c r="BO659">
        <v>1</v>
      </c>
      <c r="BP659">
        <v>14</v>
      </c>
      <c r="BQ659" t="s">
        <v>2369</v>
      </c>
      <c r="BR659" t="s">
        <v>1486</v>
      </c>
      <c r="BU659">
        <v>0</v>
      </c>
      <c r="BV659">
        <v>0</v>
      </c>
      <c r="BW659">
        <v>0</v>
      </c>
      <c r="BX659">
        <v>0</v>
      </c>
      <c r="BY659">
        <v>0</v>
      </c>
      <c r="BZ659">
        <v>0</v>
      </c>
      <c r="CA659">
        <v>0</v>
      </c>
      <c r="CB659">
        <v>0</v>
      </c>
      <c r="CC659">
        <v>0</v>
      </c>
      <c r="CD659">
        <v>0</v>
      </c>
      <c r="CE659">
        <v>0</v>
      </c>
      <c r="CF659">
        <v>0</v>
      </c>
      <c r="CG659">
        <v>0</v>
      </c>
      <c r="CH659">
        <v>0</v>
      </c>
      <c r="CI659">
        <v>0</v>
      </c>
      <c r="CJ659">
        <v>0</v>
      </c>
      <c r="CK659">
        <v>0</v>
      </c>
      <c r="CL659">
        <v>0</v>
      </c>
      <c r="CM659">
        <v>0</v>
      </c>
      <c r="CR659" t="s">
        <v>2331</v>
      </c>
      <c r="CS659" s="1369" t="str">
        <f>INDEX([8]Sheet1!$H:$H,MATCH(CR:CR,[8]Sheet1!$AU:$AU,0))</f>
        <v>Waste Water Treatment</v>
      </c>
    </row>
    <row r="660" spans="1:97" x14ac:dyDescent="0.2">
      <c r="A660" t="s">
        <v>3247</v>
      </c>
      <c r="B660">
        <v>713</v>
      </c>
      <c r="C660" t="s">
        <v>3247</v>
      </c>
      <c r="D660">
        <v>41404</v>
      </c>
      <c r="E660" t="s">
        <v>2468</v>
      </c>
      <c r="F660">
        <v>2600</v>
      </c>
      <c r="G660" t="s">
        <v>655</v>
      </c>
      <c r="H660">
        <v>2600</v>
      </c>
      <c r="I660" t="s">
        <v>655</v>
      </c>
      <c r="J660" t="s">
        <v>2365</v>
      </c>
      <c r="K660" t="s">
        <v>2365</v>
      </c>
      <c r="L660">
        <v>1200</v>
      </c>
      <c r="M660" t="s">
        <v>1480</v>
      </c>
      <c r="N660">
        <v>1201</v>
      </c>
      <c r="O660" t="s">
        <v>1486</v>
      </c>
      <c r="P660" t="s">
        <v>2366</v>
      </c>
      <c r="Q660" t="s">
        <v>2364</v>
      </c>
      <c r="R660" t="s">
        <v>2364</v>
      </c>
      <c r="S660" t="s">
        <v>1881</v>
      </c>
      <c r="T660" t="s">
        <v>1812</v>
      </c>
      <c r="U660" t="s">
        <v>2365</v>
      </c>
      <c r="V660" t="s">
        <v>2365</v>
      </c>
      <c r="W660" t="s">
        <v>2365</v>
      </c>
      <c r="X660" t="s">
        <v>2365</v>
      </c>
      <c r="Y660" t="s">
        <v>2365</v>
      </c>
      <c r="Z660" t="s">
        <v>2365</v>
      </c>
      <c r="AA660" t="s">
        <v>2365</v>
      </c>
      <c r="AB660" t="s">
        <v>2365</v>
      </c>
      <c r="AC660" s="813" t="s">
        <v>2365</v>
      </c>
      <c r="AD660" s="813" t="s">
        <v>2365</v>
      </c>
      <c r="AE660" s="813" t="s">
        <v>2365</v>
      </c>
      <c r="AF660" t="s">
        <v>2365</v>
      </c>
      <c r="AG660" t="s">
        <v>2365</v>
      </c>
      <c r="AH660" t="s">
        <v>2365</v>
      </c>
      <c r="AI660" t="s">
        <v>2365</v>
      </c>
      <c r="AJ660" t="s">
        <v>2365</v>
      </c>
      <c r="AK660" t="s">
        <v>2365</v>
      </c>
      <c r="AL660" t="s">
        <v>2365</v>
      </c>
      <c r="AM660" t="s">
        <v>2365</v>
      </c>
      <c r="AN660" t="s">
        <v>2365</v>
      </c>
      <c r="AR660" t="s">
        <v>2365</v>
      </c>
      <c r="AS660" t="s">
        <v>2365</v>
      </c>
      <c r="AT660" t="s">
        <v>2365</v>
      </c>
      <c r="AU660" t="s">
        <v>2365</v>
      </c>
      <c r="AV660" t="s">
        <v>2365</v>
      </c>
      <c r="AW660" t="s">
        <v>2365</v>
      </c>
      <c r="AX660" t="s">
        <v>2365</v>
      </c>
      <c r="AY660" t="s">
        <v>2365</v>
      </c>
      <c r="AZ660" t="s">
        <v>2365</v>
      </c>
      <c r="BA660" t="s">
        <v>2365</v>
      </c>
      <c r="BB660" t="s">
        <v>2365</v>
      </c>
      <c r="BC660" t="s">
        <v>2365</v>
      </c>
      <c r="BD660" t="s">
        <v>2366</v>
      </c>
      <c r="BE660" t="s">
        <v>2365</v>
      </c>
      <c r="BF660" t="s">
        <v>2365</v>
      </c>
      <c r="BG660" t="s">
        <v>2365</v>
      </c>
      <c r="BH660" t="s">
        <v>2365</v>
      </c>
      <c r="BI660" t="s">
        <v>2366</v>
      </c>
      <c r="BJ660" t="s">
        <v>2365</v>
      </c>
      <c r="BK660" t="s">
        <v>2365</v>
      </c>
      <c r="BL660" t="s">
        <v>2365</v>
      </c>
      <c r="BM660" t="s">
        <v>2365</v>
      </c>
      <c r="BO660">
        <v>1</v>
      </c>
      <c r="BP660">
        <v>14</v>
      </c>
      <c r="BQ660" t="s">
        <v>2369</v>
      </c>
      <c r="BR660" t="s">
        <v>1486</v>
      </c>
      <c r="BU660">
        <v>500000</v>
      </c>
      <c r="BV660">
        <v>0</v>
      </c>
      <c r="BW660">
        <v>500000</v>
      </c>
      <c r="BX660">
        <v>0</v>
      </c>
      <c r="BY660">
        <v>500000</v>
      </c>
      <c r="BZ660">
        <v>530000</v>
      </c>
      <c r="CA660">
        <v>561800</v>
      </c>
      <c r="CB660">
        <v>1500</v>
      </c>
      <c r="CC660">
        <v>0</v>
      </c>
      <c r="CD660">
        <v>5840.18</v>
      </c>
      <c r="CE660">
        <v>362812.11</v>
      </c>
      <c r="CF660">
        <v>0</v>
      </c>
      <c r="CG660">
        <v>9725</v>
      </c>
      <c r="CH660">
        <v>71084.3</v>
      </c>
      <c r="CI660">
        <v>11425</v>
      </c>
      <c r="CJ660">
        <v>14126.5</v>
      </c>
      <c r="CK660">
        <v>0</v>
      </c>
      <c r="CL660">
        <v>0</v>
      </c>
      <c r="CM660">
        <v>0</v>
      </c>
      <c r="CR660" t="s">
        <v>2330</v>
      </c>
      <c r="CS660" s="1369" t="str">
        <f>INDEX([8]Sheet1!$H:$H,MATCH(CR:CR,[8]Sheet1!$AU:$AU,0))</f>
        <v>Water Treatment</v>
      </c>
    </row>
    <row r="661" spans="1:97" x14ac:dyDescent="0.2">
      <c r="A661" t="s">
        <v>3248</v>
      </c>
      <c r="B661">
        <v>714</v>
      </c>
      <c r="C661" t="s">
        <v>3248</v>
      </c>
      <c r="D661">
        <v>41301</v>
      </c>
      <c r="E661" t="s">
        <v>2528</v>
      </c>
      <c r="F661">
        <v>2900</v>
      </c>
      <c r="G661" t="s">
        <v>569</v>
      </c>
      <c r="H661" t="s">
        <v>2366</v>
      </c>
      <c r="I661" t="s">
        <v>2366</v>
      </c>
      <c r="J661">
        <v>2904</v>
      </c>
      <c r="K661" t="s">
        <v>1432</v>
      </c>
      <c r="L661">
        <v>1200</v>
      </c>
      <c r="M661" t="s">
        <v>1480</v>
      </c>
      <c r="N661">
        <v>1204</v>
      </c>
      <c r="O661" t="s">
        <v>1487</v>
      </c>
      <c r="P661" t="s">
        <v>2366</v>
      </c>
      <c r="Q661" t="s">
        <v>2364</v>
      </c>
      <c r="R661" t="s">
        <v>2364</v>
      </c>
      <c r="S661" t="s">
        <v>1881</v>
      </c>
      <c r="T661" t="s">
        <v>1812</v>
      </c>
      <c r="U661" t="s">
        <v>2365</v>
      </c>
      <c r="V661" t="s">
        <v>2365</v>
      </c>
      <c r="W661" t="s">
        <v>2365</v>
      </c>
      <c r="X661" t="s">
        <v>2365</v>
      </c>
      <c r="Y661" t="s">
        <v>2365</v>
      </c>
      <c r="Z661" t="s">
        <v>2365</v>
      </c>
      <c r="AA661" t="s">
        <v>2365</v>
      </c>
      <c r="AB661" t="s">
        <v>2365</v>
      </c>
      <c r="AC661" s="813" t="s">
        <v>2365</v>
      </c>
      <c r="AD661" s="813" t="s">
        <v>2365</v>
      </c>
      <c r="AE661" s="813" t="s">
        <v>2365</v>
      </c>
      <c r="AF661" t="s">
        <v>2365</v>
      </c>
      <c r="AG661" t="s">
        <v>2365</v>
      </c>
      <c r="AH661" t="s">
        <v>2365</v>
      </c>
      <c r="AI661" t="s">
        <v>2365</v>
      </c>
      <c r="AJ661" t="s">
        <v>2365</v>
      </c>
      <c r="AK661" t="s">
        <v>2365</v>
      </c>
      <c r="AL661" t="s">
        <v>2365</v>
      </c>
      <c r="AM661" t="s">
        <v>2365</v>
      </c>
      <c r="AN661" t="s">
        <v>2365</v>
      </c>
      <c r="AR661" t="s">
        <v>2365</v>
      </c>
      <c r="AS661" t="s">
        <v>2365</v>
      </c>
      <c r="AT661" t="s">
        <v>2365</v>
      </c>
      <c r="AU661" t="s">
        <v>2365</v>
      </c>
      <c r="AV661" t="s">
        <v>2365</v>
      </c>
      <c r="AW661" t="s">
        <v>2365</v>
      </c>
      <c r="AX661" t="s">
        <v>2365</v>
      </c>
      <c r="AY661" t="s">
        <v>2365</v>
      </c>
      <c r="AZ661" t="s">
        <v>2365</v>
      </c>
      <c r="BA661" t="s">
        <v>2365</v>
      </c>
      <c r="BB661" t="s">
        <v>2365</v>
      </c>
      <c r="BC661" t="s">
        <v>2365</v>
      </c>
      <c r="BD661" t="s">
        <v>2366</v>
      </c>
      <c r="BE661" t="s">
        <v>2365</v>
      </c>
      <c r="BF661" t="s">
        <v>2365</v>
      </c>
      <c r="BG661" t="s">
        <v>2365</v>
      </c>
      <c r="BH661" t="s">
        <v>2365</v>
      </c>
      <c r="BI661" t="s">
        <v>2366</v>
      </c>
      <c r="BJ661" t="s">
        <v>2365</v>
      </c>
      <c r="BK661" t="s">
        <v>2365</v>
      </c>
      <c r="BL661" t="s">
        <v>2365</v>
      </c>
      <c r="BM661" t="s">
        <v>2365</v>
      </c>
      <c r="BO661">
        <v>1</v>
      </c>
      <c r="BP661">
        <v>11</v>
      </c>
      <c r="BQ661" t="s">
        <v>2369</v>
      </c>
      <c r="BR661" t="s">
        <v>1487</v>
      </c>
      <c r="BU661">
        <v>5000</v>
      </c>
      <c r="BV661">
        <v>0</v>
      </c>
      <c r="BW661">
        <v>5000</v>
      </c>
      <c r="BX661">
        <v>0</v>
      </c>
      <c r="BY661">
        <v>5000</v>
      </c>
      <c r="BZ661">
        <v>5500</v>
      </c>
      <c r="CA661">
        <v>6050</v>
      </c>
      <c r="CB661">
        <v>0</v>
      </c>
      <c r="CC661">
        <v>0</v>
      </c>
      <c r="CD661">
        <v>416.65</v>
      </c>
      <c r="CE661">
        <v>416.65</v>
      </c>
      <c r="CF661">
        <v>547.42999999999995</v>
      </c>
      <c r="CG661">
        <v>547.42999999999995</v>
      </c>
      <c r="CH661">
        <v>249.99</v>
      </c>
      <c r="CI661">
        <v>0</v>
      </c>
      <c r="CJ661">
        <v>0</v>
      </c>
      <c r="CK661">
        <v>0</v>
      </c>
      <c r="CL661">
        <v>0</v>
      </c>
      <c r="CM661">
        <v>0</v>
      </c>
      <c r="CR661" t="s">
        <v>2329</v>
      </c>
      <c r="CS661" s="1369" t="str">
        <f>INDEX([8]Sheet1!$H:$H,MATCH(CR:CR,[8]Sheet1!$AU:$AU,0))</f>
        <v>Sewerage</v>
      </c>
    </row>
    <row r="662" spans="1:97" x14ac:dyDescent="0.2">
      <c r="A662" t="s">
        <v>3249</v>
      </c>
      <c r="B662">
        <v>715</v>
      </c>
      <c r="C662" t="s">
        <v>3249</v>
      </c>
      <c r="D662">
        <v>41302</v>
      </c>
      <c r="E662" t="s">
        <v>2471</v>
      </c>
      <c r="F662">
        <v>2000</v>
      </c>
      <c r="G662" t="s">
        <v>652</v>
      </c>
      <c r="H662" t="s">
        <v>2472</v>
      </c>
      <c r="I662" t="s">
        <v>1375</v>
      </c>
      <c r="J662">
        <v>2002</v>
      </c>
      <c r="K662" t="s">
        <v>1375</v>
      </c>
      <c r="L662">
        <v>1200</v>
      </c>
      <c r="M662" t="s">
        <v>1480</v>
      </c>
      <c r="N662">
        <v>1204</v>
      </c>
      <c r="O662" t="s">
        <v>1487</v>
      </c>
      <c r="P662" t="s">
        <v>2366</v>
      </c>
      <c r="Q662" t="s">
        <v>2364</v>
      </c>
      <c r="R662" t="s">
        <v>2364</v>
      </c>
      <c r="S662" t="s">
        <v>1881</v>
      </c>
      <c r="T662" t="s">
        <v>1812</v>
      </c>
      <c r="U662" t="s">
        <v>2365</v>
      </c>
      <c r="V662" t="s">
        <v>2365</v>
      </c>
      <c r="W662" t="s">
        <v>2365</v>
      </c>
      <c r="X662" t="s">
        <v>2365</v>
      </c>
      <c r="Y662" t="s">
        <v>2365</v>
      </c>
      <c r="Z662" t="s">
        <v>2365</v>
      </c>
      <c r="AA662" t="s">
        <v>2365</v>
      </c>
      <c r="AB662" t="s">
        <v>2365</v>
      </c>
      <c r="AC662" s="813" t="s">
        <v>2365</v>
      </c>
      <c r="AD662" s="813" t="s">
        <v>2365</v>
      </c>
      <c r="AE662" s="813" t="s">
        <v>2365</v>
      </c>
      <c r="AF662" t="s">
        <v>2365</v>
      </c>
      <c r="AG662" t="s">
        <v>2365</v>
      </c>
      <c r="AH662" t="s">
        <v>2365</v>
      </c>
      <c r="AI662" t="s">
        <v>2365</v>
      </c>
      <c r="AJ662" t="s">
        <v>2365</v>
      </c>
      <c r="AK662" t="s">
        <v>2365</v>
      </c>
      <c r="AL662" t="s">
        <v>2365</v>
      </c>
      <c r="AM662" t="s">
        <v>2365</v>
      </c>
      <c r="AN662" t="s">
        <v>2365</v>
      </c>
      <c r="AR662" t="s">
        <v>2365</v>
      </c>
      <c r="AS662" t="s">
        <v>2365</v>
      </c>
      <c r="AT662" t="s">
        <v>2365</v>
      </c>
      <c r="AU662" t="s">
        <v>2365</v>
      </c>
      <c r="AV662" t="s">
        <v>2365</v>
      </c>
      <c r="AW662" t="s">
        <v>2365</v>
      </c>
      <c r="AX662" t="s">
        <v>2365</v>
      </c>
      <c r="AY662" t="s">
        <v>2365</v>
      </c>
      <c r="AZ662" t="s">
        <v>2365</v>
      </c>
      <c r="BA662" t="s">
        <v>2365</v>
      </c>
      <c r="BB662" t="s">
        <v>2365</v>
      </c>
      <c r="BC662" t="s">
        <v>2365</v>
      </c>
      <c r="BD662" t="s">
        <v>2366</v>
      </c>
      <c r="BE662" t="s">
        <v>2365</v>
      </c>
      <c r="BF662" t="s">
        <v>2365</v>
      </c>
      <c r="BG662" t="s">
        <v>2365</v>
      </c>
      <c r="BH662" t="s">
        <v>2365</v>
      </c>
      <c r="BI662" t="s">
        <v>2366</v>
      </c>
      <c r="BJ662" t="s">
        <v>2365</v>
      </c>
      <c r="BK662" t="s">
        <v>2365</v>
      </c>
      <c r="BL662" t="s">
        <v>2365</v>
      </c>
      <c r="BM662" t="s">
        <v>2365</v>
      </c>
      <c r="BN662" t="s">
        <v>2177</v>
      </c>
      <c r="BO662">
        <v>1</v>
      </c>
      <c r="BP662">
        <v>11</v>
      </c>
      <c r="BQ662" t="s">
        <v>2369</v>
      </c>
      <c r="BR662" t="s">
        <v>1487</v>
      </c>
      <c r="BU662">
        <v>0</v>
      </c>
      <c r="BV662">
        <v>0</v>
      </c>
      <c r="BW662">
        <v>0</v>
      </c>
      <c r="BX662">
        <v>800</v>
      </c>
      <c r="BY662">
        <v>800</v>
      </c>
      <c r="BZ662">
        <v>0</v>
      </c>
      <c r="CA662">
        <v>0</v>
      </c>
      <c r="CB662">
        <v>0</v>
      </c>
      <c r="CC662">
        <v>166.66</v>
      </c>
      <c r="CD662">
        <v>0</v>
      </c>
      <c r="CE662">
        <v>0</v>
      </c>
      <c r="CF662">
        <v>0</v>
      </c>
      <c r="CG662">
        <v>0</v>
      </c>
      <c r="CH662">
        <v>0</v>
      </c>
      <c r="CI662">
        <v>0</v>
      </c>
      <c r="CJ662">
        <v>0</v>
      </c>
      <c r="CK662">
        <v>0</v>
      </c>
      <c r="CL662">
        <v>0</v>
      </c>
      <c r="CM662">
        <v>0</v>
      </c>
      <c r="CR662" t="s">
        <v>2334</v>
      </c>
      <c r="CS662" s="1369" t="str">
        <f>INDEX([8]Sheet1!$H:$H,MATCH(CR:CR,[8]Sheet1!$AU:$AU,0))</f>
        <v>Governance Function</v>
      </c>
    </row>
    <row r="663" spans="1:97" x14ac:dyDescent="0.2">
      <c r="A663" t="s">
        <v>3250</v>
      </c>
      <c r="B663">
        <v>716</v>
      </c>
      <c r="C663" t="s">
        <v>3250</v>
      </c>
      <c r="D663">
        <v>41303</v>
      </c>
      <c r="E663" t="s">
        <v>2461</v>
      </c>
      <c r="F663">
        <v>2000</v>
      </c>
      <c r="G663" t="s">
        <v>652</v>
      </c>
      <c r="H663" t="s">
        <v>2462</v>
      </c>
      <c r="I663" t="s">
        <v>203</v>
      </c>
      <c r="J663">
        <v>2001</v>
      </c>
      <c r="K663" t="s">
        <v>203</v>
      </c>
      <c r="L663">
        <v>1200</v>
      </c>
      <c r="M663" t="s">
        <v>1480</v>
      </c>
      <c r="N663">
        <v>1204</v>
      </c>
      <c r="O663" t="s">
        <v>1487</v>
      </c>
      <c r="P663" t="s">
        <v>2366</v>
      </c>
      <c r="Q663" t="s">
        <v>2364</v>
      </c>
      <c r="R663" t="s">
        <v>2364</v>
      </c>
      <c r="S663" t="s">
        <v>1881</v>
      </c>
      <c r="T663" t="s">
        <v>1812</v>
      </c>
      <c r="U663" t="s">
        <v>2365</v>
      </c>
      <c r="V663" t="s">
        <v>2365</v>
      </c>
      <c r="W663" t="s">
        <v>2365</v>
      </c>
      <c r="X663" t="s">
        <v>2365</v>
      </c>
      <c r="Y663" t="s">
        <v>2365</v>
      </c>
      <c r="Z663" t="s">
        <v>2365</v>
      </c>
      <c r="AA663" t="s">
        <v>2365</v>
      </c>
      <c r="AB663" t="s">
        <v>2365</v>
      </c>
      <c r="AC663" s="813" t="s">
        <v>2365</v>
      </c>
      <c r="AD663" s="813" t="s">
        <v>2365</v>
      </c>
      <c r="AE663" s="813" t="s">
        <v>2365</v>
      </c>
      <c r="AF663" t="s">
        <v>2365</v>
      </c>
      <c r="AG663" t="s">
        <v>2365</v>
      </c>
      <c r="AH663" t="s">
        <v>2365</v>
      </c>
      <c r="AI663" t="s">
        <v>2365</v>
      </c>
      <c r="AJ663" t="s">
        <v>2365</v>
      </c>
      <c r="AK663" t="s">
        <v>2365</v>
      </c>
      <c r="AL663" t="s">
        <v>2365</v>
      </c>
      <c r="AM663" t="s">
        <v>2365</v>
      </c>
      <c r="AN663" t="s">
        <v>2365</v>
      </c>
      <c r="AR663" t="s">
        <v>2365</v>
      </c>
      <c r="AS663" t="s">
        <v>2365</v>
      </c>
      <c r="AT663" t="s">
        <v>2365</v>
      </c>
      <c r="AU663" t="s">
        <v>2365</v>
      </c>
      <c r="AV663" t="s">
        <v>2365</v>
      </c>
      <c r="AW663" t="s">
        <v>2365</v>
      </c>
      <c r="AX663" t="s">
        <v>2365</v>
      </c>
      <c r="AY663" t="s">
        <v>2365</v>
      </c>
      <c r="AZ663" t="s">
        <v>2365</v>
      </c>
      <c r="BA663" t="s">
        <v>2365</v>
      </c>
      <c r="BB663" t="s">
        <v>2365</v>
      </c>
      <c r="BC663" t="s">
        <v>2365</v>
      </c>
      <c r="BD663" t="s">
        <v>2366</v>
      </c>
      <c r="BE663" t="s">
        <v>2365</v>
      </c>
      <c r="BF663" t="s">
        <v>2365</v>
      </c>
      <c r="BG663" t="s">
        <v>2365</v>
      </c>
      <c r="BH663" t="s">
        <v>2365</v>
      </c>
      <c r="BI663" t="s">
        <v>2366</v>
      </c>
      <c r="BJ663" t="s">
        <v>2365</v>
      </c>
      <c r="BK663" t="s">
        <v>2365</v>
      </c>
      <c r="BL663" t="s">
        <v>2365</v>
      </c>
      <c r="BM663" t="s">
        <v>2365</v>
      </c>
      <c r="BN663" t="s">
        <v>2177</v>
      </c>
      <c r="BO663">
        <v>1</v>
      </c>
      <c r="BP663">
        <v>11</v>
      </c>
      <c r="BQ663" t="s">
        <v>2369</v>
      </c>
      <c r="BR663" t="s">
        <v>1487</v>
      </c>
      <c r="BU663">
        <v>500000</v>
      </c>
      <c r="BV663">
        <v>0</v>
      </c>
      <c r="BW663">
        <v>500000</v>
      </c>
      <c r="BX663">
        <v>0</v>
      </c>
      <c r="BY663">
        <v>500000</v>
      </c>
      <c r="BZ663">
        <v>532500</v>
      </c>
      <c r="CA663">
        <v>567113</v>
      </c>
      <c r="CB663">
        <v>0</v>
      </c>
      <c r="CC663">
        <v>8333.33</v>
      </c>
      <c r="CD663">
        <v>41666.65</v>
      </c>
      <c r="CE663">
        <v>41666.65</v>
      </c>
      <c r="CF663">
        <v>53091.15</v>
      </c>
      <c r="CG663">
        <v>50745.15</v>
      </c>
      <c r="CH663">
        <v>24999.99</v>
      </c>
      <c r="CI663">
        <v>0</v>
      </c>
      <c r="CJ663">
        <v>0</v>
      </c>
      <c r="CK663">
        <v>0</v>
      </c>
      <c r="CL663">
        <v>0</v>
      </c>
      <c r="CM663">
        <v>0</v>
      </c>
      <c r="CR663" t="s">
        <v>2344</v>
      </c>
      <c r="CS663" s="1369" t="str">
        <f>INDEX([8]Sheet1!$H:$H,MATCH(CR:CR,[8]Sheet1!$AU:$AU,0))</f>
        <v>Legal Services</v>
      </c>
    </row>
    <row r="664" spans="1:97" x14ac:dyDescent="0.2">
      <c r="A664" t="s">
        <v>3251</v>
      </c>
      <c r="B664">
        <v>717</v>
      </c>
      <c r="C664" t="s">
        <v>3251</v>
      </c>
      <c r="D664">
        <v>41304</v>
      </c>
      <c r="E664" t="s">
        <v>3010</v>
      </c>
      <c r="F664">
        <v>2700</v>
      </c>
      <c r="G664" t="s">
        <v>656</v>
      </c>
      <c r="H664" t="s">
        <v>2428</v>
      </c>
      <c r="I664" t="s">
        <v>1800</v>
      </c>
      <c r="J664">
        <v>2701</v>
      </c>
      <c r="K664" t="s">
        <v>1800</v>
      </c>
      <c r="L664">
        <v>1200</v>
      </c>
      <c r="M664" t="s">
        <v>1480</v>
      </c>
      <c r="N664">
        <v>1204</v>
      </c>
      <c r="O664" t="s">
        <v>1487</v>
      </c>
      <c r="P664" t="s">
        <v>2366</v>
      </c>
      <c r="Q664" t="s">
        <v>2364</v>
      </c>
      <c r="R664" t="s">
        <v>2364</v>
      </c>
      <c r="S664" t="s">
        <v>1881</v>
      </c>
      <c r="T664" t="s">
        <v>1812</v>
      </c>
      <c r="U664" t="s">
        <v>2365</v>
      </c>
      <c r="V664" t="s">
        <v>2365</v>
      </c>
      <c r="W664" t="s">
        <v>2365</v>
      </c>
      <c r="X664" t="s">
        <v>2365</v>
      </c>
      <c r="Y664" t="s">
        <v>2365</v>
      </c>
      <c r="Z664" t="s">
        <v>2365</v>
      </c>
      <c r="AA664" t="s">
        <v>2365</v>
      </c>
      <c r="AB664" t="s">
        <v>2365</v>
      </c>
      <c r="AC664" s="813" t="s">
        <v>2365</v>
      </c>
      <c r="AD664" s="813" t="s">
        <v>2365</v>
      </c>
      <c r="AE664" s="813" t="s">
        <v>2365</v>
      </c>
      <c r="AF664" t="s">
        <v>2365</v>
      </c>
      <c r="AG664" t="s">
        <v>2365</v>
      </c>
      <c r="AH664" t="s">
        <v>2365</v>
      </c>
      <c r="AI664" t="s">
        <v>2365</v>
      </c>
      <c r="AJ664" t="s">
        <v>2365</v>
      </c>
      <c r="AK664" t="s">
        <v>2365</v>
      </c>
      <c r="AL664" t="s">
        <v>2365</v>
      </c>
      <c r="AM664" t="s">
        <v>2365</v>
      </c>
      <c r="AN664" t="s">
        <v>2365</v>
      </c>
      <c r="AR664" t="s">
        <v>2365</v>
      </c>
      <c r="AS664" t="s">
        <v>2365</v>
      </c>
      <c r="AT664" t="s">
        <v>2365</v>
      </c>
      <c r="AU664" t="s">
        <v>2365</v>
      </c>
      <c r="AV664" t="s">
        <v>2365</v>
      </c>
      <c r="AW664" t="s">
        <v>2365</v>
      </c>
      <c r="AX664" t="s">
        <v>2365</v>
      </c>
      <c r="AY664" t="s">
        <v>2365</v>
      </c>
      <c r="AZ664" t="s">
        <v>2365</v>
      </c>
      <c r="BA664" t="s">
        <v>2365</v>
      </c>
      <c r="BB664" t="s">
        <v>2365</v>
      </c>
      <c r="BC664" t="s">
        <v>2365</v>
      </c>
      <c r="BD664" t="s">
        <v>2366</v>
      </c>
      <c r="BE664" t="s">
        <v>2365</v>
      </c>
      <c r="BF664" t="s">
        <v>2365</v>
      </c>
      <c r="BG664" t="s">
        <v>2365</v>
      </c>
      <c r="BH664" t="s">
        <v>2365</v>
      </c>
      <c r="BI664" t="s">
        <v>2366</v>
      </c>
      <c r="BJ664" t="s">
        <v>2365</v>
      </c>
      <c r="BK664" t="s">
        <v>2365</v>
      </c>
      <c r="BL664" t="s">
        <v>2365</v>
      </c>
      <c r="BM664" t="s">
        <v>2365</v>
      </c>
      <c r="BO664">
        <v>1</v>
      </c>
      <c r="BP664">
        <v>11</v>
      </c>
      <c r="BQ664" t="s">
        <v>2369</v>
      </c>
      <c r="BR664" t="s">
        <v>1487</v>
      </c>
      <c r="BU664">
        <v>0</v>
      </c>
      <c r="BV664">
        <v>0</v>
      </c>
      <c r="BW664">
        <v>0</v>
      </c>
      <c r="BX664">
        <v>0</v>
      </c>
      <c r="BY664">
        <v>0</v>
      </c>
      <c r="BZ664">
        <v>0</v>
      </c>
      <c r="CA664">
        <v>0</v>
      </c>
      <c r="CB664">
        <v>0</v>
      </c>
      <c r="CC664">
        <v>0</v>
      </c>
      <c r="CD664">
        <v>0</v>
      </c>
      <c r="CE664">
        <v>0</v>
      </c>
      <c r="CF664">
        <v>0</v>
      </c>
      <c r="CG664">
        <v>0</v>
      </c>
      <c r="CH664">
        <v>0</v>
      </c>
      <c r="CI664">
        <v>0</v>
      </c>
      <c r="CJ664">
        <v>0</v>
      </c>
      <c r="CK664">
        <v>0</v>
      </c>
      <c r="CL664">
        <v>0</v>
      </c>
      <c r="CM664">
        <v>0</v>
      </c>
      <c r="CR664" t="s">
        <v>2337</v>
      </c>
      <c r="CS664" s="1369" t="str">
        <f>INDEX([8]Sheet1!$H:$H,MATCH(CR:CR,[8]Sheet1!$AU:$AU,0))</f>
        <v>Corporate Wide Strategic Planning (IDPs, LEDs)</v>
      </c>
    </row>
    <row r="665" spans="1:97" x14ac:dyDescent="0.2">
      <c r="A665" t="s">
        <v>3252</v>
      </c>
      <c r="B665">
        <v>718</v>
      </c>
      <c r="C665" t="s">
        <v>3252</v>
      </c>
      <c r="D665">
        <v>41305</v>
      </c>
      <c r="E665" t="s">
        <v>3253</v>
      </c>
      <c r="F665">
        <v>2900</v>
      </c>
      <c r="G665" t="s">
        <v>569</v>
      </c>
      <c r="H665" t="s">
        <v>2366</v>
      </c>
      <c r="I665" t="s">
        <v>2366</v>
      </c>
      <c r="J665">
        <v>2904</v>
      </c>
      <c r="K665" t="s">
        <v>1432</v>
      </c>
      <c r="L665">
        <v>1200</v>
      </c>
      <c r="M665" t="s">
        <v>1480</v>
      </c>
      <c r="N665">
        <v>1204</v>
      </c>
      <c r="O665" t="s">
        <v>1487</v>
      </c>
      <c r="P665" t="s">
        <v>2366</v>
      </c>
      <c r="Q665" t="s">
        <v>2364</v>
      </c>
      <c r="R665" t="s">
        <v>2364</v>
      </c>
      <c r="S665" t="s">
        <v>1881</v>
      </c>
      <c r="T665" t="s">
        <v>1812</v>
      </c>
      <c r="U665" t="s">
        <v>2365</v>
      </c>
      <c r="V665" t="s">
        <v>2365</v>
      </c>
      <c r="W665" t="s">
        <v>2365</v>
      </c>
      <c r="X665" t="s">
        <v>2365</v>
      </c>
      <c r="Y665" t="s">
        <v>2365</v>
      </c>
      <c r="Z665" t="s">
        <v>2365</v>
      </c>
      <c r="AA665" t="s">
        <v>2365</v>
      </c>
      <c r="AB665" t="s">
        <v>2365</v>
      </c>
      <c r="AC665" s="813" t="s">
        <v>2365</v>
      </c>
      <c r="AD665" s="813" t="s">
        <v>2365</v>
      </c>
      <c r="AE665" s="813" t="s">
        <v>2365</v>
      </c>
      <c r="AF665" t="s">
        <v>2365</v>
      </c>
      <c r="AG665" t="s">
        <v>2365</v>
      </c>
      <c r="AH665" t="s">
        <v>2365</v>
      </c>
      <c r="AI665" t="s">
        <v>2365</v>
      </c>
      <c r="AJ665" t="s">
        <v>2365</v>
      </c>
      <c r="AK665" t="s">
        <v>2365</v>
      </c>
      <c r="AL665" t="s">
        <v>2365</v>
      </c>
      <c r="AM665" t="s">
        <v>2365</v>
      </c>
      <c r="AN665" t="s">
        <v>2365</v>
      </c>
      <c r="AR665" t="s">
        <v>2365</v>
      </c>
      <c r="AS665" t="s">
        <v>2365</v>
      </c>
      <c r="AT665" t="s">
        <v>2365</v>
      </c>
      <c r="AU665" t="s">
        <v>2365</v>
      </c>
      <c r="AV665" t="s">
        <v>2365</v>
      </c>
      <c r="AW665" t="s">
        <v>2365</v>
      </c>
      <c r="AX665" t="s">
        <v>2365</v>
      </c>
      <c r="AY665" t="s">
        <v>2365</v>
      </c>
      <c r="AZ665" t="s">
        <v>2365</v>
      </c>
      <c r="BA665" t="s">
        <v>2365</v>
      </c>
      <c r="BB665" t="s">
        <v>2365</v>
      </c>
      <c r="BC665" t="s">
        <v>2365</v>
      </c>
      <c r="BD665" t="s">
        <v>2366</v>
      </c>
      <c r="BE665" t="s">
        <v>2365</v>
      </c>
      <c r="BF665" t="s">
        <v>2365</v>
      </c>
      <c r="BG665" t="s">
        <v>2365</v>
      </c>
      <c r="BH665" t="s">
        <v>2365</v>
      </c>
      <c r="BI665" t="s">
        <v>2366</v>
      </c>
      <c r="BJ665" t="s">
        <v>2365</v>
      </c>
      <c r="BK665" t="s">
        <v>2365</v>
      </c>
      <c r="BL665" t="s">
        <v>2365</v>
      </c>
      <c r="BM665" t="s">
        <v>2365</v>
      </c>
      <c r="BO665">
        <v>1</v>
      </c>
      <c r="BP665">
        <v>11</v>
      </c>
      <c r="BQ665" t="s">
        <v>2369</v>
      </c>
      <c r="BR665" t="s">
        <v>1487</v>
      </c>
      <c r="BU665">
        <v>0</v>
      </c>
      <c r="BV665">
        <v>0</v>
      </c>
      <c r="BW665">
        <v>0</v>
      </c>
      <c r="BX665">
        <v>0</v>
      </c>
      <c r="BY665">
        <v>0</v>
      </c>
      <c r="BZ665">
        <v>0</v>
      </c>
      <c r="CA665">
        <v>0</v>
      </c>
      <c r="CB665">
        <v>0</v>
      </c>
      <c r="CC665">
        <v>0</v>
      </c>
      <c r="CD665">
        <v>0</v>
      </c>
      <c r="CE665">
        <v>0</v>
      </c>
      <c r="CF665">
        <v>0</v>
      </c>
      <c r="CG665">
        <v>0</v>
      </c>
      <c r="CH665">
        <v>0</v>
      </c>
      <c r="CI665">
        <v>0</v>
      </c>
      <c r="CJ665">
        <v>0</v>
      </c>
      <c r="CK665">
        <v>0</v>
      </c>
      <c r="CL665">
        <v>0</v>
      </c>
      <c r="CM665">
        <v>0</v>
      </c>
      <c r="CR665" t="s">
        <v>2335</v>
      </c>
      <c r="CS665" s="1369" t="str">
        <f>INDEX([8]Sheet1!$H:$H,MATCH(CR:CR,[8]Sheet1!$AU:$AU,0))</f>
        <v>Economic Development/Planning</v>
      </c>
    </row>
    <row r="666" spans="1:97" x14ac:dyDescent="0.2">
      <c r="A666" t="s">
        <v>3254</v>
      </c>
      <c r="B666">
        <v>719</v>
      </c>
      <c r="C666" t="s">
        <v>3254</v>
      </c>
      <c r="D666">
        <v>41306</v>
      </c>
      <c r="E666" t="s">
        <v>2911</v>
      </c>
      <c r="F666">
        <v>2900</v>
      </c>
      <c r="G666" t="s">
        <v>569</v>
      </c>
      <c r="H666" t="s">
        <v>2366</v>
      </c>
      <c r="I666" t="s">
        <v>2366</v>
      </c>
      <c r="J666">
        <v>2904</v>
      </c>
      <c r="K666" t="s">
        <v>1432</v>
      </c>
      <c r="L666">
        <v>1200</v>
      </c>
      <c r="M666" t="s">
        <v>1480</v>
      </c>
      <c r="N666">
        <v>1204</v>
      </c>
      <c r="O666" t="s">
        <v>1487</v>
      </c>
      <c r="P666" t="s">
        <v>2366</v>
      </c>
      <c r="Q666" t="s">
        <v>2364</v>
      </c>
      <c r="R666" t="s">
        <v>2364</v>
      </c>
      <c r="S666" t="s">
        <v>1881</v>
      </c>
      <c r="T666" t="s">
        <v>1812</v>
      </c>
      <c r="U666" t="s">
        <v>2365</v>
      </c>
      <c r="V666" t="s">
        <v>2365</v>
      </c>
      <c r="W666" t="s">
        <v>2365</v>
      </c>
      <c r="X666" t="s">
        <v>2365</v>
      </c>
      <c r="Y666" t="s">
        <v>2365</v>
      </c>
      <c r="Z666" t="s">
        <v>2365</v>
      </c>
      <c r="AA666" t="s">
        <v>2365</v>
      </c>
      <c r="AB666" t="s">
        <v>2365</v>
      </c>
      <c r="AC666" s="813" t="s">
        <v>2365</v>
      </c>
      <c r="AD666" s="813" t="s">
        <v>2365</v>
      </c>
      <c r="AE666" s="813" t="s">
        <v>2365</v>
      </c>
      <c r="AF666" t="s">
        <v>2365</v>
      </c>
      <c r="AG666" t="s">
        <v>2365</v>
      </c>
      <c r="AH666" t="s">
        <v>2365</v>
      </c>
      <c r="AI666" t="s">
        <v>2365</v>
      </c>
      <c r="AJ666" t="s">
        <v>2365</v>
      </c>
      <c r="AK666" t="s">
        <v>2365</v>
      </c>
      <c r="AL666" t="s">
        <v>2365</v>
      </c>
      <c r="AM666" t="s">
        <v>2365</v>
      </c>
      <c r="AN666" t="s">
        <v>2365</v>
      </c>
      <c r="AR666" t="s">
        <v>2365</v>
      </c>
      <c r="AS666" t="s">
        <v>2365</v>
      </c>
      <c r="AT666" t="s">
        <v>2365</v>
      </c>
      <c r="AU666" t="s">
        <v>2365</v>
      </c>
      <c r="AV666" t="s">
        <v>2365</v>
      </c>
      <c r="AW666" t="s">
        <v>2365</v>
      </c>
      <c r="AX666" t="s">
        <v>2365</v>
      </c>
      <c r="AY666" t="s">
        <v>2365</v>
      </c>
      <c r="AZ666" t="s">
        <v>2365</v>
      </c>
      <c r="BA666" t="s">
        <v>2365</v>
      </c>
      <c r="BB666" t="s">
        <v>2365</v>
      </c>
      <c r="BC666" t="s">
        <v>2365</v>
      </c>
      <c r="BD666" t="s">
        <v>2366</v>
      </c>
      <c r="BE666" t="s">
        <v>2365</v>
      </c>
      <c r="BF666" t="s">
        <v>2365</v>
      </c>
      <c r="BG666" t="s">
        <v>2365</v>
      </c>
      <c r="BH666" t="s">
        <v>2365</v>
      </c>
      <c r="BI666" t="s">
        <v>2366</v>
      </c>
      <c r="BJ666" t="s">
        <v>2365</v>
      </c>
      <c r="BK666" t="s">
        <v>2365</v>
      </c>
      <c r="BL666" t="s">
        <v>2365</v>
      </c>
      <c r="BM666" t="s">
        <v>2365</v>
      </c>
      <c r="BO666">
        <v>1</v>
      </c>
      <c r="BP666">
        <v>11</v>
      </c>
      <c r="BQ666" t="s">
        <v>2369</v>
      </c>
      <c r="BR666" t="s">
        <v>1487</v>
      </c>
      <c r="BU666">
        <v>0</v>
      </c>
      <c r="BV666">
        <v>0</v>
      </c>
      <c r="BW666">
        <v>0</v>
      </c>
      <c r="BX666">
        <v>0</v>
      </c>
      <c r="BY666">
        <v>0</v>
      </c>
      <c r="BZ666">
        <v>0</v>
      </c>
      <c r="CA666">
        <v>0</v>
      </c>
      <c r="CB666">
        <v>0</v>
      </c>
      <c r="CC666">
        <v>0</v>
      </c>
      <c r="CD666">
        <v>0</v>
      </c>
      <c r="CE666">
        <v>0</v>
      </c>
      <c r="CF666">
        <v>0</v>
      </c>
      <c r="CG666">
        <v>0</v>
      </c>
      <c r="CH666">
        <v>0</v>
      </c>
      <c r="CI666">
        <v>0</v>
      </c>
      <c r="CJ666">
        <v>0</v>
      </c>
      <c r="CK666">
        <v>0</v>
      </c>
      <c r="CL666">
        <v>0</v>
      </c>
      <c r="CM666">
        <v>0</v>
      </c>
      <c r="CR666" t="s">
        <v>2338</v>
      </c>
      <c r="CS666" s="1369" t="str">
        <f>INDEX([8]Sheet1!$H:$H,MATCH(CR:CR,[8]Sheet1!$AU:$AU,0))</f>
        <v>Town Planning, Building Regulations and Enforcement, and City Engineer</v>
      </c>
    </row>
    <row r="667" spans="1:97" x14ac:dyDescent="0.2">
      <c r="A667" t="s">
        <v>3255</v>
      </c>
      <c r="B667">
        <v>720</v>
      </c>
      <c r="C667" t="s">
        <v>3255</v>
      </c>
      <c r="D667">
        <v>41307</v>
      </c>
      <c r="E667" t="s">
        <v>3256</v>
      </c>
      <c r="F667">
        <v>2900</v>
      </c>
      <c r="G667" t="s">
        <v>569</v>
      </c>
      <c r="H667" t="s">
        <v>2366</v>
      </c>
      <c r="I667" t="s">
        <v>2366</v>
      </c>
      <c r="J667">
        <v>2904</v>
      </c>
      <c r="K667" t="s">
        <v>1432</v>
      </c>
      <c r="L667">
        <v>1200</v>
      </c>
      <c r="M667" t="s">
        <v>1480</v>
      </c>
      <c r="N667">
        <v>1204</v>
      </c>
      <c r="O667" t="s">
        <v>1487</v>
      </c>
      <c r="P667" t="s">
        <v>2366</v>
      </c>
      <c r="Q667" t="s">
        <v>2364</v>
      </c>
      <c r="R667" t="s">
        <v>2364</v>
      </c>
      <c r="S667" t="s">
        <v>1881</v>
      </c>
      <c r="T667" t="s">
        <v>1812</v>
      </c>
      <c r="U667" t="s">
        <v>2365</v>
      </c>
      <c r="V667" t="s">
        <v>2365</v>
      </c>
      <c r="W667" t="s">
        <v>2365</v>
      </c>
      <c r="X667" t="s">
        <v>2365</v>
      </c>
      <c r="Y667" t="s">
        <v>2365</v>
      </c>
      <c r="Z667" t="s">
        <v>2365</v>
      </c>
      <c r="AA667" t="s">
        <v>2365</v>
      </c>
      <c r="AB667" t="s">
        <v>2365</v>
      </c>
      <c r="AC667" s="813" t="s">
        <v>2365</v>
      </c>
      <c r="AD667" s="813" t="s">
        <v>2365</v>
      </c>
      <c r="AE667" s="813" t="s">
        <v>2365</v>
      </c>
      <c r="AF667" t="s">
        <v>2365</v>
      </c>
      <c r="AG667" t="s">
        <v>2365</v>
      </c>
      <c r="AH667" t="s">
        <v>2365</v>
      </c>
      <c r="AI667" t="s">
        <v>2365</v>
      </c>
      <c r="AJ667" t="s">
        <v>2365</v>
      </c>
      <c r="AK667" t="s">
        <v>2365</v>
      </c>
      <c r="AL667" t="s">
        <v>2365</v>
      </c>
      <c r="AM667" t="s">
        <v>2365</v>
      </c>
      <c r="AN667" t="s">
        <v>2365</v>
      </c>
      <c r="AR667" t="s">
        <v>2365</v>
      </c>
      <c r="AS667" t="s">
        <v>2365</v>
      </c>
      <c r="AT667" t="s">
        <v>2365</v>
      </c>
      <c r="AU667" t="s">
        <v>2365</v>
      </c>
      <c r="AV667" t="s">
        <v>2365</v>
      </c>
      <c r="AW667" t="s">
        <v>2365</v>
      </c>
      <c r="AX667" t="s">
        <v>2365</v>
      </c>
      <c r="AY667" t="s">
        <v>2365</v>
      </c>
      <c r="AZ667" t="s">
        <v>2365</v>
      </c>
      <c r="BA667" t="s">
        <v>2365</v>
      </c>
      <c r="BB667" t="s">
        <v>2365</v>
      </c>
      <c r="BC667" t="s">
        <v>2365</v>
      </c>
      <c r="BD667" t="s">
        <v>2366</v>
      </c>
      <c r="BE667" t="s">
        <v>2365</v>
      </c>
      <c r="BF667" t="s">
        <v>2365</v>
      </c>
      <c r="BG667" t="s">
        <v>2365</v>
      </c>
      <c r="BH667" t="s">
        <v>2365</v>
      </c>
      <c r="BI667" t="s">
        <v>2366</v>
      </c>
      <c r="BJ667" t="s">
        <v>2365</v>
      </c>
      <c r="BK667" t="s">
        <v>2365</v>
      </c>
      <c r="BL667" t="s">
        <v>2365</v>
      </c>
      <c r="BM667" t="s">
        <v>2365</v>
      </c>
      <c r="BO667">
        <v>1</v>
      </c>
      <c r="BP667">
        <v>11</v>
      </c>
      <c r="BQ667" t="s">
        <v>2369</v>
      </c>
      <c r="BR667" t="s">
        <v>1487</v>
      </c>
      <c r="BU667">
        <v>0</v>
      </c>
      <c r="BV667">
        <v>0</v>
      </c>
      <c r="BW667">
        <v>0</v>
      </c>
      <c r="BX667">
        <v>0</v>
      </c>
      <c r="BY667">
        <v>0</v>
      </c>
      <c r="BZ667">
        <v>0</v>
      </c>
      <c r="CA667">
        <v>0</v>
      </c>
      <c r="CB667">
        <v>0</v>
      </c>
      <c r="CC667">
        <v>0</v>
      </c>
      <c r="CD667">
        <v>0</v>
      </c>
      <c r="CE667">
        <v>0</v>
      </c>
      <c r="CF667">
        <v>0</v>
      </c>
      <c r="CG667">
        <v>0</v>
      </c>
      <c r="CH667">
        <v>0</v>
      </c>
      <c r="CI667">
        <v>0</v>
      </c>
      <c r="CJ667">
        <v>0</v>
      </c>
      <c r="CK667">
        <v>0</v>
      </c>
      <c r="CL667">
        <v>0</v>
      </c>
      <c r="CM667">
        <v>0</v>
      </c>
      <c r="CR667" t="s">
        <v>2336</v>
      </c>
      <c r="CS667" s="1369" t="str">
        <f>INDEX([8]Sheet1!$H:$H,MATCH(CR:CR,[8]Sheet1!$AU:$AU,0))</f>
        <v>Project Management Unit</v>
      </c>
    </row>
    <row r="668" spans="1:97" x14ac:dyDescent="0.2">
      <c r="A668" t="s">
        <v>3257</v>
      </c>
      <c r="B668">
        <v>721</v>
      </c>
      <c r="C668" t="s">
        <v>3257</v>
      </c>
      <c r="D668">
        <v>41308</v>
      </c>
      <c r="E668" t="s">
        <v>2508</v>
      </c>
      <c r="F668">
        <v>2900</v>
      </c>
      <c r="G668" t="s">
        <v>569</v>
      </c>
      <c r="H668" t="s">
        <v>2366</v>
      </c>
      <c r="I668" t="s">
        <v>2366</v>
      </c>
      <c r="J668">
        <v>2904</v>
      </c>
      <c r="K668" t="s">
        <v>1432</v>
      </c>
      <c r="L668">
        <v>1200</v>
      </c>
      <c r="M668" t="s">
        <v>1480</v>
      </c>
      <c r="N668">
        <v>1204</v>
      </c>
      <c r="O668" t="s">
        <v>1487</v>
      </c>
      <c r="P668" t="s">
        <v>2366</v>
      </c>
      <c r="Q668" t="s">
        <v>2364</v>
      </c>
      <c r="R668" t="s">
        <v>2364</v>
      </c>
      <c r="S668" t="s">
        <v>1881</v>
      </c>
      <c r="T668" t="s">
        <v>1812</v>
      </c>
      <c r="U668" t="s">
        <v>2365</v>
      </c>
      <c r="V668" t="s">
        <v>2365</v>
      </c>
      <c r="W668" t="s">
        <v>2365</v>
      </c>
      <c r="X668" t="s">
        <v>2365</v>
      </c>
      <c r="Y668" t="s">
        <v>2365</v>
      </c>
      <c r="Z668" t="s">
        <v>2365</v>
      </c>
      <c r="AA668" t="s">
        <v>2365</v>
      </c>
      <c r="AB668" t="s">
        <v>2365</v>
      </c>
      <c r="AC668" s="813" t="s">
        <v>2365</v>
      </c>
      <c r="AD668" s="813" t="s">
        <v>2365</v>
      </c>
      <c r="AE668" s="813" t="s">
        <v>2365</v>
      </c>
      <c r="AF668" t="s">
        <v>2365</v>
      </c>
      <c r="AG668" t="s">
        <v>2365</v>
      </c>
      <c r="AH668" t="s">
        <v>2365</v>
      </c>
      <c r="AI668" t="s">
        <v>2365</v>
      </c>
      <c r="AJ668" t="s">
        <v>2365</v>
      </c>
      <c r="AK668" t="s">
        <v>2365</v>
      </c>
      <c r="AL668" t="s">
        <v>2365</v>
      </c>
      <c r="AM668" t="s">
        <v>2365</v>
      </c>
      <c r="AN668" t="s">
        <v>2365</v>
      </c>
      <c r="AR668" t="s">
        <v>2365</v>
      </c>
      <c r="AS668" t="s">
        <v>2365</v>
      </c>
      <c r="AT668" t="s">
        <v>2365</v>
      </c>
      <c r="AU668" t="s">
        <v>2365</v>
      </c>
      <c r="AV668" t="s">
        <v>2365</v>
      </c>
      <c r="AW668" t="s">
        <v>2365</v>
      </c>
      <c r="AX668" t="s">
        <v>2365</v>
      </c>
      <c r="AY668" t="s">
        <v>2365</v>
      </c>
      <c r="AZ668" t="s">
        <v>2365</v>
      </c>
      <c r="BA668" t="s">
        <v>2365</v>
      </c>
      <c r="BB668" t="s">
        <v>2365</v>
      </c>
      <c r="BC668" t="s">
        <v>2365</v>
      </c>
      <c r="BD668" t="s">
        <v>2366</v>
      </c>
      <c r="BE668" t="s">
        <v>2365</v>
      </c>
      <c r="BF668" t="s">
        <v>2365</v>
      </c>
      <c r="BG668" t="s">
        <v>2365</v>
      </c>
      <c r="BH668" t="s">
        <v>2365</v>
      </c>
      <c r="BI668" t="s">
        <v>2366</v>
      </c>
      <c r="BJ668" t="s">
        <v>2365</v>
      </c>
      <c r="BK668" t="s">
        <v>2365</v>
      </c>
      <c r="BL668" t="s">
        <v>2365</v>
      </c>
      <c r="BM668" t="s">
        <v>2365</v>
      </c>
      <c r="BO668">
        <v>1</v>
      </c>
      <c r="BP668">
        <v>11</v>
      </c>
      <c r="BQ668" t="s">
        <v>2369</v>
      </c>
      <c r="BR668" t="s">
        <v>1487</v>
      </c>
      <c r="BU668">
        <v>0</v>
      </c>
      <c r="BV668">
        <v>0</v>
      </c>
      <c r="BW668">
        <v>0</v>
      </c>
      <c r="BX668">
        <v>200000</v>
      </c>
      <c r="BY668">
        <v>200000</v>
      </c>
      <c r="BZ668">
        <v>0</v>
      </c>
      <c r="CA668">
        <v>0</v>
      </c>
      <c r="CB668">
        <v>0</v>
      </c>
      <c r="CC668">
        <v>0</v>
      </c>
      <c r="CD668">
        <v>0</v>
      </c>
      <c r="CE668">
        <v>30552.7</v>
      </c>
      <c r="CF668">
        <v>31214.75</v>
      </c>
      <c r="CG668">
        <v>31214.75</v>
      </c>
      <c r="CH668">
        <v>0</v>
      </c>
      <c r="CI668">
        <v>0</v>
      </c>
      <c r="CJ668">
        <v>0</v>
      </c>
      <c r="CK668">
        <v>0</v>
      </c>
      <c r="CL668">
        <v>0</v>
      </c>
      <c r="CM668">
        <v>0</v>
      </c>
      <c r="CR668" t="s">
        <v>2345</v>
      </c>
      <c r="CS668" s="1369" t="str">
        <f>INDEX([8]Sheet1!$H:$H,MATCH(CR:CR,[8]Sheet1!$AU:$AU,0))</f>
        <v>Coastal Protection</v>
      </c>
    </row>
    <row r="669" spans="1:97" x14ac:dyDescent="0.2">
      <c r="A669" t="s">
        <v>3258</v>
      </c>
      <c r="B669">
        <v>722</v>
      </c>
      <c r="C669" t="s">
        <v>3258</v>
      </c>
      <c r="D669">
        <v>41309</v>
      </c>
      <c r="E669" t="s">
        <v>2916</v>
      </c>
      <c r="F669">
        <v>2900</v>
      </c>
      <c r="G669" t="s">
        <v>569</v>
      </c>
      <c r="H669" t="s">
        <v>2366</v>
      </c>
      <c r="I669" t="s">
        <v>2366</v>
      </c>
      <c r="J669">
        <v>2904</v>
      </c>
      <c r="K669" t="s">
        <v>1432</v>
      </c>
      <c r="L669">
        <v>1200</v>
      </c>
      <c r="M669" t="s">
        <v>1480</v>
      </c>
      <c r="N669">
        <v>1204</v>
      </c>
      <c r="O669" t="s">
        <v>1487</v>
      </c>
      <c r="P669" t="s">
        <v>2366</v>
      </c>
      <c r="Q669" t="s">
        <v>2364</v>
      </c>
      <c r="R669" t="s">
        <v>2364</v>
      </c>
      <c r="S669" t="s">
        <v>1881</v>
      </c>
      <c r="T669" t="s">
        <v>1812</v>
      </c>
      <c r="U669" t="s">
        <v>2365</v>
      </c>
      <c r="V669" t="s">
        <v>2365</v>
      </c>
      <c r="W669" t="s">
        <v>2365</v>
      </c>
      <c r="X669" t="s">
        <v>2365</v>
      </c>
      <c r="Y669" t="s">
        <v>2365</v>
      </c>
      <c r="Z669" t="s">
        <v>2365</v>
      </c>
      <c r="AA669" t="s">
        <v>2365</v>
      </c>
      <c r="AB669" t="s">
        <v>2365</v>
      </c>
      <c r="AC669" s="813" t="s">
        <v>2365</v>
      </c>
      <c r="AD669" s="813" t="s">
        <v>2365</v>
      </c>
      <c r="AE669" s="813" t="s">
        <v>2365</v>
      </c>
      <c r="AF669" t="s">
        <v>2365</v>
      </c>
      <c r="AG669" t="s">
        <v>2365</v>
      </c>
      <c r="AH669" t="s">
        <v>2365</v>
      </c>
      <c r="AI669" t="s">
        <v>2365</v>
      </c>
      <c r="AJ669" t="s">
        <v>2365</v>
      </c>
      <c r="AK669" t="s">
        <v>2365</v>
      </c>
      <c r="AL669" t="s">
        <v>2365</v>
      </c>
      <c r="AM669" t="s">
        <v>2365</v>
      </c>
      <c r="AN669" t="s">
        <v>2365</v>
      </c>
      <c r="AR669" t="s">
        <v>2365</v>
      </c>
      <c r="AS669" t="s">
        <v>2365</v>
      </c>
      <c r="AT669" t="s">
        <v>2365</v>
      </c>
      <c r="AU669" t="s">
        <v>2365</v>
      </c>
      <c r="AV669" t="s">
        <v>2365</v>
      </c>
      <c r="AW669" t="s">
        <v>2365</v>
      </c>
      <c r="AX669" t="s">
        <v>2365</v>
      </c>
      <c r="AY669" t="s">
        <v>2365</v>
      </c>
      <c r="AZ669" t="s">
        <v>2365</v>
      </c>
      <c r="BA669" t="s">
        <v>2365</v>
      </c>
      <c r="BB669" t="s">
        <v>2365</v>
      </c>
      <c r="BC669" t="s">
        <v>2365</v>
      </c>
      <c r="BD669" t="s">
        <v>2366</v>
      </c>
      <c r="BE669" t="s">
        <v>2365</v>
      </c>
      <c r="BF669" t="s">
        <v>2365</v>
      </c>
      <c r="BG669" t="s">
        <v>2365</v>
      </c>
      <c r="BH669" t="s">
        <v>2365</v>
      </c>
      <c r="BI669" t="s">
        <v>2366</v>
      </c>
      <c r="BJ669" t="s">
        <v>2365</v>
      </c>
      <c r="BK669" t="s">
        <v>2365</v>
      </c>
      <c r="BL669" t="s">
        <v>2365</v>
      </c>
      <c r="BM669" t="s">
        <v>2365</v>
      </c>
      <c r="BO669">
        <v>1</v>
      </c>
      <c r="BP669">
        <v>11</v>
      </c>
      <c r="BQ669" t="s">
        <v>2369</v>
      </c>
      <c r="BR669" t="s">
        <v>1487</v>
      </c>
      <c r="BU669">
        <v>0</v>
      </c>
      <c r="BV669">
        <v>0</v>
      </c>
      <c r="BW669">
        <v>0</v>
      </c>
      <c r="BX669">
        <v>0</v>
      </c>
      <c r="BY669">
        <v>0</v>
      </c>
      <c r="BZ669">
        <v>0</v>
      </c>
      <c r="CA669">
        <v>0</v>
      </c>
      <c r="CB669">
        <v>0</v>
      </c>
      <c r="CC669">
        <v>0</v>
      </c>
      <c r="CD669">
        <v>0</v>
      </c>
      <c r="CE669">
        <v>0</v>
      </c>
      <c r="CF669">
        <v>0</v>
      </c>
      <c r="CG669">
        <v>0</v>
      </c>
      <c r="CH669">
        <v>0</v>
      </c>
      <c r="CI669">
        <v>0</v>
      </c>
      <c r="CJ669">
        <v>0</v>
      </c>
      <c r="CK669">
        <v>0</v>
      </c>
      <c r="CL669">
        <v>0</v>
      </c>
      <c r="CM669">
        <v>0</v>
      </c>
      <c r="CR669" t="s">
        <v>2340</v>
      </c>
      <c r="CS669" s="1369" t="str">
        <f>INDEX([8]Sheet1!$H:$H,MATCH(CR:CR,[8]Sheet1!$AU:$AU,0))</f>
        <v>Disaster Management</v>
      </c>
    </row>
    <row r="670" spans="1:97" x14ac:dyDescent="0.2">
      <c r="A670" t="s">
        <v>3259</v>
      </c>
      <c r="B670">
        <v>723</v>
      </c>
      <c r="C670" t="s">
        <v>3259</v>
      </c>
      <c r="D670">
        <v>41310</v>
      </c>
      <c r="E670" t="s">
        <v>2510</v>
      </c>
      <c r="F670">
        <v>2900</v>
      </c>
      <c r="G670" t="s">
        <v>569</v>
      </c>
      <c r="H670" t="s">
        <v>2366</v>
      </c>
      <c r="I670" t="s">
        <v>2366</v>
      </c>
      <c r="J670">
        <v>2904</v>
      </c>
      <c r="K670" t="s">
        <v>1432</v>
      </c>
      <c r="L670">
        <v>1200</v>
      </c>
      <c r="M670" t="s">
        <v>1480</v>
      </c>
      <c r="N670">
        <v>1204</v>
      </c>
      <c r="O670" t="s">
        <v>1487</v>
      </c>
      <c r="P670" t="s">
        <v>2366</v>
      </c>
      <c r="Q670" t="s">
        <v>2364</v>
      </c>
      <c r="R670" t="s">
        <v>2364</v>
      </c>
      <c r="S670" t="s">
        <v>1881</v>
      </c>
      <c r="T670" t="s">
        <v>1812</v>
      </c>
      <c r="U670" t="s">
        <v>2365</v>
      </c>
      <c r="V670" t="s">
        <v>2365</v>
      </c>
      <c r="W670" t="s">
        <v>2365</v>
      </c>
      <c r="X670" t="s">
        <v>2365</v>
      </c>
      <c r="Y670" t="s">
        <v>2365</v>
      </c>
      <c r="Z670" t="s">
        <v>2365</v>
      </c>
      <c r="AA670" t="s">
        <v>2365</v>
      </c>
      <c r="AB670" t="s">
        <v>2365</v>
      </c>
      <c r="AC670" s="813" t="s">
        <v>2365</v>
      </c>
      <c r="AD670" s="813" t="s">
        <v>2365</v>
      </c>
      <c r="AE670" s="813" t="s">
        <v>2365</v>
      </c>
      <c r="AF670" t="s">
        <v>2365</v>
      </c>
      <c r="AG670" t="s">
        <v>2365</v>
      </c>
      <c r="AH670" t="s">
        <v>2365</v>
      </c>
      <c r="AI670" t="s">
        <v>2365</v>
      </c>
      <c r="AJ670" t="s">
        <v>2365</v>
      </c>
      <c r="AK670" t="s">
        <v>2365</v>
      </c>
      <c r="AL670" t="s">
        <v>2365</v>
      </c>
      <c r="AM670" t="s">
        <v>2365</v>
      </c>
      <c r="AN670" t="s">
        <v>2365</v>
      </c>
      <c r="AR670" t="s">
        <v>2365</v>
      </c>
      <c r="AS670" t="s">
        <v>2365</v>
      </c>
      <c r="AT670" t="s">
        <v>2365</v>
      </c>
      <c r="AU670" t="s">
        <v>2365</v>
      </c>
      <c r="AV670" t="s">
        <v>2365</v>
      </c>
      <c r="AW670" t="s">
        <v>2365</v>
      </c>
      <c r="AX670" t="s">
        <v>2365</v>
      </c>
      <c r="AY670" t="s">
        <v>2365</v>
      </c>
      <c r="AZ670" t="s">
        <v>2365</v>
      </c>
      <c r="BA670" t="s">
        <v>2365</v>
      </c>
      <c r="BB670" t="s">
        <v>2365</v>
      </c>
      <c r="BC670" t="s">
        <v>2365</v>
      </c>
      <c r="BD670" t="s">
        <v>2366</v>
      </c>
      <c r="BE670" t="s">
        <v>2365</v>
      </c>
      <c r="BF670" t="s">
        <v>2365</v>
      </c>
      <c r="BG670" t="s">
        <v>2365</v>
      </c>
      <c r="BH670" t="s">
        <v>2365</v>
      </c>
      <c r="BI670" t="s">
        <v>2366</v>
      </c>
      <c r="BJ670" t="s">
        <v>2365</v>
      </c>
      <c r="BK670" t="s">
        <v>2365</v>
      </c>
      <c r="BL670" t="s">
        <v>2365</v>
      </c>
      <c r="BM670" t="s">
        <v>2365</v>
      </c>
      <c r="BO670">
        <v>1</v>
      </c>
      <c r="BP670">
        <v>11</v>
      </c>
      <c r="BQ670" t="s">
        <v>2369</v>
      </c>
      <c r="BR670" t="s">
        <v>1487</v>
      </c>
      <c r="BU670">
        <v>0</v>
      </c>
      <c r="BV670">
        <v>0</v>
      </c>
      <c r="BW670">
        <v>0</v>
      </c>
      <c r="BX670">
        <v>0</v>
      </c>
      <c r="BY670">
        <v>0</v>
      </c>
      <c r="BZ670">
        <v>0</v>
      </c>
      <c r="CA670">
        <v>0</v>
      </c>
      <c r="CB670">
        <v>0</v>
      </c>
      <c r="CC670">
        <v>0</v>
      </c>
      <c r="CD670">
        <v>0</v>
      </c>
      <c r="CE670">
        <v>0</v>
      </c>
      <c r="CF670">
        <v>0</v>
      </c>
      <c r="CG670">
        <v>0</v>
      </c>
      <c r="CH670">
        <v>0</v>
      </c>
      <c r="CI670">
        <v>0</v>
      </c>
      <c r="CJ670">
        <v>0</v>
      </c>
      <c r="CK670">
        <v>0</v>
      </c>
      <c r="CL670">
        <v>0</v>
      </c>
      <c r="CM670">
        <v>0</v>
      </c>
      <c r="CR670" t="s">
        <v>2327</v>
      </c>
      <c r="CS670" s="1369" t="str">
        <f>INDEX([8]Sheet1!$H:$H,MATCH(CR:CR,[8]Sheet1!$AU:$AU,0))</f>
        <v>Education</v>
      </c>
    </row>
    <row r="671" spans="1:97" x14ac:dyDescent="0.2">
      <c r="A671" t="s">
        <v>3260</v>
      </c>
      <c r="B671">
        <v>724</v>
      </c>
      <c r="C671" t="s">
        <v>3260</v>
      </c>
      <c r="D671">
        <v>41311</v>
      </c>
      <c r="E671" t="s">
        <v>2919</v>
      </c>
      <c r="F671">
        <v>2900</v>
      </c>
      <c r="G671" t="s">
        <v>569</v>
      </c>
      <c r="H671" t="s">
        <v>2366</v>
      </c>
      <c r="I671" t="s">
        <v>2366</v>
      </c>
      <c r="J671">
        <v>2904</v>
      </c>
      <c r="K671" t="s">
        <v>1432</v>
      </c>
      <c r="L671">
        <v>1200</v>
      </c>
      <c r="M671" t="s">
        <v>1480</v>
      </c>
      <c r="N671">
        <v>1204</v>
      </c>
      <c r="O671" t="s">
        <v>1487</v>
      </c>
      <c r="P671" t="s">
        <v>2366</v>
      </c>
      <c r="Q671" t="s">
        <v>2364</v>
      </c>
      <c r="R671" t="s">
        <v>2364</v>
      </c>
      <c r="S671" t="s">
        <v>1881</v>
      </c>
      <c r="T671" t="s">
        <v>1812</v>
      </c>
      <c r="U671" t="s">
        <v>2365</v>
      </c>
      <c r="V671" t="s">
        <v>2365</v>
      </c>
      <c r="W671" t="s">
        <v>2365</v>
      </c>
      <c r="X671" t="s">
        <v>2365</v>
      </c>
      <c r="Y671" t="s">
        <v>2365</v>
      </c>
      <c r="Z671" t="s">
        <v>2365</v>
      </c>
      <c r="AA671" t="s">
        <v>2365</v>
      </c>
      <c r="AB671" t="s">
        <v>2365</v>
      </c>
      <c r="AC671" s="813" t="s">
        <v>2365</v>
      </c>
      <c r="AD671" s="813" t="s">
        <v>2365</v>
      </c>
      <c r="AE671" s="813" t="s">
        <v>2365</v>
      </c>
      <c r="AF671" t="s">
        <v>2365</v>
      </c>
      <c r="AG671" t="s">
        <v>2365</v>
      </c>
      <c r="AH671" t="s">
        <v>2365</v>
      </c>
      <c r="AI671" t="s">
        <v>2365</v>
      </c>
      <c r="AJ671" t="s">
        <v>2365</v>
      </c>
      <c r="AK671" t="s">
        <v>2365</v>
      </c>
      <c r="AL671" t="s">
        <v>2365</v>
      </c>
      <c r="AM671" t="s">
        <v>2365</v>
      </c>
      <c r="AN671" t="s">
        <v>2365</v>
      </c>
      <c r="AR671" t="s">
        <v>2365</v>
      </c>
      <c r="AS671" t="s">
        <v>2365</v>
      </c>
      <c r="AT671" t="s">
        <v>2365</v>
      </c>
      <c r="AU671" t="s">
        <v>2365</v>
      </c>
      <c r="AV671" t="s">
        <v>2365</v>
      </c>
      <c r="AW671" t="s">
        <v>2365</v>
      </c>
      <c r="AX671" t="s">
        <v>2365</v>
      </c>
      <c r="AY671" t="s">
        <v>2365</v>
      </c>
      <c r="AZ671" t="s">
        <v>2365</v>
      </c>
      <c r="BA671" t="s">
        <v>2365</v>
      </c>
      <c r="BB671" t="s">
        <v>2365</v>
      </c>
      <c r="BC671" t="s">
        <v>2365</v>
      </c>
      <c r="BD671" t="s">
        <v>2366</v>
      </c>
      <c r="BE671" t="s">
        <v>2365</v>
      </c>
      <c r="BF671" t="s">
        <v>2365</v>
      </c>
      <c r="BG671" t="s">
        <v>2365</v>
      </c>
      <c r="BH671" t="s">
        <v>2365</v>
      </c>
      <c r="BI671" t="s">
        <v>2366</v>
      </c>
      <c r="BJ671" t="s">
        <v>2365</v>
      </c>
      <c r="BK671" t="s">
        <v>2365</v>
      </c>
      <c r="BL671" t="s">
        <v>2365</v>
      </c>
      <c r="BM671" t="s">
        <v>2365</v>
      </c>
      <c r="BO671">
        <v>1</v>
      </c>
      <c r="BP671">
        <v>11</v>
      </c>
      <c r="BQ671" t="s">
        <v>2369</v>
      </c>
      <c r="BR671" t="s">
        <v>1487</v>
      </c>
      <c r="BU671">
        <v>0</v>
      </c>
      <c r="BV671">
        <v>0</v>
      </c>
      <c r="BW671">
        <v>0</v>
      </c>
      <c r="BX671">
        <v>0</v>
      </c>
      <c r="BY671">
        <v>0</v>
      </c>
      <c r="BZ671">
        <v>0</v>
      </c>
      <c r="CA671">
        <v>0</v>
      </c>
      <c r="CB671">
        <v>0</v>
      </c>
      <c r="CC671">
        <v>0</v>
      </c>
      <c r="CD671">
        <v>0</v>
      </c>
      <c r="CE671">
        <v>0</v>
      </c>
      <c r="CF671">
        <v>0</v>
      </c>
      <c r="CG671">
        <v>0</v>
      </c>
      <c r="CH671">
        <v>0</v>
      </c>
      <c r="CI671">
        <v>0</v>
      </c>
      <c r="CJ671">
        <v>0</v>
      </c>
      <c r="CK671">
        <v>0</v>
      </c>
      <c r="CL671">
        <v>0</v>
      </c>
      <c r="CM671">
        <v>0</v>
      </c>
      <c r="CR671" t="s">
        <v>2344</v>
      </c>
      <c r="CS671" s="1369" t="str">
        <f>INDEX([8]Sheet1!$H:$H,MATCH(CR:CR,[8]Sheet1!$AU:$AU,0))</f>
        <v>Legal Services</v>
      </c>
    </row>
    <row r="672" spans="1:97" x14ac:dyDescent="0.2">
      <c r="A672" t="s">
        <v>3261</v>
      </c>
      <c r="B672">
        <v>725</v>
      </c>
      <c r="C672" t="s">
        <v>3261</v>
      </c>
      <c r="D672">
        <v>41335</v>
      </c>
      <c r="E672" t="s">
        <v>3262</v>
      </c>
      <c r="F672">
        <v>2700</v>
      </c>
      <c r="G672" t="s">
        <v>656</v>
      </c>
      <c r="H672" s="1373" t="s">
        <v>2664</v>
      </c>
      <c r="I672" t="s">
        <v>1801</v>
      </c>
      <c r="J672">
        <v>2702</v>
      </c>
      <c r="K672" t="s">
        <v>1801</v>
      </c>
      <c r="L672" s="1373">
        <v>1200</v>
      </c>
      <c r="M672" t="s">
        <v>1480</v>
      </c>
      <c r="N672">
        <v>1204</v>
      </c>
      <c r="O672" t="s">
        <v>1487</v>
      </c>
      <c r="P672" t="s">
        <v>2366</v>
      </c>
      <c r="Q672" t="s">
        <v>2364</v>
      </c>
      <c r="R672" t="s">
        <v>2364</v>
      </c>
      <c r="S672" t="s">
        <v>1881</v>
      </c>
      <c r="T672" t="s">
        <v>1812</v>
      </c>
      <c r="U672" t="s">
        <v>2365</v>
      </c>
      <c r="V672" t="s">
        <v>2365</v>
      </c>
      <c r="W672" t="s">
        <v>2365</v>
      </c>
      <c r="X672" t="s">
        <v>2365</v>
      </c>
      <c r="Y672" t="s">
        <v>2365</v>
      </c>
      <c r="Z672" t="s">
        <v>2365</v>
      </c>
      <c r="AA672" t="s">
        <v>2365</v>
      </c>
      <c r="AB672" t="s">
        <v>2365</v>
      </c>
      <c r="AC672" s="813" t="s">
        <v>2365</v>
      </c>
      <c r="AD672" s="813" t="s">
        <v>2365</v>
      </c>
      <c r="AE672" s="813" t="s">
        <v>2365</v>
      </c>
      <c r="AF672" t="s">
        <v>2365</v>
      </c>
      <c r="AG672" t="s">
        <v>2365</v>
      </c>
      <c r="AH672" t="s">
        <v>2365</v>
      </c>
      <c r="AI672" t="s">
        <v>2365</v>
      </c>
      <c r="AJ672" t="s">
        <v>2365</v>
      </c>
      <c r="AK672" t="s">
        <v>2365</v>
      </c>
      <c r="AL672" t="s">
        <v>2365</v>
      </c>
      <c r="AM672" t="s">
        <v>2365</v>
      </c>
      <c r="AN672" t="s">
        <v>2365</v>
      </c>
      <c r="AR672" t="s">
        <v>2365</v>
      </c>
      <c r="AS672" t="s">
        <v>2365</v>
      </c>
      <c r="AT672" t="s">
        <v>2365</v>
      </c>
      <c r="AU672" t="s">
        <v>2365</v>
      </c>
      <c r="AV672" t="s">
        <v>2365</v>
      </c>
      <c r="AW672" t="s">
        <v>2365</v>
      </c>
      <c r="AX672" t="s">
        <v>2365</v>
      </c>
      <c r="AY672" t="s">
        <v>2365</v>
      </c>
      <c r="AZ672" t="s">
        <v>2365</v>
      </c>
      <c r="BA672" t="s">
        <v>2365</v>
      </c>
      <c r="BB672" t="s">
        <v>2365</v>
      </c>
      <c r="BC672" t="s">
        <v>2365</v>
      </c>
      <c r="BD672" t="s">
        <v>2366</v>
      </c>
      <c r="BE672" t="s">
        <v>2365</v>
      </c>
      <c r="BF672" t="s">
        <v>2365</v>
      </c>
      <c r="BG672" t="s">
        <v>2365</v>
      </c>
      <c r="BH672" t="s">
        <v>2365</v>
      </c>
      <c r="BI672" t="s">
        <v>2366</v>
      </c>
      <c r="BJ672" t="s">
        <v>2365</v>
      </c>
      <c r="BK672" t="s">
        <v>2365</v>
      </c>
      <c r="BL672" t="s">
        <v>2365</v>
      </c>
      <c r="BM672" t="s">
        <v>2365</v>
      </c>
      <c r="BO672">
        <v>1</v>
      </c>
      <c r="BP672">
        <v>11</v>
      </c>
      <c r="BQ672" t="s">
        <v>2369</v>
      </c>
      <c r="BR672" t="s">
        <v>1487</v>
      </c>
      <c r="BU672" s="1371">
        <v>3000000</v>
      </c>
      <c r="BV672" s="1371">
        <v>0</v>
      </c>
      <c r="BW672" s="1371">
        <v>3000000</v>
      </c>
      <c r="BX672" s="1371">
        <v>-525800</v>
      </c>
      <c r="BY672" s="1371">
        <v>2474200</v>
      </c>
      <c r="BZ672">
        <v>3300000</v>
      </c>
      <c r="CA672">
        <v>3630000</v>
      </c>
      <c r="CB672">
        <v>16882</v>
      </c>
      <c r="CC672">
        <v>5294</v>
      </c>
      <c r="CD672">
        <v>0</v>
      </c>
      <c r="CE672">
        <v>0</v>
      </c>
      <c r="CF672">
        <v>0</v>
      </c>
      <c r="CG672">
        <v>0</v>
      </c>
      <c r="CH672">
        <v>0</v>
      </c>
      <c r="CI672">
        <v>0</v>
      </c>
      <c r="CJ672">
        <v>0</v>
      </c>
      <c r="CK672">
        <v>0</v>
      </c>
      <c r="CL672">
        <v>0</v>
      </c>
      <c r="CM672">
        <v>0</v>
      </c>
      <c r="CR672" t="s">
        <v>2344</v>
      </c>
      <c r="CS672" s="1369" t="str">
        <f>INDEX([8]Sheet1!$H:$H,MATCH(CR:CR,[8]Sheet1!$AU:$AU,0))</f>
        <v>Legal Services</v>
      </c>
    </row>
    <row r="673" spans="1:97" x14ac:dyDescent="0.2">
      <c r="A673" t="s">
        <v>3263</v>
      </c>
      <c r="B673">
        <v>726</v>
      </c>
      <c r="C673" t="s">
        <v>3263</v>
      </c>
      <c r="D673">
        <v>41336</v>
      </c>
      <c r="E673" t="s">
        <v>3264</v>
      </c>
      <c r="F673">
        <v>2900</v>
      </c>
      <c r="G673" t="s">
        <v>569</v>
      </c>
      <c r="H673" t="s">
        <v>2366</v>
      </c>
      <c r="I673" t="s">
        <v>2366</v>
      </c>
      <c r="J673">
        <v>2904</v>
      </c>
      <c r="K673" t="s">
        <v>1432</v>
      </c>
      <c r="L673">
        <v>1200</v>
      </c>
      <c r="M673" t="s">
        <v>1480</v>
      </c>
      <c r="N673">
        <v>1204</v>
      </c>
      <c r="O673" t="s">
        <v>1487</v>
      </c>
      <c r="P673" t="s">
        <v>2366</v>
      </c>
      <c r="Q673" t="s">
        <v>2364</v>
      </c>
      <c r="R673" t="s">
        <v>2364</v>
      </c>
      <c r="S673" t="s">
        <v>1881</v>
      </c>
      <c r="T673" t="s">
        <v>1812</v>
      </c>
      <c r="U673" t="s">
        <v>2365</v>
      </c>
      <c r="V673" t="s">
        <v>2365</v>
      </c>
      <c r="W673" t="s">
        <v>2365</v>
      </c>
      <c r="X673" t="s">
        <v>2365</v>
      </c>
      <c r="Y673" t="s">
        <v>2365</v>
      </c>
      <c r="Z673" t="s">
        <v>2365</v>
      </c>
      <c r="AA673" t="s">
        <v>2365</v>
      </c>
      <c r="AB673" t="s">
        <v>2365</v>
      </c>
      <c r="AC673" s="813" t="s">
        <v>2365</v>
      </c>
      <c r="AD673" s="813" t="s">
        <v>2365</v>
      </c>
      <c r="AE673" s="813" t="s">
        <v>2365</v>
      </c>
      <c r="AF673" t="s">
        <v>2365</v>
      </c>
      <c r="AG673" t="s">
        <v>2365</v>
      </c>
      <c r="AH673" t="s">
        <v>2365</v>
      </c>
      <c r="AI673" t="s">
        <v>2365</v>
      </c>
      <c r="AJ673" t="s">
        <v>2365</v>
      </c>
      <c r="AK673" t="s">
        <v>2365</v>
      </c>
      <c r="AL673" t="s">
        <v>2365</v>
      </c>
      <c r="AM673" t="s">
        <v>2365</v>
      </c>
      <c r="AN673" t="s">
        <v>2365</v>
      </c>
      <c r="AR673" t="s">
        <v>2365</v>
      </c>
      <c r="AS673" t="s">
        <v>2365</v>
      </c>
      <c r="AT673" t="s">
        <v>2365</v>
      </c>
      <c r="AU673" t="s">
        <v>2365</v>
      </c>
      <c r="AV673" t="s">
        <v>2365</v>
      </c>
      <c r="AW673" t="s">
        <v>2365</v>
      </c>
      <c r="AX673" t="s">
        <v>2365</v>
      </c>
      <c r="AY673" t="s">
        <v>2365</v>
      </c>
      <c r="AZ673" t="s">
        <v>2365</v>
      </c>
      <c r="BA673" t="s">
        <v>2365</v>
      </c>
      <c r="BB673" t="s">
        <v>2365</v>
      </c>
      <c r="BC673" t="s">
        <v>2365</v>
      </c>
      <c r="BD673" t="s">
        <v>2366</v>
      </c>
      <c r="BE673" t="s">
        <v>2365</v>
      </c>
      <c r="BF673" t="s">
        <v>2365</v>
      </c>
      <c r="BG673" t="s">
        <v>2365</v>
      </c>
      <c r="BH673" t="s">
        <v>2365</v>
      </c>
      <c r="BI673" t="s">
        <v>2366</v>
      </c>
      <c r="BJ673" t="s">
        <v>2365</v>
      </c>
      <c r="BK673" t="s">
        <v>2365</v>
      </c>
      <c r="BL673" t="s">
        <v>2365</v>
      </c>
      <c r="BM673" t="s">
        <v>2365</v>
      </c>
      <c r="BO673">
        <v>1</v>
      </c>
      <c r="BP673">
        <v>11</v>
      </c>
      <c r="BQ673" t="s">
        <v>2369</v>
      </c>
      <c r="BR673" t="s">
        <v>1487</v>
      </c>
      <c r="BU673">
        <v>79704</v>
      </c>
      <c r="BV673">
        <v>0</v>
      </c>
      <c r="BW673">
        <v>79704</v>
      </c>
      <c r="BX673">
        <v>0</v>
      </c>
      <c r="BY673">
        <v>79704</v>
      </c>
      <c r="BZ673">
        <v>87674</v>
      </c>
      <c r="CA673">
        <v>96441</v>
      </c>
      <c r="CB673">
        <v>0</v>
      </c>
      <c r="CC673">
        <v>0</v>
      </c>
      <c r="CD673">
        <v>0</v>
      </c>
      <c r="CE673">
        <v>0</v>
      </c>
      <c r="CF673">
        <v>0</v>
      </c>
      <c r="CG673">
        <v>0</v>
      </c>
      <c r="CH673">
        <v>0</v>
      </c>
      <c r="CI673">
        <v>0</v>
      </c>
      <c r="CJ673">
        <v>0</v>
      </c>
      <c r="CK673">
        <v>0</v>
      </c>
      <c r="CL673">
        <v>0</v>
      </c>
      <c r="CM673">
        <v>0</v>
      </c>
      <c r="CR673" t="s">
        <v>2344</v>
      </c>
      <c r="CS673" s="1369" t="str">
        <f>INDEX([8]Sheet1!$H:$H,MATCH(CR:CR,[8]Sheet1!$AU:$AU,0))</f>
        <v>Legal Services</v>
      </c>
    </row>
    <row r="674" spans="1:97" x14ac:dyDescent="0.2">
      <c r="A674" t="s">
        <v>3265</v>
      </c>
      <c r="B674">
        <v>727</v>
      </c>
      <c r="C674" t="s">
        <v>3265</v>
      </c>
      <c r="D674">
        <v>41337</v>
      </c>
      <c r="E674" t="s">
        <v>3266</v>
      </c>
      <c r="F674">
        <v>2900</v>
      </c>
      <c r="G674" t="s">
        <v>569</v>
      </c>
      <c r="H674" t="s">
        <v>2366</v>
      </c>
      <c r="I674" t="s">
        <v>2366</v>
      </c>
      <c r="J674">
        <v>2904</v>
      </c>
      <c r="K674" t="s">
        <v>1432</v>
      </c>
      <c r="L674">
        <v>1200</v>
      </c>
      <c r="M674" t="s">
        <v>1480</v>
      </c>
      <c r="N674">
        <v>1210</v>
      </c>
      <c r="O674" t="s">
        <v>998</v>
      </c>
      <c r="P674" t="s">
        <v>2366</v>
      </c>
      <c r="Q674" t="s">
        <v>2364</v>
      </c>
      <c r="R674" t="s">
        <v>2364</v>
      </c>
      <c r="S674" t="s">
        <v>1881</v>
      </c>
      <c r="T674" t="s">
        <v>1812</v>
      </c>
      <c r="U674" t="s">
        <v>2365</v>
      </c>
      <c r="V674" t="s">
        <v>2365</v>
      </c>
      <c r="W674" t="s">
        <v>2365</v>
      </c>
      <c r="X674" t="s">
        <v>2365</v>
      </c>
      <c r="Y674" t="s">
        <v>2365</v>
      </c>
      <c r="Z674" t="s">
        <v>2365</v>
      </c>
      <c r="AA674" t="s">
        <v>2365</v>
      </c>
      <c r="AB674" t="s">
        <v>2365</v>
      </c>
      <c r="AC674" s="813" t="s">
        <v>2365</v>
      </c>
      <c r="AD674" s="813" t="s">
        <v>2365</v>
      </c>
      <c r="AE674" s="813" t="s">
        <v>2365</v>
      </c>
      <c r="AF674" t="s">
        <v>2365</v>
      </c>
      <c r="AG674" t="s">
        <v>2365</v>
      </c>
      <c r="AH674" t="s">
        <v>2365</v>
      </c>
      <c r="AI674" t="s">
        <v>2365</v>
      </c>
      <c r="AJ674" t="s">
        <v>2365</v>
      </c>
      <c r="AK674" t="s">
        <v>2365</v>
      </c>
      <c r="AL674" t="s">
        <v>2365</v>
      </c>
      <c r="AM674" t="s">
        <v>2365</v>
      </c>
      <c r="AN674" t="s">
        <v>2365</v>
      </c>
      <c r="AR674" t="s">
        <v>2365</v>
      </c>
      <c r="AS674" t="s">
        <v>2365</v>
      </c>
      <c r="AT674" t="s">
        <v>2365</v>
      </c>
      <c r="AU674" t="s">
        <v>2365</v>
      </c>
      <c r="AV674" t="s">
        <v>2365</v>
      </c>
      <c r="AW674" t="s">
        <v>2365</v>
      </c>
      <c r="AX674" t="s">
        <v>2365</v>
      </c>
      <c r="AY674" t="s">
        <v>2365</v>
      </c>
      <c r="AZ674" t="s">
        <v>2365</v>
      </c>
      <c r="BA674" t="s">
        <v>2365</v>
      </c>
      <c r="BB674" t="s">
        <v>2365</v>
      </c>
      <c r="BC674" t="s">
        <v>2365</v>
      </c>
      <c r="BD674" t="s">
        <v>2366</v>
      </c>
      <c r="BE674" t="s">
        <v>2365</v>
      </c>
      <c r="BF674" t="s">
        <v>2365</v>
      </c>
      <c r="BG674" t="s">
        <v>2365</v>
      </c>
      <c r="BH674" t="s">
        <v>2365</v>
      </c>
      <c r="BI674" t="s">
        <v>2366</v>
      </c>
      <c r="BJ674" t="s">
        <v>2365</v>
      </c>
      <c r="BK674" t="s">
        <v>2365</v>
      </c>
      <c r="BL674" t="s">
        <v>2365</v>
      </c>
      <c r="BM674" t="s">
        <v>2365</v>
      </c>
      <c r="BO674">
        <v>1</v>
      </c>
      <c r="BP674">
        <v>16</v>
      </c>
      <c r="BQ674" t="s">
        <v>2369</v>
      </c>
      <c r="BR674" t="s">
        <v>998</v>
      </c>
      <c r="BU674">
        <v>900000</v>
      </c>
      <c r="BV674">
        <v>0</v>
      </c>
      <c r="BW674">
        <v>900000</v>
      </c>
      <c r="BX674">
        <v>0</v>
      </c>
      <c r="BY674">
        <v>900000</v>
      </c>
      <c r="BZ674">
        <v>990000</v>
      </c>
      <c r="CA674">
        <v>1089000</v>
      </c>
      <c r="CB674">
        <v>29129.63</v>
      </c>
      <c r="CC674">
        <v>61084.530000000006</v>
      </c>
      <c r="CD674">
        <v>114096.01999999999</v>
      </c>
      <c r="CE674">
        <v>69942.920000000013</v>
      </c>
      <c r="CF674">
        <v>44482.45</v>
      </c>
      <c r="CG674">
        <v>20782.29</v>
      </c>
      <c r="CH674">
        <v>102272.81999999999</v>
      </c>
      <c r="CI674">
        <v>105667.09</v>
      </c>
      <c r="CJ674">
        <v>0</v>
      </c>
      <c r="CK674">
        <v>0</v>
      </c>
      <c r="CL674">
        <v>0</v>
      </c>
      <c r="CM674">
        <v>0</v>
      </c>
      <c r="CR674" t="s">
        <v>2344</v>
      </c>
      <c r="CS674" s="1369" t="str">
        <f>INDEX([8]Sheet1!$H:$H,MATCH(CR:CR,[8]Sheet1!$AU:$AU,0))</f>
        <v>Legal Services</v>
      </c>
    </row>
    <row r="675" spans="1:97" x14ac:dyDescent="0.2">
      <c r="A675" t="s">
        <v>3267</v>
      </c>
      <c r="B675">
        <v>728</v>
      </c>
      <c r="C675" t="s">
        <v>3267</v>
      </c>
      <c r="D675">
        <v>41338</v>
      </c>
      <c r="E675" t="s">
        <v>3268</v>
      </c>
      <c r="F675">
        <v>2900</v>
      </c>
      <c r="G675" t="s">
        <v>569</v>
      </c>
      <c r="H675" t="s">
        <v>2366</v>
      </c>
      <c r="I675" t="s">
        <v>2366</v>
      </c>
      <c r="J675">
        <v>2904</v>
      </c>
      <c r="K675" t="s">
        <v>1432</v>
      </c>
      <c r="L675">
        <v>1200</v>
      </c>
      <c r="M675" t="s">
        <v>1480</v>
      </c>
      <c r="N675">
        <v>1210</v>
      </c>
      <c r="O675" t="s">
        <v>998</v>
      </c>
      <c r="P675" t="s">
        <v>2366</v>
      </c>
      <c r="Q675" t="s">
        <v>2364</v>
      </c>
      <c r="R675" t="s">
        <v>2364</v>
      </c>
      <c r="S675" t="s">
        <v>1881</v>
      </c>
      <c r="T675" t="s">
        <v>1812</v>
      </c>
      <c r="U675" t="s">
        <v>2365</v>
      </c>
      <c r="V675" t="s">
        <v>2365</v>
      </c>
      <c r="W675" t="s">
        <v>2365</v>
      </c>
      <c r="X675" t="s">
        <v>2365</v>
      </c>
      <c r="Y675" t="s">
        <v>2365</v>
      </c>
      <c r="Z675" t="s">
        <v>2365</v>
      </c>
      <c r="AA675" t="s">
        <v>2365</v>
      </c>
      <c r="AB675" t="s">
        <v>2365</v>
      </c>
      <c r="AC675" s="813" t="s">
        <v>2365</v>
      </c>
      <c r="AD675" s="813" t="s">
        <v>2365</v>
      </c>
      <c r="AE675" s="813" t="s">
        <v>2365</v>
      </c>
      <c r="AF675" t="s">
        <v>2365</v>
      </c>
      <c r="AG675" t="s">
        <v>2365</v>
      </c>
      <c r="AH675" t="s">
        <v>2365</v>
      </c>
      <c r="AI675" t="s">
        <v>2365</v>
      </c>
      <c r="AJ675" t="s">
        <v>2365</v>
      </c>
      <c r="AK675" t="s">
        <v>2365</v>
      </c>
      <c r="AL675" t="s">
        <v>2365</v>
      </c>
      <c r="AM675" t="s">
        <v>2365</v>
      </c>
      <c r="AN675" t="s">
        <v>2365</v>
      </c>
      <c r="AR675" t="s">
        <v>2365</v>
      </c>
      <c r="AS675" t="s">
        <v>2365</v>
      </c>
      <c r="AT675" t="s">
        <v>2365</v>
      </c>
      <c r="AU675" t="s">
        <v>2365</v>
      </c>
      <c r="AV675" t="s">
        <v>2365</v>
      </c>
      <c r="AW675" t="s">
        <v>2365</v>
      </c>
      <c r="AX675" t="s">
        <v>2365</v>
      </c>
      <c r="AY675" t="s">
        <v>2365</v>
      </c>
      <c r="AZ675" t="s">
        <v>2365</v>
      </c>
      <c r="BA675" t="s">
        <v>2365</v>
      </c>
      <c r="BB675" t="s">
        <v>2365</v>
      </c>
      <c r="BC675" t="s">
        <v>2365</v>
      </c>
      <c r="BD675" t="s">
        <v>2366</v>
      </c>
      <c r="BE675" t="s">
        <v>2365</v>
      </c>
      <c r="BF675" t="s">
        <v>2365</v>
      </c>
      <c r="BG675" t="s">
        <v>2365</v>
      </c>
      <c r="BH675" t="s">
        <v>2365</v>
      </c>
      <c r="BI675" t="s">
        <v>2366</v>
      </c>
      <c r="BJ675" t="s">
        <v>2365</v>
      </c>
      <c r="BK675" t="s">
        <v>2365</v>
      </c>
      <c r="BL675" t="s">
        <v>2365</v>
      </c>
      <c r="BM675" t="s">
        <v>2365</v>
      </c>
      <c r="BO675">
        <v>1</v>
      </c>
      <c r="BP675">
        <v>16</v>
      </c>
      <c r="BQ675" t="s">
        <v>2369</v>
      </c>
      <c r="BR675" t="s">
        <v>998</v>
      </c>
      <c r="BU675">
        <v>0</v>
      </c>
      <c r="BV675">
        <v>0</v>
      </c>
      <c r="BW675">
        <v>0</v>
      </c>
      <c r="BX675">
        <v>0</v>
      </c>
      <c r="BY675">
        <v>0</v>
      </c>
      <c r="BZ675">
        <v>0</v>
      </c>
      <c r="CA675">
        <v>0</v>
      </c>
      <c r="CB675">
        <v>0</v>
      </c>
      <c r="CC675">
        <v>0</v>
      </c>
      <c r="CD675">
        <v>0</v>
      </c>
      <c r="CE675">
        <v>0</v>
      </c>
      <c r="CF675">
        <v>0</v>
      </c>
      <c r="CG675">
        <v>0</v>
      </c>
      <c r="CH675">
        <v>0</v>
      </c>
      <c r="CI675">
        <v>0</v>
      </c>
      <c r="CJ675">
        <v>0</v>
      </c>
      <c r="CK675">
        <v>0</v>
      </c>
      <c r="CL675">
        <v>0</v>
      </c>
      <c r="CM675">
        <v>0</v>
      </c>
      <c r="CR675" t="s">
        <v>2344</v>
      </c>
      <c r="CS675" s="1369" t="str">
        <f>INDEX([8]Sheet1!$H:$H,MATCH(CR:CR,[8]Sheet1!$AU:$AU,0))</f>
        <v>Legal Services</v>
      </c>
    </row>
    <row r="676" spans="1:97" x14ac:dyDescent="0.2">
      <c r="A676" t="s">
        <v>3269</v>
      </c>
      <c r="B676">
        <v>729</v>
      </c>
      <c r="C676" t="s">
        <v>3269</v>
      </c>
      <c r="D676">
        <v>41339</v>
      </c>
      <c r="E676" t="s">
        <v>3270</v>
      </c>
      <c r="F676">
        <v>2900</v>
      </c>
      <c r="G676" t="s">
        <v>569</v>
      </c>
      <c r="H676" t="s">
        <v>2366</v>
      </c>
      <c r="I676" t="s">
        <v>2366</v>
      </c>
      <c r="J676">
        <v>2904</v>
      </c>
      <c r="K676" t="s">
        <v>1432</v>
      </c>
      <c r="L676">
        <v>1200</v>
      </c>
      <c r="M676" t="s">
        <v>1480</v>
      </c>
      <c r="N676">
        <v>1210</v>
      </c>
      <c r="O676" t="s">
        <v>998</v>
      </c>
      <c r="P676" t="s">
        <v>2366</v>
      </c>
      <c r="Q676" t="s">
        <v>2364</v>
      </c>
      <c r="R676" t="s">
        <v>2364</v>
      </c>
      <c r="S676" t="s">
        <v>1881</v>
      </c>
      <c r="T676" t="s">
        <v>1812</v>
      </c>
      <c r="U676" t="s">
        <v>2365</v>
      </c>
      <c r="V676" t="s">
        <v>2365</v>
      </c>
      <c r="W676" t="s">
        <v>2365</v>
      </c>
      <c r="X676" t="s">
        <v>2365</v>
      </c>
      <c r="Y676" t="s">
        <v>2365</v>
      </c>
      <c r="Z676" t="s">
        <v>2365</v>
      </c>
      <c r="AA676" t="s">
        <v>2365</v>
      </c>
      <c r="AB676" t="s">
        <v>2365</v>
      </c>
      <c r="AC676" s="813" t="s">
        <v>2365</v>
      </c>
      <c r="AD676" s="813" t="s">
        <v>2365</v>
      </c>
      <c r="AE676" s="813" t="s">
        <v>2365</v>
      </c>
      <c r="AF676" t="s">
        <v>2365</v>
      </c>
      <c r="AG676" t="s">
        <v>2365</v>
      </c>
      <c r="AH676" t="s">
        <v>2365</v>
      </c>
      <c r="AI676" t="s">
        <v>2365</v>
      </c>
      <c r="AJ676" t="s">
        <v>2365</v>
      </c>
      <c r="AK676" t="s">
        <v>2365</v>
      </c>
      <c r="AL676" t="s">
        <v>2365</v>
      </c>
      <c r="AM676" t="s">
        <v>2365</v>
      </c>
      <c r="AN676" t="s">
        <v>2365</v>
      </c>
      <c r="AR676" t="s">
        <v>2365</v>
      </c>
      <c r="AS676" t="s">
        <v>2365</v>
      </c>
      <c r="AT676" t="s">
        <v>2365</v>
      </c>
      <c r="AU676" t="s">
        <v>2365</v>
      </c>
      <c r="AV676" t="s">
        <v>2365</v>
      </c>
      <c r="AW676" t="s">
        <v>2365</v>
      </c>
      <c r="AX676" t="s">
        <v>2365</v>
      </c>
      <c r="AY676" t="s">
        <v>2365</v>
      </c>
      <c r="AZ676" t="s">
        <v>2365</v>
      </c>
      <c r="BA676" t="s">
        <v>2365</v>
      </c>
      <c r="BB676" t="s">
        <v>2365</v>
      </c>
      <c r="BC676" t="s">
        <v>2365</v>
      </c>
      <c r="BD676" t="s">
        <v>2366</v>
      </c>
      <c r="BE676" t="s">
        <v>2365</v>
      </c>
      <c r="BF676" t="s">
        <v>2365</v>
      </c>
      <c r="BG676" t="s">
        <v>2365</v>
      </c>
      <c r="BH676" t="s">
        <v>2365</v>
      </c>
      <c r="BI676" t="s">
        <v>2366</v>
      </c>
      <c r="BJ676" t="s">
        <v>2365</v>
      </c>
      <c r="BK676" t="s">
        <v>2365</v>
      </c>
      <c r="BL676" t="s">
        <v>2365</v>
      </c>
      <c r="BM676" t="s">
        <v>2365</v>
      </c>
      <c r="BO676">
        <v>1</v>
      </c>
      <c r="BP676">
        <v>16</v>
      </c>
      <c r="BQ676" t="s">
        <v>2369</v>
      </c>
      <c r="BR676" t="s">
        <v>998</v>
      </c>
      <c r="BU676">
        <v>0</v>
      </c>
      <c r="BV676">
        <v>0</v>
      </c>
      <c r="BW676">
        <v>0</v>
      </c>
      <c r="BX676">
        <v>0</v>
      </c>
      <c r="BY676">
        <v>0</v>
      </c>
      <c r="BZ676">
        <v>0</v>
      </c>
      <c r="CA676">
        <v>0</v>
      </c>
      <c r="CB676">
        <v>0</v>
      </c>
      <c r="CC676">
        <v>0</v>
      </c>
      <c r="CD676">
        <v>0</v>
      </c>
      <c r="CE676">
        <v>0</v>
      </c>
      <c r="CF676">
        <v>0</v>
      </c>
      <c r="CG676">
        <v>0</v>
      </c>
      <c r="CH676">
        <v>0</v>
      </c>
      <c r="CI676">
        <v>0</v>
      </c>
      <c r="CJ676">
        <v>0</v>
      </c>
      <c r="CK676">
        <v>0</v>
      </c>
      <c r="CL676">
        <v>0</v>
      </c>
      <c r="CM676">
        <v>0</v>
      </c>
      <c r="CR676" t="s">
        <v>2344</v>
      </c>
      <c r="CS676" s="1369" t="str">
        <f>INDEX([8]Sheet1!$H:$H,MATCH(CR:CR,[8]Sheet1!$AU:$AU,0))</f>
        <v>Legal Services</v>
      </c>
    </row>
    <row r="677" spans="1:97" x14ac:dyDescent="0.2">
      <c r="A677" t="s">
        <v>3271</v>
      </c>
      <c r="B677">
        <v>730</v>
      </c>
      <c r="C677" t="s">
        <v>3271</v>
      </c>
      <c r="D677">
        <v>41340</v>
      </c>
      <c r="E677" t="s">
        <v>3272</v>
      </c>
      <c r="F677">
        <v>2900</v>
      </c>
      <c r="G677" t="s">
        <v>569</v>
      </c>
      <c r="H677" t="s">
        <v>2366</v>
      </c>
      <c r="I677" t="s">
        <v>2366</v>
      </c>
      <c r="J677">
        <v>2904</v>
      </c>
      <c r="K677" t="s">
        <v>1432</v>
      </c>
      <c r="L677">
        <v>1200</v>
      </c>
      <c r="M677" t="s">
        <v>1480</v>
      </c>
      <c r="N677">
        <v>1210</v>
      </c>
      <c r="O677" t="s">
        <v>998</v>
      </c>
      <c r="P677" t="s">
        <v>2366</v>
      </c>
      <c r="Q677" t="s">
        <v>2364</v>
      </c>
      <c r="R677" t="s">
        <v>2364</v>
      </c>
      <c r="S677" t="s">
        <v>1881</v>
      </c>
      <c r="T677" t="s">
        <v>1812</v>
      </c>
      <c r="U677" t="s">
        <v>2365</v>
      </c>
      <c r="V677" t="s">
        <v>2365</v>
      </c>
      <c r="W677" t="s">
        <v>2365</v>
      </c>
      <c r="X677" t="s">
        <v>2365</v>
      </c>
      <c r="Y677" t="s">
        <v>2365</v>
      </c>
      <c r="Z677" t="s">
        <v>2365</v>
      </c>
      <c r="AA677" t="s">
        <v>2365</v>
      </c>
      <c r="AB677" t="s">
        <v>2365</v>
      </c>
      <c r="AC677" s="813" t="s">
        <v>2365</v>
      </c>
      <c r="AD677" s="813" t="s">
        <v>2365</v>
      </c>
      <c r="AE677" s="813" t="s">
        <v>2365</v>
      </c>
      <c r="AF677" t="s">
        <v>2365</v>
      </c>
      <c r="AG677" t="s">
        <v>2365</v>
      </c>
      <c r="AH677" t="s">
        <v>2365</v>
      </c>
      <c r="AI677" t="s">
        <v>2365</v>
      </c>
      <c r="AJ677" t="s">
        <v>2365</v>
      </c>
      <c r="AK677" t="s">
        <v>2365</v>
      </c>
      <c r="AL677" t="s">
        <v>2365</v>
      </c>
      <c r="AM677" t="s">
        <v>2365</v>
      </c>
      <c r="AN677" t="s">
        <v>2365</v>
      </c>
      <c r="AR677" t="s">
        <v>2365</v>
      </c>
      <c r="AS677" t="s">
        <v>2365</v>
      </c>
      <c r="AT677" t="s">
        <v>2365</v>
      </c>
      <c r="AU677" t="s">
        <v>2365</v>
      </c>
      <c r="AV677" t="s">
        <v>2365</v>
      </c>
      <c r="AW677" t="s">
        <v>2365</v>
      </c>
      <c r="AX677" t="s">
        <v>2365</v>
      </c>
      <c r="AY677" t="s">
        <v>2365</v>
      </c>
      <c r="AZ677" t="s">
        <v>2365</v>
      </c>
      <c r="BA677" t="s">
        <v>2365</v>
      </c>
      <c r="BB677" t="s">
        <v>2365</v>
      </c>
      <c r="BC677" t="s">
        <v>2365</v>
      </c>
      <c r="BD677" t="s">
        <v>2366</v>
      </c>
      <c r="BE677" t="s">
        <v>2365</v>
      </c>
      <c r="BF677" t="s">
        <v>2365</v>
      </c>
      <c r="BG677" t="s">
        <v>2365</v>
      </c>
      <c r="BH677" t="s">
        <v>2365</v>
      </c>
      <c r="BI677" t="s">
        <v>2366</v>
      </c>
      <c r="BJ677" t="s">
        <v>2365</v>
      </c>
      <c r="BK677" t="s">
        <v>2365</v>
      </c>
      <c r="BL677" t="s">
        <v>2365</v>
      </c>
      <c r="BM677" t="s">
        <v>2365</v>
      </c>
      <c r="BO677">
        <v>1</v>
      </c>
      <c r="BP677">
        <v>16</v>
      </c>
      <c r="BQ677" t="s">
        <v>2369</v>
      </c>
      <c r="BR677" t="s">
        <v>998</v>
      </c>
      <c r="BU677">
        <v>595650</v>
      </c>
      <c r="BV677">
        <v>0</v>
      </c>
      <c r="BW677">
        <v>595650</v>
      </c>
      <c r="BX677">
        <v>0</v>
      </c>
      <c r="BY677">
        <v>595650</v>
      </c>
      <c r="BZ677">
        <v>655215</v>
      </c>
      <c r="CA677">
        <v>720737</v>
      </c>
      <c r="CB677">
        <v>0</v>
      </c>
      <c r="CC677">
        <v>0</v>
      </c>
      <c r="CD677">
        <v>8633.8799999999992</v>
      </c>
      <c r="CE677">
        <v>522894.37</v>
      </c>
      <c r="CF677">
        <v>0</v>
      </c>
      <c r="CG677">
        <v>0</v>
      </c>
      <c r="CH677">
        <v>0</v>
      </c>
      <c r="CI677">
        <v>0</v>
      </c>
      <c r="CJ677">
        <v>0</v>
      </c>
      <c r="CK677">
        <v>0</v>
      </c>
      <c r="CL677">
        <v>0</v>
      </c>
      <c r="CM677">
        <v>0</v>
      </c>
      <c r="CR677" t="s">
        <v>2344</v>
      </c>
      <c r="CS677" s="1369" t="str">
        <f>INDEX([8]Sheet1!$H:$H,MATCH(CR:CR,[8]Sheet1!$AU:$AU,0))</f>
        <v>Legal Services</v>
      </c>
    </row>
    <row r="678" spans="1:97" x14ac:dyDescent="0.2">
      <c r="A678" t="s">
        <v>3273</v>
      </c>
      <c r="B678">
        <v>731</v>
      </c>
      <c r="C678" t="s">
        <v>3273</v>
      </c>
      <c r="D678">
        <v>41341</v>
      </c>
      <c r="E678" t="s">
        <v>3274</v>
      </c>
      <c r="F678">
        <v>2900</v>
      </c>
      <c r="G678" t="s">
        <v>569</v>
      </c>
      <c r="H678" t="s">
        <v>2366</v>
      </c>
      <c r="I678" t="s">
        <v>2366</v>
      </c>
      <c r="J678">
        <v>2904</v>
      </c>
      <c r="K678" t="s">
        <v>1432</v>
      </c>
      <c r="L678">
        <v>1200</v>
      </c>
      <c r="M678" t="s">
        <v>1480</v>
      </c>
      <c r="N678">
        <v>1210</v>
      </c>
      <c r="O678" t="s">
        <v>998</v>
      </c>
      <c r="P678" t="s">
        <v>2366</v>
      </c>
      <c r="Q678" t="s">
        <v>2364</v>
      </c>
      <c r="R678" t="s">
        <v>2364</v>
      </c>
      <c r="S678" t="s">
        <v>1881</v>
      </c>
      <c r="T678" t="s">
        <v>1812</v>
      </c>
      <c r="U678" t="s">
        <v>2365</v>
      </c>
      <c r="V678" t="s">
        <v>2365</v>
      </c>
      <c r="W678" t="s">
        <v>2365</v>
      </c>
      <c r="X678" t="s">
        <v>2365</v>
      </c>
      <c r="Y678" t="s">
        <v>2365</v>
      </c>
      <c r="Z678" t="s">
        <v>2365</v>
      </c>
      <c r="AA678" t="s">
        <v>2365</v>
      </c>
      <c r="AB678" t="s">
        <v>2365</v>
      </c>
      <c r="AC678" s="813" t="s">
        <v>2365</v>
      </c>
      <c r="AD678" s="813" t="s">
        <v>2365</v>
      </c>
      <c r="AE678" s="813" t="s">
        <v>2365</v>
      </c>
      <c r="AF678" t="s">
        <v>2365</v>
      </c>
      <c r="AG678" t="s">
        <v>2365</v>
      </c>
      <c r="AH678" t="s">
        <v>2365</v>
      </c>
      <c r="AI678" t="s">
        <v>2365</v>
      </c>
      <c r="AJ678" t="s">
        <v>2365</v>
      </c>
      <c r="AK678" t="s">
        <v>2365</v>
      </c>
      <c r="AL678" t="s">
        <v>2365</v>
      </c>
      <c r="AM678" t="s">
        <v>2365</v>
      </c>
      <c r="AN678" t="s">
        <v>2365</v>
      </c>
      <c r="AR678" t="s">
        <v>2365</v>
      </c>
      <c r="AS678" t="s">
        <v>2365</v>
      </c>
      <c r="AT678" t="s">
        <v>2365</v>
      </c>
      <c r="AU678" t="s">
        <v>2365</v>
      </c>
      <c r="AV678" t="s">
        <v>2365</v>
      </c>
      <c r="AW678" t="s">
        <v>2365</v>
      </c>
      <c r="AX678" t="s">
        <v>2365</v>
      </c>
      <c r="AY678" t="s">
        <v>2365</v>
      </c>
      <c r="AZ678" t="s">
        <v>2365</v>
      </c>
      <c r="BA678" t="s">
        <v>2365</v>
      </c>
      <c r="BB678" t="s">
        <v>2365</v>
      </c>
      <c r="BC678" t="s">
        <v>2365</v>
      </c>
      <c r="BD678" t="s">
        <v>2366</v>
      </c>
      <c r="BE678" t="s">
        <v>2365</v>
      </c>
      <c r="BF678" t="s">
        <v>2365</v>
      </c>
      <c r="BG678" t="s">
        <v>2365</v>
      </c>
      <c r="BH678" t="s">
        <v>2365</v>
      </c>
      <c r="BI678" t="s">
        <v>2366</v>
      </c>
      <c r="BJ678" t="s">
        <v>2365</v>
      </c>
      <c r="BK678" t="s">
        <v>2365</v>
      </c>
      <c r="BL678" t="s">
        <v>2365</v>
      </c>
      <c r="BM678" t="s">
        <v>2365</v>
      </c>
      <c r="BO678">
        <v>1</v>
      </c>
      <c r="BP678">
        <v>16</v>
      </c>
      <c r="BQ678" t="s">
        <v>2369</v>
      </c>
      <c r="BR678" t="s">
        <v>998</v>
      </c>
      <c r="BU678">
        <v>40000</v>
      </c>
      <c r="BV678">
        <v>0</v>
      </c>
      <c r="BW678">
        <v>40000</v>
      </c>
      <c r="BX678">
        <v>0</v>
      </c>
      <c r="BY678">
        <v>40000</v>
      </c>
      <c r="BZ678">
        <v>44000</v>
      </c>
      <c r="CA678">
        <v>48400</v>
      </c>
      <c r="CB678">
        <v>0</v>
      </c>
      <c r="CC678">
        <v>0</v>
      </c>
      <c r="CD678">
        <v>5850</v>
      </c>
      <c r="CE678">
        <v>0</v>
      </c>
      <c r="CF678">
        <v>5850</v>
      </c>
      <c r="CG678">
        <v>0</v>
      </c>
      <c r="CH678">
        <v>0</v>
      </c>
      <c r="CI678">
        <v>0</v>
      </c>
      <c r="CJ678">
        <v>0</v>
      </c>
      <c r="CK678">
        <v>0</v>
      </c>
      <c r="CL678">
        <v>0</v>
      </c>
      <c r="CM678">
        <v>0</v>
      </c>
      <c r="CR678" t="s">
        <v>2344</v>
      </c>
      <c r="CS678" s="1369" t="str">
        <f>INDEX([8]Sheet1!$H:$H,MATCH(CR:CR,[8]Sheet1!$AU:$AU,0))</f>
        <v>Legal Services</v>
      </c>
    </row>
    <row r="679" spans="1:97" x14ac:dyDescent="0.2">
      <c r="A679" t="s">
        <v>3275</v>
      </c>
      <c r="B679">
        <v>732</v>
      </c>
      <c r="C679" t="s">
        <v>3275</v>
      </c>
      <c r="D679">
        <v>41342</v>
      </c>
      <c r="E679" t="s">
        <v>3276</v>
      </c>
      <c r="F679">
        <v>2900</v>
      </c>
      <c r="G679" t="s">
        <v>569</v>
      </c>
      <c r="H679" t="s">
        <v>2366</v>
      </c>
      <c r="I679" t="s">
        <v>2366</v>
      </c>
      <c r="J679">
        <v>2904</v>
      </c>
      <c r="K679" t="s">
        <v>1432</v>
      </c>
      <c r="L679">
        <v>1200</v>
      </c>
      <c r="M679" t="s">
        <v>1480</v>
      </c>
      <c r="N679">
        <v>1210</v>
      </c>
      <c r="O679" t="s">
        <v>998</v>
      </c>
      <c r="P679" t="s">
        <v>2366</v>
      </c>
      <c r="Q679" t="s">
        <v>2364</v>
      </c>
      <c r="R679" t="s">
        <v>2364</v>
      </c>
      <c r="S679" t="s">
        <v>1881</v>
      </c>
      <c r="T679" t="s">
        <v>1812</v>
      </c>
      <c r="U679" t="s">
        <v>2365</v>
      </c>
      <c r="V679" t="s">
        <v>2365</v>
      </c>
      <c r="W679" t="s">
        <v>2365</v>
      </c>
      <c r="X679" t="s">
        <v>2365</v>
      </c>
      <c r="Y679" t="s">
        <v>2365</v>
      </c>
      <c r="Z679" t="s">
        <v>2365</v>
      </c>
      <c r="AA679" t="s">
        <v>2365</v>
      </c>
      <c r="AB679" t="s">
        <v>2365</v>
      </c>
      <c r="AC679" s="813" t="s">
        <v>2365</v>
      </c>
      <c r="AD679" s="813" t="s">
        <v>2365</v>
      </c>
      <c r="AE679" s="813" t="s">
        <v>2365</v>
      </c>
      <c r="AF679" t="s">
        <v>2365</v>
      </c>
      <c r="AG679" t="s">
        <v>2365</v>
      </c>
      <c r="AH679" t="s">
        <v>2365</v>
      </c>
      <c r="AI679" t="s">
        <v>2365</v>
      </c>
      <c r="AJ679" t="s">
        <v>2365</v>
      </c>
      <c r="AK679" t="s">
        <v>2365</v>
      </c>
      <c r="AL679" t="s">
        <v>2365</v>
      </c>
      <c r="AM679" t="s">
        <v>2365</v>
      </c>
      <c r="AN679" t="s">
        <v>2365</v>
      </c>
      <c r="AR679" t="s">
        <v>2365</v>
      </c>
      <c r="AS679" t="s">
        <v>2365</v>
      </c>
      <c r="AT679" t="s">
        <v>2365</v>
      </c>
      <c r="AU679" t="s">
        <v>2365</v>
      </c>
      <c r="AV679" t="s">
        <v>2365</v>
      </c>
      <c r="AW679" t="s">
        <v>2365</v>
      </c>
      <c r="AX679" t="s">
        <v>2365</v>
      </c>
      <c r="AY679" t="s">
        <v>2365</v>
      </c>
      <c r="AZ679" t="s">
        <v>2365</v>
      </c>
      <c r="BA679" t="s">
        <v>2365</v>
      </c>
      <c r="BB679" t="s">
        <v>2365</v>
      </c>
      <c r="BC679" t="s">
        <v>2365</v>
      </c>
      <c r="BD679" t="s">
        <v>2366</v>
      </c>
      <c r="BE679" t="s">
        <v>2365</v>
      </c>
      <c r="BF679" t="s">
        <v>2365</v>
      </c>
      <c r="BG679" t="s">
        <v>2365</v>
      </c>
      <c r="BH679" t="s">
        <v>2365</v>
      </c>
      <c r="BI679" t="s">
        <v>2366</v>
      </c>
      <c r="BJ679" t="s">
        <v>2365</v>
      </c>
      <c r="BK679" t="s">
        <v>2365</v>
      </c>
      <c r="BL679" t="s">
        <v>2365</v>
      </c>
      <c r="BM679" t="s">
        <v>2365</v>
      </c>
      <c r="BO679">
        <v>1</v>
      </c>
      <c r="BP679">
        <v>16</v>
      </c>
      <c r="BQ679" t="s">
        <v>2369</v>
      </c>
      <c r="BR679" t="s">
        <v>998</v>
      </c>
      <c r="BU679">
        <v>0</v>
      </c>
      <c r="BV679">
        <v>0</v>
      </c>
      <c r="BW679">
        <v>0</v>
      </c>
      <c r="BX679">
        <v>0</v>
      </c>
      <c r="BY679">
        <v>0</v>
      </c>
      <c r="BZ679">
        <v>0</v>
      </c>
      <c r="CA679">
        <v>0</v>
      </c>
      <c r="CB679">
        <v>0</v>
      </c>
      <c r="CC679">
        <v>0</v>
      </c>
      <c r="CD679">
        <v>0</v>
      </c>
      <c r="CE679">
        <v>0</v>
      </c>
      <c r="CF679">
        <v>0</v>
      </c>
      <c r="CG679">
        <v>0</v>
      </c>
      <c r="CH679">
        <v>0</v>
      </c>
      <c r="CI679">
        <v>0</v>
      </c>
      <c r="CJ679">
        <v>0</v>
      </c>
      <c r="CK679">
        <v>0</v>
      </c>
      <c r="CL679">
        <v>0</v>
      </c>
      <c r="CM679">
        <v>0</v>
      </c>
      <c r="CR679" t="s">
        <v>2344</v>
      </c>
      <c r="CS679" s="1369" t="str">
        <f>INDEX([8]Sheet1!$H:$H,MATCH(CR:CR,[8]Sheet1!$AU:$AU,0))</f>
        <v>Legal Services</v>
      </c>
    </row>
    <row r="680" spans="1:97" x14ac:dyDescent="0.2">
      <c r="A680" t="s">
        <v>3277</v>
      </c>
      <c r="B680">
        <v>733</v>
      </c>
      <c r="C680" t="s">
        <v>3277</v>
      </c>
      <c r="D680">
        <v>41343</v>
      </c>
      <c r="E680" t="s">
        <v>3278</v>
      </c>
      <c r="F680">
        <v>2900</v>
      </c>
      <c r="G680" t="s">
        <v>569</v>
      </c>
      <c r="H680" t="s">
        <v>2366</v>
      </c>
      <c r="I680" t="s">
        <v>2366</v>
      </c>
      <c r="J680">
        <v>2904</v>
      </c>
      <c r="K680" t="s">
        <v>1432</v>
      </c>
      <c r="L680">
        <v>1200</v>
      </c>
      <c r="M680" t="s">
        <v>1480</v>
      </c>
      <c r="N680">
        <v>1210</v>
      </c>
      <c r="O680" t="s">
        <v>998</v>
      </c>
      <c r="P680" t="s">
        <v>2366</v>
      </c>
      <c r="Q680" t="s">
        <v>2364</v>
      </c>
      <c r="R680" t="s">
        <v>2364</v>
      </c>
      <c r="S680" t="s">
        <v>1881</v>
      </c>
      <c r="T680" t="s">
        <v>1812</v>
      </c>
      <c r="U680" t="s">
        <v>2365</v>
      </c>
      <c r="V680" t="s">
        <v>2365</v>
      </c>
      <c r="W680" t="s">
        <v>2365</v>
      </c>
      <c r="X680" t="s">
        <v>2365</v>
      </c>
      <c r="Y680" t="s">
        <v>2365</v>
      </c>
      <c r="Z680" t="s">
        <v>2365</v>
      </c>
      <c r="AA680" t="s">
        <v>2365</v>
      </c>
      <c r="AB680" t="s">
        <v>2365</v>
      </c>
      <c r="AC680" s="813" t="s">
        <v>2365</v>
      </c>
      <c r="AD680" s="813" t="s">
        <v>2365</v>
      </c>
      <c r="AE680" s="813" t="s">
        <v>2365</v>
      </c>
      <c r="AF680" t="s">
        <v>2365</v>
      </c>
      <c r="AG680" t="s">
        <v>2365</v>
      </c>
      <c r="AH680" t="s">
        <v>2365</v>
      </c>
      <c r="AI680" t="s">
        <v>2365</v>
      </c>
      <c r="AJ680" t="s">
        <v>2365</v>
      </c>
      <c r="AK680" t="s">
        <v>2365</v>
      </c>
      <c r="AL680" t="s">
        <v>2365</v>
      </c>
      <c r="AM680" t="s">
        <v>2365</v>
      </c>
      <c r="AN680" t="s">
        <v>2365</v>
      </c>
      <c r="AR680" t="s">
        <v>2365</v>
      </c>
      <c r="AS680" t="s">
        <v>2365</v>
      </c>
      <c r="AT680" t="s">
        <v>2365</v>
      </c>
      <c r="AU680" t="s">
        <v>2365</v>
      </c>
      <c r="AV680" t="s">
        <v>2365</v>
      </c>
      <c r="AW680" t="s">
        <v>2365</v>
      </c>
      <c r="AX680" t="s">
        <v>2365</v>
      </c>
      <c r="AY680" t="s">
        <v>2365</v>
      </c>
      <c r="AZ680" t="s">
        <v>2365</v>
      </c>
      <c r="BA680" t="s">
        <v>2365</v>
      </c>
      <c r="BB680" t="s">
        <v>2365</v>
      </c>
      <c r="BC680" t="s">
        <v>2365</v>
      </c>
      <c r="BD680" t="s">
        <v>2366</v>
      </c>
      <c r="BE680" t="s">
        <v>2365</v>
      </c>
      <c r="BF680" t="s">
        <v>2365</v>
      </c>
      <c r="BG680" t="s">
        <v>2365</v>
      </c>
      <c r="BH680" t="s">
        <v>2365</v>
      </c>
      <c r="BI680" t="s">
        <v>2366</v>
      </c>
      <c r="BJ680" t="s">
        <v>2365</v>
      </c>
      <c r="BK680" t="s">
        <v>2365</v>
      </c>
      <c r="BL680" t="s">
        <v>2365</v>
      </c>
      <c r="BM680" t="s">
        <v>2365</v>
      </c>
      <c r="BO680">
        <v>1</v>
      </c>
      <c r="BP680">
        <v>16</v>
      </c>
      <c r="BQ680" t="s">
        <v>2369</v>
      </c>
      <c r="BR680" t="s">
        <v>998</v>
      </c>
      <c r="BU680">
        <v>0</v>
      </c>
      <c r="BV680">
        <v>0</v>
      </c>
      <c r="BW680">
        <v>0</v>
      </c>
      <c r="BX680">
        <v>0</v>
      </c>
      <c r="BY680">
        <v>0</v>
      </c>
      <c r="BZ680">
        <v>0</v>
      </c>
      <c r="CA680">
        <v>0</v>
      </c>
      <c r="CB680">
        <v>0</v>
      </c>
      <c r="CC680">
        <v>0</v>
      </c>
      <c r="CD680">
        <v>0</v>
      </c>
      <c r="CE680">
        <v>0</v>
      </c>
      <c r="CF680">
        <v>0</v>
      </c>
      <c r="CG680">
        <v>0</v>
      </c>
      <c r="CH680">
        <v>0</v>
      </c>
      <c r="CI680">
        <v>0</v>
      </c>
      <c r="CJ680">
        <v>0</v>
      </c>
      <c r="CK680">
        <v>0</v>
      </c>
      <c r="CL680">
        <v>0</v>
      </c>
      <c r="CM680">
        <v>0</v>
      </c>
      <c r="CR680" t="s">
        <v>2344</v>
      </c>
      <c r="CS680" s="1369" t="str">
        <f>INDEX([8]Sheet1!$H:$H,MATCH(CR:CR,[8]Sheet1!$AU:$AU,0))</f>
        <v>Legal Services</v>
      </c>
    </row>
    <row r="681" spans="1:97" x14ac:dyDescent="0.2">
      <c r="A681" t="s">
        <v>3279</v>
      </c>
      <c r="B681">
        <v>734</v>
      </c>
      <c r="C681" t="s">
        <v>3279</v>
      </c>
      <c r="D681">
        <v>41344</v>
      </c>
      <c r="E681" t="s">
        <v>3280</v>
      </c>
      <c r="F681">
        <v>2900</v>
      </c>
      <c r="G681" t="s">
        <v>569</v>
      </c>
      <c r="H681" t="s">
        <v>2366</v>
      </c>
      <c r="I681" t="s">
        <v>2366</v>
      </c>
      <c r="J681">
        <v>2904</v>
      </c>
      <c r="K681" t="s">
        <v>1432</v>
      </c>
      <c r="L681">
        <v>1200</v>
      </c>
      <c r="M681" t="s">
        <v>1480</v>
      </c>
      <c r="N681">
        <v>1201</v>
      </c>
      <c r="O681" t="s">
        <v>1486</v>
      </c>
      <c r="P681" t="s">
        <v>2366</v>
      </c>
      <c r="Q681" t="s">
        <v>2364</v>
      </c>
      <c r="R681" t="s">
        <v>2364</v>
      </c>
      <c r="S681" t="s">
        <v>1881</v>
      </c>
      <c r="T681" t="s">
        <v>1812</v>
      </c>
      <c r="U681" t="s">
        <v>2365</v>
      </c>
      <c r="V681" t="s">
        <v>2365</v>
      </c>
      <c r="W681" t="s">
        <v>2365</v>
      </c>
      <c r="X681" t="s">
        <v>2365</v>
      </c>
      <c r="Y681" t="s">
        <v>2365</v>
      </c>
      <c r="Z681" t="s">
        <v>2365</v>
      </c>
      <c r="AA681" t="s">
        <v>2365</v>
      </c>
      <c r="AB681" t="s">
        <v>2365</v>
      </c>
      <c r="AC681" s="813" t="s">
        <v>2365</v>
      </c>
      <c r="AD681" s="813" t="s">
        <v>2365</v>
      </c>
      <c r="AE681" s="813" t="s">
        <v>2365</v>
      </c>
      <c r="AF681" t="s">
        <v>2365</v>
      </c>
      <c r="AG681" t="s">
        <v>2365</v>
      </c>
      <c r="AH681" t="s">
        <v>2365</v>
      </c>
      <c r="AI681" t="s">
        <v>2365</v>
      </c>
      <c r="AJ681" t="s">
        <v>2365</v>
      </c>
      <c r="AK681" t="s">
        <v>2365</v>
      </c>
      <c r="AL681" t="s">
        <v>2365</v>
      </c>
      <c r="AM681" t="s">
        <v>2365</v>
      </c>
      <c r="AN681" t="s">
        <v>2365</v>
      </c>
      <c r="AR681" t="s">
        <v>2365</v>
      </c>
      <c r="AS681" t="s">
        <v>2365</v>
      </c>
      <c r="AT681" t="s">
        <v>2365</v>
      </c>
      <c r="AU681" t="s">
        <v>2365</v>
      </c>
      <c r="AV681" t="s">
        <v>2365</v>
      </c>
      <c r="AW681" t="s">
        <v>2365</v>
      </c>
      <c r="AX681" t="s">
        <v>2365</v>
      </c>
      <c r="AY681" t="s">
        <v>2365</v>
      </c>
      <c r="AZ681" t="s">
        <v>2365</v>
      </c>
      <c r="BA681" t="s">
        <v>2365</v>
      </c>
      <c r="BB681" t="s">
        <v>2365</v>
      </c>
      <c r="BC681" t="s">
        <v>2365</v>
      </c>
      <c r="BD681" t="s">
        <v>2366</v>
      </c>
      <c r="BE681" t="s">
        <v>2365</v>
      </c>
      <c r="BF681" t="s">
        <v>2365</v>
      </c>
      <c r="BG681" t="s">
        <v>2365</v>
      </c>
      <c r="BH681" t="s">
        <v>2365</v>
      </c>
      <c r="BI681" t="s">
        <v>2366</v>
      </c>
      <c r="BJ681" t="s">
        <v>2365</v>
      </c>
      <c r="BK681" t="s">
        <v>2365</v>
      </c>
      <c r="BL681" t="s">
        <v>2365</v>
      </c>
      <c r="BM681" t="s">
        <v>2365</v>
      </c>
      <c r="BO681">
        <v>1</v>
      </c>
      <c r="BP681">
        <v>14</v>
      </c>
      <c r="BQ681" t="s">
        <v>2369</v>
      </c>
      <c r="BR681" t="s">
        <v>1486</v>
      </c>
      <c r="BU681">
        <v>450000</v>
      </c>
      <c r="BV681">
        <v>0</v>
      </c>
      <c r="BW681">
        <v>450000</v>
      </c>
      <c r="BX681">
        <v>-150000</v>
      </c>
      <c r="BY681">
        <v>300000</v>
      </c>
      <c r="BZ681">
        <v>477000</v>
      </c>
      <c r="CA681">
        <v>505620</v>
      </c>
      <c r="CB681">
        <v>38473.11</v>
      </c>
      <c r="CC681">
        <v>0</v>
      </c>
      <c r="CD681">
        <v>24171.46</v>
      </c>
      <c r="CE681">
        <v>1129.7</v>
      </c>
      <c r="CF681">
        <v>49311.7</v>
      </c>
      <c r="CG681">
        <v>38892.07</v>
      </c>
      <c r="CH681">
        <v>37487.82</v>
      </c>
      <c r="CI681">
        <v>0</v>
      </c>
      <c r="CJ681">
        <v>30987.22</v>
      </c>
      <c r="CK681">
        <v>0</v>
      </c>
      <c r="CL681">
        <v>0</v>
      </c>
      <c r="CM681">
        <v>0</v>
      </c>
      <c r="CR681" t="s">
        <v>2344</v>
      </c>
      <c r="CS681" s="1369" t="str">
        <f>INDEX([8]Sheet1!$H:$H,MATCH(CR:CR,[8]Sheet1!$AU:$AU,0))</f>
        <v>Legal Services</v>
      </c>
    </row>
    <row r="682" spans="1:97" x14ac:dyDescent="0.2">
      <c r="A682" t="s">
        <v>3281</v>
      </c>
      <c r="B682">
        <v>735</v>
      </c>
      <c r="C682" t="s">
        <v>3281</v>
      </c>
      <c r="D682">
        <v>41345</v>
      </c>
      <c r="E682" t="s">
        <v>3282</v>
      </c>
      <c r="F682">
        <v>2700</v>
      </c>
      <c r="G682" t="s">
        <v>656</v>
      </c>
      <c r="H682" t="s">
        <v>2428</v>
      </c>
      <c r="I682" t="s">
        <v>1800</v>
      </c>
      <c r="J682">
        <v>2701</v>
      </c>
      <c r="K682" t="s">
        <v>1800</v>
      </c>
      <c r="L682">
        <v>1200</v>
      </c>
      <c r="M682" t="s">
        <v>1480</v>
      </c>
      <c r="N682">
        <v>1210</v>
      </c>
      <c r="O682" t="s">
        <v>998</v>
      </c>
      <c r="P682" t="s">
        <v>2366</v>
      </c>
      <c r="Q682" t="s">
        <v>2364</v>
      </c>
      <c r="R682" t="s">
        <v>2364</v>
      </c>
      <c r="S682" t="s">
        <v>1881</v>
      </c>
      <c r="T682" t="s">
        <v>1812</v>
      </c>
      <c r="U682" t="s">
        <v>2365</v>
      </c>
      <c r="V682" t="s">
        <v>2365</v>
      </c>
      <c r="W682" t="s">
        <v>2365</v>
      </c>
      <c r="X682" t="s">
        <v>2365</v>
      </c>
      <c r="Y682" t="s">
        <v>2365</v>
      </c>
      <c r="Z682" t="s">
        <v>2365</v>
      </c>
      <c r="AA682" t="s">
        <v>2365</v>
      </c>
      <c r="AB682" t="s">
        <v>2365</v>
      </c>
      <c r="AC682" s="813" t="s">
        <v>2365</v>
      </c>
      <c r="AD682" s="813" t="s">
        <v>2365</v>
      </c>
      <c r="AE682" s="813" t="s">
        <v>2365</v>
      </c>
      <c r="AF682" t="s">
        <v>2365</v>
      </c>
      <c r="AG682" t="s">
        <v>2365</v>
      </c>
      <c r="AH682" t="s">
        <v>2365</v>
      </c>
      <c r="AI682" t="s">
        <v>2365</v>
      </c>
      <c r="AJ682" t="s">
        <v>2365</v>
      </c>
      <c r="AK682" t="s">
        <v>2365</v>
      </c>
      <c r="AL682" t="s">
        <v>2365</v>
      </c>
      <c r="AM682" t="s">
        <v>2365</v>
      </c>
      <c r="AN682" t="s">
        <v>2365</v>
      </c>
      <c r="AR682" t="s">
        <v>2365</v>
      </c>
      <c r="AS682" t="s">
        <v>2365</v>
      </c>
      <c r="AT682" t="s">
        <v>2365</v>
      </c>
      <c r="AU682" t="s">
        <v>2365</v>
      </c>
      <c r="AV682" t="s">
        <v>2365</v>
      </c>
      <c r="AW682" t="s">
        <v>2365</v>
      </c>
      <c r="AX682" t="s">
        <v>2365</v>
      </c>
      <c r="AY682" t="s">
        <v>2365</v>
      </c>
      <c r="AZ682" t="s">
        <v>2365</v>
      </c>
      <c r="BA682" t="s">
        <v>2365</v>
      </c>
      <c r="BB682" t="s">
        <v>2365</v>
      </c>
      <c r="BC682" t="s">
        <v>2365</v>
      </c>
      <c r="BD682" t="s">
        <v>2366</v>
      </c>
      <c r="BE682" t="s">
        <v>2365</v>
      </c>
      <c r="BF682" t="s">
        <v>2365</v>
      </c>
      <c r="BG682" t="s">
        <v>2365</v>
      </c>
      <c r="BH682" t="s">
        <v>2365</v>
      </c>
      <c r="BI682" t="s">
        <v>2366</v>
      </c>
      <c r="BJ682" t="s">
        <v>2365</v>
      </c>
      <c r="BK682" t="s">
        <v>2365</v>
      </c>
      <c r="BL682" t="s">
        <v>2365</v>
      </c>
      <c r="BM682" t="s">
        <v>2365</v>
      </c>
      <c r="BO682">
        <v>1</v>
      </c>
      <c r="BP682">
        <v>16</v>
      </c>
      <c r="BQ682" t="s">
        <v>2369</v>
      </c>
      <c r="BR682" t="s">
        <v>998</v>
      </c>
      <c r="BU682">
        <v>1100000</v>
      </c>
      <c r="BV682">
        <v>0</v>
      </c>
      <c r="BW682">
        <v>1100000</v>
      </c>
      <c r="BX682">
        <v>0</v>
      </c>
      <c r="BY682">
        <v>1100000</v>
      </c>
      <c r="BZ682">
        <v>1144000</v>
      </c>
      <c r="CA682">
        <v>1189760</v>
      </c>
      <c r="CB682">
        <v>82608.789999999994</v>
      </c>
      <c r="CC682">
        <v>0</v>
      </c>
      <c r="CD682">
        <v>26000</v>
      </c>
      <c r="CE682">
        <v>59740</v>
      </c>
      <c r="CF682">
        <v>0</v>
      </c>
      <c r="CG682">
        <v>53075</v>
      </c>
      <c r="CH682">
        <v>0</v>
      </c>
      <c r="CI682">
        <v>101773.91</v>
      </c>
      <c r="CJ682">
        <v>0</v>
      </c>
      <c r="CK682">
        <v>0</v>
      </c>
      <c r="CL682">
        <v>0</v>
      </c>
      <c r="CM682">
        <v>0</v>
      </c>
      <c r="CR682" t="s">
        <v>2344</v>
      </c>
      <c r="CS682" s="1369" t="str">
        <f>INDEX([8]Sheet1!$H:$H,MATCH(CR:CR,[8]Sheet1!$AU:$AU,0))</f>
        <v>Legal Services</v>
      </c>
    </row>
    <row r="683" spans="1:97" x14ac:dyDescent="0.2">
      <c r="A683" t="s">
        <v>3283</v>
      </c>
      <c r="B683">
        <v>736</v>
      </c>
      <c r="C683" t="s">
        <v>3283</v>
      </c>
      <c r="D683">
        <v>41346</v>
      </c>
      <c r="E683" t="s">
        <v>3284</v>
      </c>
      <c r="F683">
        <v>2700</v>
      </c>
      <c r="G683" t="s">
        <v>656</v>
      </c>
      <c r="H683" t="s">
        <v>2664</v>
      </c>
      <c r="I683" t="s">
        <v>1801</v>
      </c>
      <c r="J683">
        <v>2702</v>
      </c>
      <c r="K683" t="s">
        <v>1801</v>
      </c>
      <c r="L683">
        <v>1200</v>
      </c>
      <c r="M683" t="s">
        <v>1480</v>
      </c>
      <c r="N683">
        <v>1210</v>
      </c>
      <c r="O683" t="s">
        <v>998</v>
      </c>
      <c r="P683" t="s">
        <v>2366</v>
      </c>
      <c r="Q683" t="s">
        <v>2364</v>
      </c>
      <c r="R683" t="s">
        <v>2364</v>
      </c>
      <c r="S683" t="s">
        <v>1881</v>
      </c>
      <c r="T683" t="s">
        <v>1812</v>
      </c>
      <c r="U683" t="s">
        <v>2365</v>
      </c>
      <c r="V683" t="s">
        <v>2365</v>
      </c>
      <c r="W683" t="s">
        <v>2365</v>
      </c>
      <c r="X683" t="s">
        <v>2365</v>
      </c>
      <c r="Y683" t="s">
        <v>2365</v>
      </c>
      <c r="Z683" t="s">
        <v>2365</v>
      </c>
      <c r="AA683" t="s">
        <v>2365</v>
      </c>
      <c r="AB683" t="s">
        <v>2365</v>
      </c>
      <c r="AC683" s="813" t="s">
        <v>2365</v>
      </c>
      <c r="AD683" s="813" t="s">
        <v>2365</v>
      </c>
      <c r="AE683" s="813" t="s">
        <v>2365</v>
      </c>
      <c r="AF683" t="s">
        <v>2365</v>
      </c>
      <c r="AG683" t="s">
        <v>2365</v>
      </c>
      <c r="AH683" t="s">
        <v>2365</v>
      </c>
      <c r="AI683" t="s">
        <v>2365</v>
      </c>
      <c r="AJ683" t="s">
        <v>2365</v>
      </c>
      <c r="AK683" t="s">
        <v>2365</v>
      </c>
      <c r="AL683" t="s">
        <v>2365</v>
      </c>
      <c r="AM683" t="s">
        <v>2365</v>
      </c>
      <c r="AN683" t="s">
        <v>2365</v>
      </c>
      <c r="AR683" t="s">
        <v>2365</v>
      </c>
      <c r="AS683" t="s">
        <v>2365</v>
      </c>
      <c r="AT683" t="s">
        <v>2365</v>
      </c>
      <c r="AU683" t="s">
        <v>2365</v>
      </c>
      <c r="AV683" t="s">
        <v>2365</v>
      </c>
      <c r="AW683" t="s">
        <v>2365</v>
      </c>
      <c r="AX683" t="s">
        <v>2365</v>
      </c>
      <c r="AY683" t="s">
        <v>2365</v>
      </c>
      <c r="AZ683" t="s">
        <v>2365</v>
      </c>
      <c r="BA683" t="s">
        <v>2365</v>
      </c>
      <c r="BB683" t="s">
        <v>2365</v>
      </c>
      <c r="BC683" t="s">
        <v>2365</v>
      </c>
      <c r="BD683" t="s">
        <v>2366</v>
      </c>
      <c r="BE683" t="s">
        <v>2365</v>
      </c>
      <c r="BF683" t="s">
        <v>2365</v>
      </c>
      <c r="BG683" t="s">
        <v>2365</v>
      </c>
      <c r="BH683" t="s">
        <v>2365</v>
      </c>
      <c r="BI683" t="s">
        <v>2366</v>
      </c>
      <c r="BJ683" t="s">
        <v>2365</v>
      </c>
      <c r="BK683" t="s">
        <v>2365</v>
      </c>
      <c r="BL683" t="s">
        <v>2365</v>
      </c>
      <c r="BM683" t="s">
        <v>2365</v>
      </c>
      <c r="BO683">
        <v>1</v>
      </c>
      <c r="BP683">
        <v>16</v>
      </c>
      <c r="BQ683" t="s">
        <v>2369</v>
      </c>
      <c r="BR683" t="s">
        <v>998</v>
      </c>
      <c r="BU683">
        <v>0</v>
      </c>
      <c r="BV683">
        <v>0</v>
      </c>
      <c r="BW683">
        <v>0</v>
      </c>
      <c r="BX683">
        <v>0</v>
      </c>
      <c r="BY683">
        <v>0</v>
      </c>
      <c r="BZ683">
        <v>0</v>
      </c>
      <c r="CA683">
        <v>0</v>
      </c>
      <c r="CB683">
        <v>0</v>
      </c>
      <c r="CC683">
        <v>0</v>
      </c>
      <c r="CD683">
        <v>0</v>
      </c>
      <c r="CE683">
        <v>0</v>
      </c>
      <c r="CF683">
        <v>0</v>
      </c>
      <c r="CG683">
        <v>0</v>
      </c>
      <c r="CH683">
        <v>0</v>
      </c>
      <c r="CI683">
        <v>0</v>
      </c>
      <c r="CJ683">
        <v>0</v>
      </c>
      <c r="CK683">
        <v>0</v>
      </c>
      <c r="CL683">
        <v>0</v>
      </c>
      <c r="CM683">
        <v>0</v>
      </c>
      <c r="CR683" t="s">
        <v>2344</v>
      </c>
      <c r="CS683" s="1369" t="str">
        <f>INDEX([8]Sheet1!$H:$H,MATCH(CR:CR,[8]Sheet1!$AU:$AU,0))</f>
        <v>Legal Services</v>
      </c>
    </row>
    <row r="684" spans="1:97" x14ac:dyDescent="0.2">
      <c r="A684" t="s">
        <v>3285</v>
      </c>
      <c r="B684">
        <v>737</v>
      </c>
      <c r="C684" t="s">
        <v>3285</v>
      </c>
      <c r="D684">
        <v>41347</v>
      </c>
      <c r="E684" t="s">
        <v>3286</v>
      </c>
      <c r="F684">
        <v>2700</v>
      </c>
      <c r="G684" t="s">
        <v>656</v>
      </c>
      <c r="H684" t="s">
        <v>2478</v>
      </c>
      <c r="I684" t="s">
        <v>1802</v>
      </c>
      <c r="J684">
        <v>2703</v>
      </c>
      <c r="K684" t="s">
        <v>1802</v>
      </c>
      <c r="L684">
        <v>1200</v>
      </c>
      <c r="M684" t="s">
        <v>1480</v>
      </c>
      <c r="N684">
        <v>1210</v>
      </c>
      <c r="O684" t="s">
        <v>998</v>
      </c>
      <c r="P684" t="s">
        <v>2366</v>
      </c>
      <c r="Q684" t="s">
        <v>2364</v>
      </c>
      <c r="R684" t="s">
        <v>2364</v>
      </c>
      <c r="S684" t="s">
        <v>1881</v>
      </c>
      <c r="T684" t="s">
        <v>1812</v>
      </c>
      <c r="U684" t="s">
        <v>2365</v>
      </c>
      <c r="V684" t="s">
        <v>2365</v>
      </c>
      <c r="W684" t="s">
        <v>2365</v>
      </c>
      <c r="X684" t="s">
        <v>2365</v>
      </c>
      <c r="Y684" t="s">
        <v>2365</v>
      </c>
      <c r="Z684" t="s">
        <v>2365</v>
      </c>
      <c r="AA684" t="s">
        <v>2365</v>
      </c>
      <c r="AB684" t="s">
        <v>2365</v>
      </c>
      <c r="AC684" s="813" t="s">
        <v>2365</v>
      </c>
      <c r="AD684" s="813" t="s">
        <v>2365</v>
      </c>
      <c r="AE684" s="813" t="s">
        <v>2365</v>
      </c>
      <c r="AF684" t="s">
        <v>2365</v>
      </c>
      <c r="AG684" t="s">
        <v>2365</v>
      </c>
      <c r="AH684" t="s">
        <v>2365</v>
      </c>
      <c r="AI684" t="s">
        <v>2365</v>
      </c>
      <c r="AJ684" t="s">
        <v>2365</v>
      </c>
      <c r="AK684" t="s">
        <v>2365</v>
      </c>
      <c r="AL684" t="s">
        <v>2365</v>
      </c>
      <c r="AM684" t="s">
        <v>2365</v>
      </c>
      <c r="AN684" t="s">
        <v>2365</v>
      </c>
      <c r="AR684" t="s">
        <v>2365</v>
      </c>
      <c r="AS684" t="s">
        <v>2365</v>
      </c>
      <c r="AT684" t="s">
        <v>2365</v>
      </c>
      <c r="AU684" t="s">
        <v>2365</v>
      </c>
      <c r="AV684" t="s">
        <v>2365</v>
      </c>
      <c r="AW684" t="s">
        <v>2365</v>
      </c>
      <c r="AX684" t="s">
        <v>2365</v>
      </c>
      <c r="AY684" t="s">
        <v>2365</v>
      </c>
      <c r="AZ684" t="s">
        <v>2365</v>
      </c>
      <c r="BA684" t="s">
        <v>2365</v>
      </c>
      <c r="BB684" t="s">
        <v>2365</v>
      </c>
      <c r="BC684" t="s">
        <v>2365</v>
      </c>
      <c r="BD684" t="s">
        <v>2366</v>
      </c>
      <c r="BE684" t="s">
        <v>2365</v>
      </c>
      <c r="BF684" t="s">
        <v>2365</v>
      </c>
      <c r="BG684" t="s">
        <v>2365</v>
      </c>
      <c r="BH684" t="s">
        <v>2365</v>
      </c>
      <c r="BI684" t="s">
        <v>2366</v>
      </c>
      <c r="BJ684" t="s">
        <v>2365</v>
      </c>
      <c r="BK684" t="s">
        <v>2365</v>
      </c>
      <c r="BL684" t="s">
        <v>2365</v>
      </c>
      <c r="BM684" t="s">
        <v>2365</v>
      </c>
      <c r="BO684">
        <v>1</v>
      </c>
      <c r="BP684">
        <v>16</v>
      </c>
      <c r="BQ684" t="s">
        <v>2369</v>
      </c>
      <c r="BR684" t="s">
        <v>998</v>
      </c>
      <c r="BU684">
        <v>0</v>
      </c>
      <c r="BV684">
        <v>0</v>
      </c>
      <c r="BW684">
        <v>0</v>
      </c>
      <c r="BX684">
        <v>0</v>
      </c>
      <c r="BY684">
        <v>0</v>
      </c>
      <c r="BZ684">
        <v>0</v>
      </c>
      <c r="CA684">
        <v>0</v>
      </c>
      <c r="CB684">
        <v>0</v>
      </c>
      <c r="CC684">
        <v>0</v>
      </c>
      <c r="CD684">
        <v>0</v>
      </c>
      <c r="CE684">
        <v>0</v>
      </c>
      <c r="CF684">
        <v>0</v>
      </c>
      <c r="CG684">
        <v>0</v>
      </c>
      <c r="CH684">
        <v>0</v>
      </c>
      <c r="CI684">
        <v>0</v>
      </c>
      <c r="CJ684">
        <v>0</v>
      </c>
      <c r="CK684">
        <v>0</v>
      </c>
      <c r="CL684">
        <v>0</v>
      </c>
      <c r="CM684">
        <v>0</v>
      </c>
      <c r="CR684" t="s">
        <v>2344</v>
      </c>
      <c r="CS684" s="1369" t="str">
        <f>INDEX([8]Sheet1!$H:$H,MATCH(CR:CR,[8]Sheet1!$AU:$AU,0))</f>
        <v>Legal Services</v>
      </c>
    </row>
    <row r="685" spans="1:97" x14ac:dyDescent="0.2">
      <c r="A685" t="s">
        <v>3287</v>
      </c>
      <c r="B685">
        <v>738</v>
      </c>
      <c r="C685" t="s">
        <v>3287</v>
      </c>
      <c r="D685">
        <v>41348</v>
      </c>
      <c r="E685" t="s">
        <v>3010</v>
      </c>
      <c r="F685">
        <v>2700</v>
      </c>
      <c r="G685" t="s">
        <v>656</v>
      </c>
      <c r="H685" t="s">
        <v>2428</v>
      </c>
      <c r="I685" t="s">
        <v>1800</v>
      </c>
      <c r="J685">
        <v>2701</v>
      </c>
      <c r="K685" t="s">
        <v>1800</v>
      </c>
      <c r="L685">
        <v>1200</v>
      </c>
      <c r="M685" t="s">
        <v>1480</v>
      </c>
      <c r="N685">
        <v>1204</v>
      </c>
      <c r="O685" t="s">
        <v>1487</v>
      </c>
      <c r="P685" t="s">
        <v>2366</v>
      </c>
      <c r="Q685" t="s">
        <v>2364</v>
      </c>
      <c r="R685" t="s">
        <v>2364</v>
      </c>
      <c r="S685" t="s">
        <v>1881</v>
      </c>
      <c r="T685" t="s">
        <v>1812</v>
      </c>
      <c r="U685" t="s">
        <v>2365</v>
      </c>
      <c r="V685" t="s">
        <v>2365</v>
      </c>
      <c r="W685" t="s">
        <v>2365</v>
      </c>
      <c r="X685" t="s">
        <v>2365</v>
      </c>
      <c r="Y685" t="s">
        <v>2365</v>
      </c>
      <c r="Z685" t="s">
        <v>2365</v>
      </c>
      <c r="AA685" t="s">
        <v>2365</v>
      </c>
      <c r="AB685" t="s">
        <v>2365</v>
      </c>
      <c r="AC685" s="813" t="s">
        <v>2365</v>
      </c>
      <c r="AD685" s="813" t="s">
        <v>2365</v>
      </c>
      <c r="AE685" s="813" t="s">
        <v>2365</v>
      </c>
      <c r="AF685" t="s">
        <v>2365</v>
      </c>
      <c r="AG685" t="s">
        <v>2365</v>
      </c>
      <c r="AH685" t="s">
        <v>2365</v>
      </c>
      <c r="AI685" t="s">
        <v>2365</v>
      </c>
      <c r="AJ685" t="s">
        <v>2365</v>
      </c>
      <c r="AK685" t="s">
        <v>2365</v>
      </c>
      <c r="AL685" t="s">
        <v>2365</v>
      </c>
      <c r="AM685" t="s">
        <v>2365</v>
      </c>
      <c r="AN685" t="s">
        <v>2365</v>
      </c>
      <c r="AR685" t="s">
        <v>2365</v>
      </c>
      <c r="AS685" t="s">
        <v>2365</v>
      </c>
      <c r="AT685" t="s">
        <v>2365</v>
      </c>
      <c r="AU685" t="s">
        <v>2365</v>
      </c>
      <c r="AV685" t="s">
        <v>2365</v>
      </c>
      <c r="AW685" t="s">
        <v>2365</v>
      </c>
      <c r="AX685" t="s">
        <v>2365</v>
      </c>
      <c r="AY685" t="s">
        <v>2365</v>
      </c>
      <c r="AZ685" t="s">
        <v>2365</v>
      </c>
      <c r="BA685" t="s">
        <v>2365</v>
      </c>
      <c r="BB685" t="s">
        <v>2365</v>
      </c>
      <c r="BC685" t="s">
        <v>2365</v>
      </c>
      <c r="BD685" t="s">
        <v>2366</v>
      </c>
      <c r="BE685" t="s">
        <v>2365</v>
      </c>
      <c r="BF685" t="s">
        <v>2365</v>
      </c>
      <c r="BG685" t="s">
        <v>2365</v>
      </c>
      <c r="BH685" t="s">
        <v>2365</v>
      </c>
      <c r="BI685" t="s">
        <v>2366</v>
      </c>
      <c r="BJ685" t="s">
        <v>2365</v>
      </c>
      <c r="BK685" t="s">
        <v>2365</v>
      </c>
      <c r="BL685" t="s">
        <v>2365</v>
      </c>
      <c r="BM685" t="s">
        <v>2365</v>
      </c>
      <c r="BO685">
        <v>1</v>
      </c>
      <c r="BP685">
        <v>11</v>
      </c>
      <c r="BQ685" t="s">
        <v>2369</v>
      </c>
      <c r="BR685" t="s">
        <v>1487</v>
      </c>
      <c r="BU685">
        <v>1400000</v>
      </c>
      <c r="BV685">
        <v>0</v>
      </c>
      <c r="BW685">
        <v>1400000</v>
      </c>
      <c r="BX685">
        <v>0</v>
      </c>
      <c r="BY685">
        <v>1400000</v>
      </c>
      <c r="BZ685">
        <v>1540000</v>
      </c>
      <c r="CA685">
        <v>1694000</v>
      </c>
      <c r="CB685">
        <v>0</v>
      </c>
      <c r="CC685">
        <v>9086.9599999999991</v>
      </c>
      <c r="CD685">
        <v>19956.13</v>
      </c>
      <c r="CE685">
        <v>95721.12</v>
      </c>
      <c r="CF685">
        <v>0</v>
      </c>
      <c r="CG685">
        <v>0</v>
      </c>
      <c r="CH685">
        <v>940971.04</v>
      </c>
      <c r="CI685">
        <v>26240.48</v>
      </c>
      <c r="CJ685">
        <v>24414.26</v>
      </c>
      <c r="CK685">
        <v>0</v>
      </c>
      <c r="CL685">
        <v>0</v>
      </c>
      <c r="CM685">
        <v>0</v>
      </c>
      <c r="CR685" t="s">
        <v>2319</v>
      </c>
      <c r="CS685" s="1369" t="str">
        <f>INDEX([8]Sheet1!$H:$H,MATCH(CR:CR,[8]Sheet1!$AU:$AU,0))</f>
        <v>Mayor and Council</v>
      </c>
    </row>
    <row r="686" spans="1:97" x14ac:dyDescent="0.2">
      <c r="A686" t="s">
        <v>3288</v>
      </c>
      <c r="B686">
        <v>739</v>
      </c>
      <c r="C686" t="s">
        <v>3288</v>
      </c>
      <c r="D686">
        <v>41349</v>
      </c>
      <c r="E686" t="s">
        <v>2427</v>
      </c>
      <c r="F686">
        <v>2700</v>
      </c>
      <c r="G686" t="s">
        <v>656</v>
      </c>
      <c r="H686" t="s">
        <v>2428</v>
      </c>
      <c r="I686" t="s">
        <v>1800</v>
      </c>
      <c r="J686">
        <v>2701</v>
      </c>
      <c r="K686" t="s">
        <v>1800</v>
      </c>
      <c r="L686">
        <v>1200</v>
      </c>
      <c r="M686" t="s">
        <v>1480</v>
      </c>
      <c r="N686">
        <v>1210</v>
      </c>
      <c r="O686" t="s">
        <v>998</v>
      </c>
      <c r="P686" t="s">
        <v>2366</v>
      </c>
      <c r="Q686" t="s">
        <v>2364</v>
      </c>
      <c r="R686" t="s">
        <v>2364</v>
      </c>
      <c r="S686" t="s">
        <v>1881</v>
      </c>
      <c r="T686" t="s">
        <v>1812</v>
      </c>
      <c r="U686" t="s">
        <v>2365</v>
      </c>
      <c r="V686" t="s">
        <v>2365</v>
      </c>
      <c r="W686" t="s">
        <v>2365</v>
      </c>
      <c r="X686" t="s">
        <v>2365</v>
      </c>
      <c r="Y686" t="s">
        <v>2365</v>
      </c>
      <c r="Z686" t="s">
        <v>2365</v>
      </c>
      <c r="AA686" t="s">
        <v>2365</v>
      </c>
      <c r="AB686" t="s">
        <v>2365</v>
      </c>
      <c r="AC686" s="813" t="s">
        <v>2365</v>
      </c>
      <c r="AD686" s="813" t="s">
        <v>2365</v>
      </c>
      <c r="AE686" s="813" t="s">
        <v>2365</v>
      </c>
      <c r="AF686" t="s">
        <v>2365</v>
      </c>
      <c r="AG686" t="s">
        <v>2365</v>
      </c>
      <c r="AH686" t="s">
        <v>2365</v>
      </c>
      <c r="AI686" t="s">
        <v>2365</v>
      </c>
      <c r="AJ686" t="s">
        <v>2365</v>
      </c>
      <c r="AK686" t="s">
        <v>2365</v>
      </c>
      <c r="AL686" t="s">
        <v>2365</v>
      </c>
      <c r="AM686" t="s">
        <v>2365</v>
      </c>
      <c r="AN686" t="s">
        <v>2365</v>
      </c>
      <c r="AR686" t="s">
        <v>2365</v>
      </c>
      <c r="AS686" t="s">
        <v>2365</v>
      </c>
      <c r="AT686" t="s">
        <v>2365</v>
      </c>
      <c r="AU686" t="s">
        <v>2365</v>
      </c>
      <c r="AV686" t="s">
        <v>2365</v>
      </c>
      <c r="AW686" t="s">
        <v>2365</v>
      </c>
      <c r="AX686" t="s">
        <v>2365</v>
      </c>
      <c r="AY686" t="s">
        <v>2365</v>
      </c>
      <c r="AZ686" t="s">
        <v>2365</v>
      </c>
      <c r="BA686" t="s">
        <v>2365</v>
      </c>
      <c r="BB686" t="s">
        <v>2365</v>
      </c>
      <c r="BC686" t="s">
        <v>2365</v>
      </c>
      <c r="BD686" t="s">
        <v>2366</v>
      </c>
      <c r="BE686" t="s">
        <v>2365</v>
      </c>
      <c r="BF686" t="s">
        <v>2365</v>
      </c>
      <c r="BG686" t="s">
        <v>2365</v>
      </c>
      <c r="BH686" t="s">
        <v>2365</v>
      </c>
      <c r="BI686" t="s">
        <v>2366</v>
      </c>
      <c r="BJ686" t="s">
        <v>2365</v>
      </c>
      <c r="BK686" t="s">
        <v>2365</v>
      </c>
      <c r="BL686" t="s">
        <v>2365</v>
      </c>
      <c r="BM686" t="s">
        <v>2365</v>
      </c>
      <c r="BO686">
        <v>1</v>
      </c>
      <c r="BP686">
        <v>16</v>
      </c>
      <c r="BQ686" t="s">
        <v>2369</v>
      </c>
      <c r="BR686" t="s">
        <v>998</v>
      </c>
      <c r="BU686">
        <v>0</v>
      </c>
      <c r="BV686">
        <v>0</v>
      </c>
      <c r="BW686">
        <v>0</v>
      </c>
      <c r="BX686">
        <v>0</v>
      </c>
      <c r="BY686">
        <v>0</v>
      </c>
      <c r="BZ686">
        <v>0</v>
      </c>
      <c r="CA686">
        <v>0</v>
      </c>
      <c r="CB686">
        <v>0</v>
      </c>
      <c r="CC686">
        <v>0</v>
      </c>
      <c r="CD686">
        <v>0</v>
      </c>
      <c r="CE686">
        <v>0</v>
      </c>
      <c r="CF686">
        <v>0</v>
      </c>
      <c r="CG686">
        <v>0</v>
      </c>
      <c r="CH686">
        <v>0</v>
      </c>
      <c r="CI686">
        <v>0</v>
      </c>
      <c r="CJ686">
        <v>0</v>
      </c>
      <c r="CK686">
        <v>0</v>
      </c>
      <c r="CL686">
        <v>0</v>
      </c>
      <c r="CM686">
        <v>0</v>
      </c>
      <c r="CR686" t="s">
        <v>2319</v>
      </c>
      <c r="CS686" s="1369" t="str">
        <f>INDEX([8]Sheet1!$H:$H,MATCH(CR:CR,[8]Sheet1!$AU:$AU,0))</f>
        <v>Mayor and Council</v>
      </c>
    </row>
    <row r="687" spans="1:97" x14ac:dyDescent="0.2">
      <c r="A687" t="s">
        <v>3289</v>
      </c>
      <c r="B687">
        <v>740</v>
      </c>
      <c r="C687" t="s">
        <v>3289</v>
      </c>
      <c r="D687">
        <v>41350</v>
      </c>
      <c r="E687" t="s">
        <v>2430</v>
      </c>
      <c r="F687">
        <v>2700</v>
      </c>
      <c r="G687" t="s">
        <v>656</v>
      </c>
      <c r="H687" t="s">
        <v>2428</v>
      </c>
      <c r="I687" t="s">
        <v>1800</v>
      </c>
      <c r="J687">
        <v>2701</v>
      </c>
      <c r="K687" t="s">
        <v>1800</v>
      </c>
      <c r="L687">
        <v>1200</v>
      </c>
      <c r="M687" t="s">
        <v>1480</v>
      </c>
      <c r="N687">
        <v>1210</v>
      </c>
      <c r="O687" t="s">
        <v>998</v>
      </c>
      <c r="P687" t="s">
        <v>2366</v>
      </c>
      <c r="Q687" t="s">
        <v>2364</v>
      </c>
      <c r="R687" t="s">
        <v>2364</v>
      </c>
      <c r="S687" t="s">
        <v>1881</v>
      </c>
      <c r="T687" t="s">
        <v>1812</v>
      </c>
      <c r="U687" t="s">
        <v>2365</v>
      </c>
      <c r="V687" t="s">
        <v>2365</v>
      </c>
      <c r="W687" t="s">
        <v>2365</v>
      </c>
      <c r="X687" t="s">
        <v>2365</v>
      </c>
      <c r="Y687" t="s">
        <v>2365</v>
      </c>
      <c r="Z687" t="s">
        <v>2365</v>
      </c>
      <c r="AA687" t="s">
        <v>2365</v>
      </c>
      <c r="AB687" t="s">
        <v>2365</v>
      </c>
      <c r="AC687" s="813" t="s">
        <v>2365</v>
      </c>
      <c r="AD687" s="813" t="s">
        <v>2365</v>
      </c>
      <c r="AE687" s="813" t="s">
        <v>2365</v>
      </c>
      <c r="AF687" t="s">
        <v>2365</v>
      </c>
      <c r="AG687" t="s">
        <v>2365</v>
      </c>
      <c r="AH687" t="s">
        <v>2365</v>
      </c>
      <c r="AI687" t="s">
        <v>2365</v>
      </c>
      <c r="AJ687" t="s">
        <v>2365</v>
      </c>
      <c r="AK687" t="s">
        <v>2365</v>
      </c>
      <c r="AL687" t="s">
        <v>2365</v>
      </c>
      <c r="AM687" t="s">
        <v>2365</v>
      </c>
      <c r="AN687" t="s">
        <v>2365</v>
      </c>
      <c r="AR687" t="s">
        <v>2365</v>
      </c>
      <c r="AS687" t="s">
        <v>2365</v>
      </c>
      <c r="AT687" t="s">
        <v>2365</v>
      </c>
      <c r="AU687" t="s">
        <v>2365</v>
      </c>
      <c r="AV687" t="s">
        <v>2365</v>
      </c>
      <c r="AW687" t="s">
        <v>2365</v>
      </c>
      <c r="AX687" t="s">
        <v>2365</v>
      </c>
      <c r="AY687" t="s">
        <v>2365</v>
      </c>
      <c r="AZ687" t="s">
        <v>2365</v>
      </c>
      <c r="BA687" t="s">
        <v>2365</v>
      </c>
      <c r="BB687" t="s">
        <v>2365</v>
      </c>
      <c r="BC687" t="s">
        <v>2365</v>
      </c>
      <c r="BD687" t="s">
        <v>2366</v>
      </c>
      <c r="BE687" t="s">
        <v>2365</v>
      </c>
      <c r="BF687" t="s">
        <v>2365</v>
      </c>
      <c r="BG687" t="s">
        <v>2365</v>
      </c>
      <c r="BH687" t="s">
        <v>2365</v>
      </c>
      <c r="BI687" t="s">
        <v>2366</v>
      </c>
      <c r="BJ687" t="s">
        <v>2365</v>
      </c>
      <c r="BK687" t="s">
        <v>2365</v>
      </c>
      <c r="BL687" t="s">
        <v>2365</v>
      </c>
      <c r="BM687" t="s">
        <v>2365</v>
      </c>
      <c r="BO687">
        <v>1</v>
      </c>
      <c r="BP687">
        <v>16</v>
      </c>
      <c r="BQ687" t="s">
        <v>2369</v>
      </c>
      <c r="BR687" t="s">
        <v>998</v>
      </c>
      <c r="BU687">
        <v>0</v>
      </c>
      <c r="BV687">
        <v>0</v>
      </c>
      <c r="BW687">
        <v>0</v>
      </c>
      <c r="BX687">
        <v>0</v>
      </c>
      <c r="BY687">
        <v>0</v>
      </c>
      <c r="BZ687">
        <v>0</v>
      </c>
      <c r="CA687">
        <v>0</v>
      </c>
      <c r="CB687">
        <v>0</v>
      </c>
      <c r="CC687">
        <v>0</v>
      </c>
      <c r="CD687">
        <v>0</v>
      </c>
      <c r="CE687">
        <v>0</v>
      </c>
      <c r="CF687">
        <v>0</v>
      </c>
      <c r="CG687">
        <v>0</v>
      </c>
      <c r="CH687">
        <v>0</v>
      </c>
      <c r="CI687">
        <v>0</v>
      </c>
      <c r="CJ687">
        <v>0</v>
      </c>
      <c r="CK687">
        <v>0</v>
      </c>
      <c r="CL687">
        <v>0</v>
      </c>
      <c r="CM687">
        <v>0</v>
      </c>
      <c r="CR687" t="s">
        <v>2319</v>
      </c>
      <c r="CS687" s="1369" t="str">
        <f>INDEX([8]Sheet1!$H:$H,MATCH(CR:CR,[8]Sheet1!$AU:$AU,0))</f>
        <v>Mayor and Council</v>
      </c>
    </row>
    <row r="688" spans="1:97" x14ac:dyDescent="0.2">
      <c r="A688" t="s">
        <v>3290</v>
      </c>
      <c r="B688">
        <v>741</v>
      </c>
      <c r="C688" t="s">
        <v>3290</v>
      </c>
      <c r="D688">
        <v>41351</v>
      </c>
      <c r="E688" t="s">
        <v>3192</v>
      </c>
      <c r="F688">
        <v>2700</v>
      </c>
      <c r="G688" t="s">
        <v>656</v>
      </c>
      <c r="H688" t="s">
        <v>2664</v>
      </c>
      <c r="I688" t="s">
        <v>1801</v>
      </c>
      <c r="J688">
        <v>2702</v>
      </c>
      <c r="K688" t="s">
        <v>1801</v>
      </c>
      <c r="L688">
        <v>1200</v>
      </c>
      <c r="M688" t="s">
        <v>1480</v>
      </c>
      <c r="N688">
        <v>1210</v>
      </c>
      <c r="O688" t="s">
        <v>998</v>
      </c>
      <c r="P688" t="s">
        <v>2366</v>
      </c>
      <c r="Q688" t="s">
        <v>2364</v>
      </c>
      <c r="R688" t="s">
        <v>2364</v>
      </c>
      <c r="S688" t="s">
        <v>1881</v>
      </c>
      <c r="T688" t="s">
        <v>1812</v>
      </c>
      <c r="U688" t="s">
        <v>2365</v>
      </c>
      <c r="V688" t="s">
        <v>2365</v>
      </c>
      <c r="W688" t="s">
        <v>2365</v>
      </c>
      <c r="X688" t="s">
        <v>2365</v>
      </c>
      <c r="Y688" t="s">
        <v>2365</v>
      </c>
      <c r="Z688" t="s">
        <v>2365</v>
      </c>
      <c r="AA688" t="s">
        <v>2365</v>
      </c>
      <c r="AB688" t="s">
        <v>2365</v>
      </c>
      <c r="AC688" s="813" t="s">
        <v>2365</v>
      </c>
      <c r="AD688" s="813" t="s">
        <v>2365</v>
      </c>
      <c r="AE688" s="813" t="s">
        <v>2365</v>
      </c>
      <c r="AF688" t="s">
        <v>2365</v>
      </c>
      <c r="AG688" t="s">
        <v>2365</v>
      </c>
      <c r="AH688" t="s">
        <v>2365</v>
      </c>
      <c r="AI688" t="s">
        <v>2365</v>
      </c>
      <c r="AJ688" t="s">
        <v>2365</v>
      </c>
      <c r="AK688" t="s">
        <v>2365</v>
      </c>
      <c r="AL688" t="s">
        <v>2365</v>
      </c>
      <c r="AM688" t="s">
        <v>2365</v>
      </c>
      <c r="AN688" t="s">
        <v>2365</v>
      </c>
      <c r="AR688" t="s">
        <v>2365</v>
      </c>
      <c r="AS688" t="s">
        <v>2365</v>
      </c>
      <c r="AT688" t="s">
        <v>2365</v>
      </c>
      <c r="AU688" t="s">
        <v>2365</v>
      </c>
      <c r="AV688" t="s">
        <v>2365</v>
      </c>
      <c r="AW688" t="s">
        <v>2365</v>
      </c>
      <c r="AX688" t="s">
        <v>2365</v>
      </c>
      <c r="AY688" t="s">
        <v>2365</v>
      </c>
      <c r="AZ688" t="s">
        <v>2365</v>
      </c>
      <c r="BA688" t="s">
        <v>2365</v>
      </c>
      <c r="BB688" t="s">
        <v>2365</v>
      </c>
      <c r="BC688" t="s">
        <v>2365</v>
      </c>
      <c r="BD688" t="s">
        <v>2366</v>
      </c>
      <c r="BE688" t="s">
        <v>2365</v>
      </c>
      <c r="BF688" t="s">
        <v>2365</v>
      </c>
      <c r="BG688" t="s">
        <v>2365</v>
      </c>
      <c r="BH688" t="s">
        <v>2365</v>
      </c>
      <c r="BI688" t="s">
        <v>2366</v>
      </c>
      <c r="BJ688" t="s">
        <v>2365</v>
      </c>
      <c r="BK688" t="s">
        <v>2365</v>
      </c>
      <c r="BL688" t="s">
        <v>2365</v>
      </c>
      <c r="BM688" t="s">
        <v>2365</v>
      </c>
      <c r="BO688">
        <v>1</v>
      </c>
      <c r="BP688">
        <v>16</v>
      </c>
      <c r="BQ688" t="s">
        <v>2369</v>
      </c>
      <c r="BR688" t="s">
        <v>998</v>
      </c>
      <c r="BU688">
        <v>0</v>
      </c>
      <c r="BV688">
        <v>0</v>
      </c>
      <c r="BW688">
        <v>0</v>
      </c>
      <c r="BX688">
        <v>0</v>
      </c>
      <c r="BY688">
        <v>0</v>
      </c>
      <c r="BZ688">
        <v>0</v>
      </c>
      <c r="CA688">
        <v>0</v>
      </c>
      <c r="CB688">
        <v>0</v>
      </c>
      <c r="CC688">
        <v>0</v>
      </c>
      <c r="CD688">
        <v>0</v>
      </c>
      <c r="CE688">
        <v>0</v>
      </c>
      <c r="CF688">
        <v>0</v>
      </c>
      <c r="CG688">
        <v>0</v>
      </c>
      <c r="CH688">
        <v>0</v>
      </c>
      <c r="CI688">
        <v>0</v>
      </c>
      <c r="CJ688">
        <v>0</v>
      </c>
      <c r="CK688">
        <v>0</v>
      </c>
      <c r="CL688">
        <v>0</v>
      </c>
      <c r="CM688">
        <v>0</v>
      </c>
      <c r="CR688" t="s">
        <v>2319</v>
      </c>
      <c r="CS688" s="1369" t="str">
        <f>INDEX([8]Sheet1!$H:$H,MATCH(CR:CR,[8]Sheet1!$AU:$AU,0))</f>
        <v>Mayor and Council</v>
      </c>
    </row>
    <row r="689" spans="1:97" x14ac:dyDescent="0.2">
      <c r="A689" t="s">
        <v>3291</v>
      </c>
      <c r="B689">
        <v>742</v>
      </c>
      <c r="C689" t="s">
        <v>3291</v>
      </c>
      <c r="D689">
        <v>41352</v>
      </c>
      <c r="E689" t="s">
        <v>3292</v>
      </c>
      <c r="F689">
        <v>2900</v>
      </c>
      <c r="G689" t="s">
        <v>569</v>
      </c>
      <c r="H689" t="s">
        <v>2366</v>
      </c>
      <c r="I689" t="s">
        <v>2366</v>
      </c>
      <c r="J689">
        <v>2904</v>
      </c>
      <c r="K689" t="s">
        <v>1432</v>
      </c>
      <c r="L689">
        <v>1200</v>
      </c>
      <c r="M689" t="s">
        <v>1480</v>
      </c>
      <c r="N689">
        <v>1204</v>
      </c>
      <c r="O689" t="s">
        <v>1487</v>
      </c>
      <c r="P689" t="s">
        <v>2366</v>
      </c>
      <c r="Q689" t="s">
        <v>2364</v>
      </c>
      <c r="R689" t="s">
        <v>2364</v>
      </c>
      <c r="S689" t="s">
        <v>1881</v>
      </c>
      <c r="T689" t="s">
        <v>1812</v>
      </c>
      <c r="U689" t="s">
        <v>2365</v>
      </c>
      <c r="V689" t="s">
        <v>2365</v>
      </c>
      <c r="W689" t="s">
        <v>2365</v>
      </c>
      <c r="X689" t="s">
        <v>2365</v>
      </c>
      <c r="Y689" t="s">
        <v>2365</v>
      </c>
      <c r="Z689" t="s">
        <v>2365</v>
      </c>
      <c r="AA689" t="s">
        <v>2365</v>
      </c>
      <c r="AB689" t="s">
        <v>2365</v>
      </c>
      <c r="AC689" s="813" t="s">
        <v>2365</v>
      </c>
      <c r="AD689" s="813" t="s">
        <v>2365</v>
      </c>
      <c r="AE689" s="813" t="s">
        <v>2365</v>
      </c>
      <c r="AF689" t="s">
        <v>2365</v>
      </c>
      <c r="AG689" t="s">
        <v>2365</v>
      </c>
      <c r="AH689" t="s">
        <v>2365</v>
      </c>
      <c r="AI689" t="s">
        <v>2365</v>
      </c>
      <c r="AJ689" t="s">
        <v>2365</v>
      </c>
      <c r="AK689" t="s">
        <v>2365</v>
      </c>
      <c r="AL689" t="s">
        <v>2365</v>
      </c>
      <c r="AM689" t="s">
        <v>2365</v>
      </c>
      <c r="AN689" t="s">
        <v>2365</v>
      </c>
      <c r="AR689" t="s">
        <v>2365</v>
      </c>
      <c r="AS689" t="s">
        <v>2365</v>
      </c>
      <c r="AT689" t="s">
        <v>2365</v>
      </c>
      <c r="AU689" t="s">
        <v>2365</v>
      </c>
      <c r="AV689" t="s">
        <v>2365</v>
      </c>
      <c r="AW689" t="s">
        <v>2365</v>
      </c>
      <c r="AX689" t="s">
        <v>2365</v>
      </c>
      <c r="AY689" t="s">
        <v>2365</v>
      </c>
      <c r="AZ689" t="s">
        <v>2365</v>
      </c>
      <c r="BA689" t="s">
        <v>2365</v>
      </c>
      <c r="BB689" t="s">
        <v>2365</v>
      </c>
      <c r="BC689" t="s">
        <v>2365</v>
      </c>
      <c r="BD689" t="s">
        <v>2366</v>
      </c>
      <c r="BE689" t="s">
        <v>2365</v>
      </c>
      <c r="BF689" t="s">
        <v>2365</v>
      </c>
      <c r="BG689" t="s">
        <v>2365</v>
      </c>
      <c r="BH689" t="s">
        <v>2365</v>
      </c>
      <c r="BI689" t="s">
        <v>2366</v>
      </c>
      <c r="BJ689" t="s">
        <v>2365</v>
      </c>
      <c r="BK689" t="s">
        <v>2365</v>
      </c>
      <c r="BL689" t="s">
        <v>2365</v>
      </c>
      <c r="BM689" t="s">
        <v>2365</v>
      </c>
      <c r="BO689">
        <v>1</v>
      </c>
      <c r="BP689">
        <v>11</v>
      </c>
      <c r="BQ689" t="s">
        <v>2369</v>
      </c>
      <c r="BR689" t="s">
        <v>1487</v>
      </c>
      <c r="BU689">
        <v>214543</v>
      </c>
      <c r="BV689">
        <v>0</v>
      </c>
      <c r="BW689">
        <v>214543</v>
      </c>
      <c r="BX689">
        <v>0</v>
      </c>
      <c r="BY689">
        <v>214543</v>
      </c>
      <c r="BZ689">
        <v>235997</v>
      </c>
      <c r="CA689">
        <v>259597</v>
      </c>
      <c r="CB689">
        <v>19954.36</v>
      </c>
      <c r="CC689">
        <v>24927.47</v>
      </c>
      <c r="CD689">
        <v>932.11000000000058</v>
      </c>
      <c r="CE689">
        <v>29421.19</v>
      </c>
      <c r="CF689">
        <v>16488.939999999999</v>
      </c>
      <c r="CG689">
        <v>16098.86</v>
      </c>
      <c r="CH689">
        <v>15708.259999999998</v>
      </c>
      <c r="CI689">
        <v>3801.0999999999995</v>
      </c>
      <c r="CJ689">
        <v>0</v>
      </c>
      <c r="CK689">
        <v>0</v>
      </c>
      <c r="CL689">
        <v>0</v>
      </c>
      <c r="CM689">
        <v>0</v>
      </c>
      <c r="CR689" t="s">
        <v>2319</v>
      </c>
      <c r="CS689" s="1369" t="str">
        <f>INDEX([8]Sheet1!$H:$H,MATCH(CR:CR,[8]Sheet1!$AU:$AU,0))</f>
        <v>Mayor and Council</v>
      </c>
    </row>
    <row r="690" spans="1:97" x14ac:dyDescent="0.2">
      <c r="A690" t="s">
        <v>3293</v>
      </c>
      <c r="B690">
        <v>743</v>
      </c>
      <c r="C690" t="s">
        <v>3293</v>
      </c>
      <c r="D690">
        <v>41353</v>
      </c>
      <c r="E690" t="s">
        <v>3294</v>
      </c>
      <c r="F690">
        <v>2900</v>
      </c>
      <c r="G690" t="s">
        <v>569</v>
      </c>
      <c r="H690" s="1373" t="s">
        <v>2366</v>
      </c>
      <c r="I690" t="s">
        <v>2366</v>
      </c>
      <c r="J690">
        <v>2904</v>
      </c>
      <c r="K690" t="s">
        <v>1432</v>
      </c>
      <c r="L690" s="1373">
        <v>1200</v>
      </c>
      <c r="M690" t="s">
        <v>1480</v>
      </c>
      <c r="N690">
        <v>1204</v>
      </c>
      <c r="O690" t="s">
        <v>1487</v>
      </c>
      <c r="P690" t="s">
        <v>2366</v>
      </c>
      <c r="Q690" t="s">
        <v>2364</v>
      </c>
      <c r="R690" t="s">
        <v>2364</v>
      </c>
      <c r="S690" t="s">
        <v>1881</v>
      </c>
      <c r="T690" t="s">
        <v>1812</v>
      </c>
      <c r="U690" t="s">
        <v>2365</v>
      </c>
      <c r="V690" t="s">
        <v>2365</v>
      </c>
      <c r="W690" t="s">
        <v>2365</v>
      </c>
      <c r="X690" t="s">
        <v>2365</v>
      </c>
      <c r="Y690" t="s">
        <v>2365</v>
      </c>
      <c r="Z690" t="s">
        <v>2365</v>
      </c>
      <c r="AA690" t="s">
        <v>2365</v>
      </c>
      <c r="AB690" t="s">
        <v>2365</v>
      </c>
      <c r="AC690" s="813" t="s">
        <v>2365</v>
      </c>
      <c r="AD690" s="813" t="s">
        <v>2365</v>
      </c>
      <c r="AE690" s="813" t="s">
        <v>2365</v>
      </c>
      <c r="AF690" t="s">
        <v>2365</v>
      </c>
      <c r="AG690" t="s">
        <v>2365</v>
      </c>
      <c r="AH690" t="s">
        <v>2365</v>
      </c>
      <c r="AI690" t="s">
        <v>2365</v>
      </c>
      <c r="AJ690" t="s">
        <v>2365</v>
      </c>
      <c r="AK690" t="s">
        <v>2365</v>
      </c>
      <c r="AL690" t="s">
        <v>2365</v>
      </c>
      <c r="AM690" t="s">
        <v>2365</v>
      </c>
      <c r="AN690" t="s">
        <v>2365</v>
      </c>
      <c r="AR690" t="s">
        <v>2365</v>
      </c>
      <c r="AS690" t="s">
        <v>2365</v>
      </c>
      <c r="AT690" t="s">
        <v>2365</v>
      </c>
      <c r="AU690" t="s">
        <v>2365</v>
      </c>
      <c r="AV690" t="s">
        <v>2365</v>
      </c>
      <c r="AW690" t="s">
        <v>2365</v>
      </c>
      <c r="AX690" t="s">
        <v>2365</v>
      </c>
      <c r="AY690" t="s">
        <v>2365</v>
      </c>
      <c r="AZ690" t="s">
        <v>2365</v>
      </c>
      <c r="BA690" t="s">
        <v>2365</v>
      </c>
      <c r="BB690" t="s">
        <v>2365</v>
      </c>
      <c r="BC690" t="s">
        <v>2365</v>
      </c>
      <c r="BD690" t="s">
        <v>2366</v>
      </c>
      <c r="BE690" t="s">
        <v>2365</v>
      </c>
      <c r="BF690" t="s">
        <v>2365</v>
      </c>
      <c r="BG690" t="s">
        <v>2365</v>
      </c>
      <c r="BH690" t="s">
        <v>2365</v>
      </c>
      <c r="BI690" t="s">
        <v>2366</v>
      </c>
      <c r="BJ690" t="s">
        <v>2365</v>
      </c>
      <c r="BK690" t="s">
        <v>2365</v>
      </c>
      <c r="BL690" t="s">
        <v>2365</v>
      </c>
      <c r="BM690" t="s">
        <v>2365</v>
      </c>
      <c r="BO690">
        <v>1</v>
      </c>
      <c r="BP690">
        <v>11</v>
      </c>
      <c r="BQ690" t="s">
        <v>2369</v>
      </c>
      <c r="BR690" t="s">
        <v>1487</v>
      </c>
      <c r="BU690" s="1371">
        <v>0</v>
      </c>
      <c r="BV690" s="1371">
        <v>0</v>
      </c>
      <c r="BW690" s="1371">
        <v>0</v>
      </c>
      <c r="BX690" s="1371">
        <v>0</v>
      </c>
      <c r="BY690" s="1371">
        <v>0</v>
      </c>
      <c r="BZ690">
        <v>0</v>
      </c>
      <c r="CA690">
        <v>0</v>
      </c>
      <c r="CB690">
        <v>0</v>
      </c>
      <c r="CC690">
        <v>0</v>
      </c>
      <c r="CD690">
        <v>0</v>
      </c>
      <c r="CE690">
        <v>0</v>
      </c>
      <c r="CF690">
        <v>0</v>
      </c>
      <c r="CG690">
        <v>0</v>
      </c>
      <c r="CH690">
        <v>0</v>
      </c>
      <c r="CI690">
        <v>0</v>
      </c>
      <c r="CJ690">
        <v>0</v>
      </c>
      <c r="CK690">
        <v>0</v>
      </c>
      <c r="CL690">
        <v>0</v>
      </c>
      <c r="CM690">
        <v>0</v>
      </c>
      <c r="CR690" t="s">
        <v>2319</v>
      </c>
      <c r="CS690" s="1369" t="str">
        <f>INDEX([8]Sheet1!$H:$H,MATCH(CR:CR,[8]Sheet1!$AU:$AU,0))</f>
        <v>Mayor and Council</v>
      </c>
    </row>
    <row r="691" spans="1:97" x14ac:dyDescent="0.2">
      <c r="A691" t="s">
        <v>3295</v>
      </c>
      <c r="B691">
        <v>744</v>
      </c>
      <c r="C691" t="s">
        <v>3295</v>
      </c>
      <c r="D691">
        <v>41354</v>
      </c>
      <c r="E691" t="s">
        <v>3296</v>
      </c>
      <c r="F691">
        <v>2400</v>
      </c>
      <c r="G691" t="s">
        <v>567</v>
      </c>
      <c r="H691">
        <v>2400</v>
      </c>
      <c r="I691" t="s">
        <v>567</v>
      </c>
      <c r="J691" t="s">
        <v>2365</v>
      </c>
      <c r="K691" t="s">
        <v>2365</v>
      </c>
      <c r="L691">
        <v>1200</v>
      </c>
      <c r="M691" t="s">
        <v>1480</v>
      </c>
      <c r="N691">
        <v>1204</v>
      </c>
      <c r="O691" t="s">
        <v>1487</v>
      </c>
      <c r="P691" t="s">
        <v>2366</v>
      </c>
      <c r="Q691" t="s">
        <v>2364</v>
      </c>
      <c r="R691" t="s">
        <v>2364</v>
      </c>
      <c r="S691" t="s">
        <v>1881</v>
      </c>
      <c r="T691" t="s">
        <v>1812</v>
      </c>
      <c r="U691" t="s">
        <v>2365</v>
      </c>
      <c r="V691" t="s">
        <v>2365</v>
      </c>
      <c r="W691" t="s">
        <v>2365</v>
      </c>
      <c r="X691" t="s">
        <v>2365</v>
      </c>
      <c r="Y691" t="s">
        <v>2365</v>
      </c>
      <c r="Z691" t="s">
        <v>2365</v>
      </c>
      <c r="AA691" t="s">
        <v>2365</v>
      </c>
      <c r="AB691" t="s">
        <v>2365</v>
      </c>
      <c r="AC691" s="813" t="s">
        <v>2365</v>
      </c>
      <c r="AD691" s="813" t="s">
        <v>2365</v>
      </c>
      <c r="AE691" s="813" t="s">
        <v>2365</v>
      </c>
      <c r="AF691" t="s">
        <v>2365</v>
      </c>
      <c r="AG691" t="s">
        <v>2365</v>
      </c>
      <c r="AH691" t="s">
        <v>2365</v>
      </c>
      <c r="AI691" t="s">
        <v>2365</v>
      </c>
      <c r="AJ691" t="s">
        <v>2365</v>
      </c>
      <c r="AK691" t="s">
        <v>2365</v>
      </c>
      <c r="AL691" t="s">
        <v>2365</v>
      </c>
      <c r="AM691" t="s">
        <v>2365</v>
      </c>
      <c r="AN691" t="s">
        <v>2365</v>
      </c>
      <c r="AR691" t="s">
        <v>2365</v>
      </c>
      <c r="AS691" t="s">
        <v>2365</v>
      </c>
      <c r="AT691" t="s">
        <v>2365</v>
      </c>
      <c r="AU691" t="s">
        <v>2365</v>
      </c>
      <c r="AV691" t="s">
        <v>2365</v>
      </c>
      <c r="AW691" t="s">
        <v>2365</v>
      </c>
      <c r="AX691" t="s">
        <v>2365</v>
      </c>
      <c r="AY691" t="s">
        <v>2365</v>
      </c>
      <c r="AZ691" t="s">
        <v>2365</v>
      </c>
      <c r="BA691" t="s">
        <v>2365</v>
      </c>
      <c r="BB691" t="s">
        <v>2365</v>
      </c>
      <c r="BC691" t="s">
        <v>2365</v>
      </c>
      <c r="BD691" t="s">
        <v>2366</v>
      </c>
      <c r="BE691" t="s">
        <v>2365</v>
      </c>
      <c r="BF691" t="s">
        <v>2365</v>
      </c>
      <c r="BG691" t="s">
        <v>2365</v>
      </c>
      <c r="BH691" t="s">
        <v>2365</v>
      </c>
      <c r="BI691" t="s">
        <v>2366</v>
      </c>
      <c r="BJ691" t="s">
        <v>2365</v>
      </c>
      <c r="BK691" t="s">
        <v>2365</v>
      </c>
      <c r="BL691" t="s">
        <v>2365</v>
      </c>
      <c r="BM691" t="s">
        <v>2365</v>
      </c>
      <c r="BO691">
        <v>1</v>
      </c>
      <c r="BP691">
        <v>11</v>
      </c>
      <c r="BQ691" t="s">
        <v>2369</v>
      </c>
      <c r="BR691" t="s">
        <v>1487</v>
      </c>
      <c r="BU691">
        <v>0</v>
      </c>
      <c r="BV691">
        <v>0</v>
      </c>
      <c r="BW691">
        <v>0</v>
      </c>
      <c r="BX691">
        <v>0</v>
      </c>
      <c r="BY691">
        <v>0</v>
      </c>
      <c r="BZ691">
        <v>0</v>
      </c>
      <c r="CA691">
        <v>0</v>
      </c>
      <c r="CB691">
        <v>123.28</v>
      </c>
      <c r="CC691">
        <v>0</v>
      </c>
      <c r="CD691">
        <v>3912.23</v>
      </c>
      <c r="CE691">
        <v>170.32000000000002</v>
      </c>
      <c r="CF691">
        <v>0</v>
      </c>
      <c r="CG691">
        <v>0</v>
      </c>
      <c r="CH691">
        <v>251.34000000000003</v>
      </c>
      <c r="CI691">
        <v>357.05</v>
      </c>
      <c r="CJ691">
        <v>0</v>
      </c>
      <c r="CK691">
        <v>0</v>
      </c>
      <c r="CL691">
        <v>0</v>
      </c>
      <c r="CM691">
        <v>0</v>
      </c>
      <c r="CR691" t="s">
        <v>2319</v>
      </c>
      <c r="CS691" s="1369" t="str">
        <f>INDEX([8]Sheet1!$H:$H,MATCH(CR:CR,[8]Sheet1!$AU:$AU,0))</f>
        <v>Mayor and Council</v>
      </c>
    </row>
    <row r="692" spans="1:97" x14ac:dyDescent="0.2">
      <c r="A692" t="s">
        <v>3297</v>
      </c>
      <c r="B692">
        <v>745</v>
      </c>
      <c r="C692" t="s">
        <v>3297</v>
      </c>
      <c r="D692">
        <v>41355</v>
      </c>
      <c r="E692" t="s">
        <v>2562</v>
      </c>
      <c r="F692">
        <v>2000</v>
      </c>
      <c r="G692" t="s">
        <v>652</v>
      </c>
      <c r="H692" t="s">
        <v>2563</v>
      </c>
      <c r="I692" t="s">
        <v>1160</v>
      </c>
      <c r="J692">
        <v>2012</v>
      </c>
      <c r="K692" t="s">
        <v>1160</v>
      </c>
      <c r="L692">
        <v>1200</v>
      </c>
      <c r="M692" t="s">
        <v>1480</v>
      </c>
      <c r="N692">
        <v>1204</v>
      </c>
      <c r="O692" t="s">
        <v>1487</v>
      </c>
      <c r="P692" t="s">
        <v>2366</v>
      </c>
      <c r="Q692" t="s">
        <v>2364</v>
      </c>
      <c r="R692" t="s">
        <v>2364</v>
      </c>
      <c r="S692" t="s">
        <v>1881</v>
      </c>
      <c r="T692" t="s">
        <v>1812</v>
      </c>
      <c r="U692" t="s">
        <v>2365</v>
      </c>
      <c r="V692" t="s">
        <v>2365</v>
      </c>
      <c r="W692" t="s">
        <v>2365</v>
      </c>
      <c r="X692" t="s">
        <v>2365</v>
      </c>
      <c r="Y692" t="s">
        <v>2365</v>
      </c>
      <c r="Z692" t="s">
        <v>2365</v>
      </c>
      <c r="AA692" t="s">
        <v>2365</v>
      </c>
      <c r="AB692" t="s">
        <v>2365</v>
      </c>
      <c r="AC692" s="813" t="s">
        <v>2365</v>
      </c>
      <c r="AD692" s="813" t="s">
        <v>2365</v>
      </c>
      <c r="AE692" s="813" t="s">
        <v>2365</v>
      </c>
      <c r="AF692" t="s">
        <v>2365</v>
      </c>
      <c r="AG692" t="s">
        <v>2365</v>
      </c>
      <c r="AH692" t="s">
        <v>2365</v>
      </c>
      <c r="AI692" t="s">
        <v>2365</v>
      </c>
      <c r="AJ692" t="s">
        <v>2365</v>
      </c>
      <c r="AK692" t="s">
        <v>2365</v>
      </c>
      <c r="AL692" t="s">
        <v>2365</v>
      </c>
      <c r="AM692" t="s">
        <v>2365</v>
      </c>
      <c r="AN692" t="s">
        <v>2365</v>
      </c>
      <c r="AR692" t="s">
        <v>2365</v>
      </c>
      <c r="AS692" t="s">
        <v>2365</v>
      </c>
      <c r="AT692" t="s">
        <v>2365</v>
      </c>
      <c r="AU692" t="s">
        <v>2365</v>
      </c>
      <c r="AV692" t="s">
        <v>2365</v>
      </c>
      <c r="AW692" t="s">
        <v>2365</v>
      </c>
      <c r="AX692" t="s">
        <v>2365</v>
      </c>
      <c r="AY692" t="s">
        <v>2365</v>
      </c>
      <c r="AZ692" t="s">
        <v>2365</v>
      </c>
      <c r="BA692" t="s">
        <v>2365</v>
      </c>
      <c r="BB692" t="s">
        <v>2365</v>
      </c>
      <c r="BC692" t="s">
        <v>2365</v>
      </c>
      <c r="BD692" t="s">
        <v>2366</v>
      </c>
      <c r="BE692" t="s">
        <v>2365</v>
      </c>
      <c r="BF692" t="s">
        <v>2365</v>
      </c>
      <c r="BG692" t="s">
        <v>2365</v>
      </c>
      <c r="BH692" t="s">
        <v>2365</v>
      </c>
      <c r="BI692" t="s">
        <v>2366</v>
      </c>
      <c r="BJ692" t="s">
        <v>2365</v>
      </c>
      <c r="BK692" t="s">
        <v>2365</v>
      </c>
      <c r="BL692" t="s">
        <v>2365</v>
      </c>
      <c r="BM692" t="s">
        <v>2365</v>
      </c>
      <c r="BN692" t="s">
        <v>2177</v>
      </c>
      <c r="BO692">
        <v>1</v>
      </c>
      <c r="BP692">
        <v>11</v>
      </c>
      <c r="BQ692" t="s">
        <v>2369</v>
      </c>
      <c r="BR692" t="s">
        <v>1487</v>
      </c>
      <c r="BU692">
        <v>0</v>
      </c>
      <c r="BV692">
        <v>0</v>
      </c>
      <c r="BW692">
        <v>0</v>
      </c>
      <c r="BX692">
        <v>5000</v>
      </c>
      <c r="BY692">
        <v>5000</v>
      </c>
      <c r="BZ692">
        <v>0</v>
      </c>
      <c r="CA692">
        <v>0</v>
      </c>
      <c r="CB692">
        <v>0</v>
      </c>
      <c r="CC692">
        <v>2321.65</v>
      </c>
      <c r="CD692">
        <v>0</v>
      </c>
      <c r="CE692">
        <v>0</v>
      </c>
      <c r="CF692">
        <v>0</v>
      </c>
      <c r="CG692">
        <v>0</v>
      </c>
      <c r="CH692">
        <v>0</v>
      </c>
      <c r="CI692">
        <v>0</v>
      </c>
      <c r="CJ692">
        <v>0</v>
      </c>
      <c r="CK692">
        <v>0</v>
      </c>
      <c r="CL692">
        <v>0</v>
      </c>
      <c r="CM692">
        <v>0</v>
      </c>
      <c r="CR692" t="s">
        <v>2319</v>
      </c>
      <c r="CS692" s="1369" t="str">
        <f>INDEX([8]Sheet1!$H:$H,MATCH(CR:CR,[8]Sheet1!$AU:$AU,0))</f>
        <v>Mayor and Council</v>
      </c>
    </row>
    <row r="693" spans="1:97" x14ac:dyDescent="0.2">
      <c r="A693" t="s">
        <v>3298</v>
      </c>
      <c r="B693">
        <v>746</v>
      </c>
      <c r="C693" t="s">
        <v>3298</v>
      </c>
      <c r="D693">
        <v>41356</v>
      </c>
      <c r="E693" t="s">
        <v>3242</v>
      </c>
      <c r="F693">
        <v>2700</v>
      </c>
      <c r="G693" t="s">
        <v>656</v>
      </c>
      <c r="H693" t="s">
        <v>2428</v>
      </c>
      <c r="I693" t="s">
        <v>1800</v>
      </c>
      <c r="J693">
        <v>2701</v>
      </c>
      <c r="K693" t="s">
        <v>1800</v>
      </c>
      <c r="L693">
        <v>1200</v>
      </c>
      <c r="M693" t="s">
        <v>1480</v>
      </c>
      <c r="N693">
        <v>1204</v>
      </c>
      <c r="O693" t="s">
        <v>1487</v>
      </c>
      <c r="P693" t="s">
        <v>2366</v>
      </c>
      <c r="Q693" t="s">
        <v>2364</v>
      </c>
      <c r="R693" t="s">
        <v>2364</v>
      </c>
      <c r="S693" t="s">
        <v>1881</v>
      </c>
      <c r="T693" t="s">
        <v>1812</v>
      </c>
      <c r="U693" t="s">
        <v>2365</v>
      </c>
      <c r="V693" t="s">
        <v>2365</v>
      </c>
      <c r="W693" t="s">
        <v>2365</v>
      </c>
      <c r="X693" t="s">
        <v>2365</v>
      </c>
      <c r="Y693" t="s">
        <v>2365</v>
      </c>
      <c r="Z693" t="s">
        <v>2365</v>
      </c>
      <c r="AA693" t="s">
        <v>2365</v>
      </c>
      <c r="AB693" t="s">
        <v>2365</v>
      </c>
      <c r="AC693" s="813" t="s">
        <v>2365</v>
      </c>
      <c r="AD693" s="813" t="s">
        <v>2365</v>
      </c>
      <c r="AE693" s="813" t="s">
        <v>2365</v>
      </c>
      <c r="AF693" t="s">
        <v>2365</v>
      </c>
      <c r="AG693" t="s">
        <v>2365</v>
      </c>
      <c r="AH693" t="s">
        <v>2365</v>
      </c>
      <c r="AI693" t="s">
        <v>2365</v>
      </c>
      <c r="AJ693" t="s">
        <v>2365</v>
      </c>
      <c r="AK693" t="s">
        <v>2365</v>
      </c>
      <c r="AL693" t="s">
        <v>2365</v>
      </c>
      <c r="AM693" t="s">
        <v>2365</v>
      </c>
      <c r="AN693" t="s">
        <v>2365</v>
      </c>
      <c r="AR693" t="s">
        <v>2365</v>
      </c>
      <c r="AS693" t="s">
        <v>2365</v>
      </c>
      <c r="AT693" t="s">
        <v>2365</v>
      </c>
      <c r="AU693" t="s">
        <v>2365</v>
      </c>
      <c r="AV693" t="s">
        <v>2365</v>
      </c>
      <c r="AW693" t="s">
        <v>2365</v>
      </c>
      <c r="AX693" t="s">
        <v>2365</v>
      </c>
      <c r="AY693" t="s">
        <v>2365</v>
      </c>
      <c r="AZ693" t="s">
        <v>2365</v>
      </c>
      <c r="BA693" t="s">
        <v>2365</v>
      </c>
      <c r="BB693" t="s">
        <v>2365</v>
      </c>
      <c r="BC693" t="s">
        <v>2365</v>
      </c>
      <c r="BD693" t="s">
        <v>2366</v>
      </c>
      <c r="BE693" t="s">
        <v>2365</v>
      </c>
      <c r="BF693" t="s">
        <v>2365</v>
      </c>
      <c r="BG693" t="s">
        <v>2365</v>
      </c>
      <c r="BH693" t="s">
        <v>2365</v>
      </c>
      <c r="BI693" t="s">
        <v>2366</v>
      </c>
      <c r="BJ693" t="s">
        <v>2365</v>
      </c>
      <c r="BK693" t="s">
        <v>2365</v>
      </c>
      <c r="BL693" t="s">
        <v>2365</v>
      </c>
      <c r="BM693" t="s">
        <v>2365</v>
      </c>
      <c r="BO693">
        <v>1</v>
      </c>
      <c r="BP693">
        <v>11</v>
      </c>
      <c r="BQ693" t="s">
        <v>2369</v>
      </c>
      <c r="BR693" t="s">
        <v>1487</v>
      </c>
      <c r="BU693">
        <v>73337</v>
      </c>
      <c r="BV693">
        <v>0</v>
      </c>
      <c r="BW693">
        <v>73337</v>
      </c>
      <c r="BX693">
        <v>0</v>
      </c>
      <c r="BY693">
        <v>73337</v>
      </c>
      <c r="BZ693">
        <v>80671</v>
      </c>
      <c r="CA693">
        <v>88738</v>
      </c>
      <c r="CB693">
        <v>0</v>
      </c>
      <c r="CC693">
        <v>0</v>
      </c>
      <c r="CD693">
        <v>0</v>
      </c>
      <c r="CE693">
        <v>0</v>
      </c>
      <c r="CF693">
        <v>0</v>
      </c>
      <c r="CG693">
        <v>0</v>
      </c>
      <c r="CH693">
        <v>0</v>
      </c>
      <c r="CI693">
        <v>0</v>
      </c>
      <c r="CJ693">
        <v>0</v>
      </c>
      <c r="CK693">
        <v>0</v>
      </c>
      <c r="CL693">
        <v>0</v>
      </c>
      <c r="CM693">
        <v>0</v>
      </c>
      <c r="CR693" t="s">
        <v>2319</v>
      </c>
      <c r="CS693" s="1369" t="str">
        <f>INDEX([8]Sheet1!$H:$H,MATCH(CR:CR,[8]Sheet1!$AU:$AU,0))</f>
        <v>Mayor and Council</v>
      </c>
    </row>
    <row r="694" spans="1:97" x14ac:dyDescent="0.2">
      <c r="A694" t="s">
        <v>3299</v>
      </c>
      <c r="B694">
        <v>747</v>
      </c>
      <c r="C694" t="s">
        <v>3299</v>
      </c>
      <c r="D694">
        <v>41357</v>
      </c>
      <c r="E694" t="s">
        <v>3300</v>
      </c>
      <c r="F694">
        <v>2200</v>
      </c>
      <c r="G694" t="s">
        <v>653</v>
      </c>
      <c r="H694">
        <v>2200</v>
      </c>
      <c r="I694" t="s">
        <v>653</v>
      </c>
      <c r="J694" t="s">
        <v>2365</v>
      </c>
      <c r="K694" t="s">
        <v>2365</v>
      </c>
      <c r="L694">
        <v>1200</v>
      </c>
      <c r="M694" t="s">
        <v>1480</v>
      </c>
      <c r="N694">
        <v>1204</v>
      </c>
      <c r="O694" t="s">
        <v>1487</v>
      </c>
      <c r="P694" t="s">
        <v>2366</v>
      </c>
      <c r="Q694" t="s">
        <v>2364</v>
      </c>
      <c r="R694" t="s">
        <v>2364</v>
      </c>
      <c r="S694" t="s">
        <v>1881</v>
      </c>
      <c r="T694" t="s">
        <v>1812</v>
      </c>
      <c r="U694" t="s">
        <v>2365</v>
      </c>
      <c r="V694" t="s">
        <v>2365</v>
      </c>
      <c r="W694" t="s">
        <v>2365</v>
      </c>
      <c r="X694" t="s">
        <v>2365</v>
      </c>
      <c r="Y694" t="s">
        <v>2365</v>
      </c>
      <c r="Z694" t="s">
        <v>2365</v>
      </c>
      <c r="AA694" t="s">
        <v>2365</v>
      </c>
      <c r="AB694" t="s">
        <v>2365</v>
      </c>
      <c r="AC694" s="813" t="s">
        <v>2365</v>
      </c>
      <c r="AD694" s="813" t="s">
        <v>2365</v>
      </c>
      <c r="AE694" s="813" t="s">
        <v>2365</v>
      </c>
      <c r="AF694" t="s">
        <v>2365</v>
      </c>
      <c r="AG694" t="s">
        <v>2365</v>
      </c>
      <c r="AH694" t="s">
        <v>2365</v>
      </c>
      <c r="AI694" t="s">
        <v>2365</v>
      </c>
      <c r="AJ694" t="s">
        <v>2365</v>
      </c>
      <c r="AK694" t="s">
        <v>2365</v>
      </c>
      <c r="AL694" t="s">
        <v>2365</v>
      </c>
      <c r="AM694" t="s">
        <v>2365</v>
      </c>
      <c r="AN694" t="s">
        <v>2365</v>
      </c>
      <c r="AR694" t="s">
        <v>2365</v>
      </c>
      <c r="AS694" t="s">
        <v>2365</v>
      </c>
      <c r="AT694" t="s">
        <v>2365</v>
      </c>
      <c r="AU694" t="s">
        <v>2365</v>
      </c>
      <c r="AV694" t="s">
        <v>2365</v>
      </c>
      <c r="AW694" t="s">
        <v>2365</v>
      </c>
      <c r="AX694" t="s">
        <v>2365</v>
      </c>
      <c r="AY694" t="s">
        <v>2365</v>
      </c>
      <c r="AZ694" t="s">
        <v>2365</v>
      </c>
      <c r="BA694" t="s">
        <v>2365</v>
      </c>
      <c r="BB694" t="s">
        <v>2365</v>
      </c>
      <c r="BC694" t="s">
        <v>2365</v>
      </c>
      <c r="BD694" t="s">
        <v>2366</v>
      </c>
      <c r="BE694" t="s">
        <v>2365</v>
      </c>
      <c r="BF694" t="s">
        <v>2365</v>
      </c>
      <c r="BG694" t="s">
        <v>2365</v>
      </c>
      <c r="BH694" t="s">
        <v>2365</v>
      </c>
      <c r="BI694" t="s">
        <v>2366</v>
      </c>
      <c r="BJ694" t="s">
        <v>2365</v>
      </c>
      <c r="BK694" t="s">
        <v>2365</v>
      </c>
      <c r="BL694" t="s">
        <v>2365</v>
      </c>
      <c r="BM694" t="s">
        <v>2365</v>
      </c>
      <c r="BO694">
        <v>1</v>
      </c>
      <c r="BP694">
        <v>11</v>
      </c>
      <c r="BQ694" t="s">
        <v>2369</v>
      </c>
      <c r="BR694" t="s">
        <v>1487</v>
      </c>
      <c r="BU694">
        <v>3140135</v>
      </c>
      <c r="BV694">
        <v>0</v>
      </c>
      <c r="BW694">
        <v>3140135</v>
      </c>
      <c r="BX694">
        <v>0</v>
      </c>
      <c r="BY694">
        <v>3140135</v>
      </c>
      <c r="BZ694">
        <v>3579753</v>
      </c>
      <c r="CA694">
        <v>4080919</v>
      </c>
      <c r="CB694">
        <v>0</v>
      </c>
      <c r="CC694">
        <v>0</v>
      </c>
      <c r="CD694">
        <v>0</v>
      </c>
      <c r="CE694">
        <v>0</v>
      </c>
      <c r="CF694">
        <v>0</v>
      </c>
      <c r="CG694">
        <v>0</v>
      </c>
      <c r="CH694">
        <v>0</v>
      </c>
      <c r="CI694">
        <v>0</v>
      </c>
      <c r="CJ694">
        <v>0</v>
      </c>
      <c r="CK694">
        <v>0</v>
      </c>
      <c r="CL694">
        <v>0</v>
      </c>
      <c r="CM694">
        <v>0</v>
      </c>
      <c r="CR694" t="s">
        <v>2319</v>
      </c>
      <c r="CS694" s="1369" t="str">
        <f>INDEX([8]Sheet1!$H:$H,MATCH(CR:CR,[8]Sheet1!$AU:$AU,0))</f>
        <v>Mayor and Council</v>
      </c>
    </row>
    <row r="695" spans="1:97" x14ac:dyDescent="0.2">
      <c r="A695" t="s">
        <v>3301</v>
      </c>
      <c r="B695">
        <v>748</v>
      </c>
      <c r="C695" t="s">
        <v>3301</v>
      </c>
      <c r="D695">
        <v>41358</v>
      </c>
      <c r="E695" t="s">
        <v>3302</v>
      </c>
      <c r="F695">
        <v>2700</v>
      </c>
      <c r="G695" t="s">
        <v>656</v>
      </c>
      <c r="H695" t="s">
        <v>2664</v>
      </c>
      <c r="I695" t="s">
        <v>1801</v>
      </c>
      <c r="J695">
        <v>2702</v>
      </c>
      <c r="K695" t="s">
        <v>1801</v>
      </c>
      <c r="L695">
        <v>1200</v>
      </c>
      <c r="M695" t="s">
        <v>1480</v>
      </c>
      <c r="N695">
        <v>1214</v>
      </c>
      <c r="O695" t="s">
        <v>1494</v>
      </c>
      <c r="P695" t="s">
        <v>2366</v>
      </c>
      <c r="Q695" t="s">
        <v>2364</v>
      </c>
      <c r="R695" t="s">
        <v>2364</v>
      </c>
      <c r="S695" t="s">
        <v>1881</v>
      </c>
      <c r="T695" t="s">
        <v>1812</v>
      </c>
      <c r="U695" t="s">
        <v>2365</v>
      </c>
      <c r="V695" t="s">
        <v>2365</v>
      </c>
      <c r="W695" t="s">
        <v>2365</v>
      </c>
      <c r="X695" t="s">
        <v>2365</v>
      </c>
      <c r="Y695" t="s">
        <v>2365</v>
      </c>
      <c r="Z695" t="s">
        <v>2365</v>
      </c>
      <c r="AA695" t="s">
        <v>2365</v>
      </c>
      <c r="AB695" t="s">
        <v>2365</v>
      </c>
      <c r="AC695" s="813" t="s">
        <v>2365</v>
      </c>
      <c r="AD695" s="813" t="s">
        <v>2365</v>
      </c>
      <c r="AE695" s="813" t="s">
        <v>2365</v>
      </c>
      <c r="AF695" t="s">
        <v>2365</v>
      </c>
      <c r="AG695" t="s">
        <v>2365</v>
      </c>
      <c r="AH695" t="s">
        <v>2365</v>
      </c>
      <c r="AI695" t="s">
        <v>2365</v>
      </c>
      <c r="AJ695" t="s">
        <v>2365</v>
      </c>
      <c r="AK695" t="s">
        <v>2365</v>
      </c>
      <c r="AL695" t="s">
        <v>2365</v>
      </c>
      <c r="AM695" t="s">
        <v>2365</v>
      </c>
      <c r="AN695" t="s">
        <v>2365</v>
      </c>
      <c r="AR695" t="s">
        <v>2365</v>
      </c>
      <c r="AS695" t="s">
        <v>2365</v>
      </c>
      <c r="AT695" t="s">
        <v>2365</v>
      </c>
      <c r="AU695" t="s">
        <v>2365</v>
      </c>
      <c r="AV695" t="s">
        <v>2365</v>
      </c>
      <c r="AW695" t="s">
        <v>2365</v>
      </c>
      <c r="AX695" t="s">
        <v>2365</v>
      </c>
      <c r="AY695" t="s">
        <v>2365</v>
      </c>
      <c r="AZ695" t="s">
        <v>2365</v>
      </c>
      <c r="BA695" t="s">
        <v>2365</v>
      </c>
      <c r="BB695" t="s">
        <v>2365</v>
      </c>
      <c r="BC695" t="s">
        <v>2365</v>
      </c>
      <c r="BD695" t="s">
        <v>2366</v>
      </c>
      <c r="BE695" t="s">
        <v>2365</v>
      </c>
      <c r="BF695" t="s">
        <v>2365</v>
      </c>
      <c r="BG695" t="s">
        <v>2365</v>
      </c>
      <c r="BH695" t="s">
        <v>2365</v>
      </c>
      <c r="BI695" t="s">
        <v>2366</v>
      </c>
      <c r="BJ695" t="s">
        <v>2365</v>
      </c>
      <c r="BK695" t="s">
        <v>2365</v>
      </c>
      <c r="BL695" t="s">
        <v>2365</v>
      </c>
      <c r="BM695" t="s">
        <v>2365</v>
      </c>
      <c r="BO695">
        <v>1</v>
      </c>
      <c r="BP695">
        <v>20</v>
      </c>
      <c r="BQ695" t="s">
        <v>2369</v>
      </c>
      <c r="BR695" t="s">
        <v>1494</v>
      </c>
      <c r="BU695">
        <v>0</v>
      </c>
      <c r="BV695">
        <v>0</v>
      </c>
      <c r="BW695">
        <v>0</v>
      </c>
      <c r="BX695">
        <v>0</v>
      </c>
      <c r="BY695">
        <v>0</v>
      </c>
      <c r="BZ695">
        <v>0</v>
      </c>
      <c r="CA695">
        <v>0</v>
      </c>
      <c r="CB695">
        <v>0</v>
      </c>
      <c r="CC695">
        <v>0</v>
      </c>
      <c r="CD695">
        <v>0</v>
      </c>
      <c r="CE695">
        <v>0</v>
      </c>
      <c r="CF695">
        <v>0</v>
      </c>
      <c r="CG695">
        <v>0</v>
      </c>
      <c r="CH695">
        <v>0</v>
      </c>
      <c r="CI695">
        <v>0</v>
      </c>
      <c r="CJ695">
        <v>0</v>
      </c>
      <c r="CK695">
        <v>0</v>
      </c>
      <c r="CL695">
        <v>0</v>
      </c>
      <c r="CM695">
        <v>0</v>
      </c>
      <c r="CR695" t="s">
        <v>2319</v>
      </c>
      <c r="CS695" s="1369" t="str">
        <f>INDEX([8]Sheet1!$H:$H,MATCH(CR:CR,[8]Sheet1!$AU:$AU,0))</f>
        <v>Mayor and Council</v>
      </c>
    </row>
    <row r="696" spans="1:97" x14ac:dyDescent="0.2">
      <c r="A696" t="s">
        <v>3303</v>
      </c>
      <c r="B696">
        <v>749</v>
      </c>
      <c r="C696" t="s">
        <v>3303</v>
      </c>
      <c r="D696">
        <v>41359</v>
      </c>
      <c r="E696" t="s">
        <v>3304</v>
      </c>
      <c r="F696">
        <v>2900</v>
      </c>
      <c r="G696" t="s">
        <v>569</v>
      </c>
      <c r="H696" t="s">
        <v>2366</v>
      </c>
      <c r="I696" t="s">
        <v>2366</v>
      </c>
      <c r="J696">
        <v>2904</v>
      </c>
      <c r="K696" t="s">
        <v>1432</v>
      </c>
      <c r="L696">
        <v>1200</v>
      </c>
      <c r="M696" t="s">
        <v>1480</v>
      </c>
      <c r="N696">
        <v>1207</v>
      </c>
      <c r="O696" t="s">
        <v>997</v>
      </c>
      <c r="P696" t="s">
        <v>2366</v>
      </c>
      <c r="Q696" t="s">
        <v>2364</v>
      </c>
      <c r="R696" t="s">
        <v>2364</v>
      </c>
      <c r="S696" t="s">
        <v>1881</v>
      </c>
      <c r="T696" t="s">
        <v>1812</v>
      </c>
      <c r="U696" t="s">
        <v>2365</v>
      </c>
      <c r="V696" t="s">
        <v>2365</v>
      </c>
      <c r="W696" t="s">
        <v>2365</v>
      </c>
      <c r="X696" t="s">
        <v>2365</v>
      </c>
      <c r="Y696" t="s">
        <v>2365</v>
      </c>
      <c r="Z696" t="s">
        <v>2365</v>
      </c>
      <c r="AA696" t="s">
        <v>2365</v>
      </c>
      <c r="AB696" t="s">
        <v>2365</v>
      </c>
      <c r="AC696" s="813" t="s">
        <v>2365</v>
      </c>
      <c r="AD696" s="813" t="s">
        <v>2365</v>
      </c>
      <c r="AE696" s="813" t="s">
        <v>2365</v>
      </c>
      <c r="AF696" t="s">
        <v>2365</v>
      </c>
      <c r="AG696" t="s">
        <v>2365</v>
      </c>
      <c r="AH696" t="s">
        <v>2365</v>
      </c>
      <c r="AI696" t="s">
        <v>2365</v>
      </c>
      <c r="AJ696" t="s">
        <v>2365</v>
      </c>
      <c r="AK696" t="s">
        <v>2365</v>
      </c>
      <c r="AL696" t="s">
        <v>2365</v>
      </c>
      <c r="AM696" t="s">
        <v>2365</v>
      </c>
      <c r="AN696" t="s">
        <v>2365</v>
      </c>
      <c r="AR696" t="s">
        <v>2365</v>
      </c>
      <c r="AS696" t="s">
        <v>2365</v>
      </c>
      <c r="AT696" t="s">
        <v>2365</v>
      </c>
      <c r="AU696" t="s">
        <v>2365</v>
      </c>
      <c r="AV696" t="s">
        <v>2365</v>
      </c>
      <c r="AW696" t="s">
        <v>2365</v>
      </c>
      <c r="AX696" t="s">
        <v>2365</v>
      </c>
      <c r="AY696" t="s">
        <v>2365</v>
      </c>
      <c r="AZ696" t="s">
        <v>2365</v>
      </c>
      <c r="BA696" t="s">
        <v>2365</v>
      </c>
      <c r="BB696" t="s">
        <v>2365</v>
      </c>
      <c r="BC696" t="s">
        <v>2365</v>
      </c>
      <c r="BD696" t="s">
        <v>2366</v>
      </c>
      <c r="BE696" t="s">
        <v>2365</v>
      </c>
      <c r="BF696" t="s">
        <v>2365</v>
      </c>
      <c r="BG696" t="s">
        <v>2365</v>
      </c>
      <c r="BH696" t="s">
        <v>2365</v>
      </c>
      <c r="BI696" t="s">
        <v>2366</v>
      </c>
      <c r="BJ696" t="s">
        <v>2365</v>
      </c>
      <c r="BK696" t="s">
        <v>2365</v>
      </c>
      <c r="BL696" t="s">
        <v>2365</v>
      </c>
      <c r="BM696" t="s">
        <v>2365</v>
      </c>
      <c r="BO696">
        <v>1</v>
      </c>
      <c r="BP696">
        <v>18</v>
      </c>
      <c r="BQ696" t="s">
        <v>2369</v>
      </c>
      <c r="BR696" t="s">
        <v>997</v>
      </c>
      <c r="BU696">
        <v>0</v>
      </c>
      <c r="BV696">
        <v>0</v>
      </c>
      <c r="BW696">
        <v>0</v>
      </c>
      <c r="BX696">
        <v>0</v>
      </c>
      <c r="BY696">
        <v>0</v>
      </c>
      <c r="BZ696">
        <v>0</v>
      </c>
      <c r="CA696">
        <v>0</v>
      </c>
      <c r="CB696">
        <v>0</v>
      </c>
      <c r="CC696">
        <v>0</v>
      </c>
      <c r="CD696">
        <v>0</v>
      </c>
      <c r="CE696">
        <v>0</v>
      </c>
      <c r="CF696">
        <v>0</v>
      </c>
      <c r="CG696">
        <v>0</v>
      </c>
      <c r="CH696">
        <v>0</v>
      </c>
      <c r="CI696">
        <v>0</v>
      </c>
      <c r="CJ696">
        <v>0</v>
      </c>
      <c r="CK696">
        <v>0</v>
      </c>
      <c r="CL696">
        <v>0</v>
      </c>
      <c r="CM696">
        <v>0</v>
      </c>
      <c r="CR696" t="s">
        <v>2319</v>
      </c>
      <c r="CS696" s="1369" t="str">
        <f>INDEX([8]Sheet1!$H:$H,MATCH(CR:CR,[8]Sheet1!$AU:$AU,0))</f>
        <v>Mayor and Council</v>
      </c>
    </row>
    <row r="697" spans="1:97" x14ac:dyDescent="0.2">
      <c r="A697" t="s">
        <v>3305</v>
      </c>
      <c r="B697">
        <v>750</v>
      </c>
      <c r="C697" t="s">
        <v>3305</v>
      </c>
      <c r="D697">
        <v>41360</v>
      </c>
      <c r="E697" t="s">
        <v>2549</v>
      </c>
      <c r="F697">
        <v>2000</v>
      </c>
      <c r="G697" t="s">
        <v>652</v>
      </c>
      <c r="H697" t="s">
        <v>2550</v>
      </c>
      <c r="I697" t="s">
        <v>1159</v>
      </c>
      <c r="J697">
        <v>2010</v>
      </c>
      <c r="K697" t="s">
        <v>1159</v>
      </c>
      <c r="L697">
        <v>1200</v>
      </c>
      <c r="M697" t="s">
        <v>1480</v>
      </c>
      <c r="N697">
        <v>1204</v>
      </c>
      <c r="O697" t="s">
        <v>1487</v>
      </c>
      <c r="P697" t="s">
        <v>2366</v>
      </c>
      <c r="Q697" t="s">
        <v>2364</v>
      </c>
      <c r="R697" t="s">
        <v>2364</v>
      </c>
      <c r="S697" t="s">
        <v>1881</v>
      </c>
      <c r="T697" t="s">
        <v>1812</v>
      </c>
      <c r="U697" t="s">
        <v>2365</v>
      </c>
      <c r="V697" t="s">
        <v>2365</v>
      </c>
      <c r="W697" t="s">
        <v>2365</v>
      </c>
      <c r="X697" t="s">
        <v>2365</v>
      </c>
      <c r="Y697" t="s">
        <v>2365</v>
      </c>
      <c r="Z697" t="s">
        <v>2365</v>
      </c>
      <c r="AA697" t="s">
        <v>2365</v>
      </c>
      <c r="AB697" t="s">
        <v>2365</v>
      </c>
      <c r="AC697" s="813" t="s">
        <v>2365</v>
      </c>
      <c r="AD697" s="813" t="s">
        <v>2365</v>
      </c>
      <c r="AE697" s="813" t="s">
        <v>2365</v>
      </c>
      <c r="AF697" t="s">
        <v>2365</v>
      </c>
      <c r="AG697" t="s">
        <v>2365</v>
      </c>
      <c r="AH697" t="s">
        <v>2365</v>
      </c>
      <c r="AI697" t="s">
        <v>2365</v>
      </c>
      <c r="AJ697" t="s">
        <v>2365</v>
      </c>
      <c r="AK697" t="s">
        <v>2365</v>
      </c>
      <c r="AL697" t="s">
        <v>2365</v>
      </c>
      <c r="AM697" t="s">
        <v>2365</v>
      </c>
      <c r="AN697" t="s">
        <v>2365</v>
      </c>
      <c r="AR697" t="s">
        <v>2365</v>
      </c>
      <c r="AS697" t="s">
        <v>2365</v>
      </c>
      <c r="AT697" t="s">
        <v>2365</v>
      </c>
      <c r="AU697" t="s">
        <v>2365</v>
      </c>
      <c r="AV697" t="s">
        <v>2365</v>
      </c>
      <c r="AW697" t="s">
        <v>2365</v>
      </c>
      <c r="AX697" t="s">
        <v>2365</v>
      </c>
      <c r="AY697" t="s">
        <v>2365</v>
      </c>
      <c r="AZ697" t="s">
        <v>2365</v>
      </c>
      <c r="BA697" t="s">
        <v>2365</v>
      </c>
      <c r="BB697" t="s">
        <v>2365</v>
      </c>
      <c r="BC697" t="s">
        <v>2365</v>
      </c>
      <c r="BD697" t="s">
        <v>2366</v>
      </c>
      <c r="BE697" t="s">
        <v>2365</v>
      </c>
      <c r="BF697" t="s">
        <v>2365</v>
      </c>
      <c r="BG697" t="s">
        <v>2365</v>
      </c>
      <c r="BH697" t="s">
        <v>2365</v>
      </c>
      <c r="BI697" t="s">
        <v>2366</v>
      </c>
      <c r="BJ697" t="s">
        <v>2365</v>
      </c>
      <c r="BK697" t="s">
        <v>2365</v>
      </c>
      <c r="BL697" t="s">
        <v>2365</v>
      </c>
      <c r="BM697" t="s">
        <v>2365</v>
      </c>
      <c r="BN697" t="s">
        <v>2177</v>
      </c>
      <c r="BO697">
        <v>1</v>
      </c>
      <c r="BP697">
        <v>11</v>
      </c>
      <c r="BQ697" t="s">
        <v>2369</v>
      </c>
      <c r="BR697" t="s">
        <v>1487</v>
      </c>
      <c r="BU697">
        <v>239111</v>
      </c>
      <c r="BV697">
        <v>0</v>
      </c>
      <c r="BW697">
        <v>239111</v>
      </c>
      <c r="BX697">
        <v>0</v>
      </c>
      <c r="BY697">
        <v>239111</v>
      </c>
      <c r="BZ697">
        <v>254653</v>
      </c>
      <c r="CA697">
        <v>271206</v>
      </c>
      <c r="CB697">
        <v>0</v>
      </c>
      <c r="CC697">
        <v>0</v>
      </c>
      <c r="CD697">
        <v>21048.25</v>
      </c>
      <c r="CE697">
        <v>0</v>
      </c>
      <c r="CF697">
        <v>0</v>
      </c>
      <c r="CG697">
        <v>0</v>
      </c>
      <c r="CH697">
        <v>21321.7</v>
      </c>
      <c r="CI697">
        <v>0</v>
      </c>
      <c r="CJ697">
        <v>0</v>
      </c>
      <c r="CK697">
        <v>0</v>
      </c>
      <c r="CL697">
        <v>0</v>
      </c>
      <c r="CM697">
        <v>0</v>
      </c>
      <c r="CR697" t="s">
        <v>2319</v>
      </c>
      <c r="CS697" s="1369" t="str">
        <f>INDEX([8]Sheet1!$H:$H,MATCH(CR:CR,[8]Sheet1!$AU:$AU,0))</f>
        <v>Mayor and Council</v>
      </c>
    </row>
    <row r="698" spans="1:97" x14ac:dyDescent="0.2">
      <c r="A698" t="s">
        <v>3306</v>
      </c>
      <c r="B698">
        <v>751</v>
      </c>
      <c r="C698" t="s">
        <v>3306</v>
      </c>
      <c r="D698">
        <v>41361</v>
      </c>
      <c r="E698" t="s">
        <v>3307</v>
      </c>
      <c r="F698">
        <v>2900</v>
      </c>
      <c r="G698" t="s">
        <v>569</v>
      </c>
      <c r="H698" t="s">
        <v>2366</v>
      </c>
      <c r="I698" t="s">
        <v>2366</v>
      </c>
      <c r="J698">
        <v>2904</v>
      </c>
      <c r="K698" t="s">
        <v>1432</v>
      </c>
      <c r="L698">
        <v>1200</v>
      </c>
      <c r="M698" t="s">
        <v>1480</v>
      </c>
      <c r="N698">
        <v>1204</v>
      </c>
      <c r="O698" t="s">
        <v>1487</v>
      </c>
      <c r="P698" t="s">
        <v>2366</v>
      </c>
      <c r="Q698" t="s">
        <v>2364</v>
      </c>
      <c r="R698" t="s">
        <v>2364</v>
      </c>
      <c r="S698" t="s">
        <v>1881</v>
      </c>
      <c r="T698" t="s">
        <v>1812</v>
      </c>
      <c r="U698" t="s">
        <v>2365</v>
      </c>
      <c r="V698" t="s">
        <v>2365</v>
      </c>
      <c r="W698" t="s">
        <v>2365</v>
      </c>
      <c r="X698" t="s">
        <v>2365</v>
      </c>
      <c r="Y698" t="s">
        <v>2365</v>
      </c>
      <c r="Z698" t="s">
        <v>2365</v>
      </c>
      <c r="AA698" t="s">
        <v>2365</v>
      </c>
      <c r="AB698" t="s">
        <v>2365</v>
      </c>
      <c r="AC698" s="813" t="s">
        <v>2365</v>
      </c>
      <c r="AD698" s="813" t="s">
        <v>2365</v>
      </c>
      <c r="AE698" s="813" t="s">
        <v>2365</v>
      </c>
      <c r="AF698" t="s">
        <v>2365</v>
      </c>
      <c r="AG698" t="s">
        <v>2365</v>
      </c>
      <c r="AH698" t="s">
        <v>2365</v>
      </c>
      <c r="AI698" t="s">
        <v>2365</v>
      </c>
      <c r="AJ698" t="s">
        <v>2365</v>
      </c>
      <c r="AK698" t="s">
        <v>2365</v>
      </c>
      <c r="AL698" t="s">
        <v>2365</v>
      </c>
      <c r="AM698" t="s">
        <v>2365</v>
      </c>
      <c r="AN698" t="s">
        <v>2365</v>
      </c>
      <c r="AR698" t="s">
        <v>2365</v>
      </c>
      <c r="AS698" t="s">
        <v>2365</v>
      </c>
      <c r="AT698" t="s">
        <v>2365</v>
      </c>
      <c r="AU698" t="s">
        <v>2365</v>
      </c>
      <c r="AV698" t="s">
        <v>2365</v>
      </c>
      <c r="AW698" t="s">
        <v>2365</v>
      </c>
      <c r="AX698" t="s">
        <v>2365</v>
      </c>
      <c r="AY698" t="s">
        <v>2365</v>
      </c>
      <c r="AZ698" t="s">
        <v>2365</v>
      </c>
      <c r="BA698" t="s">
        <v>2365</v>
      </c>
      <c r="BB698" t="s">
        <v>2365</v>
      </c>
      <c r="BC698" t="s">
        <v>2365</v>
      </c>
      <c r="BD698" t="s">
        <v>2366</v>
      </c>
      <c r="BE698" t="s">
        <v>2365</v>
      </c>
      <c r="BF698" t="s">
        <v>2365</v>
      </c>
      <c r="BG698" t="s">
        <v>2365</v>
      </c>
      <c r="BH698" t="s">
        <v>2365</v>
      </c>
      <c r="BI698" t="s">
        <v>2366</v>
      </c>
      <c r="BJ698" t="s">
        <v>2365</v>
      </c>
      <c r="BK698" t="s">
        <v>2365</v>
      </c>
      <c r="BL698" t="s">
        <v>2365</v>
      </c>
      <c r="BM698" t="s">
        <v>2365</v>
      </c>
      <c r="BO698">
        <v>1</v>
      </c>
      <c r="BP698">
        <v>11</v>
      </c>
      <c r="BQ698" t="s">
        <v>2369</v>
      </c>
      <c r="BR698" t="s">
        <v>1487</v>
      </c>
      <c r="BU698">
        <v>0</v>
      </c>
      <c r="BV698">
        <v>0</v>
      </c>
      <c r="BW698">
        <v>0</v>
      </c>
      <c r="BX698">
        <v>0</v>
      </c>
      <c r="BY698">
        <v>0</v>
      </c>
      <c r="BZ698">
        <v>0</v>
      </c>
      <c r="CA698">
        <v>0</v>
      </c>
      <c r="CB698">
        <v>0</v>
      </c>
      <c r="CC698">
        <v>0</v>
      </c>
      <c r="CD698">
        <v>0</v>
      </c>
      <c r="CE698">
        <v>0</v>
      </c>
      <c r="CF698">
        <v>0</v>
      </c>
      <c r="CG698">
        <v>0</v>
      </c>
      <c r="CH698">
        <v>0</v>
      </c>
      <c r="CI698">
        <v>0</v>
      </c>
      <c r="CJ698">
        <v>0</v>
      </c>
      <c r="CK698">
        <v>0</v>
      </c>
      <c r="CL698">
        <v>0</v>
      </c>
      <c r="CM698">
        <v>0</v>
      </c>
      <c r="CR698" t="s">
        <v>2319</v>
      </c>
      <c r="CS698" s="1369" t="str">
        <f>INDEX([8]Sheet1!$H:$H,MATCH(CR:CR,[8]Sheet1!$AU:$AU,0))</f>
        <v>Mayor and Council</v>
      </c>
    </row>
    <row r="699" spans="1:97" x14ac:dyDescent="0.2">
      <c r="A699" t="s">
        <v>3308</v>
      </c>
      <c r="B699">
        <v>752</v>
      </c>
      <c r="C699" t="s">
        <v>3308</v>
      </c>
      <c r="D699">
        <v>41362</v>
      </c>
      <c r="E699" t="s">
        <v>3309</v>
      </c>
      <c r="F699">
        <v>2900</v>
      </c>
      <c r="G699" t="s">
        <v>569</v>
      </c>
      <c r="H699" t="s">
        <v>2366</v>
      </c>
      <c r="I699" t="s">
        <v>2366</v>
      </c>
      <c r="J699">
        <v>2904</v>
      </c>
      <c r="K699" t="s">
        <v>1432</v>
      </c>
      <c r="L699">
        <v>1200</v>
      </c>
      <c r="M699" t="s">
        <v>1480</v>
      </c>
      <c r="N699">
        <v>1204</v>
      </c>
      <c r="O699" t="s">
        <v>1487</v>
      </c>
      <c r="P699" t="s">
        <v>2366</v>
      </c>
      <c r="Q699" t="s">
        <v>2364</v>
      </c>
      <c r="R699" t="s">
        <v>2364</v>
      </c>
      <c r="S699" t="s">
        <v>1881</v>
      </c>
      <c r="T699" t="s">
        <v>1812</v>
      </c>
      <c r="U699" t="s">
        <v>2365</v>
      </c>
      <c r="V699" t="s">
        <v>2365</v>
      </c>
      <c r="W699" t="s">
        <v>2365</v>
      </c>
      <c r="X699" t="s">
        <v>2365</v>
      </c>
      <c r="Y699" t="s">
        <v>2365</v>
      </c>
      <c r="Z699" t="s">
        <v>2365</v>
      </c>
      <c r="AA699" t="s">
        <v>2365</v>
      </c>
      <c r="AB699" t="s">
        <v>2365</v>
      </c>
      <c r="AC699" s="813" t="s">
        <v>2365</v>
      </c>
      <c r="AD699" s="813" t="s">
        <v>2365</v>
      </c>
      <c r="AE699" s="813" t="s">
        <v>2365</v>
      </c>
      <c r="AF699" t="s">
        <v>2365</v>
      </c>
      <c r="AG699" t="s">
        <v>2365</v>
      </c>
      <c r="AH699" t="s">
        <v>2365</v>
      </c>
      <c r="AI699" t="s">
        <v>2365</v>
      </c>
      <c r="AJ699" t="s">
        <v>2365</v>
      </c>
      <c r="AK699" t="s">
        <v>2365</v>
      </c>
      <c r="AL699" t="s">
        <v>2365</v>
      </c>
      <c r="AM699" t="s">
        <v>2365</v>
      </c>
      <c r="AN699" t="s">
        <v>2365</v>
      </c>
      <c r="AR699" t="s">
        <v>2365</v>
      </c>
      <c r="AS699" t="s">
        <v>2365</v>
      </c>
      <c r="AT699" t="s">
        <v>2365</v>
      </c>
      <c r="AU699" t="s">
        <v>2365</v>
      </c>
      <c r="AV699" t="s">
        <v>2365</v>
      </c>
      <c r="AW699" t="s">
        <v>2365</v>
      </c>
      <c r="AX699" t="s">
        <v>2365</v>
      </c>
      <c r="AY699" t="s">
        <v>2365</v>
      </c>
      <c r="AZ699" t="s">
        <v>2365</v>
      </c>
      <c r="BA699" t="s">
        <v>2365</v>
      </c>
      <c r="BB699" t="s">
        <v>2365</v>
      </c>
      <c r="BC699" t="s">
        <v>2365</v>
      </c>
      <c r="BD699" t="s">
        <v>2366</v>
      </c>
      <c r="BE699" t="s">
        <v>2365</v>
      </c>
      <c r="BF699" t="s">
        <v>2365</v>
      </c>
      <c r="BG699" t="s">
        <v>2365</v>
      </c>
      <c r="BH699" t="s">
        <v>2365</v>
      </c>
      <c r="BI699" t="s">
        <v>2366</v>
      </c>
      <c r="BJ699" t="s">
        <v>2365</v>
      </c>
      <c r="BK699" t="s">
        <v>2365</v>
      </c>
      <c r="BL699" t="s">
        <v>2365</v>
      </c>
      <c r="BM699" t="s">
        <v>2365</v>
      </c>
      <c r="BO699">
        <v>1</v>
      </c>
      <c r="BP699">
        <v>11</v>
      </c>
      <c r="BQ699" t="s">
        <v>2369</v>
      </c>
      <c r="BR699" t="s">
        <v>1487</v>
      </c>
      <c r="BU699">
        <v>548625</v>
      </c>
      <c r="BV699">
        <v>0</v>
      </c>
      <c r="BW699">
        <v>548625</v>
      </c>
      <c r="BX699">
        <v>0</v>
      </c>
      <c r="BY699">
        <v>548625</v>
      </c>
      <c r="BZ699">
        <v>603488</v>
      </c>
      <c r="CA699">
        <v>663836</v>
      </c>
      <c r="CB699">
        <v>0</v>
      </c>
      <c r="CC699">
        <v>0</v>
      </c>
      <c r="CD699">
        <v>0</v>
      </c>
      <c r="CE699">
        <v>0</v>
      </c>
      <c r="CF699">
        <v>0</v>
      </c>
      <c r="CG699">
        <v>0</v>
      </c>
      <c r="CH699">
        <v>0</v>
      </c>
      <c r="CI699">
        <v>0</v>
      </c>
      <c r="CJ699">
        <v>0</v>
      </c>
      <c r="CK699">
        <v>0</v>
      </c>
      <c r="CL699">
        <v>0</v>
      </c>
      <c r="CM699">
        <v>0</v>
      </c>
      <c r="CR699" t="s">
        <v>2319</v>
      </c>
      <c r="CS699" s="1369" t="str">
        <f>INDEX([8]Sheet1!$H:$H,MATCH(CR:CR,[8]Sheet1!$AU:$AU,0))</f>
        <v>Mayor and Council</v>
      </c>
    </row>
    <row r="700" spans="1:97" x14ac:dyDescent="0.2">
      <c r="A700" t="s">
        <v>3310</v>
      </c>
      <c r="B700">
        <v>753</v>
      </c>
      <c r="C700" t="s">
        <v>3310</v>
      </c>
      <c r="D700">
        <v>41363</v>
      </c>
      <c r="E700" t="s">
        <v>3311</v>
      </c>
      <c r="F700">
        <v>2300</v>
      </c>
      <c r="G700" t="s">
        <v>566</v>
      </c>
      <c r="H700" t="s">
        <v>3312</v>
      </c>
      <c r="I700" t="s">
        <v>1163</v>
      </c>
      <c r="J700">
        <v>2301</v>
      </c>
      <c r="K700" t="s">
        <v>3313</v>
      </c>
      <c r="L700">
        <v>1200</v>
      </c>
      <c r="M700" t="s">
        <v>1480</v>
      </c>
      <c r="N700">
        <v>1202</v>
      </c>
      <c r="O700" t="s">
        <v>595</v>
      </c>
      <c r="P700" t="s">
        <v>2366</v>
      </c>
      <c r="Q700" t="s">
        <v>2364</v>
      </c>
      <c r="R700" t="s">
        <v>2364</v>
      </c>
      <c r="S700" t="s">
        <v>1881</v>
      </c>
      <c r="T700" t="s">
        <v>1812</v>
      </c>
      <c r="U700" t="s">
        <v>2365</v>
      </c>
      <c r="V700" t="s">
        <v>2365</v>
      </c>
      <c r="W700" t="s">
        <v>2365</v>
      </c>
      <c r="X700" t="s">
        <v>2365</v>
      </c>
      <c r="Y700" t="s">
        <v>2365</v>
      </c>
      <c r="Z700" t="s">
        <v>2365</v>
      </c>
      <c r="AA700" t="s">
        <v>2365</v>
      </c>
      <c r="AB700" t="s">
        <v>2365</v>
      </c>
      <c r="AC700" s="813" t="s">
        <v>2365</v>
      </c>
      <c r="AD700" s="813" t="s">
        <v>2365</v>
      </c>
      <c r="AE700" s="813" t="s">
        <v>2365</v>
      </c>
      <c r="AF700" t="s">
        <v>2365</v>
      </c>
      <c r="AG700" t="s">
        <v>2365</v>
      </c>
      <c r="AH700" t="s">
        <v>2365</v>
      </c>
      <c r="AI700" t="s">
        <v>2365</v>
      </c>
      <c r="AJ700" t="s">
        <v>2365</v>
      </c>
      <c r="AK700" t="s">
        <v>2365</v>
      </c>
      <c r="AL700" t="s">
        <v>2365</v>
      </c>
      <c r="AM700" t="s">
        <v>2365</v>
      </c>
      <c r="AN700" t="s">
        <v>2365</v>
      </c>
      <c r="AR700" t="s">
        <v>2365</v>
      </c>
      <c r="AS700" t="s">
        <v>2365</v>
      </c>
      <c r="AT700" t="s">
        <v>2365</v>
      </c>
      <c r="AU700" t="s">
        <v>2365</v>
      </c>
      <c r="AV700" t="s">
        <v>2365</v>
      </c>
      <c r="AW700" t="s">
        <v>2365</v>
      </c>
      <c r="AX700" t="s">
        <v>2365</v>
      </c>
      <c r="AY700" t="s">
        <v>2365</v>
      </c>
      <c r="AZ700" t="s">
        <v>2365</v>
      </c>
      <c r="BA700" t="s">
        <v>2365</v>
      </c>
      <c r="BB700" t="s">
        <v>2365</v>
      </c>
      <c r="BC700" t="s">
        <v>2365</v>
      </c>
      <c r="BD700" t="s">
        <v>2366</v>
      </c>
      <c r="BE700">
        <v>790</v>
      </c>
      <c r="BF700" t="s">
        <v>1622</v>
      </c>
      <c r="BG700">
        <v>790</v>
      </c>
      <c r="BH700" t="s">
        <v>1622</v>
      </c>
      <c r="BI700" t="s">
        <v>1907</v>
      </c>
      <c r="BJ700" t="s">
        <v>2365</v>
      </c>
      <c r="BK700" t="s">
        <v>2365</v>
      </c>
      <c r="BL700" t="s">
        <v>2365</v>
      </c>
      <c r="BM700" t="s">
        <v>2365</v>
      </c>
      <c r="BO700">
        <v>1</v>
      </c>
      <c r="BP700">
        <v>13</v>
      </c>
      <c r="BQ700" t="s">
        <v>2369</v>
      </c>
      <c r="BR700" t="s">
        <v>595</v>
      </c>
      <c r="BU700">
        <v>3787600</v>
      </c>
      <c r="BV700">
        <v>0</v>
      </c>
      <c r="BW700">
        <v>3787600</v>
      </c>
      <c r="BX700">
        <v>0</v>
      </c>
      <c r="BY700">
        <v>3787600</v>
      </c>
      <c r="BZ700">
        <v>4166360</v>
      </c>
      <c r="CA700">
        <v>4582996</v>
      </c>
      <c r="CB700">
        <v>334575.2</v>
      </c>
      <c r="CC700">
        <v>324200.27</v>
      </c>
      <c r="CD700">
        <v>333108.32</v>
      </c>
      <c r="CE700">
        <v>334221.71999999997</v>
      </c>
      <c r="CF700">
        <v>323440.37</v>
      </c>
      <c r="CG700">
        <v>334221.71000000002</v>
      </c>
      <c r="CH700">
        <v>334221.71000000002</v>
      </c>
      <c r="CI700">
        <v>301877.68</v>
      </c>
      <c r="CJ700">
        <v>0</v>
      </c>
      <c r="CK700">
        <v>0</v>
      </c>
      <c r="CL700">
        <v>0</v>
      </c>
      <c r="CM700">
        <v>0</v>
      </c>
      <c r="CR700" t="s">
        <v>2324</v>
      </c>
      <c r="CS700" s="1369" t="str">
        <f>INDEX([8]Sheet1!$H:$H,MATCH(CR:CR,[8]Sheet1!$AU:$AU,0))</f>
        <v>Finance</v>
      </c>
    </row>
    <row r="701" spans="1:97" x14ac:dyDescent="0.2">
      <c r="A701" t="s">
        <v>3314</v>
      </c>
      <c r="B701">
        <v>754</v>
      </c>
      <c r="C701" t="s">
        <v>3314</v>
      </c>
      <c r="D701">
        <v>41364</v>
      </c>
      <c r="E701" t="s">
        <v>3315</v>
      </c>
      <c r="F701">
        <v>2300</v>
      </c>
      <c r="G701" t="s">
        <v>566</v>
      </c>
      <c r="H701" t="s">
        <v>3312</v>
      </c>
      <c r="I701" t="s">
        <v>1163</v>
      </c>
      <c r="J701">
        <v>2301</v>
      </c>
      <c r="K701" t="s">
        <v>3313</v>
      </c>
      <c r="L701">
        <v>1200</v>
      </c>
      <c r="M701" t="s">
        <v>1480</v>
      </c>
      <c r="N701">
        <v>1202</v>
      </c>
      <c r="O701" t="s">
        <v>595</v>
      </c>
      <c r="P701" t="s">
        <v>2366</v>
      </c>
      <c r="Q701" t="s">
        <v>2364</v>
      </c>
      <c r="R701" t="s">
        <v>2364</v>
      </c>
      <c r="S701" t="s">
        <v>1881</v>
      </c>
      <c r="T701" t="s">
        <v>1812</v>
      </c>
      <c r="U701" t="s">
        <v>2365</v>
      </c>
      <c r="V701" t="s">
        <v>2365</v>
      </c>
      <c r="W701" t="s">
        <v>2365</v>
      </c>
      <c r="X701" t="s">
        <v>2365</v>
      </c>
      <c r="Y701" t="s">
        <v>2365</v>
      </c>
      <c r="Z701" t="s">
        <v>2365</v>
      </c>
      <c r="AA701" t="s">
        <v>2365</v>
      </c>
      <c r="AB701" t="s">
        <v>2365</v>
      </c>
      <c r="AC701" s="813" t="s">
        <v>2365</v>
      </c>
      <c r="AD701" s="813" t="s">
        <v>2365</v>
      </c>
      <c r="AE701" s="813" t="s">
        <v>2365</v>
      </c>
      <c r="AF701" t="s">
        <v>2365</v>
      </c>
      <c r="AG701" t="s">
        <v>2365</v>
      </c>
      <c r="AH701" t="s">
        <v>2365</v>
      </c>
      <c r="AI701" t="s">
        <v>2365</v>
      </c>
      <c r="AJ701" t="s">
        <v>2365</v>
      </c>
      <c r="AK701" t="s">
        <v>2365</v>
      </c>
      <c r="AL701" t="s">
        <v>2365</v>
      </c>
      <c r="AM701" t="s">
        <v>2365</v>
      </c>
      <c r="AN701" t="s">
        <v>2365</v>
      </c>
      <c r="AR701" t="s">
        <v>2365</v>
      </c>
      <c r="AS701" t="s">
        <v>2365</v>
      </c>
      <c r="AT701" t="s">
        <v>2365</v>
      </c>
      <c r="AU701" t="s">
        <v>2365</v>
      </c>
      <c r="AV701" t="s">
        <v>2365</v>
      </c>
      <c r="AW701" t="s">
        <v>2365</v>
      </c>
      <c r="AX701" t="s">
        <v>2365</v>
      </c>
      <c r="AY701" t="s">
        <v>2365</v>
      </c>
      <c r="AZ701" t="s">
        <v>2365</v>
      </c>
      <c r="BA701" t="s">
        <v>2365</v>
      </c>
      <c r="BB701" t="s">
        <v>2365</v>
      </c>
      <c r="BC701" t="s">
        <v>2365</v>
      </c>
      <c r="BD701" t="s">
        <v>2366</v>
      </c>
      <c r="BE701">
        <v>1490</v>
      </c>
      <c r="BF701" t="s">
        <v>1675</v>
      </c>
      <c r="BG701">
        <v>1490</v>
      </c>
      <c r="BH701" t="s">
        <v>1675</v>
      </c>
      <c r="BI701" t="s">
        <v>1907</v>
      </c>
      <c r="BJ701" t="s">
        <v>2365</v>
      </c>
      <c r="BK701" t="s">
        <v>2365</v>
      </c>
      <c r="BL701" t="s">
        <v>2365</v>
      </c>
      <c r="BM701" t="s">
        <v>2365</v>
      </c>
      <c r="BO701">
        <v>1</v>
      </c>
      <c r="BP701">
        <v>13</v>
      </c>
      <c r="BQ701" t="s">
        <v>2369</v>
      </c>
      <c r="BR701" t="s">
        <v>595</v>
      </c>
      <c r="BU701">
        <v>1002993</v>
      </c>
      <c r="BV701">
        <v>0</v>
      </c>
      <c r="BW701">
        <v>1002993</v>
      </c>
      <c r="BX701">
        <v>0</v>
      </c>
      <c r="BY701">
        <v>1002993</v>
      </c>
      <c r="BZ701">
        <v>1103293</v>
      </c>
      <c r="CA701">
        <v>1213622</v>
      </c>
      <c r="CB701">
        <v>0</v>
      </c>
      <c r="CC701">
        <v>0</v>
      </c>
      <c r="CD701">
        <v>15738.03</v>
      </c>
      <c r="CE701">
        <v>21318.120000000003</v>
      </c>
      <c r="CF701">
        <v>21013.66</v>
      </c>
      <c r="CG701">
        <v>21925.97</v>
      </c>
      <c r="CH701">
        <v>21925.97</v>
      </c>
      <c r="CI701">
        <v>9387.39</v>
      </c>
      <c r="CJ701">
        <v>0</v>
      </c>
      <c r="CK701">
        <v>0</v>
      </c>
      <c r="CL701">
        <v>0</v>
      </c>
      <c r="CM701">
        <v>0</v>
      </c>
      <c r="CR701" t="s">
        <v>2324</v>
      </c>
      <c r="CS701" s="1369" t="str">
        <f>INDEX([8]Sheet1!$H:$H,MATCH(CR:CR,[8]Sheet1!$AU:$AU,0))</f>
        <v>Finance</v>
      </c>
    </row>
    <row r="702" spans="1:97" x14ac:dyDescent="0.2">
      <c r="A702" t="s">
        <v>3316</v>
      </c>
      <c r="B702">
        <v>755</v>
      </c>
      <c r="C702" t="s">
        <v>3316</v>
      </c>
      <c r="D702">
        <v>41365</v>
      </c>
      <c r="E702" t="s">
        <v>3317</v>
      </c>
      <c r="F702">
        <v>2300</v>
      </c>
      <c r="G702" t="s">
        <v>566</v>
      </c>
      <c r="H702" t="s">
        <v>3312</v>
      </c>
      <c r="I702" t="s">
        <v>1163</v>
      </c>
      <c r="J702">
        <v>2301</v>
      </c>
      <c r="K702" t="s">
        <v>3313</v>
      </c>
      <c r="L702">
        <v>1200</v>
      </c>
      <c r="M702" t="s">
        <v>1480</v>
      </c>
      <c r="N702">
        <v>1202</v>
      </c>
      <c r="O702" t="s">
        <v>595</v>
      </c>
      <c r="P702" t="s">
        <v>2366</v>
      </c>
      <c r="Q702" t="s">
        <v>2364</v>
      </c>
      <c r="R702" t="s">
        <v>2364</v>
      </c>
      <c r="S702" t="s">
        <v>1881</v>
      </c>
      <c r="T702" t="s">
        <v>1812</v>
      </c>
      <c r="U702" t="s">
        <v>2365</v>
      </c>
      <c r="V702" t="s">
        <v>2365</v>
      </c>
      <c r="W702" t="s">
        <v>2365</v>
      </c>
      <c r="X702" t="s">
        <v>2365</v>
      </c>
      <c r="Y702" t="s">
        <v>2365</v>
      </c>
      <c r="Z702" t="s">
        <v>2365</v>
      </c>
      <c r="AA702" t="s">
        <v>2365</v>
      </c>
      <c r="AB702" t="s">
        <v>2365</v>
      </c>
      <c r="AC702" s="813" t="s">
        <v>2365</v>
      </c>
      <c r="AD702" s="813" t="s">
        <v>2365</v>
      </c>
      <c r="AE702" s="813" t="s">
        <v>2365</v>
      </c>
      <c r="AF702" t="s">
        <v>2365</v>
      </c>
      <c r="AG702" t="s">
        <v>2365</v>
      </c>
      <c r="AH702" t="s">
        <v>2365</v>
      </c>
      <c r="AI702" t="s">
        <v>2365</v>
      </c>
      <c r="AJ702" t="s">
        <v>2365</v>
      </c>
      <c r="AK702" t="s">
        <v>2365</v>
      </c>
      <c r="AL702" t="s">
        <v>2365</v>
      </c>
      <c r="AM702" t="s">
        <v>2365</v>
      </c>
      <c r="AN702" t="s">
        <v>2365</v>
      </c>
      <c r="AR702" t="s">
        <v>2365</v>
      </c>
      <c r="AS702" t="s">
        <v>2365</v>
      </c>
      <c r="AT702" t="s">
        <v>2365</v>
      </c>
      <c r="AU702" t="s">
        <v>2365</v>
      </c>
      <c r="AV702" t="s">
        <v>2365</v>
      </c>
      <c r="AW702" t="s">
        <v>2365</v>
      </c>
      <c r="AX702" t="s">
        <v>2365</v>
      </c>
      <c r="AY702" t="s">
        <v>2365</v>
      </c>
      <c r="AZ702" t="s">
        <v>2365</v>
      </c>
      <c r="BA702" t="s">
        <v>2365</v>
      </c>
      <c r="BB702" t="s">
        <v>2365</v>
      </c>
      <c r="BC702" t="s">
        <v>2365</v>
      </c>
      <c r="BD702" t="s">
        <v>2366</v>
      </c>
      <c r="BE702">
        <v>1130</v>
      </c>
      <c r="BF702" t="s">
        <v>1648</v>
      </c>
      <c r="BG702">
        <v>1130</v>
      </c>
      <c r="BH702" t="s">
        <v>1648</v>
      </c>
      <c r="BI702" t="s">
        <v>1907</v>
      </c>
      <c r="BJ702" t="s">
        <v>2365</v>
      </c>
      <c r="BK702" t="s">
        <v>2365</v>
      </c>
      <c r="BL702" t="s">
        <v>2365</v>
      </c>
      <c r="BM702" t="s">
        <v>2365</v>
      </c>
      <c r="BO702">
        <v>1</v>
      </c>
      <c r="BP702">
        <v>13</v>
      </c>
      <c r="BQ702" t="s">
        <v>2369</v>
      </c>
      <c r="BR702" t="s">
        <v>595</v>
      </c>
      <c r="BU702">
        <v>0</v>
      </c>
      <c r="BV702">
        <v>0</v>
      </c>
      <c r="BW702">
        <v>0</v>
      </c>
      <c r="BX702">
        <v>0</v>
      </c>
      <c r="BY702">
        <v>0</v>
      </c>
      <c r="BZ702">
        <v>0</v>
      </c>
      <c r="CA702">
        <v>0</v>
      </c>
      <c r="CB702">
        <v>0</v>
      </c>
      <c r="CC702">
        <v>0</v>
      </c>
      <c r="CD702">
        <v>0</v>
      </c>
      <c r="CE702">
        <v>0</v>
      </c>
      <c r="CF702">
        <v>0</v>
      </c>
      <c r="CG702">
        <v>0</v>
      </c>
      <c r="CH702">
        <v>0</v>
      </c>
      <c r="CI702">
        <v>0</v>
      </c>
      <c r="CJ702">
        <v>0</v>
      </c>
      <c r="CK702">
        <v>0</v>
      </c>
      <c r="CL702">
        <v>0</v>
      </c>
      <c r="CM702">
        <v>0</v>
      </c>
      <c r="CR702" t="s">
        <v>2324</v>
      </c>
      <c r="CS702" s="1369" t="str">
        <f>INDEX([8]Sheet1!$H:$H,MATCH(CR:CR,[8]Sheet1!$AU:$AU,0))</f>
        <v>Finance</v>
      </c>
    </row>
    <row r="703" spans="1:97" x14ac:dyDescent="0.2">
      <c r="A703" t="s">
        <v>3318</v>
      </c>
      <c r="B703">
        <v>756</v>
      </c>
      <c r="C703" t="s">
        <v>3318</v>
      </c>
      <c r="D703">
        <v>41366</v>
      </c>
      <c r="E703" t="s">
        <v>3319</v>
      </c>
      <c r="F703">
        <v>2300</v>
      </c>
      <c r="G703" t="s">
        <v>566</v>
      </c>
      <c r="H703" t="s">
        <v>3312</v>
      </c>
      <c r="I703" t="s">
        <v>1163</v>
      </c>
      <c r="J703">
        <v>2301</v>
      </c>
      <c r="K703" t="s">
        <v>3313</v>
      </c>
      <c r="L703">
        <v>1200</v>
      </c>
      <c r="M703" t="s">
        <v>1480</v>
      </c>
      <c r="N703">
        <v>1202</v>
      </c>
      <c r="O703" t="s">
        <v>595</v>
      </c>
      <c r="P703" t="s">
        <v>2366</v>
      </c>
      <c r="Q703" t="s">
        <v>2364</v>
      </c>
      <c r="R703" t="s">
        <v>2364</v>
      </c>
      <c r="S703" t="s">
        <v>1881</v>
      </c>
      <c r="T703" t="s">
        <v>1812</v>
      </c>
      <c r="U703" t="s">
        <v>2365</v>
      </c>
      <c r="V703" t="s">
        <v>2365</v>
      </c>
      <c r="W703" t="s">
        <v>2365</v>
      </c>
      <c r="X703" t="s">
        <v>2365</v>
      </c>
      <c r="Y703" t="s">
        <v>2365</v>
      </c>
      <c r="Z703" t="s">
        <v>2365</v>
      </c>
      <c r="AA703" t="s">
        <v>2365</v>
      </c>
      <c r="AB703" t="s">
        <v>2365</v>
      </c>
      <c r="AC703" s="813" t="s">
        <v>2365</v>
      </c>
      <c r="AD703" s="813" t="s">
        <v>2365</v>
      </c>
      <c r="AE703" s="813" t="s">
        <v>2365</v>
      </c>
      <c r="AF703" t="s">
        <v>2365</v>
      </c>
      <c r="AG703" t="s">
        <v>2365</v>
      </c>
      <c r="AH703" t="s">
        <v>2365</v>
      </c>
      <c r="AI703" t="s">
        <v>2365</v>
      </c>
      <c r="AJ703" t="s">
        <v>2365</v>
      </c>
      <c r="AK703" t="s">
        <v>2365</v>
      </c>
      <c r="AL703" t="s">
        <v>2365</v>
      </c>
      <c r="AM703" t="s">
        <v>2365</v>
      </c>
      <c r="AN703" t="s">
        <v>2365</v>
      </c>
      <c r="AR703" t="s">
        <v>2365</v>
      </c>
      <c r="AS703" t="s">
        <v>2365</v>
      </c>
      <c r="AT703" t="s">
        <v>2365</v>
      </c>
      <c r="AU703" t="s">
        <v>2365</v>
      </c>
      <c r="AV703" t="s">
        <v>2365</v>
      </c>
      <c r="AW703" t="s">
        <v>2365</v>
      </c>
      <c r="AX703" t="s">
        <v>2365</v>
      </c>
      <c r="AY703" t="s">
        <v>2365</v>
      </c>
      <c r="AZ703" t="s">
        <v>2365</v>
      </c>
      <c r="BA703" t="s">
        <v>2365</v>
      </c>
      <c r="BB703" t="s">
        <v>2365</v>
      </c>
      <c r="BC703" t="s">
        <v>2365</v>
      </c>
      <c r="BD703" t="s">
        <v>2366</v>
      </c>
      <c r="BE703">
        <v>880</v>
      </c>
      <c r="BF703" t="s">
        <v>494</v>
      </c>
      <c r="BG703">
        <v>880</v>
      </c>
      <c r="BH703" t="s">
        <v>494</v>
      </c>
      <c r="BI703" t="s">
        <v>1907</v>
      </c>
      <c r="BJ703" t="s">
        <v>2365</v>
      </c>
      <c r="BK703" t="s">
        <v>2365</v>
      </c>
      <c r="BL703" t="s">
        <v>2365</v>
      </c>
      <c r="BM703" t="s">
        <v>2365</v>
      </c>
      <c r="BO703">
        <v>1</v>
      </c>
      <c r="BP703">
        <v>13</v>
      </c>
      <c r="BQ703" t="s">
        <v>2369</v>
      </c>
      <c r="BR703" t="s">
        <v>595</v>
      </c>
      <c r="BU703">
        <v>0</v>
      </c>
      <c r="BV703">
        <v>0</v>
      </c>
      <c r="BW703">
        <v>0</v>
      </c>
      <c r="BX703">
        <v>0</v>
      </c>
      <c r="BY703">
        <v>0</v>
      </c>
      <c r="BZ703">
        <v>0</v>
      </c>
      <c r="CA703">
        <v>0</v>
      </c>
      <c r="CB703">
        <v>0</v>
      </c>
      <c r="CC703">
        <v>0</v>
      </c>
      <c r="CD703">
        <v>0</v>
      </c>
      <c r="CE703">
        <v>0</v>
      </c>
      <c r="CF703">
        <v>0</v>
      </c>
      <c r="CG703">
        <v>0</v>
      </c>
      <c r="CH703">
        <v>0</v>
      </c>
      <c r="CI703">
        <v>0</v>
      </c>
      <c r="CJ703">
        <v>0</v>
      </c>
      <c r="CK703">
        <v>0</v>
      </c>
      <c r="CL703">
        <v>0</v>
      </c>
      <c r="CM703">
        <v>0</v>
      </c>
      <c r="CR703" t="s">
        <v>2324</v>
      </c>
      <c r="CS703" s="1369" t="str">
        <f>INDEX([8]Sheet1!$H:$H,MATCH(CR:CR,[8]Sheet1!$AU:$AU,0))</f>
        <v>Finance</v>
      </c>
    </row>
    <row r="704" spans="1:97" x14ac:dyDescent="0.2">
      <c r="A704" t="s">
        <v>3320</v>
      </c>
      <c r="B704">
        <v>757</v>
      </c>
      <c r="C704" t="s">
        <v>3320</v>
      </c>
      <c r="D704">
        <v>41367</v>
      </c>
      <c r="E704" t="s">
        <v>3321</v>
      </c>
      <c r="F704">
        <v>2300</v>
      </c>
      <c r="G704" t="s">
        <v>566</v>
      </c>
      <c r="H704" t="s">
        <v>3312</v>
      </c>
      <c r="I704" t="s">
        <v>1163</v>
      </c>
      <c r="J704">
        <v>2301</v>
      </c>
      <c r="K704" t="s">
        <v>3313</v>
      </c>
      <c r="L704">
        <v>1200</v>
      </c>
      <c r="M704" t="s">
        <v>1480</v>
      </c>
      <c r="N704">
        <v>1202</v>
      </c>
      <c r="O704" t="s">
        <v>595</v>
      </c>
      <c r="P704" t="s">
        <v>2366</v>
      </c>
      <c r="Q704" t="s">
        <v>2364</v>
      </c>
      <c r="R704" t="s">
        <v>2364</v>
      </c>
      <c r="S704" t="s">
        <v>1881</v>
      </c>
      <c r="T704" t="s">
        <v>1812</v>
      </c>
      <c r="U704" t="s">
        <v>2365</v>
      </c>
      <c r="V704" t="s">
        <v>2365</v>
      </c>
      <c r="W704" t="s">
        <v>2365</v>
      </c>
      <c r="X704" t="s">
        <v>2365</v>
      </c>
      <c r="Y704" t="s">
        <v>2365</v>
      </c>
      <c r="Z704" t="s">
        <v>2365</v>
      </c>
      <c r="AA704" t="s">
        <v>2365</v>
      </c>
      <c r="AB704" t="s">
        <v>2365</v>
      </c>
      <c r="AC704" s="813" t="s">
        <v>2365</v>
      </c>
      <c r="AD704" s="813" t="s">
        <v>2365</v>
      </c>
      <c r="AE704" s="813" t="s">
        <v>2365</v>
      </c>
      <c r="AF704" t="s">
        <v>2365</v>
      </c>
      <c r="AG704" t="s">
        <v>2365</v>
      </c>
      <c r="AH704" t="s">
        <v>2365</v>
      </c>
      <c r="AI704" t="s">
        <v>2365</v>
      </c>
      <c r="AJ704" t="s">
        <v>2365</v>
      </c>
      <c r="AK704" t="s">
        <v>2365</v>
      </c>
      <c r="AL704" t="s">
        <v>2365</v>
      </c>
      <c r="AM704" t="s">
        <v>2365</v>
      </c>
      <c r="AN704" t="s">
        <v>2365</v>
      </c>
      <c r="AR704" t="s">
        <v>2365</v>
      </c>
      <c r="AS704" t="s">
        <v>2365</v>
      </c>
      <c r="AT704" t="s">
        <v>2365</v>
      </c>
      <c r="AU704" t="s">
        <v>2365</v>
      </c>
      <c r="AV704" t="s">
        <v>2365</v>
      </c>
      <c r="AW704" t="s">
        <v>2365</v>
      </c>
      <c r="AX704" t="s">
        <v>2365</v>
      </c>
      <c r="AY704" t="s">
        <v>2365</v>
      </c>
      <c r="AZ704" t="s">
        <v>2365</v>
      </c>
      <c r="BA704" t="s">
        <v>2365</v>
      </c>
      <c r="BB704" t="s">
        <v>2365</v>
      </c>
      <c r="BC704" t="s">
        <v>2365</v>
      </c>
      <c r="BD704" t="s">
        <v>2366</v>
      </c>
      <c r="BE704">
        <v>1510</v>
      </c>
      <c r="BF704" t="s">
        <v>1676</v>
      </c>
      <c r="BG704">
        <v>1510</v>
      </c>
      <c r="BH704" t="s">
        <v>1676</v>
      </c>
      <c r="BI704" t="s">
        <v>1907</v>
      </c>
      <c r="BJ704" t="s">
        <v>2365</v>
      </c>
      <c r="BK704" t="s">
        <v>2365</v>
      </c>
      <c r="BL704" t="s">
        <v>2365</v>
      </c>
      <c r="BM704" t="s">
        <v>2365</v>
      </c>
      <c r="BO704">
        <v>1</v>
      </c>
      <c r="BP704">
        <v>13</v>
      </c>
      <c r="BQ704" t="s">
        <v>2369</v>
      </c>
      <c r="BR704" t="s">
        <v>595</v>
      </c>
      <c r="BU704">
        <v>175336</v>
      </c>
      <c r="BV704">
        <v>0</v>
      </c>
      <c r="BW704">
        <v>175336</v>
      </c>
      <c r="BX704">
        <v>0</v>
      </c>
      <c r="BY704">
        <v>175336</v>
      </c>
      <c r="BZ704">
        <v>192869</v>
      </c>
      <c r="CA704">
        <v>212156</v>
      </c>
      <c r="CB704">
        <v>0</v>
      </c>
      <c r="CC704">
        <v>0</v>
      </c>
      <c r="CD704">
        <v>5910.97</v>
      </c>
      <c r="CE704">
        <v>11705.9</v>
      </c>
      <c r="CF704">
        <v>11323.29</v>
      </c>
      <c r="CG704">
        <v>11705.9</v>
      </c>
      <c r="CH704">
        <v>11705.9</v>
      </c>
      <c r="CI704">
        <v>10573.07</v>
      </c>
      <c r="CJ704">
        <v>0</v>
      </c>
      <c r="CK704">
        <v>0</v>
      </c>
      <c r="CL704">
        <v>0</v>
      </c>
      <c r="CM704">
        <v>0</v>
      </c>
      <c r="CR704" t="s">
        <v>2324</v>
      </c>
      <c r="CS704" s="1369" t="str">
        <f>INDEX([8]Sheet1!$H:$H,MATCH(CR:CR,[8]Sheet1!$AU:$AU,0))</f>
        <v>Finance</v>
      </c>
    </row>
    <row r="705" spans="1:97" x14ac:dyDescent="0.2">
      <c r="A705" t="s">
        <v>3322</v>
      </c>
      <c r="B705">
        <v>758</v>
      </c>
      <c r="C705" t="s">
        <v>3322</v>
      </c>
      <c r="D705">
        <v>41368</v>
      </c>
      <c r="E705" t="s">
        <v>3323</v>
      </c>
      <c r="F705">
        <v>2300</v>
      </c>
      <c r="G705" t="s">
        <v>566</v>
      </c>
      <c r="H705" t="s">
        <v>3312</v>
      </c>
      <c r="I705" t="s">
        <v>1163</v>
      </c>
      <c r="J705">
        <v>2301</v>
      </c>
      <c r="K705" t="s">
        <v>3313</v>
      </c>
      <c r="L705">
        <v>1200</v>
      </c>
      <c r="M705" t="s">
        <v>1480</v>
      </c>
      <c r="N705">
        <v>1202</v>
      </c>
      <c r="O705" t="s">
        <v>595</v>
      </c>
      <c r="P705" t="s">
        <v>2366</v>
      </c>
      <c r="Q705" t="s">
        <v>2364</v>
      </c>
      <c r="R705" t="s">
        <v>2364</v>
      </c>
      <c r="S705" t="s">
        <v>1881</v>
      </c>
      <c r="T705" t="s">
        <v>1812</v>
      </c>
      <c r="U705" t="s">
        <v>2365</v>
      </c>
      <c r="V705" t="s">
        <v>2365</v>
      </c>
      <c r="W705" t="s">
        <v>2365</v>
      </c>
      <c r="X705" t="s">
        <v>2365</v>
      </c>
      <c r="Y705" t="s">
        <v>2365</v>
      </c>
      <c r="Z705" t="s">
        <v>2365</v>
      </c>
      <c r="AA705" t="s">
        <v>2365</v>
      </c>
      <c r="AB705" t="s">
        <v>2365</v>
      </c>
      <c r="AC705" s="813" t="s">
        <v>2365</v>
      </c>
      <c r="AD705" s="813" t="s">
        <v>2365</v>
      </c>
      <c r="AE705" s="813" t="s">
        <v>2365</v>
      </c>
      <c r="AF705" t="s">
        <v>2365</v>
      </c>
      <c r="AG705" t="s">
        <v>2365</v>
      </c>
      <c r="AH705" t="s">
        <v>2365</v>
      </c>
      <c r="AI705" t="s">
        <v>2365</v>
      </c>
      <c r="AJ705" t="s">
        <v>2365</v>
      </c>
      <c r="AK705" t="s">
        <v>2365</v>
      </c>
      <c r="AL705" t="s">
        <v>2365</v>
      </c>
      <c r="AM705" t="s">
        <v>2365</v>
      </c>
      <c r="AN705" t="s">
        <v>2365</v>
      </c>
      <c r="AR705" t="s">
        <v>2365</v>
      </c>
      <c r="AS705" t="s">
        <v>2365</v>
      </c>
      <c r="AT705" t="s">
        <v>2365</v>
      </c>
      <c r="AU705" t="s">
        <v>2365</v>
      </c>
      <c r="AV705" t="s">
        <v>2365</v>
      </c>
      <c r="AW705" t="s">
        <v>2365</v>
      </c>
      <c r="AX705" t="s">
        <v>2365</v>
      </c>
      <c r="AY705" t="s">
        <v>2365</v>
      </c>
      <c r="AZ705" t="s">
        <v>2365</v>
      </c>
      <c r="BA705" t="s">
        <v>2365</v>
      </c>
      <c r="BB705" t="s">
        <v>2365</v>
      </c>
      <c r="BC705" t="s">
        <v>2365</v>
      </c>
      <c r="BD705" t="s">
        <v>2366</v>
      </c>
      <c r="BE705">
        <v>1200</v>
      </c>
      <c r="BF705" t="s">
        <v>1652</v>
      </c>
      <c r="BG705">
        <v>1200</v>
      </c>
      <c r="BH705" t="s">
        <v>1652</v>
      </c>
      <c r="BI705" t="s">
        <v>1907</v>
      </c>
      <c r="BJ705" t="s">
        <v>2365</v>
      </c>
      <c r="BK705" t="s">
        <v>2365</v>
      </c>
      <c r="BL705" t="s">
        <v>2365</v>
      </c>
      <c r="BM705" t="s">
        <v>2365</v>
      </c>
      <c r="BO705">
        <v>1</v>
      </c>
      <c r="BP705">
        <v>13</v>
      </c>
      <c r="BQ705" t="s">
        <v>2369</v>
      </c>
      <c r="BR705" t="s">
        <v>595</v>
      </c>
      <c r="BU705">
        <v>545746</v>
      </c>
      <c r="BV705">
        <v>0</v>
      </c>
      <c r="BW705">
        <v>545746</v>
      </c>
      <c r="BX705">
        <v>0</v>
      </c>
      <c r="BY705">
        <v>545746</v>
      </c>
      <c r="BZ705">
        <v>600321</v>
      </c>
      <c r="CA705">
        <v>660353</v>
      </c>
      <c r="CB705">
        <v>178391.05</v>
      </c>
      <c r="CC705">
        <v>172636.49</v>
      </c>
      <c r="CD705">
        <v>27074.39</v>
      </c>
      <c r="CE705">
        <v>30030.94</v>
      </c>
      <c r="CF705">
        <v>29062.2</v>
      </c>
      <c r="CG705">
        <v>30030.93</v>
      </c>
      <c r="CH705">
        <v>30030.93</v>
      </c>
      <c r="CI705">
        <v>27124.720000000001</v>
      </c>
      <c r="CJ705">
        <v>0</v>
      </c>
      <c r="CK705">
        <v>0</v>
      </c>
      <c r="CL705">
        <v>0</v>
      </c>
      <c r="CM705">
        <v>0</v>
      </c>
      <c r="CR705" t="s">
        <v>2324</v>
      </c>
      <c r="CS705" s="1369" t="str">
        <f>INDEX([8]Sheet1!$H:$H,MATCH(CR:CR,[8]Sheet1!$AU:$AU,0))</f>
        <v>Finance</v>
      </c>
    </row>
    <row r="706" spans="1:97" x14ac:dyDescent="0.2">
      <c r="A706" t="s">
        <v>3324</v>
      </c>
      <c r="B706">
        <v>759</v>
      </c>
      <c r="C706" t="s">
        <v>3324</v>
      </c>
      <c r="D706">
        <v>41369</v>
      </c>
      <c r="E706" t="s">
        <v>3325</v>
      </c>
      <c r="F706">
        <v>2300</v>
      </c>
      <c r="G706" t="s">
        <v>566</v>
      </c>
      <c r="H706" t="s">
        <v>3312</v>
      </c>
      <c r="I706" t="s">
        <v>1163</v>
      </c>
      <c r="J706">
        <v>2301</v>
      </c>
      <c r="K706" t="s">
        <v>3313</v>
      </c>
      <c r="L706">
        <v>1200</v>
      </c>
      <c r="M706" t="s">
        <v>1480</v>
      </c>
      <c r="N706">
        <v>1202</v>
      </c>
      <c r="O706" t="s">
        <v>595</v>
      </c>
      <c r="P706" t="s">
        <v>2366</v>
      </c>
      <c r="Q706" t="s">
        <v>2364</v>
      </c>
      <c r="R706" t="s">
        <v>2364</v>
      </c>
      <c r="S706" t="s">
        <v>1881</v>
      </c>
      <c r="T706" t="s">
        <v>1812</v>
      </c>
      <c r="U706" t="s">
        <v>2365</v>
      </c>
      <c r="V706" t="s">
        <v>2365</v>
      </c>
      <c r="W706" t="s">
        <v>2365</v>
      </c>
      <c r="X706" t="s">
        <v>2365</v>
      </c>
      <c r="Y706" t="s">
        <v>2365</v>
      </c>
      <c r="Z706" t="s">
        <v>2365</v>
      </c>
      <c r="AA706" t="s">
        <v>2365</v>
      </c>
      <c r="AB706" t="s">
        <v>2365</v>
      </c>
      <c r="AC706" s="813" t="s">
        <v>2365</v>
      </c>
      <c r="AD706" s="813" t="s">
        <v>2365</v>
      </c>
      <c r="AE706" s="813" t="s">
        <v>2365</v>
      </c>
      <c r="AF706" t="s">
        <v>2365</v>
      </c>
      <c r="AG706" t="s">
        <v>2365</v>
      </c>
      <c r="AH706" t="s">
        <v>2365</v>
      </c>
      <c r="AI706" t="s">
        <v>2365</v>
      </c>
      <c r="AJ706" t="s">
        <v>2365</v>
      </c>
      <c r="AK706" t="s">
        <v>2365</v>
      </c>
      <c r="AL706" t="s">
        <v>2365</v>
      </c>
      <c r="AM706" t="s">
        <v>2365</v>
      </c>
      <c r="AN706" t="s">
        <v>2365</v>
      </c>
      <c r="AR706" t="s">
        <v>2365</v>
      </c>
      <c r="AS706" t="s">
        <v>2365</v>
      </c>
      <c r="AT706" t="s">
        <v>2365</v>
      </c>
      <c r="AU706" t="s">
        <v>2365</v>
      </c>
      <c r="AV706" t="s">
        <v>2365</v>
      </c>
      <c r="AW706" t="s">
        <v>2365</v>
      </c>
      <c r="AX706" t="s">
        <v>2365</v>
      </c>
      <c r="AY706" t="s">
        <v>2365</v>
      </c>
      <c r="AZ706" t="s">
        <v>2365</v>
      </c>
      <c r="BA706" t="s">
        <v>2365</v>
      </c>
      <c r="BB706" t="s">
        <v>2365</v>
      </c>
      <c r="BC706" t="s">
        <v>2365</v>
      </c>
      <c r="BD706" t="s">
        <v>2366</v>
      </c>
      <c r="BE706">
        <v>120</v>
      </c>
      <c r="BF706" t="s">
        <v>1002</v>
      </c>
      <c r="BG706">
        <v>120</v>
      </c>
      <c r="BH706" t="s">
        <v>1002</v>
      </c>
      <c r="BI706" t="s">
        <v>1907</v>
      </c>
      <c r="BJ706" t="s">
        <v>2365</v>
      </c>
      <c r="BK706" t="s">
        <v>2365</v>
      </c>
      <c r="BL706" t="s">
        <v>2365</v>
      </c>
      <c r="BM706" t="s">
        <v>2365</v>
      </c>
      <c r="BO706">
        <v>1</v>
      </c>
      <c r="BP706">
        <v>13</v>
      </c>
      <c r="BQ706" t="s">
        <v>2369</v>
      </c>
      <c r="BR706" t="s">
        <v>595</v>
      </c>
      <c r="BU706">
        <v>3787600</v>
      </c>
      <c r="BV706">
        <v>0</v>
      </c>
      <c r="BW706">
        <v>3787600</v>
      </c>
      <c r="BX706">
        <v>0</v>
      </c>
      <c r="BY706">
        <v>3787600</v>
      </c>
      <c r="BZ706">
        <v>4166360</v>
      </c>
      <c r="CA706">
        <v>4582996</v>
      </c>
      <c r="CB706">
        <v>311083.67</v>
      </c>
      <c r="CC706">
        <v>301048.73</v>
      </c>
      <c r="CD706">
        <v>309760.52</v>
      </c>
      <c r="CE706">
        <v>310637.83</v>
      </c>
      <c r="CF706">
        <v>300617.26</v>
      </c>
      <c r="CG706">
        <v>310637.83</v>
      </c>
      <c r="CH706">
        <v>310637.83</v>
      </c>
      <c r="CI706">
        <v>280576.11</v>
      </c>
      <c r="CJ706">
        <v>0</v>
      </c>
      <c r="CK706">
        <v>0</v>
      </c>
      <c r="CL706">
        <v>0</v>
      </c>
      <c r="CM706">
        <v>0</v>
      </c>
      <c r="CR706" t="s">
        <v>2324</v>
      </c>
      <c r="CS706" s="1369" t="str">
        <f>INDEX([8]Sheet1!$H:$H,MATCH(CR:CR,[8]Sheet1!$AU:$AU,0))</f>
        <v>Finance</v>
      </c>
    </row>
    <row r="707" spans="1:97" x14ac:dyDescent="0.2">
      <c r="A707" t="s">
        <v>3326</v>
      </c>
      <c r="B707">
        <v>760</v>
      </c>
      <c r="C707" t="s">
        <v>3326</v>
      </c>
      <c r="D707">
        <v>41370</v>
      </c>
      <c r="E707" t="s">
        <v>2924</v>
      </c>
      <c r="F707">
        <v>2900</v>
      </c>
      <c r="G707" t="s">
        <v>569</v>
      </c>
      <c r="H707" t="s">
        <v>2366</v>
      </c>
      <c r="I707" t="s">
        <v>2366</v>
      </c>
      <c r="J707">
        <v>2904</v>
      </c>
      <c r="K707" t="s">
        <v>1432</v>
      </c>
      <c r="L707">
        <v>4400</v>
      </c>
      <c r="M707" t="s">
        <v>631</v>
      </c>
      <c r="N707">
        <v>4402</v>
      </c>
      <c r="O707" t="s">
        <v>1556</v>
      </c>
      <c r="P707" t="s">
        <v>2366</v>
      </c>
      <c r="Q707" t="s">
        <v>2364</v>
      </c>
      <c r="R707" t="s">
        <v>2364</v>
      </c>
      <c r="S707" t="s">
        <v>1881</v>
      </c>
      <c r="T707" t="s">
        <v>1812</v>
      </c>
      <c r="U707" t="s">
        <v>2365</v>
      </c>
      <c r="V707" t="s">
        <v>2365</v>
      </c>
      <c r="W707" t="s">
        <v>2365</v>
      </c>
      <c r="X707" t="s">
        <v>2365</v>
      </c>
      <c r="Y707" t="s">
        <v>2365</v>
      </c>
      <c r="Z707" t="s">
        <v>2365</v>
      </c>
      <c r="AA707" t="s">
        <v>2365</v>
      </c>
      <c r="AB707" t="s">
        <v>2365</v>
      </c>
      <c r="AC707" s="813" t="s">
        <v>2365</v>
      </c>
      <c r="AD707" s="813" t="s">
        <v>2365</v>
      </c>
      <c r="AE707" s="813" t="s">
        <v>2365</v>
      </c>
      <c r="AF707" t="s">
        <v>2365</v>
      </c>
      <c r="AG707" t="s">
        <v>2365</v>
      </c>
      <c r="AH707" t="s">
        <v>2365</v>
      </c>
      <c r="AI707" t="s">
        <v>2365</v>
      </c>
      <c r="AJ707" t="s">
        <v>2365</v>
      </c>
      <c r="AK707" t="s">
        <v>2365</v>
      </c>
      <c r="AL707" t="s">
        <v>2365</v>
      </c>
      <c r="AM707" t="s">
        <v>2365</v>
      </c>
      <c r="AN707" t="s">
        <v>2365</v>
      </c>
      <c r="AR707" t="s">
        <v>2365</v>
      </c>
      <c r="AS707" t="s">
        <v>2365</v>
      </c>
      <c r="AT707" t="s">
        <v>2365</v>
      </c>
      <c r="AU707" t="s">
        <v>2365</v>
      </c>
      <c r="AV707" t="s">
        <v>2365</v>
      </c>
      <c r="AW707" t="s">
        <v>2365</v>
      </c>
      <c r="AX707" t="s">
        <v>2365</v>
      </c>
      <c r="AY707" t="s">
        <v>2365</v>
      </c>
      <c r="AZ707" t="s">
        <v>2365</v>
      </c>
      <c r="BA707" t="s">
        <v>2365</v>
      </c>
      <c r="BB707" t="s">
        <v>2365</v>
      </c>
      <c r="BC707" t="s">
        <v>2365</v>
      </c>
      <c r="BD707" t="s">
        <v>2366</v>
      </c>
      <c r="BE707" t="s">
        <v>2365</v>
      </c>
      <c r="BF707" t="s">
        <v>2365</v>
      </c>
      <c r="BG707" t="s">
        <v>2365</v>
      </c>
      <c r="BH707" t="s">
        <v>2365</v>
      </c>
      <c r="BI707" t="s">
        <v>2366</v>
      </c>
      <c r="BJ707" t="s">
        <v>2365</v>
      </c>
      <c r="BK707" t="s">
        <v>2365</v>
      </c>
      <c r="BL707" t="s">
        <v>2365</v>
      </c>
      <c r="BM707" t="s">
        <v>2365</v>
      </c>
      <c r="BO707">
        <v>12</v>
      </c>
      <c r="BP707">
        <v>123</v>
      </c>
      <c r="BQ707" t="s">
        <v>1369</v>
      </c>
      <c r="BR707" t="s">
        <v>1556</v>
      </c>
      <c r="BU707">
        <v>380000</v>
      </c>
      <c r="BV707">
        <v>0</v>
      </c>
      <c r="BW707">
        <v>380000</v>
      </c>
      <c r="BX707">
        <v>0</v>
      </c>
      <c r="BY707">
        <v>380000</v>
      </c>
      <c r="BZ707">
        <v>402800</v>
      </c>
      <c r="CA707">
        <v>426968</v>
      </c>
      <c r="CB707">
        <v>2100</v>
      </c>
      <c r="CC707">
        <v>0</v>
      </c>
      <c r="CD707">
        <v>0</v>
      </c>
      <c r="CE707">
        <v>0</v>
      </c>
      <c r="CF707">
        <v>0</v>
      </c>
      <c r="CG707">
        <v>0</v>
      </c>
      <c r="CH707">
        <v>56610.66</v>
      </c>
      <c r="CI707">
        <v>10877</v>
      </c>
      <c r="CJ707">
        <v>0</v>
      </c>
      <c r="CK707">
        <v>0</v>
      </c>
      <c r="CL707">
        <v>0</v>
      </c>
      <c r="CM707">
        <v>0</v>
      </c>
      <c r="CR707" t="s">
        <v>2320</v>
      </c>
      <c r="CS707" s="1369" t="str">
        <f>INDEX([8]Sheet1!$H:$H,MATCH(CR:CR,[8]Sheet1!$AU:$AU,0))</f>
        <v>Administrative and Corporate Support</v>
      </c>
    </row>
    <row r="708" spans="1:97" x14ac:dyDescent="0.2">
      <c r="A708" t="s">
        <v>3327</v>
      </c>
      <c r="B708">
        <v>761</v>
      </c>
      <c r="C708" t="s">
        <v>3327</v>
      </c>
      <c r="D708">
        <v>40791</v>
      </c>
      <c r="E708" t="s">
        <v>2504</v>
      </c>
      <c r="F708">
        <v>2900</v>
      </c>
      <c r="G708" t="s">
        <v>569</v>
      </c>
      <c r="H708" t="s">
        <v>2366</v>
      </c>
      <c r="I708" t="s">
        <v>2366</v>
      </c>
      <c r="J708">
        <v>2904</v>
      </c>
      <c r="K708" t="s">
        <v>1432</v>
      </c>
      <c r="L708">
        <v>2100</v>
      </c>
      <c r="M708" t="s">
        <v>618</v>
      </c>
      <c r="N708">
        <v>2114</v>
      </c>
      <c r="O708" t="s">
        <v>999</v>
      </c>
      <c r="P708" t="s">
        <v>2366</v>
      </c>
      <c r="Q708" t="s">
        <v>2364</v>
      </c>
      <c r="R708" t="s">
        <v>2364</v>
      </c>
      <c r="S708" t="s">
        <v>1881</v>
      </c>
      <c r="T708" t="s">
        <v>1812</v>
      </c>
      <c r="U708" t="s">
        <v>2365</v>
      </c>
      <c r="V708" t="s">
        <v>2365</v>
      </c>
      <c r="W708" t="s">
        <v>2365</v>
      </c>
      <c r="X708" t="s">
        <v>2365</v>
      </c>
      <c r="Y708" t="s">
        <v>2365</v>
      </c>
      <c r="Z708" t="s">
        <v>2365</v>
      </c>
      <c r="AA708" t="s">
        <v>2365</v>
      </c>
      <c r="AB708" t="s">
        <v>2365</v>
      </c>
      <c r="AC708" s="813" t="s">
        <v>2365</v>
      </c>
      <c r="AD708" s="813" t="s">
        <v>2365</v>
      </c>
      <c r="AE708" s="813" t="s">
        <v>2365</v>
      </c>
      <c r="AF708" t="s">
        <v>2365</v>
      </c>
      <c r="AG708" t="s">
        <v>2365</v>
      </c>
      <c r="AH708" t="s">
        <v>2365</v>
      </c>
      <c r="AI708" t="s">
        <v>2365</v>
      </c>
      <c r="AJ708" t="s">
        <v>2365</v>
      </c>
      <c r="AK708" t="s">
        <v>2365</v>
      </c>
      <c r="AL708" t="s">
        <v>2365</v>
      </c>
      <c r="AM708" t="s">
        <v>2365</v>
      </c>
      <c r="AN708" t="s">
        <v>2365</v>
      </c>
      <c r="AR708" t="s">
        <v>2365</v>
      </c>
      <c r="AS708" t="s">
        <v>2365</v>
      </c>
      <c r="AT708" t="s">
        <v>2365</v>
      </c>
      <c r="AU708" t="s">
        <v>2365</v>
      </c>
      <c r="AV708" t="s">
        <v>2365</v>
      </c>
      <c r="AW708" t="s">
        <v>2365</v>
      </c>
      <c r="AX708" t="s">
        <v>2365</v>
      </c>
      <c r="AY708" t="s">
        <v>2365</v>
      </c>
      <c r="AZ708" t="s">
        <v>2365</v>
      </c>
      <c r="BA708" t="s">
        <v>2365</v>
      </c>
      <c r="BB708" t="s">
        <v>2365</v>
      </c>
      <c r="BC708" t="s">
        <v>2365</v>
      </c>
      <c r="BD708" t="s">
        <v>2366</v>
      </c>
      <c r="BE708" t="s">
        <v>2365</v>
      </c>
      <c r="BF708" t="s">
        <v>2365</v>
      </c>
      <c r="BG708" t="s">
        <v>2365</v>
      </c>
      <c r="BH708" t="s">
        <v>2365</v>
      </c>
      <c r="BI708" t="s">
        <v>2366</v>
      </c>
      <c r="BJ708" t="s">
        <v>2365</v>
      </c>
      <c r="BK708" t="s">
        <v>2365</v>
      </c>
      <c r="BL708" t="s">
        <v>2365</v>
      </c>
      <c r="BM708" t="s">
        <v>2365</v>
      </c>
      <c r="BO708">
        <v>4</v>
      </c>
      <c r="BP708">
        <v>42</v>
      </c>
      <c r="BQ708" t="s">
        <v>2433</v>
      </c>
      <c r="BR708" t="s">
        <v>999</v>
      </c>
      <c r="BU708">
        <v>0</v>
      </c>
      <c r="BV708">
        <v>0</v>
      </c>
      <c r="BW708">
        <v>0</v>
      </c>
      <c r="BX708">
        <v>0</v>
      </c>
      <c r="BY708">
        <v>0</v>
      </c>
      <c r="BZ708">
        <v>0</v>
      </c>
      <c r="CA708">
        <v>0</v>
      </c>
      <c r="CB708">
        <v>0</v>
      </c>
      <c r="CC708">
        <v>0</v>
      </c>
      <c r="CD708">
        <v>0</v>
      </c>
      <c r="CE708">
        <v>0</v>
      </c>
      <c r="CF708">
        <v>0</v>
      </c>
      <c r="CG708">
        <v>0</v>
      </c>
      <c r="CH708">
        <v>0</v>
      </c>
      <c r="CI708">
        <v>0</v>
      </c>
      <c r="CJ708">
        <v>0</v>
      </c>
      <c r="CK708">
        <v>0</v>
      </c>
      <c r="CL708">
        <v>0</v>
      </c>
      <c r="CM708">
        <v>0</v>
      </c>
      <c r="CR708" t="s">
        <v>2325</v>
      </c>
      <c r="CS708" s="1369" t="str">
        <f>INDEX([8]Sheet1!$H:$H,MATCH(CR:CR,[8]Sheet1!$AU:$AU,0))</f>
        <v>Asset Management</v>
      </c>
    </row>
    <row r="709" spans="1:97" x14ac:dyDescent="0.2">
      <c r="A709" t="s">
        <v>3328</v>
      </c>
      <c r="B709">
        <v>762</v>
      </c>
      <c r="C709" t="s">
        <v>3328</v>
      </c>
      <c r="D709">
        <v>40792</v>
      </c>
      <c r="E709" t="s">
        <v>2453</v>
      </c>
      <c r="F709">
        <v>2900</v>
      </c>
      <c r="G709" t="s">
        <v>569</v>
      </c>
      <c r="H709" t="s">
        <v>2366</v>
      </c>
      <c r="I709" t="s">
        <v>2366</v>
      </c>
      <c r="J709">
        <v>2904</v>
      </c>
      <c r="K709" t="s">
        <v>1432</v>
      </c>
      <c r="L709">
        <v>2100</v>
      </c>
      <c r="M709" t="s">
        <v>618</v>
      </c>
      <c r="N709">
        <v>2114</v>
      </c>
      <c r="O709" t="s">
        <v>999</v>
      </c>
      <c r="P709" t="s">
        <v>2366</v>
      </c>
      <c r="Q709" t="s">
        <v>2364</v>
      </c>
      <c r="R709" t="s">
        <v>2364</v>
      </c>
      <c r="S709" t="s">
        <v>1881</v>
      </c>
      <c r="T709" t="s">
        <v>1812</v>
      </c>
      <c r="U709" t="s">
        <v>2365</v>
      </c>
      <c r="V709" t="s">
        <v>2365</v>
      </c>
      <c r="W709" t="s">
        <v>2365</v>
      </c>
      <c r="X709" t="s">
        <v>2365</v>
      </c>
      <c r="Y709" t="s">
        <v>2365</v>
      </c>
      <c r="Z709" t="s">
        <v>2365</v>
      </c>
      <c r="AA709" t="s">
        <v>2365</v>
      </c>
      <c r="AB709" t="s">
        <v>2365</v>
      </c>
      <c r="AC709" s="813" t="s">
        <v>2365</v>
      </c>
      <c r="AD709" s="813" t="s">
        <v>2365</v>
      </c>
      <c r="AE709" s="813" t="s">
        <v>2365</v>
      </c>
      <c r="AF709" t="s">
        <v>2365</v>
      </c>
      <c r="AG709" t="s">
        <v>2365</v>
      </c>
      <c r="AH709" t="s">
        <v>2365</v>
      </c>
      <c r="AI709" t="s">
        <v>2365</v>
      </c>
      <c r="AJ709" t="s">
        <v>2365</v>
      </c>
      <c r="AK709" t="s">
        <v>2365</v>
      </c>
      <c r="AL709" t="s">
        <v>2365</v>
      </c>
      <c r="AM709" t="s">
        <v>2365</v>
      </c>
      <c r="AN709" t="s">
        <v>2365</v>
      </c>
      <c r="AR709" t="s">
        <v>2365</v>
      </c>
      <c r="AS709" t="s">
        <v>2365</v>
      </c>
      <c r="AT709" t="s">
        <v>2365</v>
      </c>
      <c r="AU709" t="s">
        <v>2365</v>
      </c>
      <c r="AV709" t="s">
        <v>2365</v>
      </c>
      <c r="AW709" t="s">
        <v>2365</v>
      </c>
      <c r="AX709" t="s">
        <v>2365</v>
      </c>
      <c r="AY709" t="s">
        <v>2365</v>
      </c>
      <c r="AZ709" t="s">
        <v>2365</v>
      </c>
      <c r="BA709" t="s">
        <v>2365</v>
      </c>
      <c r="BB709" t="s">
        <v>2365</v>
      </c>
      <c r="BC709" t="s">
        <v>2365</v>
      </c>
      <c r="BD709" t="s">
        <v>2366</v>
      </c>
      <c r="BE709" t="s">
        <v>2365</v>
      </c>
      <c r="BF709" t="s">
        <v>2365</v>
      </c>
      <c r="BG709" t="s">
        <v>2365</v>
      </c>
      <c r="BH709" t="s">
        <v>2365</v>
      </c>
      <c r="BI709" t="s">
        <v>2366</v>
      </c>
      <c r="BJ709" t="s">
        <v>2365</v>
      </c>
      <c r="BK709" t="s">
        <v>2365</v>
      </c>
      <c r="BL709" t="s">
        <v>2365</v>
      </c>
      <c r="BM709" t="s">
        <v>2365</v>
      </c>
      <c r="BO709">
        <v>4</v>
      </c>
      <c r="BP709">
        <v>42</v>
      </c>
      <c r="BQ709" t="s">
        <v>2433</v>
      </c>
      <c r="BR709" t="s">
        <v>999</v>
      </c>
      <c r="BU709">
        <v>0</v>
      </c>
      <c r="BV709">
        <v>0</v>
      </c>
      <c r="BW709">
        <v>0</v>
      </c>
      <c r="BX709">
        <v>0</v>
      </c>
      <c r="BY709">
        <v>0</v>
      </c>
      <c r="BZ709">
        <v>0</v>
      </c>
      <c r="CA709">
        <v>0</v>
      </c>
      <c r="CB709">
        <v>0</v>
      </c>
      <c r="CC709">
        <v>0</v>
      </c>
      <c r="CD709">
        <v>0</v>
      </c>
      <c r="CE709">
        <v>0</v>
      </c>
      <c r="CF709">
        <v>0</v>
      </c>
      <c r="CG709">
        <v>0</v>
      </c>
      <c r="CH709">
        <v>0</v>
      </c>
      <c r="CI709">
        <v>0</v>
      </c>
      <c r="CJ709">
        <v>0</v>
      </c>
      <c r="CK709">
        <v>0</v>
      </c>
      <c r="CL709">
        <v>0</v>
      </c>
      <c r="CM709">
        <v>0</v>
      </c>
      <c r="CR709" t="s">
        <v>2324</v>
      </c>
      <c r="CS709" s="1369" t="str">
        <f>INDEX([8]Sheet1!$H:$H,MATCH(CR:CR,[8]Sheet1!$AU:$AU,0))</f>
        <v>Finance</v>
      </c>
    </row>
    <row r="710" spans="1:97" x14ac:dyDescent="0.2">
      <c r="A710" t="s">
        <v>3329</v>
      </c>
      <c r="B710">
        <v>763</v>
      </c>
      <c r="C710" t="s">
        <v>3329</v>
      </c>
      <c r="D710">
        <v>40793</v>
      </c>
      <c r="E710" t="s">
        <v>2911</v>
      </c>
      <c r="F710">
        <v>2900</v>
      </c>
      <c r="G710" t="s">
        <v>569</v>
      </c>
      <c r="H710" t="s">
        <v>2366</v>
      </c>
      <c r="I710" t="s">
        <v>2366</v>
      </c>
      <c r="J710">
        <v>2904</v>
      </c>
      <c r="K710" t="s">
        <v>1432</v>
      </c>
      <c r="L710">
        <v>2100</v>
      </c>
      <c r="M710" t="s">
        <v>618</v>
      </c>
      <c r="N710">
        <v>2114</v>
      </c>
      <c r="O710" t="s">
        <v>999</v>
      </c>
      <c r="P710" t="s">
        <v>2366</v>
      </c>
      <c r="Q710" t="s">
        <v>2364</v>
      </c>
      <c r="R710" t="s">
        <v>2364</v>
      </c>
      <c r="S710" t="s">
        <v>1881</v>
      </c>
      <c r="T710" t="s">
        <v>1812</v>
      </c>
      <c r="U710" t="s">
        <v>2365</v>
      </c>
      <c r="V710" t="s">
        <v>2365</v>
      </c>
      <c r="W710" t="s">
        <v>2365</v>
      </c>
      <c r="X710" t="s">
        <v>2365</v>
      </c>
      <c r="Y710" t="s">
        <v>2365</v>
      </c>
      <c r="Z710" t="s">
        <v>2365</v>
      </c>
      <c r="AA710" t="s">
        <v>2365</v>
      </c>
      <c r="AB710" t="s">
        <v>2365</v>
      </c>
      <c r="AC710" s="813" t="s">
        <v>2365</v>
      </c>
      <c r="AD710" s="813" t="s">
        <v>2365</v>
      </c>
      <c r="AE710" s="813" t="s">
        <v>2365</v>
      </c>
      <c r="AF710" t="s">
        <v>2365</v>
      </c>
      <c r="AG710" t="s">
        <v>2365</v>
      </c>
      <c r="AH710" t="s">
        <v>2365</v>
      </c>
      <c r="AI710" t="s">
        <v>2365</v>
      </c>
      <c r="AJ710" t="s">
        <v>2365</v>
      </c>
      <c r="AK710" t="s">
        <v>2365</v>
      </c>
      <c r="AL710" t="s">
        <v>2365</v>
      </c>
      <c r="AM710" t="s">
        <v>2365</v>
      </c>
      <c r="AN710" t="s">
        <v>2365</v>
      </c>
      <c r="AR710" t="s">
        <v>2365</v>
      </c>
      <c r="AS710" t="s">
        <v>2365</v>
      </c>
      <c r="AT710" t="s">
        <v>2365</v>
      </c>
      <c r="AU710" t="s">
        <v>2365</v>
      </c>
      <c r="AV710" t="s">
        <v>2365</v>
      </c>
      <c r="AW710" t="s">
        <v>2365</v>
      </c>
      <c r="AX710" t="s">
        <v>2365</v>
      </c>
      <c r="AY710" t="s">
        <v>2365</v>
      </c>
      <c r="AZ710" t="s">
        <v>2365</v>
      </c>
      <c r="BA710" t="s">
        <v>2365</v>
      </c>
      <c r="BB710" t="s">
        <v>2365</v>
      </c>
      <c r="BC710" t="s">
        <v>2365</v>
      </c>
      <c r="BD710" t="s">
        <v>2366</v>
      </c>
      <c r="BE710" t="s">
        <v>2365</v>
      </c>
      <c r="BF710" t="s">
        <v>2365</v>
      </c>
      <c r="BG710" t="s">
        <v>2365</v>
      </c>
      <c r="BH710" t="s">
        <v>2365</v>
      </c>
      <c r="BI710" t="s">
        <v>2366</v>
      </c>
      <c r="BJ710" t="s">
        <v>2365</v>
      </c>
      <c r="BK710" t="s">
        <v>2365</v>
      </c>
      <c r="BL710" t="s">
        <v>2365</v>
      </c>
      <c r="BM710" t="s">
        <v>2365</v>
      </c>
      <c r="BO710">
        <v>4</v>
      </c>
      <c r="BP710">
        <v>42</v>
      </c>
      <c r="BQ710" t="s">
        <v>2433</v>
      </c>
      <c r="BR710" t="s">
        <v>999</v>
      </c>
      <c r="BU710">
        <v>0</v>
      </c>
      <c r="BV710">
        <v>0</v>
      </c>
      <c r="BW710">
        <v>0</v>
      </c>
      <c r="BX710">
        <v>0</v>
      </c>
      <c r="BY710">
        <v>0</v>
      </c>
      <c r="BZ710">
        <v>0</v>
      </c>
      <c r="CA710">
        <v>0</v>
      </c>
      <c r="CB710">
        <v>0</v>
      </c>
      <c r="CC710">
        <v>0</v>
      </c>
      <c r="CD710">
        <v>0</v>
      </c>
      <c r="CE710">
        <v>0</v>
      </c>
      <c r="CF710">
        <v>0</v>
      </c>
      <c r="CG710">
        <v>0</v>
      </c>
      <c r="CH710">
        <v>0</v>
      </c>
      <c r="CI710">
        <v>0</v>
      </c>
      <c r="CJ710">
        <v>0</v>
      </c>
      <c r="CK710">
        <v>0</v>
      </c>
      <c r="CL710">
        <v>0</v>
      </c>
      <c r="CM710">
        <v>0</v>
      </c>
      <c r="CR710" t="s">
        <v>2324</v>
      </c>
      <c r="CS710" s="1369" t="str">
        <f>INDEX([8]Sheet1!$H:$H,MATCH(CR:CR,[8]Sheet1!$AU:$AU,0))</f>
        <v>Finance</v>
      </c>
    </row>
    <row r="711" spans="1:97" x14ac:dyDescent="0.2">
      <c r="A711" t="s">
        <v>3330</v>
      </c>
      <c r="B711">
        <v>764</v>
      </c>
      <c r="C711" t="s">
        <v>3330</v>
      </c>
      <c r="D711">
        <v>40794</v>
      </c>
      <c r="E711" t="s">
        <v>2506</v>
      </c>
      <c r="F711">
        <v>2900</v>
      </c>
      <c r="G711" t="s">
        <v>569</v>
      </c>
      <c r="H711" s="1373" t="s">
        <v>2366</v>
      </c>
      <c r="I711" t="s">
        <v>2366</v>
      </c>
      <c r="J711">
        <v>2904</v>
      </c>
      <c r="K711" t="s">
        <v>1432</v>
      </c>
      <c r="L711" s="1373">
        <v>2100</v>
      </c>
      <c r="M711" t="s">
        <v>618</v>
      </c>
      <c r="N711">
        <v>2114</v>
      </c>
      <c r="O711" t="s">
        <v>999</v>
      </c>
      <c r="P711" t="s">
        <v>2366</v>
      </c>
      <c r="Q711" t="s">
        <v>2364</v>
      </c>
      <c r="R711" t="s">
        <v>2364</v>
      </c>
      <c r="S711" t="s">
        <v>1881</v>
      </c>
      <c r="T711" t="s">
        <v>1812</v>
      </c>
      <c r="U711" t="s">
        <v>2365</v>
      </c>
      <c r="V711" t="s">
        <v>2365</v>
      </c>
      <c r="W711" t="s">
        <v>2365</v>
      </c>
      <c r="X711" t="s">
        <v>2365</v>
      </c>
      <c r="Y711" t="s">
        <v>2365</v>
      </c>
      <c r="Z711" t="s">
        <v>2365</v>
      </c>
      <c r="AA711" t="s">
        <v>2365</v>
      </c>
      <c r="AB711" t="s">
        <v>2365</v>
      </c>
      <c r="AC711" s="813" t="s">
        <v>2365</v>
      </c>
      <c r="AD711" s="813" t="s">
        <v>2365</v>
      </c>
      <c r="AE711" s="813" t="s">
        <v>2365</v>
      </c>
      <c r="AF711" t="s">
        <v>2365</v>
      </c>
      <c r="AG711" t="s">
        <v>2365</v>
      </c>
      <c r="AH711" t="s">
        <v>2365</v>
      </c>
      <c r="AI711" t="s">
        <v>2365</v>
      </c>
      <c r="AJ711" t="s">
        <v>2365</v>
      </c>
      <c r="AK711" t="s">
        <v>2365</v>
      </c>
      <c r="AL711" t="s">
        <v>2365</v>
      </c>
      <c r="AM711" t="s">
        <v>2365</v>
      </c>
      <c r="AN711" t="s">
        <v>2365</v>
      </c>
      <c r="AR711" t="s">
        <v>2365</v>
      </c>
      <c r="AS711" t="s">
        <v>2365</v>
      </c>
      <c r="AT711" t="s">
        <v>2365</v>
      </c>
      <c r="AU711" t="s">
        <v>2365</v>
      </c>
      <c r="AV711" t="s">
        <v>2365</v>
      </c>
      <c r="AW711" t="s">
        <v>2365</v>
      </c>
      <c r="AX711" t="s">
        <v>2365</v>
      </c>
      <c r="AY711" t="s">
        <v>2365</v>
      </c>
      <c r="AZ711" t="s">
        <v>2365</v>
      </c>
      <c r="BA711" t="s">
        <v>2365</v>
      </c>
      <c r="BB711" t="s">
        <v>2365</v>
      </c>
      <c r="BC711" t="s">
        <v>2365</v>
      </c>
      <c r="BD711" t="s">
        <v>2366</v>
      </c>
      <c r="BE711" t="s">
        <v>2365</v>
      </c>
      <c r="BF711" t="s">
        <v>2365</v>
      </c>
      <c r="BG711" t="s">
        <v>2365</v>
      </c>
      <c r="BH711" t="s">
        <v>2365</v>
      </c>
      <c r="BI711" t="s">
        <v>2366</v>
      </c>
      <c r="BJ711" t="s">
        <v>2365</v>
      </c>
      <c r="BK711" t="s">
        <v>2365</v>
      </c>
      <c r="BL711" t="s">
        <v>2365</v>
      </c>
      <c r="BM711" t="s">
        <v>2365</v>
      </c>
      <c r="BO711">
        <v>4</v>
      </c>
      <c r="BP711">
        <v>42</v>
      </c>
      <c r="BQ711" t="s">
        <v>2433</v>
      </c>
      <c r="BR711" t="s">
        <v>999</v>
      </c>
      <c r="BU711" s="1371">
        <v>0</v>
      </c>
      <c r="BV711" s="1371">
        <v>0</v>
      </c>
      <c r="BW711" s="1371">
        <v>0</v>
      </c>
      <c r="BX711" s="1371">
        <v>0</v>
      </c>
      <c r="BY711" s="1371">
        <v>0</v>
      </c>
      <c r="BZ711">
        <v>0</v>
      </c>
      <c r="CA711">
        <v>0</v>
      </c>
      <c r="CB711">
        <v>0</v>
      </c>
      <c r="CC711">
        <v>0</v>
      </c>
      <c r="CD711">
        <v>0</v>
      </c>
      <c r="CE711">
        <v>0</v>
      </c>
      <c r="CF711">
        <v>0</v>
      </c>
      <c r="CG711">
        <v>0</v>
      </c>
      <c r="CH711">
        <v>0</v>
      </c>
      <c r="CI711">
        <v>0</v>
      </c>
      <c r="CJ711">
        <v>0</v>
      </c>
      <c r="CK711">
        <v>0</v>
      </c>
      <c r="CL711">
        <v>0</v>
      </c>
      <c r="CM711">
        <v>0</v>
      </c>
      <c r="CR711" t="s">
        <v>2324</v>
      </c>
      <c r="CS711" s="1369" t="str">
        <f>INDEX([8]Sheet1!$H:$H,MATCH(CR:CR,[8]Sheet1!$AU:$AU,0))</f>
        <v>Finance</v>
      </c>
    </row>
    <row r="712" spans="1:97" x14ac:dyDescent="0.2">
      <c r="A712" t="s">
        <v>3331</v>
      </c>
      <c r="B712">
        <v>765</v>
      </c>
      <c r="C712" t="s">
        <v>3331</v>
      </c>
      <c r="D712">
        <v>40795</v>
      </c>
      <c r="E712" t="s">
        <v>2508</v>
      </c>
      <c r="F712">
        <v>2900</v>
      </c>
      <c r="G712" t="s">
        <v>569</v>
      </c>
      <c r="H712" t="s">
        <v>2366</v>
      </c>
      <c r="I712" t="s">
        <v>2366</v>
      </c>
      <c r="J712">
        <v>2904</v>
      </c>
      <c r="K712" t="s">
        <v>1432</v>
      </c>
      <c r="L712">
        <v>2100</v>
      </c>
      <c r="M712" t="s">
        <v>618</v>
      </c>
      <c r="N712">
        <v>2114</v>
      </c>
      <c r="O712" t="s">
        <v>999</v>
      </c>
      <c r="P712" t="s">
        <v>2366</v>
      </c>
      <c r="Q712" t="s">
        <v>2364</v>
      </c>
      <c r="R712" t="s">
        <v>2364</v>
      </c>
      <c r="S712" t="s">
        <v>1881</v>
      </c>
      <c r="T712" t="s">
        <v>1812</v>
      </c>
      <c r="U712" t="s">
        <v>2365</v>
      </c>
      <c r="V712" t="s">
        <v>2365</v>
      </c>
      <c r="W712" t="s">
        <v>2365</v>
      </c>
      <c r="X712" t="s">
        <v>2365</v>
      </c>
      <c r="Y712" t="s">
        <v>2365</v>
      </c>
      <c r="Z712" t="s">
        <v>2365</v>
      </c>
      <c r="AA712" t="s">
        <v>2365</v>
      </c>
      <c r="AB712" t="s">
        <v>2365</v>
      </c>
      <c r="AC712" s="813" t="s">
        <v>2365</v>
      </c>
      <c r="AD712" s="813" t="s">
        <v>2365</v>
      </c>
      <c r="AE712" s="813" t="s">
        <v>2365</v>
      </c>
      <c r="AF712" t="s">
        <v>2365</v>
      </c>
      <c r="AG712" t="s">
        <v>2365</v>
      </c>
      <c r="AH712" t="s">
        <v>2365</v>
      </c>
      <c r="AI712" t="s">
        <v>2365</v>
      </c>
      <c r="AJ712" t="s">
        <v>2365</v>
      </c>
      <c r="AK712" t="s">
        <v>2365</v>
      </c>
      <c r="AL712" t="s">
        <v>2365</v>
      </c>
      <c r="AM712" t="s">
        <v>2365</v>
      </c>
      <c r="AN712" t="s">
        <v>2365</v>
      </c>
      <c r="AR712" t="s">
        <v>2365</v>
      </c>
      <c r="AS712" t="s">
        <v>2365</v>
      </c>
      <c r="AT712" t="s">
        <v>2365</v>
      </c>
      <c r="AU712" t="s">
        <v>2365</v>
      </c>
      <c r="AV712" t="s">
        <v>2365</v>
      </c>
      <c r="AW712" t="s">
        <v>2365</v>
      </c>
      <c r="AX712" t="s">
        <v>2365</v>
      </c>
      <c r="AY712" t="s">
        <v>2365</v>
      </c>
      <c r="AZ712" t="s">
        <v>2365</v>
      </c>
      <c r="BA712" t="s">
        <v>2365</v>
      </c>
      <c r="BB712" t="s">
        <v>2365</v>
      </c>
      <c r="BC712" t="s">
        <v>2365</v>
      </c>
      <c r="BD712" t="s">
        <v>2366</v>
      </c>
      <c r="BE712" t="s">
        <v>2365</v>
      </c>
      <c r="BF712" t="s">
        <v>2365</v>
      </c>
      <c r="BG712" t="s">
        <v>2365</v>
      </c>
      <c r="BH712" t="s">
        <v>2365</v>
      </c>
      <c r="BI712" t="s">
        <v>2366</v>
      </c>
      <c r="BJ712" t="s">
        <v>2365</v>
      </c>
      <c r="BK712" t="s">
        <v>2365</v>
      </c>
      <c r="BL712" t="s">
        <v>2365</v>
      </c>
      <c r="BM712" t="s">
        <v>2365</v>
      </c>
      <c r="BO712">
        <v>4</v>
      </c>
      <c r="BP712">
        <v>42</v>
      </c>
      <c r="BQ712" t="s">
        <v>2433</v>
      </c>
      <c r="BR712" t="s">
        <v>999</v>
      </c>
      <c r="BU712">
        <v>0</v>
      </c>
      <c r="BV712">
        <v>0</v>
      </c>
      <c r="BW712">
        <v>0</v>
      </c>
      <c r="BX712">
        <v>0</v>
      </c>
      <c r="BY712">
        <v>0</v>
      </c>
      <c r="BZ712">
        <v>0</v>
      </c>
      <c r="CA712">
        <v>0</v>
      </c>
      <c r="CB712">
        <v>0</v>
      </c>
      <c r="CC712">
        <v>0</v>
      </c>
      <c r="CD712">
        <v>0</v>
      </c>
      <c r="CE712">
        <v>0</v>
      </c>
      <c r="CF712">
        <v>0</v>
      </c>
      <c r="CG712">
        <v>0</v>
      </c>
      <c r="CH712">
        <v>0</v>
      </c>
      <c r="CI712">
        <v>0</v>
      </c>
      <c r="CJ712">
        <v>0</v>
      </c>
      <c r="CK712">
        <v>0</v>
      </c>
      <c r="CL712">
        <v>0</v>
      </c>
      <c r="CM712">
        <v>0</v>
      </c>
      <c r="CR712" t="s">
        <v>2324</v>
      </c>
      <c r="CS712" s="1369" t="str">
        <f>INDEX([8]Sheet1!$H:$H,MATCH(CR:CR,[8]Sheet1!$AU:$AU,0))</f>
        <v>Finance</v>
      </c>
    </row>
    <row r="713" spans="1:97" x14ac:dyDescent="0.2">
      <c r="A713" t="s">
        <v>3332</v>
      </c>
      <c r="B713">
        <v>766</v>
      </c>
      <c r="C713" t="s">
        <v>3332</v>
      </c>
      <c r="D713">
        <v>40796</v>
      </c>
      <c r="E713" t="s">
        <v>2916</v>
      </c>
      <c r="F713">
        <v>2900</v>
      </c>
      <c r="G713" t="s">
        <v>569</v>
      </c>
      <c r="H713" t="s">
        <v>2366</v>
      </c>
      <c r="I713" t="s">
        <v>2366</v>
      </c>
      <c r="J713">
        <v>2904</v>
      </c>
      <c r="K713" t="s">
        <v>1432</v>
      </c>
      <c r="L713">
        <v>2100</v>
      </c>
      <c r="M713" t="s">
        <v>618</v>
      </c>
      <c r="N713">
        <v>2114</v>
      </c>
      <c r="O713" t="s">
        <v>999</v>
      </c>
      <c r="P713" t="s">
        <v>2366</v>
      </c>
      <c r="Q713" t="s">
        <v>2364</v>
      </c>
      <c r="R713" t="s">
        <v>2364</v>
      </c>
      <c r="S713" t="s">
        <v>1881</v>
      </c>
      <c r="T713" t="s">
        <v>1812</v>
      </c>
      <c r="U713" t="s">
        <v>2365</v>
      </c>
      <c r="V713" t="s">
        <v>2365</v>
      </c>
      <c r="W713" t="s">
        <v>2365</v>
      </c>
      <c r="X713" t="s">
        <v>2365</v>
      </c>
      <c r="Y713" t="s">
        <v>2365</v>
      </c>
      <c r="Z713" t="s">
        <v>2365</v>
      </c>
      <c r="AA713" t="s">
        <v>2365</v>
      </c>
      <c r="AB713" t="s">
        <v>2365</v>
      </c>
      <c r="AC713" s="813" t="s">
        <v>2365</v>
      </c>
      <c r="AD713" s="813" t="s">
        <v>2365</v>
      </c>
      <c r="AE713" s="813" t="s">
        <v>2365</v>
      </c>
      <c r="AF713" t="s">
        <v>2365</v>
      </c>
      <c r="AG713" t="s">
        <v>2365</v>
      </c>
      <c r="AH713" t="s">
        <v>2365</v>
      </c>
      <c r="AI713" t="s">
        <v>2365</v>
      </c>
      <c r="AJ713" t="s">
        <v>2365</v>
      </c>
      <c r="AK713" t="s">
        <v>2365</v>
      </c>
      <c r="AL713" t="s">
        <v>2365</v>
      </c>
      <c r="AM713" t="s">
        <v>2365</v>
      </c>
      <c r="AN713" t="s">
        <v>2365</v>
      </c>
      <c r="AR713" t="s">
        <v>2365</v>
      </c>
      <c r="AS713" t="s">
        <v>2365</v>
      </c>
      <c r="AT713" t="s">
        <v>2365</v>
      </c>
      <c r="AU713" t="s">
        <v>2365</v>
      </c>
      <c r="AV713" t="s">
        <v>2365</v>
      </c>
      <c r="AW713" t="s">
        <v>2365</v>
      </c>
      <c r="AX713" t="s">
        <v>2365</v>
      </c>
      <c r="AY713" t="s">
        <v>2365</v>
      </c>
      <c r="AZ713" t="s">
        <v>2365</v>
      </c>
      <c r="BA713" t="s">
        <v>2365</v>
      </c>
      <c r="BB713" t="s">
        <v>2365</v>
      </c>
      <c r="BC713" t="s">
        <v>2365</v>
      </c>
      <c r="BD713" t="s">
        <v>2366</v>
      </c>
      <c r="BE713" t="s">
        <v>2365</v>
      </c>
      <c r="BF713" t="s">
        <v>2365</v>
      </c>
      <c r="BG713" t="s">
        <v>2365</v>
      </c>
      <c r="BH713" t="s">
        <v>2365</v>
      </c>
      <c r="BI713" t="s">
        <v>2366</v>
      </c>
      <c r="BJ713" t="s">
        <v>2365</v>
      </c>
      <c r="BK713" t="s">
        <v>2365</v>
      </c>
      <c r="BL713" t="s">
        <v>2365</v>
      </c>
      <c r="BM713" t="s">
        <v>2365</v>
      </c>
      <c r="BO713">
        <v>4</v>
      </c>
      <c r="BP713">
        <v>42</v>
      </c>
      <c r="BQ713" t="s">
        <v>2433</v>
      </c>
      <c r="BR713" t="s">
        <v>999</v>
      </c>
      <c r="BU713">
        <v>0</v>
      </c>
      <c r="BV713">
        <v>0</v>
      </c>
      <c r="BW713">
        <v>0</v>
      </c>
      <c r="BX713">
        <v>0</v>
      </c>
      <c r="BY713">
        <v>0</v>
      </c>
      <c r="BZ713">
        <v>0</v>
      </c>
      <c r="CA713">
        <v>0</v>
      </c>
      <c r="CB713">
        <v>0</v>
      </c>
      <c r="CC713">
        <v>0</v>
      </c>
      <c r="CD713">
        <v>0</v>
      </c>
      <c r="CE713">
        <v>0</v>
      </c>
      <c r="CF713">
        <v>0</v>
      </c>
      <c r="CG713">
        <v>0</v>
      </c>
      <c r="CH713">
        <v>0</v>
      </c>
      <c r="CI713">
        <v>0</v>
      </c>
      <c r="CJ713">
        <v>0</v>
      </c>
      <c r="CK713">
        <v>0</v>
      </c>
      <c r="CL713">
        <v>0</v>
      </c>
      <c r="CM713">
        <v>0</v>
      </c>
      <c r="CR713" t="s">
        <v>2324</v>
      </c>
      <c r="CS713" s="1369" t="str">
        <f>INDEX([8]Sheet1!$H:$H,MATCH(CR:CR,[8]Sheet1!$AU:$AU,0))</f>
        <v>Finance</v>
      </c>
    </row>
    <row r="714" spans="1:97" x14ac:dyDescent="0.2">
      <c r="A714" t="s">
        <v>3333</v>
      </c>
      <c r="B714">
        <v>767</v>
      </c>
      <c r="C714" t="s">
        <v>3333</v>
      </c>
      <c r="D714">
        <v>40797</v>
      </c>
      <c r="E714" t="s">
        <v>2510</v>
      </c>
      <c r="F714">
        <v>2900</v>
      </c>
      <c r="G714" t="s">
        <v>569</v>
      </c>
      <c r="H714" t="s">
        <v>2366</v>
      </c>
      <c r="I714" t="s">
        <v>2366</v>
      </c>
      <c r="J714">
        <v>2904</v>
      </c>
      <c r="K714" t="s">
        <v>1432</v>
      </c>
      <c r="L714">
        <v>2100</v>
      </c>
      <c r="M714" t="s">
        <v>618</v>
      </c>
      <c r="N714">
        <v>2114</v>
      </c>
      <c r="O714" t="s">
        <v>999</v>
      </c>
      <c r="P714" t="s">
        <v>2366</v>
      </c>
      <c r="Q714" t="s">
        <v>2364</v>
      </c>
      <c r="R714" t="s">
        <v>2364</v>
      </c>
      <c r="S714" t="s">
        <v>1881</v>
      </c>
      <c r="T714" t="s">
        <v>1812</v>
      </c>
      <c r="U714" t="s">
        <v>2365</v>
      </c>
      <c r="V714" t="s">
        <v>2365</v>
      </c>
      <c r="W714" t="s">
        <v>2365</v>
      </c>
      <c r="X714" t="s">
        <v>2365</v>
      </c>
      <c r="Y714" t="s">
        <v>2365</v>
      </c>
      <c r="Z714" t="s">
        <v>2365</v>
      </c>
      <c r="AA714" t="s">
        <v>2365</v>
      </c>
      <c r="AB714" t="s">
        <v>2365</v>
      </c>
      <c r="AC714" s="813" t="s">
        <v>2365</v>
      </c>
      <c r="AD714" s="813" t="s">
        <v>2365</v>
      </c>
      <c r="AE714" s="813" t="s">
        <v>2365</v>
      </c>
      <c r="AF714" t="s">
        <v>2365</v>
      </c>
      <c r="AG714" t="s">
        <v>2365</v>
      </c>
      <c r="AH714" t="s">
        <v>2365</v>
      </c>
      <c r="AI714" t="s">
        <v>2365</v>
      </c>
      <c r="AJ714" t="s">
        <v>2365</v>
      </c>
      <c r="AK714" t="s">
        <v>2365</v>
      </c>
      <c r="AL714" t="s">
        <v>2365</v>
      </c>
      <c r="AM714" t="s">
        <v>2365</v>
      </c>
      <c r="AN714" t="s">
        <v>2365</v>
      </c>
      <c r="AR714" t="s">
        <v>2365</v>
      </c>
      <c r="AS714" t="s">
        <v>2365</v>
      </c>
      <c r="AT714" t="s">
        <v>2365</v>
      </c>
      <c r="AU714" t="s">
        <v>2365</v>
      </c>
      <c r="AV714" t="s">
        <v>2365</v>
      </c>
      <c r="AW714" t="s">
        <v>2365</v>
      </c>
      <c r="AX714" t="s">
        <v>2365</v>
      </c>
      <c r="AY714" t="s">
        <v>2365</v>
      </c>
      <c r="AZ714" t="s">
        <v>2365</v>
      </c>
      <c r="BA714" t="s">
        <v>2365</v>
      </c>
      <c r="BB714" t="s">
        <v>2365</v>
      </c>
      <c r="BC714" t="s">
        <v>2365</v>
      </c>
      <c r="BD714" t="s">
        <v>2366</v>
      </c>
      <c r="BE714" t="s">
        <v>2365</v>
      </c>
      <c r="BF714" t="s">
        <v>2365</v>
      </c>
      <c r="BG714" t="s">
        <v>2365</v>
      </c>
      <c r="BH714" t="s">
        <v>2365</v>
      </c>
      <c r="BI714" t="s">
        <v>2366</v>
      </c>
      <c r="BJ714" t="s">
        <v>2365</v>
      </c>
      <c r="BK714" t="s">
        <v>2365</v>
      </c>
      <c r="BL714" t="s">
        <v>2365</v>
      </c>
      <c r="BM714" t="s">
        <v>2365</v>
      </c>
      <c r="BO714">
        <v>4</v>
      </c>
      <c r="BP714">
        <v>42</v>
      </c>
      <c r="BQ714" t="s">
        <v>2433</v>
      </c>
      <c r="BR714" t="s">
        <v>999</v>
      </c>
      <c r="BU714">
        <v>0</v>
      </c>
      <c r="BV714">
        <v>0</v>
      </c>
      <c r="BW714">
        <v>0</v>
      </c>
      <c r="BX714">
        <v>0</v>
      </c>
      <c r="BY714">
        <v>0</v>
      </c>
      <c r="BZ714">
        <v>0</v>
      </c>
      <c r="CA714">
        <v>0</v>
      </c>
      <c r="CB714">
        <v>0</v>
      </c>
      <c r="CC714">
        <v>0</v>
      </c>
      <c r="CD714">
        <v>0</v>
      </c>
      <c r="CE714">
        <v>0</v>
      </c>
      <c r="CF714">
        <v>0</v>
      </c>
      <c r="CG714">
        <v>0</v>
      </c>
      <c r="CH714">
        <v>0</v>
      </c>
      <c r="CI714">
        <v>0</v>
      </c>
      <c r="CJ714">
        <v>0</v>
      </c>
      <c r="CK714">
        <v>0</v>
      </c>
      <c r="CL714">
        <v>0</v>
      </c>
      <c r="CM714">
        <v>0</v>
      </c>
      <c r="CR714" t="s">
        <v>2324</v>
      </c>
      <c r="CS714" s="1369" t="str">
        <f>INDEX([8]Sheet1!$H:$H,MATCH(CR:CR,[8]Sheet1!$AU:$AU,0))</f>
        <v>Finance</v>
      </c>
    </row>
    <row r="715" spans="1:97" x14ac:dyDescent="0.2">
      <c r="A715" t="s">
        <v>3334</v>
      </c>
      <c r="B715">
        <v>768</v>
      </c>
      <c r="C715" t="s">
        <v>3334</v>
      </c>
      <c r="D715">
        <v>40798</v>
      </c>
      <c r="E715" t="s">
        <v>2919</v>
      </c>
      <c r="F715">
        <v>2900</v>
      </c>
      <c r="G715" t="s">
        <v>569</v>
      </c>
      <c r="H715" t="s">
        <v>2366</v>
      </c>
      <c r="I715" t="s">
        <v>2366</v>
      </c>
      <c r="J715">
        <v>2904</v>
      </c>
      <c r="K715" t="s">
        <v>1432</v>
      </c>
      <c r="L715">
        <v>2100</v>
      </c>
      <c r="M715" t="s">
        <v>618</v>
      </c>
      <c r="N715">
        <v>2114</v>
      </c>
      <c r="O715" t="s">
        <v>999</v>
      </c>
      <c r="P715" t="s">
        <v>2366</v>
      </c>
      <c r="Q715" t="s">
        <v>2364</v>
      </c>
      <c r="R715" t="s">
        <v>2364</v>
      </c>
      <c r="S715" t="s">
        <v>1881</v>
      </c>
      <c r="T715" t="s">
        <v>1812</v>
      </c>
      <c r="U715" t="s">
        <v>2365</v>
      </c>
      <c r="V715" t="s">
        <v>2365</v>
      </c>
      <c r="W715" t="s">
        <v>2365</v>
      </c>
      <c r="X715" t="s">
        <v>2365</v>
      </c>
      <c r="Y715" t="s">
        <v>2365</v>
      </c>
      <c r="Z715" t="s">
        <v>2365</v>
      </c>
      <c r="AA715" t="s">
        <v>2365</v>
      </c>
      <c r="AB715" t="s">
        <v>2365</v>
      </c>
      <c r="AC715" s="813" t="s">
        <v>2365</v>
      </c>
      <c r="AD715" s="813" t="s">
        <v>2365</v>
      </c>
      <c r="AE715" s="813" t="s">
        <v>2365</v>
      </c>
      <c r="AF715" t="s">
        <v>2365</v>
      </c>
      <c r="AG715" t="s">
        <v>2365</v>
      </c>
      <c r="AH715" t="s">
        <v>2365</v>
      </c>
      <c r="AI715" t="s">
        <v>2365</v>
      </c>
      <c r="AJ715" t="s">
        <v>2365</v>
      </c>
      <c r="AK715" t="s">
        <v>2365</v>
      </c>
      <c r="AL715" t="s">
        <v>2365</v>
      </c>
      <c r="AM715" t="s">
        <v>2365</v>
      </c>
      <c r="AN715" t="s">
        <v>2365</v>
      </c>
      <c r="AR715" t="s">
        <v>2365</v>
      </c>
      <c r="AS715" t="s">
        <v>2365</v>
      </c>
      <c r="AT715" t="s">
        <v>2365</v>
      </c>
      <c r="AU715" t="s">
        <v>2365</v>
      </c>
      <c r="AV715" t="s">
        <v>2365</v>
      </c>
      <c r="AW715" t="s">
        <v>2365</v>
      </c>
      <c r="AX715" t="s">
        <v>2365</v>
      </c>
      <c r="AY715" t="s">
        <v>2365</v>
      </c>
      <c r="AZ715" t="s">
        <v>2365</v>
      </c>
      <c r="BA715" t="s">
        <v>2365</v>
      </c>
      <c r="BB715" t="s">
        <v>2365</v>
      </c>
      <c r="BC715" t="s">
        <v>2365</v>
      </c>
      <c r="BD715" t="s">
        <v>2366</v>
      </c>
      <c r="BE715" t="s">
        <v>2365</v>
      </c>
      <c r="BF715" t="s">
        <v>2365</v>
      </c>
      <c r="BG715" t="s">
        <v>2365</v>
      </c>
      <c r="BH715" t="s">
        <v>2365</v>
      </c>
      <c r="BI715" t="s">
        <v>2366</v>
      </c>
      <c r="BJ715" t="s">
        <v>2365</v>
      </c>
      <c r="BK715" t="s">
        <v>2365</v>
      </c>
      <c r="BL715" t="s">
        <v>2365</v>
      </c>
      <c r="BM715" t="s">
        <v>2365</v>
      </c>
      <c r="BO715">
        <v>4</v>
      </c>
      <c r="BP715">
        <v>42</v>
      </c>
      <c r="BQ715" t="s">
        <v>2433</v>
      </c>
      <c r="BR715" t="s">
        <v>999</v>
      </c>
      <c r="BU715">
        <v>0</v>
      </c>
      <c r="BV715">
        <v>0</v>
      </c>
      <c r="BW715">
        <v>0</v>
      </c>
      <c r="BX715">
        <v>0</v>
      </c>
      <c r="BY715">
        <v>0</v>
      </c>
      <c r="BZ715">
        <v>0</v>
      </c>
      <c r="CA715">
        <v>0</v>
      </c>
      <c r="CB715">
        <v>0</v>
      </c>
      <c r="CC715">
        <v>0</v>
      </c>
      <c r="CD715">
        <v>0</v>
      </c>
      <c r="CE715">
        <v>0</v>
      </c>
      <c r="CF715">
        <v>0</v>
      </c>
      <c r="CG715">
        <v>0</v>
      </c>
      <c r="CH715">
        <v>0</v>
      </c>
      <c r="CI715">
        <v>0</v>
      </c>
      <c r="CJ715">
        <v>0</v>
      </c>
      <c r="CK715">
        <v>0</v>
      </c>
      <c r="CL715">
        <v>0</v>
      </c>
      <c r="CM715">
        <v>0</v>
      </c>
      <c r="CR715" t="s">
        <v>2324</v>
      </c>
      <c r="CS715" s="1369" t="str">
        <f>INDEX([8]Sheet1!$H:$H,MATCH(CR:CR,[8]Sheet1!$AU:$AU,0))</f>
        <v>Finance</v>
      </c>
    </row>
    <row r="716" spans="1:97" x14ac:dyDescent="0.2">
      <c r="A716" t="s">
        <v>3335</v>
      </c>
      <c r="B716">
        <v>769</v>
      </c>
      <c r="C716" t="s">
        <v>3335</v>
      </c>
      <c r="D716">
        <v>40799</v>
      </c>
      <c r="E716" t="s">
        <v>2516</v>
      </c>
      <c r="F716">
        <v>2900</v>
      </c>
      <c r="G716" t="s">
        <v>569</v>
      </c>
      <c r="H716" t="s">
        <v>2366</v>
      </c>
      <c r="I716" t="s">
        <v>2366</v>
      </c>
      <c r="J716">
        <v>2904</v>
      </c>
      <c r="K716" t="s">
        <v>1432</v>
      </c>
      <c r="L716">
        <v>2100</v>
      </c>
      <c r="M716" t="s">
        <v>618</v>
      </c>
      <c r="N716">
        <v>2114</v>
      </c>
      <c r="O716" t="s">
        <v>999</v>
      </c>
      <c r="P716" t="s">
        <v>2366</v>
      </c>
      <c r="Q716" t="s">
        <v>2364</v>
      </c>
      <c r="R716" t="s">
        <v>2364</v>
      </c>
      <c r="S716" t="s">
        <v>1881</v>
      </c>
      <c r="T716" t="s">
        <v>1812</v>
      </c>
      <c r="U716" t="s">
        <v>2365</v>
      </c>
      <c r="V716" t="s">
        <v>2365</v>
      </c>
      <c r="W716" t="s">
        <v>2365</v>
      </c>
      <c r="X716" t="s">
        <v>2365</v>
      </c>
      <c r="Y716" t="s">
        <v>2365</v>
      </c>
      <c r="Z716" t="s">
        <v>2365</v>
      </c>
      <c r="AA716" t="s">
        <v>2365</v>
      </c>
      <c r="AB716" t="s">
        <v>2365</v>
      </c>
      <c r="AC716" s="813" t="s">
        <v>2365</v>
      </c>
      <c r="AD716" s="813" t="s">
        <v>2365</v>
      </c>
      <c r="AE716" s="813" t="s">
        <v>2365</v>
      </c>
      <c r="AF716" t="s">
        <v>2365</v>
      </c>
      <c r="AG716" t="s">
        <v>2365</v>
      </c>
      <c r="AH716" t="s">
        <v>2365</v>
      </c>
      <c r="AI716" t="s">
        <v>2365</v>
      </c>
      <c r="AJ716" t="s">
        <v>2365</v>
      </c>
      <c r="AK716" t="s">
        <v>2365</v>
      </c>
      <c r="AL716" t="s">
        <v>2365</v>
      </c>
      <c r="AM716" t="s">
        <v>2365</v>
      </c>
      <c r="AN716" t="s">
        <v>2365</v>
      </c>
      <c r="AR716" t="s">
        <v>2365</v>
      </c>
      <c r="AS716" t="s">
        <v>2365</v>
      </c>
      <c r="AT716" t="s">
        <v>2365</v>
      </c>
      <c r="AU716" t="s">
        <v>2365</v>
      </c>
      <c r="AV716" t="s">
        <v>2365</v>
      </c>
      <c r="AW716" t="s">
        <v>2365</v>
      </c>
      <c r="AX716" t="s">
        <v>2365</v>
      </c>
      <c r="AY716" t="s">
        <v>2365</v>
      </c>
      <c r="AZ716" t="s">
        <v>2365</v>
      </c>
      <c r="BA716" t="s">
        <v>2365</v>
      </c>
      <c r="BB716" t="s">
        <v>2365</v>
      </c>
      <c r="BC716" t="s">
        <v>2365</v>
      </c>
      <c r="BD716" t="s">
        <v>2366</v>
      </c>
      <c r="BE716" t="s">
        <v>2365</v>
      </c>
      <c r="BF716" t="s">
        <v>2365</v>
      </c>
      <c r="BG716" t="s">
        <v>2365</v>
      </c>
      <c r="BH716" t="s">
        <v>2365</v>
      </c>
      <c r="BI716" t="s">
        <v>2366</v>
      </c>
      <c r="BJ716" t="s">
        <v>2365</v>
      </c>
      <c r="BK716" t="s">
        <v>2365</v>
      </c>
      <c r="BL716" t="s">
        <v>2365</v>
      </c>
      <c r="BM716" t="s">
        <v>2365</v>
      </c>
      <c r="BO716">
        <v>4</v>
      </c>
      <c r="BP716">
        <v>42</v>
      </c>
      <c r="BQ716" t="s">
        <v>2433</v>
      </c>
      <c r="BR716" t="s">
        <v>999</v>
      </c>
      <c r="BU716">
        <v>0</v>
      </c>
      <c r="BV716">
        <v>0</v>
      </c>
      <c r="BW716">
        <v>0</v>
      </c>
      <c r="BX716">
        <v>0</v>
      </c>
      <c r="BY716">
        <v>0</v>
      </c>
      <c r="BZ716">
        <v>0</v>
      </c>
      <c r="CA716">
        <v>0</v>
      </c>
      <c r="CB716">
        <v>0</v>
      </c>
      <c r="CC716">
        <v>0</v>
      </c>
      <c r="CD716">
        <v>0</v>
      </c>
      <c r="CE716">
        <v>0</v>
      </c>
      <c r="CF716">
        <v>0</v>
      </c>
      <c r="CG716">
        <v>0</v>
      </c>
      <c r="CH716">
        <v>0</v>
      </c>
      <c r="CI716">
        <v>0</v>
      </c>
      <c r="CJ716">
        <v>0</v>
      </c>
      <c r="CK716">
        <v>0</v>
      </c>
      <c r="CL716">
        <v>0</v>
      </c>
      <c r="CM716">
        <v>0</v>
      </c>
      <c r="CR716" t="s">
        <v>2324</v>
      </c>
      <c r="CS716" s="1369" t="str">
        <f>INDEX([8]Sheet1!$H:$H,MATCH(CR:CR,[8]Sheet1!$AU:$AU,0))</f>
        <v>Finance</v>
      </c>
    </row>
    <row r="717" spans="1:97" x14ac:dyDescent="0.2">
      <c r="A717" t="s">
        <v>3336</v>
      </c>
      <c r="B717">
        <v>770</v>
      </c>
      <c r="C717" t="s">
        <v>3336</v>
      </c>
      <c r="D717">
        <v>40800</v>
      </c>
      <c r="E717" t="s">
        <v>3337</v>
      </c>
      <c r="F717">
        <v>2900</v>
      </c>
      <c r="G717" t="s">
        <v>569</v>
      </c>
      <c r="H717" t="s">
        <v>2366</v>
      </c>
      <c r="I717" t="s">
        <v>2366</v>
      </c>
      <c r="J717">
        <v>2904</v>
      </c>
      <c r="K717" t="s">
        <v>1432</v>
      </c>
      <c r="L717">
        <v>2100</v>
      </c>
      <c r="M717" t="s">
        <v>618</v>
      </c>
      <c r="N717">
        <v>2114</v>
      </c>
      <c r="O717" t="s">
        <v>999</v>
      </c>
      <c r="P717" t="s">
        <v>2366</v>
      </c>
      <c r="Q717" t="s">
        <v>2364</v>
      </c>
      <c r="R717" t="s">
        <v>2364</v>
      </c>
      <c r="S717" t="s">
        <v>1881</v>
      </c>
      <c r="T717" t="s">
        <v>1812</v>
      </c>
      <c r="U717" t="s">
        <v>2365</v>
      </c>
      <c r="V717" t="s">
        <v>2365</v>
      </c>
      <c r="W717" t="s">
        <v>2365</v>
      </c>
      <c r="X717" t="s">
        <v>2365</v>
      </c>
      <c r="Y717" t="s">
        <v>2365</v>
      </c>
      <c r="Z717" t="s">
        <v>2365</v>
      </c>
      <c r="AA717" t="s">
        <v>2365</v>
      </c>
      <c r="AB717" t="s">
        <v>2365</v>
      </c>
      <c r="AC717" s="813" t="s">
        <v>2365</v>
      </c>
      <c r="AD717" s="813" t="s">
        <v>2365</v>
      </c>
      <c r="AE717" s="813" t="s">
        <v>2365</v>
      </c>
      <c r="AF717" t="s">
        <v>2365</v>
      </c>
      <c r="AG717" t="s">
        <v>2365</v>
      </c>
      <c r="AH717" t="s">
        <v>2365</v>
      </c>
      <c r="AI717" t="s">
        <v>2365</v>
      </c>
      <c r="AJ717" t="s">
        <v>2365</v>
      </c>
      <c r="AK717" t="s">
        <v>2365</v>
      </c>
      <c r="AL717" t="s">
        <v>2365</v>
      </c>
      <c r="AM717" t="s">
        <v>2365</v>
      </c>
      <c r="AN717" t="s">
        <v>2365</v>
      </c>
      <c r="AR717" t="s">
        <v>2365</v>
      </c>
      <c r="AS717" t="s">
        <v>2365</v>
      </c>
      <c r="AT717" t="s">
        <v>2365</v>
      </c>
      <c r="AU717" t="s">
        <v>2365</v>
      </c>
      <c r="AV717" t="s">
        <v>2365</v>
      </c>
      <c r="AW717" t="s">
        <v>2365</v>
      </c>
      <c r="AX717" t="s">
        <v>2365</v>
      </c>
      <c r="AY717" t="s">
        <v>2365</v>
      </c>
      <c r="AZ717" t="s">
        <v>2365</v>
      </c>
      <c r="BA717" t="s">
        <v>2365</v>
      </c>
      <c r="BB717" t="s">
        <v>2365</v>
      </c>
      <c r="BC717" t="s">
        <v>2365</v>
      </c>
      <c r="BD717" t="s">
        <v>2366</v>
      </c>
      <c r="BE717" t="s">
        <v>2365</v>
      </c>
      <c r="BF717" t="s">
        <v>2365</v>
      </c>
      <c r="BG717" t="s">
        <v>2365</v>
      </c>
      <c r="BH717" t="s">
        <v>2365</v>
      </c>
      <c r="BI717" t="s">
        <v>2366</v>
      </c>
      <c r="BJ717" t="s">
        <v>2365</v>
      </c>
      <c r="BK717" t="s">
        <v>2365</v>
      </c>
      <c r="BL717" t="s">
        <v>2365</v>
      </c>
      <c r="BM717" t="s">
        <v>2365</v>
      </c>
      <c r="BO717">
        <v>4</v>
      </c>
      <c r="BP717">
        <v>42</v>
      </c>
      <c r="BQ717" t="s">
        <v>2433</v>
      </c>
      <c r="BR717" t="s">
        <v>999</v>
      </c>
      <c r="BU717">
        <v>0</v>
      </c>
      <c r="BV717">
        <v>0</v>
      </c>
      <c r="BW717">
        <v>0</v>
      </c>
      <c r="BX717">
        <v>0</v>
      </c>
      <c r="BY717">
        <v>0</v>
      </c>
      <c r="BZ717">
        <v>0</v>
      </c>
      <c r="CA717">
        <v>0</v>
      </c>
      <c r="CB717">
        <v>0</v>
      </c>
      <c r="CC717">
        <v>0</v>
      </c>
      <c r="CD717">
        <v>0</v>
      </c>
      <c r="CE717">
        <v>0</v>
      </c>
      <c r="CF717">
        <v>0</v>
      </c>
      <c r="CG717">
        <v>0</v>
      </c>
      <c r="CH717">
        <v>0</v>
      </c>
      <c r="CI717">
        <v>0</v>
      </c>
      <c r="CJ717">
        <v>0</v>
      </c>
      <c r="CK717">
        <v>0</v>
      </c>
      <c r="CL717">
        <v>0</v>
      </c>
      <c r="CM717">
        <v>0</v>
      </c>
      <c r="CR717" t="s">
        <v>2324</v>
      </c>
      <c r="CS717" s="1369" t="str">
        <f>INDEX([8]Sheet1!$H:$H,MATCH(CR:CR,[8]Sheet1!$AU:$AU,0))</f>
        <v>Finance</v>
      </c>
    </row>
    <row r="718" spans="1:97" x14ac:dyDescent="0.2">
      <c r="A718" t="s">
        <v>3338</v>
      </c>
      <c r="B718">
        <v>771</v>
      </c>
      <c r="C718" t="s">
        <v>3338</v>
      </c>
      <c r="D718">
        <v>40801</v>
      </c>
      <c r="E718" t="s">
        <v>2600</v>
      </c>
      <c r="F718">
        <v>2900</v>
      </c>
      <c r="G718" t="s">
        <v>569</v>
      </c>
      <c r="H718" t="s">
        <v>2366</v>
      </c>
      <c r="I718" t="s">
        <v>2366</v>
      </c>
      <c r="J718">
        <v>2904</v>
      </c>
      <c r="K718" t="s">
        <v>1432</v>
      </c>
      <c r="L718">
        <v>2100</v>
      </c>
      <c r="M718" t="s">
        <v>618</v>
      </c>
      <c r="N718">
        <v>2114</v>
      </c>
      <c r="O718" t="s">
        <v>999</v>
      </c>
      <c r="P718" t="s">
        <v>2366</v>
      </c>
      <c r="Q718" t="s">
        <v>2364</v>
      </c>
      <c r="R718" t="s">
        <v>2364</v>
      </c>
      <c r="S718" t="s">
        <v>1881</v>
      </c>
      <c r="T718" t="s">
        <v>1812</v>
      </c>
      <c r="U718" t="s">
        <v>2365</v>
      </c>
      <c r="V718" t="s">
        <v>2365</v>
      </c>
      <c r="W718" t="s">
        <v>2365</v>
      </c>
      <c r="X718" t="s">
        <v>2365</v>
      </c>
      <c r="Y718" t="s">
        <v>2365</v>
      </c>
      <c r="Z718" t="s">
        <v>2365</v>
      </c>
      <c r="AA718" t="s">
        <v>2365</v>
      </c>
      <c r="AB718" t="s">
        <v>2365</v>
      </c>
      <c r="AC718" s="813" t="s">
        <v>2365</v>
      </c>
      <c r="AD718" s="813" t="s">
        <v>2365</v>
      </c>
      <c r="AE718" s="813" t="s">
        <v>2365</v>
      </c>
      <c r="AF718" t="s">
        <v>2365</v>
      </c>
      <c r="AG718" t="s">
        <v>2365</v>
      </c>
      <c r="AH718" t="s">
        <v>2365</v>
      </c>
      <c r="AI718" t="s">
        <v>2365</v>
      </c>
      <c r="AJ718" t="s">
        <v>2365</v>
      </c>
      <c r="AK718" t="s">
        <v>2365</v>
      </c>
      <c r="AL718" t="s">
        <v>2365</v>
      </c>
      <c r="AM718" t="s">
        <v>2365</v>
      </c>
      <c r="AN718" t="s">
        <v>2365</v>
      </c>
      <c r="AR718" t="s">
        <v>2365</v>
      </c>
      <c r="AS718" t="s">
        <v>2365</v>
      </c>
      <c r="AT718" t="s">
        <v>2365</v>
      </c>
      <c r="AU718" t="s">
        <v>2365</v>
      </c>
      <c r="AV718" t="s">
        <v>2365</v>
      </c>
      <c r="AW718" t="s">
        <v>2365</v>
      </c>
      <c r="AX718" t="s">
        <v>2365</v>
      </c>
      <c r="AY718" t="s">
        <v>2365</v>
      </c>
      <c r="AZ718" t="s">
        <v>2365</v>
      </c>
      <c r="BA718" t="s">
        <v>2365</v>
      </c>
      <c r="BB718" t="s">
        <v>2365</v>
      </c>
      <c r="BC718" t="s">
        <v>2365</v>
      </c>
      <c r="BD718" t="s">
        <v>2366</v>
      </c>
      <c r="BE718" t="s">
        <v>2365</v>
      </c>
      <c r="BF718" t="s">
        <v>2365</v>
      </c>
      <c r="BG718" t="s">
        <v>2365</v>
      </c>
      <c r="BH718" t="s">
        <v>2365</v>
      </c>
      <c r="BI718" t="s">
        <v>2366</v>
      </c>
      <c r="BJ718" t="s">
        <v>2365</v>
      </c>
      <c r="BK718" t="s">
        <v>2365</v>
      </c>
      <c r="BL718" t="s">
        <v>2365</v>
      </c>
      <c r="BM718" t="s">
        <v>2365</v>
      </c>
      <c r="BO718">
        <v>4</v>
      </c>
      <c r="BP718">
        <v>42</v>
      </c>
      <c r="BQ718" t="s">
        <v>2433</v>
      </c>
      <c r="BR718" t="s">
        <v>999</v>
      </c>
      <c r="BU718">
        <v>0</v>
      </c>
      <c r="BV718">
        <v>0</v>
      </c>
      <c r="BW718">
        <v>0</v>
      </c>
      <c r="BX718">
        <v>0</v>
      </c>
      <c r="BY718">
        <v>0</v>
      </c>
      <c r="BZ718">
        <v>0</v>
      </c>
      <c r="CA718">
        <v>0</v>
      </c>
      <c r="CB718">
        <v>0</v>
      </c>
      <c r="CC718">
        <v>0</v>
      </c>
      <c r="CD718">
        <v>0</v>
      </c>
      <c r="CE718">
        <v>0</v>
      </c>
      <c r="CF718">
        <v>0</v>
      </c>
      <c r="CG718">
        <v>0</v>
      </c>
      <c r="CH718">
        <v>0</v>
      </c>
      <c r="CI718">
        <v>0</v>
      </c>
      <c r="CJ718">
        <v>0</v>
      </c>
      <c r="CK718">
        <v>0</v>
      </c>
      <c r="CL718">
        <v>0</v>
      </c>
      <c r="CM718">
        <v>0</v>
      </c>
      <c r="CR718" t="s">
        <v>2324</v>
      </c>
      <c r="CS718" s="1369" t="str">
        <f>INDEX([8]Sheet1!$H:$H,MATCH(CR:CR,[8]Sheet1!$AU:$AU,0))</f>
        <v>Finance</v>
      </c>
    </row>
    <row r="719" spans="1:97" x14ac:dyDescent="0.2">
      <c r="A719" t="s">
        <v>3339</v>
      </c>
      <c r="B719">
        <v>772</v>
      </c>
      <c r="C719" t="s">
        <v>3339</v>
      </c>
      <c r="D719">
        <v>40802</v>
      </c>
      <c r="E719" t="s">
        <v>3340</v>
      </c>
      <c r="F719">
        <v>2900</v>
      </c>
      <c r="G719" t="s">
        <v>569</v>
      </c>
      <c r="H719" t="s">
        <v>2366</v>
      </c>
      <c r="I719" t="s">
        <v>2366</v>
      </c>
      <c r="J719">
        <v>2904</v>
      </c>
      <c r="K719" t="s">
        <v>1432</v>
      </c>
      <c r="L719">
        <v>2100</v>
      </c>
      <c r="M719" t="s">
        <v>618</v>
      </c>
      <c r="N719">
        <v>2114</v>
      </c>
      <c r="O719" t="s">
        <v>999</v>
      </c>
      <c r="P719" t="s">
        <v>2366</v>
      </c>
      <c r="Q719" t="s">
        <v>2364</v>
      </c>
      <c r="R719" t="s">
        <v>2364</v>
      </c>
      <c r="S719" t="s">
        <v>1881</v>
      </c>
      <c r="T719" t="s">
        <v>1812</v>
      </c>
      <c r="U719" t="s">
        <v>2365</v>
      </c>
      <c r="V719" t="s">
        <v>2365</v>
      </c>
      <c r="W719" t="s">
        <v>2365</v>
      </c>
      <c r="X719" t="s">
        <v>2365</v>
      </c>
      <c r="Y719" t="s">
        <v>2365</v>
      </c>
      <c r="Z719" t="s">
        <v>2365</v>
      </c>
      <c r="AA719" t="s">
        <v>2365</v>
      </c>
      <c r="AB719" t="s">
        <v>2365</v>
      </c>
      <c r="AC719" s="813" t="s">
        <v>2365</v>
      </c>
      <c r="AD719" s="813" t="s">
        <v>2365</v>
      </c>
      <c r="AE719" s="813" t="s">
        <v>2365</v>
      </c>
      <c r="AF719" t="s">
        <v>2365</v>
      </c>
      <c r="AG719" t="s">
        <v>2365</v>
      </c>
      <c r="AH719" t="s">
        <v>2365</v>
      </c>
      <c r="AI719" t="s">
        <v>2365</v>
      </c>
      <c r="AJ719" t="s">
        <v>2365</v>
      </c>
      <c r="AK719" t="s">
        <v>2365</v>
      </c>
      <c r="AL719" t="s">
        <v>2365</v>
      </c>
      <c r="AM719" t="s">
        <v>2365</v>
      </c>
      <c r="AN719" t="s">
        <v>2365</v>
      </c>
      <c r="AR719" t="s">
        <v>2365</v>
      </c>
      <c r="AS719" t="s">
        <v>2365</v>
      </c>
      <c r="AT719" t="s">
        <v>2365</v>
      </c>
      <c r="AU719" t="s">
        <v>2365</v>
      </c>
      <c r="AV719" t="s">
        <v>2365</v>
      </c>
      <c r="AW719" t="s">
        <v>2365</v>
      </c>
      <c r="AX719" t="s">
        <v>2365</v>
      </c>
      <c r="AY719" t="s">
        <v>2365</v>
      </c>
      <c r="AZ719" t="s">
        <v>2365</v>
      </c>
      <c r="BA719" t="s">
        <v>2365</v>
      </c>
      <c r="BB719" t="s">
        <v>2365</v>
      </c>
      <c r="BC719" t="s">
        <v>2365</v>
      </c>
      <c r="BD719" t="s">
        <v>2366</v>
      </c>
      <c r="BE719" t="s">
        <v>2365</v>
      </c>
      <c r="BF719" t="s">
        <v>2365</v>
      </c>
      <c r="BG719" t="s">
        <v>2365</v>
      </c>
      <c r="BH719" t="s">
        <v>2365</v>
      </c>
      <c r="BI719" t="s">
        <v>2366</v>
      </c>
      <c r="BJ719" t="s">
        <v>2365</v>
      </c>
      <c r="BK719" t="s">
        <v>2365</v>
      </c>
      <c r="BL719" t="s">
        <v>2365</v>
      </c>
      <c r="BM719" t="s">
        <v>2365</v>
      </c>
      <c r="BO719">
        <v>4</v>
      </c>
      <c r="BP719">
        <v>42</v>
      </c>
      <c r="BQ719" t="s">
        <v>2433</v>
      </c>
      <c r="BR719" t="s">
        <v>999</v>
      </c>
      <c r="BU719">
        <v>0</v>
      </c>
      <c r="BV719">
        <v>0</v>
      </c>
      <c r="BW719">
        <v>0</v>
      </c>
      <c r="BX719">
        <v>0</v>
      </c>
      <c r="BY719">
        <v>0</v>
      </c>
      <c r="BZ719">
        <v>0</v>
      </c>
      <c r="CA719">
        <v>0</v>
      </c>
      <c r="CB719">
        <v>0</v>
      </c>
      <c r="CC719">
        <v>0</v>
      </c>
      <c r="CD719">
        <v>0</v>
      </c>
      <c r="CE719">
        <v>0</v>
      </c>
      <c r="CF719">
        <v>0</v>
      </c>
      <c r="CG719">
        <v>0</v>
      </c>
      <c r="CH719">
        <v>0</v>
      </c>
      <c r="CI719">
        <v>0</v>
      </c>
      <c r="CJ719">
        <v>0</v>
      </c>
      <c r="CK719">
        <v>0</v>
      </c>
      <c r="CL719">
        <v>0</v>
      </c>
      <c r="CM719">
        <v>0</v>
      </c>
      <c r="CR719" t="s">
        <v>2324</v>
      </c>
      <c r="CS719" s="1369" t="str">
        <f>INDEX([8]Sheet1!$H:$H,MATCH(CR:CR,[8]Sheet1!$AU:$AU,0))</f>
        <v>Finance</v>
      </c>
    </row>
    <row r="720" spans="1:97" x14ac:dyDescent="0.2">
      <c r="A720" t="s">
        <v>3341</v>
      </c>
      <c r="B720">
        <v>773</v>
      </c>
      <c r="C720" t="s">
        <v>3341</v>
      </c>
      <c r="D720">
        <v>40803</v>
      </c>
      <c r="E720" t="s">
        <v>3342</v>
      </c>
      <c r="F720">
        <v>2900</v>
      </c>
      <c r="G720" t="s">
        <v>569</v>
      </c>
      <c r="H720" t="s">
        <v>2366</v>
      </c>
      <c r="I720" t="s">
        <v>2366</v>
      </c>
      <c r="J720">
        <v>2904</v>
      </c>
      <c r="K720" t="s">
        <v>1432</v>
      </c>
      <c r="L720">
        <v>2100</v>
      </c>
      <c r="M720" t="s">
        <v>618</v>
      </c>
      <c r="N720">
        <v>2114</v>
      </c>
      <c r="O720" t="s">
        <v>999</v>
      </c>
      <c r="P720" t="s">
        <v>2366</v>
      </c>
      <c r="Q720" t="s">
        <v>2364</v>
      </c>
      <c r="R720" t="s">
        <v>2364</v>
      </c>
      <c r="S720" t="s">
        <v>1881</v>
      </c>
      <c r="T720" t="s">
        <v>1812</v>
      </c>
      <c r="U720" t="s">
        <v>2365</v>
      </c>
      <c r="V720" t="s">
        <v>2365</v>
      </c>
      <c r="W720" t="s">
        <v>2365</v>
      </c>
      <c r="X720" t="s">
        <v>2365</v>
      </c>
      <c r="Y720" t="s">
        <v>2365</v>
      </c>
      <c r="Z720" t="s">
        <v>2365</v>
      </c>
      <c r="AA720" t="s">
        <v>2365</v>
      </c>
      <c r="AB720" t="s">
        <v>2365</v>
      </c>
      <c r="AC720" s="813" t="s">
        <v>2365</v>
      </c>
      <c r="AD720" s="813" t="s">
        <v>2365</v>
      </c>
      <c r="AE720" s="813" t="s">
        <v>2365</v>
      </c>
      <c r="AF720" t="s">
        <v>2365</v>
      </c>
      <c r="AG720" t="s">
        <v>2365</v>
      </c>
      <c r="AH720" t="s">
        <v>2365</v>
      </c>
      <c r="AI720" t="s">
        <v>2365</v>
      </c>
      <c r="AJ720" t="s">
        <v>2365</v>
      </c>
      <c r="AK720" t="s">
        <v>2365</v>
      </c>
      <c r="AL720" t="s">
        <v>2365</v>
      </c>
      <c r="AM720" t="s">
        <v>2365</v>
      </c>
      <c r="AN720" t="s">
        <v>2365</v>
      </c>
      <c r="AR720" t="s">
        <v>2365</v>
      </c>
      <c r="AS720" t="s">
        <v>2365</v>
      </c>
      <c r="AT720" t="s">
        <v>2365</v>
      </c>
      <c r="AU720" t="s">
        <v>2365</v>
      </c>
      <c r="AV720" t="s">
        <v>2365</v>
      </c>
      <c r="AW720" t="s">
        <v>2365</v>
      </c>
      <c r="AX720" t="s">
        <v>2365</v>
      </c>
      <c r="AY720" t="s">
        <v>2365</v>
      </c>
      <c r="AZ720" t="s">
        <v>2365</v>
      </c>
      <c r="BA720" t="s">
        <v>2365</v>
      </c>
      <c r="BB720" t="s">
        <v>2365</v>
      </c>
      <c r="BC720" t="s">
        <v>2365</v>
      </c>
      <c r="BD720" t="s">
        <v>2366</v>
      </c>
      <c r="BE720" t="s">
        <v>2365</v>
      </c>
      <c r="BF720" t="s">
        <v>2365</v>
      </c>
      <c r="BG720" t="s">
        <v>2365</v>
      </c>
      <c r="BH720" t="s">
        <v>2365</v>
      </c>
      <c r="BI720" t="s">
        <v>2366</v>
      </c>
      <c r="BJ720" t="s">
        <v>2365</v>
      </c>
      <c r="BK720" t="s">
        <v>2365</v>
      </c>
      <c r="BL720" t="s">
        <v>2365</v>
      </c>
      <c r="BM720" t="s">
        <v>2365</v>
      </c>
      <c r="BO720">
        <v>4</v>
      </c>
      <c r="BP720">
        <v>42</v>
      </c>
      <c r="BQ720" t="s">
        <v>2433</v>
      </c>
      <c r="BR720" t="s">
        <v>999</v>
      </c>
      <c r="BU720">
        <v>0</v>
      </c>
      <c r="BV720">
        <v>0</v>
      </c>
      <c r="BW720">
        <v>0</v>
      </c>
      <c r="BX720">
        <v>0</v>
      </c>
      <c r="BY720">
        <v>0</v>
      </c>
      <c r="BZ720">
        <v>0</v>
      </c>
      <c r="CA720">
        <v>0</v>
      </c>
      <c r="CB720">
        <v>0</v>
      </c>
      <c r="CC720">
        <v>0</v>
      </c>
      <c r="CD720">
        <v>0</v>
      </c>
      <c r="CE720">
        <v>0</v>
      </c>
      <c r="CF720">
        <v>0</v>
      </c>
      <c r="CG720">
        <v>0</v>
      </c>
      <c r="CH720">
        <v>0</v>
      </c>
      <c r="CI720">
        <v>0</v>
      </c>
      <c r="CJ720">
        <v>0</v>
      </c>
      <c r="CK720">
        <v>0</v>
      </c>
      <c r="CL720">
        <v>0</v>
      </c>
      <c r="CM720">
        <v>0</v>
      </c>
      <c r="CR720" t="s">
        <v>2324</v>
      </c>
      <c r="CS720" s="1369" t="str">
        <f>INDEX([8]Sheet1!$H:$H,MATCH(CR:CR,[8]Sheet1!$AU:$AU,0))</f>
        <v>Finance</v>
      </c>
    </row>
    <row r="721" spans="1:97" x14ac:dyDescent="0.2">
      <c r="A721" t="s">
        <v>3343</v>
      </c>
      <c r="B721">
        <v>774</v>
      </c>
      <c r="C721" t="s">
        <v>3343</v>
      </c>
      <c r="D721">
        <v>40804</v>
      </c>
      <c r="E721" t="s">
        <v>2455</v>
      </c>
      <c r="F721">
        <v>2900</v>
      </c>
      <c r="G721" t="s">
        <v>569</v>
      </c>
      <c r="H721" t="s">
        <v>2366</v>
      </c>
      <c r="I721" t="s">
        <v>2366</v>
      </c>
      <c r="J721">
        <v>2904</v>
      </c>
      <c r="K721" t="s">
        <v>1432</v>
      </c>
      <c r="L721">
        <v>2100</v>
      </c>
      <c r="M721" t="s">
        <v>618</v>
      </c>
      <c r="N721">
        <v>2114</v>
      </c>
      <c r="O721" t="s">
        <v>999</v>
      </c>
      <c r="P721" t="s">
        <v>2366</v>
      </c>
      <c r="Q721" t="s">
        <v>2364</v>
      </c>
      <c r="R721" t="s">
        <v>2364</v>
      </c>
      <c r="S721" t="s">
        <v>1881</v>
      </c>
      <c r="T721" t="s">
        <v>1812</v>
      </c>
      <c r="U721" t="s">
        <v>2365</v>
      </c>
      <c r="V721" t="s">
        <v>2365</v>
      </c>
      <c r="W721" t="s">
        <v>2365</v>
      </c>
      <c r="X721" t="s">
        <v>2365</v>
      </c>
      <c r="Y721" t="s">
        <v>2365</v>
      </c>
      <c r="Z721" t="s">
        <v>2365</v>
      </c>
      <c r="AA721" t="s">
        <v>2365</v>
      </c>
      <c r="AB721" t="s">
        <v>2365</v>
      </c>
      <c r="AC721" s="813" t="s">
        <v>2365</v>
      </c>
      <c r="AD721" s="813" t="s">
        <v>2365</v>
      </c>
      <c r="AE721" s="813" t="s">
        <v>2365</v>
      </c>
      <c r="AF721" t="s">
        <v>2365</v>
      </c>
      <c r="AG721" t="s">
        <v>2365</v>
      </c>
      <c r="AH721" t="s">
        <v>2365</v>
      </c>
      <c r="AI721" t="s">
        <v>2365</v>
      </c>
      <c r="AJ721" t="s">
        <v>2365</v>
      </c>
      <c r="AK721" s="1373" t="s">
        <v>2365</v>
      </c>
      <c r="AL721" t="s">
        <v>2365</v>
      </c>
      <c r="AM721" t="s">
        <v>2365</v>
      </c>
      <c r="AN721" t="s">
        <v>2365</v>
      </c>
      <c r="AR721" t="s">
        <v>2365</v>
      </c>
      <c r="AS721" t="s">
        <v>2365</v>
      </c>
      <c r="AT721" t="s">
        <v>2365</v>
      </c>
      <c r="AU721" t="s">
        <v>2365</v>
      </c>
      <c r="AV721" t="s">
        <v>2365</v>
      </c>
      <c r="AW721" t="s">
        <v>2365</v>
      </c>
      <c r="AX721" t="s">
        <v>2365</v>
      </c>
      <c r="AY721" t="s">
        <v>2365</v>
      </c>
      <c r="AZ721" t="s">
        <v>2365</v>
      </c>
      <c r="BA721" t="s">
        <v>2365</v>
      </c>
      <c r="BB721" t="s">
        <v>2365</v>
      </c>
      <c r="BC721" t="s">
        <v>2365</v>
      </c>
      <c r="BD721" t="s">
        <v>2366</v>
      </c>
      <c r="BE721" t="s">
        <v>2365</v>
      </c>
      <c r="BF721" t="s">
        <v>2365</v>
      </c>
      <c r="BG721" t="s">
        <v>2365</v>
      </c>
      <c r="BH721" t="s">
        <v>2365</v>
      </c>
      <c r="BI721" t="s">
        <v>2366</v>
      </c>
      <c r="BJ721" t="s">
        <v>2365</v>
      </c>
      <c r="BK721" t="s">
        <v>2365</v>
      </c>
      <c r="BL721" t="s">
        <v>2365</v>
      </c>
      <c r="BM721" t="s">
        <v>2365</v>
      </c>
      <c r="BO721">
        <v>4</v>
      </c>
      <c r="BP721">
        <v>42</v>
      </c>
      <c r="BQ721" t="s">
        <v>2433</v>
      </c>
      <c r="BR721" t="s">
        <v>999</v>
      </c>
      <c r="BU721">
        <v>0</v>
      </c>
      <c r="BV721">
        <v>0</v>
      </c>
      <c r="BW721">
        <v>0</v>
      </c>
      <c r="BX721">
        <v>0</v>
      </c>
      <c r="BY721">
        <v>0</v>
      </c>
      <c r="BZ721">
        <v>0</v>
      </c>
      <c r="CA721">
        <v>0</v>
      </c>
      <c r="CB721">
        <v>0</v>
      </c>
      <c r="CC721">
        <v>0</v>
      </c>
      <c r="CD721">
        <v>0</v>
      </c>
      <c r="CE721">
        <v>0</v>
      </c>
      <c r="CF721">
        <v>0</v>
      </c>
      <c r="CG721">
        <v>0</v>
      </c>
      <c r="CH721">
        <v>0</v>
      </c>
      <c r="CI721">
        <v>0</v>
      </c>
      <c r="CJ721">
        <v>0</v>
      </c>
      <c r="CK721">
        <v>0</v>
      </c>
      <c r="CL721">
        <v>0</v>
      </c>
      <c r="CM721">
        <v>0</v>
      </c>
      <c r="CR721" t="s">
        <v>2324</v>
      </c>
      <c r="CS721" s="1369" t="str">
        <f>INDEX([8]Sheet1!$H:$H,MATCH(CR:CR,[8]Sheet1!$AU:$AU,0))</f>
        <v>Finance</v>
      </c>
    </row>
    <row r="722" spans="1:97" x14ac:dyDescent="0.2">
      <c r="A722" t="s">
        <v>3344</v>
      </c>
      <c r="B722">
        <v>775</v>
      </c>
      <c r="C722" t="s">
        <v>3344</v>
      </c>
      <c r="D722">
        <v>40805</v>
      </c>
      <c r="E722" t="s">
        <v>3264</v>
      </c>
      <c r="F722">
        <v>2900</v>
      </c>
      <c r="G722" t="s">
        <v>569</v>
      </c>
      <c r="H722" t="s">
        <v>2366</v>
      </c>
      <c r="I722" t="s">
        <v>2366</v>
      </c>
      <c r="J722">
        <v>2904</v>
      </c>
      <c r="K722" t="s">
        <v>1432</v>
      </c>
      <c r="L722">
        <v>2100</v>
      </c>
      <c r="M722" t="s">
        <v>618</v>
      </c>
      <c r="N722">
        <v>2114</v>
      </c>
      <c r="O722" t="s">
        <v>999</v>
      </c>
      <c r="P722" t="s">
        <v>2366</v>
      </c>
      <c r="Q722" t="s">
        <v>2364</v>
      </c>
      <c r="R722" t="s">
        <v>2364</v>
      </c>
      <c r="S722" t="s">
        <v>1881</v>
      </c>
      <c r="T722" t="s">
        <v>1812</v>
      </c>
      <c r="U722" t="s">
        <v>2365</v>
      </c>
      <c r="V722" t="s">
        <v>2365</v>
      </c>
      <c r="W722" t="s">
        <v>2365</v>
      </c>
      <c r="X722" t="s">
        <v>2365</v>
      </c>
      <c r="Y722" t="s">
        <v>2365</v>
      </c>
      <c r="Z722" t="s">
        <v>2365</v>
      </c>
      <c r="AA722" t="s">
        <v>2365</v>
      </c>
      <c r="AB722" t="s">
        <v>2365</v>
      </c>
      <c r="AC722" s="813" t="s">
        <v>2365</v>
      </c>
      <c r="AD722" s="813" t="s">
        <v>2365</v>
      </c>
      <c r="AE722" s="813" t="s">
        <v>2365</v>
      </c>
      <c r="AF722" t="s">
        <v>2365</v>
      </c>
      <c r="AG722" t="s">
        <v>2365</v>
      </c>
      <c r="AH722" t="s">
        <v>2365</v>
      </c>
      <c r="AI722" t="s">
        <v>2365</v>
      </c>
      <c r="AJ722" t="s">
        <v>2365</v>
      </c>
      <c r="AK722" t="s">
        <v>2365</v>
      </c>
      <c r="AL722" t="s">
        <v>2365</v>
      </c>
      <c r="AM722" t="s">
        <v>2365</v>
      </c>
      <c r="AN722" t="s">
        <v>2365</v>
      </c>
      <c r="AR722" t="s">
        <v>2365</v>
      </c>
      <c r="AS722" t="s">
        <v>2365</v>
      </c>
      <c r="AT722" t="s">
        <v>2365</v>
      </c>
      <c r="AU722" t="s">
        <v>2365</v>
      </c>
      <c r="AV722" t="s">
        <v>2365</v>
      </c>
      <c r="AW722" t="s">
        <v>2365</v>
      </c>
      <c r="AX722" t="s">
        <v>2365</v>
      </c>
      <c r="AY722" t="s">
        <v>2365</v>
      </c>
      <c r="AZ722" t="s">
        <v>2365</v>
      </c>
      <c r="BA722" t="s">
        <v>2365</v>
      </c>
      <c r="BB722" t="s">
        <v>2365</v>
      </c>
      <c r="BC722" t="s">
        <v>2365</v>
      </c>
      <c r="BD722" t="s">
        <v>2366</v>
      </c>
      <c r="BE722" t="s">
        <v>2365</v>
      </c>
      <c r="BF722" t="s">
        <v>2365</v>
      </c>
      <c r="BG722" t="s">
        <v>2365</v>
      </c>
      <c r="BH722" t="s">
        <v>2365</v>
      </c>
      <c r="BI722" t="s">
        <v>2366</v>
      </c>
      <c r="BJ722" t="s">
        <v>2365</v>
      </c>
      <c r="BK722" t="s">
        <v>2365</v>
      </c>
      <c r="BL722" t="s">
        <v>2365</v>
      </c>
      <c r="BM722" t="s">
        <v>2365</v>
      </c>
      <c r="BO722">
        <v>4</v>
      </c>
      <c r="BP722">
        <v>42</v>
      </c>
      <c r="BQ722" t="s">
        <v>2433</v>
      </c>
      <c r="BR722" t="s">
        <v>999</v>
      </c>
      <c r="BU722">
        <v>16190</v>
      </c>
      <c r="BV722">
        <v>0</v>
      </c>
      <c r="BW722">
        <v>16190</v>
      </c>
      <c r="BX722">
        <v>0</v>
      </c>
      <c r="BY722">
        <v>16190</v>
      </c>
      <c r="BZ722">
        <v>17161</v>
      </c>
      <c r="CA722">
        <v>18191</v>
      </c>
      <c r="CB722">
        <v>0</v>
      </c>
      <c r="CC722">
        <v>0</v>
      </c>
      <c r="CD722">
        <v>0</v>
      </c>
      <c r="CE722">
        <v>0</v>
      </c>
      <c r="CF722">
        <v>0</v>
      </c>
      <c r="CG722">
        <v>0</v>
      </c>
      <c r="CH722">
        <v>0</v>
      </c>
      <c r="CI722">
        <v>0</v>
      </c>
      <c r="CJ722">
        <v>0</v>
      </c>
      <c r="CK722">
        <v>0</v>
      </c>
      <c r="CL722">
        <v>0</v>
      </c>
      <c r="CM722">
        <v>0</v>
      </c>
      <c r="CR722" t="s">
        <v>2324</v>
      </c>
      <c r="CS722" s="1369" t="str">
        <f>INDEX([8]Sheet1!$H:$H,MATCH(CR:CR,[8]Sheet1!$AU:$AU,0))</f>
        <v>Finance</v>
      </c>
    </row>
    <row r="723" spans="1:97" x14ac:dyDescent="0.2">
      <c r="A723" t="s">
        <v>3345</v>
      </c>
      <c r="B723">
        <v>776</v>
      </c>
      <c r="C723" t="s">
        <v>3345</v>
      </c>
      <c r="D723">
        <v>40806</v>
      </c>
      <c r="E723" t="s">
        <v>3232</v>
      </c>
      <c r="F723">
        <v>2900</v>
      </c>
      <c r="G723" t="s">
        <v>569</v>
      </c>
      <c r="H723" t="s">
        <v>2366</v>
      </c>
      <c r="I723" t="s">
        <v>2366</v>
      </c>
      <c r="J723">
        <v>2904</v>
      </c>
      <c r="K723" t="s">
        <v>1432</v>
      </c>
      <c r="L723">
        <v>2100</v>
      </c>
      <c r="M723" t="s">
        <v>618</v>
      </c>
      <c r="N723">
        <v>2114</v>
      </c>
      <c r="O723" t="s">
        <v>999</v>
      </c>
      <c r="P723" t="s">
        <v>2366</v>
      </c>
      <c r="Q723" t="s">
        <v>2364</v>
      </c>
      <c r="R723" t="s">
        <v>2364</v>
      </c>
      <c r="S723" t="s">
        <v>1881</v>
      </c>
      <c r="T723" t="s">
        <v>1812</v>
      </c>
      <c r="U723" t="s">
        <v>2365</v>
      </c>
      <c r="V723" t="s">
        <v>2365</v>
      </c>
      <c r="W723" t="s">
        <v>2365</v>
      </c>
      <c r="X723" t="s">
        <v>2365</v>
      </c>
      <c r="Y723" t="s">
        <v>2365</v>
      </c>
      <c r="Z723" t="s">
        <v>2365</v>
      </c>
      <c r="AA723" t="s">
        <v>2365</v>
      </c>
      <c r="AB723" t="s">
        <v>2365</v>
      </c>
      <c r="AC723" s="813" t="s">
        <v>2365</v>
      </c>
      <c r="AD723" s="813" t="s">
        <v>2365</v>
      </c>
      <c r="AE723" s="813" t="s">
        <v>2365</v>
      </c>
      <c r="AF723" t="s">
        <v>2365</v>
      </c>
      <c r="AG723" t="s">
        <v>2365</v>
      </c>
      <c r="AH723" t="s">
        <v>2365</v>
      </c>
      <c r="AI723" t="s">
        <v>2365</v>
      </c>
      <c r="AJ723" t="s">
        <v>2365</v>
      </c>
      <c r="AK723" t="s">
        <v>2365</v>
      </c>
      <c r="AL723" t="s">
        <v>2365</v>
      </c>
      <c r="AM723" t="s">
        <v>2365</v>
      </c>
      <c r="AN723" t="s">
        <v>2365</v>
      </c>
      <c r="AR723" t="s">
        <v>2365</v>
      </c>
      <c r="AS723" t="s">
        <v>2365</v>
      </c>
      <c r="AT723" t="s">
        <v>2365</v>
      </c>
      <c r="AU723" t="s">
        <v>2365</v>
      </c>
      <c r="AV723" t="s">
        <v>2365</v>
      </c>
      <c r="AW723" t="s">
        <v>2365</v>
      </c>
      <c r="AX723" t="s">
        <v>2365</v>
      </c>
      <c r="AY723" t="s">
        <v>2365</v>
      </c>
      <c r="AZ723" t="s">
        <v>2365</v>
      </c>
      <c r="BA723" t="s">
        <v>2365</v>
      </c>
      <c r="BB723" t="s">
        <v>2365</v>
      </c>
      <c r="BC723" t="s">
        <v>2365</v>
      </c>
      <c r="BD723" t="s">
        <v>2366</v>
      </c>
      <c r="BE723" t="s">
        <v>2365</v>
      </c>
      <c r="BF723" t="s">
        <v>2365</v>
      </c>
      <c r="BG723" t="s">
        <v>2365</v>
      </c>
      <c r="BH723" t="s">
        <v>2365</v>
      </c>
      <c r="BI723" t="s">
        <v>2366</v>
      </c>
      <c r="BJ723" t="s">
        <v>2365</v>
      </c>
      <c r="BK723" t="s">
        <v>2365</v>
      </c>
      <c r="BL723" t="s">
        <v>2365</v>
      </c>
      <c r="BM723" t="s">
        <v>2365</v>
      </c>
      <c r="BO723">
        <v>4</v>
      </c>
      <c r="BP723">
        <v>42</v>
      </c>
      <c r="BQ723" t="s">
        <v>2433</v>
      </c>
      <c r="BR723" t="s">
        <v>999</v>
      </c>
      <c r="BU723">
        <v>0</v>
      </c>
      <c r="BV723">
        <v>0</v>
      </c>
      <c r="BW723">
        <v>0</v>
      </c>
      <c r="BX723">
        <v>0</v>
      </c>
      <c r="BY723">
        <v>0</v>
      </c>
      <c r="BZ723">
        <v>0</v>
      </c>
      <c r="CA723">
        <v>0</v>
      </c>
      <c r="CB723">
        <v>0</v>
      </c>
      <c r="CC723">
        <v>0</v>
      </c>
      <c r="CD723">
        <v>0</v>
      </c>
      <c r="CE723">
        <v>0</v>
      </c>
      <c r="CF723">
        <v>0</v>
      </c>
      <c r="CG723">
        <v>0</v>
      </c>
      <c r="CH723">
        <v>0</v>
      </c>
      <c r="CI723">
        <v>0</v>
      </c>
      <c r="CJ723">
        <v>0</v>
      </c>
      <c r="CK723">
        <v>0</v>
      </c>
      <c r="CL723">
        <v>0</v>
      </c>
      <c r="CM723">
        <v>0</v>
      </c>
      <c r="CR723" t="s">
        <v>2324</v>
      </c>
      <c r="CS723" s="1369" t="str">
        <f>INDEX([8]Sheet1!$H:$H,MATCH(CR:CR,[8]Sheet1!$AU:$AU,0))</f>
        <v>Finance</v>
      </c>
    </row>
    <row r="724" spans="1:97" x14ac:dyDescent="0.2">
      <c r="A724" t="s">
        <v>3346</v>
      </c>
      <c r="B724">
        <v>777</v>
      </c>
      <c r="C724" t="s">
        <v>3346</v>
      </c>
      <c r="D724">
        <v>41231</v>
      </c>
      <c r="E724" t="s">
        <v>3347</v>
      </c>
      <c r="F724">
        <v>2700</v>
      </c>
      <c r="G724" t="s">
        <v>656</v>
      </c>
      <c r="H724" t="s">
        <v>2478</v>
      </c>
      <c r="I724" t="s">
        <v>1802</v>
      </c>
      <c r="J724">
        <v>2703</v>
      </c>
      <c r="K724" t="s">
        <v>1802</v>
      </c>
      <c r="L724">
        <v>3100</v>
      </c>
      <c r="M724" t="s">
        <v>624</v>
      </c>
      <c r="N724">
        <v>3107</v>
      </c>
      <c r="O724" t="s">
        <v>1536</v>
      </c>
      <c r="P724" t="s">
        <v>2366</v>
      </c>
      <c r="Q724" t="s">
        <v>2364</v>
      </c>
      <c r="R724" t="s">
        <v>2364</v>
      </c>
      <c r="S724" t="s">
        <v>1881</v>
      </c>
      <c r="T724" t="s">
        <v>1812</v>
      </c>
      <c r="U724" t="s">
        <v>2365</v>
      </c>
      <c r="V724" t="s">
        <v>2365</v>
      </c>
      <c r="W724" t="s">
        <v>2365</v>
      </c>
      <c r="X724" t="s">
        <v>2365</v>
      </c>
      <c r="Y724" t="s">
        <v>2365</v>
      </c>
      <c r="Z724" t="s">
        <v>2365</v>
      </c>
      <c r="AA724" t="s">
        <v>2365</v>
      </c>
      <c r="AB724" t="s">
        <v>2365</v>
      </c>
      <c r="AC724" s="813" t="s">
        <v>2365</v>
      </c>
      <c r="AD724" s="813" t="s">
        <v>2365</v>
      </c>
      <c r="AE724" s="813" t="s">
        <v>2365</v>
      </c>
      <c r="AF724" t="s">
        <v>2365</v>
      </c>
      <c r="AG724" t="s">
        <v>2365</v>
      </c>
      <c r="AH724" t="s">
        <v>2365</v>
      </c>
      <c r="AI724" t="s">
        <v>2365</v>
      </c>
      <c r="AJ724" t="s">
        <v>2365</v>
      </c>
      <c r="AK724" t="s">
        <v>2365</v>
      </c>
      <c r="AL724" t="s">
        <v>2365</v>
      </c>
      <c r="AM724" t="s">
        <v>2365</v>
      </c>
      <c r="AN724" t="s">
        <v>2365</v>
      </c>
      <c r="AR724" t="s">
        <v>2365</v>
      </c>
      <c r="AS724" t="s">
        <v>2365</v>
      </c>
      <c r="AT724" t="s">
        <v>2365</v>
      </c>
      <c r="AU724" t="s">
        <v>2365</v>
      </c>
      <c r="AV724" t="s">
        <v>2365</v>
      </c>
      <c r="AW724" t="s">
        <v>2365</v>
      </c>
      <c r="AX724" t="s">
        <v>2365</v>
      </c>
      <c r="AY724" t="s">
        <v>2365</v>
      </c>
      <c r="AZ724">
        <v>1510</v>
      </c>
      <c r="BA724" t="s">
        <v>1676</v>
      </c>
      <c r="BB724">
        <v>1510</v>
      </c>
      <c r="BC724" t="s">
        <v>1676</v>
      </c>
      <c r="BD724" t="s">
        <v>1906</v>
      </c>
      <c r="BE724" t="s">
        <v>2365</v>
      </c>
      <c r="BF724" t="s">
        <v>2365</v>
      </c>
      <c r="BG724" t="s">
        <v>2365</v>
      </c>
      <c r="BH724" t="s">
        <v>2365</v>
      </c>
      <c r="BI724" t="s">
        <v>2366</v>
      </c>
      <c r="BJ724" t="s">
        <v>2365</v>
      </c>
      <c r="BK724" t="s">
        <v>2365</v>
      </c>
      <c r="BL724" t="s">
        <v>2365</v>
      </c>
      <c r="BM724" t="s">
        <v>2365</v>
      </c>
      <c r="BO724">
        <v>8</v>
      </c>
      <c r="BP724">
        <v>81</v>
      </c>
      <c r="BQ724" t="s">
        <v>2442</v>
      </c>
      <c r="BR724" t="s">
        <v>1536</v>
      </c>
      <c r="BU724">
        <v>0</v>
      </c>
      <c r="BV724">
        <v>0</v>
      </c>
      <c r="BW724">
        <v>0</v>
      </c>
      <c r="BX724">
        <v>0</v>
      </c>
      <c r="BY724">
        <v>0</v>
      </c>
      <c r="BZ724">
        <v>0</v>
      </c>
      <c r="CA724">
        <v>0</v>
      </c>
      <c r="CB724">
        <v>0</v>
      </c>
      <c r="CC724">
        <v>0</v>
      </c>
      <c r="CD724">
        <v>0</v>
      </c>
      <c r="CE724">
        <v>0</v>
      </c>
      <c r="CF724">
        <v>0</v>
      </c>
      <c r="CG724">
        <v>0</v>
      </c>
      <c r="CH724">
        <v>0</v>
      </c>
      <c r="CI724">
        <v>0</v>
      </c>
      <c r="CJ724">
        <v>0</v>
      </c>
      <c r="CK724">
        <v>0</v>
      </c>
      <c r="CL724">
        <v>0</v>
      </c>
      <c r="CM724">
        <v>0</v>
      </c>
      <c r="CR724" t="s">
        <v>2324</v>
      </c>
      <c r="CS724" s="1369" t="str">
        <f>INDEX([8]Sheet1!$H:$H,MATCH(CR:CR,[8]Sheet1!$AU:$AU,0))</f>
        <v>Finance</v>
      </c>
    </row>
    <row r="725" spans="1:97" x14ac:dyDescent="0.2">
      <c r="A725" t="s">
        <v>3348</v>
      </c>
      <c r="B725">
        <v>778</v>
      </c>
      <c r="C725" t="s">
        <v>3348</v>
      </c>
      <c r="D725">
        <v>41232</v>
      </c>
      <c r="E725" t="s">
        <v>3349</v>
      </c>
      <c r="F725">
        <v>2700</v>
      </c>
      <c r="G725" t="s">
        <v>656</v>
      </c>
      <c r="H725" t="s">
        <v>2478</v>
      </c>
      <c r="I725" t="s">
        <v>1802</v>
      </c>
      <c r="J725">
        <v>2703</v>
      </c>
      <c r="K725" t="s">
        <v>1802</v>
      </c>
      <c r="L725">
        <v>1200</v>
      </c>
      <c r="M725" t="s">
        <v>1480</v>
      </c>
      <c r="N725">
        <v>1205</v>
      </c>
      <c r="O725" t="s">
        <v>1488</v>
      </c>
      <c r="P725" t="s">
        <v>2366</v>
      </c>
      <c r="Q725" t="s">
        <v>2364</v>
      </c>
      <c r="R725" t="s">
        <v>2364</v>
      </c>
      <c r="S725" t="s">
        <v>1881</v>
      </c>
      <c r="T725" t="s">
        <v>1812</v>
      </c>
      <c r="U725" t="s">
        <v>2365</v>
      </c>
      <c r="V725" t="s">
        <v>2365</v>
      </c>
      <c r="W725" t="s">
        <v>2365</v>
      </c>
      <c r="X725" t="s">
        <v>2365</v>
      </c>
      <c r="Y725" t="s">
        <v>2365</v>
      </c>
      <c r="Z725" t="s">
        <v>2365</v>
      </c>
      <c r="AA725" t="s">
        <v>2365</v>
      </c>
      <c r="AB725" t="s">
        <v>2365</v>
      </c>
      <c r="AC725" s="813" t="s">
        <v>2365</v>
      </c>
      <c r="AD725" s="813" t="s">
        <v>2365</v>
      </c>
      <c r="AE725" s="813" t="s">
        <v>2365</v>
      </c>
      <c r="AF725" t="s">
        <v>2365</v>
      </c>
      <c r="AG725" t="s">
        <v>2365</v>
      </c>
      <c r="AH725" t="s">
        <v>2365</v>
      </c>
      <c r="AI725" t="s">
        <v>2365</v>
      </c>
      <c r="AJ725" t="s">
        <v>2365</v>
      </c>
      <c r="AK725" t="s">
        <v>2365</v>
      </c>
      <c r="AL725" t="s">
        <v>2365</v>
      </c>
      <c r="AM725" t="s">
        <v>2365</v>
      </c>
      <c r="AN725" t="s">
        <v>2365</v>
      </c>
      <c r="AR725" t="s">
        <v>2365</v>
      </c>
      <c r="AS725" t="s">
        <v>2365</v>
      </c>
      <c r="AT725" t="s">
        <v>2365</v>
      </c>
      <c r="AU725" t="s">
        <v>2365</v>
      </c>
      <c r="AV725" t="s">
        <v>2365</v>
      </c>
      <c r="AW725" t="s">
        <v>2365</v>
      </c>
      <c r="AX725" t="s">
        <v>2365</v>
      </c>
      <c r="AY725" t="s">
        <v>2365</v>
      </c>
      <c r="AZ725">
        <v>1530</v>
      </c>
      <c r="BA725" t="s">
        <v>1677</v>
      </c>
      <c r="BB725">
        <v>1530</v>
      </c>
      <c r="BC725" t="s">
        <v>1677</v>
      </c>
      <c r="BD725" t="s">
        <v>1906</v>
      </c>
      <c r="BE725" t="s">
        <v>2365</v>
      </c>
      <c r="BF725" t="s">
        <v>2365</v>
      </c>
      <c r="BG725" t="s">
        <v>2365</v>
      </c>
      <c r="BH725" t="s">
        <v>2365</v>
      </c>
      <c r="BI725" t="s">
        <v>2366</v>
      </c>
      <c r="BJ725" t="s">
        <v>2365</v>
      </c>
      <c r="BK725" t="s">
        <v>2365</v>
      </c>
      <c r="BL725" t="s">
        <v>2365</v>
      </c>
      <c r="BM725" t="s">
        <v>2365</v>
      </c>
      <c r="BO725">
        <v>1</v>
      </c>
      <c r="BP725">
        <v>12</v>
      </c>
      <c r="BQ725" t="s">
        <v>2369</v>
      </c>
      <c r="BR725" t="s">
        <v>1488</v>
      </c>
      <c r="BU725">
        <v>380000</v>
      </c>
      <c r="BV725">
        <v>0</v>
      </c>
      <c r="BW725">
        <v>380000</v>
      </c>
      <c r="BX725">
        <v>600000</v>
      </c>
      <c r="BY725">
        <v>980000</v>
      </c>
      <c r="BZ725">
        <v>402800</v>
      </c>
      <c r="CA725">
        <v>426968</v>
      </c>
      <c r="CB725">
        <v>0</v>
      </c>
      <c r="CC725">
        <v>146600</v>
      </c>
      <c r="CD725">
        <v>48341.8</v>
      </c>
      <c r="CE725">
        <v>228772.01999999996</v>
      </c>
      <c r="CF725">
        <v>129234.25</v>
      </c>
      <c r="CG725">
        <v>21339.599999999999</v>
      </c>
      <c r="CH725">
        <v>69046.240000000005</v>
      </c>
      <c r="CI725">
        <v>6281.74</v>
      </c>
      <c r="CJ725">
        <v>2961.3</v>
      </c>
      <c r="CK725">
        <v>0</v>
      </c>
      <c r="CL725">
        <v>0</v>
      </c>
      <c r="CM725">
        <v>0</v>
      </c>
      <c r="CR725" t="s">
        <v>2324</v>
      </c>
      <c r="CS725" s="1369" t="str">
        <f>INDEX([8]Sheet1!$H:$H,MATCH(CR:CR,[8]Sheet1!$AU:$AU,0))</f>
        <v>Finance</v>
      </c>
    </row>
    <row r="726" spans="1:97" x14ac:dyDescent="0.2">
      <c r="A726" t="s">
        <v>3350</v>
      </c>
      <c r="B726">
        <v>779</v>
      </c>
      <c r="C726" t="s">
        <v>3350</v>
      </c>
      <c r="D726">
        <v>41233</v>
      </c>
      <c r="E726" t="s">
        <v>2681</v>
      </c>
      <c r="F726">
        <v>2700</v>
      </c>
      <c r="G726" t="s">
        <v>656</v>
      </c>
      <c r="H726" t="s">
        <v>2478</v>
      </c>
      <c r="I726" t="s">
        <v>1802</v>
      </c>
      <c r="J726">
        <v>2703</v>
      </c>
      <c r="K726" t="s">
        <v>1802</v>
      </c>
      <c r="L726">
        <v>1200</v>
      </c>
      <c r="M726" t="s">
        <v>1480</v>
      </c>
      <c r="N726">
        <v>1202</v>
      </c>
      <c r="O726" t="s">
        <v>595</v>
      </c>
      <c r="P726" t="s">
        <v>2366</v>
      </c>
      <c r="Q726" t="s">
        <v>2364</v>
      </c>
      <c r="R726" t="s">
        <v>2364</v>
      </c>
      <c r="S726" t="s">
        <v>1881</v>
      </c>
      <c r="T726" t="s">
        <v>1812</v>
      </c>
      <c r="U726" t="s">
        <v>2365</v>
      </c>
      <c r="V726" t="s">
        <v>2365</v>
      </c>
      <c r="W726" t="s">
        <v>2365</v>
      </c>
      <c r="X726" t="s">
        <v>2365</v>
      </c>
      <c r="Y726" t="s">
        <v>2365</v>
      </c>
      <c r="Z726" t="s">
        <v>2365</v>
      </c>
      <c r="AA726" t="s">
        <v>2365</v>
      </c>
      <c r="AB726" t="s">
        <v>2365</v>
      </c>
      <c r="AC726" s="813" t="s">
        <v>2365</v>
      </c>
      <c r="AD726" s="813" t="s">
        <v>2365</v>
      </c>
      <c r="AE726" s="813" t="s">
        <v>2365</v>
      </c>
      <c r="AF726" t="s">
        <v>2365</v>
      </c>
      <c r="AG726" t="s">
        <v>2365</v>
      </c>
      <c r="AH726" t="s">
        <v>2365</v>
      </c>
      <c r="AI726" t="s">
        <v>2365</v>
      </c>
      <c r="AJ726" t="s">
        <v>2365</v>
      </c>
      <c r="AK726" t="s">
        <v>2365</v>
      </c>
      <c r="AL726" t="s">
        <v>2365</v>
      </c>
      <c r="AM726" t="s">
        <v>2365</v>
      </c>
      <c r="AN726" t="s">
        <v>2365</v>
      </c>
      <c r="AR726" t="s">
        <v>2365</v>
      </c>
      <c r="AS726" t="s">
        <v>2365</v>
      </c>
      <c r="AT726" t="s">
        <v>2365</v>
      </c>
      <c r="AU726" t="s">
        <v>2365</v>
      </c>
      <c r="AV726" t="s">
        <v>2365</v>
      </c>
      <c r="AW726" t="s">
        <v>2365</v>
      </c>
      <c r="AX726" t="s">
        <v>2365</v>
      </c>
      <c r="AY726" t="s">
        <v>2365</v>
      </c>
      <c r="AZ726">
        <v>1200</v>
      </c>
      <c r="BA726" t="s">
        <v>1652</v>
      </c>
      <c r="BB726">
        <v>1200</v>
      </c>
      <c r="BC726" t="s">
        <v>1652</v>
      </c>
      <c r="BD726" t="s">
        <v>1906</v>
      </c>
      <c r="BE726" t="s">
        <v>2365</v>
      </c>
      <c r="BF726" t="s">
        <v>2365</v>
      </c>
      <c r="BG726" t="s">
        <v>2365</v>
      </c>
      <c r="BH726" t="s">
        <v>2365</v>
      </c>
      <c r="BI726" t="s">
        <v>2366</v>
      </c>
      <c r="BJ726" t="s">
        <v>2365</v>
      </c>
      <c r="BK726" t="s">
        <v>2365</v>
      </c>
      <c r="BL726" t="s">
        <v>2365</v>
      </c>
      <c r="BM726" t="s">
        <v>2365</v>
      </c>
      <c r="BO726">
        <v>1</v>
      </c>
      <c r="BP726">
        <v>13</v>
      </c>
      <c r="BQ726" t="s">
        <v>2369</v>
      </c>
      <c r="BR726" t="s">
        <v>595</v>
      </c>
      <c r="BU726">
        <v>2000000</v>
      </c>
      <c r="BV726">
        <v>0</v>
      </c>
      <c r="BW726">
        <v>2000000</v>
      </c>
      <c r="BX726">
        <v>5819500</v>
      </c>
      <c r="BY726">
        <v>7819500</v>
      </c>
      <c r="BZ726">
        <v>2200000</v>
      </c>
      <c r="CA726">
        <v>2420000</v>
      </c>
      <c r="CB726">
        <v>0</v>
      </c>
      <c r="CC726">
        <v>3657.81</v>
      </c>
      <c r="CD726">
        <v>13500</v>
      </c>
      <c r="CE726">
        <v>193388</v>
      </c>
      <c r="CF726">
        <v>281945.62</v>
      </c>
      <c r="CG726">
        <v>0</v>
      </c>
      <c r="CH726">
        <v>638095</v>
      </c>
      <c r="CI726">
        <v>4472437.9000000004</v>
      </c>
      <c r="CJ726">
        <v>2651507.5499999998</v>
      </c>
      <c r="CK726">
        <v>0</v>
      </c>
      <c r="CL726">
        <v>0</v>
      </c>
      <c r="CM726">
        <v>0</v>
      </c>
      <c r="CR726" t="s">
        <v>2324</v>
      </c>
      <c r="CS726" s="1369" t="str">
        <f>INDEX([8]Sheet1!$H:$H,MATCH(CR:CR,[8]Sheet1!$AU:$AU,0))</f>
        <v>Finance</v>
      </c>
    </row>
    <row r="727" spans="1:97" x14ac:dyDescent="0.2">
      <c r="A727" t="s">
        <v>3351</v>
      </c>
      <c r="B727">
        <v>780</v>
      </c>
      <c r="C727" t="s">
        <v>3351</v>
      </c>
      <c r="D727">
        <v>41234</v>
      </c>
      <c r="E727" t="s">
        <v>2661</v>
      </c>
      <c r="F727">
        <v>2900</v>
      </c>
      <c r="G727" t="s">
        <v>569</v>
      </c>
      <c r="H727" t="s">
        <v>2366</v>
      </c>
      <c r="I727" t="s">
        <v>2366</v>
      </c>
      <c r="J727">
        <v>2904</v>
      </c>
      <c r="K727" t="s">
        <v>1432</v>
      </c>
      <c r="L727">
        <v>1200</v>
      </c>
      <c r="M727" t="s">
        <v>1480</v>
      </c>
      <c r="N727">
        <v>1205</v>
      </c>
      <c r="O727" t="s">
        <v>1488</v>
      </c>
      <c r="P727" t="s">
        <v>2366</v>
      </c>
      <c r="Q727" t="s">
        <v>2364</v>
      </c>
      <c r="R727" t="s">
        <v>2364</v>
      </c>
      <c r="S727" t="s">
        <v>1881</v>
      </c>
      <c r="T727" t="s">
        <v>1812</v>
      </c>
      <c r="U727" t="s">
        <v>2365</v>
      </c>
      <c r="V727" t="s">
        <v>2365</v>
      </c>
      <c r="W727" t="s">
        <v>2365</v>
      </c>
      <c r="X727" t="s">
        <v>2365</v>
      </c>
      <c r="Y727" t="s">
        <v>2365</v>
      </c>
      <c r="Z727" t="s">
        <v>2365</v>
      </c>
      <c r="AA727" t="s">
        <v>2365</v>
      </c>
      <c r="AB727" t="s">
        <v>2365</v>
      </c>
      <c r="AC727" s="813" t="s">
        <v>2365</v>
      </c>
      <c r="AD727" s="813" t="s">
        <v>2365</v>
      </c>
      <c r="AE727" s="813" t="s">
        <v>2365</v>
      </c>
      <c r="AF727" t="s">
        <v>2365</v>
      </c>
      <c r="AG727" t="s">
        <v>2365</v>
      </c>
      <c r="AH727" t="s">
        <v>2365</v>
      </c>
      <c r="AI727" t="s">
        <v>2365</v>
      </c>
      <c r="AJ727" t="s">
        <v>2365</v>
      </c>
      <c r="AK727" t="s">
        <v>2365</v>
      </c>
      <c r="AL727" t="s">
        <v>2365</v>
      </c>
      <c r="AM727" t="s">
        <v>2365</v>
      </c>
      <c r="AN727" t="s">
        <v>2365</v>
      </c>
      <c r="AR727" t="s">
        <v>2365</v>
      </c>
      <c r="AS727" t="s">
        <v>2365</v>
      </c>
      <c r="AT727" t="s">
        <v>2365</v>
      </c>
      <c r="AU727" t="s">
        <v>2365</v>
      </c>
      <c r="AV727" t="s">
        <v>2365</v>
      </c>
      <c r="AW727" t="s">
        <v>2365</v>
      </c>
      <c r="AX727" t="s">
        <v>2365</v>
      </c>
      <c r="AY727" t="s">
        <v>2365</v>
      </c>
      <c r="AZ727" t="s">
        <v>2365</v>
      </c>
      <c r="BA727" t="s">
        <v>2365</v>
      </c>
      <c r="BB727" t="s">
        <v>2365</v>
      </c>
      <c r="BC727" t="s">
        <v>2365</v>
      </c>
      <c r="BD727" t="s">
        <v>2366</v>
      </c>
      <c r="BE727" t="s">
        <v>2365</v>
      </c>
      <c r="BF727" t="s">
        <v>2365</v>
      </c>
      <c r="BG727" t="s">
        <v>2365</v>
      </c>
      <c r="BH727" t="s">
        <v>2365</v>
      </c>
      <c r="BI727" t="s">
        <v>2366</v>
      </c>
      <c r="BJ727" t="s">
        <v>2365</v>
      </c>
      <c r="BK727" t="s">
        <v>2365</v>
      </c>
      <c r="BL727" t="s">
        <v>2365</v>
      </c>
      <c r="BM727" t="s">
        <v>2365</v>
      </c>
      <c r="BO727">
        <v>1</v>
      </c>
      <c r="BP727">
        <v>12</v>
      </c>
      <c r="BQ727" t="s">
        <v>2369</v>
      </c>
      <c r="BR727" t="s">
        <v>1488</v>
      </c>
      <c r="BU727">
        <v>500000</v>
      </c>
      <c r="BV727">
        <v>0</v>
      </c>
      <c r="BW727">
        <v>500000</v>
      </c>
      <c r="BX727">
        <v>0</v>
      </c>
      <c r="BY727">
        <v>500000</v>
      </c>
      <c r="BZ727">
        <v>530000</v>
      </c>
      <c r="CA727">
        <v>561800</v>
      </c>
      <c r="CB727">
        <v>34635.949999999997</v>
      </c>
      <c r="CC727">
        <v>0</v>
      </c>
      <c r="CD727">
        <v>47932.85</v>
      </c>
      <c r="CE727">
        <v>0</v>
      </c>
      <c r="CF727">
        <v>0</v>
      </c>
      <c r="CG727">
        <v>58575.75</v>
      </c>
      <c r="CH727">
        <v>120176.05</v>
      </c>
      <c r="CI727">
        <v>56627.1</v>
      </c>
      <c r="CJ727">
        <v>67416.75</v>
      </c>
      <c r="CK727">
        <v>0</v>
      </c>
      <c r="CL727">
        <v>0</v>
      </c>
      <c r="CM727">
        <v>0</v>
      </c>
      <c r="CR727" t="s">
        <v>2324</v>
      </c>
      <c r="CS727" s="1369" t="str">
        <f>INDEX([8]Sheet1!$H:$H,MATCH(CR:CR,[8]Sheet1!$AU:$AU,0))</f>
        <v>Finance</v>
      </c>
    </row>
    <row r="728" spans="1:97" x14ac:dyDescent="0.2">
      <c r="A728" t="s">
        <v>3352</v>
      </c>
      <c r="B728">
        <v>781</v>
      </c>
      <c r="C728" t="s">
        <v>3352</v>
      </c>
      <c r="D728">
        <v>41235</v>
      </c>
      <c r="E728" t="s">
        <v>2432</v>
      </c>
      <c r="F728">
        <v>2600</v>
      </c>
      <c r="G728" t="s">
        <v>655</v>
      </c>
      <c r="H728">
        <v>2600</v>
      </c>
      <c r="I728" t="s">
        <v>655</v>
      </c>
      <c r="J728" t="s">
        <v>2365</v>
      </c>
      <c r="K728" t="s">
        <v>2365</v>
      </c>
      <c r="L728">
        <v>1200</v>
      </c>
      <c r="M728" t="s">
        <v>1480</v>
      </c>
      <c r="N728">
        <v>1213</v>
      </c>
      <c r="O728" t="s">
        <v>1493</v>
      </c>
      <c r="P728" t="s">
        <v>2366</v>
      </c>
      <c r="Q728" t="s">
        <v>2364</v>
      </c>
      <c r="R728" t="s">
        <v>2364</v>
      </c>
      <c r="S728" t="s">
        <v>1881</v>
      </c>
      <c r="T728" t="s">
        <v>1812</v>
      </c>
      <c r="U728" t="s">
        <v>2365</v>
      </c>
      <c r="V728" t="s">
        <v>2365</v>
      </c>
      <c r="W728" t="s">
        <v>2365</v>
      </c>
      <c r="X728" t="s">
        <v>2365</v>
      </c>
      <c r="Y728" t="s">
        <v>2365</v>
      </c>
      <c r="Z728" t="s">
        <v>2365</v>
      </c>
      <c r="AA728" t="s">
        <v>2365</v>
      </c>
      <c r="AB728" t="s">
        <v>2365</v>
      </c>
      <c r="AC728" s="813" t="s">
        <v>2365</v>
      </c>
      <c r="AD728" s="813" t="s">
        <v>2365</v>
      </c>
      <c r="AE728" s="813" t="s">
        <v>2365</v>
      </c>
      <c r="AF728" t="s">
        <v>2365</v>
      </c>
      <c r="AG728" t="s">
        <v>2365</v>
      </c>
      <c r="AH728" t="s">
        <v>2365</v>
      </c>
      <c r="AI728" t="s">
        <v>2365</v>
      </c>
      <c r="AJ728" t="s">
        <v>2365</v>
      </c>
      <c r="AK728" t="s">
        <v>2365</v>
      </c>
      <c r="AL728" t="s">
        <v>2365</v>
      </c>
      <c r="AM728" t="s">
        <v>2365</v>
      </c>
      <c r="AN728" t="s">
        <v>2365</v>
      </c>
      <c r="AR728" t="s">
        <v>2365</v>
      </c>
      <c r="AS728" t="s">
        <v>2365</v>
      </c>
      <c r="AT728" t="s">
        <v>2365</v>
      </c>
      <c r="AU728" t="s">
        <v>2365</v>
      </c>
      <c r="AV728" t="s">
        <v>2365</v>
      </c>
      <c r="AW728" t="s">
        <v>2365</v>
      </c>
      <c r="AX728" t="s">
        <v>2365</v>
      </c>
      <c r="AY728" t="s">
        <v>2365</v>
      </c>
      <c r="AZ728" t="s">
        <v>2365</v>
      </c>
      <c r="BA728" t="s">
        <v>2365</v>
      </c>
      <c r="BB728" t="s">
        <v>2365</v>
      </c>
      <c r="BC728" t="s">
        <v>2365</v>
      </c>
      <c r="BD728" t="s">
        <v>2366</v>
      </c>
      <c r="BE728" t="s">
        <v>2365</v>
      </c>
      <c r="BF728" t="s">
        <v>2365</v>
      </c>
      <c r="BG728" t="s">
        <v>2365</v>
      </c>
      <c r="BH728" t="s">
        <v>2365</v>
      </c>
      <c r="BI728" t="s">
        <v>2366</v>
      </c>
      <c r="BJ728" t="s">
        <v>2365</v>
      </c>
      <c r="BK728" t="s">
        <v>2365</v>
      </c>
      <c r="BL728" t="s">
        <v>2365</v>
      </c>
      <c r="BM728" t="s">
        <v>2365</v>
      </c>
      <c r="BO728">
        <v>2</v>
      </c>
      <c r="BP728">
        <v>21</v>
      </c>
      <c r="BQ728" t="s">
        <v>3353</v>
      </c>
      <c r="BR728" t="s">
        <v>3354</v>
      </c>
      <c r="BU728">
        <v>650000</v>
      </c>
      <c r="BV728">
        <v>0</v>
      </c>
      <c r="BW728">
        <v>650000</v>
      </c>
      <c r="BX728">
        <v>-500000</v>
      </c>
      <c r="BY728">
        <v>150000</v>
      </c>
      <c r="BZ728">
        <v>275000</v>
      </c>
      <c r="CA728">
        <v>302500</v>
      </c>
      <c r="CB728">
        <v>0</v>
      </c>
      <c r="CC728">
        <v>0</v>
      </c>
      <c r="CD728">
        <v>0</v>
      </c>
      <c r="CE728">
        <v>507.35</v>
      </c>
      <c r="CF728">
        <v>0</v>
      </c>
      <c r="CG728">
        <v>105974.67</v>
      </c>
      <c r="CH728">
        <v>0</v>
      </c>
      <c r="CI728">
        <v>0</v>
      </c>
      <c r="CJ728">
        <v>0</v>
      </c>
      <c r="CK728">
        <v>0</v>
      </c>
      <c r="CL728">
        <v>0</v>
      </c>
      <c r="CM728">
        <v>0</v>
      </c>
      <c r="CR728" t="s">
        <v>2324</v>
      </c>
      <c r="CS728" s="1369" t="str">
        <f>INDEX([8]Sheet1!$H:$H,MATCH(CR:CR,[8]Sheet1!$AU:$AU,0))</f>
        <v>Finance</v>
      </c>
    </row>
    <row r="729" spans="1:97" x14ac:dyDescent="0.2">
      <c r="A729" t="s">
        <v>3355</v>
      </c>
      <c r="B729">
        <v>782</v>
      </c>
      <c r="C729" t="s">
        <v>3355</v>
      </c>
      <c r="D729">
        <v>41236</v>
      </c>
      <c r="E729" t="s">
        <v>3302</v>
      </c>
      <c r="F729">
        <v>2700</v>
      </c>
      <c r="G729" t="s">
        <v>656</v>
      </c>
      <c r="H729" t="s">
        <v>2664</v>
      </c>
      <c r="I729" t="s">
        <v>1801</v>
      </c>
      <c r="J729">
        <v>2702</v>
      </c>
      <c r="K729" t="s">
        <v>1801</v>
      </c>
      <c r="L729">
        <v>1200</v>
      </c>
      <c r="M729" t="s">
        <v>1480</v>
      </c>
      <c r="N729">
        <v>1214</v>
      </c>
      <c r="O729" t="s">
        <v>1494</v>
      </c>
      <c r="P729" t="s">
        <v>2366</v>
      </c>
      <c r="Q729" t="s">
        <v>2364</v>
      </c>
      <c r="R729" t="s">
        <v>2364</v>
      </c>
      <c r="S729" t="s">
        <v>1881</v>
      </c>
      <c r="T729" t="s">
        <v>1812</v>
      </c>
      <c r="U729" t="s">
        <v>2365</v>
      </c>
      <c r="V729" t="s">
        <v>2365</v>
      </c>
      <c r="W729" t="s">
        <v>2365</v>
      </c>
      <c r="X729" t="s">
        <v>2365</v>
      </c>
      <c r="Y729" t="s">
        <v>2365</v>
      </c>
      <c r="Z729" t="s">
        <v>2365</v>
      </c>
      <c r="AA729" t="s">
        <v>2365</v>
      </c>
      <c r="AB729" t="s">
        <v>2365</v>
      </c>
      <c r="AC729" s="813" t="s">
        <v>2365</v>
      </c>
      <c r="AD729" s="813" t="s">
        <v>2365</v>
      </c>
      <c r="AE729" s="813" t="s">
        <v>2365</v>
      </c>
      <c r="AF729" t="s">
        <v>2365</v>
      </c>
      <c r="AG729" t="s">
        <v>2365</v>
      </c>
      <c r="AH729" t="s">
        <v>2365</v>
      </c>
      <c r="AI729" t="s">
        <v>2365</v>
      </c>
      <c r="AJ729" t="s">
        <v>2365</v>
      </c>
      <c r="AK729" t="s">
        <v>2365</v>
      </c>
      <c r="AL729" t="s">
        <v>2365</v>
      </c>
      <c r="AM729" t="s">
        <v>2365</v>
      </c>
      <c r="AN729" t="s">
        <v>2365</v>
      </c>
      <c r="AR729" t="s">
        <v>2365</v>
      </c>
      <c r="AS729" t="s">
        <v>2365</v>
      </c>
      <c r="AT729" t="s">
        <v>2365</v>
      </c>
      <c r="AU729" t="s">
        <v>2365</v>
      </c>
      <c r="AV729" t="s">
        <v>2365</v>
      </c>
      <c r="AW729" t="s">
        <v>2365</v>
      </c>
      <c r="AX729" t="s">
        <v>2365</v>
      </c>
      <c r="AY729" t="s">
        <v>2365</v>
      </c>
      <c r="AZ729" t="s">
        <v>2365</v>
      </c>
      <c r="BA729" t="s">
        <v>2365</v>
      </c>
      <c r="BB729" t="s">
        <v>2365</v>
      </c>
      <c r="BC729" t="s">
        <v>2365</v>
      </c>
      <c r="BD729" t="s">
        <v>2366</v>
      </c>
      <c r="BE729" t="s">
        <v>2365</v>
      </c>
      <c r="BF729" t="s">
        <v>2365</v>
      </c>
      <c r="BG729" t="s">
        <v>2365</v>
      </c>
      <c r="BH729" t="s">
        <v>2365</v>
      </c>
      <c r="BI729" t="s">
        <v>2366</v>
      </c>
      <c r="BJ729" t="s">
        <v>2365</v>
      </c>
      <c r="BK729" t="s">
        <v>2365</v>
      </c>
      <c r="BL729" t="s">
        <v>2365</v>
      </c>
      <c r="BM729" t="s">
        <v>2365</v>
      </c>
      <c r="BO729">
        <v>1</v>
      </c>
      <c r="BP729">
        <v>20</v>
      </c>
      <c r="BQ729" t="s">
        <v>2369</v>
      </c>
      <c r="BR729" t="s">
        <v>1494</v>
      </c>
      <c r="BU729">
        <v>260000</v>
      </c>
      <c r="BV729">
        <v>0</v>
      </c>
      <c r="BW729">
        <v>260000</v>
      </c>
      <c r="BX729">
        <v>0</v>
      </c>
      <c r="BY729">
        <v>260000</v>
      </c>
      <c r="BZ729">
        <v>286000</v>
      </c>
      <c r="CA729">
        <v>314600</v>
      </c>
      <c r="CB729">
        <v>0</v>
      </c>
      <c r="CC729">
        <v>429.88</v>
      </c>
      <c r="CD729">
        <v>0</v>
      </c>
      <c r="CE729">
        <v>427.59000000000003</v>
      </c>
      <c r="CF729">
        <v>0</v>
      </c>
      <c r="CG729">
        <v>78403.42</v>
      </c>
      <c r="CH729">
        <v>0</v>
      </c>
      <c r="CI729">
        <v>341.39</v>
      </c>
      <c r="CJ729">
        <v>0</v>
      </c>
      <c r="CK729">
        <v>0</v>
      </c>
      <c r="CL729">
        <v>0</v>
      </c>
      <c r="CM729">
        <v>0</v>
      </c>
      <c r="CR729" t="s">
        <v>2324</v>
      </c>
      <c r="CS729" s="1369" t="str">
        <f>INDEX([8]Sheet1!$H:$H,MATCH(CR:CR,[8]Sheet1!$AU:$AU,0))</f>
        <v>Finance</v>
      </c>
    </row>
    <row r="730" spans="1:97" x14ac:dyDescent="0.2">
      <c r="A730" t="s">
        <v>3356</v>
      </c>
      <c r="B730">
        <v>783</v>
      </c>
      <c r="C730" t="s">
        <v>3356</v>
      </c>
      <c r="D730">
        <v>41237</v>
      </c>
      <c r="E730" t="s">
        <v>3357</v>
      </c>
      <c r="F730">
        <v>2900</v>
      </c>
      <c r="G730" t="s">
        <v>569</v>
      </c>
      <c r="H730" t="s">
        <v>2366</v>
      </c>
      <c r="I730" t="s">
        <v>2366</v>
      </c>
      <c r="J730">
        <v>2904</v>
      </c>
      <c r="K730" t="s">
        <v>1432</v>
      </c>
      <c r="L730">
        <v>1200</v>
      </c>
      <c r="M730" t="s">
        <v>1480</v>
      </c>
      <c r="N730">
        <v>1205</v>
      </c>
      <c r="O730" t="s">
        <v>1488</v>
      </c>
      <c r="P730" t="s">
        <v>2366</v>
      </c>
      <c r="Q730" t="s">
        <v>2364</v>
      </c>
      <c r="R730" t="s">
        <v>2364</v>
      </c>
      <c r="S730" t="s">
        <v>1881</v>
      </c>
      <c r="T730" t="s">
        <v>1812</v>
      </c>
      <c r="U730" t="s">
        <v>2365</v>
      </c>
      <c r="V730" t="s">
        <v>2365</v>
      </c>
      <c r="W730" t="s">
        <v>2365</v>
      </c>
      <c r="X730" t="s">
        <v>2365</v>
      </c>
      <c r="Y730" t="s">
        <v>2365</v>
      </c>
      <c r="Z730" t="s">
        <v>2365</v>
      </c>
      <c r="AA730" t="s">
        <v>2365</v>
      </c>
      <c r="AB730" t="s">
        <v>2365</v>
      </c>
      <c r="AC730" s="813" t="s">
        <v>2365</v>
      </c>
      <c r="AD730" s="813" t="s">
        <v>2365</v>
      </c>
      <c r="AE730" s="813" t="s">
        <v>2365</v>
      </c>
      <c r="AF730" t="s">
        <v>2365</v>
      </c>
      <c r="AG730" t="s">
        <v>2365</v>
      </c>
      <c r="AH730" t="s">
        <v>2365</v>
      </c>
      <c r="AI730" t="s">
        <v>2365</v>
      </c>
      <c r="AJ730" t="s">
        <v>2365</v>
      </c>
      <c r="AK730" t="s">
        <v>2365</v>
      </c>
      <c r="AL730" t="s">
        <v>2365</v>
      </c>
      <c r="AM730" t="s">
        <v>2365</v>
      </c>
      <c r="AN730" t="s">
        <v>2365</v>
      </c>
      <c r="AR730" t="s">
        <v>2365</v>
      </c>
      <c r="AS730" t="s">
        <v>2365</v>
      </c>
      <c r="AT730" t="s">
        <v>2365</v>
      </c>
      <c r="AU730" t="s">
        <v>2365</v>
      </c>
      <c r="AV730" t="s">
        <v>2365</v>
      </c>
      <c r="AW730" t="s">
        <v>2365</v>
      </c>
      <c r="AX730" t="s">
        <v>2365</v>
      </c>
      <c r="AY730" t="s">
        <v>2365</v>
      </c>
      <c r="AZ730" t="s">
        <v>2365</v>
      </c>
      <c r="BA730" t="s">
        <v>2365</v>
      </c>
      <c r="BB730" t="s">
        <v>2365</v>
      </c>
      <c r="BC730" t="s">
        <v>2365</v>
      </c>
      <c r="BD730" t="s">
        <v>2366</v>
      </c>
      <c r="BE730" t="s">
        <v>2365</v>
      </c>
      <c r="BF730" t="s">
        <v>2365</v>
      </c>
      <c r="BG730" t="s">
        <v>2365</v>
      </c>
      <c r="BH730" t="s">
        <v>2365</v>
      </c>
      <c r="BI730" t="s">
        <v>2366</v>
      </c>
      <c r="BJ730" t="s">
        <v>2365</v>
      </c>
      <c r="BK730" t="s">
        <v>2365</v>
      </c>
      <c r="BL730" t="s">
        <v>2365</v>
      </c>
      <c r="BM730" t="s">
        <v>2365</v>
      </c>
      <c r="BO730">
        <v>1</v>
      </c>
      <c r="BP730">
        <v>12</v>
      </c>
      <c r="BQ730" t="s">
        <v>2369</v>
      </c>
      <c r="BR730" t="s">
        <v>1488</v>
      </c>
      <c r="BU730">
        <v>30000</v>
      </c>
      <c r="BV730">
        <v>0</v>
      </c>
      <c r="BW730">
        <v>30000</v>
      </c>
      <c r="BX730">
        <v>60000</v>
      </c>
      <c r="BY730">
        <v>90000</v>
      </c>
      <c r="BZ730">
        <v>31800</v>
      </c>
      <c r="CA730">
        <v>33708</v>
      </c>
      <c r="CB730">
        <v>0</v>
      </c>
      <c r="CC730">
        <v>0</v>
      </c>
      <c r="CD730">
        <v>10860.6</v>
      </c>
      <c r="CE730">
        <v>2022.2</v>
      </c>
      <c r="CF730">
        <v>0</v>
      </c>
      <c r="CG730">
        <v>0</v>
      </c>
      <c r="CH730">
        <v>0</v>
      </c>
      <c r="CI730">
        <v>1902</v>
      </c>
      <c r="CJ730">
        <v>0</v>
      </c>
      <c r="CK730">
        <v>0</v>
      </c>
      <c r="CL730">
        <v>0</v>
      </c>
      <c r="CM730">
        <v>0</v>
      </c>
      <c r="CR730" t="s">
        <v>2324</v>
      </c>
      <c r="CS730" s="1369" t="str">
        <f>INDEX([8]Sheet1!$H:$H,MATCH(CR:CR,[8]Sheet1!$AU:$AU,0))</f>
        <v>Finance</v>
      </c>
    </row>
    <row r="731" spans="1:97" x14ac:dyDescent="0.2">
      <c r="A731" t="s">
        <v>3358</v>
      </c>
      <c r="B731">
        <v>784</v>
      </c>
      <c r="C731" t="s">
        <v>3358</v>
      </c>
      <c r="D731">
        <v>41238</v>
      </c>
      <c r="E731" t="s">
        <v>2518</v>
      </c>
      <c r="F731">
        <v>2900</v>
      </c>
      <c r="G731" t="s">
        <v>569</v>
      </c>
      <c r="H731" t="s">
        <v>2366</v>
      </c>
      <c r="I731" t="s">
        <v>2366</v>
      </c>
      <c r="J731">
        <v>2904</v>
      </c>
      <c r="K731" t="s">
        <v>1432</v>
      </c>
      <c r="L731">
        <v>3100</v>
      </c>
      <c r="M731" t="s">
        <v>624</v>
      </c>
      <c r="N731">
        <v>3107</v>
      </c>
      <c r="O731" t="s">
        <v>1536</v>
      </c>
      <c r="P731" t="s">
        <v>2366</v>
      </c>
      <c r="Q731" t="s">
        <v>2364</v>
      </c>
      <c r="R731" t="s">
        <v>2364</v>
      </c>
      <c r="S731" t="s">
        <v>1881</v>
      </c>
      <c r="T731" t="s">
        <v>1812</v>
      </c>
      <c r="U731" t="s">
        <v>2365</v>
      </c>
      <c r="V731" t="s">
        <v>2365</v>
      </c>
      <c r="W731" t="s">
        <v>2365</v>
      </c>
      <c r="X731" t="s">
        <v>2365</v>
      </c>
      <c r="Y731" t="s">
        <v>2365</v>
      </c>
      <c r="Z731" t="s">
        <v>2365</v>
      </c>
      <c r="AA731" t="s">
        <v>2365</v>
      </c>
      <c r="AB731" t="s">
        <v>2365</v>
      </c>
      <c r="AC731" s="813" t="s">
        <v>2365</v>
      </c>
      <c r="AD731" s="813" t="s">
        <v>2365</v>
      </c>
      <c r="AE731" s="813" t="s">
        <v>2365</v>
      </c>
      <c r="AF731" t="s">
        <v>2365</v>
      </c>
      <c r="AG731" t="s">
        <v>2365</v>
      </c>
      <c r="AH731" t="s">
        <v>2365</v>
      </c>
      <c r="AI731" t="s">
        <v>2365</v>
      </c>
      <c r="AJ731" t="s">
        <v>2365</v>
      </c>
      <c r="AK731" t="s">
        <v>2365</v>
      </c>
      <c r="AL731" t="s">
        <v>2365</v>
      </c>
      <c r="AM731" t="s">
        <v>2365</v>
      </c>
      <c r="AN731" t="s">
        <v>2365</v>
      </c>
      <c r="AR731" t="s">
        <v>2365</v>
      </c>
      <c r="AS731" t="s">
        <v>2365</v>
      </c>
      <c r="AT731" t="s">
        <v>2365</v>
      </c>
      <c r="AU731" t="s">
        <v>2365</v>
      </c>
      <c r="AV731" t="s">
        <v>2365</v>
      </c>
      <c r="AW731" t="s">
        <v>2365</v>
      </c>
      <c r="AX731" t="s">
        <v>2365</v>
      </c>
      <c r="AY731" t="s">
        <v>2365</v>
      </c>
      <c r="AZ731" t="s">
        <v>2365</v>
      </c>
      <c r="BA731" t="s">
        <v>2365</v>
      </c>
      <c r="BB731" t="s">
        <v>2365</v>
      </c>
      <c r="BC731" t="s">
        <v>2365</v>
      </c>
      <c r="BD731" t="s">
        <v>2366</v>
      </c>
      <c r="BE731" t="s">
        <v>2365</v>
      </c>
      <c r="BF731" t="s">
        <v>2365</v>
      </c>
      <c r="BG731" t="s">
        <v>2365</v>
      </c>
      <c r="BH731" t="s">
        <v>2365</v>
      </c>
      <c r="BI731" t="s">
        <v>2366</v>
      </c>
      <c r="BJ731" t="s">
        <v>2365</v>
      </c>
      <c r="BK731" t="s">
        <v>2365</v>
      </c>
      <c r="BL731" t="s">
        <v>2365</v>
      </c>
      <c r="BM731" t="s">
        <v>2365</v>
      </c>
      <c r="BO731">
        <v>8</v>
      </c>
      <c r="BP731">
        <v>81</v>
      </c>
      <c r="BQ731" t="s">
        <v>2442</v>
      </c>
      <c r="BR731" t="s">
        <v>1536</v>
      </c>
      <c r="BU731">
        <v>0</v>
      </c>
      <c r="BV731">
        <v>0</v>
      </c>
      <c r="BW731">
        <v>0</v>
      </c>
      <c r="BX731">
        <v>0</v>
      </c>
      <c r="BY731">
        <v>0</v>
      </c>
      <c r="BZ731">
        <v>0</v>
      </c>
      <c r="CA731">
        <v>0</v>
      </c>
      <c r="CB731">
        <v>0</v>
      </c>
      <c r="CC731">
        <v>0</v>
      </c>
      <c r="CD731">
        <v>0</v>
      </c>
      <c r="CE731">
        <v>0</v>
      </c>
      <c r="CF731">
        <v>0</v>
      </c>
      <c r="CG731">
        <v>0</v>
      </c>
      <c r="CH731">
        <v>0</v>
      </c>
      <c r="CI731">
        <v>0</v>
      </c>
      <c r="CJ731">
        <v>0</v>
      </c>
      <c r="CK731">
        <v>0</v>
      </c>
      <c r="CL731">
        <v>0</v>
      </c>
      <c r="CM731">
        <v>0</v>
      </c>
      <c r="CR731" t="s">
        <v>2324</v>
      </c>
      <c r="CS731" s="1369" t="str">
        <f>INDEX([8]Sheet1!$H:$H,MATCH(CR:CR,[8]Sheet1!$AU:$AU,0))</f>
        <v>Finance</v>
      </c>
    </row>
    <row r="732" spans="1:97" x14ac:dyDescent="0.2">
      <c r="A732" t="s">
        <v>3359</v>
      </c>
      <c r="B732">
        <v>785</v>
      </c>
      <c r="C732" t="s">
        <v>3359</v>
      </c>
      <c r="D732">
        <v>41262</v>
      </c>
      <c r="E732" t="s">
        <v>3360</v>
      </c>
      <c r="F732">
        <v>2700</v>
      </c>
      <c r="G732" t="s">
        <v>656</v>
      </c>
      <c r="H732" t="s">
        <v>2478</v>
      </c>
      <c r="I732" t="s">
        <v>1802</v>
      </c>
      <c r="J732">
        <v>2703</v>
      </c>
      <c r="K732" t="s">
        <v>1802</v>
      </c>
      <c r="L732">
        <v>3100</v>
      </c>
      <c r="M732" t="s">
        <v>624</v>
      </c>
      <c r="N732">
        <v>3107</v>
      </c>
      <c r="O732" t="s">
        <v>1536</v>
      </c>
      <c r="P732" t="s">
        <v>2366</v>
      </c>
      <c r="Q732" t="s">
        <v>2364</v>
      </c>
      <c r="R732" t="s">
        <v>2364</v>
      </c>
      <c r="S732" t="s">
        <v>1881</v>
      </c>
      <c r="T732" t="s">
        <v>1812</v>
      </c>
      <c r="U732" t="s">
        <v>2365</v>
      </c>
      <c r="V732" t="s">
        <v>2365</v>
      </c>
      <c r="W732" t="s">
        <v>2365</v>
      </c>
      <c r="X732" t="s">
        <v>2365</v>
      </c>
      <c r="Y732" t="s">
        <v>2365</v>
      </c>
      <c r="Z732" t="s">
        <v>2365</v>
      </c>
      <c r="AA732" t="s">
        <v>2365</v>
      </c>
      <c r="AB732" t="s">
        <v>2365</v>
      </c>
      <c r="AC732" s="813" t="s">
        <v>2365</v>
      </c>
      <c r="AD732" s="813" t="s">
        <v>2365</v>
      </c>
      <c r="AE732" s="813" t="s">
        <v>2365</v>
      </c>
      <c r="AF732" t="s">
        <v>2365</v>
      </c>
      <c r="AG732" t="s">
        <v>2365</v>
      </c>
      <c r="AH732" t="s">
        <v>2365</v>
      </c>
      <c r="AI732" t="s">
        <v>2365</v>
      </c>
      <c r="AJ732" t="s">
        <v>2365</v>
      </c>
      <c r="AK732" t="s">
        <v>2365</v>
      </c>
      <c r="AL732" t="s">
        <v>2365</v>
      </c>
      <c r="AM732" t="s">
        <v>2365</v>
      </c>
      <c r="AN732" t="s">
        <v>2365</v>
      </c>
      <c r="AR732" t="s">
        <v>2365</v>
      </c>
      <c r="AS732" t="s">
        <v>2365</v>
      </c>
      <c r="AT732" t="s">
        <v>2365</v>
      </c>
      <c r="AU732" t="s">
        <v>2365</v>
      </c>
      <c r="AV732" t="s">
        <v>2365</v>
      </c>
      <c r="AW732" t="s">
        <v>2365</v>
      </c>
      <c r="AX732" t="s">
        <v>2365</v>
      </c>
      <c r="AY732" t="s">
        <v>2365</v>
      </c>
      <c r="AZ732" t="s">
        <v>2365</v>
      </c>
      <c r="BA732" t="s">
        <v>2365</v>
      </c>
      <c r="BB732" t="s">
        <v>2365</v>
      </c>
      <c r="BC732" t="s">
        <v>2365</v>
      </c>
      <c r="BD732" t="s">
        <v>2366</v>
      </c>
      <c r="BE732" t="s">
        <v>2365</v>
      </c>
      <c r="BF732" t="s">
        <v>2365</v>
      </c>
      <c r="BG732" t="s">
        <v>2365</v>
      </c>
      <c r="BH732" t="s">
        <v>2365</v>
      </c>
      <c r="BI732" t="s">
        <v>2366</v>
      </c>
      <c r="BJ732" t="s">
        <v>2365</v>
      </c>
      <c r="BK732" t="s">
        <v>2365</v>
      </c>
      <c r="BL732" t="s">
        <v>2365</v>
      </c>
      <c r="BM732" t="s">
        <v>2365</v>
      </c>
      <c r="BO732">
        <v>8</v>
      </c>
      <c r="BP732">
        <v>81</v>
      </c>
      <c r="BQ732" t="s">
        <v>2442</v>
      </c>
      <c r="BR732" t="s">
        <v>1536</v>
      </c>
      <c r="BU732">
        <v>0</v>
      </c>
      <c r="BV732">
        <v>0</v>
      </c>
      <c r="BW732">
        <v>0</v>
      </c>
      <c r="BX732">
        <v>0</v>
      </c>
      <c r="BY732">
        <v>0</v>
      </c>
      <c r="BZ732">
        <v>0</v>
      </c>
      <c r="CA732">
        <v>0</v>
      </c>
      <c r="CB732">
        <v>0</v>
      </c>
      <c r="CC732">
        <v>0</v>
      </c>
      <c r="CD732">
        <v>0</v>
      </c>
      <c r="CE732">
        <v>0</v>
      </c>
      <c r="CF732">
        <v>0</v>
      </c>
      <c r="CG732">
        <v>0</v>
      </c>
      <c r="CH732">
        <v>0</v>
      </c>
      <c r="CI732">
        <v>0</v>
      </c>
      <c r="CJ732">
        <v>0</v>
      </c>
      <c r="CK732">
        <v>0</v>
      </c>
      <c r="CL732">
        <v>0</v>
      </c>
      <c r="CM732">
        <v>0</v>
      </c>
      <c r="CR732" t="s">
        <v>2324</v>
      </c>
      <c r="CS732" s="1369" t="str">
        <f>INDEX([8]Sheet1!$H:$H,MATCH(CR:CR,[8]Sheet1!$AU:$AU,0))</f>
        <v>Finance</v>
      </c>
    </row>
    <row r="733" spans="1:97" x14ac:dyDescent="0.2">
      <c r="A733" t="s">
        <v>3361</v>
      </c>
      <c r="B733">
        <v>786</v>
      </c>
      <c r="C733" t="s">
        <v>3361</v>
      </c>
      <c r="D733">
        <v>41405</v>
      </c>
      <c r="E733" t="s">
        <v>2708</v>
      </c>
      <c r="F733">
        <v>2900</v>
      </c>
      <c r="G733" t="s">
        <v>569</v>
      </c>
      <c r="H733" t="s">
        <v>2366</v>
      </c>
      <c r="I733" t="s">
        <v>2366</v>
      </c>
      <c r="J733">
        <v>2904</v>
      </c>
      <c r="K733" t="s">
        <v>1432</v>
      </c>
      <c r="L733">
        <v>3100</v>
      </c>
      <c r="M733" t="s">
        <v>624</v>
      </c>
      <c r="N733">
        <v>3108</v>
      </c>
      <c r="O733" t="s">
        <v>1537</v>
      </c>
      <c r="P733" t="s">
        <v>2366</v>
      </c>
      <c r="Q733" t="s">
        <v>2364</v>
      </c>
      <c r="R733" t="s">
        <v>2364</v>
      </c>
      <c r="S733" t="s">
        <v>1881</v>
      </c>
      <c r="T733" t="s">
        <v>1812</v>
      </c>
      <c r="U733" t="s">
        <v>2365</v>
      </c>
      <c r="V733" t="s">
        <v>2365</v>
      </c>
      <c r="W733" t="s">
        <v>2365</v>
      </c>
      <c r="X733" t="s">
        <v>2365</v>
      </c>
      <c r="Y733" t="s">
        <v>2365</v>
      </c>
      <c r="Z733" t="s">
        <v>2365</v>
      </c>
      <c r="AA733" t="s">
        <v>2365</v>
      </c>
      <c r="AB733" t="s">
        <v>2365</v>
      </c>
      <c r="AC733" s="813" t="s">
        <v>2365</v>
      </c>
      <c r="AD733" s="813" t="s">
        <v>2365</v>
      </c>
      <c r="AE733" s="813" t="s">
        <v>2365</v>
      </c>
      <c r="AF733" t="s">
        <v>2365</v>
      </c>
      <c r="AG733" t="s">
        <v>2365</v>
      </c>
      <c r="AH733" t="s">
        <v>2365</v>
      </c>
      <c r="AI733" t="s">
        <v>2365</v>
      </c>
      <c r="AJ733" t="s">
        <v>2365</v>
      </c>
      <c r="AK733" t="s">
        <v>2365</v>
      </c>
      <c r="AL733" t="s">
        <v>2365</v>
      </c>
      <c r="AM733" t="s">
        <v>2365</v>
      </c>
      <c r="AN733" t="s">
        <v>2365</v>
      </c>
      <c r="AR733" t="s">
        <v>2365</v>
      </c>
      <c r="AS733" t="s">
        <v>2365</v>
      </c>
      <c r="AT733" t="s">
        <v>2365</v>
      </c>
      <c r="AU733" t="s">
        <v>2365</v>
      </c>
      <c r="AV733" t="s">
        <v>2365</v>
      </c>
      <c r="AW733" t="s">
        <v>2365</v>
      </c>
      <c r="AX733" t="s">
        <v>2365</v>
      </c>
      <c r="AY733" t="s">
        <v>2365</v>
      </c>
      <c r="AZ733" t="s">
        <v>2365</v>
      </c>
      <c r="BA733" t="s">
        <v>2365</v>
      </c>
      <c r="BB733" t="s">
        <v>2365</v>
      </c>
      <c r="BC733" t="s">
        <v>2365</v>
      </c>
      <c r="BD733" t="s">
        <v>2366</v>
      </c>
      <c r="BE733" t="s">
        <v>2365</v>
      </c>
      <c r="BF733" t="s">
        <v>2365</v>
      </c>
      <c r="BG733" t="s">
        <v>2365</v>
      </c>
      <c r="BH733" t="s">
        <v>2365</v>
      </c>
      <c r="BI733" t="s">
        <v>2366</v>
      </c>
      <c r="BJ733" t="s">
        <v>2365</v>
      </c>
      <c r="BK733" t="s">
        <v>2365</v>
      </c>
      <c r="BL733" t="s">
        <v>2365</v>
      </c>
      <c r="BM733" t="s">
        <v>2365</v>
      </c>
      <c r="BO733">
        <v>8</v>
      </c>
      <c r="BP733">
        <v>86</v>
      </c>
      <c r="BQ733" t="s">
        <v>2442</v>
      </c>
      <c r="BR733" t="s">
        <v>1537</v>
      </c>
      <c r="BU733">
        <v>0</v>
      </c>
      <c r="BV733">
        <v>0</v>
      </c>
      <c r="BW733">
        <v>0</v>
      </c>
      <c r="BX733">
        <v>0</v>
      </c>
      <c r="BY733">
        <v>0</v>
      </c>
      <c r="BZ733">
        <v>0</v>
      </c>
      <c r="CA733">
        <v>0</v>
      </c>
      <c r="CB733">
        <v>0</v>
      </c>
      <c r="CC733">
        <v>0</v>
      </c>
      <c r="CD733">
        <v>0</v>
      </c>
      <c r="CE733">
        <v>0</v>
      </c>
      <c r="CF733">
        <v>0</v>
      </c>
      <c r="CG733">
        <v>0</v>
      </c>
      <c r="CH733">
        <v>0</v>
      </c>
      <c r="CI733">
        <v>0</v>
      </c>
      <c r="CJ733">
        <v>0</v>
      </c>
      <c r="CK733">
        <v>0</v>
      </c>
      <c r="CL733">
        <v>0</v>
      </c>
      <c r="CM733">
        <v>0</v>
      </c>
      <c r="CR733" t="s">
        <v>2324</v>
      </c>
      <c r="CS733" s="1369" t="str">
        <f>INDEX([8]Sheet1!$H:$H,MATCH(CR:CR,[8]Sheet1!$AU:$AU,0))</f>
        <v>Finance</v>
      </c>
    </row>
    <row r="734" spans="1:97" x14ac:dyDescent="0.2">
      <c r="A734" t="s">
        <v>3362</v>
      </c>
      <c r="B734">
        <v>787</v>
      </c>
      <c r="C734" t="s">
        <v>3362</v>
      </c>
      <c r="D734">
        <v>41406</v>
      </c>
      <c r="E734" t="s">
        <v>2706</v>
      </c>
      <c r="F734">
        <v>2900</v>
      </c>
      <c r="G734" t="s">
        <v>569</v>
      </c>
      <c r="H734" t="s">
        <v>2366</v>
      </c>
      <c r="I734" t="s">
        <v>2366</v>
      </c>
      <c r="J734">
        <v>2904</v>
      </c>
      <c r="K734" t="s">
        <v>1432</v>
      </c>
      <c r="L734">
        <v>3100</v>
      </c>
      <c r="M734" t="s">
        <v>624</v>
      </c>
      <c r="N734">
        <v>3107</v>
      </c>
      <c r="O734" t="s">
        <v>1536</v>
      </c>
      <c r="P734" t="s">
        <v>2366</v>
      </c>
      <c r="Q734" t="s">
        <v>2364</v>
      </c>
      <c r="R734" t="s">
        <v>2364</v>
      </c>
      <c r="S734" t="s">
        <v>1881</v>
      </c>
      <c r="T734" t="s">
        <v>1812</v>
      </c>
      <c r="U734" t="s">
        <v>2365</v>
      </c>
      <c r="V734" t="s">
        <v>2365</v>
      </c>
      <c r="W734" t="s">
        <v>2365</v>
      </c>
      <c r="X734" t="s">
        <v>2365</v>
      </c>
      <c r="Y734" t="s">
        <v>2365</v>
      </c>
      <c r="Z734" t="s">
        <v>2365</v>
      </c>
      <c r="AA734" t="s">
        <v>2365</v>
      </c>
      <c r="AB734" t="s">
        <v>2365</v>
      </c>
      <c r="AC734" s="813" t="s">
        <v>2365</v>
      </c>
      <c r="AD734" s="813" t="s">
        <v>2365</v>
      </c>
      <c r="AE734" s="813" t="s">
        <v>2365</v>
      </c>
      <c r="AF734" t="s">
        <v>2365</v>
      </c>
      <c r="AG734" t="s">
        <v>2365</v>
      </c>
      <c r="AH734" t="s">
        <v>2365</v>
      </c>
      <c r="AI734" t="s">
        <v>2365</v>
      </c>
      <c r="AJ734" t="s">
        <v>2365</v>
      </c>
      <c r="AK734" t="s">
        <v>2365</v>
      </c>
      <c r="AL734" t="s">
        <v>2365</v>
      </c>
      <c r="AM734" t="s">
        <v>2365</v>
      </c>
      <c r="AN734" t="s">
        <v>2365</v>
      </c>
      <c r="AR734" t="s">
        <v>2365</v>
      </c>
      <c r="AS734" t="s">
        <v>2365</v>
      </c>
      <c r="AT734" t="s">
        <v>2365</v>
      </c>
      <c r="AU734" t="s">
        <v>2365</v>
      </c>
      <c r="AV734" t="s">
        <v>2365</v>
      </c>
      <c r="AW734" t="s">
        <v>2365</v>
      </c>
      <c r="AX734" t="s">
        <v>2365</v>
      </c>
      <c r="AY734" t="s">
        <v>2365</v>
      </c>
      <c r="AZ734" t="s">
        <v>2365</v>
      </c>
      <c r="BA734" t="s">
        <v>2365</v>
      </c>
      <c r="BB734" t="s">
        <v>2365</v>
      </c>
      <c r="BC734" t="s">
        <v>2365</v>
      </c>
      <c r="BD734" t="s">
        <v>2366</v>
      </c>
      <c r="BE734" t="s">
        <v>2365</v>
      </c>
      <c r="BF734" t="s">
        <v>2365</v>
      </c>
      <c r="BG734" t="s">
        <v>2365</v>
      </c>
      <c r="BH734" t="s">
        <v>2365</v>
      </c>
      <c r="BI734" t="s">
        <v>2366</v>
      </c>
      <c r="BJ734" t="s">
        <v>2365</v>
      </c>
      <c r="BK734" t="s">
        <v>2365</v>
      </c>
      <c r="BL734" t="s">
        <v>2365</v>
      </c>
      <c r="BM734" t="s">
        <v>2365</v>
      </c>
      <c r="BO734">
        <v>8</v>
      </c>
      <c r="BP734">
        <v>81</v>
      </c>
      <c r="BQ734" t="s">
        <v>2442</v>
      </c>
      <c r="BR734" t="s">
        <v>1536</v>
      </c>
      <c r="BU734">
        <v>100000</v>
      </c>
      <c r="BV734">
        <v>0</v>
      </c>
      <c r="BW734">
        <v>100000</v>
      </c>
      <c r="BX734">
        <v>-100000</v>
      </c>
      <c r="BY734">
        <v>0</v>
      </c>
      <c r="BZ734">
        <v>110000</v>
      </c>
      <c r="CA734">
        <v>121000</v>
      </c>
      <c r="CB734">
        <v>0</v>
      </c>
      <c r="CC734">
        <v>0</v>
      </c>
      <c r="CD734">
        <v>0</v>
      </c>
      <c r="CE734">
        <v>0</v>
      </c>
      <c r="CF734">
        <v>0</v>
      </c>
      <c r="CG734">
        <v>0</v>
      </c>
      <c r="CH734">
        <v>0</v>
      </c>
      <c r="CI734">
        <v>0</v>
      </c>
      <c r="CJ734">
        <v>0</v>
      </c>
      <c r="CK734">
        <v>0</v>
      </c>
      <c r="CL734">
        <v>0</v>
      </c>
      <c r="CM734">
        <v>0</v>
      </c>
      <c r="CR734" t="s">
        <v>2324</v>
      </c>
      <c r="CS734" s="1369" t="str">
        <f>INDEX([8]Sheet1!$H:$H,MATCH(CR:CR,[8]Sheet1!$AU:$AU,0))</f>
        <v>Finance</v>
      </c>
    </row>
    <row r="735" spans="1:97" x14ac:dyDescent="0.2">
      <c r="A735" t="s">
        <v>3363</v>
      </c>
      <c r="B735">
        <v>788</v>
      </c>
      <c r="C735" t="s">
        <v>3363</v>
      </c>
      <c r="D735">
        <v>41407</v>
      </c>
      <c r="E735" t="s">
        <v>2708</v>
      </c>
      <c r="F735">
        <v>2900</v>
      </c>
      <c r="G735" t="s">
        <v>569</v>
      </c>
      <c r="H735" t="s">
        <v>2366</v>
      </c>
      <c r="I735" t="s">
        <v>2366</v>
      </c>
      <c r="J735">
        <v>2904</v>
      </c>
      <c r="K735" t="s">
        <v>1432</v>
      </c>
      <c r="L735">
        <v>3100</v>
      </c>
      <c r="M735" t="s">
        <v>624</v>
      </c>
      <c r="N735">
        <v>3107</v>
      </c>
      <c r="O735" t="s">
        <v>1536</v>
      </c>
      <c r="P735" t="s">
        <v>2366</v>
      </c>
      <c r="Q735" t="s">
        <v>2364</v>
      </c>
      <c r="R735" t="s">
        <v>2364</v>
      </c>
      <c r="S735" t="s">
        <v>1881</v>
      </c>
      <c r="T735" t="s">
        <v>1812</v>
      </c>
      <c r="U735" t="s">
        <v>2365</v>
      </c>
      <c r="V735" t="s">
        <v>2365</v>
      </c>
      <c r="W735" t="s">
        <v>2365</v>
      </c>
      <c r="X735" t="s">
        <v>2365</v>
      </c>
      <c r="Y735" t="s">
        <v>2365</v>
      </c>
      <c r="Z735" t="s">
        <v>2365</v>
      </c>
      <c r="AA735" t="s">
        <v>2365</v>
      </c>
      <c r="AB735" t="s">
        <v>2365</v>
      </c>
      <c r="AC735" s="813" t="s">
        <v>2365</v>
      </c>
      <c r="AD735" s="813" t="s">
        <v>2365</v>
      </c>
      <c r="AE735" s="813" t="s">
        <v>2365</v>
      </c>
      <c r="AF735" t="s">
        <v>2365</v>
      </c>
      <c r="AG735" t="s">
        <v>2365</v>
      </c>
      <c r="AH735" t="s">
        <v>2365</v>
      </c>
      <c r="AI735" t="s">
        <v>2365</v>
      </c>
      <c r="AJ735" t="s">
        <v>2365</v>
      </c>
      <c r="AK735" t="s">
        <v>2365</v>
      </c>
      <c r="AL735" t="s">
        <v>2365</v>
      </c>
      <c r="AM735" t="s">
        <v>2365</v>
      </c>
      <c r="AN735" t="s">
        <v>2365</v>
      </c>
      <c r="AR735" t="s">
        <v>2365</v>
      </c>
      <c r="AS735" t="s">
        <v>2365</v>
      </c>
      <c r="AT735" t="s">
        <v>2365</v>
      </c>
      <c r="AU735" t="s">
        <v>2365</v>
      </c>
      <c r="AV735" t="s">
        <v>2365</v>
      </c>
      <c r="AW735" t="s">
        <v>2365</v>
      </c>
      <c r="AX735" t="s">
        <v>2365</v>
      </c>
      <c r="AY735" t="s">
        <v>2365</v>
      </c>
      <c r="AZ735" t="s">
        <v>2365</v>
      </c>
      <c r="BA735" t="s">
        <v>2365</v>
      </c>
      <c r="BB735" t="s">
        <v>2365</v>
      </c>
      <c r="BC735" t="s">
        <v>2365</v>
      </c>
      <c r="BD735" t="s">
        <v>2366</v>
      </c>
      <c r="BE735" t="s">
        <v>2365</v>
      </c>
      <c r="BF735" t="s">
        <v>2365</v>
      </c>
      <c r="BG735" t="s">
        <v>2365</v>
      </c>
      <c r="BH735" t="s">
        <v>2365</v>
      </c>
      <c r="BI735" t="s">
        <v>2366</v>
      </c>
      <c r="BJ735" t="s">
        <v>2365</v>
      </c>
      <c r="BK735" t="s">
        <v>2365</v>
      </c>
      <c r="BL735" t="s">
        <v>2365</v>
      </c>
      <c r="BM735" t="s">
        <v>2365</v>
      </c>
      <c r="BO735">
        <v>8</v>
      </c>
      <c r="BP735">
        <v>81</v>
      </c>
      <c r="BQ735" t="s">
        <v>2442</v>
      </c>
      <c r="BR735" t="s">
        <v>1536</v>
      </c>
      <c r="BU735">
        <v>5000</v>
      </c>
      <c r="BV735">
        <v>0</v>
      </c>
      <c r="BW735">
        <v>5000</v>
      </c>
      <c r="BX735">
        <v>-5000</v>
      </c>
      <c r="BY735">
        <v>0</v>
      </c>
      <c r="BZ735">
        <v>5500</v>
      </c>
      <c r="CA735">
        <v>6050</v>
      </c>
      <c r="CB735">
        <v>0</v>
      </c>
      <c r="CC735">
        <v>0</v>
      </c>
      <c r="CD735">
        <v>0</v>
      </c>
      <c r="CE735">
        <v>0</v>
      </c>
      <c r="CF735">
        <v>0</v>
      </c>
      <c r="CG735">
        <v>0</v>
      </c>
      <c r="CH735">
        <v>0</v>
      </c>
      <c r="CI735">
        <v>0</v>
      </c>
      <c r="CJ735">
        <v>0</v>
      </c>
      <c r="CK735">
        <v>0</v>
      </c>
      <c r="CL735">
        <v>0</v>
      </c>
      <c r="CM735">
        <v>0</v>
      </c>
      <c r="CR735" t="s">
        <v>2324</v>
      </c>
      <c r="CS735" s="1369" t="str">
        <f>INDEX([8]Sheet1!$H:$H,MATCH(CR:CR,[8]Sheet1!$AU:$AU,0))</f>
        <v>Finance</v>
      </c>
    </row>
    <row r="736" spans="1:97" x14ac:dyDescent="0.2">
      <c r="A736" t="s">
        <v>3364</v>
      </c>
      <c r="B736">
        <v>789</v>
      </c>
      <c r="C736" t="s">
        <v>3364</v>
      </c>
      <c r="D736">
        <v>41408</v>
      </c>
      <c r="E736" t="s">
        <v>2455</v>
      </c>
      <c r="F736">
        <v>2900</v>
      </c>
      <c r="G736" t="s">
        <v>569</v>
      </c>
      <c r="H736" t="s">
        <v>2366</v>
      </c>
      <c r="I736" t="s">
        <v>2366</v>
      </c>
      <c r="J736">
        <v>2904</v>
      </c>
      <c r="K736" t="s">
        <v>1432</v>
      </c>
      <c r="L736">
        <v>3100</v>
      </c>
      <c r="M736" t="s">
        <v>624</v>
      </c>
      <c r="N736">
        <v>3107</v>
      </c>
      <c r="O736" t="s">
        <v>1536</v>
      </c>
      <c r="P736" t="s">
        <v>2366</v>
      </c>
      <c r="Q736" t="s">
        <v>2364</v>
      </c>
      <c r="R736" t="s">
        <v>2364</v>
      </c>
      <c r="S736" t="s">
        <v>1881</v>
      </c>
      <c r="T736" t="s">
        <v>1812</v>
      </c>
      <c r="U736" t="s">
        <v>2365</v>
      </c>
      <c r="V736" t="s">
        <v>2365</v>
      </c>
      <c r="W736" t="s">
        <v>2365</v>
      </c>
      <c r="X736" t="s">
        <v>2365</v>
      </c>
      <c r="Y736" t="s">
        <v>2365</v>
      </c>
      <c r="Z736" t="s">
        <v>2365</v>
      </c>
      <c r="AA736" t="s">
        <v>2365</v>
      </c>
      <c r="AB736" t="s">
        <v>2365</v>
      </c>
      <c r="AC736" s="813" t="s">
        <v>2365</v>
      </c>
      <c r="AD736" s="813" t="s">
        <v>2365</v>
      </c>
      <c r="AE736" s="813" t="s">
        <v>2365</v>
      </c>
      <c r="AF736" t="s">
        <v>2365</v>
      </c>
      <c r="AG736" t="s">
        <v>2365</v>
      </c>
      <c r="AH736" t="s">
        <v>2365</v>
      </c>
      <c r="AI736" t="s">
        <v>2365</v>
      </c>
      <c r="AJ736" t="s">
        <v>2365</v>
      </c>
      <c r="AK736" t="s">
        <v>2365</v>
      </c>
      <c r="AL736" t="s">
        <v>2365</v>
      </c>
      <c r="AM736" t="s">
        <v>2365</v>
      </c>
      <c r="AN736" t="s">
        <v>2365</v>
      </c>
      <c r="AR736" t="s">
        <v>2365</v>
      </c>
      <c r="AS736" t="s">
        <v>2365</v>
      </c>
      <c r="AT736" t="s">
        <v>2365</v>
      </c>
      <c r="AU736" t="s">
        <v>2365</v>
      </c>
      <c r="AV736" t="s">
        <v>2365</v>
      </c>
      <c r="AW736" t="s">
        <v>2365</v>
      </c>
      <c r="AX736" t="s">
        <v>2365</v>
      </c>
      <c r="AY736" t="s">
        <v>2365</v>
      </c>
      <c r="AZ736" t="s">
        <v>2365</v>
      </c>
      <c r="BA736" t="s">
        <v>2365</v>
      </c>
      <c r="BB736" t="s">
        <v>2365</v>
      </c>
      <c r="BC736" t="s">
        <v>2365</v>
      </c>
      <c r="BD736" t="s">
        <v>2366</v>
      </c>
      <c r="BE736" t="s">
        <v>2365</v>
      </c>
      <c r="BF736" t="s">
        <v>2365</v>
      </c>
      <c r="BG736" t="s">
        <v>2365</v>
      </c>
      <c r="BH736" t="s">
        <v>2365</v>
      </c>
      <c r="BI736" t="s">
        <v>2366</v>
      </c>
      <c r="BJ736" t="s">
        <v>2365</v>
      </c>
      <c r="BK736" t="s">
        <v>2365</v>
      </c>
      <c r="BL736" t="s">
        <v>2365</v>
      </c>
      <c r="BM736" t="s">
        <v>2365</v>
      </c>
      <c r="BO736">
        <v>8</v>
      </c>
      <c r="BP736">
        <v>81</v>
      </c>
      <c r="BQ736" t="s">
        <v>2442</v>
      </c>
      <c r="BR736" t="s">
        <v>1536</v>
      </c>
      <c r="BU736">
        <v>20000</v>
      </c>
      <c r="BV736">
        <v>0</v>
      </c>
      <c r="BW736">
        <v>20000</v>
      </c>
      <c r="BX736">
        <v>-20000</v>
      </c>
      <c r="BY736">
        <v>0</v>
      </c>
      <c r="BZ736">
        <v>22000</v>
      </c>
      <c r="CA736">
        <v>24200</v>
      </c>
      <c r="CB736">
        <v>0</v>
      </c>
      <c r="CC736">
        <v>0</v>
      </c>
      <c r="CD736">
        <v>0</v>
      </c>
      <c r="CE736">
        <v>0</v>
      </c>
      <c r="CF736">
        <v>0</v>
      </c>
      <c r="CG736">
        <v>0</v>
      </c>
      <c r="CH736">
        <v>0</v>
      </c>
      <c r="CI736">
        <v>0</v>
      </c>
      <c r="CJ736">
        <v>0</v>
      </c>
      <c r="CK736">
        <v>0</v>
      </c>
      <c r="CL736">
        <v>0</v>
      </c>
      <c r="CM736">
        <v>0</v>
      </c>
      <c r="CR736" t="s">
        <v>2324</v>
      </c>
      <c r="CS736" s="1369" t="str">
        <f>INDEX([8]Sheet1!$H:$H,MATCH(CR:CR,[8]Sheet1!$AU:$AU,0))</f>
        <v>Finance</v>
      </c>
    </row>
    <row r="737" spans="1:97" x14ac:dyDescent="0.2">
      <c r="A737" t="s">
        <v>3365</v>
      </c>
      <c r="B737">
        <v>790</v>
      </c>
      <c r="C737" t="s">
        <v>3365</v>
      </c>
      <c r="D737">
        <v>41409</v>
      </c>
      <c r="E737" t="s">
        <v>2714</v>
      </c>
      <c r="F737">
        <v>2700</v>
      </c>
      <c r="G737" t="s">
        <v>656</v>
      </c>
      <c r="H737" t="s">
        <v>2664</v>
      </c>
      <c r="I737" t="s">
        <v>1801</v>
      </c>
      <c r="J737">
        <v>2702</v>
      </c>
      <c r="K737" t="s">
        <v>1801</v>
      </c>
      <c r="L737">
        <v>3100</v>
      </c>
      <c r="M737" t="s">
        <v>624</v>
      </c>
      <c r="N737">
        <v>3107</v>
      </c>
      <c r="O737" t="s">
        <v>1536</v>
      </c>
      <c r="P737" t="s">
        <v>2366</v>
      </c>
      <c r="Q737" t="s">
        <v>2364</v>
      </c>
      <c r="R737" t="s">
        <v>2364</v>
      </c>
      <c r="S737" t="s">
        <v>1881</v>
      </c>
      <c r="T737" t="s">
        <v>1812</v>
      </c>
      <c r="U737" t="s">
        <v>2365</v>
      </c>
      <c r="V737" t="s">
        <v>2365</v>
      </c>
      <c r="W737" t="s">
        <v>2365</v>
      </c>
      <c r="X737" t="s">
        <v>2365</v>
      </c>
      <c r="Y737" t="s">
        <v>2365</v>
      </c>
      <c r="Z737" t="s">
        <v>2365</v>
      </c>
      <c r="AA737" t="s">
        <v>2365</v>
      </c>
      <c r="AB737" t="s">
        <v>2365</v>
      </c>
      <c r="AC737" s="813" t="s">
        <v>2365</v>
      </c>
      <c r="AD737" s="813" t="s">
        <v>2365</v>
      </c>
      <c r="AE737" s="813" t="s">
        <v>2365</v>
      </c>
      <c r="AF737" t="s">
        <v>2365</v>
      </c>
      <c r="AG737" t="s">
        <v>2365</v>
      </c>
      <c r="AH737" t="s">
        <v>2365</v>
      </c>
      <c r="AI737" t="s">
        <v>2365</v>
      </c>
      <c r="AJ737" t="s">
        <v>2365</v>
      </c>
      <c r="AK737" t="s">
        <v>2365</v>
      </c>
      <c r="AL737" t="s">
        <v>2365</v>
      </c>
      <c r="AM737" t="s">
        <v>2365</v>
      </c>
      <c r="AN737" t="s">
        <v>2365</v>
      </c>
      <c r="AR737" t="s">
        <v>2365</v>
      </c>
      <c r="AS737" t="s">
        <v>2365</v>
      </c>
      <c r="AT737" t="s">
        <v>2365</v>
      </c>
      <c r="AU737" t="s">
        <v>2365</v>
      </c>
      <c r="AV737" t="s">
        <v>2365</v>
      </c>
      <c r="AW737" t="s">
        <v>2365</v>
      </c>
      <c r="AX737" t="s">
        <v>2365</v>
      </c>
      <c r="AY737" t="s">
        <v>2365</v>
      </c>
      <c r="AZ737" t="s">
        <v>2365</v>
      </c>
      <c r="BA737" t="s">
        <v>2365</v>
      </c>
      <c r="BB737" t="s">
        <v>2365</v>
      </c>
      <c r="BC737" t="s">
        <v>2365</v>
      </c>
      <c r="BD737" t="s">
        <v>2366</v>
      </c>
      <c r="BE737" t="s">
        <v>2365</v>
      </c>
      <c r="BF737" t="s">
        <v>2365</v>
      </c>
      <c r="BG737" t="s">
        <v>2365</v>
      </c>
      <c r="BH737" t="s">
        <v>2365</v>
      </c>
      <c r="BI737" t="s">
        <v>2366</v>
      </c>
      <c r="BJ737" t="s">
        <v>2365</v>
      </c>
      <c r="BK737" t="s">
        <v>2365</v>
      </c>
      <c r="BL737" t="s">
        <v>2365</v>
      </c>
      <c r="BM737" t="s">
        <v>2365</v>
      </c>
      <c r="BO737">
        <v>8</v>
      </c>
      <c r="BP737">
        <v>81</v>
      </c>
      <c r="BQ737" t="s">
        <v>2442</v>
      </c>
      <c r="BR737" t="s">
        <v>1536</v>
      </c>
      <c r="BU737">
        <v>0</v>
      </c>
      <c r="BV737">
        <v>0</v>
      </c>
      <c r="BW737">
        <v>0</v>
      </c>
      <c r="BX737">
        <v>0</v>
      </c>
      <c r="BY737">
        <v>0</v>
      </c>
      <c r="BZ737">
        <v>0</v>
      </c>
      <c r="CA737">
        <v>0</v>
      </c>
      <c r="CB737">
        <v>0</v>
      </c>
      <c r="CC737">
        <v>0</v>
      </c>
      <c r="CD737">
        <v>0</v>
      </c>
      <c r="CE737">
        <v>0</v>
      </c>
      <c r="CF737">
        <v>0</v>
      </c>
      <c r="CG737">
        <v>0</v>
      </c>
      <c r="CH737">
        <v>0</v>
      </c>
      <c r="CI737">
        <v>0</v>
      </c>
      <c r="CJ737">
        <v>0</v>
      </c>
      <c r="CK737">
        <v>0</v>
      </c>
      <c r="CL737">
        <v>0</v>
      </c>
      <c r="CM737">
        <v>0</v>
      </c>
      <c r="CR737" t="s">
        <v>2324</v>
      </c>
      <c r="CS737" s="1369" t="str">
        <f>INDEX([8]Sheet1!$H:$H,MATCH(CR:CR,[8]Sheet1!$AU:$AU,0))</f>
        <v>Finance</v>
      </c>
    </row>
    <row r="738" spans="1:97" x14ac:dyDescent="0.2">
      <c r="A738" t="s">
        <v>3366</v>
      </c>
      <c r="B738">
        <v>791</v>
      </c>
      <c r="C738" t="s">
        <v>3366</v>
      </c>
      <c r="D738">
        <v>41217</v>
      </c>
      <c r="E738" t="s">
        <v>2681</v>
      </c>
      <c r="F738">
        <v>2700</v>
      </c>
      <c r="G738" t="s">
        <v>656</v>
      </c>
      <c r="H738" t="s">
        <v>2478</v>
      </c>
      <c r="I738" t="s">
        <v>1802</v>
      </c>
      <c r="J738">
        <v>2703</v>
      </c>
      <c r="K738" t="s">
        <v>1802</v>
      </c>
      <c r="L738">
        <v>5000</v>
      </c>
      <c r="M738" t="s">
        <v>632</v>
      </c>
      <c r="N738">
        <v>5004</v>
      </c>
      <c r="O738" t="s">
        <v>1560</v>
      </c>
      <c r="P738" t="s">
        <v>2366</v>
      </c>
      <c r="Q738" t="s">
        <v>2364</v>
      </c>
      <c r="R738" t="s">
        <v>2364</v>
      </c>
      <c r="S738" t="s">
        <v>1881</v>
      </c>
      <c r="T738" t="s">
        <v>1812</v>
      </c>
      <c r="U738" t="s">
        <v>2365</v>
      </c>
      <c r="V738" t="s">
        <v>2365</v>
      </c>
      <c r="W738" t="s">
        <v>2365</v>
      </c>
      <c r="X738" t="s">
        <v>2365</v>
      </c>
      <c r="Y738" t="s">
        <v>2365</v>
      </c>
      <c r="Z738" t="s">
        <v>2365</v>
      </c>
      <c r="AA738" t="s">
        <v>2365</v>
      </c>
      <c r="AB738" t="s">
        <v>2365</v>
      </c>
      <c r="AC738" s="813" t="s">
        <v>2365</v>
      </c>
      <c r="AD738" s="813" t="s">
        <v>2365</v>
      </c>
      <c r="AE738" s="813" t="s">
        <v>2365</v>
      </c>
      <c r="AF738" t="s">
        <v>2365</v>
      </c>
      <c r="AG738" t="s">
        <v>2365</v>
      </c>
      <c r="AH738" t="s">
        <v>2365</v>
      </c>
      <c r="AI738" t="s">
        <v>2365</v>
      </c>
      <c r="AJ738" t="s">
        <v>2365</v>
      </c>
      <c r="AK738" t="s">
        <v>2365</v>
      </c>
      <c r="AL738" t="s">
        <v>2365</v>
      </c>
      <c r="AM738" t="s">
        <v>2365</v>
      </c>
      <c r="AN738" t="s">
        <v>2365</v>
      </c>
      <c r="AR738" t="s">
        <v>2365</v>
      </c>
      <c r="AS738" t="s">
        <v>2365</v>
      </c>
      <c r="AT738" t="s">
        <v>2365</v>
      </c>
      <c r="AU738" t="s">
        <v>2365</v>
      </c>
      <c r="AV738" t="s">
        <v>2365</v>
      </c>
      <c r="AW738" t="s">
        <v>2365</v>
      </c>
      <c r="AX738" t="s">
        <v>2365</v>
      </c>
      <c r="AY738" t="s">
        <v>2365</v>
      </c>
      <c r="AZ738">
        <v>1220</v>
      </c>
      <c r="BA738" t="s">
        <v>1654</v>
      </c>
      <c r="BB738">
        <v>1220</v>
      </c>
      <c r="BC738" t="s">
        <v>1654</v>
      </c>
      <c r="BD738" t="s">
        <v>1906</v>
      </c>
      <c r="BE738" t="s">
        <v>2365</v>
      </c>
      <c r="BF738" t="s">
        <v>2365</v>
      </c>
      <c r="BG738" t="s">
        <v>2365</v>
      </c>
      <c r="BH738" t="s">
        <v>2365</v>
      </c>
      <c r="BI738" t="s">
        <v>2366</v>
      </c>
      <c r="BJ738" t="s">
        <v>2365</v>
      </c>
      <c r="BK738" t="s">
        <v>2365</v>
      </c>
      <c r="BL738" t="s">
        <v>2365</v>
      </c>
      <c r="BM738" t="s">
        <v>2365</v>
      </c>
      <c r="BO738">
        <v>11</v>
      </c>
      <c r="BP738">
        <v>111</v>
      </c>
      <c r="BQ738" t="s">
        <v>632</v>
      </c>
      <c r="BR738" t="s">
        <v>1560</v>
      </c>
      <c r="BU738">
        <v>0</v>
      </c>
      <c r="BV738">
        <v>0</v>
      </c>
      <c r="BW738">
        <v>0</v>
      </c>
      <c r="BX738">
        <v>0</v>
      </c>
      <c r="BY738">
        <v>0</v>
      </c>
      <c r="BZ738">
        <v>0</v>
      </c>
      <c r="CA738">
        <v>0</v>
      </c>
      <c r="CB738">
        <v>0</v>
      </c>
      <c r="CC738">
        <v>0</v>
      </c>
      <c r="CD738">
        <v>0</v>
      </c>
      <c r="CE738">
        <v>0</v>
      </c>
      <c r="CF738">
        <v>0</v>
      </c>
      <c r="CG738">
        <v>0</v>
      </c>
      <c r="CH738">
        <v>0</v>
      </c>
      <c r="CI738">
        <v>0</v>
      </c>
      <c r="CJ738">
        <v>0</v>
      </c>
      <c r="CK738">
        <v>0</v>
      </c>
      <c r="CL738">
        <v>0</v>
      </c>
      <c r="CM738">
        <v>0</v>
      </c>
      <c r="CR738" t="s">
        <v>2324</v>
      </c>
      <c r="CS738" s="1369" t="str">
        <f>INDEX([8]Sheet1!$H:$H,MATCH(CR:CR,[8]Sheet1!$AU:$AU,0))</f>
        <v>Finance</v>
      </c>
    </row>
    <row r="739" spans="1:97" x14ac:dyDescent="0.2">
      <c r="A739" t="s">
        <v>3367</v>
      </c>
      <c r="B739">
        <v>792</v>
      </c>
      <c r="C739" t="s">
        <v>3367</v>
      </c>
      <c r="D739">
        <v>41151</v>
      </c>
      <c r="E739" t="s">
        <v>2510</v>
      </c>
      <c r="F739">
        <v>2900</v>
      </c>
      <c r="G739" t="s">
        <v>569</v>
      </c>
      <c r="H739" t="s">
        <v>2366</v>
      </c>
      <c r="I739" t="s">
        <v>2366</v>
      </c>
      <c r="J739">
        <v>2904</v>
      </c>
      <c r="K739" t="s">
        <v>1432</v>
      </c>
      <c r="L739">
        <v>1200</v>
      </c>
      <c r="M739" t="s">
        <v>1480</v>
      </c>
      <c r="N739">
        <v>1206</v>
      </c>
      <c r="O739" t="s">
        <v>996</v>
      </c>
      <c r="P739" t="s">
        <v>2366</v>
      </c>
      <c r="Q739" t="s">
        <v>2364</v>
      </c>
      <c r="R739" t="s">
        <v>2364</v>
      </c>
      <c r="S739" t="s">
        <v>1881</v>
      </c>
      <c r="T739" t="s">
        <v>1812</v>
      </c>
      <c r="U739" t="s">
        <v>2365</v>
      </c>
      <c r="V739" t="s">
        <v>2365</v>
      </c>
      <c r="W739" t="s">
        <v>2365</v>
      </c>
      <c r="X739" t="s">
        <v>2365</v>
      </c>
      <c r="Y739" t="s">
        <v>2365</v>
      </c>
      <c r="Z739" t="s">
        <v>2365</v>
      </c>
      <c r="AA739" t="s">
        <v>2365</v>
      </c>
      <c r="AB739" t="s">
        <v>2365</v>
      </c>
      <c r="AC739" s="813" t="s">
        <v>2365</v>
      </c>
      <c r="AD739" s="813" t="s">
        <v>2365</v>
      </c>
      <c r="AE739" s="813" t="s">
        <v>2365</v>
      </c>
      <c r="AF739" t="s">
        <v>2365</v>
      </c>
      <c r="AG739" t="s">
        <v>2365</v>
      </c>
      <c r="AH739" t="s">
        <v>2365</v>
      </c>
      <c r="AI739" t="s">
        <v>2365</v>
      </c>
      <c r="AJ739" t="s">
        <v>2365</v>
      </c>
      <c r="AK739" t="s">
        <v>2365</v>
      </c>
      <c r="AL739" t="s">
        <v>2365</v>
      </c>
      <c r="AM739" t="s">
        <v>2365</v>
      </c>
      <c r="AN739" t="s">
        <v>2365</v>
      </c>
      <c r="AR739" t="s">
        <v>2365</v>
      </c>
      <c r="AS739" t="s">
        <v>2365</v>
      </c>
      <c r="AT739" t="s">
        <v>2365</v>
      </c>
      <c r="AU739" t="s">
        <v>2365</v>
      </c>
      <c r="AV739" t="s">
        <v>2365</v>
      </c>
      <c r="AW739" t="s">
        <v>2365</v>
      </c>
      <c r="AX739" t="s">
        <v>2365</v>
      </c>
      <c r="AY739" t="s">
        <v>2365</v>
      </c>
      <c r="AZ739" t="s">
        <v>2365</v>
      </c>
      <c r="BA739" t="s">
        <v>2365</v>
      </c>
      <c r="BB739" t="s">
        <v>2365</v>
      </c>
      <c r="BC739" t="s">
        <v>2365</v>
      </c>
      <c r="BD739" t="s">
        <v>2366</v>
      </c>
      <c r="BE739" t="s">
        <v>2365</v>
      </c>
      <c r="BF739" t="s">
        <v>2365</v>
      </c>
      <c r="BG739" t="s">
        <v>2365</v>
      </c>
      <c r="BH739" t="s">
        <v>2365</v>
      </c>
      <c r="BI739" t="s">
        <v>2366</v>
      </c>
      <c r="BJ739" t="s">
        <v>2365</v>
      </c>
      <c r="BK739" t="s">
        <v>2365</v>
      </c>
      <c r="BL739" t="s">
        <v>2365</v>
      </c>
      <c r="BM739" t="s">
        <v>2365</v>
      </c>
      <c r="BO739">
        <v>1</v>
      </c>
      <c r="BP739">
        <v>15</v>
      </c>
      <c r="BQ739" t="s">
        <v>2369</v>
      </c>
      <c r="BR739" t="s">
        <v>996</v>
      </c>
      <c r="BU739">
        <v>50000</v>
      </c>
      <c r="BV739">
        <v>0</v>
      </c>
      <c r="BW739">
        <v>50000</v>
      </c>
      <c r="BX739">
        <v>50000</v>
      </c>
      <c r="BY739">
        <v>100000</v>
      </c>
      <c r="BZ739">
        <v>53000</v>
      </c>
      <c r="CA739">
        <v>56180</v>
      </c>
      <c r="CB739">
        <v>0</v>
      </c>
      <c r="CC739">
        <v>0</v>
      </c>
      <c r="CD739">
        <v>0</v>
      </c>
      <c r="CE739">
        <v>0</v>
      </c>
      <c r="CF739">
        <v>0</v>
      </c>
      <c r="CG739">
        <v>0</v>
      </c>
      <c r="CH739">
        <v>0</v>
      </c>
      <c r="CI739">
        <v>0</v>
      </c>
      <c r="CJ739">
        <v>0</v>
      </c>
      <c r="CK739">
        <v>0</v>
      </c>
      <c r="CL739">
        <v>0</v>
      </c>
      <c r="CM739">
        <v>0</v>
      </c>
      <c r="CR739" t="s">
        <v>2324</v>
      </c>
      <c r="CS739" s="1369" t="str">
        <f>INDEX([8]Sheet1!$H:$H,MATCH(CR:CR,[8]Sheet1!$AU:$AU,0))</f>
        <v>Finance</v>
      </c>
    </row>
    <row r="740" spans="1:97" x14ac:dyDescent="0.2">
      <c r="A740" t="s">
        <v>3368</v>
      </c>
      <c r="B740">
        <v>793</v>
      </c>
      <c r="C740" t="s">
        <v>3368</v>
      </c>
      <c r="D740">
        <v>41152</v>
      </c>
      <c r="E740" t="s">
        <v>2600</v>
      </c>
      <c r="F740">
        <v>2900</v>
      </c>
      <c r="G740" t="s">
        <v>569</v>
      </c>
      <c r="H740" s="1373" t="s">
        <v>2366</v>
      </c>
      <c r="I740" t="s">
        <v>2366</v>
      </c>
      <c r="J740">
        <v>2904</v>
      </c>
      <c r="K740" t="s">
        <v>1432</v>
      </c>
      <c r="L740" s="1373">
        <v>1200</v>
      </c>
      <c r="M740" t="s">
        <v>1480</v>
      </c>
      <c r="N740">
        <v>1206</v>
      </c>
      <c r="O740" t="s">
        <v>996</v>
      </c>
      <c r="P740" t="s">
        <v>2366</v>
      </c>
      <c r="Q740" t="s">
        <v>2364</v>
      </c>
      <c r="R740" t="s">
        <v>2364</v>
      </c>
      <c r="S740" t="s">
        <v>1881</v>
      </c>
      <c r="T740" t="s">
        <v>1812</v>
      </c>
      <c r="U740" t="s">
        <v>2365</v>
      </c>
      <c r="V740" t="s">
        <v>2365</v>
      </c>
      <c r="W740" t="s">
        <v>2365</v>
      </c>
      <c r="X740" t="s">
        <v>2365</v>
      </c>
      <c r="Y740" t="s">
        <v>2365</v>
      </c>
      <c r="Z740" t="s">
        <v>2365</v>
      </c>
      <c r="AA740" t="s">
        <v>2365</v>
      </c>
      <c r="AB740" t="s">
        <v>2365</v>
      </c>
      <c r="AC740" s="813" t="s">
        <v>2365</v>
      </c>
      <c r="AD740" s="813" t="s">
        <v>2365</v>
      </c>
      <c r="AE740" s="813" t="s">
        <v>2365</v>
      </c>
      <c r="AF740" t="s">
        <v>2365</v>
      </c>
      <c r="AG740" t="s">
        <v>2365</v>
      </c>
      <c r="AH740" t="s">
        <v>2365</v>
      </c>
      <c r="AI740" t="s">
        <v>2365</v>
      </c>
      <c r="AJ740" t="s">
        <v>2365</v>
      </c>
      <c r="AK740" t="s">
        <v>2365</v>
      </c>
      <c r="AL740" t="s">
        <v>2365</v>
      </c>
      <c r="AM740" t="s">
        <v>2365</v>
      </c>
      <c r="AN740" t="s">
        <v>2365</v>
      </c>
      <c r="AR740" t="s">
        <v>2365</v>
      </c>
      <c r="AS740" t="s">
        <v>2365</v>
      </c>
      <c r="AT740" t="s">
        <v>2365</v>
      </c>
      <c r="AU740" t="s">
        <v>2365</v>
      </c>
      <c r="AV740" t="s">
        <v>2365</v>
      </c>
      <c r="AW740" t="s">
        <v>2365</v>
      </c>
      <c r="AX740" t="s">
        <v>2365</v>
      </c>
      <c r="AY740" t="s">
        <v>2365</v>
      </c>
      <c r="AZ740" t="s">
        <v>2365</v>
      </c>
      <c r="BA740" t="s">
        <v>2365</v>
      </c>
      <c r="BB740" t="s">
        <v>2365</v>
      </c>
      <c r="BC740" t="s">
        <v>2365</v>
      </c>
      <c r="BD740" t="s">
        <v>2366</v>
      </c>
      <c r="BE740" t="s">
        <v>2365</v>
      </c>
      <c r="BF740" t="s">
        <v>2365</v>
      </c>
      <c r="BG740" t="s">
        <v>2365</v>
      </c>
      <c r="BH740" t="s">
        <v>2365</v>
      </c>
      <c r="BI740" t="s">
        <v>2366</v>
      </c>
      <c r="BJ740" t="s">
        <v>2365</v>
      </c>
      <c r="BK740" t="s">
        <v>2365</v>
      </c>
      <c r="BL740" t="s">
        <v>2365</v>
      </c>
      <c r="BM740" t="s">
        <v>2365</v>
      </c>
      <c r="BO740">
        <v>1</v>
      </c>
      <c r="BP740">
        <v>15</v>
      </c>
      <c r="BQ740" t="s">
        <v>2369</v>
      </c>
      <c r="BR740" t="s">
        <v>996</v>
      </c>
      <c r="BU740" s="1371">
        <v>60000</v>
      </c>
      <c r="BV740" s="1371">
        <v>0</v>
      </c>
      <c r="BW740" s="1371">
        <v>60000</v>
      </c>
      <c r="BX740" s="1371">
        <v>-60000</v>
      </c>
      <c r="BY740" s="1371">
        <v>0</v>
      </c>
      <c r="BZ740">
        <v>63600</v>
      </c>
      <c r="CA740">
        <v>67416</v>
      </c>
      <c r="CB740">
        <v>0</v>
      </c>
      <c r="CC740">
        <v>0</v>
      </c>
      <c r="CD740">
        <v>0</v>
      </c>
      <c r="CE740">
        <v>0</v>
      </c>
      <c r="CF740">
        <v>0</v>
      </c>
      <c r="CG740">
        <v>0</v>
      </c>
      <c r="CH740">
        <v>0</v>
      </c>
      <c r="CI740">
        <v>0</v>
      </c>
      <c r="CJ740">
        <v>0</v>
      </c>
      <c r="CK740">
        <v>0</v>
      </c>
      <c r="CL740">
        <v>0</v>
      </c>
      <c r="CM740">
        <v>0</v>
      </c>
      <c r="CR740" t="s">
        <v>2324</v>
      </c>
      <c r="CS740" s="1369" t="str">
        <f>INDEX([8]Sheet1!$H:$H,MATCH(CR:CR,[8]Sheet1!$AU:$AU,0))</f>
        <v>Finance</v>
      </c>
    </row>
    <row r="741" spans="1:97" x14ac:dyDescent="0.2">
      <c r="A741" t="s">
        <v>3369</v>
      </c>
      <c r="B741">
        <v>794</v>
      </c>
      <c r="C741" t="s">
        <v>3369</v>
      </c>
      <c r="D741">
        <v>41153</v>
      </c>
      <c r="E741" t="s">
        <v>3010</v>
      </c>
      <c r="F741">
        <v>2700</v>
      </c>
      <c r="G741" t="s">
        <v>656</v>
      </c>
      <c r="H741" t="s">
        <v>2428</v>
      </c>
      <c r="I741" t="s">
        <v>1800</v>
      </c>
      <c r="J741">
        <v>2701</v>
      </c>
      <c r="K741" t="s">
        <v>1800</v>
      </c>
      <c r="L741">
        <v>1200</v>
      </c>
      <c r="M741" t="s">
        <v>1480</v>
      </c>
      <c r="N741">
        <v>1206</v>
      </c>
      <c r="O741" t="s">
        <v>996</v>
      </c>
      <c r="P741" t="s">
        <v>2366</v>
      </c>
      <c r="Q741" t="s">
        <v>2364</v>
      </c>
      <c r="R741" t="s">
        <v>2364</v>
      </c>
      <c r="S741" t="s">
        <v>1881</v>
      </c>
      <c r="T741" t="s">
        <v>1812</v>
      </c>
      <c r="U741" t="s">
        <v>2365</v>
      </c>
      <c r="V741" t="s">
        <v>2365</v>
      </c>
      <c r="W741" t="s">
        <v>2365</v>
      </c>
      <c r="X741" t="s">
        <v>2365</v>
      </c>
      <c r="Y741" t="s">
        <v>2365</v>
      </c>
      <c r="Z741" t="s">
        <v>2365</v>
      </c>
      <c r="AA741" t="s">
        <v>2365</v>
      </c>
      <c r="AB741" t="s">
        <v>2365</v>
      </c>
      <c r="AC741" s="813" t="s">
        <v>2365</v>
      </c>
      <c r="AD741" s="813" t="s">
        <v>2365</v>
      </c>
      <c r="AE741" s="813" t="s">
        <v>2365</v>
      </c>
      <c r="AF741" t="s">
        <v>2365</v>
      </c>
      <c r="AG741" t="s">
        <v>2365</v>
      </c>
      <c r="AH741" t="s">
        <v>2365</v>
      </c>
      <c r="AI741" t="s">
        <v>2365</v>
      </c>
      <c r="AJ741" t="s">
        <v>2365</v>
      </c>
      <c r="AK741" t="s">
        <v>2365</v>
      </c>
      <c r="AL741" t="s">
        <v>2365</v>
      </c>
      <c r="AM741" t="s">
        <v>2365</v>
      </c>
      <c r="AN741" t="s">
        <v>2365</v>
      </c>
      <c r="AR741" t="s">
        <v>2365</v>
      </c>
      <c r="AS741" t="s">
        <v>2365</v>
      </c>
      <c r="AT741" t="s">
        <v>2365</v>
      </c>
      <c r="AU741" t="s">
        <v>2365</v>
      </c>
      <c r="AV741" t="s">
        <v>2365</v>
      </c>
      <c r="AW741" t="s">
        <v>2365</v>
      </c>
      <c r="AX741" t="s">
        <v>2365</v>
      </c>
      <c r="AY741" t="s">
        <v>2365</v>
      </c>
      <c r="AZ741" t="s">
        <v>2365</v>
      </c>
      <c r="BA741" t="s">
        <v>2365</v>
      </c>
      <c r="BB741" t="s">
        <v>2365</v>
      </c>
      <c r="BC741" t="s">
        <v>2365</v>
      </c>
      <c r="BD741" t="s">
        <v>2366</v>
      </c>
      <c r="BE741" t="s">
        <v>2365</v>
      </c>
      <c r="BF741" t="s">
        <v>2365</v>
      </c>
      <c r="BG741" t="s">
        <v>2365</v>
      </c>
      <c r="BH741" t="s">
        <v>2365</v>
      </c>
      <c r="BI741" t="s">
        <v>2366</v>
      </c>
      <c r="BJ741" t="s">
        <v>2365</v>
      </c>
      <c r="BK741" t="s">
        <v>2365</v>
      </c>
      <c r="BL741" t="s">
        <v>2365</v>
      </c>
      <c r="BM741" t="s">
        <v>2365</v>
      </c>
      <c r="BO741">
        <v>1</v>
      </c>
      <c r="BP741">
        <v>15</v>
      </c>
      <c r="BQ741" t="s">
        <v>2369</v>
      </c>
      <c r="BR741" t="s">
        <v>996</v>
      </c>
      <c r="BU741">
        <v>15000</v>
      </c>
      <c r="BV741">
        <v>0</v>
      </c>
      <c r="BW741">
        <v>15000</v>
      </c>
      <c r="BX741">
        <v>0</v>
      </c>
      <c r="BY741">
        <v>15000</v>
      </c>
      <c r="BZ741">
        <v>15900</v>
      </c>
      <c r="CA741">
        <v>16854</v>
      </c>
      <c r="CB741">
        <v>0</v>
      </c>
      <c r="CC741">
        <v>0</v>
      </c>
      <c r="CD741">
        <v>0</v>
      </c>
      <c r="CE741">
        <v>0</v>
      </c>
      <c r="CF741">
        <v>6488.41</v>
      </c>
      <c r="CG741">
        <v>5703.6</v>
      </c>
      <c r="CH741">
        <v>0</v>
      </c>
      <c r="CI741">
        <v>643.36</v>
      </c>
      <c r="CJ741">
        <v>0</v>
      </c>
      <c r="CK741">
        <v>0</v>
      </c>
      <c r="CL741">
        <v>0</v>
      </c>
      <c r="CM741">
        <v>0</v>
      </c>
      <c r="CR741" t="s">
        <v>2324</v>
      </c>
      <c r="CS741" s="1369" t="str">
        <f>INDEX([8]Sheet1!$H:$H,MATCH(CR:CR,[8]Sheet1!$AU:$AU,0))</f>
        <v>Finance</v>
      </c>
    </row>
    <row r="742" spans="1:97" x14ac:dyDescent="0.2">
      <c r="A742" t="s">
        <v>3370</v>
      </c>
      <c r="B742">
        <v>795</v>
      </c>
      <c r="C742" t="s">
        <v>3370</v>
      </c>
      <c r="D742">
        <v>41154</v>
      </c>
      <c r="E742" t="s">
        <v>2518</v>
      </c>
      <c r="F742">
        <v>2900</v>
      </c>
      <c r="G742" t="s">
        <v>569</v>
      </c>
      <c r="H742" t="s">
        <v>2366</v>
      </c>
      <c r="I742" t="s">
        <v>2366</v>
      </c>
      <c r="J742">
        <v>2904</v>
      </c>
      <c r="K742" t="s">
        <v>1432</v>
      </c>
      <c r="L742">
        <v>1200</v>
      </c>
      <c r="M742" t="s">
        <v>1480</v>
      </c>
      <c r="N742">
        <v>1206</v>
      </c>
      <c r="O742" t="s">
        <v>996</v>
      </c>
      <c r="P742" t="s">
        <v>2366</v>
      </c>
      <c r="Q742" t="s">
        <v>2364</v>
      </c>
      <c r="R742" t="s">
        <v>2364</v>
      </c>
      <c r="S742" t="s">
        <v>1881</v>
      </c>
      <c r="T742" t="s">
        <v>1812</v>
      </c>
      <c r="U742" t="s">
        <v>2365</v>
      </c>
      <c r="V742" t="s">
        <v>2365</v>
      </c>
      <c r="W742" t="s">
        <v>2365</v>
      </c>
      <c r="X742" t="s">
        <v>2365</v>
      </c>
      <c r="Y742" t="s">
        <v>2365</v>
      </c>
      <c r="Z742" t="s">
        <v>2365</v>
      </c>
      <c r="AA742" t="s">
        <v>2365</v>
      </c>
      <c r="AB742" t="s">
        <v>2365</v>
      </c>
      <c r="AC742" s="813" t="s">
        <v>2365</v>
      </c>
      <c r="AD742" s="813" t="s">
        <v>2365</v>
      </c>
      <c r="AE742" s="813" t="s">
        <v>2365</v>
      </c>
      <c r="AF742" t="s">
        <v>2365</v>
      </c>
      <c r="AG742" t="s">
        <v>2365</v>
      </c>
      <c r="AH742" t="s">
        <v>2365</v>
      </c>
      <c r="AI742" t="s">
        <v>2365</v>
      </c>
      <c r="AJ742" t="s">
        <v>2365</v>
      </c>
      <c r="AK742" t="s">
        <v>2365</v>
      </c>
      <c r="AL742" t="s">
        <v>2365</v>
      </c>
      <c r="AM742" t="s">
        <v>2365</v>
      </c>
      <c r="AN742" t="s">
        <v>2365</v>
      </c>
      <c r="AR742" t="s">
        <v>2365</v>
      </c>
      <c r="AS742" t="s">
        <v>2365</v>
      </c>
      <c r="AT742" t="s">
        <v>2365</v>
      </c>
      <c r="AU742" t="s">
        <v>2365</v>
      </c>
      <c r="AV742" t="s">
        <v>2365</v>
      </c>
      <c r="AW742" t="s">
        <v>2365</v>
      </c>
      <c r="AX742" t="s">
        <v>2365</v>
      </c>
      <c r="AY742" t="s">
        <v>2365</v>
      </c>
      <c r="AZ742" t="s">
        <v>2365</v>
      </c>
      <c r="BA742" t="s">
        <v>2365</v>
      </c>
      <c r="BB742" t="s">
        <v>2365</v>
      </c>
      <c r="BC742" t="s">
        <v>2365</v>
      </c>
      <c r="BD742" t="s">
        <v>2366</v>
      </c>
      <c r="BE742" t="s">
        <v>2365</v>
      </c>
      <c r="BF742" t="s">
        <v>2365</v>
      </c>
      <c r="BG742" t="s">
        <v>2365</v>
      </c>
      <c r="BH742" t="s">
        <v>2365</v>
      </c>
      <c r="BI742" t="s">
        <v>2366</v>
      </c>
      <c r="BJ742" t="s">
        <v>2365</v>
      </c>
      <c r="BK742" t="s">
        <v>2365</v>
      </c>
      <c r="BL742" t="s">
        <v>2365</v>
      </c>
      <c r="BM742" t="s">
        <v>2365</v>
      </c>
      <c r="BO742">
        <v>1</v>
      </c>
      <c r="BP742">
        <v>15</v>
      </c>
      <c r="BQ742" t="s">
        <v>2369</v>
      </c>
      <c r="BR742" t="s">
        <v>996</v>
      </c>
      <c r="BU742">
        <v>0</v>
      </c>
      <c r="BV742">
        <v>0</v>
      </c>
      <c r="BW742">
        <v>0</v>
      </c>
      <c r="BX742">
        <v>0</v>
      </c>
      <c r="BY742">
        <v>0</v>
      </c>
      <c r="BZ742">
        <v>0</v>
      </c>
      <c r="CA742">
        <v>0</v>
      </c>
      <c r="CB742">
        <v>0</v>
      </c>
      <c r="CC742">
        <v>0</v>
      </c>
      <c r="CD742">
        <v>0</v>
      </c>
      <c r="CE742">
        <v>0</v>
      </c>
      <c r="CF742">
        <v>0</v>
      </c>
      <c r="CG742">
        <v>0</v>
      </c>
      <c r="CH742">
        <v>0</v>
      </c>
      <c r="CI742">
        <v>0</v>
      </c>
      <c r="CJ742">
        <v>0</v>
      </c>
      <c r="CK742">
        <v>0</v>
      </c>
      <c r="CL742">
        <v>0</v>
      </c>
      <c r="CM742">
        <v>0</v>
      </c>
      <c r="CR742" t="s">
        <v>2324</v>
      </c>
      <c r="CS742" s="1369" t="str">
        <f>INDEX([8]Sheet1!$H:$H,MATCH(CR:CR,[8]Sheet1!$AU:$AU,0))</f>
        <v>Finance</v>
      </c>
    </row>
    <row r="743" spans="1:97" x14ac:dyDescent="0.2">
      <c r="A743" t="s">
        <v>3371</v>
      </c>
      <c r="B743">
        <v>796</v>
      </c>
      <c r="C743" t="s">
        <v>3371</v>
      </c>
      <c r="D743">
        <v>41313</v>
      </c>
      <c r="E743" t="s">
        <v>3372</v>
      </c>
      <c r="F743">
        <v>1600</v>
      </c>
      <c r="G743" t="s">
        <v>650</v>
      </c>
      <c r="H743">
        <v>1600</v>
      </c>
      <c r="I743" t="s">
        <v>1799</v>
      </c>
      <c r="J743" t="s">
        <v>2365</v>
      </c>
      <c r="K743" t="s">
        <v>2365</v>
      </c>
      <c r="L743">
        <v>1200</v>
      </c>
      <c r="M743" t="s">
        <v>1480</v>
      </c>
      <c r="N743">
        <v>1204</v>
      </c>
      <c r="O743" t="s">
        <v>1487</v>
      </c>
      <c r="P743" t="s">
        <v>2366</v>
      </c>
      <c r="Q743" t="s">
        <v>2364</v>
      </c>
      <c r="R743" t="s">
        <v>2364</v>
      </c>
      <c r="S743" t="s">
        <v>553</v>
      </c>
      <c r="T743" t="s">
        <v>1811</v>
      </c>
      <c r="U743" t="s">
        <v>2365</v>
      </c>
      <c r="V743" t="s">
        <v>2365</v>
      </c>
      <c r="W743" t="s">
        <v>2365</v>
      </c>
      <c r="X743" t="s">
        <v>2365</v>
      </c>
      <c r="Y743" t="s">
        <v>2365</v>
      </c>
      <c r="Z743" t="s">
        <v>2365</v>
      </c>
      <c r="AA743" t="s">
        <v>2365</v>
      </c>
      <c r="AB743" t="s">
        <v>2365</v>
      </c>
      <c r="AC743" s="813" t="s">
        <v>2365</v>
      </c>
      <c r="AD743" s="813" t="s">
        <v>2365</v>
      </c>
      <c r="AE743" s="813" t="s">
        <v>2365</v>
      </c>
      <c r="AF743" t="s">
        <v>2365</v>
      </c>
      <c r="AG743" t="s">
        <v>2365</v>
      </c>
      <c r="AH743" t="s">
        <v>2365</v>
      </c>
      <c r="AI743" t="s">
        <v>2365</v>
      </c>
      <c r="AJ743" t="s">
        <v>2365</v>
      </c>
      <c r="AK743" t="s">
        <v>2365</v>
      </c>
      <c r="AL743" t="s">
        <v>2365</v>
      </c>
      <c r="AM743" t="s">
        <v>2365</v>
      </c>
      <c r="AN743" t="s">
        <v>2365</v>
      </c>
      <c r="AR743" t="s">
        <v>2365</v>
      </c>
      <c r="AS743" t="s">
        <v>2365</v>
      </c>
      <c r="AT743" t="s">
        <v>2365</v>
      </c>
      <c r="AU743" t="s">
        <v>2365</v>
      </c>
      <c r="AV743" t="s">
        <v>2365</v>
      </c>
      <c r="AW743" t="s">
        <v>2365</v>
      </c>
      <c r="AX743" t="s">
        <v>2365</v>
      </c>
      <c r="AY743" t="s">
        <v>2365</v>
      </c>
      <c r="AZ743" t="s">
        <v>2365</v>
      </c>
      <c r="BA743" t="s">
        <v>2365</v>
      </c>
      <c r="BB743" t="s">
        <v>2365</v>
      </c>
      <c r="BC743" t="s">
        <v>2365</v>
      </c>
      <c r="BD743" t="s">
        <v>2366</v>
      </c>
      <c r="BE743" t="s">
        <v>2365</v>
      </c>
      <c r="BF743" t="s">
        <v>2365</v>
      </c>
      <c r="BG743" t="s">
        <v>2365</v>
      </c>
      <c r="BH743" t="s">
        <v>2365</v>
      </c>
      <c r="BI743" t="s">
        <v>2366</v>
      </c>
      <c r="BJ743" t="s">
        <v>2365</v>
      </c>
      <c r="BK743" t="s">
        <v>2365</v>
      </c>
      <c r="BL743" t="s">
        <v>2365</v>
      </c>
      <c r="BM743" t="s">
        <v>2365</v>
      </c>
      <c r="BO743">
        <v>1</v>
      </c>
      <c r="BP743">
        <v>11</v>
      </c>
      <c r="BQ743" t="s">
        <v>2369</v>
      </c>
      <c r="BR743" t="s">
        <v>1487</v>
      </c>
      <c r="BU743">
        <v>-11289</v>
      </c>
      <c r="BV743">
        <v>0</v>
      </c>
      <c r="BW743">
        <v>-11289</v>
      </c>
      <c r="BX743">
        <v>0</v>
      </c>
      <c r="BY743">
        <v>-11289</v>
      </c>
      <c r="BZ743">
        <v>-11966</v>
      </c>
      <c r="CA743">
        <v>-12684</v>
      </c>
      <c r="CB743">
        <v>-720</v>
      </c>
      <c r="CC743">
        <v>-1440</v>
      </c>
      <c r="CD743">
        <v>-480</v>
      </c>
      <c r="CE743">
        <v>-960</v>
      </c>
      <c r="CF743">
        <v>-1440</v>
      </c>
      <c r="CG743">
        <v>-240</v>
      </c>
      <c r="CH743">
        <v>-1680</v>
      </c>
      <c r="CI743">
        <v>-946.09</v>
      </c>
      <c r="CJ743">
        <v>0</v>
      </c>
      <c r="CK743">
        <v>0</v>
      </c>
      <c r="CL743">
        <v>0</v>
      </c>
      <c r="CM743">
        <v>0</v>
      </c>
      <c r="CR743" t="s">
        <v>2324</v>
      </c>
      <c r="CS743" s="1369" t="str">
        <f>INDEX([8]Sheet1!$H:$H,MATCH(CR:CR,[8]Sheet1!$AU:$AU,0))</f>
        <v>Finance</v>
      </c>
    </row>
    <row r="744" spans="1:97" x14ac:dyDescent="0.2">
      <c r="A744" t="s">
        <v>3373</v>
      </c>
      <c r="B744">
        <v>797</v>
      </c>
      <c r="C744" t="s">
        <v>3373</v>
      </c>
      <c r="D744">
        <v>41314</v>
      </c>
      <c r="E744" t="s">
        <v>3374</v>
      </c>
      <c r="F744">
        <v>900</v>
      </c>
      <c r="G744" t="s">
        <v>645</v>
      </c>
      <c r="H744">
        <v>900</v>
      </c>
      <c r="I744" t="s">
        <v>645</v>
      </c>
      <c r="J744" t="s">
        <v>2365</v>
      </c>
      <c r="K744" t="s">
        <v>2365</v>
      </c>
      <c r="L744">
        <v>1200</v>
      </c>
      <c r="M744" t="s">
        <v>1480</v>
      </c>
      <c r="N744">
        <v>1204</v>
      </c>
      <c r="O744" t="s">
        <v>1487</v>
      </c>
      <c r="P744" t="s">
        <v>2366</v>
      </c>
      <c r="Q744" t="s">
        <v>2364</v>
      </c>
      <c r="R744" t="s">
        <v>2364</v>
      </c>
      <c r="S744" t="s">
        <v>553</v>
      </c>
      <c r="T744" t="s">
        <v>1811</v>
      </c>
      <c r="U744" t="s">
        <v>2365</v>
      </c>
      <c r="V744" t="s">
        <v>2365</v>
      </c>
      <c r="W744" t="s">
        <v>2365</v>
      </c>
      <c r="X744" t="s">
        <v>2365</v>
      </c>
      <c r="Y744" t="s">
        <v>2365</v>
      </c>
      <c r="Z744" t="s">
        <v>2365</v>
      </c>
      <c r="AA744" t="s">
        <v>2365</v>
      </c>
      <c r="AB744" t="s">
        <v>2365</v>
      </c>
      <c r="AC744" s="813" t="s">
        <v>2365</v>
      </c>
      <c r="AD744" s="813" t="s">
        <v>2365</v>
      </c>
      <c r="AE744" s="813" t="s">
        <v>2365</v>
      </c>
      <c r="AF744" t="s">
        <v>2365</v>
      </c>
      <c r="AG744" t="s">
        <v>2365</v>
      </c>
      <c r="AH744" t="s">
        <v>2365</v>
      </c>
      <c r="AI744" t="s">
        <v>2365</v>
      </c>
      <c r="AJ744" t="s">
        <v>2365</v>
      </c>
      <c r="AK744" t="s">
        <v>2365</v>
      </c>
      <c r="AL744" t="s">
        <v>2365</v>
      </c>
      <c r="AM744" t="s">
        <v>2365</v>
      </c>
      <c r="AN744" t="s">
        <v>2365</v>
      </c>
      <c r="AR744" t="s">
        <v>2365</v>
      </c>
      <c r="AS744" t="s">
        <v>2365</v>
      </c>
      <c r="AT744" t="s">
        <v>2365</v>
      </c>
      <c r="AU744" t="s">
        <v>2365</v>
      </c>
      <c r="AV744" t="s">
        <v>2365</v>
      </c>
      <c r="AW744" t="s">
        <v>2365</v>
      </c>
      <c r="AX744" t="s">
        <v>2365</v>
      </c>
      <c r="AY744" t="s">
        <v>2365</v>
      </c>
      <c r="AZ744" t="s">
        <v>2365</v>
      </c>
      <c r="BA744" t="s">
        <v>2365</v>
      </c>
      <c r="BB744" t="s">
        <v>2365</v>
      </c>
      <c r="BC744" t="s">
        <v>2365</v>
      </c>
      <c r="BD744" t="s">
        <v>2366</v>
      </c>
      <c r="BE744" t="s">
        <v>2365</v>
      </c>
      <c r="BF744" t="s">
        <v>2365</v>
      </c>
      <c r="BG744" t="s">
        <v>2365</v>
      </c>
      <c r="BH744" t="s">
        <v>2365</v>
      </c>
      <c r="BI744" t="s">
        <v>2366</v>
      </c>
      <c r="BJ744" t="s">
        <v>2365</v>
      </c>
      <c r="BK744" t="s">
        <v>2365</v>
      </c>
      <c r="BL744" t="s">
        <v>2365</v>
      </c>
      <c r="BM744" t="s">
        <v>2365</v>
      </c>
      <c r="BO744">
        <v>1</v>
      </c>
      <c r="BP744">
        <v>11</v>
      </c>
      <c r="BQ744" t="s">
        <v>2369</v>
      </c>
      <c r="BR744" t="s">
        <v>1487</v>
      </c>
      <c r="BU744">
        <v>-3850000</v>
      </c>
      <c r="BV744">
        <v>0</v>
      </c>
      <c r="BW744">
        <v>-3850000</v>
      </c>
      <c r="BX744">
        <v>0</v>
      </c>
      <c r="BY744">
        <v>-3850000</v>
      </c>
      <c r="BZ744">
        <v>-4081000</v>
      </c>
      <c r="CA744">
        <v>-4325860</v>
      </c>
      <c r="CB744">
        <v>-169079.03</v>
      </c>
      <c r="CC744">
        <v>-209517.38</v>
      </c>
      <c r="CD744">
        <v>-159306.91</v>
      </c>
      <c r="CE744">
        <v>-122414.04000000001</v>
      </c>
      <c r="CF744">
        <v>-105160.53</v>
      </c>
      <c r="CG744">
        <v>-127274.03</v>
      </c>
      <c r="CH744">
        <v>-147688.26</v>
      </c>
      <c r="CI744">
        <v>-106052.63</v>
      </c>
      <c r="CJ744">
        <v>0</v>
      </c>
      <c r="CK744">
        <v>0</v>
      </c>
      <c r="CL744">
        <v>0</v>
      </c>
      <c r="CM744">
        <v>0</v>
      </c>
      <c r="CR744" t="s">
        <v>2324</v>
      </c>
      <c r="CS744" s="1369" t="str">
        <f>INDEX([8]Sheet1!$H:$H,MATCH(CR:CR,[8]Sheet1!$AU:$AU,0))</f>
        <v>Finance</v>
      </c>
    </row>
    <row r="745" spans="1:97" x14ac:dyDescent="0.2">
      <c r="A745" t="s">
        <v>3375</v>
      </c>
      <c r="B745">
        <v>798</v>
      </c>
      <c r="C745" t="s">
        <v>3375</v>
      </c>
      <c r="D745">
        <v>41315</v>
      </c>
      <c r="E745" t="s">
        <v>3376</v>
      </c>
      <c r="F745">
        <v>1000</v>
      </c>
      <c r="G745" t="s">
        <v>646</v>
      </c>
      <c r="H745">
        <v>1000</v>
      </c>
      <c r="I745" t="s">
        <v>646</v>
      </c>
      <c r="J745" t="s">
        <v>2365</v>
      </c>
      <c r="K745" t="s">
        <v>2365</v>
      </c>
      <c r="L745">
        <v>1200</v>
      </c>
      <c r="M745" t="s">
        <v>1480</v>
      </c>
      <c r="N745">
        <v>1204</v>
      </c>
      <c r="O745" t="s">
        <v>1487</v>
      </c>
      <c r="P745" t="s">
        <v>2366</v>
      </c>
      <c r="Q745" t="s">
        <v>2364</v>
      </c>
      <c r="R745" t="s">
        <v>2364</v>
      </c>
      <c r="S745" t="s">
        <v>553</v>
      </c>
      <c r="T745" t="s">
        <v>1811</v>
      </c>
      <c r="U745" t="s">
        <v>2365</v>
      </c>
      <c r="V745" t="s">
        <v>2365</v>
      </c>
      <c r="W745" t="s">
        <v>2365</v>
      </c>
      <c r="X745" t="s">
        <v>2365</v>
      </c>
      <c r="Y745" t="s">
        <v>2365</v>
      </c>
      <c r="Z745" t="s">
        <v>2365</v>
      </c>
      <c r="AA745" t="s">
        <v>2365</v>
      </c>
      <c r="AB745" t="s">
        <v>2365</v>
      </c>
      <c r="AC745" s="813" t="s">
        <v>2365</v>
      </c>
      <c r="AD745" s="813" t="s">
        <v>2365</v>
      </c>
      <c r="AE745" s="813" t="s">
        <v>2365</v>
      </c>
      <c r="AF745" t="s">
        <v>2365</v>
      </c>
      <c r="AG745" t="s">
        <v>2365</v>
      </c>
      <c r="AH745" t="s">
        <v>2365</v>
      </c>
      <c r="AI745" t="s">
        <v>2365</v>
      </c>
      <c r="AJ745" t="s">
        <v>2365</v>
      </c>
      <c r="AK745" t="s">
        <v>2365</v>
      </c>
      <c r="AL745" t="s">
        <v>2365</v>
      </c>
      <c r="AM745" t="s">
        <v>2365</v>
      </c>
      <c r="AN745" t="s">
        <v>2365</v>
      </c>
      <c r="AR745" t="s">
        <v>2365</v>
      </c>
      <c r="AS745" t="s">
        <v>2365</v>
      </c>
      <c r="AT745" t="s">
        <v>2365</v>
      </c>
      <c r="AU745" t="s">
        <v>2365</v>
      </c>
      <c r="AV745" t="s">
        <v>2365</v>
      </c>
      <c r="AW745" t="s">
        <v>2365</v>
      </c>
      <c r="AX745" t="s">
        <v>2365</v>
      </c>
      <c r="AY745" t="s">
        <v>2365</v>
      </c>
      <c r="AZ745" t="s">
        <v>2365</v>
      </c>
      <c r="BA745" t="s">
        <v>2365</v>
      </c>
      <c r="BB745" t="s">
        <v>2365</v>
      </c>
      <c r="BC745" t="s">
        <v>2365</v>
      </c>
      <c r="BD745" t="s">
        <v>2366</v>
      </c>
      <c r="BE745" t="s">
        <v>2365</v>
      </c>
      <c r="BF745" t="s">
        <v>2365</v>
      </c>
      <c r="BG745" t="s">
        <v>2365</v>
      </c>
      <c r="BH745" t="s">
        <v>2365</v>
      </c>
      <c r="BI745" t="s">
        <v>2366</v>
      </c>
      <c r="BJ745" t="s">
        <v>2365</v>
      </c>
      <c r="BK745" t="s">
        <v>2365</v>
      </c>
      <c r="BL745" t="s">
        <v>2365</v>
      </c>
      <c r="BM745" t="s">
        <v>2365</v>
      </c>
      <c r="BO745">
        <v>1</v>
      </c>
      <c r="BP745">
        <v>11</v>
      </c>
      <c r="BQ745" t="s">
        <v>2369</v>
      </c>
      <c r="BR745" t="s">
        <v>1487</v>
      </c>
      <c r="BU745">
        <v>-1883321</v>
      </c>
      <c r="BV745">
        <v>0</v>
      </c>
      <c r="BW745">
        <v>-1883321</v>
      </c>
      <c r="BX745">
        <v>-1883321</v>
      </c>
      <c r="BY745">
        <v>0</v>
      </c>
      <c r="BZ745">
        <v>-1958654</v>
      </c>
      <c r="CA745">
        <v>-2037000</v>
      </c>
      <c r="CB745">
        <v>0</v>
      </c>
      <c r="CC745">
        <v>0</v>
      </c>
      <c r="CD745">
        <v>0</v>
      </c>
      <c r="CE745">
        <v>0</v>
      </c>
      <c r="CF745">
        <v>0</v>
      </c>
      <c r="CG745">
        <v>0</v>
      </c>
      <c r="CH745">
        <v>0</v>
      </c>
      <c r="CI745">
        <v>0</v>
      </c>
      <c r="CJ745">
        <v>0</v>
      </c>
      <c r="CK745">
        <v>0</v>
      </c>
      <c r="CL745">
        <v>0</v>
      </c>
      <c r="CM745">
        <v>0</v>
      </c>
      <c r="CR745" t="s">
        <v>2324</v>
      </c>
      <c r="CS745" s="1369" t="str">
        <f>INDEX([8]Sheet1!$H:$H,MATCH(CR:CR,[8]Sheet1!$AU:$AU,0))</f>
        <v>Finance</v>
      </c>
    </row>
    <row r="746" spans="1:97" x14ac:dyDescent="0.2">
      <c r="A746" t="s">
        <v>3377</v>
      </c>
      <c r="B746">
        <v>799</v>
      </c>
      <c r="C746" t="s">
        <v>3377</v>
      </c>
      <c r="D746">
        <v>41316</v>
      </c>
      <c r="E746" t="s">
        <v>3378</v>
      </c>
      <c r="F746">
        <v>1000</v>
      </c>
      <c r="G746" t="s">
        <v>646</v>
      </c>
      <c r="H746">
        <v>1000</v>
      </c>
      <c r="I746" t="s">
        <v>646</v>
      </c>
      <c r="J746" t="s">
        <v>2365</v>
      </c>
      <c r="K746" t="s">
        <v>2365</v>
      </c>
      <c r="L746">
        <v>1200</v>
      </c>
      <c r="M746" t="s">
        <v>1480</v>
      </c>
      <c r="N746">
        <v>1204</v>
      </c>
      <c r="O746" t="s">
        <v>1487</v>
      </c>
      <c r="P746" t="s">
        <v>2366</v>
      </c>
      <c r="Q746" t="s">
        <v>2364</v>
      </c>
      <c r="R746" t="s">
        <v>2364</v>
      </c>
      <c r="S746" t="s">
        <v>553</v>
      </c>
      <c r="T746" t="s">
        <v>1811</v>
      </c>
      <c r="U746" t="s">
        <v>2365</v>
      </c>
      <c r="V746" t="s">
        <v>2365</v>
      </c>
      <c r="W746" t="s">
        <v>2365</v>
      </c>
      <c r="X746" t="s">
        <v>2365</v>
      </c>
      <c r="Y746" t="s">
        <v>2365</v>
      </c>
      <c r="Z746" t="s">
        <v>2365</v>
      </c>
      <c r="AA746" t="s">
        <v>2365</v>
      </c>
      <c r="AB746" t="s">
        <v>2365</v>
      </c>
      <c r="AC746" s="813" t="s">
        <v>2365</v>
      </c>
      <c r="AD746" s="813" t="s">
        <v>2365</v>
      </c>
      <c r="AE746" s="813" t="s">
        <v>2365</v>
      </c>
      <c r="AF746" t="s">
        <v>2365</v>
      </c>
      <c r="AG746" t="s">
        <v>2365</v>
      </c>
      <c r="AH746" t="s">
        <v>2365</v>
      </c>
      <c r="AI746" t="s">
        <v>2365</v>
      </c>
      <c r="AJ746" t="s">
        <v>2365</v>
      </c>
      <c r="AK746" t="s">
        <v>2365</v>
      </c>
      <c r="AL746" t="s">
        <v>2365</v>
      </c>
      <c r="AM746" t="s">
        <v>2365</v>
      </c>
      <c r="AN746" t="s">
        <v>2365</v>
      </c>
      <c r="AR746" t="s">
        <v>2365</v>
      </c>
      <c r="AS746" t="s">
        <v>2365</v>
      </c>
      <c r="AT746" t="s">
        <v>2365</v>
      </c>
      <c r="AU746" t="s">
        <v>2365</v>
      </c>
      <c r="AV746" t="s">
        <v>2365</v>
      </c>
      <c r="AW746" t="s">
        <v>2365</v>
      </c>
      <c r="AX746" t="s">
        <v>2365</v>
      </c>
      <c r="AY746" t="s">
        <v>2365</v>
      </c>
      <c r="AZ746" t="s">
        <v>2365</v>
      </c>
      <c r="BA746" t="s">
        <v>2365</v>
      </c>
      <c r="BB746" t="s">
        <v>2365</v>
      </c>
      <c r="BC746" t="s">
        <v>2365</v>
      </c>
      <c r="BD746" t="s">
        <v>2366</v>
      </c>
      <c r="BE746" t="s">
        <v>2365</v>
      </c>
      <c r="BF746" t="s">
        <v>2365</v>
      </c>
      <c r="BG746" t="s">
        <v>2365</v>
      </c>
      <c r="BH746" t="s">
        <v>2365</v>
      </c>
      <c r="BI746" t="s">
        <v>2366</v>
      </c>
      <c r="BJ746" t="s">
        <v>2365</v>
      </c>
      <c r="BK746" t="s">
        <v>2365</v>
      </c>
      <c r="BL746" t="s">
        <v>2365</v>
      </c>
      <c r="BM746" t="s">
        <v>2365</v>
      </c>
      <c r="BO746">
        <v>1</v>
      </c>
      <c r="BP746">
        <v>11</v>
      </c>
      <c r="BQ746" t="s">
        <v>2369</v>
      </c>
      <c r="BR746" t="s">
        <v>1487</v>
      </c>
      <c r="BU746">
        <v>0</v>
      </c>
      <c r="BV746">
        <v>0</v>
      </c>
      <c r="BW746">
        <v>0</v>
      </c>
      <c r="BX746">
        <v>0</v>
      </c>
      <c r="BY746">
        <v>0</v>
      </c>
      <c r="BZ746">
        <v>0</v>
      </c>
      <c r="CA746">
        <v>0</v>
      </c>
      <c r="CB746">
        <v>0</v>
      </c>
      <c r="CC746">
        <v>0</v>
      </c>
      <c r="CD746">
        <v>0</v>
      </c>
      <c r="CE746">
        <v>0</v>
      </c>
      <c r="CF746">
        <v>0</v>
      </c>
      <c r="CG746">
        <v>0</v>
      </c>
      <c r="CH746">
        <v>0</v>
      </c>
      <c r="CI746">
        <v>0</v>
      </c>
      <c r="CJ746">
        <v>0</v>
      </c>
      <c r="CK746">
        <v>0</v>
      </c>
      <c r="CL746">
        <v>0</v>
      </c>
      <c r="CM746">
        <v>0</v>
      </c>
      <c r="CR746" t="s">
        <v>2324</v>
      </c>
      <c r="CS746" s="1369" t="str">
        <f>INDEX([8]Sheet1!$H:$H,MATCH(CR:CR,[8]Sheet1!$AU:$AU,0))</f>
        <v>Finance</v>
      </c>
    </row>
    <row r="747" spans="1:97" x14ac:dyDescent="0.2">
      <c r="A747" t="s">
        <v>3379</v>
      </c>
      <c r="B747">
        <v>800</v>
      </c>
      <c r="C747" t="s">
        <v>3379</v>
      </c>
      <c r="D747">
        <v>41317</v>
      </c>
      <c r="E747" t="s">
        <v>3380</v>
      </c>
      <c r="F747">
        <v>1600</v>
      </c>
      <c r="G747" t="s">
        <v>650</v>
      </c>
      <c r="H747">
        <v>1605</v>
      </c>
      <c r="I747" t="s">
        <v>2191</v>
      </c>
      <c r="J747" t="s">
        <v>2365</v>
      </c>
      <c r="K747" t="s">
        <v>2365</v>
      </c>
      <c r="L747">
        <v>1200</v>
      </c>
      <c r="M747" t="s">
        <v>1480</v>
      </c>
      <c r="N747">
        <v>1204</v>
      </c>
      <c r="O747" t="s">
        <v>1487</v>
      </c>
      <c r="P747" t="s">
        <v>2366</v>
      </c>
      <c r="Q747" t="s">
        <v>2364</v>
      </c>
      <c r="R747" t="s">
        <v>2364</v>
      </c>
      <c r="S747" t="s">
        <v>553</v>
      </c>
      <c r="T747" t="s">
        <v>1811</v>
      </c>
      <c r="U747" t="s">
        <v>2365</v>
      </c>
      <c r="V747" t="s">
        <v>2365</v>
      </c>
      <c r="W747" t="s">
        <v>2365</v>
      </c>
      <c r="X747" t="s">
        <v>2365</v>
      </c>
      <c r="Y747" t="s">
        <v>2365</v>
      </c>
      <c r="Z747" t="s">
        <v>2365</v>
      </c>
      <c r="AA747" t="s">
        <v>2365</v>
      </c>
      <c r="AB747" t="s">
        <v>2365</v>
      </c>
      <c r="AC747" s="813" t="s">
        <v>2365</v>
      </c>
      <c r="AD747" s="813" t="s">
        <v>2365</v>
      </c>
      <c r="AE747" s="813" t="s">
        <v>2365</v>
      </c>
      <c r="AF747" t="s">
        <v>2365</v>
      </c>
      <c r="AG747" t="s">
        <v>2365</v>
      </c>
      <c r="AH747" t="s">
        <v>2365</v>
      </c>
      <c r="AI747" t="s">
        <v>2365</v>
      </c>
      <c r="AJ747" t="s">
        <v>2365</v>
      </c>
      <c r="AK747" t="s">
        <v>2365</v>
      </c>
      <c r="AL747" t="s">
        <v>2365</v>
      </c>
      <c r="AM747" t="s">
        <v>2365</v>
      </c>
      <c r="AN747" t="s">
        <v>2365</v>
      </c>
      <c r="AR747" t="s">
        <v>2365</v>
      </c>
      <c r="AS747" t="s">
        <v>2365</v>
      </c>
      <c r="AT747" t="s">
        <v>2365</v>
      </c>
      <c r="AU747" t="s">
        <v>2365</v>
      </c>
      <c r="AV747" t="s">
        <v>2365</v>
      </c>
      <c r="AW747" t="s">
        <v>2365</v>
      </c>
      <c r="AX747" t="s">
        <v>2365</v>
      </c>
      <c r="AY747" t="s">
        <v>2365</v>
      </c>
      <c r="AZ747" t="s">
        <v>2365</v>
      </c>
      <c r="BA747" t="s">
        <v>2365</v>
      </c>
      <c r="BB747" t="s">
        <v>2365</v>
      </c>
      <c r="BC747" t="s">
        <v>2365</v>
      </c>
      <c r="BD747" t="s">
        <v>2366</v>
      </c>
      <c r="BE747" t="s">
        <v>2365</v>
      </c>
      <c r="BF747" t="s">
        <v>2365</v>
      </c>
      <c r="BG747" t="s">
        <v>2365</v>
      </c>
      <c r="BH747" t="s">
        <v>2365</v>
      </c>
      <c r="BI747" t="s">
        <v>2366</v>
      </c>
      <c r="BJ747" t="s">
        <v>2365</v>
      </c>
      <c r="BK747" t="s">
        <v>2365</v>
      </c>
      <c r="BL747" t="s">
        <v>2365</v>
      </c>
      <c r="BM747" t="s">
        <v>2365</v>
      </c>
      <c r="BO747">
        <v>1</v>
      </c>
      <c r="BP747">
        <v>11</v>
      </c>
      <c r="BQ747" t="s">
        <v>2369</v>
      </c>
      <c r="BR747" t="s">
        <v>1487</v>
      </c>
      <c r="BU747">
        <v>0</v>
      </c>
      <c r="BV747">
        <v>0</v>
      </c>
      <c r="BW747">
        <v>0</v>
      </c>
      <c r="BX747">
        <v>0</v>
      </c>
      <c r="BY747">
        <v>0</v>
      </c>
      <c r="BZ747">
        <v>0</v>
      </c>
      <c r="CA747">
        <v>0</v>
      </c>
      <c r="CB747">
        <v>0</v>
      </c>
      <c r="CC747">
        <v>0</v>
      </c>
      <c r="CD747">
        <v>0</v>
      </c>
      <c r="CE747">
        <v>0</v>
      </c>
      <c r="CF747">
        <v>0</v>
      </c>
      <c r="CG747">
        <v>0</v>
      </c>
      <c r="CH747">
        <v>0</v>
      </c>
      <c r="CI747">
        <v>0</v>
      </c>
      <c r="CJ747">
        <v>0</v>
      </c>
      <c r="CK747">
        <v>0</v>
      </c>
      <c r="CL747">
        <v>0</v>
      </c>
      <c r="CM747">
        <v>0</v>
      </c>
      <c r="CR747" t="s">
        <v>2324</v>
      </c>
      <c r="CS747" s="1369" t="str">
        <f>INDEX([8]Sheet1!$H:$H,MATCH(CR:CR,[8]Sheet1!$AU:$AU,0))</f>
        <v>Finance</v>
      </c>
    </row>
    <row r="748" spans="1:97" x14ac:dyDescent="0.2">
      <c r="A748" t="s">
        <v>3381</v>
      </c>
      <c r="B748">
        <v>801</v>
      </c>
      <c r="C748" t="s">
        <v>3381</v>
      </c>
      <c r="D748">
        <v>41318</v>
      </c>
      <c r="E748" t="s">
        <v>3382</v>
      </c>
      <c r="F748">
        <v>1600</v>
      </c>
      <c r="G748" t="s">
        <v>650</v>
      </c>
      <c r="H748">
        <v>1605</v>
      </c>
      <c r="I748" t="s">
        <v>2191</v>
      </c>
      <c r="J748" t="s">
        <v>2365</v>
      </c>
      <c r="K748" t="s">
        <v>2365</v>
      </c>
      <c r="L748">
        <v>1200</v>
      </c>
      <c r="M748" t="s">
        <v>1480</v>
      </c>
      <c r="N748">
        <v>1204</v>
      </c>
      <c r="O748" t="s">
        <v>1487</v>
      </c>
      <c r="P748" t="s">
        <v>2366</v>
      </c>
      <c r="Q748" t="s">
        <v>2364</v>
      </c>
      <c r="R748" t="s">
        <v>2364</v>
      </c>
      <c r="S748" t="s">
        <v>553</v>
      </c>
      <c r="T748" t="s">
        <v>1811</v>
      </c>
      <c r="U748" t="s">
        <v>2365</v>
      </c>
      <c r="V748" t="s">
        <v>2365</v>
      </c>
      <c r="W748" t="s">
        <v>2365</v>
      </c>
      <c r="X748" t="s">
        <v>2365</v>
      </c>
      <c r="Y748" t="s">
        <v>2365</v>
      </c>
      <c r="Z748" t="s">
        <v>2365</v>
      </c>
      <c r="AA748" t="s">
        <v>2365</v>
      </c>
      <c r="AB748" t="s">
        <v>2365</v>
      </c>
      <c r="AC748" s="813" t="s">
        <v>2365</v>
      </c>
      <c r="AD748" s="813" t="s">
        <v>2365</v>
      </c>
      <c r="AE748" s="813" t="s">
        <v>2365</v>
      </c>
      <c r="AF748" t="s">
        <v>2365</v>
      </c>
      <c r="AG748" t="s">
        <v>2365</v>
      </c>
      <c r="AH748" t="s">
        <v>2365</v>
      </c>
      <c r="AI748" t="s">
        <v>2365</v>
      </c>
      <c r="AJ748" t="s">
        <v>2365</v>
      </c>
      <c r="AK748" t="s">
        <v>2365</v>
      </c>
      <c r="AL748" t="s">
        <v>2365</v>
      </c>
      <c r="AM748" t="s">
        <v>2365</v>
      </c>
      <c r="AN748" t="s">
        <v>2365</v>
      </c>
      <c r="AR748" t="s">
        <v>2365</v>
      </c>
      <c r="AS748" t="s">
        <v>2365</v>
      </c>
      <c r="AT748" t="s">
        <v>2365</v>
      </c>
      <c r="AU748" t="s">
        <v>2365</v>
      </c>
      <c r="AV748" t="s">
        <v>2365</v>
      </c>
      <c r="AW748" t="s">
        <v>2365</v>
      </c>
      <c r="AX748" t="s">
        <v>2365</v>
      </c>
      <c r="AY748" t="s">
        <v>2365</v>
      </c>
      <c r="AZ748" t="s">
        <v>2365</v>
      </c>
      <c r="BA748" t="s">
        <v>2365</v>
      </c>
      <c r="BB748" t="s">
        <v>2365</v>
      </c>
      <c r="BC748" t="s">
        <v>2365</v>
      </c>
      <c r="BD748" t="s">
        <v>2366</v>
      </c>
      <c r="BE748" t="s">
        <v>2365</v>
      </c>
      <c r="BF748" t="s">
        <v>2365</v>
      </c>
      <c r="BG748" t="s">
        <v>2365</v>
      </c>
      <c r="BH748" t="s">
        <v>2365</v>
      </c>
      <c r="BI748" t="s">
        <v>2366</v>
      </c>
      <c r="BJ748" t="s">
        <v>2365</v>
      </c>
      <c r="BK748" t="s">
        <v>2365</v>
      </c>
      <c r="BL748" t="s">
        <v>2365</v>
      </c>
      <c r="BM748" t="s">
        <v>2365</v>
      </c>
      <c r="BO748">
        <v>1</v>
      </c>
      <c r="BP748">
        <v>11</v>
      </c>
      <c r="BQ748" t="s">
        <v>2369</v>
      </c>
      <c r="BR748" t="s">
        <v>1487</v>
      </c>
      <c r="BU748">
        <v>-8596</v>
      </c>
      <c r="BV748">
        <v>0</v>
      </c>
      <c r="BW748">
        <v>-8596</v>
      </c>
      <c r="BX748">
        <v>0</v>
      </c>
      <c r="BY748">
        <v>-8596</v>
      </c>
      <c r="BZ748">
        <v>-9111</v>
      </c>
      <c r="CA748">
        <v>-9658</v>
      </c>
      <c r="CB748">
        <v>0</v>
      </c>
      <c r="CC748">
        <v>0</v>
      </c>
      <c r="CD748">
        <v>0</v>
      </c>
      <c r="CE748">
        <v>0</v>
      </c>
      <c r="CF748">
        <v>0</v>
      </c>
      <c r="CG748">
        <v>0</v>
      </c>
      <c r="CH748">
        <v>0</v>
      </c>
      <c r="CI748">
        <v>0</v>
      </c>
      <c r="CJ748">
        <v>0</v>
      </c>
      <c r="CK748">
        <v>0</v>
      </c>
      <c r="CL748">
        <v>0</v>
      </c>
      <c r="CM748">
        <v>0</v>
      </c>
      <c r="CR748" t="s">
        <v>2324</v>
      </c>
      <c r="CS748" s="1369" t="str">
        <f>INDEX([8]Sheet1!$H:$H,MATCH(CR:CR,[8]Sheet1!$AU:$AU,0))</f>
        <v>Finance</v>
      </c>
    </row>
    <row r="749" spans="1:97" x14ac:dyDescent="0.2">
      <c r="A749" t="s">
        <v>3383</v>
      </c>
      <c r="B749">
        <v>802</v>
      </c>
      <c r="C749" t="s">
        <v>3383</v>
      </c>
      <c r="D749">
        <v>41319</v>
      </c>
      <c r="E749" t="s">
        <v>3384</v>
      </c>
      <c r="F749">
        <v>1200</v>
      </c>
      <c r="G749" t="s">
        <v>1478</v>
      </c>
      <c r="H749">
        <v>1200</v>
      </c>
      <c r="I749" t="s">
        <v>1478</v>
      </c>
      <c r="J749" t="s">
        <v>2365</v>
      </c>
      <c r="K749" t="s">
        <v>2365</v>
      </c>
      <c r="L749">
        <v>3200</v>
      </c>
      <c r="M749" t="s">
        <v>625</v>
      </c>
      <c r="N749">
        <v>3205</v>
      </c>
      <c r="O749" t="s">
        <v>1002</v>
      </c>
      <c r="P749" t="s">
        <v>2366</v>
      </c>
      <c r="Q749" t="s">
        <v>2364</v>
      </c>
      <c r="R749" t="s">
        <v>2364</v>
      </c>
      <c r="S749" t="s">
        <v>553</v>
      </c>
      <c r="T749" t="s">
        <v>1811</v>
      </c>
      <c r="U749" t="s">
        <v>2365</v>
      </c>
      <c r="V749" t="s">
        <v>2365</v>
      </c>
      <c r="W749" t="s">
        <v>2365</v>
      </c>
      <c r="X749" t="s">
        <v>2365</v>
      </c>
      <c r="Y749" t="s">
        <v>2365</v>
      </c>
      <c r="Z749" t="s">
        <v>2365</v>
      </c>
      <c r="AA749" t="s">
        <v>2365</v>
      </c>
      <c r="AB749" t="s">
        <v>2365</v>
      </c>
      <c r="AC749" s="813" t="s">
        <v>2365</v>
      </c>
      <c r="AD749" s="813" t="s">
        <v>2365</v>
      </c>
      <c r="AE749" s="813" t="s">
        <v>2365</v>
      </c>
      <c r="AF749" t="s">
        <v>2365</v>
      </c>
      <c r="AG749" t="s">
        <v>2365</v>
      </c>
      <c r="AH749" t="s">
        <v>2365</v>
      </c>
      <c r="AI749" t="s">
        <v>2365</v>
      </c>
      <c r="AJ749" t="s">
        <v>2365</v>
      </c>
      <c r="AK749" t="s">
        <v>2365</v>
      </c>
      <c r="AL749" t="s">
        <v>2365</v>
      </c>
      <c r="AM749" t="s">
        <v>2365</v>
      </c>
      <c r="AN749" t="s">
        <v>2365</v>
      </c>
      <c r="AR749" t="s">
        <v>2365</v>
      </c>
      <c r="AS749" t="s">
        <v>2365</v>
      </c>
      <c r="AT749" t="s">
        <v>2365</v>
      </c>
      <c r="AU749" t="s">
        <v>2365</v>
      </c>
      <c r="AV749" t="s">
        <v>2365</v>
      </c>
      <c r="AW749" t="s">
        <v>2365</v>
      </c>
      <c r="AX749" t="s">
        <v>2365</v>
      </c>
      <c r="AY749" t="s">
        <v>2365</v>
      </c>
      <c r="AZ749" t="s">
        <v>2365</v>
      </c>
      <c r="BA749" t="s">
        <v>2365</v>
      </c>
      <c r="BB749" t="s">
        <v>2365</v>
      </c>
      <c r="BC749" t="s">
        <v>2365</v>
      </c>
      <c r="BD749" t="s">
        <v>2366</v>
      </c>
      <c r="BE749" t="s">
        <v>2365</v>
      </c>
      <c r="BF749" t="s">
        <v>2365</v>
      </c>
      <c r="BG749" t="s">
        <v>2365</v>
      </c>
      <c r="BH749" t="s">
        <v>2365</v>
      </c>
      <c r="BI749" t="s">
        <v>2366</v>
      </c>
      <c r="BJ749" t="s">
        <v>2365</v>
      </c>
      <c r="BK749" t="s">
        <v>2365</v>
      </c>
      <c r="BL749" t="s">
        <v>2365</v>
      </c>
      <c r="BM749" t="s">
        <v>2365</v>
      </c>
      <c r="BO749">
        <v>7</v>
      </c>
      <c r="BP749">
        <v>71</v>
      </c>
      <c r="BQ749" t="s">
        <v>2665</v>
      </c>
      <c r="BR749" t="s">
        <v>1002</v>
      </c>
      <c r="BU749">
        <v>-30000</v>
      </c>
      <c r="BV749">
        <v>0</v>
      </c>
      <c r="BW749">
        <v>-30000</v>
      </c>
      <c r="BX749">
        <v>0</v>
      </c>
      <c r="BY749">
        <v>-30000</v>
      </c>
      <c r="BZ749">
        <v>-31800</v>
      </c>
      <c r="CA749">
        <v>-33708</v>
      </c>
      <c r="CB749">
        <v>0</v>
      </c>
      <c r="CC749">
        <v>0</v>
      </c>
      <c r="CD749">
        <v>0</v>
      </c>
      <c r="CE749">
        <v>0</v>
      </c>
      <c r="CF749">
        <v>0</v>
      </c>
      <c r="CG749">
        <v>0</v>
      </c>
      <c r="CH749">
        <v>0</v>
      </c>
      <c r="CI749">
        <v>0</v>
      </c>
      <c r="CJ749">
        <v>0</v>
      </c>
      <c r="CK749">
        <v>0</v>
      </c>
      <c r="CL749">
        <v>0</v>
      </c>
      <c r="CM749">
        <v>0</v>
      </c>
      <c r="CR749" t="s">
        <v>2324</v>
      </c>
      <c r="CS749" s="1369" t="str">
        <f>INDEX([8]Sheet1!$H:$H,MATCH(CR:CR,[8]Sheet1!$AU:$AU,0))</f>
        <v>Finance</v>
      </c>
    </row>
    <row r="750" spans="1:97" x14ac:dyDescent="0.2">
      <c r="A750" t="s">
        <v>3385</v>
      </c>
      <c r="B750">
        <v>803</v>
      </c>
      <c r="C750" t="s">
        <v>3385</v>
      </c>
      <c r="D750">
        <v>41320</v>
      </c>
      <c r="E750" t="s">
        <v>3386</v>
      </c>
      <c r="F750">
        <v>1500</v>
      </c>
      <c r="G750" t="s">
        <v>1477</v>
      </c>
      <c r="H750">
        <v>1500</v>
      </c>
      <c r="I750" t="s">
        <v>1477</v>
      </c>
      <c r="J750" t="s">
        <v>2365</v>
      </c>
      <c r="K750" t="s">
        <v>2365</v>
      </c>
      <c r="L750">
        <v>1200</v>
      </c>
      <c r="M750" t="s">
        <v>1480</v>
      </c>
      <c r="N750">
        <v>1210</v>
      </c>
      <c r="O750" t="s">
        <v>998</v>
      </c>
      <c r="P750" t="s">
        <v>2366</v>
      </c>
      <c r="Q750" t="s">
        <v>2364</v>
      </c>
      <c r="R750" t="s">
        <v>2364</v>
      </c>
      <c r="S750" t="s">
        <v>553</v>
      </c>
      <c r="T750" t="s">
        <v>1811</v>
      </c>
      <c r="U750" t="s">
        <v>2365</v>
      </c>
      <c r="V750" t="s">
        <v>2365</v>
      </c>
      <c r="W750" t="s">
        <v>2365</v>
      </c>
      <c r="X750" t="s">
        <v>2365</v>
      </c>
      <c r="Y750" t="s">
        <v>2365</v>
      </c>
      <c r="Z750" t="s">
        <v>2365</v>
      </c>
      <c r="AA750" t="s">
        <v>2365</v>
      </c>
      <c r="AB750" t="s">
        <v>2365</v>
      </c>
      <c r="AC750" s="813" t="s">
        <v>2365</v>
      </c>
      <c r="AD750" s="813" t="s">
        <v>2365</v>
      </c>
      <c r="AE750" s="813" t="s">
        <v>2365</v>
      </c>
      <c r="AF750" t="s">
        <v>2365</v>
      </c>
      <c r="AG750" t="s">
        <v>2365</v>
      </c>
      <c r="AH750" t="s">
        <v>2365</v>
      </c>
      <c r="AI750" t="s">
        <v>2365</v>
      </c>
      <c r="AJ750" t="s">
        <v>2365</v>
      </c>
      <c r="AK750" t="s">
        <v>2365</v>
      </c>
      <c r="AL750" t="s">
        <v>2365</v>
      </c>
      <c r="AM750" t="s">
        <v>2365</v>
      </c>
      <c r="AN750" t="s">
        <v>2365</v>
      </c>
      <c r="AR750" t="s">
        <v>2365</v>
      </c>
      <c r="AS750" t="s">
        <v>2365</v>
      </c>
      <c r="AT750" t="s">
        <v>2365</v>
      </c>
      <c r="AU750" t="s">
        <v>2365</v>
      </c>
      <c r="AV750" t="s">
        <v>2365</v>
      </c>
      <c r="AW750" t="s">
        <v>2365</v>
      </c>
      <c r="AX750" t="s">
        <v>2365</v>
      </c>
      <c r="AY750" t="s">
        <v>2365</v>
      </c>
      <c r="AZ750" t="s">
        <v>2365</v>
      </c>
      <c r="BA750" t="s">
        <v>2365</v>
      </c>
      <c r="BB750" t="s">
        <v>2365</v>
      </c>
      <c r="BC750" t="s">
        <v>2365</v>
      </c>
      <c r="BD750" t="s">
        <v>2366</v>
      </c>
      <c r="BE750" t="s">
        <v>2365</v>
      </c>
      <c r="BF750" t="s">
        <v>2365</v>
      </c>
      <c r="BG750" t="s">
        <v>2365</v>
      </c>
      <c r="BH750" t="s">
        <v>2365</v>
      </c>
      <c r="BI750" t="s">
        <v>2366</v>
      </c>
      <c r="BJ750" t="s">
        <v>2365</v>
      </c>
      <c r="BK750" t="s">
        <v>2365</v>
      </c>
      <c r="BL750" t="s">
        <v>2365</v>
      </c>
      <c r="BM750" t="s">
        <v>2365</v>
      </c>
      <c r="BO750">
        <v>1</v>
      </c>
      <c r="BP750">
        <v>16</v>
      </c>
      <c r="BQ750" t="s">
        <v>2369</v>
      </c>
      <c r="BR750" t="s">
        <v>998</v>
      </c>
      <c r="BU750">
        <v>-67330000</v>
      </c>
      <c r="BV750">
        <v>12405000</v>
      </c>
      <c r="BW750">
        <v>-79735000</v>
      </c>
      <c r="BX750">
        <v>0</v>
      </c>
      <c r="BY750">
        <v>-79735000</v>
      </c>
      <c r="BZ750">
        <v>-72423000</v>
      </c>
      <c r="CA750">
        <v>-76881000</v>
      </c>
      <c r="CB750">
        <v>-30298000</v>
      </c>
      <c r="CC750">
        <v>0</v>
      </c>
      <c r="CD750">
        <v>0</v>
      </c>
      <c r="CE750">
        <v>0</v>
      </c>
      <c r="CF750">
        <v>0</v>
      </c>
      <c r="CG750">
        <v>-32604000</v>
      </c>
      <c r="CH750">
        <v>0</v>
      </c>
      <c r="CI750">
        <v>0</v>
      </c>
      <c r="CJ750">
        <v>0</v>
      </c>
      <c r="CK750">
        <v>0</v>
      </c>
      <c r="CL750">
        <v>0</v>
      </c>
      <c r="CM750">
        <v>0</v>
      </c>
      <c r="CR750" t="s">
        <v>2324</v>
      </c>
      <c r="CS750" s="1369" t="str">
        <f>INDEX([8]Sheet1!$H:$H,MATCH(CR:CR,[8]Sheet1!$AU:$AU,0))</f>
        <v>Finance</v>
      </c>
    </row>
    <row r="751" spans="1:97" x14ac:dyDescent="0.2">
      <c r="A751" t="s">
        <v>3387</v>
      </c>
      <c r="B751">
        <v>804</v>
      </c>
      <c r="C751" t="s">
        <v>3387</v>
      </c>
      <c r="D751">
        <v>41321</v>
      </c>
      <c r="E751" t="s">
        <v>3388</v>
      </c>
      <c r="F751">
        <v>1500</v>
      </c>
      <c r="G751" t="s">
        <v>1477</v>
      </c>
      <c r="H751">
        <v>1500</v>
      </c>
      <c r="I751" t="s">
        <v>1477</v>
      </c>
      <c r="J751" t="s">
        <v>2365</v>
      </c>
      <c r="K751" t="s">
        <v>2365</v>
      </c>
      <c r="L751">
        <v>1200</v>
      </c>
      <c r="M751" t="s">
        <v>1480</v>
      </c>
      <c r="N751">
        <v>1204</v>
      </c>
      <c r="O751" t="s">
        <v>1487</v>
      </c>
      <c r="P751" t="s">
        <v>2366</v>
      </c>
      <c r="Q751" t="s">
        <v>2364</v>
      </c>
      <c r="R751" t="s">
        <v>2364</v>
      </c>
      <c r="S751" t="s">
        <v>553</v>
      </c>
      <c r="T751" t="s">
        <v>1811</v>
      </c>
      <c r="U751" t="s">
        <v>2365</v>
      </c>
      <c r="V751" t="s">
        <v>2365</v>
      </c>
      <c r="W751" t="s">
        <v>2365</v>
      </c>
      <c r="X751" t="s">
        <v>2365</v>
      </c>
      <c r="Y751" t="s">
        <v>2365</v>
      </c>
      <c r="Z751" t="s">
        <v>2365</v>
      </c>
      <c r="AA751" t="s">
        <v>2365</v>
      </c>
      <c r="AB751" t="s">
        <v>2365</v>
      </c>
      <c r="AC751" s="813" t="s">
        <v>2365</v>
      </c>
      <c r="AD751" s="813" t="s">
        <v>2365</v>
      </c>
      <c r="AE751" s="813" t="s">
        <v>2365</v>
      </c>
      <c r="AF751" t="s">
        <v>2365</v>
      </c>
      <c r="AG751" t="s">
        <v>2365</v>
      </c>
      <c r="AH751" t="s">
        <v>2365</v>
      </c>
      <c r="AI751" t="s">
        <v>2365</v>
      </c>
      <c r="AJ751" t="s">
        <v>2365</v>
      </c>
      <c r="AK751" t="s">
        <v>2365</v>
      </c>
      <c r="AL751" t="s">
        <v>2365</v>
      </c>
      <c r="AM751" t="s">
        <v>2365</v>
      </c>
      <c r="AN751" t="s">
        <v>2365</v>
      </c>
      <c r="AR751" t="s">
        <v>2365</v>
      </c>
      <c r="AS751" t="s">
        <v>2365</v>
      </c>
      <c r="AT751" t="s">
        <v>2365</v>
      </c>
      <c r="AU751" t="s">
        <v>2365</v>
      </c>
      <c r="AV751" t="s">
        <v>2365</v>
      </c>
      <c r="AW751" t="s">
        <v>2365</v>
      </c>
      <c r="AX751" t="s">
        <v>2365</v>
      </c>
      <c r="AY751" t="s">
        <v>2365</v>
      </c>
      <c r="AZ751" t="s">
        <v>2365</v>
      </c>
      <c r="BA751" t="s">
        <v>2365</v>
      </c>
      <c r="BB751" t="s">
        <v>2365</v>
      </c>
      <c r="BC751" t="s">
        <v>2365</v>
      </c>
      <c r="BD751" t="s">
        <v>2366</v>
      </c>
      <c r="BE751" t="s">
        <v>2365</v>
      </c>
      <c r="BF751" t="s">
        <v>2365</v>
      </c>
      <c r="BG751" t="s">
        <v>2365</v>
      </c>
      <c r="BH751" t="s">
        <v>2365</v>
      </c>
      <c r="BI751" t="s">
        <v>2366</v>
      </c>
      <c r="BJ751" t="s">
        <v>2365</v>
      </c>
      <c r="BK751" t="s">
        <v>2365</v>
      </c>
      <c r="BL751" t="s">
        <v>2365</v>
      </c>
      <c r="BM751" t="s">
        <v>2365</v>
      </c>
      <c r="BO751">
        <v>1</v>
      </c>
      <c r="BP751">
        <v>11</v>
      </c>
      <c r="BQ751" t="s">
        <v>2369</v>
      </c>
      <c r="BR751" t="s">
        <v>1487</v>
      </c>
      <c r="BU751">
        <v>-2800000</v>
      </c>
      <c r="BV751">
        <v>0</v>
      </c>
      <c r="BW751">
        <v>-2800000</v>
      </c>
      <c r="BX751">
        <v>0</v>
      </c>
      <c r="BY751">
        <v>-2800000</v>
      </c>
      <c r="BZ751">
        <v>-3000000</v>
      </c>
      <c r="CA751">
        <v>-3200000</v>
      </c>
      <c r="CB751">
        <v>0</v>
      </c>
      <c r="CC751">
        <v>0</v>
      </c>
      <c r="CD751">
        <v>-64700.3</v>
      </c>
      <c r="CE751">
        <v>-215768.19</v>
      </c>
      <c r="CF751">
        <v>-89535.54</v>
      </c>
      <c r="CG751">
        <v>-87189.54</v>
      </c>
      <c r="CH751">
        <v>-1016952.48</v>
      </c>
      <c r="CI751">
        <v>0</v>
      </c>
      <c r="CJ751">
        <v>0</v>
      </c>
      <c r="CK751">
        <v>0</v>
      </c>
      <c r="CL751">
        <v>0</v>
      </c>
      <c r="CM751">
        <v>0</v>
      </c>
      <c r="CR751" t="s">
        <v>2324</v>
      </c>
      <c r="CS751" s="1369" t="str">
        <f>INDEX([8]Sheet1!$H:$H,MATCH(CR:CR,[8]Sheet1!$AU:$AU,0))</f>
        <v>Finance</v>
      </c>
    </row>
    <row r="752" spans="1:97" x14ac:dyDescent="0.2">
      <c r="A752" t="s">
        <v>3389</v>
      </c>
      <c r="B752">
        <v>805</v>
      </c>
      <c r="C752" t="s">
        <v>3389</v>
      </c>
      <c r="D752">
        <v>41322</v>
      </c>
      <c r="E752" t="s">
        <v>3390</v>
      </c>
      <c r="F752">
        <v>1600</v>
      </c>
      <c r="G752" t="s">
        <v>650</v>
      </c>
      <c r="H752">
        <v>1617</v>
      </c>
      <c r="I752" t="s">
        <v>2201</v>
      </c>
      <c r="J752" t="s">
        <v>2365</v>
      </c>
      <c r="K752" t="s">
        <v>2365</v>
      </c>
      <c r="L752">
        <v>1200</v>
      </c>
      <c r="M752" t="s">
        <v>1480</v>
      </c>
      <c r="N752">
        <v>1201</v>
      </c>
      <c r="O752" t="s">
        <v>1486</v>
      </c>
      <c r="P752" t="s">
        <v>2366</v>
      </c>
      <c r="Q752" t="s">
        <v>2364</v>
      </c>
      <c r="R752" t="s">
        <v>2364</v>
      </c>
      <c r="S752" t="s">
        <v>553</v>
      </c>
      <c r="T752" t="s">
        <v>1811</v>
      </c>
      <c r="U752" t="s">
        <v>2365</v>
      </c>
      <c r="V752" t="s">
        <v>2365</v>
      </c>
      <c r="W752" t="s">
        <v>2365</v>
      </c>
      <c r="X752" t="s">
        <v>2365</v>
      </c>
      <c r="Y752" t="s">
        <v>2365</v>
      </c>
      <c r="Z752" t="s">
        <v>2365</v>
      </c>
      <c r="AA752" t="s">
        <v>2365</v>
      </c>
      <c r="AB752" t="s">
        <v>2365</v>
      </c>
      <c r="AC752" s="813" t="s">
        <v>2365</v>
      </c>
      <c r="AD752" s="813" t="s">
        <v>2365</v>
      </c>
      <c r="AE752" s="813" t="s">
        <v>2365</v>
      </c>
      <c r="AF752" t="s">
        <v>2365</v>
      </c>
      <c r="AG752" t="s">
        <v>2365</v>
      </c>
      <c r="AH752" t="s">
        <v>2365</v>
      </c>
      <c r="AI752" t="s">
        <v>2365</v>
      </c>
      <c r="AJ752" t="s">
        <v>2365</v>
      </c>
      <c r="AK752" t="s">
        <v>2365</v>
      </c>
      <c r="AL752" t="s">
        <v>2365</v>
      </c>
      <c r="AM752" t="s">
        <v>2365</v>
      </c>
      <c r="AN752" t="s">
        <v>2365</v>
      </c>
      <c r="AR752" t="s">
        <v>2365</v>
      </c>
      <c r="AS752" t="s">
        <v>2365</v>
      </c>
      <c r="AT752" t="s">
        <v>2365</v>
      </c>
      <c r="AU752" t="s">
        <v>2365</v>
      </c>
      <c r="AV752" t="s">
        <v>2365</v>
      </c>
      <c r="AW752" t="s">
        <v>2365</v>
      </c>
      <c r="AX752" t="s">
        <v>2365</v>
      </c>
      <c r="AY752" t="s">
        <v>2365</v>
      </c>
      <c r="AZ752" t="s">
        <v>2365</v>
      </c>
      <c r="BA752" t="s">
        <v>2365</v>
      </c>
      <c r="BB752" t="s">
        <v>2365</v>
      </c>
      <c r="BC752" t="s">
        <v>2365</v>
      </c>
      <c r="BD752" t="s">
        <v>2366</v>
      </c>
      <c r="BE752" t="s">
        <v>2365</v>
      </c>
      <c r="BF752" t="s">
        <v>2365</v>
      </c>
      <c r="BG752" t="s">
        <v>2365</v>
      </c>
      <c r="BH752" t="s">
        <v>2365</v>
      </c>
      <c r="BI752" t="s">
        <v>2366</v>
      </c>
      <c r="BJ752" t="s">
        <v>2365</v>
      </c>
      <c r="BK752" t="s">
        <v>2365</v>
      </c>
      <c r="BL752" t="s">
        <v>2365</v>
      </c>
      <c r="BM752" t="s">
        <v>2365</v>
      </c>
      <c r="BO752">
        <v>1</v>
      </c>
      <c r="BP752">
        <v>14</v>
      </c>
      <c r="BQ752" t="s">
        <v>2369</v>
      </c>
      <c r="BR752" t="s">
        <v>1486</v>
      </c>
      <c r="BU752">
        <v>-62000</v>
      </c>
      <c r="BV752">
        <v>0</v>
      </c>
      <c r="BW752">
        <v>-62000</v>
      </c>
      <c r="BX752">
        <v>0</v>
      </c>
      <c r="BY752">
        <v>-62000</v>
      </c>
      <c r="BZ752">
        <v>-62000</v>
      </c>
      <c r="CA752">
        <v>-62000</v>
      </c>
      <c r="CB752">
        <v>0</v>
      </c>
      <c r="CC752">
        <v>0</v>
      </c>
      <c r="CD752">
        <v>0</v>
      </c>
      <c r="CE752">
        <v>0</v>
      </c>
      <c r="CF752">
        <v>0</v>
      </c>
      <c r="CG752">
        <v>0</v>
      </c>
      <c r="CH752">
        <v>0</v>
      </c>
      <c r="CI752">
        <v>-57824.84</v>
      </c>
      <c r="CJ752">
        <v>0</v>
      </c>
      <c r="CK752">
        <v>0</v>
      </c>
      <c r="CL752">
        <v>0</v>
      </c>
      <c r="CM752">
        <v>0</v>
      </c>
      <c r="CR752" t="s">
        <v>2324</v>
      </c>
      <c r="CS752" s="1369" t="str">
        <f>INDEX([8]Sheet1!$H:$H,MATCH(CR:CR,[8]Sheet1!$AU:$AU,0))</f>
        <v>Finance</v>
      </c>
    </row>
    <row r="753" spans="1:97" x14ac:dyDescent="0.2">
      <c r="A753" t="s">
        <v>3391</v>
      </c>
      <c r="B753">
        <v>806</v>
      </c>
      <c r="C753" t="s">
        <v>3391</v>
      </c>
      <c r="D753">
        <v>41323</v>
      </c>
      <c r="E753" t="s">
        <v>3392</v>
      </c>
      <c r="F753">
        <v>1600</v>
      </c>
      <c r="G753" t="s">
        <v>650</v>
      </c>
      <c r="H753">
        <v>1610</v>
      </c>
      <c r="I753" t="s">
        <v>2196</v>
      </c>
      <c r="J753" t="s">
        <v>2365</v>
      </c>
      <c r="K753" t="s">
        <v>2365</v>
      </c>
      <c r="L753">
        <v>1200</v>
      </c>
      <c r="M753" t="s">
        <v>1480</v>
      </c>
      <c r="N753">
        <v>1204</v>
      </c>
      <c r="O753" t="s">
        <v>1487</v>
      </c>
      <c r="P753" t="s">
        <v>2366</v>
      </c>
      <c r="Q753" t="s">
        <v>2364</v>
      </c>
      <c r="R753" t="s">
        <v>2364</v>
      </c>
      <c r="S753" t="s">
        <v>553</v>
      </c>
      <c r="T753" t="s">
        <v>1811</v>
      </c>
      <c r="U753" t="s">
        <v>2365</v>
      </c>
      <c r="V753" t="s">
        <v>2365</v>
      </c>
      <c r="W753" t="s">
        <v>2365</v>
      </c>
      <c r="X753" t="s">
        <v>2365</v>
      </c>
      <c r="Y753" t="s">
        <v>2365</v>
      </c>
      <c r="Z753" t="s">
        <v>2365</v>
      </c>
      <c r="AA753" t="s">
        <v>2365</v>
      </c>
      <c r="AB753" t="s">
        <v>2365</v>
      </c>
      <c r="AC753" s="813" t="s">
        <v>2365</v>
      </c>
      <c r="AD753" s="813" t="s">
        <v>2365</v>
      </c>
      <c r="AE753" s="813" t="s">
        <v>2365</v>
      </c>
      <c r="AF753" t="s">
        <v>2365</v>
      </c>
      <c r="AG753" t="s">
        <v>2365</v>
      </c>
      <c r="AH753" t="s">
        <v>2365</v>
      </c>
      <c r="AI753" t="s">
        <v>2365</v>
      </c>
      <c r="AJ753" t="s">
        <v>2365</v>
      </c>
      <c r="AK753" t="s">
        <v>2365</v>
      </c>
      <c r="AL753" t="s">
        <v>2365</v>
      </c>
      <c r="AM753" t="s">
        <v>2365</v>
      </c>
      <c r="AN753" t="s">
        <v>2365</v>
      </c>
      <c r="AR753" t="s">
        <v>2365</v>
      </c>
      <c r="AS753" t="s">
        <v>2365</v>
      </c>
      <c r="AT753" t="s">
        <v>2365</v>
      </c>
      <c r="AU753" t="s">
        <v>2365</v>
      </c>
      <c r="AV753" t="s">
        <v>2365</v>
      </c>
      <c r="AW753" t="s">
        <v>2365</v>
      </c>
      <c r="AX753" t="s">
        <v>2365</v>
      </c>
      <c r="AY753" t="s">
        <v>2365</v>
      </c>
      <c r="AZ753" t="s">
        <v>2365</v>
      </c>
      <c r="BA753" t="s">
        <v>2365</v>
      </c>
      <c r="BB753" t="s">
        <v>2365</v>
      </c>
      <c r="BC753" t="s">
        <v>2365</v>
      </c>
      <c r="BD753" t="s">
        <v>2366</v>
      </c>
      <c r="BE753" t="s">
        <v>2365</v>
      </c>
      <c r="BF753" t="s">
        <v>2365</v>
      </c>
      <c r="BG753" t="s">
        <v>2365</v>
      </c>
      <c r="BH753" t="s">
        <v>2365</v>
      </c>
      <c r="BI753" t="s">
        <v>2366</v>
      </c>
      <c r="BJ753" t="s">
        <v>2365</v>
      </c>
      <c r="BK753" t="s">
        <v>2365</v>
      </c>
      <c r="BL753" t="s">
        <v>2365</v>
      </c>
      <c r="BM753" t="s">
        <v>2365</v>
      </c>
      <c r="BO753">
        <v>1</v>
      </c>
      <c r="BP753">
        <v>11</v>
      </c>
      <c r="BQ753" t="s">
        <v>2369</v>
      </c>
      <c r="BR753" t="s">
        <v>1487</v>
      </c>
      <c r="BU753">
        <v>0</v>
      </c>
      <c r="BV753">
        <v>0</v>
      </c>
      <c r="BW753">
        <v>0</v>
      </c>
      <c r="BX753">
        <v>0</v>
      </c>
      <c r="BY753">
        <v>0</v>
      </c>
      <c r="BZ753">
        <v>0</v>
      </c>
      <c r="CA753">
        <v>0</v>
      </c>
      <c r="CB753">
        <v>0</v>
      </c>
      <c r="CC753">
        <v>0</v>
      </c>
      <c r="CD753">
        <v>0</v>
      </c>
      <c r="CE753">
        <v>0</v>
      </c>
      <c r="CF753">
        <v>0</v>
      </c>
      <c r="CG753">
        <v>0</v>
      </c>
      <c r="CH753">
        <v>0</v>
      </c>
      <c r="CI753">
        <v>0</v>
      </c>
      <c r="CJ753">
        <v>0</v>
      </c>
      <c r="CK753">
        <v>0</v>
      </c>
      <c r="CL753">
        <v>0</v>
      </c>
      <c r="CM753">
        <v>0</v>
      </c>
      <c r="CR753" t="s">
        <v>2324</v>
      </c>
      <c r="CS753" s="1369" t="str">
        <f>INDEX([8]Sheet1!$H:$H,MATCH(CR:CR,[8]Sheet1!$AU:$AU,0))</f>
        <v>Finance</v>
      </c>
    </row>
    <row r="754" spans="1:97" x14ac:dyDescent="0.2">
      <c r="A754" t="s">
        <v>3393</v>
      </c>
      <c r="B754">
        <v>807</v>
      </c>
      <c r="C754" t="s">
        <v>3393</v>
      </c>
      <c r="D754">
        <v>41324</v>
      </c>
      <c r="E754" t="s">
        <v>3394</v>
      </c>
      <c r="F754">
        <v>800</v>
      </c>
      <c r="G754" t="s">
        <v>644</v>
      </c>
      <c r="H754">
        <v>800</v>
      </c>
      <c r="I754" t="s">
        <v>644</v>
      </c>
      <c r="J754" t="s">
        <v>2365</v>
      </c>
      <c r="K754" t="s">
        <v>2365</v>
      </c>
      <c r="L754">
        <v>1200</v>
      </c>
      <c r="M754" t="s">
        <v>1480</v>
      </c>
      <c r="N754">
        <v>1204</v>
      </c>
      <c r="O754" t="s">
        <v>1487</v>
      </c>
      <c r="P754" t="s">
        <v>2366</v>
      </c>
      <c r="Q754" t="s">
        <v>2364</v>
      </c>
      <c r="R754" t="s">
        <v>2364</v>
      </c>
      <c r="S754" t="s">
        <v>553</v>
      </c>
      <c r="T754" t="s">
        <v>1811</v>
      </c>
      <c r="U754" t="s">
        <v>2365</v>
      </c>
      <c r="V754" t="s">
        <v>2365</v>
      </c>
      <c r="W754" t="s">
        <v>2365</v>
      </c>
      <c r="X754" t="s">
        <v>2365</v>
      </c>
      <c r="Y754" t="s">
        <v>2365</v>
      </c>
      <c r="Z754" t="s">
        <v>2365</v>
      </c>
      <c r="AA754" t="s">
        <v>2365</v>
      </c>
      <c r="AB754" t="s">
        <v>2365</v>
      </c>
      <c r="AC754" s="813" t="s">
        <v>2365</v>
      </c>
      <c r="AD754" s="813" t="s">
        <v>2365</v>
      </c>
      <c r="AE754" s="813" t="s">
        <v>2365</v>
      </c>
      <c r="AF754" t="s">
        <v>2365</v>
      </c>
      <c r="AG754" t="s">
        <v>2365</v>
      </c>
      <c r="AH754" t="s">
        <v>2365</v>
      </c>
      <c r="AI754" t="s">
        <v>2365</v>
      </c>
      <c r="AJ754" t="s">
        <v>2365</v>
      </c>
      <c r="AK754" t="s">
        <v>2365</v>
      </c>
      <c r="AL754" t="s">
        <v>2365</v>
      </c>
      <c r="AM754" t="s">
        <v>2365</v>
      </c>
      <c r="AN754" t="s">
        <v>2365</v>
      </c>
      <c r="AR754" t="s">
        <v>2365</v>
      </c>
      <c r="AS754" t="s">
        <v>2365</v>
      </c>
      <c r="AT754" t="s">
        <v>2365</v>
      </c>
      <c r="AU754" t="s">
        <v>2365</v>
      </c>
      <c r="AV754" t="s">
        <v>2365</v>
      </c>
      <c r="AW754" t="s">
        <v>2365</v>
      </c>
      <c r="AX754" t="s">
        <v>2365</v>
      </c>
      <c r="AY754" t="s">
        <v>2365</v>
      </c>
      <c r="AZ754" t="s">
        <v>2365</v>
      </c>
      <c r="BA754" t="s">
        <v>2365</v>
      </c>
      <c r="BB754" t="s">
        <v>2365</v>
      </c>
      <c r="BC754" t="s">
        <v>2365</v>
      </c>
      <c r="BD754" t="s">
        <v>2366</v>
      </c>
      <c r="BE754" t="s">
        <v>2365</v>
      </c>
      <c r="BF754" t="s">
        <v>2365</v>
      </c>
      <c r="BG754" t="s">
        <v>2365</v>
      </c>
      <c r="BH754" t="s">
        <v>2365</v>
      </c>
      <c r="BI754" t="s">
        <v>2366</v>
      </c>
      <c r="BJ754" t="s">
        <v>2365</v>
      </c>
      <c r="BK754" t="s">
        <v>2365</v>
      </c>
      <c r="BL754" t="s">
        <v>2365</v>
      </c>
      <c r="BM754" t="s">
        <v>2365</v>
      </c>
      <c r="BO754">
        <v>1</v>
      </c>
      <c r="BP754">
        <v>11</v>
      </c>
      <c r="BQ754" t="s">
        <v>2369</v>
      </c>
      <c r="BR754" t="s">
        <v>1487</v>
      </c>
      <c r="BU754">
        <v>-345181</v>
      </c>
      <c r="BV754">
        <v>0</v>
      </c>
      <c r="BW754">
        <v>-345181</v>
      </c>
      <c r="BX754">
        <v>0</v>
      </c>
      <c r="BY754">
        <v>-345181</v>
      </c>
      <c r="BZ754">
        <v>-365892</v>
      </c>
      <c r="CA754">
        <v>-387846</v>
      </c>
      <c r="CB754">
        <v>0</v>
      </c>
      <c r="CC754">
        <v>0</v>
      </c>
      <c r="CD754">
        <v>0</v>
      </c>
      <c r="CE754">
        <v>0</v>
      </c>
      <c r="CF754">
        <v>0</v>
      </c>
      <c r="CG754">
        <v>0</v>
      </c>
      <c r="CH754">
        <v>0</v>
      </c>
      <c r="CI754">
        <v>0</v>
      </c>
      <c r="CJ754">
        <v>0</v>
      </c>
      <c r="CK754">
        <v>0</v>
      </c>
      <c r="CL754">
        <v>0</v>
      </c>
      <c r="CM754">
        <v>0</v>
      </c>
      <c r="CR754" t="s">
        <v>2324</v>
      </c>
      <c r="CS754" s="1369" t="str">
        <f>INDEX([8]Sheet1!$H:$H,MATCH(CR:CR,[8]Sheet1!$AU:$AU,0))</f>
        <v>Finance</v>
      </c>
    </row>
    <row r="755" spans="1:97" x14ac:dyDescent="0.2">
      <c r="A755" t="s">
        <v>3395</v>
      </c>
      <c r="B755">
        <v>808</v>
      </c>
      <c r="C755" t="s">
        <v>3395</v>
      </c>
      <c r="D755">
        <v>41460</v>
      </c>
      <c r="E755" t="s">
        <v>3396</v>
      </c>
      <c r="F755">
        <v>1500</v>
      </c>
      <c r="G755" t="s">
        <v>1477</v>
      </c>
      <c r="H755">
        <v>1500</v>
      </c>
      <c r="I755" t="s">
        <v>1477</v>
      </c>
      <c r="J755" t="s">
        <v>2365</v>
      </c>
      <c r="K755" t="s">
        <v>2365</v>
      </c>
      <c r="L755">
        <v>1200</v>
      </c>
      <c r="M755" t="s">
        <v>1480</v>
      </c>
      <c r="N755">
        <v>1204</v>
      </c>
      <c r="O755" t="s">
        <v>1487</v>
      </c>
      <c r="P755" t="s">
        <v>2366</v>
      </c>
      <c r="Q755" t="s">
        <v>2364</v>
      </c>
      <c r="R755" t="s">
        <v>2364</v>
      </c>
      <c r="S755" t="s">
        <v>553</v>
      </c>
      <c r="T755" t="s">
        <v>1811</v>
      </c>
      <c r="U755" t="s">
        <v>2365</v>
      </c>
      <c r="V755" t="s">
        <v>2365</v>
      </c>
      <c r="W755" t="s">
        <v>2365</v>
      </c>
      <c r="X755" t="s">
        <v>2365</v>
      </c>
      <c r="Y755" t="s">
        <v>2365</v>
      </c>
      <c r="Z755" t="s">
        <v>2365</v>
      </c>
      <c r="AA755" t="s">
        <v>2365</v>
      </c>
      <c r="AB755" t="s">
        <v>2365</v>
      </c>
      <c r="AC755" s="813" t="s">
        <v>2365</v>
      </c>
      <c r="AD755" s="813" t="s">
        <v>2365</v>
      </c>
      <c r="AE755" s="813" t="s">
        <v>2365</v>
      </c>
      <c r="AF755" t="s">
        <v>2365</v>
      </c>
      <c r="AG755" t="s">
        <v>2365</v>
      </c>
      <c r="AH755" t="s">
        <v>2365</v>
      </c>
      <c r="AI755" t="s">
        <v>2365</v>
      </c>
      <c r="AJ755" t="s">
        <v>2365</v>
      </c>
      <c r="AK755" t="s">
        <v>2365</v>
      </c>
      <c r="AL755" t="s">
        <v>2365</v>
      </c>
      <c r="AM755" t="s">
        <v>2365</v>
      </c>
      <c r="AN755" t="s">
        <v>2365</v>
      </c>
      <c r="AR755" t="s">
        <v>2365</v>
      </c>
      <c r="AS755" t="s">
        <v>2365</v>
      </c>
      <c r="AT755" t="s">
        <v>2365</v>
      </c>
      <c r="AU755" t="s">
        <v>2365</v>
      </c>
      <c r="AV755" t="s">
        <v>2365</v>
      </c>
      <c r="AW755" t="s">
        <v>2365</v>
      </c>
      <c r="AX755" t="s">
        <v>2365</v>
      </c>
      <c r="AY755" t="s">
        <v>2365</v>
      </c>
      <c r="AZ755" t="s">
        <v>2365</v>
      </c>
      <c r="BA755" t="s">
        <v>2365</v>
      </c>
      <c r="BB755" t="s">
        <v>2365</v>
      </c>
      <c r="BC755" t="s">
        <v>2365</v>
      </c>
      <c r="BD755" t="s">
        <v>2366</v>
      </c>
      <c r="BE755" t="s">
        <v>2365</v>
      </c>
      <c r="BF755" t="s">
        <v>2365</v>
      </c>
      <c r="BG755" t="s">
        <v>2365</v>
      </c>
      <c r="BH755" t="s">
        <v>2365</v>
      </c>
      <c r="BI755" t="s">
        <v>2366</v>
      </c>
      <c r="BJ755" t="s">
        <v>2365</v>
      </c>
      <c r="BK755" t="s">
        <v>2365</v>
      </c>
      <c r="BL755" t="s">
        <v>2365</v>
      </c>
      <c r="BM755" t="s">
        <v>2365</v>
      </c>
      <c r="BO755">
        <v>1</v>
      </c>
      <c r="BP755">
        <v>11</v>
      </c>
      <c r="BQ755" t="s">
        <v>2369</v>
      </c>
      <c r="BR755" t="s">
        <v>1487</v>
      </c>
      <c r="BU755">
        <v>0</v>
      </c>
      <c r="BV755">
        <v>0</v>
      </c>
      <c r="BW755">
        <v>0</v>
      </c>
      <c r="BX755">
        <v>0</v>
      </c>
      <c r="BY755">
        <v>0</v>
      </c>
      <c r="BZ755">
        <v>0</v>
      </c>
      <c r="CA755">
        <v>0</v>
      </c>
      <c r="CB755">
        <v>0</v>
      </c>
      <c r="CC755">
        <v>0</v>
      </c>
      <c r="CD755">
        <v>0</v>
      </c>
      <c r="CE755">
        <v>0</v>
      </c>
      <c r="CF755">
        <v>0</v>
      </c>
      <c r="CG755">
        <v>0</v>
      </c>
      <c r="CH755">
        <v>0</v>
      </c>
      <c r="CI755">
        <v>0</v>
      </c>
      <c r="CJ755">
        <v>0</v>
      </c>
      <c r="CK755">
        <v>0</v>
      </c>
      <c r="CL755">
        <v>0</v>
      </c>
      <c r="CM755">
        <v>0</v>
      </c>
      <c r="CR755" t="s">
        <v>2324</v>
      </c>
      <c r="CS755" s="1369" t="str">
        <f>INDEX([8]Sheet1!$H:$H,MATCH(CR:CR,[8]Sheet1!$AU:$AU,0))</f>
        <v>Finance</v>
      </c>
    </row>
    <row r="756" spans="1:97" x14ac:dyDescent="0.2">
      <c r="A756" t="s">
        <v>3397</v>
      </c>
      <c r="B756">
        <v>809</v>
      </c>
      <c r="C756" t="s">
        <v>3397</v>
      </c>
      <c r="D756">
        <v>41328</v>
      </c>
      <c r="E756" t="s">
        <v>3398</v>
      </c>
      <c r="F756">
        <v>1500</v>
      </c>
      <c r="G756" t="s">
        <v>1477</v>
      </c>
      <c r="H756">
        <v>1500</v>
      </c>
      <c r="I756" t="s">
        <v>1477</v>
      </c>
      <c r="J756" t="s">
        <v>2365</v>
      </c>
      <c r="K756" t="s">
        <v>2365</v>
      </c>
      <c r="L756">
        <v>2100</v>
      </c>
      <c r="M756" t="s">
        <v>618</v>
      </c>
      <c r="N756">
        <v>2114</v>
      </c>
      <c r="O756" t="s">
        <v>999</v>
      </c>
      <c r="P756" t="s">
        <v>2366</v>
      </c>
      <c r="Q756" t="s">
        <v>2364</v>
      </c>
      <c r="R756" t="s">
        <v>2364</v>
      </c>
      <c r="S756" t="s">
        <v>553</v>
      </c>
      <c r="T756" t="s">
        <v>1811</v>
      </c>
      <c r="U756" t="s">
        <v>2365</v>
      </c>
      <c r="V756" t="s">
        <v>2365</v>
      </c>
      <c r="W756" t="s">
        <v>2365</v>
      </c>
      <c r="X756" t="s">
        <v>2365</v>
      </c>
      <c r="Y756" t="s">
        <v>2365</v>
      </c>
      <c r="Z756" t="s">
        <v>2365</v>
      </c>
      <c r="AA756" t="s">
        <v>2365</v>
      </c>
      <c r="AB756" t="s">
        <v>2365</v>
      </c>
      <c r="AC756" s="813" t="s">
        <v>2365</v>
      </c>
      <c r="AD756" s="813" t="s">
        <v>2365</v>
      </c>
      <c r="AE756" s="813" t="s">
        <v>2365</v>
      </c>
      <c r="AF756" t="s">
        <v>2365</v>
      </c>
      <c r="AG756" t="s">
        <v>2365</v>
      </c>
      <c r="AH756" t="s">
        <v>2365</v>
      </c>
      <c r="AI756" t="s">
        <v>2365</v>
      </c>
      <c r="AJ756" t="s">
        <v>2365</v>
      </c>
      <c r="AK756" t="s">
        <v>2365</v>
      </c>
      <c r="AL756" t="s">
        <v>2365</v>
      </c>
      <c r="AM756" t="s">
        <v>2365</v>
      </c>
      <c r="AN756" t="s">
        <v>2365</v>
      </c>
      <c r="AR756" t="s">
        <v>2365</v>
      </c>
      <c r="AS756" t="s">
        <v>2365</v>
      </c>
      <c r="AT756" t="s">
        <v>2365</v>
      </c>
      <c r="AU756" t="s">
        <v>2365</v>
      </c>
      <c r="AV756" t="s">
        <v>2365</v>
      </c>
      <c r="AW756" t="s">
        <v>2365</v>
      </c>
      <c r="AX756" t="s">
        <v>2365</v>
      </c>
      <c r="AY756" t="s">
        <v>2365</v>
      </c>
      <c r="AZ756" t="s">
        <v>2365</v>
      </c>
      <c r="BA756" t="s">
        <v>2365</v>
      </c>
      <c r="BB756" t="s">
        <v>2365</v>
      </c>
      <c r="BC756" t="s">
        <v>2365</v>
      </c>
      <c r="BD756" t="s">
        <v>2366</v>
      </c>
      <c r="BE756" t="s">
        <v>2365</v>
      </c>
      <c r="BF756" t="s">
        <v>2365</v>
      </c>
      <c r="BG756" t="s">
        <v>2365</v>
      </c>
      <c r="BH756" t="s">
        <v>2365</v>
      </c>
      <c r="BI756" t="s">
        <v>2366</v>
      </c>
      <c r="BJ756" t="s">
        <v>2365</v>
      </c>
      <c r="BK756" t="s">
        <v>2365</v>
      </c>
      <c r="BL756" t="s">
        <v>2365</v>
      </c>
      <c r="BM756" t="s">
        <v>2365</v>
      </c>
      <c r="BO756">
        <v>4</v>
      </c>
      <c r="BP756">
        <v>42</v>
      </c>
      <c r="BQ756" t="s">
        <v>2433</v>
      </c>
      <c r="BR756" t="s">
        <v>999</v>
      </c>
      <c r="BU756">
        <v>-1817000</v>
      </c>
      <c r="BV756">
        <v>0</v>
      </c>
      <c r="BW756">
        <v>-1817000</v>
      </c>
      <c r="BX756">
        <v>0</v>
      </c>
      <c r="BY756">
        <v>-1817000</v>
      </c>
      <c r="BZ756">
        <v>-1817000</v>
      </c>
      <c r="CA756">
        <v>-1817000</v>
      </c>
      <c r="CB756">
        <v>0</v>
      </c>
      <c r="CC756">
        <v>-198822.34</v>
      </c>
      <c r="CD756">
        <v>-190190.07999999999</v>
      </c>
      <c r="CE756">
        <v>-187690.68</v>
      </c>
      <c r="CF756">
        <v>-195493.59</v>
      </c>
      <c r="CG756">
        <v>-339878</v>
      </c>
      <c r="CH756">
        <v>-203247.24</v>
      </c>
      <c r="CI756">
        <v>0</v>
      </c>
      <c r="CJ756">
        <v>0</v>
      </c>
      <c r="CK756">
        <v>0</v>
      </c>
      <c r="CL756">
        <v>0</v>
      </c>
      <c r="CM756">
        <v>0</v>
      </c>
      <c r="CR756" t="s">
        <v>2324</v>
      </c>
      <c r="CS756" s="1369" t="str">
        <f>INDEX([8]Sheet1!$H:$H,MATCH(CR:CR,[8]Sheet1!$AU:$AU,0))</f>
        <v>Finance</v>
      </c>
    </row>
    <row r="757" spans="1:97" x14ac:dyDescent="0.2">
      <c r="A757" t="s">
        <v>3399</v>
      </c>
      <c r="B757">
        <v>810</v>
      </c>
      <c r="C757" t="s">
        <v>3399</v>
      </c>
      <c r="D757">
        <v>41329</v>
      </c>
      <c r="E757" t="s">
        <v>3400</v>
      </c>
      <c r="F757">
        <v>1600</v>
      </c>
      <c r="G757" t="s">
        <v>650</v>
      </c>
      <c r="H757">
        <v>1600</v>
      </c>
      <c r="I757" t="s">
        <v>1799</v>
      </c>
      <c r="J757" t="s">
        <v>2365</v>
      </c>
      <c r="K757" t="s">
        <v>2365</v>
      </c>
      <c r="L757">
        <v>2100</v>
      </c>
      <c r="M757" t="s">
        <v>618</v>
      </c>
      <c r="N757">
        <v>2114</v>
      </c>
      <c r="O757" t="s">
        <v>999</v>
      </c>
      <c r="P757" t="s">
        <v>2366</v>
      </c>
      <c r="Q757" t="s">
        <v>2364</v>
      </c>
      <c r="R757" t="s">
        <v>2364</v>
      </c>
      <c r="S757" t="s">
        <v>553</v>
      </c>
      <c r="T757" t="s">
        <v>1811</v>
      </c>
      <c r="U757" t="s">
        <v>2365</v>
      </c>
      <c r="V757" t="s">
        <v>2365</v>
      </c>
      <c r="W757" t="s">
        <v>2365</v>
      </c>
      <c r="X757" t="s">
        <v>2365</v>
      </c>
      <c r="Y757" t="s">
        <v>2365</v>
      </c>
      <c r="Z757" t="s">
        <v>2365</v>
      </c>
      <c r="AA757" t="s">
        <v>2365</v>
      </c>
      <c r="AB757" t="s">
        <v>2365</v>
      </c>
      <c r="AC757" s="813" t="s">
        <v>2365</v>
      </c>
      <c r="AD757" s="813" t="s">
        <v>2365</v>
      </c>
      <c r="AE757" s="813" t="s">
        <v>2365</v>
      </c>
      <c r="AF757" t="s">
        <v>2365</v>
      </c>
      <c r="AG757" t="s">
        <v>2365</v>
      </c>
      <c r="AH757" t="s">
        <v>2365</v>
      </c>
      <c r="AI757" t="s">
        <v>2365</v>
      </c>
      <c r="AJ757" t="s">
        <v>2365</v>
      </c>
      <c r="AK757" t="s">
        <v>2365</v>
      </c>
      <c r="AL757" t="s">
        <v>2365</v>
      </c>
      <c r="AM757" t="s">
        <v>2365</v>
      </c>
      <c r="AN757" t="s">
        <v>2365</v>
      </c>
      <c r="AR757" t="s">
        <v>2365</v>
      </c>
      <c r="AS757" t="s">
        <v>2365</v>
      </c>
      <c r="AT757" t="s">
        <v>2365</v>
      </c>
      <c r="AU757" t="s">
        <v>2365</v>
      </c>
      <c r="AV757" t="s">
        <v>2365</v>
      </c>
      <c r="AW757" t="s">
        <v>2365</v>
      </c>
      <c r="AX757" t="s">
        <v>2365</v>
      </c>
      <c r="AY757" t="s">
        <v>2365</v>
      </c>
      <c r="AZ757" t="s">
        <v>2365</v>
      </c>
      <c r="BA757" t="s">
        <v>2365</v>
      </c>
      <c r="BB757" t="s">
        <v>2365</v>
      </c>
      <c r="BC757" t="s">
        <v>2365</v>
      </c>
      <c r="BD757" t="s">
        <v>2366</v>
      </c>
      <c r="BE757" t="s">
        <v>2365</v>
      </c>
      <c r="BF757" t="s">
        <v>2365</v>
      </c>
      <c r="BG757" t="s">
        <v>2365</v>
      </c>
      <c r="BH757" t="s">
        <v>2365</v>
      </c>
      <c r="BI757" t="s">
        <v>2366</v>
      </c>
      <c r="BJ757" t="s">
        <v>2365</v>
      </c>
      <c r="BK757" t="s">
        <v>2365</v>
      </c>
      <c r="BL757" t="s">
        <v>2365</v>
      </c>
      <c r="BM757" t="s">
        <v>2365</v>
      </c>
      <c r="BO757">
        <v>4</v>
      </c>
      <c r="BP757">
        <v>42</v>
      </c>
      <c r="BQ757" t="s">
        <v>2433</v>
      </c>
      <c r="BR757" t="s">
        <v>999</v>
      </c>
      <c r="BU757">
        <v>0</v>
      </c>
      <c r="BV757">
        <v>0</v>
      </c>
      <c r="BW757">
        <v>0</v>
      </c>
      <c r="BX757">
        <v>0</v>
      </c>
      <c r="BY757">
        <v>0</v>
      </c>
      <c r="BZ757">
        <v>0</v>
      </c>
      <c r="CA757">
        <v>0</v>
      </c>
      <c r="CB757">
        <v>0</v>
      </c>
      <c r="CC757">
        <v>0</v>
      </c>
      <c r="CD757">
        <v>0</v>
      </c>
      <c r="CE757">
        <v>0</v>
      </c>
      <c r="CF757">
        <v>0</v>
      </c>
      <c r="CG757">
        <v>0</v>
      </c>
      <c r="CH757">
        <v>0</v>
      </c>
      <c r="CI757">
        <v>0</v>
      </c>
      <c r="CJ757">
        <v>0</v>
      </c>
      <c r="CK757">
        <v>0</v>
      </c>
      <c r="CL757">
        <v>0</v>
      </c>
      <c r="CM757">
        <v>0</v>
      </c>
      <c r="CR757" t="s">
        <v>2324</v>
      </c>
      <c r="CS757" s="1369" t="str">
        <f>INDEX([8]Sheet1!$H:$H,MATCH(CR:CR,[8]Sheet1!$AU:$AU,0))</f>
        <v>Finance</v>
      </c>
    </row>
    <row r="758" spans="1:97" x14ac:dyDescent="0.2">
      <c r="A758" t="s">
        <v>3401</v>
      </c>
      <c r="B758">
        <v>811</v>
      </c>
      <c r="C758" t="s">
        <v>3401</v>
      </c>
      <c r="D758">
        <v>41330</v>
      </c>
      <c r="E758" t="s">
        <v>3402</v>
      </c>
      <c r="F758">
        <v>1600</v>
      </c>
      <c r="G758" t="s">
        <v>650</v>
      </c>
      <c r="H758" s="1373">
        <v>1600</v>
      </c>
      <c r="I758" t="s">
        <v>1799</v>
      </c>
      <c r="J758" t="s">
        <v>2365</v>
      </c>
      <c r="K758" t="s">
        <v>2365</v>
      </c>
      <c r="L758" s="1373">
        <v>2100</v>
      </c>
      <c r="M758" t="s">
        <v>618</v>
      </c>
      <c r="N758">
        <v>2114</v>
      </c>
      <c r="O758" t="s">
        <v>999</v>
      </c>
      <c r="P758" t="s">
        <v>2366</v>
      </c>
      <c r="Q758" t="s">
        <v>2364</v>
      </c>
      <c r="R758" t="s">
        <v>2364</v>
      </c>
      <c r="S758" t="s">
        <v>553</v>
      </c>
      <c r="T758" t="s">
        <v>1811</v>
      </c>
      <c r="U758" t="s">
        <v>2365</v>
      </c>
      <c r="V758" t="s">
        <v>2365</v>
      </c>
      <c r="W758" t="s">
        <v>2365</v>
      </c>
      <c r="X758" t="s">
        <v>2365</v>
      </c>
      <c r="Y758" t="s">
        <v>2365</v>
      </c>
      <c r="Z758" t="s">
        <v>2365</v>
      </c>
      <c r="AA758" t="s">
        <v>2365</v>
      </c>
      <c r="AB758" t="s">
        <v>2365</v>
      </c>
      <c r="AC758" s="813" t="s">
        <v>2365</v>
      </c>
      <c r="AD758" s="813" t="s">
        <v>2365</v>
      </c>
      <c r="AE758" s="813" t="s">
        <v>2365</v>
      </c>
      <c r="AF758" t="s">
        <v>2365</v>
      </c>
      <c r="AG758" t="s">
        <v>2365</v>
      </c>
      <c r="AH758" t="s">
        <v>2365</v>
      </c>
      <c r="AI758" t="s">
        <v>2365</v>
      </c>
      <c r="AJ758" t="s">
        <v>2365</v>
      </c>
      <c r="AK758" t="s">
        <v>2365</v>
      </c>
      <c r="AL758" t="s">
        <v>2365</v>
      </c>
      <c r="AM758" t="s">
        <v>2365</v>
      </c>
      <c r="AN758" t="s">
        <v>2365</v>
      </c>
      <c r="AR758" t="s">
        <v>2365</v>
      </c>
      <c r="AS758" t="s">
        <v>2365</v>
      </c>
      <c r="AT758" t="s">
        <v>2365</v>
      </c>
      <c r="AU758" t="s">
        <v>2365</v>
      </c>
      <c r="AV758" t="s">
        <v>2365</v>
      </c>
      <c r="AW758" t="s">
        <v>2365</v>
      </c>
      <c r="AX758" t="s">
        <v>2365</v>
      </c>
      <c r="AY758" t="s">
        <v>2365</v>
      </c>
      <c r="AZ758" t="s">
        <v>2365</v>
      </c>
      <c r="BA758" t="s">
        <v>2365</v>
      </c>
      <c r="BB758" t="s">
        <v>2365</v>
      </c>
      <c r="BC758" t="s">
        <v>2365</v>
      </c>
      <c r="BD758" t="s">
        <v>2366</v>
      </c>
      <c r="BE758" t="s">
        <v>2365</v>
      </c>
      <c r="BF758" t="s">
        <v>2365</v>
      </c>
      <c r="BG758" t="s">
        <v>2365</v>
      </c>
      <c r="BH758" t="s">
        <v>2365</v>
      </c>
      <c r="BI758" t="s">
        <v>2366</v>
      </c>
      <c r="BJ758" t="s">
        <v>2365</v>
      </c>
      <c r="BK758" t="s">
        <v>2365</v>
      </c>
      <c r="BL758" t="s">
        <v>2365</v>
      </c>
      <c r="BM758" t="s">
        <v>2365</v>
      </c>
      <c r="BO758">
        <v>4</v>
      </c>
      <c r="BP758">
        <v>42</v>
      </c>
      <c r="BQ758" t="s">
        <v>2433</v>
      </c>
      <c r="BR758" t="s">
        <v>999</v>
      </c>
      <c r="BU758" s="1371">
        <v>-18394</v>
      </c>
      <c r="BV758" s="1371">
        <v>0</v>
      </c>
      <c r="BW758" s="1371">
        <v>-18394</v>
      </c>
      <c r="BX758" s="1371">
        <v>0</v>
      </c>
      <c r="BY758" s="1371">
        <v>-18394</v>
      </c>
      <c r="BZ758">
        <v>-19498</v>
      </c>
      <c r="CA758">
        <v>-20668</v>
      </c>
      <c r="CB758">
        <v>0</v>
      </c>
      <c r="CC758">
        <v>0</v>
      </c>
      <c r="CD758">
        <v>-771.30000000000007</v>
      </c>
      <c r="CE758">
        <v>-2133.91</v>
      </c>
      <c r="CF758">
        <v>-2318.2600000000002</v>
      </c>
      <c r="CG758">
        <v>-1259.1199999999999</v>
      </c>
      <c r="CH758">
        <v>-227.83</v>
      </c>
      <c r="CI758">
        <v>-1822.61</v>
      </c>
      <c r="CJ758">
        <v>-918.26</v>
      </c>
      <c r="CK758">
        <v>0</v>
      </c>
      <c r="CL758">
        <v>0</v>
      </c>
      <c r="CM758">
        <v>0</v>
      </c>
      <c r="CR758" t="s">
        <v>2324</v>
      </c>
      <c r="CS758" s="1369" t="str">
        <f>INDEX([8]Sheet1!$H:$H,MATCH(CR:CR,[8]Sheet1!$AU:$AU,0))</f>
        <v>Finance</v>
      </c>
    </row>
    <row r="759" spans="1:97" x14ac:dyDescent="0.2">
      <c r="A759" t="s">
        <v>3403</v>
      </c>
      <c r="B759">
        <v>812</v>
      </c>
      <c r="C759" t="s">
        <v>3403</v>
      </c>
      <c r="D759">
        <v>41462</v>
      </c>
      <c r="E759" t="s">
        <v>3404</v>
      </c>
      <c r="F759">
        <v>1200</v>
      </c>
      <c r="G759" t="s">
        <v>1478</v>
      </c>
      <c r="H759" s="1373">
        <v>1200</v>
      </c>
      <c r="I759" t="s">
        <v>1478</v>
      </c>
      <c r="J759" t="s">
        <v>2365</v>
      </c>
      <c r="K759" t="s">
        <v>2365</v>
      </c>
      <c r="L759" s="1373">
        <v>2100</v>
      </c>
      <c r="M759" t="s">
        <v>618</v>
      </c>
      <c r="N759">
        <v>2114</v>
      </c>
      <c r="O759" t="s">
        <v>999</v>
      </c>
      <c r="P759" t="s">
        <v>2366</v>
      </c>
      <c r="Q759" t="s">
        <v>2364</v>
      </c>
      <c r="R759" t="s">
        <v>2364</v>
      </c>
      <c r="S759" t="s">
        <v>553</v>
      </c>
      <c r="T759" t="s">
        <v>1811</v>
      </c>
      <c r="U759" t="s">
        <v>2365</v>
      </c>
      <c r="V759" t="s">
        <v>2365</v>
      </c>
      <c r="W759" t="s">
        <v>2365</v>
      </c>
      <c r="X759" t="s">
        <v>2365</v>
      </c>
      <c r="Y759" t="s">
        <v>2365</v>
      </c>
      <c r="Z759" t="s">
        <v>2365</v>
      </c>
      <c r="AA759" t="s">
        <v>2365</v>
      </c>
      <c r="AB759" t="s">
        <v>2365</v>
      </c>
      <c r="AC759" s="813" t="s">
        <v>2365</v>
      </c>
      <c r="AD759" s="813" t="s">
        <v>2365</v>
      </c>
      <c r="AE759" s="813" t="s">
        <v>2365</v>
      </c>
      <c r="AF759" t="s">
        <v>2365</v>
      </c>
      <c r="AG759" t="s">
        <v>2365</v>
      </c>
      <c r="AH759" t="s">
        <v>2365</v>
      </c>
      <c r="AI759" t="s">
        <v>2365</v>
      </c>
      <c r="AJ759" t="s">
        <v>2365</v>
      </c>
      <c r="AK759" t="s">
        <v>2365</v>
      </c>
      <c r="AL759" t="s">
        <v>2365</v>
      </c>
      <c r="AM759" t="s">
        <v>2365</v>
      </c>
      <c r="AN759" t="s">
        <v>2365</v>
      </c>
      <c r="AR759" t="s">
        <v>2365</v>
      </c>
      <c r="AS759" t="s">
        <v>2365</v>
      </c>
      <c r="AT759" t="s">
        <v>2365</v>
      </c>
      <c r="AU759" t="s">
        <v>2365</v>
      </c>
      <c r="AV759" t="s">
        <v>2365</v>
      </c>
      <c r="AW759" t="s">
        <v>2365</v>
      </c>
      <c r="AX759" t="s">
        <v>2365</v>
      </c>
      <c r="AY759" t="s">
        <v>2365</v>
      </c>
      <c r="AZ759" t="s">
        <v>2365</v>
      </c>
      <c r="BA759" t="s">
        <v>2365</v>
      </c>
      <c r="BB759" t="s">
        <v>2365</v>
      </c>
      <c r="BC759" t="s">
        <v>2365</v>
      </c>
      <c r="BD759" t="s">
        <v>2366</v>
      </c>
      <c r="BE759" t="s">
        <v>2365</v>
      </c>
      <c r="BF759" t="s">
        <v>2365</v>
      </c>
      <c r="BG759" t="s">
        <v>2365</v>
      </c>
      <c r="BH759" t="s">
        <v>2365</v>
      </c>
      <c r="BI759" t="s">
        <v>2366</v>
      </c>
      <c r="BJ759" t="s">
        <v>2365</v>
      </c>
      <c r="BK759" t="s">
        <v>2365</v>
      </c>
      <c r="BL759" t="s">
        <v>2365</v>
      </c>
      <c r="BM759" t="s">
        <v>2365</v>
      </c>
      <c r="BO759">
        <v>4</v>
      </c>
      <c r="BP759">
        <v>42</v>
      </c>
      <c r="BQ759" t="s">
        <v>2433</v>
      </c>
      <c r="BR759" t="s">
        <v>999</v>
      </c>
      <c r="BU759" s="1371">
        <v>-4200</v>
      </c>
      <c r="BV759" s="1371">
        <v>0</v>
      </c>
      <c r="BW759" s="1371">
        <v>-4200</v>
      </c>
      <c r="BX759" s="1371">
        <v>0</v>
      </c>
      <c r="BY759" s="1371">
        <v>-4200</v>
      </c>
      <c r="BZ759">
        <v>-4452</v>
      </c>
      <c r="CA759">
        <v>-4719</v>
      </c>
      <c r="CB759">
        <v>0</v>
      </c>
      <c r="CC759">
        <v>0</v>
      </c>
      <c r="CD759">
        <v>0</v>
      </c>
      <c r="CE759">
        <v>-1.0000000012299779</v>
      </c>
      <c r="CF759">
        <v>-2</v>
      </c>
      <c r="CG759">
        <v>0</v>
      </c>
      <c r="CH759">
        <v>-278.26</v>
      </c>
      <c r="CI759">
        <v>-296.52</v>
      </c>
      <c r="CJ759">
        <v>0</v>
      </c>
      <c r="CK759">
        <v>0</v>
      </c>
      <c r="CL759">
        <v>0</v>
      </c>
      <c r="CM759">
        <v>0</v>
      </c>
      <c r="CR759" t="s">
        <v>2324</v>
      </c>
      <c r="CS759" s="1369" t="str">
        <f>INDEX([8]Sheet1!$H:$H,MATCH(CR:CR,[8]Sheet1!$AU:$AU,0))</f>
        <v>Finance</v>
      </c>
    </row>
    <row r="760" spans="1:97" x14ac:dyDescent="0.2">
      <c r="A760" t="s">
        <v>3405</v>
      </c>
      <c r="B760">
        <v>813</v>
      </c>
      <c r="C760" t="s">
        <v>3405</v>
      </c>
      <c r="D760">
        <v>41241</v>
      </c>
      <c r="E760" t="s">
        <v>3010</v>
      </c>
      <c r="F760">
        <v>2700</v>
      </c>
      <c r="G760" t="s">
        <v>656</v>
      </c>
      <c r="H760" t="s">
        <v>2428</v>
      </c>
      <c r="I760" t="s">
        <v>1800</v>
      </c>
      <c r="J760">
        <v>2701</v>
      </c>
      <c r="K760" t="s">
        <v>1800</v>
      </c>
      <c r="L760">
        <v>1100</v>
      </c>
      <c r="M760" t="s">
        <v>616</v>
      </c>
      <c r="N760">
        <v>1110</v>
      </c>
      <c r="O760" t="s">
        <v>995</v>
      </c>
      <c r="P760" t="s">
        <v>2366</v>
      </c>
      <c r="Q760" t="s">
        <v>2364</v>
      </c>
      <c r="R760" t="s">
        <v>2364</v>
      </c>
      <c r="S760" t="s">
        <v>1881</v>
      </c>
      <c r="T760" t="s">
        <v>1812</v>
      </c>
      <c r="U760" t="s">
        <v>2365</v>
      </c>
      <c r="V760" t="s">
        <v>2365</v>
      </c>
      <c r="W760" t="s">
        <v>2365</v>
      </c>
      <c r="X760" t="s">
        <v>2365</v>
      </c>
      <c r="Y760" t="s">
        <v>2365</v>
      </c>
      <c r="Z760" t="s">
        <v>2365</v>
      </c>
      <c r="AA760" t="s">
        <v>2365</v>
      </c>
      <c r="AB760" t="s">
        <v>2365</v>
      </c>
      <c r="AC760" s="813" t="s">
        <v>2365</v>
      </c>
      <c r="AD760" s="813" t="s">
        <v>2365</v>
      </c>
      <c r="AE760" s="813" t="s">
        <v>2365</v>
      </c>
      <c r="AF760" t="s">
        <v>2365</v>
      </c>
      <c r="AG760" t="s">
        <v>2365</v>
      </c>
      <c r="AH760" t="s">
        <v>2365</v>
      </c>
      <c r="AI760" t="s">
        <v>2365</v>
      </c>
      <c r="AJ760" t="s">
        <v>2365</v>
      </c>
      <c r="AK760" t="s">
        <v>2365</v>
      </c>
      <c r="AL760" t="s">
        <v>2365</v>
      </c>
      <c r="AM760" t="s">
        <v>2365</v>
      </c>
      <c r="AN760" t="s">
        <v>2365</v>
      </c>
      <c r="AR760" t="s">
        <v>2365</v>
      </c>
      <c r="AS760" t="s">
        <v>2365</v>
      </c>
      <c r="AT760" t="s">
        <v>2365</v>
      </c>
      <c r="AU760" t="s">
        <v>2365</v>
      </c>
      <c r="AV760" t="s">
        <v>2365</v>
      </c>
      <c r="AW760" t="s">
        <v>2365</v>
      </c>
      <c r="AX760" t="s">
        <v>2365</v>
      </c>
      <c r="AY760" t="s">
        <v>2365</v>
      </c>
      <c r="AZ760" t="s">
        <v>2365</v>
      </c>
      <c r="BA760" t="s">
        <v>2365</v>
      </c>
      <c r="BB760" t="s">
        <v>2365</v>
      </c>
      <c r="BC760" t="s">
        <v>2365</v>
      </c>
      <c r="BD760" t="s">
        <v>2366</v>
      </c>
      <c r="BE760" t="s">
        <v>2365</v>
      </c>
      <c r="BF760" t="s">
        <v>2365</v>
      </c>
      <c r="BG760" t="s">
        <v>2365</v>
      </c>
      <c r="BH760" t="s">
        <v>2365</v>
      </c>
      <c r="BI760" t="s">
        <v>2366</v>
      </c>
      <c r="BJ760" t="s">
        <v>2365</v>
      </c>
      <c r="BK760" t="s">
        <v>2365</v>
      </c>
      <c r="BL760" t="s">
        <v>2365</v>
      </c>
      <c r="BM760" t="s">
        <v>2365</v>
      </c>
      <c r="BO760">
        <v>3</v>
      </c>
      <c r="BP760">
        <v>32</v>
      </c>
      <c r="BQ760" t="s">
        <v>2716</v>
      </c>
      <c r="BR760" t="s">
        <v>995</v>
      </c>
      <c r="BU760">
        <v>0</v>
      </c>
      <c r="BV760">
        <v>0</v>
      </c>
      <c r="BW760">
        <v>0</v>
      </c>
      <c r="BX760">
        <v>0</v>
      </c>
      <c r="BY760">
        <v>0</v>
      </c>
      <c r="BZ760">
        <v>0</v>
      </c>
      <c r="CA760">
        <v>0</v>
      </c>
      <c r="CB760">
        <v>0</v>
      </c>
      <c r="CC760">
        <v>0</v>
      </c>
      <c r="CD760">
        <v>0</v>
      </c>
      <c r="CE760">
        <v>0</v>
      </c>
      <c r="CF760">
        <v>0</v>
      </c>
      <c r="CG760">
        <v>0</v>
      </c>
      <c r="CH760">
        <v>0</v>
      </c>
      <c r="CI760">
        <v>0</v>
      </c>
      <c r="CJ760">
        <v>0</v>
      </c>
      <c r="CK760">
        <v>0</v>
      </c>
      <c r="CL760">
        <v>0</v>
      </c>
      <c r="CM760">
        <v>0</v>
      </c>
      <c r="CR760" t="s">
        <v>2329</v>
      </c>
      <c r="CS760" s="1369" t="str">
        <f>INDEX([8]Sheet1!$H:$H,MATCH(CR:CR,[8]Sheet1!$AU:$AU,0))</f>
        <v>Sewerage</v>
      </c>
    </row>
    <row r="761" spans="1:97" x14ac:dyDescent="0.2">
      <c r="A761" t="s">
        <v>3406</v>
      </c>
      <c r="B761">
        <v>814</v>
      </c>
      <c r="C761" t="s">
        <v>3406</v>
      </c>
      <c r="D761">
        <v>41242</v>
      </c>
      <c r="E761" t="s">
        <v>3253</v>
      </c>
      <c r="F761">
        <v>2900</v>
      </c>
      <c r="G761" t="s">
        <v>569</v>
      </c>
      <c r="H761" s="1373" t="s">
        <v>2366</v>
      </c>
      <c r="I761" t="s">
        <v>2366</v>
      </c>
      <c r="J761">
        <v>2904</v>
      </c>
      <c r="K761" t="s">
        <v>1432</v>
      </c>
      <c r="L761" s="1373">
        <v>1100</v>
      </c>
      <c r="M761" t="s">
        <v>616</v>
      </c>
      <c r="N761">
        <v>1110</v>
      </c>
      <c r="O761" t="s">
        <v>995</v>
      </c>
      <c r="P761" t="s">
        <v>2366</v>
      </c>
      <c r="Q761" t="s">
        <v>2364</v>
      </c>
      <c r="R761" t="s">
        <v>2364</v>
      </c>
      <c r="S761" t="s">
        <v>1881</v>
      </c>
      <c r="T761" t="s">
        <v>1812</v>
      </c>
      <c r="U761" t="s">
        <v>2365</v>
      </c>
      <c r="V761" t="s">
        <v>2365</v>
      </c>
      <c r="W761" t="s">
        <v>2365</v>
      </c>
      <c r="X761" t="s">
        <v>2365</v>
      </c>
      <c r="Y761" t="s">
        <v>2365</v>
      </c>
      <c r="Z761" t="s">
        <v>2365</v>
      </c>
      <c r="AA761" t="s">
        <v>2365</v>
      </c>
      <c r="AB761" t="s">
        <v>2365</v>
      </c>
      <c r="AC761" s="813" t="s">
        <v>2365</v>
      </c>
      <c r="AD761" s="813" t="s">
        <v>2365</v>
      </c>
      <c r="AE761" s="813" t="s">
        <v>2365</v>
      </c>
      <c r="AF761" t="s">
        <v>2365</v>
      </c>
      <c r="AG761" t="s">
        <v>2365</v>
      </c>
      <c r="AH761" t="s">
        <v>2365</v>
      </c>
      <c r="AI761" t="s">
        <v>2365</v>
      </c>
      <c r="AJ761" t="s">
        <v>2365</v>
      </c>
      <c r="AK761" t="s">
        <v>2365</v>
      </c>
      <c r="AL761" t="s">
        <v>2365</v>
      </c>
      <c r="AM761" t="s">
        <v>2365</v>
      </c>
      <c r="AN761" t="s">
        <v>2365</v>
      </c>
      <c r="AR761" t="s">
        <v>2365</v>
      </c>
      <c r="AS761" t="s">
        <v>2365</v>
      </c>
      <c r="AT761" t="s">
        <v>2365</v>
      </c>
      <c r="AU761" t="s">
        <v>2365</v>
      </c>
      <c r="AV761" t="s">
        <v>2365</v>
      </c>
      <c r="AW761" t="s">
        <v>2365</v>
      </c>
      <c r="AX761" t="s">
        <v>2365</v>
      </c>
      <c r="AY761" t="s">
        <v>2365</v>
      </c>
      <c r="AZ761" t="s">
        <v>2365</v>
      </c>
      <c r="BA761" t="s">
        <v>2365</v>
      </c>
      <c r="BB761" t="s">
        <v>2365</v>
      </c>
      <c r="BC761" t="s">
        <v>2365</v>
      </c>
      <c r="BD761" t="s">
        <v>2366</v>
      </c>
      <c r="BE761" t="s">
        <v>2365</v>
      </c>
      <c r="BF761" t="s">
        <v>2365</v>
      </c>
      <c r="BG761" t="s">
        <v>2365</v>
      </c>
      <c r="BH761" t="s">
        <v>2365</v>
      </c>
      <c r="BI761" t="s">
        <v>2366</v>
      </c>
      <c r="BJ761" t="s">
        <v>2365</v>
      </c>
      <c r="BK761" t="s">
        <v>2365</v>
      </c>
      <c r="BL761" t="s">
        <v>2365</v>
      </c>
      <c r="BM761" t="s">
        <v>2365</v>
      </c>
      <c r="BO761">
        <v>3</v>
      </c>
      <c r="BP761">
        <v>32</v>
      </c>
      <c r="BQ761" t="s">
        <v>2716</v>
      </c>
      <c r="BR761" t="s">
        <v>995</v>
      </c>
      <c r="BU761" s="1371">
        <v>0</v>
      </c>
      <c r="BV761" s="1371">
        <v>0</v>
      </c>
      <c r="BW761" s="1371">
        <v>0</v>
      </c>
      <c r="BX761" s="1371">
        <v>0</v>
      </c>
      <c r="BY761" s="1371">
        <v>0</v>
      </c>
      <c r="BZ761">
        <v>0</v>
      </c>
      <c r="CA761">
        <v>0</v>
      </c>
      <c r="CB761">
        <v>0</v>
      </c>
      <c r="CC761">
        <v>0</v>
      </c>
      <c r="CD761">
        <v>0</v>
      </c>
      <c r="CE761">
        <v>0</v>
      </c>
      <c r="CF761">
        <v>0</v>
      </c>
      <c r="CG761">
        <v>0</v>
      </c>
      <c r="CH761">
        <v>0</v>
      </c>
      <c r="CI761">
        <v>0</v>
      </c>
      <c r="CJ761">
        <v>0</v>
      </c>
      <c r="CK761">
        <v>0</v>
      </c>
      <c r="CL761">
        <v>0</v>
      </c>
      <c r="CM761">
        <v>0</v>
      </c>
      <c r="CR761" t="s">
        <v>2328</v>
      </c>
      <c r="CS761" s="1369" t="str">
        <f>INDEX([8]Sheet1!$H:$H,MATCH(CR:CR,[8]Sheet1!$AU:$AU,0))</f>
        <v>Water Distribution</v>
      </c>
    </row>
    <row r="762" spans="1:97" x14ac:dyDescent="0.2">
      <c r="A762" t="s">
        <v>3407</v>
      </c>
      <c r="B762">
        <v>815</v>
      </c>
      <c r="C762" t="s">
        <v>3407</v>
      </c>
      <c r="D762">
        <v>41243</v>
      </c>
      <c r="E762" t="s">
        <v>2504</v>
      </c>
      <c r="F762">
        <v>2900</v>
      </c>
      <c r="G762" t="s">
        <v>569</v>
      </c>
      <c r="H762" s="1373" t="s">
        <v>2366</v>
      </c>
      <c r="I762" t="s">
        <v>2366</v>
      </c>
      <c r="J762">
        <v>2904</v>
      </c>
      <c r="K762" t="s">
        <v>1432</v>
      </c>
      <c r="L762" s="1373">
        <v>1100</v>
      </c>
      <c r="M762" t="s">
        <v>616</v>
      </c>
      <c r="N762">
        <v>1110</v>
      </c>
      <c r="O762" t="s">
        <v>995</v>
      </c>
      <c r="P762" t="s">
        <v>2366</v>
      </c>
      <c r="Q762" t="s">
        <v>2364</v>
      </c>
      <c r="R762" t="s">
        <v>2364</v>
      </c>
      <c r="S762" t="s">
        <v>1881</v>
      </c>
      <c r="T762" t="s">
        <v>1812</v>
      </c>
      <c r="U762" t="s">
        <v>2365</v>
      </c>
      <c r="V762" t="s">
        <v>2365</v>
      </c>
      <c r="W762" t="s">
        <v>2365</v>
      </c>
      <c r="X762" t="s">
        <v>2365</v>
      </c>
      <c r="Y762" t="s">
        <v>2365</v>
      </c>
      <c r="Z762" t="s">
        <v>2365</v>
      </c>
      <c r="AA762" t="s">
        <v>2365</v>
      </c>
      <c r="AB762" t="s">
        <v>2365</v>
      </c>
      <c r="AC762" s="813" t="s">
        <v>2365</v>
      </c>
      <c r="AD762" s="813" t="s">
        <v>2365</v>
      </c>
      <c r="AE762" s="813" t="s">
        <v>2365</v>
      </c>
      <c r="AF762" t="s">
        <v>2365</v>
      </c>
      <c r="AG762" t="s">
        <v>2365</v>
      </c>
      <c r="AH762" t="s">
        <v>2365</v>
      </c>
      <c r="AI762" t="s">
        <v>2365</v>
      </c>
      <c r="AJ762" t="s">
        <v>2365</v>
      </c>
      <c r="AK762" t="s">
        <v>2365</v>
      </c>
      <c r="AL762" t="s">
        <v>2365</v>
      </c>
      <c r="AM762" t="s">
        <v>2365</v>
      </c>
      <c r="AN762" t="s">
        <v>2365</v>
      </c>
      <c r="AR762" t="s">
        <v>2365</v>
      </c>
      <c r="AS762" t="s">
        <v>2365</v>
      </c>
      <c r="AT762" t="s">
        <v>2365</v>
      </c>
      <c r="AU762" t="s">
        <v>2365</v>
      </c>
      <c r="AV762" t="s">
        <v>2365</v>
      </c>
      <c r="AW762" t="s">
        <v>2365</v>
      </c>
      <c r="AX762" t="s">
        <v>2365</v>
      </c>
      <c r="AY762" t="s">
        <v>2365</v>
      </c>
      <c r="AZ762" t="s">
        <v>2365</v>
      </c>
      <c r="BA762" t="s">
        <v>2365</v>
      </c>
      <c r="BB762" t="s">
        <v>2365</v>
      </c>
      <c r="BC762" t="s">
        <v>2365</v>
      </c>
      <c r="BD762" t="s">
        <v>2366</v>
      </c>
      <c r="BE762" t="s">
        <v>2365</v>
      </c>
      <c r="BF762" t="s">
        <v>2365</v>
      </c>
      <c r="BG762" t="s">
        <v>2365</v>
      </c>
      <c r="BH762" t="s">
        <v>2365</v>
      </c>
      <c r="BI762" t="s">
        <v>2366</v>
      </c>
      <c r="BJ762" t="s">
        <v>2365</v>
      </c>
      <c r="BK762" t="s">
        <v>2365</v>
      </c>
      <c r="BL762" t="s">
        <v>2365</v>
      </c>
      <c r="BM762" t="s">
        <v>2365</v>
      </c>
      <c r="BO762">
        <v>3</v>
      </c>
      <c r="BP762">
        <v>32</v>
      </c>
      <c r="BQ762" t="s">
        <v>2716</v>
      </c>
      <c r="BR762" t="s">
        <v>995</v>
      </c>
      <c r="BU762" s="1371">
        <v>50000</v>
      </c>
      <c r="BV762" s="1371">
        <v>0</v>
      </c>
      <c r="BW762" s="1371">
        <v>50000</v>
      </c>
      <c r="BX762" s="1371">
        <v>80000</v>
      </c>
      <c r="BY762" s="1371">
        <v>130000</v>
      </c>
      <c r="BZ762">
        <v>52000</v>
      </c>
      <c r="CA762">
        <v>54080</v>
      </c>
      <c r="CB762">
        <v>0</v>
      </c>
      <c r="CC762">
        <v>0</v>
      </c>
      <c r="CD762">
        <v>30000</v>
      </c>
      <c r="CE762">
        <v>72544.510000000009</v>
      </c>
      <c r="CF762">
        <v>0</v>
      </c>
      <c r="CG762">
        <v>0</v>
      </c>
      <c r="CH762">
        <v>22333.98</v>
      </c>
      <c r="CI762">
        <v>28771.83</v>
      </c>
      <c r="CJ762">
        <v>0</v>
      </c>
      <c r="CK762">
        <v>0</v>
      </c>
      <c r="CL762">
        <v>0</v>
      </c>
      <c r="CM762">
        <v>0</v>
      </c>
      <c r="CR762" t="s">
        <v>2324</v>
      </c>
      <c r="CS762" s="1369" t="str">
        <f>INDEX([8]Sheet1!$H:$H,MATCH(CR:CR,[8]Sheet1!$AU:$AU,0))</f>
        <v>Finance</v>
      </c>
    </row>
    <row r="763" spans="1:97" x14ac:dyDescent="0.2">
      <c r="A763" t="s">
        <v>3408</v>
      </c>
      <c r="B763">
        <v>816</v>
      </c>
      <c r="C763" t="s">
        <v>3408</v>
      </c>
      <c r="D763">
        <v>41244</v>
      </c>
      <c r="E763" t="s">
        <v>2453</v>
      </c>
      <c r="F763">
        <v>2900</v>
      </c>
      <c r="G763" t="s">
        <v>569</v>
      </c>
      <c r="H763" t="s">
        <v>2366</v>
      </c>
      <c r="I763" t="s">
        <v>2366</v>
      </c>
      <c r="J763">
        <v>2904</v>
      </c>
      <c r="K763" t="s">
        <v>1432</v>
      </c>
      <c r="L763">
        <v>1100</v>
      </c>
      <c r="M763" t="s">
        <v>616</v>
      </c>
      <c r="N763">
        <v>1110</v>
      </c>
      <c r="O763" t="s">
        <v>995</v>
      </c>
      <c r="P763" t="s">
        <v>2366</v>
      </c>
      <c r="Q763" t="s">
        <v>2364</v>
      </c>
      <c r="R763" t="s">
        <v>2364</v>
      </c>
      <c r="S763" t="s">
        <v>1881</v>
      </c>
      <c r="T763" t="s">
        <v>1812</v>
      </c>
      <c r="U763" t="s">
        <v>2365</v>
      </c>
      <c r="V763" t="s">
        <v>2365</v>
      </c>
      <c r="W763" t="s">
        <v>2365</v>
      </c>
      <c r="X763" t="s">
        <v>2365</v>
      </c>
      <c r="Y763" t="s">
        <v>2365</v>
      </c>
      <c r="Z763" t="s">
        <v>2365</v>
      </c>
      <c r="AA763" t="s">
        <v>2365</v>
      </c>
      <c r="AB763" t="s">
        <v>2365</v>
      </c>
      <c r="AC763" s="813" t="s">
        <v>2365</v>
      </c>
      <c r="AD763" s="813" t="s">
        <v>2365</v>
      </c>
      <c r="AE763" s="813" t="s">
        <v>2365</v>
      </c>
      <c r="AF763" t="s">
        <v>2365</v>
      </c>
      <c r="AG763" t="s">
        <v>2365</v>
      </c>
      <c r="AH763" t="s">
        <v>2365</v>
      </c>
      <c r="AI763" t="s">
        <v>2365</v>
      </c>
      <c r="AJ763" t="s">
        <v>2365</v>
      </c>
      <c r="AK763" t="s">
        <v>2365</v>
      </c>
      <c r="AL763" t="s">
        <v>2365</v>
      </c>
      <c r="AM763" t="s">
        <v>2365</v>
      </c>
      <c r="AN763" t="s">
        <v>2365</v>
      </c>
      <c r="AR763" t="s">
        <v>2365</v>
      </c>
      <c r="AS763" t="s">
        <v>2365</v>
      </c>
      <c r="AT763" t="s">
        <v>2365</v>
      </c>
      <c r="AU763" t="s">
        <v>2365</v>
      </c>
      <c r="AV763" t="s">
        <v>2365</v>
      </c>
      <c r="AW763" t="s">
        <v>2365</v>
      </c>
      <c r="AX763" t="s">
        <v>2365</v>
      </c>
      <c r="AY763" t="s">
        <v>2365</v>
      </c>
      <c r="AZ763" t="s">
        <v>2365</v>
      </c>
      <c r="BA763" t="s">
        <v>2365</v>
      </c>
      <c r="BB763" t="s">
        <v>2365</v>
      </c>
      <c r="BC763" t="s">
        <v>2365</v>
      </c>
      <c r="BD763" t="s">
        <v>2366</v>
      </c>
      <c r="BE763" t="s">
        <v>2365</v>
      </c>
      <c r="BF763" t="s">
        <v>2365</v>
      </c>
      <c r="BG763" t="s">
        <v>2365</v>
      </c>
      <c r="BH763" t="s">
        <v>2365</v>
      </c>
      <c r="BI763" t="s">
        <v>2366</v>
      </c>
      <c r="BJ763" t="s">
        <v>2365</v>
      </c>
      <c r="BK763" t="s">
        <v>2365</v>
      </c>
      <c r="BL763" t="s">
        <v>2365</v>
      </c>
      <c r="BM763" t="s">
        <v>2365</v>
      </c>
      <c r="BO763">
        <v>3</v>
      </c>
      <c r="BP763">
        <v>32</v>
      </c>
      <c r="BQ763" t="s">
        <v>2716</v>
      </c>
      <c r="BR763" t="s">
        <v>995</v>
      </c>
      <c r="BU763">
        <v>0</v>
      </c>
      <c r="BV763">
        <v>0</v>
      </c>
      <c r="BW763">
        <v>0</v>
      </c>
      <c r="BX763">
        <v>0</v>
      </c>
      <c r="BY763">
        <v>0</v>
      </c>
      <c r="BZ763">
        <v>0</v>
      </c>
      <c r="CA763">
        <v>0</v>
      </c>
      <c r="CB763">
        <v>0</v>
      </c>
      <c r="CC763">
        <v>0</v>
      </c>
      <c r="CD763">
        <v>0</v>
      </c>
      <c r="CE763">
        <v>0</v>
      </c>
      <c r="CF763">
        <v>0</v>
      </c>
      <c r="CG763">
        <v>0</v>
      </c>
      <c r="CH763">
        <v>0</v>
      </c>
      <c r="CI763">
        <v>0</v>
      </c>
      <c r="CJ763">
        <v>0</v>
      </c>
      <c r="CK763">
        <v>0</v>
      </c>
      <c r="CL763">
        <v>0</v>
      </c>
      <c r="CM763">
        <v>0</v>
      </c>
      <c r="CR763" t="s">
        <v>2324</v>
      </c>
      <c r="CS763" s="1369" t="str">
        <f>INDEX([8]Sheet1!$H:$H,MATCH(CR:CR,[8]Sheet1!$AU:$AU,0))</f>
        <v>Finance</v>
      </c>
    </row>
    <row r="764" spans="1:97" x14ac:dyDescent="0.2">
      <c r="A764" t="s">
        <v>3409</v>
      </c>
      <c r="B764">
        <v>817</v>
      </c>
      <c r="C764" t="s">
        <v>3409</v>
      </c>
      <c r="D764">
        <v>41245</v>
      </c>
      <c r="E764" t="s">
        <v>2508</v>
      </c>
      <c r="F764">
        <v>2900</v>
      </c>
      <c r="G764" t="s">
        <v>569</v>
      </c>
      <c r="H764" t="s">
        <v>2366</v>
      </c>
      <c r="I764" t="s">
        <v>2366</v>
      </c>
      <c r="J764">
        <v>2904</v>
      </c>
      <c r="K764" t="s">
        <v>1432</v>
      </c>
      <c r="L764">
        <v>1100</v>
      </c>
      <c r="M764" t="s">
        <v>616</v>
      </c>
      <c r="N764">
        <v>1110</v>
      </c>
      <c r="O764" t="s">
        <v>995</v>
      </c>
      <c r="P764" t="s">
        <v>2366</v>
      </c>
      <c r="Q764" t="s">
        <v>2364</v>
      </c>
      <c r="R764" t="s">
        <v>2364</v>
      </c>
      <c r="S764" t="s">
        <v>1881</v>
      </c>
      <c r="T764" t="s">
        <v>1812</v>
      </c>
      <c r="U764" t="s">
        <v>2365</v>
      </c>
      <c r="V764" t="s">
        <v>2365</v>
      </c>
      <c r="W764" t="s">
        <v>2365</v>
      </c>
      <c r="X764" t="s">
        <v>2365</v>
      </c>
      <c r="Y764" t="s">
        <v>2365</v>
      </c>
      <c r="Z764" t="s">
        <v>2365</v>
      </c>
      <c r="AA764" t="s">
        <v>2365</v>
      </c>
      <c r="AB764" t="s">
        <v>2365</v>
      </c>
      <c r="AC764" s="813" t="s">
        <v>2365</v>
      </c>
      <c r="AD764" s="813" t="s">
        <v>2365</v>
      </c>
      <c r="AE764" s="813" t="s">
        <v>2365</v>
      </c>
      <c r="AF764" t="s">
        <v>2365</v>
      </c>
      <c r="AG764" t="s">
        <v>2365</v>
      </c>
      <c r="AH764" t="s">
        <v>2365</v>
      </c>
      <c r="AI764" t="s">
        <v>2365</v>
      </c>
      <c r="AJ764" t="s">
        <v>2365</v>
      </c>
      <c r="AK764" t="s">
        <v>2365</v>
      </c>
      <c r="AL764" t="s">
        <v>2365</v>
      </c>
      <c r="AM764" t="s">
        <v>2365</v>
      </c>
      <c r="AN764" t="s">
        <v>2365</v>
      </c>
      <c r="AR764" t="s">
        <v>2365</v>
      </c>
      <c r="AS764" t="s">
        <v>2365</v>
      </c>
      <c r="AT764" t="s">
        <v>2365</v>
      </c>
      <c r="AU764" t="s">
        <v>2365</v>
      </c>
      <c r="AV764" t="s">
        <v>2365</v>
      </c>
      <c r="AW764" t="s">
        <v>2365</v>
      </c>
      <c r="AX764" t="s">
        <v>2365</v>
      </c>
      <c r="AY764" t="s">
        <v>2365</v>
      </c>
      <c r="AZ764" t="s">
        <v>2365</v>
      </c>
      <c r="BA764" t="s">
        <v>2365</v>
      </c>
      <c r="BB764" t="s">
        <v>2365</v>
      </c>
      <c r="BC764" t="s">
        <v>2365</v>
      </c>
      <c r="BD764" t="s">
        <v>2366</v>
      </c>
      <c r="BE764" t="s">
        <v>2365</v>
      </c>
      <c r="BF764" t="s">
        <v>2365</v>
      </c>
      <c r="BG764" t="s">
        <v>2365</v>
      </c>
      <c r="BH764" t="s">
        <v>2365</v>
      </c>
      <c r="BI764" t="s">
        <v>2366</v>
      </c>
      <c r="BJ764" t="s">
        <v>2365</v>
      </c>
      <c r="BK764" t="s">
        <v>2365</v>
      </c>
      <c r="BL764" t="s">
        <v>2365</v>
      </c>
      <c r="BM764" t="s">
        <v>2365</v>
      </c>
      <c r="BO764">
        <v>3</v>
      </c>
      <c r="BP764">
        <v>32</v>
      </c>
      <c r="BQ764" t="s">
        <v>2716</v>
      </c>
      <c r="BR764" t="s">
        <v>995</v>
      </c>
      <c r="BU764">
        <v>120000</v>
      </c>
      <c r="BV764">
        <v>0</v>
      </c>
      <c r="BW764">
        <v>120000</v>
      </c>
      <c r="BX764">
        <v>-80000</v>
      </c>
      <c r="BY764">
        <v>40000</v>
      </c>
      <c r="BZ764">
        <v>124800</v>
      </c>
      <c r="CA764">
        <v>129792</v>
      </c>
      <c r="CB764">
        <v>0</v>
      </c>
      <c r="CC764">
        <v>0</v>
      </c>
      <c r="CD764">
        <v>0</v>
      </c>
      <c r="CE764">
        <v>18683.13</v>
      </c>
      <c r="CF764">
        <v>0</v>
      </c>
      <c r="CG764">
        <v>0</v>
      </c>
      <c r="CH764">
        <v>0</v>
      </c>
      <c r="CI764">
        <v>0</v>
      </c>
      <c r="CJ764">
        <v>0</v>
      </c>
      <c r="CK764">
        <v>0</v>
      </c>
      <c r="CL764">
        <v>0</v>
      </c>
      <c r="CM764">
        <v>0</v>
      </c>
      <c r="CR764" t="s">
        <v>2324</v>
      </c>
      <c r="CS764" s="1369" t="str">
        <f>INDEX([8]Sheet1!$H:$H,MATCH(CR:CR,[8]Sheet1!$AU:$AU,0))</f>
        <v>Finance</v>
      </c>
    </row>
    <row r="765" spans="1:97" x14ac:dyDescent="0.2">
      <c r="A765" t="s">
        <v>3410</v>
      </c>
      <c r="B765">
        <v>818</v>
      </c>
      <c r="C765" t="s">
        <v>3410</v>
      </c>
      <c r="D765">
        <v>41246</v>
      </c>
      <c r="E765" t="s">
        <v>2510</v>
      </c>
      <c r="F765">
        <v>2900</v>
      </c>
      <c r="G765" t="s">
        <v>569</v>
      </c>
      <c r="H765" t="s">
        <v>2366</v>
      </c>
      <c r="I765" t="s">
        <v>2366</v>
      </c>
      <c r="J765">
        <v>2904</v>
      </c>
      <c r="K765" t="s">
        <v>1432</v>
      </c>
      <c r="L765">
        <v>1100</v>
      </c>
      <c r="M765" t="s">
        <v>616</v>
      </c>
      <c r="N765">
        <v>1110</v>
      </c>
      <c r="O765" t="s">
        <v>995</v>
      </c>
      <c r="P765" t="s">
        <v>2366</v>
      </c>
      <c r="Q765" t="s">
        <v>2364</v>
      </c>
      <c r="R765" t="s">
        <v>2364</v>
      </c>
      <c r="S765" t="s">
        <v>1881</v>
      </c>
      <c r="T765" t="s">
        <v>1812</v>
      </c>
      <c r="U765" t="s">
        <v>2365</v>
      </c>
      <c r="V765" t="s">
        <v>2365</v>
      </c>
      <c r="W765" t="s">
        <v>2365</v>
      </c>
      <c r="X765" t="s">
        <v>2365</v>
      </c>
      <c r="Y765" t="s">
        <v>2365</v>
      </c>
      <c r="Z765" t="s">
        <v>2365</v>
      </c>
      <c r="AA765" t="s">
        <v>2365</v>
      </c>
      <c r="AB765" t="s">
        <v>2365</v>
      </c>
      <c r="AC765" s="813" t="s">
        <v>2365</v>
      </c>
      <c r="AD765" s="813" t="s">
        <v>2365</v>
      </c>
      <c r="AE765" s="813" t="s">
        <v>2365</v>
      </c>
      <c r="AF765" t="s">
        <v>2365</v>
      </c>
      <c r="AG765" t="s">
        <v>2365</v>
      </c>
      <c r="AH765" t="s">
        <v>2365</v>
      </c>
      <c r="AI765" t="s">
        <v>2365</v>
      </c>
      <c r="AJ765" t="s">
        <v>2365</v>
      </c>
      <c r="AK765" t="s">
        <v>2365</v>
      </c>
      <c r="AL765" t="s">
        <v>2365</v>
      </c>
      <c r="AM765" t="s">
        <v>2365</v>
      </c>
      <c r="AN765" t="s">
        <v>2365</v>
      </c>
      <c r="AR765" t="s">
        <v>2365</v>
      </c>
      <c r="AS765" t="s">
        <v>2365</v>
      </c>
      <c r="AT765" t="s">
        <v>2365</v>
      </c>
      <c r="AU765" t="s">
        <v>2365</v>
      </c>
      <c r="AV765" t="s">
        <v>2365</v>
      </c>
      <c r="AW765" t="s">
        <v>2365</v>
      </c>
      <c r="AX765" t="s">
        <v>2365</v>
      </c>
      <c r="AY765" t="s">
        <v>2365</v>
      </c>
      <c r="AZ765" t="s">
        <v>2365</v>
      </c>
      <c r="BA765" t="s">
        <v>2365</v>
      </c>
      <c r="BB765" t="s">
        <v>2365</v>
      </c>
      <c r="BC765" t="s">
        <v>2365</v>
      </c>
      <c r="BD765" t="s">
        <v>2366</v>
      </c>
      <c r="BE765" t="s">
        <v>2365</v>
      </c>
      <c r="BF765" t="s">
        <v>2365</v>
      </c>
      <c r="BG765" t="s">
        <v>2365</v>
      </c>
      <c r="BH765" t="s">
        <v>2365</v>
      </c>
      <c r="BI765" t="s">
        <v>2366</v>
      </c>
      <c r="BJ765" t="s">
        <v>2365</v>
      </c>
      <c r="BK765" t="s">
        <v>2365</v>
      </c>
      <c r="BL765" t="s">
        <v>2365</v>
      </c>
      <c r="BM765" t="s">
        <v>2365</v>
      </c>
      <c r="BO765">
        <v>3</v>
      </c>
      <c r="BP765">
        <v>32</v>
      </c>
      <c r="BQ765" t="s">
        <v>2716</v>
      </c>
      <c r="BR765" t="s">
        <v>995</v>
      </c>
      <c r="BU765">
        <v>40000</v>
      </c>
      <c r="BV765">
        <v>0</v>
      </c>
      <c r="BW765">
        <v>40000</v>
      </c>
      <c r="BX765">
        <v>0</v>
      </c>
      <c r="BY765">
        <v>40000</v>
      </c>
      <c r="BZ765">
        <v>41600</v>
      </c>
      <c r="CA765">
        <v>43264</v>
      </c>
      <c r="CB765">
        <v>0</v>
      </c>
      <c r="CC765">
        <v>0</v>
      </c>
      <c r="CD765">
        <v>0</v>
      </c>
      <c r="CE765">
        <v>5252.7</v>
      </c>
      <c r="CF765">
        <v>5015</v>
      </c>
      <c r="CG765">
        <v>0</v>
      </c>
      <c r="CH765">
        <v>0</v>
      </c>
      <c r="CI765">
        <v>0</v>
      </c>
      <c r="CJ765">
        <v>0</v>
      </c>
      <c r="CK765">
        <v>0</v>
      </c>
      <c r="CL765">
        <v>0</v>
      </c>
      <c r="CM765">
        <v>0</v>
      </c>
      <c r="CR765" t="s">
        <v>2329</v>
      </c>
      <c r="CS765" s="1369" t="str">
        <f>INDEX([8]Sheet1!$H:$H,MATCH(CR:CR,[8]Sheet1!$AU:$AU,0))</f>
        <v>Sewerage</v>
      </c>
    </row>
    <row r="766" spans="1:97" x14ac:dyDescent="0.2">
      <c r="A766" t="s">
        <v>3411</v>
      </c>
      <c r="B766">
        <v>819</v>
      </c>
      <c r="C766" t="s">
        <v>3411</v>
      </c>
      <c r="D766">
        <v>41247</v>
      </c>
      <c r="E766" t="s">
        <v>2919</v>
      </c>
      <c r="F766">
        <v>2900</v>
      </c>
      <c r="G766" t="s">
        <v>569</v>
      </c>
      <c r="H766" t="s">
        <v>2366</v>
      </c>
      <c r="I766" t="s">
        <v>2366</v>
      </c>
      <c r="J766">
        <v>2904</v>
      </c>
      <c r="K766" t="s">
        <v>1432</v>
      </c>
      <c r="L766">
        <v>1100</v>
      </c>
      <c r="M766" t="s">
        <v>616</v>
      </c>
      <c r="N766">
        <v>1110</v>
      </c>
      <c r="O766" t="s">
        <v>995</v>
      </c>
      <c r="P766" t="s">
        <v>2366</v>
      </c>
      <c r="Q766" t="s">
        <v>2364</v>
      </c>
      <c r="R766" t="s">
        <v>2364</v>
      </c>
      <c r="S766" t="s">
        <v>1881</v>
      </c>
      <c r="T766" t="s">
        <v>1812</v>
      </c>
      <c r="U766" t="s">
        <v>2365</v>
      </c>
      <c r="V766" t="s">
        <v>2365</v>
      </c>
      <c r="W766" t="s">
        <v>2365</v>
      </c>
      <c r="X766" t="s">
        <v>2365</v>
      </c>
      <c r="Y766" t="s">
        <v>2365</v>
      </c>
      <c r="Z766" t="s">
        <v>2365</v>
      </c>
      <c r="AA766" t="s">
        <v>2365</v>
      </c>
      <c r="AB766" t="s">
        <v>2365</v>
      </c>
      <c r="AC766" s="813" t="s">
        <v>2365</v>
      </c>
      <c r="AD766" s="813" t="s">
        <v>2365</v>
      </c>
      <c r="AE766" s="813" t="s">
        <v>2365</v>
      </c>
      <c r="AF766" t="s">
        <v>2365</v>
      </c>
      <c r="AG766" t="s">
        <v>2365</v>
      </c>
      <c r="AH766" t="s">
        <v>2365</v>
      </c>
      <c r="AI766" t="s">
        <v>2365</v>
      </c>
      <c r="AJ766" t="s">
        <v>2365</v>
      </c>
      <c r="AK766" t="s">
        <v>2365</v>
      </c>
      <c r="AL766" t="s">
        <v>2365</v>
      </c>
      <c r="AM766" t="s">
        <v>2365</v>
      </c>
      <c r="AN766" t="s">
        <v>2365</v>
      </c>
      <c r="AR766" t="s">
        <v>2365</v>
      </c>
      <c r="AS766" t="s">
        <v>2365</v>
      </c>
      <c r="AT766" t="s">
        <v>2365</v>
      </c>
      <c r="AU766" t="s">
        <v>2365</v>
      </c>
      <c r="AV766" t="s">
        <v>2365</v>
      </c>
      <c r="AW766" t="s">
        <v>2365</v>
      </c>
      <c r="AX766" t="s">
        <v>2365</v>
      </c>
      <c r="AY766" t="s">
        <v>2365</v>
      </c>
      <c r="AZ766" t="s">
        <v>2365</v>
      </c>
      <c r="BA766" t="s">
        <v>2365</v>
      </c>
      <c r="BB766" t="s">
        <v>2365</v>
      </c>
      <c r="BC766" t="s">
        <v>2365</v>
      </c>
      <c r="BD766" t="s">
        <v>2366</v>
      </c>
      <c r="BE766" t="s">
        <v>2365</v>
      </c>
      <c r="BF766" t="s">
        <v>2365</v>
      </c>
      <c r="BG766" t="s">
        <v>2365</v>
      </c>
      <c r="BH766" t="s">
        <v>2365</v>
      </c>
      <c r="BI766" t="s">
        <v>2366</v>
      </c>
      <c r="BJ766" t="s">
        <v>2365</v>
      </c>
      <c r="BK766" t="s">
        <v>2365</v>
      </c>
      <c r="BL766" t="s">
        <v>2365</v>
      </c>
      <c r="BM766" t="s">
        <v>2365</v>
      </c>
      <c r="BO766">
        <v>3</v>
      </c>
      <c r="BP766">
        <v>32</v>
      </c>
      <c r="BQ766" t="s">
        <v>2716</v>
      </c>
      <c r="BR766" t="s">
        <v>995</v>
      </c>
      <c r="BU766">
        <v>0</v>
      </c>
      <c r="BV766">
        <v>0</v>
      </c>
      <c r="BW766">
        <v>0</v>
      </c>
      <c r="BX766">
        <v>0</v>
      </c>
      <c r="BY766">
        <v>0</v>
      </c>
      <c r="BZ766">
        <v>0</v>
      </c>
      <c r="CA766">
        <v>0</v>
      </c>
      <c r="CB766">
        <v>0</v>
      </c>
      <c r="CC766">
        <v>0</v>
      </c>
      <c r="CD766">
        <v>0</v>
      </c>
      <c r="CE766">
        <v>0</v>
      </c>
      <c r="CF766">
        <v>0</v>
      </c>
      <c r="CG766">
        <v>0</v>
      </c>
      <c r="CH766">
        <v>0</v>
      </c>
      <c r="CI766">
        <v>0</v>
      </c>
      <c r="CJ766">
        <v>0</v>
      </c>
      <c r="CK766">
        <v>0</v>
      </c>
      <c r="CL766">
        <v>0</v>
      </c>
      <c r="CM766">
        <v>0</v>
      </c>
      <c r="CR766" t="s">
        <v>2324</v>
      </c>
      <c r="CS766" s="1369" t="str">
        <f>INDEX([8]Sheet1!$H:$H,MATCH(CR:CR,[8]Sheet1!$AU:$AU,0))</f>
        <v>Finance</v>
      </c>
    </row>
    <row r="767" spans="1:97" x14ac:dyDescent="0.2">
      <c r="A767" t="s">
        <v>3412</v>
      </c>
      <c r="B767">
        <v>820</v>
      </c>
      <c r="C767" t="s">
        <v>3412</v>
      </c>
      <c r="D767">
        <v>41551</v>
      </c>
      <c r="E767" t="s">
        <v>3413</v>
      </c>
      <c r="F767" t="s">
        <v>2364</v>
      </c>
      <c r="G767" t="s">
        <v>2364</v>
      </c>
      <c r="H767" t="s">
        <v>2365</v>
      </c>
      <c r="I767" t="s">
        <v>2365</v>
      </c>
      <c r="J767" t="s">
        <v>2365</v>
      </c>
      <c r="K767" t="s">
        <v>2365</v>
      </c>
      <c r="L767">
        <v>1200</v>
      </c>
      <c r="M767" t="s">
        <v>1480</v>
      </c>
      <c r="N767">
        <v>1204</v>
      </c>
      <c r="O767" t="s">
        <v>1487</v>
      </c>
      <c r="P767" t="s">
        <v>2366</v>
      </c>
      <c r="Q767" t="s">
        <v>2364</v>
      </c>
      <c r="R767" t="s">
        <v>2364</v>
      </c>
      <c r="S767" t="s">
        <v>553</v>
      </c>
      <c r="T767" t="s">
        <v>2175</v>
      </c>
      <c r="U767">
        <v>140</v>
      </c>
      <c r="V767" t="s">
        <v>693</v>
      </c>
      <c r="W767">
        <v>140</v>
      </c>
      <c r="X767" t="s">
        <v>693</v>
      </c>
      <c r="Y767" t="s">
        <v>2365</v>
      </c>
      <c r="Z767" t="s">
        <v>2365</v>
      </c>
      <c r="AA767" t="s">
        <v>2365</v>
      </c>
      <c r="AB767" t="s">
        <v>2365</v>
      </c>
      <c r="AC767" s="813" t="s">
        <v>2365</v>
      </c>
      <c r="AD767" s="813" t="s">
        <v>2365</v>
      </c>
      <c r="AE767" s="813" t="s">
        <v>2365</v>
      </c>
      <c r="AF767" t="s">
        <v>2365</v>
      </c>
      <c r="AG767" t="s">
        <v>2365</v>
      </c>
      <c r="AH767" t="s">
        <v>2365</v>
      </c>
      <c r="AI767" t="s">
        <v>2365</v>
      </c>
      <c r="AJ767" t="s">
        <v>2365</v>
      </c>
      <c r="AK767" t="s">
        <v>2366</v>
      </c>
      <c r="AL767" t="s">
        <v>2366</v>
      </c>
      <c r="AM767" t="s">
        <v>2366</v>
      </c>
      <c r="AN767" t="s">
        <v>2366</v>
      </c>
      <c r="AR767" t="s">
        <v>2365</v>
      </c>
      <c r="AS767" t="s">
        <v>2365</v>
      </c>
      <c r="AT767" t="s">
        <v>2365</v>
      </c>
      <c r="AU767" t="s">
        <v>2365</v>
      </c>
      <c r="AV767" t="s">
        <v>2365</v>
      </c>
      <c r="AW767" t="s">
        <v>2365</v>
      </c>
      <c r="AX767" t="s">
        <v>2365</v>
      </c>
      <c r="AY767" t="s">
        <v>2365</v>
      </c>
      <c r="AZ767" t="s">
        <v>2365</v>
      </c>
      <c r="BA767" t="s">
        <v>2365</v>
      </c>
      <c r="BB767" t="s">
        <v>2365</v>
      </c>
      <c r="BC767" t="s">
        <v>2365</v>
      </c>
      <c r="BD767" t="s">
        <v>2366</v>
      </c>
      <c r="BE767" t="s">
        <v>2365</v>
      </c>
      <c r="BF767" t="s">
        <v>2365</v>
      </c>
      <c r="BG767" t="s">
        <v>2365</v>
      </c>
      <c r="BH767" t="s">
        <v>2365</v>
      </c>
      <c r="BI767" t="s">
        <v>2366</v>
      </c>
      <c r="BJ767" t="s">
        <v>2365</v>
      </c>
      <c r="BK767" t="s">
        <v>2365</v>
      </c>
      <c r="BL767" t="s">
        <v>2365</v>
      </c>
      <c r="BM767" t="s">
        <v>2365</v>
      </c>
      <c r="BO767">
        <v>1</v>
      </c>
      <c r="BP767">
        <v>11</v>
      </c>
      <c r="BQ767" t="s">
        <v>2369</v>
      </c>
      <c r="BR767" t="s">
        <v>1487</v>
      </c>
      <c r="BU767">
        <v>0</v>
      </c>
      <c r="BV767">
        <v>0</v>
      </c>
      <c r="BW767">
        <v>0</v>
      </c>
      <c r="BX767">
        <v>0</v>
      </c>
      <c r="BY767">
        <v>0</v>
      </c>
      <c r="BZ767">
        <v>0</v>
      </c>
      <c r="CA767">
        <v>0</v>
      </c>
      <c r="CB767">
        <v>0</v>
      </c>
      <c r="CC767">
        <v>0</v>
      </c>
      <c r="CD767">
        <v>0</v>
      </c>
      <c r="CE767">
        <v>0</v>
      </c>
      <c r="CF767">
        <v>0</v>
      </c>
      <c r="CG767">
        <v>0</v>
      </c>
      <c r="CH767">
        <v>0</v>
      </c>
      <c r="CI767">
        <v>0</v>
      </c>
      <c r="CJ767">
        <v>0</v>
      </c>
      <c r="CK767">
        <v>0</v>
      </c>
      <c r="CL767">
        <v>0</v>
      </c>
      <c r="CM767">
        <v>0</v>
      </c>
      <c r="CR767" t="s">
        <v>2324</v>
      </c>
      <c r="CS767" s="1369" t="str">
        <f>INDEX([8]Sheet1!$H:$H,MATCH(CR:CR,[8]Sheet1!$AU:$AU,0))</f>
        <v>Finance</v>
      </c>
    </row>
    <row r="768" spans="1:97" x14ac:dyDescent="0.2">
      <c r="A768" t="s">
        <v>3414</v>
      </c>
      <c r="B768">
        <v>821</v>
      </c>
      <c r="C768" t="s">
        <v>3414</v>
      </c>
      <c r="D768">
        <v>41552</v>
      </c>
      <c r="E768" t="s">
        <v>3415</v>
      </c>
      <c r="F768" t="s">
        <v>2364</v>
      </c>
      <c r="G768" t="s">
        <v>2364</v>
      </c>
      <c r="H768" t="s">
        <v>2365</v>
      </c>
      <c r="I768" t="s">
        <v>2365</v>
      </c>
      <c r="J768" t="s">
        <v>2365</v>
      </c>
      <c r="K768" t="s">
        <v>2365</v>
      </c>
      <c r="L768">
        <v>1200</v>
      </c>
      <c r="M768" t="s">
        <v>1480</v>
      </c>
      <c r="N768">
        <v>1204</v>
      </c>
      <c r="O768" t="s">
        <v>1487</v>
      </c>
      <c r="P768" t="s">
        <v>2366</v>
      </c>
      <c r="Q768" t="s">
        <v>2364</v>
      </c>
      <c r="R768" t="s">
        <v>2364</v>
      </c>
      <c r="S768" t="s">
        <v>553</v>
      </c>
      <c r="T768" t="s">
        <v>2175</v>
      </c>
      <c r="U768">
        <v>140</v>
      </c>
      <c r="V768" t="s">
        <v>693</v>
      </c>
      <c r="W768">
        <v>140</v>
      </c>
      <c r="X768" t="s">
        <v>693</v>
      </c>
      <c r="Y768" t="s">
        <v>2365</v>
      </c>
      <c r="Z768" t="s">
        <v>2365</v>
      </c>
      <c r="AA768" t="s">
        <v>2365</v>
      </c>
      <c r="AB768" t="s">
        <v>2365</v>
      </c>
      <c r="AC768" s="813" t="s">
        <v>2365</v>
      </c>
      <c r="AD768" s="813" t="s">
        <v>2365</v>
      </c>
      <c r="AE768" s="813" t="s">
        <v>2365</v>
      </c>
      <c r="AF768" t="s">
        <v>2365</v>
      </c>
      <c r="AG768" t="s">
        <v>2365</v>
      </c>
      <c r="AH768" t="s">
        <v>2365</v>
      </c>
      <c r="AI768" t="s">
        <v>2365</v>
      </c>
      <c r="AJ768" t="s">
        <v>2365</v>
      </c>
      <c r="AK768" t="s">
        <v>2366</v>
      </c>
      <c r="AL768" t="s">
        <v>2366</v>
      </c>
      <c r="AM768" t="s">
        <v>2366</v>
      </c>
      <c r="AN768" t="s">
        <v>2366</v>
      </c>
      <c r="AR768" t="s">
        <v>2365</v>
      </c>
      <c r="AS768" t="s">
        <v>2365</v>
      </c>
      <c r="AT768" t="s">
        <v>2365</v>
      </c>
      <c r="AU768" t="s">
        <v>2365</v>
      </c>
      <c r="AV768" t="s">
        <v>2365</v>
      </c>
      <c r="AW768" t="s">
        <v>2365</v>
      </c>
      <c r="AX768" t="s">
        <v>2365</v>
      </c>
      <c r="AY768" t="s">
        <v>2365</v>
      </c>
      <c r="AZ768" t="s">
        <v>2365</v>
      </c>
      <c r="BA768" t="s">
        <v>2365</v>
      </c>
      <c r="BB768" t="s">
        <v>2365</v>
      </c>
      <c r="BC768" t="s">
        <v>2365</v>
      </c>
      <c r="BD768" t="s">
        <v>2366</v>
      </c>
      <c r="BE768" t="s">
        <v>2365</v>
      </c>
      <c r="BF768" t="s">
        <v>2365</v>
      </c>
      <c r="BG768" t="s">
        <v>2365</v>
      </c>
      <c r="BH768" t="s">
        <v>2365</v>
      </c>
      <c r="BI768" t="s">
        <v>2366</v>
      </c>
      <c r="BJ768" t="s">
        <v>2365</v>
      </c>
      <c r="BK768" t="s">
        <v>2365</v>
      </c>
      <c r="BL768" t="s">
        <v>2365</v>
      </c>
      <c r="BM768" t="s">
        <v>2365</v>
      </c>
      <c r="BO768">
        <v>1</v>
      </c>
      <c r="BP768">
        <v>11</v>
      </c>
      <c r="BQ768" t="s">
        <v>2369</v>
      </c>
      <c r="BR768" t="s">
        <v>1487</v>
      </c>
      <c r="BU768">
        <v>0</v>
      </c>
      <c r="BV768">
        <v>0</v>
      </c>
      <c r="BW768">
        <v>0</v>
      </c>
      <c r="BX768">
        <v>0</v>
      </c>
      <c r="BY768">
        <v>0</v>
      </c>
      <c r="BZ768">
        <v>0</v>
      </c>
      <c r="CA768">
        <v>0</v>
      </c>
      <c r="CB768">
        <v>0</v>
      </c>
      <c r="CC768">
        <v>0</v>
      </c>
      <c r="CD768">
        <v>0</v>
      </c>
      <c r="CE768">
        <v>0</v>
      </c>
      <c r="CF768">
        <v>0</v>
      </c>
      <c r="CG768">
        <v>0</v>
      </c>
      <c r="CH768">
        <v>0</v>
      </c>
      <c r="CI768">
        <v>0</v>
      </c>
      <c r="CJ768">
        <v>0</v>
      </c>
      <c r="CK768">
        <v>0</v>
      </c>
      <c r="CL768">
        <v>0</v>
      </c>
      <c r="CM768">
        <v>0</v>
      </c>
      <c r="CR768" t="s">
        <v>2324</v>
      </c>
      <c r="CS768" s="1369" t="str">
        <f>INDEX([8]Sheet1!$H:$H,MATCH(CR:CR,[8]Sheet1!$AU:$AU,0))</f>
        <v>Finance</v>
      </c>
    </row>
    <row r="769" spans="1:97" x14ac:dyDescent="0.2">
      <c r="A769" t="s">
        <v>3416</v>
      </c>
      <c r="B769">
        <v>822</v>
      </c>
      <c r="C769" t="s">
        <v>3416</v>
      </c>
      <c r="D769">
        <v>41553</v>
      </c>
      <c r="E769" t="s">
        <v>3417</v>
      </c>
      <c r="F769" t="s">
        <v>2364</v>
      </c>
      <c r="G769" t="s">
        <v>2364</v>
      </c>
      <c r="H769" t="s">
        <v>2365</v>
      </c>
      <c r="I769" t="s">
        <v>2365</v>
      </c>
      <c r="J769" t="s">
        <v>2365</v>
      </c>
      <c r="K769" t="s">
        <v>2365</v>
      </c>
      <c r="L769">
        <v>1200</v>
      </c>
      <c r="M769" t="s">
        <v>1480</v>
      </c>
      <c r="N769">
        <v>1204</v>
      </c>
      <c r="O769" t="s">
        <v>1487</v>
      </c>
      <c r="P769" t="s">
        <v>2366</v>
      </c>
      <c r="Q769" t="s">
        <v>2364</v>
      </c>
      <c r="R769" t="s">
        <v>2364</v>
      </c>
      <c r="S769" t="s">
        <v>553</v>
      </c>
      <c r="T769" t="s">
        <v>2175</v>
      </c>
      <c r="U769">
        <v>140</v>
      </c>
      <c r="V769" t="s">
        <v>693</v>
      </c>
      <c r="W769">
        <v>140</v>
      </c>
      <c r="X769" t="s">
        <v>693</v>
      </c>
      <c r="Y769" t="s">
        <v>2365</v>
      </c>
      <c r="Z769" t="s">
        <v>2365</v>
      </c>
      <c r="AA769" t="s">
        <v>2365</v>
      </c>
      <c r="AB769" t="s">
        <v>2365</v>
      </c>
      <c r="AC769" s="813" t="s">
        <v>2365</v>
      </c>
      <c r="AD769" s="813" t="s">
        <v>2365</v>
      </c>
      <c r="AE769" s="813" t="s">
        <v>2365</v>
      </c>
      <c r="AF769" t="s">
        <v>2365</v>
      </c>
      <c r="AG769" t="s">
        <v>2365</v>
      </c>
      <c r="AH769" t="s">
        <v>2365</v>
      </c>
      <c r="AI769" t="s">
        <v>2365</v>
      </c>
      <c r="AJ769" t="s">
        <v>2365</v>
      </c>
      <c r="AK769">
        <v>147</v>
      </c>
      <c r="AL769" t="s">
        <v>1200</v>
      </c>
      <c r="AM769">
        <v>147</v>
      </c>
      <c r="AN769" t="s">
        <v>1200</v>
      </c>
      <c r="AR769" t="s">
        <v>2365</v>
      </c>
      <c r="AS769" t="s">
        <v>2365</v>
      </c>
      <c r="AT769" t="s">
        <v>2365</v>
      </c>
      <c r="AU769" t="s">
        <v>2365</v>
      </c>
      <c r="AV769" t="s">
        <v>2365</v>
      </c>
      <c r="AW769" t="s">
        <v>2365</v>
      </c>
      <c r="AX769" t="s">
        <v>2365</v>
      </c>
      <c r="AY769" t="s">
        <v>2365</v>
      </c>
      <c r="AZ769" t="s">
        <v>2365</v>
      </c>
      <c r="BA769" t="s">
        <v>2365</v>
      </c>
      <c r="BB769" t="s">
        <v>2365</v>
      </c>
      <c r="BC769" t="s">
        <v>2365</v>
      </c>
      <c r="BD769" t="s">
        <v>2366</v>
      </c>
      <c r="BE769" t="s">
        <v>2365</v>
      </c>
      <c r="BF769" t="s">
        <v>2365</v>
      </c>
      <c r="BG769" t="s">
        <v>2365</v>
      </c>
      <c r="BH769" t="s">
        <v>2365</v>
      </c>
      <c r="BI769" t="s">
        <v>2366</v>
      </c>
      <c r="BJ769" t="s">
        <v>2365</v>
      </c>
      <c r="BK769" t="s">
        <v>2365</v>
      </c>
      <c r="BL769" t="s">
        <v>2365</v>
      </c>
      <c r="BM769" t="s">
        <v>2365</v>
      </c>
      <c r="BO769">
        <v>1</v>
      </c>
      <c r="BP769">
        <v>11</v>
      </c>
      <c r="BQ769" t="s">
        <v>2369</v>
      </c>
      <c r="BR769" t="s">
        <v>1487</v>
      </c>
      <c r="BU769">
        <v>0</v>
      </c>
      <c r="BV769">
        <v>0</v>
      </c>
      <c r="BW769">
        <v>0</v>
      </c>
      <c r="BX769">
        <v>0</v>
      </c>
      <c r="BY769">
        <v>0</v>
      </c>
      <c r="BZ769">
        <v>0</v>
      </c>
      <c r="CA769">
        <v>0</v>
      </c>
      <c r="CB769">
        <v>0</v>
      </c>
      <c r="CC769">
        <v>0</v>
      </c>
      <c r="CD769">
        <v>0</v>
      </c>
      <c r="CE769">
        <v>0</v>
      </c>
      <c r="CF769">
        <v>0</v>
      </c>
      <c r="CG769">
        <v>0</v>
      </c>
      <c r="CH769">
        <v>0</v>
      </c>
      <c r="CI769">
        <v>0</v>
      </c>
      <c r="CJ769">
        <v>0</v>
      </c>
      <c r="CK769">
        <v>0</v>
      </c>
      <c r="CL769">
        <v>0</v>
      </c>
      <c r="CM769">
        <v>0</v>
      </c>
      <c r="CR769" t="s">
        <v>2328</v>
      </c>
      <c r="CS769" s="1369" t="str">
        <f>INDEX([8]Sheet1!$H:$H,MATCH(CR:CR,[8]Sheet1!$AU:$AU,0))</f>
        <v>Water Distribution</v>
      </c>
    </row>
    <row r="770" spans="1:97" x14ac:dyDescent="0.2">
      <c r="A770" t="s">
        <v>3418</v>
      </c>
      <c r="B770">
        <v>823</v>
      </c>
      <c r="C770" t="s">
        <v>3418</v>
      </c>
      <c r="D770">
        <v>41554</v>
      </c>
      <c r="E770" t="s">
        <v>3419</v>
      </c>
      <c r="F770" t="s">
        <v>2364</v>
      </c>
      <c r="G770" t="s">
        <v>2364</v>
      </c>
      <c r="H770" t="s">
        <v>2365</v>
      </c>
      <c r="I770" t="s">
        <v>2365</v>
      </c>
      <c r="J770" t="s">
        <v>2365</v>
      </c>
      <c r="K770" t="s">
        <v>2365</v>
      </c>
      <c r="L770">
        <v>1200</v>
      </c>
      <c r="M770" t="s">
        <v>1480</v>
      </c>
      <c r="N770">
        <v>1204</v>
      </c>
      <c r="O770" t="s">
        <v>1487</v>
      </c>
      <c r="P770" t="s">
        <v>2366</v>
      </c>
      <c r="Q770" t="s">
        <v>2364</v>
      </c>
      <c r="R770" t="s">
        <v>2364</v>
      </c>
      <c r="S770" t="s">
        <v>553</v>
      </c>
      <c r="T770" t="s">
        <v>2175</v>
      </c>
      <c r="U770">
        <v>140</v>
      </c>
      <c r="V770" t="s">
        <v>693</v>
      </c>
      <c r="W770">
        <v>140</v>
      </c>
      <c r="X770" t="s">
        <v>693</v>
      </c>
      <c r="Y770" t="s">
        <v>2365</v>
      </c>
      <c r="Z770" t="s">
        <v>2365</v>
      </c>
      <c r="AA770" t="s">
        <v>2365</v>
      </c>
      <c r="AB770" t="s">
        <v>2365</v>
      </c>
      <c r="AC770" s="813" t="s">
        <v>2365</v>
      </c>
      <c r="AD770" s="813" t="s">
        <v>2365</v>
      </c>
      <c r="AE770" s="813" t="s">
        <v>2365</v>
      </c>
      <c r="AF770" t="s">
        <v>2365</v>
      </c>
      <c r="AG770" t="s">
        <v>2365</v>
      </c>
      <c r="AH770" t="s">
        <v>2365</v>
      </c>
      <c r="AI770" t="s">
        <v>2365</v>
      </c>
      <c r="AJ770" t="s">
        <v>2365</v>
      </c>
      <c r="AK770" t="s">
        <v>2366</v>
      </c>
      <c r="AL770" t="s">
        <v>2366</v>
      </c>
      <c r="AM770" t="s">
        <v>2366</v>
      </c>
      <c r="AN770" t="s">
        <v>2366</v>
      </c>
      <c r="AR770" t="s">
        <v>2365</v>
      </c>
      <c r="AS770" t="s">
        <v>2365</v>
      </c>
      <c r="AT770" t="s">
        <v>2365</v>
      </c>
      <c r="AU770" t="s">
        <v>2365</v>
      </c>
      <c r="AV770" t="s">
        <v>2365</v>
      </c>
      <c r="AW770" t="s">
        <v>2365</v>
      </c>
      <c r="AX770" t="s">
        <v>2365</v>
      </c>
      <c r="AY770" t="s">
        <v>2365</v>
      </c>
      <c r="AZ770" t="s">
        <v>2365</v>
      </c>
      <c r="BA770" t="s">
        <v>2365</v>
      </c>
      <c r="BB770" t="s">
        <v>2365</v>
      </c>
      <c r="BC770" t="s">
        <v>2365</v>
      </c>
      <c r="BD770" t="s">
        <v>2366</v>
      </c>
      <c r="BE770" t="s">
        <v>2365</v>
      </c>
      <c r="BF770" t="s">
        <v>2365</v>
      </c>
      <c r="BG770" t="s">
        <v>2365</v>
      </c>
      <c r="BH770" t="s">
        <v>2365</v>
      </c>
      <c r="BI770" t="s">
        <v>2366</v>
      </c>
      <c r="BJ770" t="s">
        <v>2365</v>
      </c>
      <c r="BK770" t="s">
        <v>2365</v>
      </c>
      <c r="BL770" t="s">
        <v>2365</v>
      </c>
      <c r="BM770" t="s">
        <v>2365</v>
      </c>
      <c r="BO770">
        <v>1</v>
      </c>
      <c r="BP770">
        <v>11</v>
      </c>
      <c r="BQ770" t="s">
        <v>2369</v>
      </c>
      <c r="BR770" t="s">
        <v>1487</v>
      </c>
      <c r="BU770">
        <v>0</v>
      </c>
      <c r="BV770">
        <v>0</v>
      </c>
      <c r="BW770">
        <v>0</v>
      </c>
      <c r="BX770">
        <v>0</v>
      </c>
      <c r="BY770">
        <v>0</v>
      </c>
      <c r="BZ770">
        <v>0</v>
      </c>
      <c r="CA770">
        <v>0</v>
      </c>
      <c r="CB770">
        <v>0</v>
      </c>
      <c r="CC770">
        <v>0</v>
      </c>
      <c r="CD770">
        <v>0</v>
      </c>
      <c r="CE770">
        <v>0</v>
      </c>
      <c r="CF770">
        <v>0</v>
      </c>
      <c r="CG770">
        <v>0</v>
      </c>
      <c r="CH770">
        <v>0</v>
      </c>
      <c r="CI770">
        <v>0</v>
      </c>
      <c r="CJ770">
        <v>0</v>
      </c>
      <c r="CK770">
        <v>0</v>
      </c>
      <c r="CL770">
        <v>0</v>
      </c>
      <c r="CM770">
        <v>0</v>
      </c>
      <c r="CR770" t="s">
        <v>2324</v>
      </c>
      <c r="CS770" s="1369" t="str">
        <f>INDEX([8]Sheet1!$H:$H,MATCH(CR:CR,[8]Sheet1!$AU:$AU,0))</f>
        <v>Finance</v>
      </c>
    </row>
    <row r="771" spans="1:97" x14ac:dyDescent="0.2">
      <c r="A771" t="s">
        <v>3420</v>
      </c>
      <c r="B771">
        <v>824</v>
      </c>
      <c r="C771" t="s">
        <v>3420</v>
      </c>
      <c r="D771">
        <v>41555</v>
      </c>
      <c r="E771" t="s">
        <v>3421</v>
      </c>
      <c r="F771" t="s">
        <v>2364</v>
      </c>
      <c r="G771" t="s">
        <v>2364</v>
      </c>
      <c r="H771" t="s">
        <v>2365</v>
      </c>
      <c r="I771" t="s">
        <v>2365</v>
      </c>
      <c r="J771" t="s">
        <v>2365</v>
      </c>
      <c r="K771" t="s">
        <v>2365</v>
      </c>
      <c r="L771">
        <v>1200</v>
      </c>
      <c r="M771" t="s">
        <v>1480</v>
      </c>
      <c r="N771">
        <v>1204</v>
      </c>
      <c r="O771" t="s">
        <v>1487</v>
      </c>
      <c r="P771" t="s">
        <v>2366</v>
      </c>
      <c r="Q771" t="s">
        <v>2364</v>
      </c>
      <c r="R771" t="s">
        <v>2364</v>
      </c>
      <c r="S771" t="s">
        <v>553</v>
      </c>
      <c r="T771" t="s">
        <v>2175</v>
      </c>
      <c r="U771">
        <v>140</v>
      </c>
      <c r="V771" t="s">
        <v>693</v>
      </c>
      <c r="W771">
        <v>140</v>
      </c>
      <c r="X771" t="s">
        <v>693</v>
      </c>
      <c r="Y771" t="s">
        <v>2365</v>
      </c>
      <c r="Z771" t="s">
        <v>2365</v>
      </c>
      <c r="AA771" t="s">
        <v>2365</v>
      </c>
      <c r="AB771" t="s">
        <v>2365</v>
      </c>
      <c r="AC771" s="813" t="s">
        <v>2365</v>
      </c>
      <c r="AD771" s="813" t="s">
        <v>2365</v>
      </c>
      <c r="AE771" s="813" t="s">
        <v>2365</v>
      </c>
      <c r="AF771" t="s">
        <v>2365</v>
      </c>
      <c r="AG771" t="s">
        <v>2365</v>
      </c>
      <c r="AH771" t="s">
        <v>2365</v>
      </c>
      <c r="AI771" t="s">
        <v>2365</v>
      </c>
      <c r="AJ771" t="s">
        <v>2365</v>
      </c>
      <c r="AK771" t="s">
        <v>2366</v>
      </c>
      <c r="AL771" t="s">
        <v>2366</v>
      </c>
      <c r="AM771" t="s">
        <v>2366</v>
      </c>
      <c r="AN771" t="s">
        <v>2366</v>
      </c>
      <c r="AR771" t="s">
        <v>2365</v>
      </c>
      <c r="AS771" t="s">
        <v>2365</v>
      </c>
      <c r="AT771" t="s">
        <v>2365</v>
      </c>
      <c r="AU771" t="s">
        <v>2365</v>
      </c>
      <c r="AV771" t="s">
        <v>2365</v>
      </c>
      <c r="AW771" t="s">
        <v>2365</v>
      </c>
      <c r="AX771" t="s">
        <v>2365</v>
      </c>
      <c r="AY771" t="s">
        <v>2365</v>
      </c>
      <c r="AZ771" t="s">
        <v>2365</v>
      </c>
      <c r="BA771" t="s">
        <v>2365</v>
      </c>
      <c r="BB771" t="s">
        <v>2365</v>
      </c>
      <c r="BC771" t="s">
        <v>2365</v>
      </c>
      <c r="BD771" t="s">
        <v>2366</v>
      </c>
      <c r="BE771" t="s">
        <v>2365</v>
      </c>
      <c r="BF771" t="s">
        <v>2365</v>
      </c>
      <c r="BG771" t="s">
        <v>2365</v>
      </c>
      <c r="BH771" t="s">
        <v>2365</v>
      </c>
      <c r="BI771" t="s">
        <v>2366</v>
      </c>
      <c r="BJ771" t="s">
        <v>2365</v>
      </c>
      <c r="BK771" t="s">
        <v>2365</v>
      </c>
      <c r="BL771" t="s">
        <v>2365</v>
      </c>
      <c r="BM771" t="s">
        <v>2365</v>
      </c>
      <c r="BO771">
        <v>1</v>
      </c>
      <c r="BP771">
        <v>11</v>
      </c>
      <c r="BQ771" t="s">
        <v>2369</v>
      </c>
      <c r="BR771" t="s">
        <v>1487</v>
      </c>
      <c r="BU771">
        <v>0</v>
      </c>
      <c r="BV771">
        <v>0</v>
      </c>
      <c r="BW771">
        <v>0</v>
      </c>
      <c r="BX771">
        <v>0</v>
      </c>
      <c r="BY771">
        <v>0</v>
      </c>
      <c r="BZ771">
        <v>0</v>
      </c>
      <c r="CA771">
        <v>0</v>
      </c>
      <c r="CB771">
        <v>0</v>
      </c>
      <c r="CC771">
        <v>0</v>
      </c>
      <c r="CD771">
        <v>0</v>
      </c>
      <c r="CE771">
        <v>0</v>
      </c>
      <c r="CF771">
        <v>0</v>
      </c>
      <c r="CG771">
        <v>0</v>
      </c>
      <c r="CH771">
        <v>0</v>
      </c>
      <c r="CI771">
        <v>0</v>
      </c>
      <c r="CJ771">
        <v>0</v>
      </c>
      <c r="CK771">
        <v>0</v>
      </c>
      <c r="CL771">
        <v>0</v>
      </c>
      <c r="CM771">
        <v>0</v>
      </c>
      <c r="CR771" t="s">
        <v>2324</v>
      </c>
      <c r="CS771" s="1369" t="str">
        <f>INDEX([8]Sheet1!$H:$H,MATCH(CR:CR,[8]Sheet1!$AU:$AU,0))</f>
        <v>Finance</v>
      </c>
    </row>
    <row r="772" spans="1:97" x14ac:dyDescent="0.2">
      <c r="A772" t="s">
        <v>3422</v>
      </c>
      <c r="B772">
        <v>825</v>
      </c>
      <c r="C772" t="s">
        <v>3422</v>
      </c>
      <c r="D772">
        <v>41556</v>
      </c>
      <c r="E772" t="s">
        <v>3423</v>
      </c>
      <c r="F772" t="s">
        <v>2364</v>
      </c>
      <c r="G772" t="s">
        <v>2364</v>
      </c>
      <c r="H772" s="1373" t="s">
        <v>2365</v>
      </c>
      <c r="I772" t="s">
        <v>2365</v>
      </c>
      <c r="J772" t="s">
        <v>2365</v>
      </c>
      <c r="K772" t="s">
        <v>2365</v>
      </c>
      <c r="L772" s="1373">
        <v>1200</v>
      </c>
      <c r="M772" t="s">
        <v>1480</v>
      </c>
      <c r="N772">
        <v>1204</v>
      </c>
      <c r="O772" t="s">
        <v>1487</v>
      </c>
      <c r="P772" t="s">
        <v>2366</v>
      </c>
      <c r="Q772" t="s">
        <v>2364</v>
      </c>
      <c r="R772" t="s">
        <v>2364</v>
      </c>
      <c r="S772" t="s">
        <v>553</v>
      </c>
      <c r="T772" t="s">
        <v>2175</v>
      </c>
      <c r="U772">
        <v>140</v>
      </c>
      <c r="V772" t="s">
        <v>693</v>
      </c>
      <c r="W772">
        <v>140</v>
      </c>
      <c r="X772" t="s">
        <v>693</v>
      </c>
      <c r="Y772" t="s">
        <v>2365</v>
      </c>
      <c r="Z772" t="s">
        <v>2365</v>
      </c>
      <c r="AA772" t="s">
        <v>2365</v>
      </c>
      <c r="AB772" t="s">
        <v>2365</v>
      </c>
      <c r="AC772" s="813" t="s">
        <v>2365</v>
      </c>
      <c r="AD772" s="813" t="s">
        <v>2365</v>
      </c>
      <c r="AE772" s="813" t="s">
        <v>2365</v>
      </c>
      <c r="AF772" t="s">
        <v>2365</v>
      </c>
      <c r="AG772" t="s">
        <v>2365</v>
      </c>
      <c r="AH772" t="s">
        <v>2365</v>
      </c>
      <c r="AI772" t="s">
        <v>2365</v>
      </c>
      <c r="AJ772" t="s">
        <v>2365</v>
      </c>
      <c r="AK772" t="s">
        <v>2366</v>
      </c>
      <c r="AL772" t="s">
        <v>2366</v>
      </c>
      <c r="AM772" t="s">
        <v>2366</v>
      </c>
      <c r="AN772" t="s">
        <v>2366</v>
      </c>
      <c r="AR772" t="s">
        <v>2365</v>
      </c>
      <c r="AS772" t="s">
        <v>2365</v>
      </c>
      <c r="AT772" t="s">
        <v>2365</v>
      </c>
      <c r="AU772" t="s">
        <v>2365</v>
      </c>
      <c r="AV772" t="s">
        <v>2365</v>
      </c>
      <c r="AW772" t="s">
        <v>2365</v>
      </c>
      <c r="AX772" t="s">
        <v>2365</v>
      </c>
      <c r="AY772" t="s">
        <v>2365</v>
      </c>
      <c r="AZ772" t="s">
        <v>2365</v>
      </c>
      <c r="BA772" t="s">
        <v>2365</v>
      </c>
      <c r="BB772" t="s">
        <v>2365</v>
      </c>
      <c r="BC772" t="s">
        <v>2365</v>
      </c>
      <c r="BD772" t="s">
        <v>2366</v>
      </c>
      <c r="BE772" t="s">
        <v>2365</v>
      </c>
      <c r="BF772" t="s">
        <v>2365</v>
      </c>
      <c r="BG772" t="s">
        <v>2365</v>
      </c>
      <c r="BH772" t="s">
        <v>2365</v>
      </c>
      <c r="BI772" t="s">
        <v>2366</v>
      </c>
      <c r="BJ772" t="s">
        <v>2365</v>
      </c>
      <c r="BK772" t="s">
        <v>2365</v>
      </c>
      <c r="BL772" t="s">
        <v>2365</v>
      </c>
      <c r="BM772" t="s">
        <v>2365</v>
      </c>
      <c r="BO772">
        <v>1</v>
      </c>
      <c r="BP772">
        <v>11</v>
      </c>
      <c r="BQ772" t="s">
        <v>2369</v>
      </c>
      <c r="BR772" t="s">
        <v>1487</v>
      </c>
      <c r="BU772" s="1371">
        <v>0</v>
      </c>
      <c r="BV772" s="1371">
        <v>0</v>
      </c>
      <c r="BW772" s="1371">
        <v>0</v>
      </c>
      <c r="BX772" s="1371">
        <v>0</v>
      </c>
      <c r="BY772" s="1371">
        <v>0</v>
      </c>
      <c r="BZ772">
        <v>0</v>
      </c>
      <c r="CA772">
        <v>0</v>
      </c>
      <c r="CB772">
        <v>0</v>
      </c>
      <c r="CC772">
        <v>0</v>
      </c>
      <c r="CD772">
        <v>0</v>
      </c>
      <c r="CE772">
        <v>0</v>
      </c>
      <c r="CF772">
        <v>0</v>
      </c>
      <c r="CG772">
        <v>0</v>
      </c>
      <c r="CH772">
        <v>0</v>
      </c>
      <c r="CI772">
        <v>0</v>
      </c>
      <c r="CJ772">
        <v>0</v>
      </c>
      <c r="CK772">
        <v>0</v>
      </c>
      <c r="CL772">
        <v>0</v>
      </c>
      <c r="CM772">
        <v>0</v>
      </c>
      <c r="CR772" t="s">
        <v>2324</v>
      </c>
      <c r="CS772" s="1369" t="str">
        <f>INDEX([8]Sheet1!$H:$H,MATCH(CR:CR,[8]Sheet1!$AU:$AU,0))</f>
        <v>Finance</v>
      </c>
    </row>
    <row r="773" spans="1:97" x14ac:dyDescent="0.2">
      <c r="A773" t="s">
        <v>3424</v>
      </c>
      <c r="B773">
        <v>826</v>
      </c>
      <c r="C773" t="s">
        <v>3424</v>
      </c>
      <c r="D773">
        <v>41557</v>
      </c>
      <c r="E773" t="s">
        <v>3425</v>
      </c>
      <c r="F773" t="s">
        <v>2364</v>
      </c>
      <c r="G773" t="s">
        <v>2364</v>
      </c>
      <c r="H773" s="1373" t="s">
        <v>2365</v>
      </c>
      <c r="I773" t="s">
        <v>2365</v>
      </c>
      <c r="J773" t="s">
        <v>2365</v>
      </c>
      <c r="K773" t="s">
        <v>2365</v>
      </c>
      <c r="L773" s="1373">
        <v>1200</v>
      </c>
      <c r="M773" t="s">
        <v>1480</v>
      </c>
      <c r="N773">
        <v>1204</v>
      </c>
      <c r="O773" t="s">
        <v>1487</v>
      </c>
      <c r="P773" t="s">
        <v>2366</v>
      </c>
      <c r="Q773" t="s">
        <v>2364</v>
      </c>
      <c r="R773" t="s">
        <v>2364</v>
      </c>
      <c r="S773" t="s">
        <v>553</v>
      </c>
      <c r="T773" t="s">
        <v>2175</v>
      </c>
      <c r="U773">
        <v>140</v>
      </c>
      <c r="V773" t="s">
        <v>693</v>
      </c>
      <c r="W773">
        <v>140</v>
      </c>
      <c r="X773" t="s">
        <v>693</v>
      </c>
      <c r="Y773" t="s">
        <v>2365</v>
      </c>
      <c r="Z773" t="s">
        <v>2365</v>
      </c>
      <c r="AA773" t="s">
        <v>2365</v>
      </c>
      <c r="AB773" t="s">
        <v>2365</v>
      </c>
      <c r="AC773" s="813" t="s">
        <v>2365</v>
      </c>
      <c r="AD773" s="813" t="s">
        <v>2365</v>
      </c>
      <c r="AE773" s="813" t="s">
        <v>2365</v>
      </c>
      <c r="AF773" t="s">
        <v>2365</v>
      </c>
      <c r="AG773" t="s">
        <v>2365</v>
      </c>
      <c r="AH773" t="s">
        <v>2365</v>
      </c>
      <c r="AI773" t="s">
        <v>2365</v>
      </c>
      <c r="AJ773" t="s">
        <v>2365</v>
      </c>
      <c r="AK773" t="s">
        <v>2366</v>
      </c>
      <c r="AL773" t="s">
        <v>2366</v>
      </c>
      <c r="AM773" t="s">
        <v>2366</v>
      </c>
      <c r="AN773" t="s">
        <v>2366</v>
      </c>
      <c r="AR773" t="s">
        <v>2365</v>
      </c>
      <c r="AS773" t="s">
        <v>2365</v>
      </c>
      <c r="AT773" t="s">
        <v>2365</v>
      </c>
      <c r="AU773" t="s">
        <v>2365</v>
      </c>
      <c r="AV773" t="s">
        <v>2365</v>
      </c>
      <c r="AW773" t="s">
        <v>2365</v>
      </c>
      <c r="AX773" t="s">
        <v>2365</v>
      </c>
      <c r="AY773" t="s">
        <v>2365</v>
      </c>
      <c r="AZ773" t="s">
        <v>2365</v>
      </c>
      <c r="BA773" t="s">
        <v>2365</v>
      </c>
      <c r="BB773" t="s">
        <v>2365</v>
      </c>
      <c r="BC773" t="s">
        <v>2365</v>
      </c>
      <c r="BD773" t="s">
        <v>2366</v>
      </c>
      <c r="BE773" t="s">
        <v>2365</v>
      </c>
      <c r="BF773" t="s">
        <v>2365</v>
      </c>
      <c r="BG773" t="s">
        <v>2365</v>
      </c>
      <c r="BH773" t="s">
        <v>2365</v>
      </c>
      <c r="BI773" t="s">
        <v>2366</v>
      </c>
      <c r="BJ773" t="s">
        <v>2365</v>
      </c>
      <c r="BK773" t="s">
        <v>2365</v>
      </c>
      <c r="BL773" t="s">
        <v>2365</v>
      </c>
      <c r="BM773" t="s">
        <v>2365</v>
      </c>
      <c r="BO773">
        <v>1</v>
      </c>
      <c r="BP773">
        <v>11</v>
      </c>
      <c r="BQ773" t="s">
        <v>2369</v>
      </c>
      <c r="BR773" t="s">
        <v>1487</v>
      </c>
      <c r="BU773" s="1371">
        <v>0</v>
      </c>
      <c r="BV773" s="1371">
        <v>0</v>
      </c>
      <c r="BW773" s="1371">
        <v>0</v>
      </c>
      <c r="BX773" s="1371">
        <v>0</v>
      </c>
      <c r="BY773" s="1371">
        <v>0</v>
      </c>
      <c r="BZ773">
        <v>0</v>
      </c>
      <c r="CA773">
        <v>0</v>
      </c>
      <c r="CB773">
        <v>0</v>
      </c>
      <c r="CC773">
        <v>0</v>
      </c>
      <c r="CD773">
        <v>0</v>
      </c>
      <c r="CE773">
        <v>0</v>
      </c>
      <c r="CF773">
        <v>0</v>
      </c>
      <c r="CG773">
        <v>0</v>
      </c>
      <c r="CH773">
        <v>0</v>
      </c>
      <c r="CI773">
        <v>0</v>
      </c>
      <c r="CJ773">
        <v>0</v>
      </c>
      <c r="CK773">
        <v>0</v>
      </c>
      <c r="CL773">
        <v>0</v>
      </c>
      <c r="CM773">
        <v>0</v>
      </c>
      <c r="CR773" t="s">
        <v>2328</v>
      </c>
      <c r="CS773" s="1369" t="str">
        <f>INDEX([8]Sheet1!$H:$H,MATCH(CR:CR,[8]Sheet1!$AU:$AU,0))</f>
        <v>Water Distribution</v>
      </c>
    </row>
    <row r="774" spans="1:97" x14ac:dyDescent="0.2">
      <c r="A774" t="s">
        <v>3426</v>
      </c>
      <c r="B774">
        <v>827</v>
      </c>
      <c r="C774" t="s">
        <v>3426</v>
      </c>
      <c r="D774">
        <v>41558</v>
      </c>
      <c r="E774" t="s">
        <v>3427</v>
      </c>
      <c r="F774" t="s">
        <v>2364</v>
      </c>
      <c r="G774" t="s">
        <v>2364</v>
      </c>
      <c r="H774" t="s">
        <v>2365</v>
      </c>
      <c r="I774" t="s">
        <v>2365</v>
      </c>
      <c r="J774" t="s">
        <v>2365</v>
      </c>
      <c r="K774" t="s">
        <v>2365</v>
      </c>
      <c r="L774">
        <v>1200</v>
      </c>
      <c r="M774" t="s">
        <v>1480</v>
      </c>
      <c r="N774">
        <v>1204</v>
      </c>
      <c r="O774" t="s">
        <v>1487</v>
      </c>
      <c r="P774" t="s">
        <v>2366</v>
      </c>
      <c r="Q774" t="s">
        <v>2364</v>
      </c>
      <c r="R774" t="s">
        <v>2364</v>
      </c>
      <c r="S774" t="s">
        <v>553</v>
      </c>
      <c r="T774" t="s">
        <v>2175</v>
      </c>
      <c r="U774">
        <v>140</v>
      </c>
      <c r="V774" t="s">
        <v>693</v>
      </c>
      <c r="W774">
        <v>140</v>
      </c>
      <c r="X774" t="s">
        <v>693</v>
      </c>
      <c r="Y774" t="s">
        <v>2365</v>
      </c>
      <c r="Z774" t="s">
        <v>2365</v>
      </c>
      <c r="AA774" t="s">
        <v>2365</v>
      </c>
      <c r="AB774" t="s">
        <v>2365</v>
      </c>
      <c r="AC774" s="813" t="s">
        <v>2365</v>
      </c>
      <c r="AD774" s="813" t="s">
        <v>2365</v>
      </c>
      <c r="AE774" s="813" t="s">
        <v>2365</v>
      </c>
      <c r="AF774" t="s">
        <v>2365</v>
      </c>
      <c r="AG774" t="s">
        <v>2365</v>
      </c>
      <c r="AH774" t="s">
        <v>2365</v>
      </c>
      <c r="AI774" t="s">
        <v>2365</v>
      </c>
      <c r="AJ774" t="s">
        <v>2365</v>
      </c>
      <c r="AK774" t="s">
        <v>2366</v>
      </c>
      <c r="AL774" t="s">
        <v>2366</v>
      </c>
      <c r="AM774" t="s">
        <v>2366</v>
      </c>
      <c r="AN774" t="s">
        <v>2366</v>
      </c>
      <c r="AR774" t="s">
        <v>2365</v>
      </c>
      <c r="AS774" t="s">
        <v>2365</v>
      </c>
      <c r="AT774" t="s">
        <v>2365</v>
      </c>
      <c r="AU774" t="s">
        <v>2365</v>
      </c>
      <c r="AV774" t="s">
        <v>2365</v>
      </c>
      <c r="AW774" t="s">
        <v>2365</v>
      </c>
      <c r="AX774" t="s">
        <v>2365</v>
      </c>
      <c r="AY774" t="s">
        <v>2365</v>
      </c>
      <c r="AZ774" t="s">
        <v>2365</v>
      </c>
      <c r="BA774" t="s">
        <v>2365</v>
      </c>
      <c r="BB774" t="s">
        <v>2365</v>
      </c>
      <c r="BC774" t="s">
        <v>2365</v>
      </c>
      <c r="BD774" t="s">
        <v>2366</v>
      </c>
      <c r="BE774" t="s">
        <v>2365</v>
      </c>
      <c r="BF774" t="s">
        <v>2365</v>
      </c>
      <c r="BG774" t="s">
        <v>2365</v>
      </c>
      <c r="BH774" t="s">
        <v>2365</v>
      </c>
      <c r="BI774" t="s">
        <v>2366</v>
      </c>
      <c r="BJ774" t="s">
        <v>2365</v>
      </c>
      <c r="BK774" t="s">
        <v>2365</v>
      </c>
      <c r="BL774" t="s">
        <v>2365</v>
      </c>
      <c r="BM774" t="s">
        <v>2365</v>
      </c>
      <c r="BO774">
        <v>1</v>
      </c>
      <c r="BP774">
        <v>11</v>
      </c>
      <c r="BQ774" t="s">
        <v>2369</v>
      </c>
      <c r="BR774" t="s">
        <v>1487</v>
      </c>
      <c r="BU774">
        <v>0</v>
      </c>
      <c r="BV774">
        <v>0</v>
      </c>
      <c r="BW774">
        <v>0</v>
      </c>
      <c r="BX774">
        <v>0</v>
      </c>
      <c r="BY774">
        <v>0</v>
      </c>
      <c r="BZ774">
        <v>0</v>
      </c>
      <c r="CA774">
        <v>0</v>
      </c>
      <c r="CB774">
        <v>0</v>
      </c>
      <c r="CC774">
        <v>0</v>
      </c>
      <c r="CD774">
        <v>0</v>
      </c>
      <c r="CE774">
        <v>0</v>
      </c>
      <c r="CF774">
        <v>0</v>
      </c>
      <c r="CG774">
        <v>0</v>
      </c>
      <c r="CH774">
        <v>0</v>
      </c>
      <c r="CI774">
        <v>0</v>
      </c>
      <c r="CJ774">
        <v>0</v>
      </c>
      <c r="CK774">
        <v>0</v>
      </c>
      <c r="CL774">
        <v>0</v>
      </c>
      <c r="CM774">
        <v>0</v>
      </c>
      <c r="CR774" t="s">
        <v>2328</v>
      </c>
      <c r="CS774" s="1369" t="str">
        <f>INDEX([8]Sheet1!$H:$H,MATCH(CR:CR,[8]Sheet1!$AU:$AU,0))</f>
        <v>Water Distribution</v>
      </c>
    </row>
    <row r="775" spans="1:97" x14ac:dyDescent="0.2">
      <c r="A775" t="s">
        <v>3428</v>
      </c>
      <c r="B775">
        <v>828</v>
      </c>
      <c r="C775" t="s">
        <v>3428</v>
      </c>
      <c r="D775">
        <v>41559</v>
      </c>
      <c r="E775" t="s">
        <v>3429</v>
      </c>
      <c r="F775" t="s">
        <v>2364</v>
      </c>
      <c r="G775" t="s">
        <v>2364</v>
      </c>
      <c r="H775" t="s">
        <v>2365</v>
      </c>
      <c r="I775" t="s">
        <v>2365</v>
      </c>
      <c r="J775" t="s">
        <v>2365</v>
      </c>
      <c r="K775" t="s">
        <v>2365</v>
      </c>
      <c r="L775">
        <v>1200</v>
      </c>
      <c r="M775" t="s">
        <v>1480</v>
      </c>
      <c r="N775">
        <v>1204</v>
      </c>
      <c r="O775" t="s">
        <v>1487</v>
      </c>
      <c r="P775" t="s">
        <v>2366</v>
      </c>
      <c r="Q775" t="s">
        <v>2364</v>
      </c>
      <c r="R775" t="s">
        <v>2364</v>
      </c>
      <c r="S775" t="s">
        <v>553</v>
      </c>
      <c r="T775" t="s">
        <v>2175</v>
      </c>
      <c r="U775">
        <v>140</v>
      </c>
      <c r="V775" t="s">
        <v>693</v>
      </c>
      <c r="W775">
        <v>140</v>
      </c>
      <c r="X775" t="s">
        <v>693</v>
      </c>
      <c r="Y775" t="s">
        <v>2365</v>
      </c>
      <c r="Z775" t="s">
        <v>2365</v>
      </c>
      <c r="AA775" t="s">
        <v>2365</v>
      </c>
      <c r="AB775" t="s">
        <v>2365</v>
      </c>
      <c r="AC775" s="813" t="s">
        <v>2365</v>
      </c>
      <c r="AD775" s="813" t="s">
        <v>2365</v>
      </c>
      <c r="AE775" s="813" t="s">
        <v>2365</v>
      </c>
      <c r="AF775" t="s">
        <v>2365</v>
      </c>
      <c r="AG775" t="s">
        <v>2365</v>
      </c>
      <c r="AH775" t="s">
        <v>2365</v>
      </c>
      <c r="AI775" t="s">
        <v>2365</v>
      </c>
      <c r="AJ775" t="s">
        <v>2365</v>
      </c>
      <c r="AK775">
        <v>147</v>
      </c>
      <c r="AL775" t="s">
        <v>1200</v>
      </c>
      <c r="AM775">
        <v>147</v>
      </c>
      <c r="AN775" t="s">
        <v>1200</v>
      </c>
      <c r="AR775" t="s">
        <v>2365</v>
      </c>
      <c r="AS775" t="s">
        <v>2365</v>
      </c>
      <c r="AT775" t="s">
        <v>2365</v>
      </c>
      <c r="AU775" t="s">
        <v>2365</v>
      </c>
      <c r="AV775" t="s">
        <v>2365</v>
      </c>
      <c r="AW775" t="s">
        <v>2365</v>
      </c>
      <c r="AX775" t="s">
        <v>2365</v>
      </c>
      <c r="AY775" t="s">
        <v>2365</v>
      </c>
      <c r="AZ775" t="s">
        <v>2365</v>
      </c>
      <c r="BA775" t="s">
        <v>2365</v>
      </c>
      <c r="BB775" t="s">
        <v>2365</v>
      </c>
      <c r="BC775" t="s">
        <v>2365</v>
      </c>
      <c r="BD775" t="s">
        <v>2366</v>
      </c>
      <c r="BE775" t="s">
        <v>2365</v>
      </c>
      <c r="BF775" t="s">
        <v>2365</v>
      </c>
      <c r="BG775" t="s">
        <v>2365</v>
      </c>
      <c r="BH775" t="s">
        <v>2365</v>
      </c>
      <c r="BI775" t="s">
        <v>2366</v>
      </c>
      <c r="BJ775" t="s">
        <v>2365</v>
      </c>
      <c r="BK775" t="s">
        <v>2365</v>
      </c>
      <c r="BL775" t="s">
        <v>2365</v>
      </c>
      <c r="BM775" t="s">
        <v>2365</v>
      </c>
      <c r="BO775">
        <v>1</v>
      </c>
      <c r="BP775">
        <v>11</v>
      </c>
      <c r="BQ775" t="s">
        <v>2369</v>
      </c>
      <c r="BR775" t="s">
        <v>1487</v>
      </c>
      <c r="BU775">
        <v>0</v>
      </c>
      <c r="BV775">
        <v>0</v>
      </c>
      <c r="BW775">
        <v>0</v>
      </c>
      <c r="BX775">
        <v>0</v>
      </c>
      <c r="BY775">
        <v>0</v>
      </c>
      <c r="BZ775">
        <v>0</v>
      </c>
      <c r="CA775">
        <v>0</v>
      </c>
      <c r="CB775">
        <v>0</v>
      </c>
      <c r="CC775">
        <v>0</v>
      </c>
      <c r="CD775">
        <v>0</v>
      </c>
      <c r="CE775">
        <v>0</v>
      </c>
      <c r="CF775">
        <v>0</v>
      </c>
      <c r="CG775">
        <v>0</v>
      </c>
      <c r="CH775">
        <v>0</v>
      </c>
      <c r="CI775">
        <v>0</v>
      </c>
      <c r="CJ775">
        <v>0</v>
      </c>
      <c r="CK775">
        <v>0</v>
      </c>
      <c r="CL775">
        <v>0</v>
      </c>
      <c r="CM775">
        <v>0</v>
      </c>
      <c r="CR775" t="s">
        <v>2328</v>
      </c>
      <c r="CS775" s="1369" t="str">
        <f>INDEX([8]Sheet1!$H:$H,MATCH(CR:CR,[8]Sheet1!$AU:$AU,0))</f>
        <v>Water Distribution</v>
      </c>
    </row>
    <row r="776" spans="1:97" x14ac:dyDescent="0.2">
      <c r="A776" t="s">
        <v>3430</v>
      </c>
      <c r="B776">
        <v>829</v>
      </c>
      <c r="C776" t="s">
        <v>3430</v>
      </c>
      <c r="D776">
        <v>41560</v>
      </c>
      <c r="E776" t="s">
        <v>3431</v>
      </c>
      <c r="F776" t="s">
        <v>2364</v>
      </c>
      <c r="G776" t="s">
        <v>2364</v>
      </c>
      <c r="H776" t="s">
        <v>2365</v>
      </c>
      <c r="I776" t="s">
        <v>2365</v>
      </c>
      <c r="J776" t="s">
        <v>2365</v>
      </c>
      <c r="K776" t="s">
        <v>2365</v>
      </c>
      <c r="L776">
        <v>1200</v>
      </c>
      <c r="M776" t="s">
        <v>1480</v>
      </c>
      <c r="N776">
        <v>1204</v>
      </c>
      <c r="O776" t="s">
        <v>1487</v>
      </c>
      <c r="P776" t="s">
        <v>2366</v>
      </c>
      <c r="Q776" t="s">
        <v>2364</v>
      </c>
      <c r="R776" t="s">
        <v>2364</v>
      </c>
      <c r="S776" t="s">
        <v>553</v>
      </c>
      <c r="T776" t="s">
        <v>2175</v>
      </c>
      <c r="U776">
        <v>140</v>
      </c>
      <c r="V776" t="s">
        <v>693</v>
      </c>
      <c r="W776">
        <v>140</v>
      </c>
      <c r="X776" t="s">
        <v>693</v>
      </c>
      <c r="Y776" t="s">
        <v>2365</v>
      </c>
      <c r="Z776" t="s">
        <v>2365</v>
      </c>
      <c r="AA776" t="s">
        <v>2365</v>
      </c>
      <c r="AB776" t="s">
        <v>2365</v>
      </c>
      <c r="AC776" s="813" t="s">
        <v>2365</v>
      </c>
      <c r="AD776" s="813" t="s">
        <v>2365</v>
      </c>
      <c r="AE776" s="813" t="s">
        <v>2365</v>
      </c>
      <c r="AF776" t="s">
        <v>2365</v>
      </c>
      <c r="AG776" t="s">
        <v>2365</v>
      </c>
      <c r="AH776" t="s">
        <v>2365</v>
      </c>
      <c r="AI776" t="s">
        <v>2365</v>
      </c>
      <c r="AJ776" t="s">
        <v>2365</v>
      </c>
      <c r="AK776" t="s">
        <v>2366</v>
      </c>
      <c r="AL776" t="s">
        <v>2366</v>
      </c>
      <c r="AM776" t="s">
        <v>2366</v>
      </c>
      <c r="AN776" t="s">
        <v>2366</v>
      </c>
      <c r="AR776" t="s">
        <v>2365</v>
      </c>
      <c r="AS776" t="s">
        <v>2365</v>
      </c>
      <c r="AT776" t="s">
        <v>2365</v>
      </c>
      <c r="AU776" t="s">
        <v>2365</v>
      </c>
      <c r="AV776" t="s">
        <v>2365</v>
      </c>
      <c r="AW776" t="s">
        <v>2365</v>
      </c>
      <c r="AX776" t="s">
        <v>2365</v>
      </c>
      <c r="AY776" t="s">
        <v>2365</v>
      </c>
      <c r="AZ776" t="s">
        <v>2365</v>
      </c>
      <c r="BA776" t="s">
        <v>2365</v>
      </c>
      <c r="BB776" t="s">
        <v>2365</v>
      </c>
      <c r="BC776" t="s">
        <v>2365</v>
      </c>
      <c r="BD776" t="s">
        <v>2366</v>
      </c>
      <c r="BE776" t="s">
        <v>2365</v>
      </c>
      <c r="BF776" t="s">
        <v>2365</v>
      </c>
      <c r="BG776" t="s">
        <v>2365</v>
      </c>
      <c r="BH776" t="s">
        <v>2365</v>
      </c>
      <c r="BI776" t="s">
        <v>2366</v>
      </c>
      <c r="BJ776" t="s">
        <v>2365</v>
      </c>
      <c r="BK776" t="s">
        <v>2365</v>
      </c>
      <c r="BL776" t="s">
        <v>2365</v>
      </c>
      <c r="BM776" t="s">
        <v>2365</v>
      </c>
      <c r="BO776">
        <v>1</v>
      </c>
      <c r="BP776">
        <v>11</v>
      </c>
      <c r="BQ776" t="s">
        <v>2369</v>
      </c>
      <c r="BR776" t="s">
        <v>1487</v>
      </c>
      <c r="BU776">
        <v>0</v>
      </c>
      <c r="BV776">
        <v>0</v>
      </c>
      <c r="BW776">
        <v>0</v>
      </c>
      <c r="BX776">
        <v>0</v>
      </c>
      <c r="BY776">
        <v>0</v>
      </c>
      <c r="BZ776">
        <v>0</v>
      </c>
      <c r="CA776">
        <v>0</v>
      </c>
      <c r="CB776">
        <v>0</v>
      </c>
      <c r="CC776">
        <v>0</v>
      </c>
      <c r="CD776">
        <v>0</v>
      </c>
      <c r="CE776">
        <v>0</v>
      </c>
      <c r="CF776">
        <v>0</v>
      </c>
      <c r="CG776">
        <v>0</v>
      </c>
      <c r="CH776">
        <v>0</v>
      </c>
      <c r="CI776">
        <v>0</v>
      </c>
      <c r="CJ776">
        <v>0</v>
      </c>
      <c r="CK776">
        <v>0</v>
      </c>
      <c r="CL776">
        <v>0</v>
      </c>
      <c r="CM776">
        <v>0</v>
      </c>
      <c r="CR776" t="s">
        <v>2328</v>
      </c>
      <c r="CS776" s="1369" t="str">
        <f>INDEX([8]Sheet1!$H:$H,MATCH(CR:CR,[8]Sheet1!$AU:$AU,0))</f>
        <v>Water Distribution</v>
      </c>
    </row>
    <row r="777" spans="1:97" x14ac:dyDescent="0.2">
      <c r="A777" t="s">
        <v>3432</v>
      </c>
      <c r="B777">
        <v>830</v>
      </c>
      <c r="C777" t="s">
        <v>3432</v>
      </c>
      <c r="D777">
        <v>41561</v>
      </c>
      <c r="E777" t="s">
        <v>3433</v>
      </c>
      <c r="F777" t="s">
        <v>2364</v>
      </c>
      <c r="G777" t="s">
        <v>2364</v>
      </c>
      <c r="H777" t="s">
        <v>2365</v>
      </c>
      <c r="I777" t="s">
        <v>2365</v>
      </c>
      <c r="J777" t="s">
        <v>2365</v>
      </c>
      <c r="K777" t="s">
        <v>2365</v>
      </c>
      <c r="L777">
        <v>1200</v>
      </c>
      <c r="M777" t="s">
        <v>1480</v>
      </c>
      <c r="N777">
        <v>1204</v>
      </c>
      <c r="O777" t="s">
        <v>1487</v>
      </c>
      <c r="P777" t="s">
        <v>2366</v>
      </c>
      <c r="Q777" t="s">
        <v>2364</v>
      </c>
      <c r="R777" t="s">
        <v>2364</v>
      </c>
      <c r="S777" t="s">
        <v>553</v>
      </c>
      <c r="T777" t="s">
        <v>2175</v>
      </c>
      <c r="U777">
        <v>140</v>
      </c>
      <c r="V777" t="s">
        <v>693</v>
      </c>
      <c r="W777">
        <v>140</v>
      </c>
      <c r="X777" t="s">
        <v>693</v>
      </c>
      <c r="Y777" t="s">
        <v>2365</v>
      </c>
      <c r="Z777" t="s">
        <v>2365</v>
      </c>
      <c r="AA777" t="s">
        <v>2365</v>
      </c>
      <c r="AB777" t="s">
        <v>2365</v>
      </c>
      <c r="AC777" s="813" t="s">
        <v>2365</v>
      </c>
      <c r="AD777" s="813" t="s">
        <v>2365</v>
      </c>
      <c r="AE777" s="813" t="s">
        <v>2365</v>
      </c>
      <c r="AF777" t="s">
        <v>2365</v>
      </c>
      <c r="AG777" t="s">
        <v>2365</v>
      </c>
      <c r="AH777" t="s">
        <v>2365</v>
      </c>
      <c r="AI777" t="s">
        <v>2365</v>
      </c>
      <c r="AJ777" t="s">
        <v>2365</v>
      </c>
      <c r="AK777" t="s">
        <v>2366</v>
      </c>
      <c r="AL777" t="s">
        <v>2366</v>
      </c>
      <c r="AM777" t="s">
        <v>2366</v>
      </c>
      <c r="AN777" t="s">
        <v>2366</v>
      </c>
      <c r="AR777" t="s">
        <v>2365</v>
      </c>
      <c r="AS777" t="s">
        <v>2365</v>
      </c>
      <c r="AT777" t="s">
        <v>2365</v>
      </c>
      <c r="AU777" t="s">
        <v>2365</v>
      </c>
      <c r="AV777" t="s">
        <v>2365</v>
      </c>
      <c r="AW777" t="s">
        <v>2365</v>
      </c>
      <c r="AX777" t="s">
        <v>2365</v>
      </c>
      <c r="AY777" t="s">
        <v>2365</v>
      </c>
      <c r="AZ777" t="s">
        <v>2365</v>
      </c>
      <c r="BA777" t="s">
        <v>2365</v>
      </c>
      <c r="BB777" t="s">
        <v>2365</v>
      </c>
      <c r="BC777" t="s">
        <v>2365</v>
      </c>
      <c r="BD777" t="s">
        <v>2366</v>
      </c>
      <c r="BE777" t="s">
        <v>2365</v>
      </c>
      <c r="BF777" t="s">
        <v>2365</v>
      </c>
      <c r="BG777" t="s">
        <v>2365</v>
      </c>
      <c r="BH777" t="s">
        <v>2365</v>
      </c>
      <c r="BI777" t="s">
        <v>2366</v>
      </c>
      <c r="BJ777" t="s">
        <v>2365</v>
      </c>
      <c r="BK777" t="s">
        <v>2365</v>
      </c>
      <c r="BL777" t="s">
        <v>2365</v>
      </c>
      <c r="BM777" t="s">
        <v>2365</v>
      </c>
      <c r="BO777">
        <v>1</v>
      </c>
      <c r="BP777">
        <v>11</v>
      </c>
      <c r="BQ777" t="s">
        <v>2369</v>
      </c>
      <c r="BR777" t="s">
        <v>1487</v>
      </c>
      <c r="BU777">
        <v>0</v>
      </c>
      <c r="BV777">
        <v>0</v>
      </c>
      <c r="BW777">
        <v>0</v>
      </c>
      <c r="BX777">
        <v>0</v>
      </c>
      <c r="BY777">
        <v>0</v>
      </c>
      <c r="BZ777">
        <v>0</v>
      </c>
      <c r="CA777">
        <v>0</v>
      </c>
      <c r="CB777">
        <v>0</v>
      </c>
      <c r="CC777">
        <v>0</v>
      </c>
      <c r="CD777">
        <v>0</v>
      </c>
      <c r="CE777">
        <v>0</v>
      </c>
      <c r="CF777">
        <v>0</v>
      </c>
      <c r="CG777">
        <v>0</v>
      </c>
      <c r="CH777">
        <v>0</v>
      </c>
      <c r="CI777">
        <v>0</v>
      </c>
      <c r="CJ777">
        <v>0</v>
      </c>
      <c r="CK777">
        <v>0</v>
      </c>
      <c r="CL777">
        <v>0</v>
      </c>
      <c r="CM777">
        <v>0</v>
      </c>
      <c r="CR777" t="s">
        <v>2328</v>
      </c>
      <c r="CS777" s="1369" t="str">
        <f>INDEX([8]Sheet1!$H:$H,MATCH(CR:CR,[8]Sheet1!$AU:$AU,0))</f>
        <v>Water Distribution</v>
      </c>
    </row>
    <row r="778" spans="1:97" x14ac:dyDescent="0.2">
      <c r="A778" t="s">
        <v>3434</v>
      </c>
      <c r="B778">
        <v>831</v>
      </c>
      <c r="C778" t="s">
        <v>3434</v>
      </c>
      <c r="D778">
        <v>41562</v>
      </c>
      <c r="E778" t="s">
        <v>3435</v>
      </c>
      <c r="F778" t="s">
        <v>2364</v>
      </c>
      <c r="G778" t="s">
        <v>2364</v>
      </c>
      <c r="H778" t="s">
        <v>2365</v>
      </c>
      <c r="I778" t="s">
        <v>2365</v>
      </c>
      <c r="J778" t="s">
        <v>2365</v>
      </c>
      <c r="K778" t="s">
        <v>2365</v>
      </c>
      <c r="L778">
        <v>1200</v>
      </c>
      <c r="M778" t="s">
        <v>1480</v>
      </c>
      <c r="N778">
        <v>1204</v>
      </c>
      <c r="O778" t="s">
        <v>1487</v>
      </c>
      <c r="P778" t="s">
        <v>2366</v>
      </c>
      <c r="Q778" t="s">
        <v>2364</v>
      </c>
      <c r="R778" t="s">
        <v>2364</v>
      </c>
      <c r="S778" t="s">
        <v>553</v>
      </c>
      <c r="T778" t="s">
        <v>2175</v>
      </c>
      <c r="U778">
        <v>140</v>
      </c>
      <c r="V778" t="s">
        <v>693</v>
      </c>
      <c r="W778">
        <v>140</v>
      </c>
      <c r="X778" t="s">
        <v>693</v>
      </c>
      <c r="Y778" t="s">
        <v>2365</v>
      </c>
      <c r="Z778" t="s">
        <v>2365</v>
      </c>
      <c r="AA778" t="s">
        <v>2365</v>
      </c>
      <c r="AB778" t="s">
        <v>2365</v>
      </c>
      <c r="AC778" s="813" t="s">
        <v>2365</v>
      </c>
      <c r="AD778" s="813" t="s">
        <v>2365</v>
      </c>
      <c r="AE778" s="813" t="s">
        <v>2365</v>
      </c>
      <c r="AF778" t="s">
        <v>2365</v>
      </c>
      <c r="AG778" t="s">
        <v>2365</v>
      </c>
      <c r="AH778" t="s">
        <v>2365</v>
      </c>
      <c r="AI778" t="s">
        <v>2365</v>
      </c>
      <c r="AJ778" t="s">
        <v>2365</v>
      </c>
      <c r="AK778" t="s">
        <v>2366</v>
      </c>
      <c r="AL778" t="s">
        <v>2366</v>
      </c>
      <c r="AM778" t="s">
        <v>2366</v>
      </c>
      <c r="AN778" t="s">
        <v>2366</v>
      </c>
      <c r="AR778" t="s">
        <v>2365</v>
      </c>
      <c r="AS778" t="s">
        <v>2365</v>
      </c>
      <c r="AT778" t="s">
        <v>2365</v>
      </c>
      <c r="AU778" t="s">
        <v>2365</v>
      </c>
      <c r="AV778" t="s">
        <v>2365</v>
      </c>
      <c r="AW778" t="s">
        <v>2365</v>
      </c>
      <c r="AX778" t="s">
        <v>2365</v>
      </c>
      <c r="AY778" t="s">
        <v>2365</v>
      </c>
      <c r="AZ778" t="s">
        <v>2365</v>
      </c>
      <c r="BA778" t="s">
        <v>2365</v>
      </c>
      <c r="BB778" t="s">
        <v>2365</v>
      </c>
      <c r="BC778" t="s">
        <v>2365</v>
      </c>
      <c r="BD778" t="s">
        <v>2366</v>
      </c>
      <c r="BE778" t="s">
        <v>2365</v>
      </c>
      <c r="BF778" t="s">
        <v>2365</v>
      </c>
      <c r="BG778" t="s">
        <v>2365</v>
      </c>
      <c r="BH778" t="s">
        <v>2365</v>
      </c>
      <c r="BI778" t="s">
        <v>2366</v>
      </c>
      <c r="BJ778" t="s">
        <v>2365</v>
      </c>
      <c r="BK778" t="s">
        <v>2365</v>
      </c>
      <c r="BL778" t="s">
        <v>2365</v>
      </c>
      <c r="BM778" t="s">
        <v>2365</v>
      </c>
      <c r="BO778">
        <v>1</v>
      </c>
      <c r="BP778">
        <v>11</v>
      </c>
      <c r="BQ778" t="s">
        <v>2369</v>
      </c>
      <c r="BR778" t="s">
        <v>1487</v>
      </c>
      <c r="BU778">
        <v>0</v>
      </c>
      <c r="BV778">
        <v>0</v>
      </c>
      <c r="BW778" s="1371">
        <v>0</v>
      </c>
      <c r="BX778" s="1372">
        <v>0</v>
      </c>
      <c r="BY778">
        <v>0</v>
      </c>
      <c r="BZ778">
        <v>0</v>
      </c>
      <c r="CA778">
        <v>0</v>
      </c>
      <c r="CB778">
        <v>0</v>
      </c>
      <c r="CC778">
        <v>0</v>
      </c>
      <c r="CD778">
        <v>0</v>
      </c>
      <c r="CE778">
        <v>0</v>
      </c>
      <c r="CF778">
        <v>0</v>
      </c>
      <c r="CG778">
        <v>0</v>
      </c>
      <c r="CH778">
        <v>0</v>
      </c>
      <c r="CI778">
        <v>0</v>
      </c>
      <c r="CJ778">
        <v>0</v>
      </c>
      <c r="CK778">
        <v>0</v>
      </c>
      <c r="CL778">
        <v>0</v>
      </c>
      <c r="CM778">
        <v>0</v>
      </c>
      <c r="CR778" t="s">
        <v>2324</v>
      </c>
      <c r="CS778" s="1369" t="str">
        <f>INDEX([8]Sheet1!$H:$H,MATCH(CR:CR,[8]Sheet1!$AU:$AU,0))</f>
        <v>Finance</v>
      </c>
    </row>
    <row r="779" spans="1:97" x14ac:dyDescent="0.2">
      <c r="A779" t="s">
        <v>3436</v>
      </c>
      <c r="B779">
        <v>832</v>
      </c>
      <c r="C779" t="s">
        <v>3436</v>
      </c>
      <c r="D779">
        <v>41563</v>
      </c>
      <c r="E779" t="s">
        <v>3437</v>
      </c>
      <c r="F779" t="s">
        <v>2364</v>
      </c>
      <c r="G779" t="s">
        <v>2364</v>
      </c>
      <c r="H779" t="s">
        <v>2365</v>
      </c>
      <c r="I779" t="s">
        <v>2365</v>
      </c>
      <c r="J779" t="s">
        <v>2365</v>
      </c>
      <c r="K779" t="s">
        <v>2365</v>
      </c>
      <c r="L779">
        <v>1200</v>
      </c>
      <c r="M779" t="s">
        <v>1480</v>
      </c>
      <c r="N779">
        <v>1204</v>
      </c>
      <c r="O779" t="s">
        <v>1487</v>
      </c>
      <c r="P779" t="s">
        <v>2366</v>
      </c>
      <c r="Q779" t="s">
        <v>2364</v>
      </c>
      <c r="R779" t="s">
        <v>2364</v>
      </c>
      <c r="S779" t="s">
        <v>553</v>
      </c>
      <c r="T779" t="s">
        <v>2175</v>
      </c>
      <c r="U779">
        <v>140</v>
      </c>
      <c r="V779" t="s">
        <v>693</v>
      </c>
      <c r="W779">
        <v>140</v>
      </c>
      <c r="X779" t="s">
        <v>693</v>
      </c>
      <c r="Y779" t="s">
        <v>2365</v>
      </c>
      <c r="Z779" t="s">
        <v>2365</v>
      </c>
      <c r="AA779" t="s">
        <v>2365</v>
      </c>
      <c r="AB779" t="s">
        <v>2365</v>
      </c>
      <c r="AC779" s="813" t="s">
        <v>2365</v>
      </c>
      <c r="AD779" s="813" t="s">
        <v>2365</v>
      </c>
      <c r="AE779" s="813" t="s">
        <v>2365</v>
      </c>
      <c r="AF779" t="s">
        <v>2365</v>
      </c>
      <c r="AG779" t="s">
        <v>2365</v>
      </c>
      <c r="AH779" t="s">
        <v>2365</v>
      </c>
      <c r="AI779" t="s">
        <v>2365</v>
      </c>
      <c r="AJ779" t="s">
        <v>2365</v>
      </c>
      <c r="AK779" t="s">
        <v>2366</v>
      </c>
      <c r="AL779" t="s">
        <v>2366</v>
      </c>
      <c r="AM779" t="s">
        <v>2366</v>
      </c>
      <c r="AN779" t="s">
        <v>2366</v>
      </c>
      <c r="AR779" t="s">
        <v>2365</v>
      </c>
      <c r="AS779" t="s">
        <v>2365</v>
      </c>
      <c r="AT779" t="s">
        <v>2365</v>
      </c>
      <c r="AU779" t="s">
        <v>2365</v>
      </c>
      <c r="AV779" t="s">
        <v>2365</v>
      </c>
      <c r="AW779" t="s">
        <v>2365</v>
      </c>
      <c r="AX779" t="s">
        <v>2365</v>
      </c>
      <c r="AY779" t="s">
        <v>2365</v>
      </c>
      <c r="AZ779" t="s">
        <v>2365</v>
      </c>
      <c r="BA779" t="s">
        <v>2365</v>
      </c>
      <c r="BB779" t="s">
        <v>2365</v>
      </c>
      <c r="BC779" t="s">
        <v>2365</v>
      </c>
      <c r="BD779" t="s">
        <v>2366</v>
      </c>
      <c r="BE779" t="s">
        <v>2365</v>
      </c>
      <c r="BF779" t="s">
        <v>2365</v>
      </c>
      <c r="BG779" t="s">
        <v>2365</v>
      </c>
      <c r="BH779" t="s">
        <v>2365</v>
      </c>
      <c r="BI779" t="s">
        <v>2366</v>
      </c>
      <c r="BJ779" t="s">
        <v>2365</v>
      </c>
      <c r="BK779" t="s">
        <v>2365</v>
      </c>
      <c r="BL779" t="s">
        <v>2365</v>
      </c>
      <c r="BM779" t="s">
        <v>2365</v>
      </c>
      <c r="BO779">
        <v>1</v>
      </c>
      <c r="BP779">
        <v>11</v>
      </c>
      <c r="BQ779" t="s">
        <v>2369</v>
      </c>
      <c r="BR779" t="s">
        <v>1487</v>
      </c>
      <c r="BU779">
        <v>16814377</v>
      </c>
      <c r="BV779">
        <v>0</v>
      </c>
      <c r="BW779">
        <v>16814377</v>
      </c>
      <c r="BX779">
        <v>-16814377</v>
      </c>
      <c r="BY779">
        <v>0</v>
      </c>
      <c r="BZ779">
        <v>0</v>
      </c>
      <c r="CA779">
        <v>0</v>
      </c>
      <c r="CB779">
        <v>-380535.37000000017</v>
      </c>
      <c r="CC779">
        <v>-125228.97</v>
      </c>
      <c r="CD779">
        <v>-176936.56000000011</v>
      </c>
      <c r="CE779">
        <v>-249116.90000000008</v>
      </c>
      <c r="CF779">
        <v>-169008.37000000008</v>
      </c>
      <c r="CG779">
        <v>-164417.73000000001</v>
      </c>
      <c r="CH779">
        <v>-374352.76000000007</v>
      </c>
      <c r="CI779">
        <v>-308470.19999999995</v>
      </c>
      <c r="CJ779">
        <v>-2010.9</v>
      </c>
      <c r="CK779">
        <v>0</v>
      </c>
      <c r="CL779">
        <v>0</v>
      </c>
      <c r="CM779">
        <v>0</v>
      </c>
      <c r="CR779" t="s">
        <v>2324</v>
      </c>
      <c r="CS779" s="1369" t="str">
        <f>INDEX([8]Sheet1!$H:$H,MATCH(CR:CR,[8]Sheet1!$AU:$AU,0))</f>
        <v>Finance</v>
      </c>
    </row>
    <row r="780" spans="1:97" x14ac:dyDescent="0.2">
      <c r="A780" t="s">
        <v>3438</v>
      </c>
      <c r="B780">
        <v>833</v>
      </c>
      <c r="C780" t="s">
        <v>3438</v>
      </c>
      <c r="D780">
        <v>41564</v>
      </c>
      <c r="E780" t="s">
        <v>3439</v>
      </c>
      <c r="F780" t="s">
        <v>2364</v>
      </c>
      <c r="G780" t="s">
        <v>2364</v>
      </c>
      <c r="H780" t="s">
        <v>2365</v>
      </c>
      <c r="I780" t="s">
        <v>2365</v>
      </c>
      <c r="J780" t="s">
        <v>2365</v>
      </c>
      <c r="K780" t="s">
        <v>2365</v>
      </c>
      <c r="L780">
        <v>1200</v>
      </c>
      <c r="M780" t="s">
        <v>1480</v>
      </c>
      <c r="N780">
        <v>1204</v>
      </c>
      <c r="O780" t="s">
        <v>1487</v>
      </c>
      <c r="P780" t="s">
        <v>2366</v>
      </c>
      <c r="Q780" t="s">
        <v>2364</v>
      </c>
      <c r="R780" t="s">
        <v>2364</v>
      </c>
      <c r="S780" t="s">
        <v>553</v>
      </c>
      <c r="T780" t="s">
        <v>2175</v>
      </c>
      <c r="U780">
        <v>140</v>
      </c>
      <c r="V780" t="s">
        <v>693</v>
      </c>
      <c r="W780">
        <v>140</v>
      </c>
      <c r="X780" t="s">
        <v>693</v>
      </c>
      <c r="Y780" t="s">
        <v>2365</v>
      </c>
      <c r="Z780" t="s">
        <v>2365</v>
      </c>
      <c r="AA780" t="s">
        <v>2365</v>
      </c>
      <c r="AB780" t="s">
        <v>2365</v>
      </c>
      <c r="AC780" s="813" t="s">
        <v>2365</v>
      </c>
      <c r="AD780" s="813" t="s">
        <v>2365</v>
      </c>
      <c r="AE780" s="813" t="s">
        <v>2365</v>
      </c>
      <c r="AF780" t="s">
        <v>2365</v>
      </c>
      <c r="AG780" t="s">
        <v>2365</v>
      </c>
      <c r="AH780" t="s">
        <v>2365</v>
      </c>
      <c r="AI780" t="s">
        <v>2365</v>
      </c>
      <c r="AJ780" t="s">
        <v>2365</v>
      </c>
      <c r="AK780" t="s">
        <v>2366</v>
      </c>
      <c r="AL780" t="s">
        <v>2366</v>
      </c>
      <c r="AM780" t="s">
        <v>2366</v>
      </c>
      <c r="AN780" t="s">
        <v>2366</v>
      </c>
      <c r="AR780" t="s">
        <v>2365</v>
      </c>
      <c r="AS780" t="s">
        <v>2365</v>
      </c>
      <c r="AT780" t="s">
        <v>2365</v>
      </c>
      <c r="AU780" t="s">
        <v>2365</v>
      </c>
      <c r="AV780" t="s">
        <v>2365</v>
      </c>
      <c r="AW780" t="s">
        <v>2365</v>
      </c>
      <c r="AX780" t="s">
        <v>2365</v>
      </c>
      <c r="AY780" t="s">
        <v>2365</v>
      </c>
      <c r="AZ780" t="s">
        <v>2365</v>
      </c>
      <c r="BA780" t="s">
        <v>2365</v>
      </c>
      <c r="BB780" t="s">
        <v>2365</v>
      </c>
      <c r="BC780" t="s">
        <v>2365</v>
      </c>
      <c r="BD780" t="s">
        <v>2366</v>
      </c>
      <c r="BE780" t="s">
        <v>2365</v>
      </c>
      <c r="BF780" t="s">
        <v>2365</v>
      </c>
      <c r="BG780" t="s">
        <v>2365</v>
      </c>
      <c r="BH780" t="s">
        <v>2365</v>
      </c>
      <c r="BI780" t="s">
        <v>2366</v>
      </c>
      <c r="BJ780" t="s">
        <v>2365</v>
      </c>
      <c r="BK780" t="s">
        <v>2365</v>
      </c>
      <c r="BL780" t="s">
        <v>2365</v>
      </c>
      <c r="BM780" t="s">
        <v>2365</v>
      </c>
      <c r="BO780">
        <v>1</v>
      </c>
      <c r="BP780">
        <v>11</v>
      </c>
      <c r="BQ780" t="s">
        <v>2369</v>
      </c>
      <c r="BR780" t="s">
        <v>1487</v>
      </c>
      <c r="BU780">
        <v>0</v>
      </c>
      <c r="BV780">
        <v>0</v>
      </c>
      <c r="BW780" s="1371">
        <v>0</v>
      </c>
      <c r="BX780" s="1372">
        <v>0</v>
      </c>
      <c r="BY780">
        <v>0</v>
      </c>
      <c r="BZ780">
        <v>0</v>
      </c>
      <c r="CA780">
        <v>0</v>
      </c>
      <c r="CB780">
        <v>0</v>
      </c>
      <c r="CC780">
        <v>0</v>
      </c>
      <c r="CD780">
        <v>0</v>
      </c>
      <c r="CE780">
        <v>0</v>
      </c>
      <c r="CF780">
        <v>0</v>
      </c>
      <c r="CG780">
        <v>0</v>
      </c>
      <c r="CH780">
        <v>0</v>
      </c>
      <c r="CI780">
        <v>0</v>
      </c>
      <c r="CJ780">
        <v>0</v>
      </c>
      <c r="CK780">
        <v>0</v>
      </c>
      <c r="CL780">
        <v>0</v>
      </c>
      <c r="CM780">
        <v>0</v>
      </c>
      <c r="CR780" t="s">
        <v>2324</v>
      </c>
      <c r="CS780" s="1369" t="str">
        <f>INDEX([8]Sheet1!$H:$H,MATCH(CR:CR,[8]Sheet1!$AU:$AU,0))</f>
        <v>Finance</v>
      </c>
    </row>
    <row r="781" spans="1:97" x14ac:dyDescent="0.2">
      <c r="A781" t="s">
        <v>3440</v>
      </c>
      <c r="B781">
        <v>834</v>
      </c>
      <c r="C781" t="s">
        <v>3440</v>
      </c>
      <c r="D781">
        <v>41565</v>
      </c>
      <c r="E781" t="s">
        <v>3441</v>
      </c>
      <c r="F781" t="s">
        <v>2364</v>
      </c>
      <c r="G781" t="s">
        <v>2364</v>
      </c>
      <c r="H781" t="s">
        <v>2365</v>
      </c>
      <c r="I781" t="s">
        <v>2365</v>
      </c>
      <c r="J781" t="s">
        <v>2365</v>
      </c>
      <c r="K781" t="s">
        <v>2365</v>
      </c>
      <c r="L781">
        <v>1200</v>
      </c>
      <c r="M781" t="s">
        <v>1480</v>
      </c>
      <c r="N781">
        <v>1204</v>
      </c>
      <c r="O781" t="s">
        <v>1487</v>
      </c>
      <c r="P781" t="s">
        <v>2366</v>
      </c>
      <c r="Q781" t="s">
        <v>2364</v>
      </c>
      <c r="R781" t="s">
        <v>2364</v>
      </c>
      <c r="S781" t="s">
        <v>553</v>
      </c>
      <c r="T781" t="s">
        <v>2175</v>
      </c>
      <c r="U781">
        <v>140</v>
      </c>
      <c r="V781" t="s">
        <v>693</v>
      </c>
      <c r="W781">
        <v>140</v>
      </c>
      <c r="X781" t="s">
        <v>693</v>
      </c>
      <c r="Y781" t="s">
        <v>2365</v>
      </c>
      <c r="Z781" t="s">
        <v>2365</v>
      </c>
      <c r="AA781" t="s">
        <v>2365</v>
      </c>
      <c r="AB781" t="s">
        <v>2365</v>
      </c>
      <c r="AC781" s="813" t="s">
        <v>2365</v>
      </c>
      <c r="AD781" s="813" t="s">
        <v>2365</v>
      </c>
      <c r="AE781" s="813" t="s">
        <v>2365</v>
      </c>
      <c r="AF781" t="s">
        <v>2365</v>
      </c>
      <c r="AG781" t="s">
        <v>2365</v>
      </c>
      <c r="AH781" t="s">
        <v>2365</v>
      </c>
      <c r="AI781" t="s">
        <v>2365</v>
      </c>
      <c r="AJ781" t="s">
        <v>2365</v>
      </c>
      <c r="AK781">
        <v>147</v>
      </c>
      <c r="AL781" t="s">
        <v>1200</v>
      </c>
      <c r="AM781">
        <v>147</v>
      </c>
      <c r="AN781" t="s">
        <v>1200</v>
      </c>
      <c r="AR781" t="s">
        <v>2365</v>
      </c>
      <c r="AS781" t="s">
        <v>2365</v>
      </c>
      <c r="AT781" t="s">
        <v>2365</v>
      </c>
      <c r="AU781" t="s">
        <v>2365</v>
      </c>
      <c r="AV781" t="s">
        <v>2365</v>
      </c>
      <c r="AW781" t="s">
        <v>2365</v>
      </c>
      <c r="AX781" t="s">
        <v>2365</v>
      </c>
      <c r="AY781" t="s">
        <v>2365</v>
      </c>
      <c r="AZ781" t="s">
        <v>2365</v>
      </c>
      <c r="BA781" t="s">
        <v>2365</v>
      </c>
      <c r="BB781" t="s">
        <v>2365</v>
      </c>
      <c r="BC781" t="s">
        <v>2365</v>
      </c>
      <c r="BD781" t="s">
        <v>2366</v>
      </c>
      <c r="BE781" t="s">
        <v>2365</v>
      </c>
      <c r="BF781" t="s">
        <v>2365</v>
      </c>
      <c r="BG781" t="s">
        <v>2365</v>
      </c>
      <c r="BH781" t="s">
        <v>2365</v>
      </c>
      <c r="BI781" t="s">
        <v>2366</v>
      </c>
      <c r="BJ781" t="s">
        <v>2365</v>
      </c>
      <c r="BK781" t="s">
        <v>2365</v>
      </c>
      <c r="BL781" t="s">
        <v>2365</v>
      </c>
      <c r="BM781" t="s">
        <v>2365</v>
      </c>
      <c r="BO781">
        <v>1</v>
      </c>
      <c r="BP781">
        <v>11</v>
      </c>
      <c r="BQ781" t="s">
        <v>2369</v>
      </c>
      <c r="BR781" t="s">
        <v>1487</v>
      </c>
      <c r="BU781">
        <v>0</v>
      </c>
      <c r="BV781">
        <v>0</v>
      </c>
      <c r="BW781">
        <v>0</v>
      </c>
      <c r="BX781">
        <v>0</v>
      </c>
      <c r="BY781">
        <v>0</v>
      </c>
      <c r="BZ781">
        <v>0</v>
      </c>
      <c r="CA781">
        <v>0</v>
      </c>
      <c r="CB781">
        <v>0</v>
      </c>
      <c r="CC781">
        <v>0</v>
      </c>
      <c r="CD781">
        <v>0</v>
      </c>
      <c r="CE781">
        <v>0</v>
      </c>
      <c r="CF781">
        <v>0</v>
      </c>
      <c r="CG781">
        <v>0</v>
      </c>
      <c r="CH781">
        <v>0</v>
      </c>
      <c r="CI781">
        <v>0</v>
      </c>
      <c r="CJ781">
        <v>0</v>
      </c>
      <c r="CK781">
        <v>0</v>
      </c>
      <c r="CL781">
        <v>0</v>
      </c>
      <c r="CM781">
        <v>0</v>
      </c>
      <c r="CR781" t="s">
        <v>2324</v>
      </c>
      <c r="CS781" s="1369" t="str">
        <f>INDEX([8]Sheet1!$H:$H,MATCH(CR:CR,[8]Sheet1!$AU:$AU,0))</f>
        <v>Finance</v>
      </c>
    </row>
    <row r="782" spans="1:97" x14ac:dyDescent="0.2">
      <c r="A782" t="s">
        <v>3442</v>
      </c>
      <c r="B782">
        <v>835</v>
      </c>
      <c r="C782" t="s">
        <v>3442</v>
      </c>
      <c r="D782">
        <v>41566</v>
      </c>
      <c r="E782" t="s">
        <v>3443</v>
      </c>
      <c r="F782" t="s">
        <v>2364</v>
      </c>
      <c r="G782" t="s">
        <v>2364</v>
      </c>
      <c r="H782" t="s">
        <v>2365</v>
      </c>
      <c r="I782" t="s">
        <v>2365</v>
      </c>
      <c r="J782" t="s">
        <v>2365</v>
      </c>
      <c r="K782" t="s">
        <v>2365</v>
      </c>
      <c r="L782">
        <v>1200</v>
      </c>
      <c r="M782" t="s">
        <v>1480</v>
      </c>
      <c r="N782">
        <v>1204</v>
      </c>
      <c r="O782" t="s">
        <v>1487</v>
      </c>
      <c r="P782" t="s">
        <v>2366</v>
      </c>
      <c r="Q782" t="s">
        <v>2364</v>
      </c>
      <c r="R782" t="s">
        <v>2364</v>
      </c>
      <c r="S782" t="s">
        <v>553</v>
      </c>
      <c r="T782" t="s">
        <v>2175</v>
      </c>
      <c r="U782">
        <v>140</v>
      </c>
      <c r="V782" t="s">
        <v>693</v>
      </c>
      <c r="W782">
        <v>140</v>
      </c>
      <c r="X782" t="s">
        <v>693</v>
      </c>
      <c r="Y782" t="s">
        <v>2365</v>
      </c>
      <c r="Z782" t="s">
        <v>2365</v>
      </c>
      <c r="AA782" t="s">
        <v>2365</v>
      </c>
      <c r="AB782" t="s">
        <v>2365</v>
      </c>
      <c r="AC782" s="813" t="s">
        <v>2365</v>
      </c>
      <c r="AD782" s="813" t="s">
        <v>2365</v>
      </c>
      <c r="AE782" s="813" t="s">
        <v>2365</v>
      </c>
      <c r="AF782" t="s">
        <v>2365</v>
      </c>
      <c r="AG782" t="s">
        <v>2365</v>
      </c>
      <c r="AH782" t="s">
        <v>2365</v>
      </c>
      <c r="AI782" t="s">
        <v>2365</v>
      </c>
      <c r="AJ782" t="s">
        <v>2365</v>
      </c>
      <c r="AK782" t="s">
        <v>2366</v>
      </c>
      <c r="AL782" t="s">
        <v>2366</v>
      </c>
      <c r="AM782" t="s">
        <v>2366</v>
      </c>
      <c r="AN782" t="s">
        <v>2366</v>
      </c>
      <c r="AR782" t="s">
        <v>2365</v>
      </c>
      <c r="AS782" t="s">
        <v>2365</v>
      </c>
      <c r="AT782" t="s">
        <v>2365</v>
      </c>
      <c r="AU782" t="s">
        <v>2365</v>
      </c>
      <c r="AV782" t="s">
        <v>2365</v>
      </c>
      <c r="AW782" t="s">
        <v>2365</v>
      </c>
      <c r="AX782" t="s">
        <v>2365</v>
      </c>
      <c r="AY782" t="s">
        <v>2365</v>
      </c>
      <c r="AZ782" t="s">
        <v>2365</v>
      </c>
      <c r="BA782" t="s">
        <v>2365</v>
      </c>
      <c r="BB782" t="s">
        <v>2365</v>
      </c>
      <c r="BC782" t="s">
        <v>2365</v>
      </c>
      <c r="BD782" t="s">
        <v>2366</v>
      </c>
      <c r="BE782" t="s">
        <v>2365</v>
      </c>
      <c r="BF782" t="s">
        <v>2365</v>
      </c>
      <c r="BG782" t="s">
        <v>2365</v>
      </c>
      <c r="BH782" t="s">
        <v>2365</v>
      </c>
      <c r="BI782" t="s">
        <v>2366</v>
      </c>
      <c r="BJ782" t="s">
        <v>2365</v>
      </c>
      <c r="BK782" t="s">
        <v>2365</v>
      </c>
      <c r="BL782" t="s">
        <v>2365</v>
      </c>
      <c r="BM782" t="s">
        <v>2365</v>
      </c>
      <c r="BO782">
        <v>1</v>
      </c>
      <c r="BP782">
        <v>11</v>
      </c>
      <c r="BQ782" t="s">
        <v>2369</v>
      </c>
      <c r="BR782" t="s">
        <v>1487</v>
      </c>
      <c r="BU782">
        <v>0</v>
      </c>
      <c r="BV782">
        <v>0</v>
      </c>
      <c r="BW782" s="1371">
        <v>0</v>
      </c>
      <c r="BX782" s="1372">
        <v>0</v>
      </c>
      <c r="BY782">
        <v>0</v>
      </c>
      <c r="BZ782">
        <v>0</v>
      </c>
      <c r="CA782">
        <v>0</v>
      </c>
      <c r="CB782">
        <v>0</v>
      </c>
      <c r="CC782">
        <v>0</v>
      </c>
      <c r="CD782">
        <v>0</v>
      </c>
      <c r="CE782">
        <v>0</v>
      </c>
      <c r="CF782">
        <v>0</v>
      </c>
      <c r="CG782">
        <v>0</v>
      </c>
      <c r="CH782">
        <v>0</v>
      </c>
      <c r="CI782">
        <v>0</v>
      </c>
      <c r="CJ782">
        <v>0</v>
      </c>
      <c r="CK782">
        <v>0</v>
      </c>
      <c r="CL782">
        <v>0</v>
      </c>
      <c r="CM782">
        <v>0</v>
      </c>
      <c r="CR782" t="s">
        <v>2324</v>
      </c>
      <c r="CS782" s="1369" t="str">
        <f>INDEX([8]Sheet1!$H:$H,MATCH(CR:CR,[8]Sheet1!$AU:$AU,0))</f>
        <v>Finance</v>
      </c>
    </row>
    <row r="783" spans="1:97" x14ac:dyDescent="0.2">
      <c r="A783" t="s">
        <v>3444</v>
      </c>
      <c r="B783">
        <v>836</v>
      </c>
      <c r="C783" t="s">
        <v>3444</v>
      </c>
      <c r="D783">
        <v>41567</v>
      </c>
      <c r="E783" t="s">
        <v>3445</v>
      </c>
      <c r="F783" t="s">
        <v>2364</v>
      </c>
      <c r="G783" t="s">
        <v>2364</v>
      </c>
      <c r="H783" t="s">
        <v>2365</v>
      </c>
      <c r="I783" t="s">
        <v>2365</v>
      </c>
      <c r="J783" t="s">
        <v>2365</v>
      </c>
      <c r="K783" t="s">
        <v>2365</v>
      </c>
      <c r="L783">
        <v>1200</v>
      </c>
      <c r="M783" t="s">
        <v>1480</v>
      </c>
      <c r="N783">
        <v>1204</v>
      </c>
      <c r="O783" t="s">
        <v>1487</v>
      </c>
      <c r="P783" t="s">
        <v>2366</v>
      </c>
      <c r="Q783" t="s">
        <v>2364</v>
      </c>
      <c r="R783" t="s">
        <v>2364</v>
      </c>
      <c r="S783" t="s">
        <v>553</v>
      </c>
      <c r="T783" t="s">
        <v>2175</v>
      </c>
      <c r="U783">
        <v>140</v>
      </c>
      <c r="V783" t="s">
        <v>693</v>
      </c>
      <c r="W783">
        <v>140</v>
      </c>
      <c r="X783" t="s">
        <v>693</v>
      </c>
      <c r="Y783" t="s">
        <v>2365</v>
      </c>
      <c r="Z783" t="s">
        <v>2365</v>
      </c>
      <c r="AA783" t="s">
        <v>2365</v>
      </c>
      <c r="AB783" t="s">
        <v>2365</v>
      </c>
      <c r="AC783" s="813" t="s">
        <v>2365</v>
      </c>
      <c r="AD783" s="813" t="s">
        <v>2365</v>
      </c>
      <c r="AE783" s="813" t="s">
        <v>2365</v>
      </c>
      <c r="AF783" t="s">
        <v>2365</v>
      </c>
      <c r="AG783" t="s">
        <v>2365</v>
      </c>
      <c r="AH783" t="s">
        <v>2365</v>
      </c>
      <c r="AI783" t="s">
        <v>2365</v>
      </c>
      <c r="AJ783" t="s">
        <v>2365</v>
      </c>
      <c r="AK783" t="s">
        <v>2366</v>
      </c>
      <c r="AL783" t="s">
        <v>2366</v>
      </c>
      <c r="AM783" t="s">
        <v>2366</v>
      </c>
      <c r="AN783" t="s">
        <v>2366</v>
      </c>
      <c r="AR783" t="s">
        <v>2365</v>
      </c>
      <c r="AS783" t="s">
        <v>2365</v>
      </c>
      <c r="AT783" t="s">
        <v>2365</v>
      </c>
      <c r="AU783" t="s">
        <v>2365</v>
      </c>
      <c r="AV783" t="s">
        <v>2365</v>
      </c>
      <c r="AW783" t="s">
        <v>2365</v>
      </c>
      <c r="AX783" t="s">
        <v>2365</v>
      </c>
      <c r="AY783" t="s">
        <v>2365</v>
      </c>
      <c r="AZ783" t="s">
        <v>2365</v>
      </c>
      <c r="BA783" t="s">
        <v>2365</v>
      </c>
      <c r="BB783" t="s">
        <v>2365</v>
      </c>
      <c r="BC783" t="s">
        <v>2365</v>
      </c>
      <c r="BD783" t="s">
        <v>2366</v>
      </c>
      <c r="BE783" t="s">
        <v>2365</v>
      </c>
      <c r="BF783" t="s">
        <v>2365</v>
      </c>
      <c r="BG783" t="s">
        <v>2365</v>
      </c>
      <c r="BH783" t="s">
        <v>2365</v>
      </c>
      <c r="BI783" t="s">
        <v>2366</v>
      </c>
      <c r="BJ783" t="s">
        <v>2365</v>
      </c>
      <c r="BK783" t="s">
        <v>2365</v>
      </c>
      <c r="BL783" t="s">
        <v>2365</v>
      </c>
      <c r="BM783" t="s">
        <v>2365</v>
      </c>
      <c r="BO783">
        <v>1</v>
      </c>
      <c r="BP783">
        <v>11</v>
      </c>
      <c r="BQ783" t="s">
        <v>2369</v>
      </c>
      <c r="BR783" t="s">
        <v>1487</v>
      </c>
      <c r="BU783">
        <v>0</v>
      </c>
      <c r="BV783">
        <v>0</v>
      </c>
      <c r="BW783" s="1371">
        <v>0</v>
      </c>
      <c r="BX783" s="1372">
        <v>0</v>
      </c>
      <c r="BY783">
        <v>0</v>
      </c>
      <c r="BZ783">
        <v>0</v>
      </c>
      <c r="CA783">
        <v>0</v>
      </c>
      <c r="CB783">
        <v>0</v>
      </c>
      <c r="CC783">
        <v>0</v>
      </c>
      <c r="CD783">
        <v>0</v>
      </c>
      <c r="CE783">
        <v>0</v>
      </c>
      <c r="CF783">
        <v>0</v>
      </c>
      <c r="CG783">
        <v>0</v>
      </c>
      <c r="CH783">
        <v>0</v>
      </c>
      <c r="CI783">
        <v>0</v>
      </c>
      <c r="CJ783">
        <v>0</v>
      </c>
      <c r="CK783">
        <v>0</v>
      </c>
      <c r="CL783">
        <v>0</v>
      </c>
      <c r="CM783">
        <v>0</v>
      </c>
      <c r="CR783" t="s">
        <v>2324</v>
      </c>
      <c r="CS783" s="1369" t="str">
        <f>INDEX([8]Sheet1!$H:$H,MATCH(CR:CR,[8]Sheet1!$AU:$AU,0))</f>
        <v>Finance</v>
      </c>
    </row>
    <row r="784" spans="1:97" x14ac:dyDescent="0.2">
      <c r="A784" t="s">
        <v>3446</v>
      </c>
      <c r="B784">
        <v>837</v>
      </c>
      <c r="C784" t="s">
        <v>3446</v>
      </c>
      <c r="D784">
        <v>41568</v>
      </c>
      <c r="E784" t="s">
        <v>3447</v>
      </c>
      <c r="F784" t="s">
        <v>2364</v>
      </c>
      <c r="G784" t="s">
        <v>2364</v>
      </c>
      <c r="H784" s="1373" t="s">
        <v>2365</v>
      </c>
      <c r="I784" t="s">
        <v>2365</v>
      </c>
      <c r="J784" t="s">
        <v>2365</v>
      </c>
      <c r="K784" t="s">
        <v>2365</v>
      </c>
      <c r="L784" s="1373">
        <v>1200</v>
      </c>
      <c r="M784" t="s">
        <v>1480</v>
      </c>
      <c r="N784">
        <v>1204</v>
      </c>
      <c r="O784" t="s">
        <v>1487</v>
      </c>
      <c r="P784" t="s">
        <v>2366</v>
      </c>
      <c r="Q784" t="s">
        <v>2364</v>
      </c>
      <c r="R784" t="s">
        <v>2364</v>
      </c>
      <c r="S784" t="s">
        <v>553</v>
      </c>
      <c r="T784" t="s">
        <v>2175</v>
      </c>
      <c r="U784">
        <v>140</v>
      </c>
      <c r="V784" t="s">
        <v>693</v>
      </c>
      <c r="W784">
        <v>140</v>
      </c>
      <c r="X784" t="s">
        <v>693</v>
      </c>
      <c r="Y784" t="s">
        <v>2365</v>
      </c>
      <c r="Z784" t="s">
        <v>2365</v>
      </c>
      <c r="AA784" t="s">
        <v>2365</v>
      </c>
      <c r="AB784" t="s">
        <v>2365</v>
      </c>
      <c r="AC784" s="813" t="s">
        <v>2365</v>
      </c>
      <c r="AD784" s="813" t="s">
        <v>2365</v>
      </c>
      <c r="AE784" s="813" t="s">
        <v>2365</v>
      </c>
      <c r="AF784" t="s">
        <v>2365</v>
      </c>
      <c r="AG784" t="s">
        <v>2365</v>
      </c>
      <c r="AH784" t="s">
        <v>2365</v>
      </c>
      <c r="AI784" t="s">
        <v>2365</v>
      </c>
      <c r="AJ784" t="s">
        <v>2365</v>
      </c>
      <c r="AK784" t="s">
        <v>2366</v>
      </c>
      <c r="AL784" t="s">
        <v>2366</v>
      </c>
      <c r="AM784" t="s">
        <v>2366</v>
      </c>
      <c r="AN784" t="s">
        <v>2366</v>
      </c>
      <c r="AR784" t="s">
        <v>2365</v>
      </c>
      <c r="AS784" t="s">
        <v>2365</v>
      </c>
      <c r="AT784" t="s">
        <v>2365</v>
      </c>
      <c r="AU784" t="s">
        <v>2365</v>
      </c>
      <c r="AV784" t="s">
        <v>2365</v>
      </c>
      <c r="AW784" t="s">
        <v>2365</v>
      </c>
      <c r="AX784" t="s">
        <v>2365</v>
      </c>
      <c r="AY784" t="s">
        <v>2365</v>
      </c>
      <c r="AZ784" t="s">
        <v>2365</v>
      </c>
      <c r="BA784" t="s">
        <v>2365</v>
      </c>
      <c r="BB784" t="s">
        <v>2365</v>
      </c>
      <c r="BC784" t="s">
        <v>2365</v>
      </c>
      <c r="BD784" t="s">
        <v>2366</v>
      </c>
      <c r="BE784" t="s">
        <v>2365</v>
      </c>
      <c r="BF784" t="s">
        <v>2365</v>
      </c>
      <c r="BG784" t="s">
        <v>2365</v>
      </c>
      <c r="BH784" t="s">
        <v>2365</v>
      </c>
      <c r="BI784" t="s">
        <v>2366</v>
      </c>
      <c r="BJ784" t="s">
        <v>2365</v>
      </c>
      <c r="BK784" t="s">
        <v>2365</v>
      </c>
      <c r="BL784" t="s">
        <v>2365</v>
      </c>
      <c r="BM784" t="s">
        <v>2365</v>
      </c>
      <c r="BO784">
        <v>1</v>
      </c>
      <c r="BP784">
        <v>11</v>
      </c>
      <c r="BQ784" t="s">
        <v>2369</v>
      </c>
      <c r="BR784" t="s">
        <v>1487</v>
      </c>
      <c r="BU784" s="1371">
        <v>0</v>
      </c>
      <c r="BV784" s="1371">
        <v>0</v>
      </c>
      <c r="BW784" s="1371">
        <v>0</v>
      </c>
      <c r="BX784" s="1371">
        <v>0</v>
      </c>
      <c r="BY784" s="1371">
        <v>0</v>
      </c>
      <c r="BZ784">
        <v>0</v>
      </c>
      <c r="CA784">
        <v>0</v>
      </c>
      <c r="CB784">
        <v>0</v>
      </c>
      <c r="CC784">
        <v>0</v>
      </c>
      <c r="CD784">
        <v>0</v>
      </c>
      <c r="CE784">
        <v>0</v>
      </c>
      <c r="CF784">
        <v>0</v>
      </c>
      <c r="CG784">
        <v>0</v>
      </c>
      <c r="CH784">
        <v>0</v>
      </c>
      <c r="CI784">
        <v>0</v>
      </c>
      <c r="CJ784">
        <v>0</v>
      </c>
      <c r="CK784">
        <v>0</v>
      </c>
      <c r="CL784">
        <v>0</v>
      </c>
      <c r="CM784">
        <v>0</v>
      </c>
      <c r="CR784" t="s">
        <v>2324</v>
      </c>
      <c r="CS784" s="1369" t="str">
        <f>INDEX([8]Sheet1!$H:$H,MATCH(CR:CR,[8]Sheet1!$AU:$AU,0))</f>
        <v>Finance</v>
      </c>
    </row>
    <row r="785" spans="1:97" x14ac:dyDescent="0.2">
      <c r="A785" t="s">
        <v>3448</v>
      </c>
      <c r="B785">
        <v>838</v>
      </c>
      <c r="C785" t="s">
        <v>3448</v>
      </c>
      <c r="D785">
        <v>41569</v>
      </c>
      <c r="E785" t="s">
        <v>3449</v>
      </c>
      <c r="F785" t="s">
        <v>2364</v>
      </c>
      <c r="G785" t="s">
        <v>2364</v>
      </c>
      <c r="H785" t="s">
        <v>2365</v>
      </c>
      <c r="I785" t="s">
        <v>2365</v>
      </c>
      <c r="J785" t="s">
        <v>2365</v>
      </c>
      <c r="K785" t="s">
        <v>2365</v>
      </c>
      <c r="L785">
        <v>1200</v>
      </c>
      <c r="M785" t="s">
        <v>1480</v>
      </c>
      <c r="N785">
        <v>1204</v>
      </c>
      <c r="O785" t="s">
        <v>1487</v>
      </c>
      <c r="P785" t="s">
        <v>2366</v>
      </c>
      <c r="Q785" t="s">
        <v>2364</v>
      </c>
      <c r="R785" t="s">
        <v>2364</v>
      </c>
      <c r="S785" t="s">
        <v>553</v>
      </c>
      <c r="T785" t="s">
        <v>2175</v>
      </c>
      <c r="U785">
        <v>140</v>
      </c>
      <c r="V785" t="s">
        <v>693</v>
      </c>
      <c r="W785">
        <v>140</v>
      </c>
      <c r="X785" t="s">
        <v>693</v>
      </c>
      <c r="Y785" t="s">
        <v>2365</v>
      </c>
      <c r="Z785" t="s">
        <v>2365</v>
      </c>
      <c r="AA785" t="s">
        <v>2365</v>
      </c>
      <c r="AB785" t="s">
        <v>2365</v>
      </c>
      <c r="AC785" s="813" t="s">
        <v>2365</v>
      </c>
      <c r="AD785" s="813" t="s">
        <v>2365</v>
      </c>
      <c r="AE785" s="813" t="s">
        <v>2365</v>
      </c>
      <c r="AF785" t="s">
        <v>2365</v>
      </c>
      <c r="AG785" t="s">
        <v>2365</v>
      </c>
      <c r="AH785" t="s">
        <v>2365</v>
      </c>
      <c r="AI785" t="s">
        <v>2365</v>
      </c>
      <c r="AJ785" t="s">
        <v>2365</v>
      </c>
      <c r="AK785" t="s">
        <v>2366</v>
      </c>
      <c r="AL785" t="s">
        <v>2366</v>
      </c>
      <c r="AM785" t="s">
        <v>2366</v>
      </c>
      <c r="AN785" t="s">
        <v>2366</v>
      </c>
      <c r="AR785" t="s">
        <v>2365</v>
      </c>
      <c r="AS785" t="s">
        <v>2365</v>
      </c>
      <c r="AT785" t="s">
        <v>2365</v>
      </c>
      <c r="AU785" t="s">
        <v>2365</v>
      </c>
      <c r="AV785" t="s">
        <v>2365</v>
      </c>
      <c r="AW785" t="s">
        <v>2365</v>
      </c>
      <c r="AX785" t="s">
        <v>2365</v>
      </c>
      <c r="AY785" t="s">
        <v>2365</v>
      </c>
      <c r="AZ785" t="s">
        <v>2365</v>
      </c>
      <c r="BA785" t="s">
        <v>2365</v>
      </c>
      <c r="BB785" t="s">
        <v>2365</v>
      </c>
      <c r="BC785" t="s">
        <v>2365</v>
      </c>
      <c r="BD785" t="s">
        <v>2366</v>
      </c>
      <c r="BE785" t="s">
        <v>2365</v>
      </c>
      <c r="BF785" t="s">
        <v>2365</v>
      </c>
      <c r="BG785" t="s">
        <v>2365</v>
      </c>
      <c r="BH785" t="s">
        <v>2365</v>
      </c>
      <c r="BI785" t="s">
        <v>2366</v>
      </c>
      <c r="BJ785" t="s">
        <v>2365</v>
      </c>
      <c r="BK785" t="s">
        <v>2365</v>
      </c>
      <c r="BL785" t="s">
        <v>2365</v>
      </c>
      <c r="BM785" t="s">
        <v>2365</v>
      </c>
      <c r="BO785">
        <v>1</v>
      </c>
      <c r="BP785">
        <v>11</v>
      </c>
      <c r="BQ785" t="s">
        <v>2369</v>
      </c>
      <c r="BR785" t="s">
        <v>1487</v>
      </c>
      <c r="BU785">
        <v>0</v>
      </c>
      <c r="BV785">
        <v>0</v>
      </c>
      <c r="BW785" s="1371">
        <v>0</v>
      </c>
      <c r="BX785" s="1372">
        <v>0</v>
      </c>
      <c r="BY785">
        <v>0</v>
      </c>
      <c r="BZ785">
        <v>0</v>
      </c>
      <c r="CA785">
        <v>0</v>
      </c>
      <c r="CB785">
        <v>0</v>
      </c>
      <c r="CC785">
        <v>0</v>
      </c>
      <c r="CD785">
        <v>0</v>
      </c>
      <c r="CE785">
        <v>0</v>
      </c>
      <c r="CF785">
        <v>0</v>
      </c>
      <c r="CG785">
        <v>0</v>
      </c>
      <c r="CH785">
        <v>0</v>
      </c>
      <c r="CI785">
        <v>0</v>
      </c>
      <c r="CJ785">
        <v>0</v>
      </c>
      <c r="CK785">
        <v>0</v>
      </c>
      <c r="CL785">
        <v>0</v>
      </c>
      <c r="CM785">
        <v>0</v>
      </c>
      <c r="CR785" t="s">
        <v>2324</v>
      </c>
      <c r="CS785" s="1369" t="str">
        <f>INDEX([8]Sheet1!$H:$H,MATCH(CR:CR,[8]Sheet1!$AU:$AU,0))</f>
        <v>Finance</v>
      </c>
    </row>
    <row r="786" spans="1:97" x14ac:dyDescent="0.2">
      <c r="A786" t="s">
        <v>3450</v>
      </c>
      <c r="B786">
        <v>839</v>
      </c>
      <c r="C786" t="s">
        <v>3450</v>
      </c>
      <c r="D786">
        <v>41570</v>
      </c>
      <c r="E786" t="s">
        <v>3451</v>
      </c>
      <c r="F786" t="s">
        <v>2364</v>
      </c>
      <c r="G786" t="s">
        <v>2364</v>
      </c>
      <c r="H786" t="s">
        <v>2365</v>
      </c>
      <c r="I786" t="s">
        <v>2365</v>
      </c>
      <c r="J786" t="s">
        <v>2365</v>
      </c>
      <c r="K786" t="s">
        <v>2365</v>
      </c>
      <c r="L786">
        <v>1200</v>
      </c>
      <c r="M786" t="s">
        <v>1480</v>
      </c>
      <c r="N786">
        <v>1204</v>
      </c>
      <c r="O786" t="s">
        <v>1487</v>
      </c>
      <c r="P786" t="s">
        <v>2366</v>
      </c>
      <c r="Q786" t="s">
        <v>2364</v>
      </c>
      <c r="R786" t="s">
        <v>2364</v>
      </c>
      <c r="S786" t="s">
        <v>553</v>
      </c>
      <c r="T786" t="s">
        <v>2175</v>
      </c>
      <c r="U786">
        <v>140</v>
      </c>
      <c r="V786" t="s">
        <v>693</v>
      </c>
      <c r="W786">
        <v>140</v>
      </c>
      <c r="X786" t="s">
        <v>693</v>
      </c>
      <c r="Y786" t="s">
        <v>2365</v>
      </c>
      <c r="Z786" t="s">
        <v>2365</v>
      </c>
      <c r="AA786" t="s">
        <v>2365</v>
      </c>
      <c r="AB786" t="s">
        <v>2365</v>
      </c>
      <c r="AC786" s="813" t="s">
        <v>2365</v>
      </c>
      <c r="AD786" s="813" t="s">
        <v>2365</v>
      </c>
      <c r="AE786" s="813" t="s">
        <v>2365</v>
      </c>
      <c r="AF786" t="s">
        <v>2365</v>
      </c>
      <c r="AG786" t="s">
        <v>2365</v>
      </c>
      <c r="AH786" t="s">
        <v>2365</v>
      </c>
      <c r="AI786" t="s">
        <v>2365</v>
      </c>
      <c r="AJ786" t="s">
        <v>2365</v>
      </c>
      <c r="AK786">
        <v>147</v>
      </c>
      <c r="AL786" t="s">
        <v>1200</v>
      </c>
      <c r="AM786">
        <v>147</v>
      </c>
      <c r="AN786" t="s">
        <v>1200</v>
      </c>
      <c r="AR786" t="s">
        <v>2365</v>
      </c>
      <c r="AS786" t="s">
        <v>2365</v>
      </c>
      <c r="AT786" t="s">
        <v>2365</v>
      </c>
      <c r="AU786" t="s">
        <v>2365</v>
      </c>
      <c r="AV786" t="s">
        <v>2365</v>
      </c>
      <c r="AW786" t="s">
        <v>2365</v>
      </c>
      <c r="AX786" t="s">
        <v>2365</v>
      </c>
      <c r="AY786" t="s">
        <v>2365</v>
      </c>
      <c r="AZ786" t="s">
        <v>2365</v>
      </c>
      <c r="BA786" t="s">
        <v>2365</v>
      </c>
      <c r="BB786" t="s">
        <v>2365</v>
      </c>
      <c r="BC786" t="s">
        <v>2365</v>
      </c>
      <c r="BD786" t="s">
        <v>2366</v>
      </c>
      <c r="BE786" t="s">
        <v>2365</v>
      </c>
      <c r="BF786" t="s">
        <v>2365</v>
      </c>
      <c r="BG786" t="s">
        <v>2365</v>
      </c>
      <c r="BH786" t="s">
        <v>2365</v>
      </c>
      <c r="BI786" t="s">
        <v>2366</v>
      </c>
      <c r="BJ786" t="s">
        <v>2365</v>
      </c>
      <c r="BK786" t="s">
        <v>2365</v>
      </c>
      <c r="BL786" t="s">
        <v>2365</v>
      </c>
      <c r="BM786" t="s">
        <v>2365</v>
      </c>
      <c r="BO786">
        <v>1</v>
      </c>
      <c r="BP786">
        <v>11</v>
      </c>
      <c r="BQ786" t="s">
        <v>2369</v>
      </c>
      <c r="BR786" t="s">
        <v>1487</v>
      </c>
      <c r="BU786">
        <v>0</v>
      </c>
      <c r="BV786">
        <v>0</v>
      </c>
      <c r="BW786" s="1371">
        <v>0</v>
      </c>
      <c r="BX786" s="1372">
        <v>0</v>
      </c>
      <c r="BY786">
        <v>0</v>
      </c>
      <c r="BZ786">
        <v>0</v>
      </c>
      <c r="CA786">
        <v>0</v>
      </c>
      <c r="CB786">
        <v>0</v>
      </c>
      <c r="CC786">
        <v>0</v>
      </c>
      <c r="CD786">
        <v>0</v>
      </c>
      <c r="CE786">
        <v>0</v>
      </c>
      <c r="CF786">
        <v>0</v>
      </c>
      <c r="CG786">
        <v>0</v>
      </c>
      <c r="CH786">
        <v>0</v>
      </c>
      <c r="CI786">
        <v>0</v>
      </c>
      <c r="CJ786">
        <v>0</v>
      </c>
      <c r="CK786">
        <v>0</v>
      </c>
      <c r="CL786">
        <v>0</v>
      </c>
      <c r="CM786">
        <v>0</v>
      </c>
      <c r="CR786" t="s">
        <v>2324</v>
      </c>
      <c r="CS786" s="1369" t="str">
        <f>INDEX([8]Sheet1!$H:$H,MATCH(CR:CR,[8]Sheet1!$AU:$AU,0))</f>
        <v>Finance</v>
      </c>
    </row>
    <row r="787" spans="1:97" x14ac:dyDescent="0.2">
      <c r="A787" t="s">
        <v>3452</v>
      </c>
      <c r="B787">
        <v>840</v>
      </c>
      <c r="C787" t="s">
        <v>3452</v>
      </c>
      <c r="D787">
        <v>41571</v>
      </c>
      <c r="E787" t="s">
        <v>3453</v>
      </c>
      <c r="F787" t="s">
        <v>2364</v>
      </c>
      <c r="G787" t="s">
        <v>2364</v>
      </c>
      <c r="H787" t="s">
        <v>2365</v>
      </c>
      <c r="I787" t="s">
        <v>2365</v>
      </c>
      <c r="J787" t="s">
        <v>2365</v>
      </c>
      <c r="K787" t="s">
        <v>2365</v>
      </c>
      <c r="L787">
        <v>1200</v>
      </c>
      <c r="M787" t="s">
        <v>1480</v>
      </c>
      <c r="N787">
        <v>1204</v>
      </c>
      <c r="O787" t="s">
        <v>1487</v>
      </c>
      <c r="P787" t="s">
        <v>2366</v>
      </c>
      <c r="Q787" t="s">
        <v>2364</v>
      </c>
      <c r="R787" t="s">
        <v>2364</v>
      </c>
      <c r="S787" t="s">
        <v>553</v>
      </c>
      <c r="T787" t="s">
        <v>2175</v>
      </c>
      <c r="U787">
        <v>140</v>
      </c>
      <c r="V787" t="s">
        <v>693</v>
      </c>
      <c r="W787">
        <v>140</v>
      </c>
      <c r="X787" t="s">
        <v>693</v>
      </c>
      <c r="Y787" t="s">
        <v>2365</v>
      </c>
      <c r="Z787" t="s">
        <v>2365</v>
      </c>
      <c r="AA787" t="s">
        <v>2365</v>
      </c>
      <c r="AB787" t="s">
        <v>2365</v>
      </c>
      <c r="AC787" s="813" t="s">
        <v>2365</v>
      </c>
      <c r="AD787" s="813" t="s">
        <v>2365</v>
      </c>
      <c r="AE787" s="813" t="s">
        <v>2365</v>
      </c>
      <c r="AF787" t="s">
        <v>2365</v>
      </c>
      <c r="AG787" t="s">
        <v>2365</v>
      </c>
      <c r="AH787" t="s">
        <v>2365</v>
      </c>
      <c r="AI787" t="s">
        <v>2365</v>
      </c>
      <c r="AJ787" t="s">
        <v>2365</v>
      </c>
      <c r="AK787" t="s">
        <v>2366</v>
      </c>
      <c r="AL787" t="s">
        <v>2366</v>
      </c>
      <c r="AM787" t="s">
        <v>2366</v>
      </c>
      <c r="AN787" t="s">
        <v>2366</v>
      </c>
      <c r="AR787" t="s">
        <v>2365</v>
      </c>
      <c r="AS787" t="s">
        <v>2365</v>
      </c>
      <c r="AT787" t="s">
        <v>2365</v>
      </c>
      <c r="AU787" t="s">
        <v>2365</v>
      </c>
      <c r="AV787" t="s">
        <v>2365</v>
      </c>
      <c r="AW787" t="s">
        <v>2365</v>
      </c>
      <c r="AX787" t="s">
        <v>2365</v>
      </c>
      <c r="AY787" t="s">
        <v>2365</v>
      </c>
      <c r="AZ787" t="s">
        <v>2365</v>
      </c>
      <c r="BA787" t="s">
        <v>2365</v>
      </c>
      <c r="BB787" t="s">
        <v>2365</v>
      </c>
      <c r="BC787" t="s">
        <v>2365</v>
      </c>
      <c r="BD787" t="s">
        <v>2366</v>
      </c>
      <c r="BE787" t="s">
        <v>2365</v>
      </c>
      <c r="BF787" t="s">
        <v>2365</v>
      </c>
      <c r="BG787" t="s">
        <v>2365</v>
      </c>
      <c r="BH787" t="s">
        <v>2365</v>
      </c>
      <c r="BI787" t="s">
        <v>2366</v>
      </c>
      <c r="BJ787" t="s">
        <v>2365</v>
      </c>
      <c r="BK787" t="s">
        <v>2365</v>
      </c>
      <c r="BL787" t="s">
        <v>2365</v>
      </c>
      <c r="BM787" t="s">
        <v>2365</v>
      </c>
      <c r="BO787">
        <v>1</v>
      </c>
      <c r="BP787">
        <v>11</v>
      </c>
      <c r="BQ787" t="s">
        <v>2369</v>
      </c>
      <c r="BR787" t="s">
        <v>1487</v>
      </c>
      <c r="BU787">
        <v>0</v>
      </c>
      <c r="BV787">
        <v>0</v>
      </c>
      <c r="BW787" s="1371">
        <v>0</v>
      </c>
      <c r="BX787" s="1372">
        <v>0</v>
      </c>
      <c r="BY787">
        <v>0</v>
      </c>
      <c r="BZ787">
        <v>0</v>
      </c>
      <c r="CA787">
        <v>0</v>
      </c>
      <c r="CB787">
        <v>0</v>
      </c>
      <c r="CC787">
        <v>0</v>
      </c>
      <c r="CD787">
        <v>0</v>
      </c>
      <c r="CE787">
        <v>0</v>
      </c>
      <c r="CF787">
        <v>0</v>
      </c>
      <c r="CG787">
        <v>0</v>
      </c>
      <c r="CH787">
        <v>0</v>
      </c>
      <c r="CI787">
        <v>0</v>
      </c>
      <c r="CJ787">
        <v>0</v>
      </c>
      <c r="CK787">
        <v>0</v>
      </c>
      <c r="CL787">
        <v>0</v>
      </c>
      <c r="CM787">
        <v>0</v>
      </c>
      <c r="CR787" t="s">
        <v>2324</v>
      </c>
      <c r="CS787" s="1369" t="str">
        <f>INDEX([8]Sheet1!$H:$H,MATCH(CR:CR,[8]Sheet1!$AU:$AU,0))</f>
        <v>Finance</v>
      </c>
    </row>
    <row r="788" spans="1:97" x14ac:dyDescent="0.2">
      <c r="A788" t="s">
        <v>3454</v>
      </c>
      <c r="B788">
        <v>841</v>
      </c>
      <c r="C788" t="s">
        <v>3454</v>
      </c>
      <c r="D788">
        <v>41572</v>
      </c>
      <c r="E788" t="s">
        <v>3455</v>
      </c>
      <c r="F788" t="s">
        <v>2364</v>
      </c>
      <c r="G788" t="s">
        <v>2364</v>
      </c>
      <c r="H788" t="s">
        <v>2365</v>
      </c>
      <c r="I788" t="s">
        <v>2365</v>
      </c>
      <c r="J788" t="s">
        <v>2365</v>
      </c>
      <c r="K788" t="s">
        <v>2365</v>
      </c>
      <c r="L788">
        <v>1200</v>
      </c>
      <c r="M788" t="s">
        <v>1480</v>
      </c>
      <c r="N788">
        <v>1204</v>
      </c>
      <c r="O788" t="s">
        <v>1487</v>
      </c>
      <c r="P788" t="s">
        <v>2366</v>
      </c>
      <c r="Q788" t="s">
        <v>2364</v>
      </c>
      <c r="R788" t="s">
        <v>2364</v>
      </c>
      <c r="S788" t="s">
        <v>553</v>
      </c>
      <c r="T788" t="s">
        <v>2175</v>
      </c>
      <c r="U788">
        <v>140</v>
      </c>
      <c r="V788" t="s">
        <v>693</v>
      </c>
      <c r="W788">
        <v>140</v>
      </c>
      <c r="X788" t="s">
        <v>693</v>
      </c>
      <c r="Y788" t="s">
        <v>2365</v>
      </c>
      <c r="Z788" t="s">
        <v>2365</v>
      </c>
      <c r="AA788" t="s">
        <v>2365</v>
      </c>
      <c r="AB788" t="s">
        <v>2365</v>
      </c>
      <c r="AC788" s="813" t="s">
        <v>2365</v>
      </c>
      <c r="AD788" s="813" t="s">
        <v>2365</v>
      </c>
      <c r="AE788" s="813" t="s">
        <v>2365</v>
      </c>
      <c r="AF788" t="s">
        <v>2365</v>
      </c>
      <c r="AG788" t="s">
        <v>2365</v>
      </c>
      <c r="AH788" t="s">
        <v>2365</v>
      </c>
      <c r="AI788" t="s">
        <v>2365</v>
      </c>
      <c r="AJ788" t="s">
        <v>2365</v>
      </c>
      <c r="AK788" t="s">
        <v>2366</v>
      </c>
      <c r="AL788" t="s">
        <v>2366</v>
      </c>
      <c r="AM788" t="s">
        <v>2366</v>
      </c>
      <c r="AN788" t="s">
        <v>2366</v>
      </c>
      <c r="AR788" t="s">
        <v>2365</v>
      </c>
      <c r="AS788" t="s">
        <v>2365</v>
      </c>
      <c r="AT788" t="s">
        <v>2365</v>
      </c>
      <c r="AU788" t="s">
        <v>2365</v>
      </c>
      <c r="AV788" t="s">
        <v>2365</v>
      </c>
      <c r="AW788" t="s">
        <v>2365</v>
      </c>
      <c r="AX788" t="s">
        <v>2365</v>
      </c>
      <c r="AY788" t="s">
        <v>2365</v>
      </c>
      <c r="AZ788" t="s">
        <v>2365</v>
      </c>
      <c r="BA788" t="s">
        <v>2365</v>
      </c>
      <c r="BB788" t="s">
        <v>2365</v>
      </c>
      <c r="BC788" t="s">
        <v>2365</v>
      </c>
      <c r="BD788" t="s">
        <v>2366</v>
      </c>
      <c r="BE788" t="s">
        <v>2365</v>
      </c>
      <c r="BF788" t="s">
        <v>2365</v>
      </c>
      <c r="BG788" t="s">
        <v>2365</v>
      </c>
      <c r="BH788" t="s">
        <v>2365</v>
      </c>
      <c r="BI788" t="s">
        <v>2366</v>
      </c>
      <c r="BJ788" t="s">
        <v>2365</v>
      </c>
      <c r="BK788" t="s">
        <v>2365</v>
      </c>
      <c r="BL788" t="s">
        <v>2365</v>
      </c>
      <c r="BM788" t="s">
        <v>2365</v>
      </c>
      <c r="BO788">
        <v>1</v>
      </c>
      <c r="BP788">
        <v>11</v>
      </c>
      <c r="BQ788" t="s">
        <v>2369</v>
      </c>
      <c r="BR788" t="s">
        <v>1487</v>
      </c>
      <c r="BU788">
        <v>0</v>
      </c>
      <c r="BV788">
        <v>0</v>
      </c>
      <c r="BW788" s="1371">
        <v>0</v>
      </c>
      <c r="BX788" s="1372">
        <v>0</v>
      </c>
      <c r="BY788">
        <v>0</v>
      </c>
      <c r="BZ788">
        <v>0</v>
      </c>
      <c r="CA788">
        <v>0</v>
      </c>
      <c r="CB788">
        <v>0</v>
      </c>
      <c r="CC788">
        <v>0</v>
      </c>
      <c r="CD788">
        <v>0</v>
      </c>
      <c r="CE788">
        <v>0</v>
      </c>
      <c r="CF788">
        <v>0</v>
      </c>
      <c r="CG788">
        <v>0</v>
      </c>
      <c r="CH788">
        <v>0</v>
      </c>
      <c r="CI788">
        <v>0</v>
      </c>
      <c r="CJ788">
        <v>0</v>
      </c>
      <c r="CK788">
        <v>0</v>
      </c>
      <c r="CL788">
        <v>0</v>
      </c>
      <c r="CM788">
        <v>0</v>
      </c>
      <c r="CR788" t="s">
        <v>2324</v>
      </c>
      <c r="CS788" s="1369" t="str">
        <f>INDEX([8]Sheet1!$H:$H,MATCH(CR:CR,[8]Sheet1!$AU:$AU,0))</f>
        <v>Finance</v>
      </c>
    </row>
    <row r="789" spans="1:97" x14ac:dyDescent="0.2">
      <c r="A789" t="s">
        <v>3456</v>
      </c>
      <c r="B789">
        <v>842</v>
      </c>
      <c r="C789" t="s">
        <v>3456</v>
      </c>
      <c r="D789">
        <v>41573</v>
      </c>
      <c r="E789" t="s">
        <v>3457</v>
      </c>
      <c r="F789" t="s">
        <v>2364</v>
      </c>
      <c r="G789" t="s">
        <v>2364</v>
      </c>
      <c r="H789" t="s">
        <v>2365</v>
      </c>
      <c r="I789" t="s">
        <v>2365</v>
      </c>
      <c r="J789" t="s">
        <v>2365</v>
      </c>
      <c r="K789" t="s">
        <v>2365</v>
      </c>
      <c r="L789">
        <v>1200</v>
      </c>
      <c r="M789" t="s">
        <v>1480</v>
      </c>
      <c r="N789">
        <v>1204</v>
      </c>
      <c r="O789" t="s">
        <v>1487</v>
      </c>
      <c r="P789" t="s">
        <v>2366</v>
      </c>
      <c r="Q789" t="s">
        <v>2364</v>
      </c>
      <c r="R789" t="s">
        <v>2364</v>
      </c>
      <c r="S789" t="s">
        <v>553</v>
      </c>
      <c r="T789" t="s">
        <v>2175</v>
      </c>
      <c r="U789">
        <v>140</v>
      </c>
      <c r="V789" t="s">
        <v>693</v>
      </c>
      <c r="W789">
        <v>140</v>
      </c>
      <c r="X789" t="s">
        <v>693</v>
      </c>
      <c r="Y789" t="s">
        <v>2365</v>
      </c>
      <c r="Z789" t="s">
        <v>2365</v>
      </c>
      <c r="AA789" t="s">
        <v>2365</v>
      </c>
      <c r="AB789" t="s">
        <v>2365</v>
      </c>
      <c r="AC789" s="813" t="s">
        <v>2365</v>
      </c>
      <c r="AD789" s="813" t="s">
        <v>2365</v>
      </c>
      <c r="AE789" s="813" t="s">
        <v>2365</v>
      </c>
      <c r="AF789" t="s">
        <v>2365</v>
      </c>
      <c r="AG789" t="s">
        <v>2365</v>
      </c>
      <c r="AH789" t="s">
        <v>2365</v>
      </c>
      <c r="AI789" t="s">
        <v>2365</v>
      </c>
      <c r="AJ789" t="s">
        <v>2365</v>
      </c>
      <c r="AK789" t="s">
        <v>2366</v>
      </c>
      <c r="AL789" t="s">
        <v>2366</v>
      </c>
      <c r="AM789" t="s">
        <v>2366</v>
      </c>
      <c r="AN789" t="s">
        <v>2366</v>
      </c>
      <c r="AR789" t="s">
        <v>2365</v>
      </c>
      <c r="AS789" t="s">
        <v>2365</v>
      </c>
      <c r="AT789" t="s">
        <v>2365</v>
      </c>
      <c r="AU789" t="s">
        <v>2365</v>
      </c>
      <c r="AV789" t="s">
        <v>2365</v>
      </c>
      <c r="AW789" t="s">
        <v>2365</v>
      </c>
      <c r="AX789" t="s">
        <v>2365</v>
      </c>
      <c r="AY789" t="s">
        <v>2365</v>
      </c>
      <c r="AZ789" t="s">
        <v>2365</v>
      </c>
      <c r="BA789" t="s">
        <v>2365</v>
      </c>
      <c r="BB789" t="s">
        <v>2365</v>
      </c>
      <c r="BC789" t="s">
        <v>2365</v>
      </c>
      <c r="BD789" t="s">
        <v>2366</v>
      </c>
      <c r="BE789" t="s">
        <v>2365</v>
      </c>
      <c r="BF789" t="s">
        <v>2365</v>
      </c>
      <c r="BG789" t="s">
        <v>2365</v>
      </c>
      <c r="BH789" t="s">
        <v>2365</v>
      </c>
      <c r="BI789" t="s">
        <v>2366</v>
      </c>
      <c r="BJ789" t="s">
        <v>2365</v>
      </c>
      <c r="BK789" t="s">
        <v>2365</v>
      </c>
      <c r="BL789" t="s">
        <v>2365</v>
      </c>
      <c r="BM789" t="s">
        <v>2365</v>
      </c>
      <c r="BO789">
        <v>1</v>
      </c>
      <c r="BP789">
        <v>11</v>
      </c>
      <c r="BQ789" t="s">
        <v>2369</v>
      </c>
      <c r="BR789" t="s">
        <v>1487</v>
      </c>
      <c r="BU789">
        <v>0</v>
      </c>
      <c r="BV789">
        <v>0</v>
      </c>
      <c r="BW789" s="1371">
        <v>0</v>
      </c>
      <c r="BX789" s="1372">
        <v>0</v>
      </c>
      <c r="BY789">
        <v>0</v>
      </c>
      <c r="BZ789">
        <v>0</v>
      </c>
      <c r="CA789">
        <v>0</v>
      </c>
      <c r="CB789">
        <v>0</v>
      </c>
      <c r="CC789">
        <v>0</v>
      </c>
      <c r="CD789">
        <v>0</v>
      </c>
      <c r="CE789">
        <v>0</v>
      </c>
      <c r="CF789">
        <v>0</v>
      </c>
      <c r="CG789">
        <v>0</v>
      </c>
      <c r="CH789">
        <v>0</v>
      </c>
      <c r="CI789">
        <v>0</v>
      </c>
      <c r="CJ789">
        <v>0</v>
      </c>
      <c r="CK789">
        <v>0</v>
      </c>
      <c r="CL789">
        <v>0</v>
      </c>
      <c r="CM789">
        <v>0</v>
      </c>
      <c r="CR789" t="s">
        <v>2324</v>
      </c>
      <c r="CS789" s="1369" t="str">
        <f>INDEX([8]Sheet1!$H:$H,MATCH(CR:CR,[8]Sheet1!$AU:$AU,0))</f>
        <v>Finance</v>
      </c>
    </row>
    <row r="790" spans="1:97" x14ac:dyDescent="0.2">
      <c r="A790" t="s">
        <v>3458</v>
      </c>
      <c r="B790">
        <v>843</v>
      </c>
      <c r="C790" t="s">
        <v>3458</v>
      </c>
      <c r="D790">
        <v>41574</v>
      </c>
      <c r="E790" t="s">
        <v>3459</v>
      </c>
      <c r="F790" t="s">
        <v>2364</v>
      </c>
      <c r="G790" t="s">
        <v>2364</v>
      </c>
      <c r="H790" t="s">
        <v>2365</v>
      </c>
      <c r="I790" t="s">
        <v>2365</v>
      </c>
      <c r="J790" t="s">
        <v>2365</v>
      </c>
      <c r="K790" t="s">
        <v>2365</v>
      </c>
      <c r="L790">
        <v>1200</v>
      </c>
      <c r="M790" t="s">
        <v>1480</v>
      </c>
      <c r="N790">
        <v>1204</v>
      </c>
      <c r="O790" t="s">
        <v>1487</v>
      </c>
      <c r="P790" t="s">
        <v>2366</v>
      </c>
      <c r="Q790" t="s">
        <v>2364</v>
      </c>
      <c r="R790" t="s">
        <v>2364</v>
      </c>
      <c r="S790" t="s">
        <v>553</v>
      </c>
      <c r="T790" t="s">
        <v>2175</v>
      </c>
      <c r="U790">
        <v>140</v>
      </c>
      <c r="V790" t="s">
        <v>693</v>
      </c>
      <c r="W790">
        <v>140</v>
      </c>
      <c r="X790" t="s">
        <v>693</v>
      </c>
      <c r="Y790" t="s">
        <v>2365</v>
      </c>
      <c r="Z790" t="s">
        <v>2365</v>
      </c>
      <c r="AA790" t="s">
        <v>2365</v>
      </c>
      <c r="AB790" t="s">
        <v>2365</v>
      </c>
      <c r="AC790" s="813" t="s">
        <v>2365</v>
      </c>
      <c r="AD790" s="813" t="s">
        <v>2365</v>
      </c>
      <c r="AE790" s="813" t="s">
        <v>2365</v>
      </c>
      <c r="AF790" t="s">
        <v>2365</v>
      </c>
      <c r="AG790" t="s">
        <v>2365</v>
      </c>
      <c r="AH790" t="s">
        <v>2365</v>
      </c>
      <c r="AI790" t="s">
        <v>2365</v>
      </c>
      <c r="AJ790" t="s">
        <v>2365</v>
      </c>
      <c r="AK790" t="s">
        <v>2366</v>
      </c>
      <c r="AL790" t="s">
        <v>2366</v>
      </c>
      <c r="AM790" t="s">
        <v>2366</v>
      </c>
      <c r="AN790" t="s">
        <v>2366</v>
      </c>
      <c r="AR790" t="s">
        <v>2365</v>
      </c>
      <c r="AS790" t="s">
        <v>2365</v>
      </c>
      <c r="AT790" t="s">
        <v>2365</v>
      </c>
      <c r="AU790" t="s">
        <v>2365</v>
      </c>
      <c r="AV790" t="s">
        <v>2365</v>
      </c>
      <c r="AW790" t="s">
        <v>2365</v>
      </c>
      <c r="AX790" t="s">
        <v>2365</v>
      </c>
      <c r="AY790" t="s">
        <v>2365</v>
      </c>
      <c r="AZ790" t="s">
        <v>2365</v>
      </c>
      <c r="BA790" t="s">
        <v>2365</v>
      </c>
      <c r="BB790" t="s">
        <v>2365</v>
      </c>
      <c r="BC790" t="s">
        <v>2365</v>
      </c>
      <c r="BD790" t="s">
        <v>2366</v>
      </c>
      <c r="BE790" t="s">
        <v>2365</v>
      </c>
      <c r="BF790" t="s">
        <v>2365</v>
      </c>
      <c r="BG790" t="s">
        <v>2365</v>
      </c>
      <c r="BH790" t="s">
        <v>2365</v>
      </c>
      <c r="BI790" t="s">
        <v>2366</v>
      </c>
      <c r="BJ790" t="s">
        <v>2365</v>
      </c>
      <c r="BK790" t="s">
        <v>2365</v>
      </c>
      <c r="BL790" t="s">
        <v>2365</v>
      </c>
      <c r="BM790" t="s">
        <v>2365</v>
      </c>
      <c r="BO790">
        <v>1</v>
      </c>
      <c r="BP790">
        <v>11</v>
      </c>
      <c r="BQ790" t="s">
        <v>2369</v>
      </c>
      <c r="BR790" t="s">
        <v>1487</v>
      </c>
      <c r="BU790">
        <v>0</v>
      </c>
      <c r="BV790">
        <v>0</v>
      </c>
      <c r="BW790" s="1371">
        <v>0</v>
      </c>
      <c r="BX790" s="1372">
        <v>0</v>
      </c>
      <c r="BY790">
        <v>0</v>
      </c>
      <c r="BZ790">
        <v>0</v>
      </c>
      <c r="CA790">
        <v>0</v>
      </c>
      <c r="CB790">
        <v>-655244.36</v>
      </c>
      <c r="CC790">
        <v>-80420.049999999988</v>
      </c>
      <c r="CD790">
        <v>-467638.89999999997</v>
      </c>
      <c r="CE790">
        <v>-241095.84999999998</v>
      </c>
      <c r="CF790">
        <v>-200348.39</v>
      </c>
      <c r="CG790">
        <v>-120575.19</v>
      </c>
      <c r="CH790">
        <v>-101601.56999999999</v>
      </c>
      <c r="CI790">
        <v>-139841.80000000002</v>
      </c>
      <c r="CJ790">
        <v>-435.99</v>
      </c>
      <c r="CK790">
        <v>0</v>
      </c>
      <c r="CL790">
        <v>0</v>
      </c>
      <c r="CM790">
        <v>0</v>
      </c>
      <c r="CR790" t="s">
        <v>2324</v>
      </c>
      <c r="CS790" s="1369" t="str">
        <f>INDEX([8]Sheet1!$H:$H,MATCH(CR:CR,[8]Sheet1!$AU:$AU,0))</f>
        <v>Finance</v>
      </c>
    </row>
    <row r="791" spans="1:97" x14ac:dyDescent="0.2">
      <c r="A791" t="s">
        <v>3460</v>
      </c>
      <c r="B791">
        <v>844</v>
      </c>
      <c r="C791" t="s">
        <v>3460</v>
      </c>
      <c r="D791">
        <v>41575</v>
      </c>
      <c r="E791" t="s">
        <v>3461</v>
      </c>
      <c r="F791" t="s">
        <v>2364</v>
      </c>
      <c r="G791" t="s">
        <v>2364</v>
      </c>
      <c r="H791" s="1373" t="s">
        <v>2365</v>
      </c>
      <c r="I791" t="s">
        <v>2365</v>
      </c>
      <c r="J791" t="s">
        <v>2365</v>
      </c>
      <c r="K791" t="s">
        <v>2365</v>
      </c>
      <c r="L791" s="1373">
        <v>1200</v>
      </c>
      <c r="M791" t="s">
        <v>1480</v>
      </c>
      <c r="N791">
        <v>1204</v>
      </c>
      <c r="O791" t="s">
        <v>1487</v>
      </c>
      <c r="P791" t="s">
        <v>2366</v>
      </c>
      <c r="Q791" t="s">
        <v>2364</v>
      </c>
      <c r="R791" t="s">
        <v>2364</v>
      </c>
      <c r="S791" t="s">
        <v>553</v>
      </c>
      <c r="T791" t="s">
        <v>2175</v>
      </c>
      <c r="U791">
        <v>140</v>
      </c>
      <c r="V791" t="s">
        <v>693</v>
      </c>
      <c r="W791">
        <v>140</v>
      </c>
      <c r="X791" t="s">
        <v>693</v>
      </c>
      <c r="Y791" t="s">
        <v>2365</v>
      </c>
      <c r="Z791" t="s">
        <v>2365</v>
      </c>
      <c r="AA791" t="s">
        <v>2365</v>
      </c>
      <c r="AB791" t="s">
        <v>2365</v>
      </c>
      <c r="AC791" s="813" t="s">
        <v>2365</v>
      </c>
      <c r="AD791" s="813" t="s">
        <v>2365</v>
      </c>
      <c r="AE791" s="813" t="s">
        <v>2365</v>
      </c>
      <c r="AF791" t="s">
        <v>2365</v>
      </c>
      <c r="AG791" t="s">
        <v>2365</v>
      </c>
      <c r="AH791" t="s">
        <v>2365</v>
      </c>
      <c r="AI791" t="s">
        <v>2365</v>
      </c>
      <c r="AJ791" t="s">
        <v>2365</v>
      </c>
      <c r="AK791" t="s">
        <v>2366</v>
      </c>
      <c r="AL791" t="s">
        <v>2366</v>
      </c>
      <c r="AM791" t="s">
        <v>2366</v>
      </c>
      <c r="AN791" t="s">
        <v>2366</v>
      </c>
      <c r="AR791" t="s">
        <v>2365</v>
      </c>
      <c r="AS791" t="s">
        <v>2365</v>
      </c>
      <c r="AT791" t="s">
        <v>2365</v>
      </c>
      <c r="AU791" t="s">
        <v>2365</v>
      </c>
      <c r="AV791" t="s">
        <v>2365</v>
      </c>
      <c r="AW791" t="s">
        <v>2365</v>
      </c>
      <c r="AX791" t="s">
        <v>2365</v>
      </c>
      <c r="AY791" t="s">
        <v>2365</v>
      </c>
      <c r="AZ791" t="s">
        <v>2365</v>
      </c>
      <c r="BA791" t="s">
        <v>2365</v>
      </c>
      <c r="BB791" t="s">
        <v>2365</v>
      </c>
      <c r="BC791" t="s">
        <v>2365</v>
      </c>
      <c r="BD791" t="s">
        <v>2366</v>
      </c>
      <c r="BE791" t="s">
        <v>2365</v>
      </c>
      <c r="BF791" t="s">
        <v>2365</v>
      </c>
      <c r="BG791" t="s">
        <v>2365</v>
      </c>
      <c r="BH791" t="s">
        <v>2365</v>
      </c>
      <c r="BI791" t="s">
        <v>2366</v>
      </c>
      <c r="BJ791" t="s">
        <v>2365</v>
      </c>
      <c r="BK791" t="s">
        <v>2365</v>
      </c>
      <c r="BL791" t="s">
        <v>2365</v>
      </c>
      <c r="BM791" t="s">
        <v>2365</v>
      </c>
      <c r="BO791">
        <v>1</v>
      </c>
      <c r="BP791">
        <v>11</v>
      </c>
      <c r="BQ791" t="s">
        <v>2369</v>
      </c>
      <c r="BR791" t="s">
        <v>1487</v>
      </c>
      <c r="BU791" s="1371">
        <v>0</v>
      </c>
      <c r="BV791" s="1371">
        <v>0</v>
      </c>
      <c r="BW791" s="1371">
        <v>0</v>
      </c>
      <c r="BX791" s="1371">
        <v>0</v>
      </c>
      <c r="BY791" s="1371">
        <v>0</v>
      </c>
      <c r="BZ791">
        <v>0</v>
      </c>
      <c r="CA791">
        <v>0</v>
      </c>
      <c r="CB791">
        <v>0</v>
      </c>
      <c r="CC791">
        <v>0</v>
      </c>
      <c r="CD791">
        <v>0</v>
      </c>
      <c r="CE791">
        <v>0</v>
      </c>
      <c r="CF791">
        <v>0</v>
      </c>
      <c r="CG791">
        <v>0</v>
      </c>
      <c r="CH791">
        <v>0</v>
      </c>
      <c r="CI791">
        <v>0</v>
      </c>
      <c r="CJ791">
        <v>0</v>
      </c>
      <c r="CK791">
        <v>0</v>
      </c>
      <c r="CL791">
        <v>0</v>
      </c>
      <c r="CM791">
        <v>0</v>
      </c>
      <c r="CR791" t="s">
        <v>2324</v>
      </c>
      <c r="CS791" s="1369" t="str">
        <f>INDEX([8]Sheet1!$H:$H,MATCH(CR:CR,[8]Sheet1!$AU:$AU,0))</f>
        <v>Finance</v>
      </c>
    </row>
    <row r="792" spans="1:97" x14ac:dyDescent="0.2">
      <c r="A792" t="s">
        <v>3462</v>
      </c>
      <c r="B792">
        <v>845</v>
      </c>
      <c r="C792" t="s">
        <v>3462</v>
      </c>
      <c r="D792">
        <v>41576</v>
      </c>
      <c r="E792" t="s">
        <v>3463</v>
      </c>
      <c r="F792" t="s">
        <v>2364</v>
      </c>
      <c r="G792" t="s">
        <v>2364</v>
      </c>
      <c r="H792" t="s">
        <v>2365</v>
      </c>
      <c r="I792" t="s">
        <v>2365</v>
      </c>
      <c r="J792" t="s">
        <v>2365</v>
      </c>
      <c r="K792" t="s">
        <v>2365</v>
      </c>
      <c r="L792">
        <v>1200</v>
      </c>
      <c r="M792" t="s">
        <v>1480</v>
      </c>
      <c r="N792">
        <v>1204</v>
      </c>
      <c r="O792" t="s">
        <v>1487</v>
      </c>
      <c r="P792" t="s">
        <v>2366</v>
      </c>
      <c r="Q792" t="s">
        <v>2364</v>
      </c>
      <c r="R792" t="s">
        <v>2364</v>
      </c>
      <c r="S792" t="s">
        <v>553</v>
      </c>
      <c r="T792" t="s">
        <v>2175</v>
      </c>
      <c r="U792">
        <v>140</v>
      </c>
      <c r="V792" t="s">
        <v>693</v>
      </c>
      <c r="W792">
        <v>140</v>
      </c>
      <c r="X792" t="s">
        <v>693</v>
      </c>
      <c r="Y792" t="s">
        <v>2365</v>
      </c>
      <c r="Z792" t="s">
        <v>2365</v>
      </c>
      <c r="AA792" t="s">
        <v>2365</v>
      </c>
      <c r="AB792" t="s">
        <v>2365</v>
      </c>
      <c r="AC792" s="813" t="s">
        <v>2365</v>
      </c>
      <c r="AD792" s="813" t="s">
        <v>2365</v>
      </c>
      <c r="AE792" s="813" t="s">
        <v>2365</v>
      </c>
      <c r="AF792" t="s">
        <v>2365</v>
      </c>
      <c r="AG792" t="s">
        <v>2365</v>
      </c>
      <c r="AH792" t="s">
        <v>2365</v>
      </c>
      <c r="AI792" t="s">
        <v>2365</v>
      </c>
      <c r="AJ792" t="s">
        <v>2365</v>
      </c>
      <c r="AK792">
        <v>147</v>
      </c>
      <c r="AL792" t="s">
        <v>1200</v>
      </c>
      <c r="AM792">
        <v>147</v>
      </c>
      <c r="AN792" t="s">
        <v>1200</v>
      </c>
      <c r="AR792" t="s">
        <v>2365</v>
      </c>
      <c r="AS792" t="s">
        <v>2365</v>
      </c>
      <c r="AT792" t="s">
        <v>2365</v>
      </c>
      <c r="AU792" t="s">
        <v>2365</v>
      </c>
      <c r="AV792" t="s">
        <v>2365</v>
      </c>
      <c r="AW792" t="s">
        <v>2365</v>
      </c>
      <c r="AX792" t="s">
        <v>2365</v>
      </c>
      <c r="AY792" t="s">
        <v>2365</v>
      </c>
      <c r="AZ792" t="s">
        <v>2365</v>
      </c>
      <c r="BA792" t="s">
        <v>2365</v>
      </c>
      <c r="BB792" t="s">
        <v>2365</v>
      </c>
      <c r="BC792" t="s">
        <v>2365</v>
      </c>
      <c r="BD792" t="s">
        <v>2366</v>
      </c>
      <c r="BE792" t="s">
        <v>2365</v>
      </c>
      <c r="BF792" t="s">
        <v>2365</v>
      </c>
      <c r="BG792" t="s">
        <v>2365</v>
      </c>
      <c r="BH792" t="s">
        <v>2365</v>
      </c>
      <c r="BI792" t="s">
        <v>2366</v>
      </c>
      <c r="BJ792" t="s">
        <v>2365</v>
      </c>
      <c r="BK792" t="s">
        <v>2365</v>
      </c>
      <c r="BL792" t="s">
        <v>2365</v>
      </c>
      <c r="BM792" t="s">
        <v>2365</v>
      </c>
      <c r="BO792">
        <v>1</v>
      </c>
      <c r="BP792">
        <v>11</v>
      </c>
      <c r="BQ792" t="s">
        <v>2369</v>
      </c>
      <c r="BR792" t="s">
        <v>1487</v>
      </c>
      <c r="BU792">
        <v>0</v>
      </c>
      <c r="BV792">
        <v>0</v>
      </c>
      <c r="BW792" s="1371">
        <v>0</v>
      </c>
      <c r="BX792" s="1372">
        <v>0</v>
      </c>
      <c r="BY792">
        <v>0</v>
      </c>
      <c r="BZ792">
        <v>0</v>
      </c>
      <c r="CA792">
        <v>0</v>
      </c>
      <c r="CB792">
        <v>0</v>
      </c>
      <c r="CC792">
        <v>0</v>
      </c>
      <c r="CD792">
        <v>0</v>
      </c>
      <c r="CE792">
        <v>0</v>
      </c>
      <c r="CF792">
        <v>0</v>
      </c>
      <c r="CG792">
        <v>0</v>
      </c>
      <c r="CH792">
        <v>0</v>
      </c>
      <c r="CI792">
        <v>0</v>
      </c>
      <c r="CJ792">
        <v>0</v>
      </c>
      <c r="CK792">
        <v>0</v>
      </c>
      <c r="CL792">
        <v>0</v>
      </c>
      <c r="CM792">
        <v>0</v>
      </c>
      <c r="CR792" t="s">
        <v>2324</v>
      </c>
      <c r="CS792" s="1369" t="str">
        <f>INDEX([8]Sheet1!$H:$H,MATCH(CR:CR,[8]Sheet1!$AU:$AU,0))</f>
        <v>Finance</v>
      </c>
    </row>
    <row r="793" spans="1:97" x14ac:dyDescent="0.2">
      <c r="A793" t="s">
        <v>3464</v>
      </c>
      <c r="B793">
        <v>846</v>
      </c>
      <c r="C793" t="s">
        <v>3464</v>
      </c>
      <c r="D793">
        <v>41577</v>
      </c>
      <c r="E793" t="s">
        <v>3465</v>
      </c>
      <c r="F793" t="s">
        <v>2364</v>
      </c>
      <c r="G793" t="s">
        <v>2364</v>
      </c>
      <c r="H793" t="s">
        <v>2365</v>
      </c>
      <c r="I793" t="s">
        <v>2365</v>
      </c>
      <c r="J793" t="s">
        <v>2365</v>
      </c>
      <c r="K793" t="s">
        <v>2365</v>
      </c>
      <c r="L793">
        <v>1200</v>
      </c>
      <c r="M793" t="s">
        <v>1480</v>
      </c>
      <c r="N793">
        <v>1204</v>
      </c>
      <c r="O793" t="s">
        <v>1487</v>
      </c>
      <c r="P793" t="s">
        <v>2366</v>
      </c>
      <c r="Q793" t="s">
        <v>2364</v>
      </c>
      <c r="R793" t="s">
        <v>2364</v>
      </c>
      <c r="S793" t="s">
        <v>553</v>
      </c>
      <c r="T793" t="s">
        <v>2175</v>
      </c>
      <c r="U793">
        <v>140</v>
      </c>
      <c r="V793" t="s">
        <v>693</v>
      </c>
      <c r="W793">
        <v>140</v>
      </c>
      <c r="X793" t="s">
        <v>693</v>
      </c>
      <c r="Y793" t="s">
        <v>2365</v>
      </c>
      <c r="Z793" t="s">
        <v>2365</v>
      </c>
      <c r="AA793" t="s">
        <v>2365</v>
      </c>
      <c r="AB793" t="s">
        <v>2365</v>
      </c>
      <c r="AC793" s="813" t="s">
        <v>2365</v>
      </c>
      <c r="AD793" s="813" t="s">
        <v>2365</v>
      </c>
      <c r="AE793" s="813" t="s">
        <v>2365</v>
      </c>
      <c r="AF793" t="s">
        <v>2365</v>
      </c>
      <c r="AG793" t="s">
        <v>2365</v>
      </c>
      <c r="AH793" t="s">
        <v>2365</v>
      </c>
      <c r="AI793" t="s">
        <v>2365</v>
      </c>
      <c r="AJ793" t="s">
        <v>2365</v>
      </c>
      <c r="AK793" t="s">
        <v>2366</v>
      </c>
      <c r="AL793" t="s">
        <v>2366</v>
      </c>
      <c r="AM793" t="s">
        <v>2366</v>
      </c>
      <c r="AN793" t="s">
        <v>2366</v>
      </c>
      <c r="AR793" t="s">
        <v>2365</v>
      </c>
      <c r="AS793" t="s">
        <v>2365</v>
      </c>
      <c r="AT793" t="s">
        <v>2365</v>
      </c>
      <c r="AU793" t="s">
        <v>2365</v>
      </c>
      <c r="AV793" t="s">
        <v>2365</v>
      </c>
      <c r="AW793" t="s">
        <v>2365</v>
      </c>
      <c r="AX793" t="s">
        <v>2365</v>
      </c>
      <c r="AY793" t="s">
        <v>2365</v>
      </c>
      <c r="AZ793" t="s">
        <v>2365</v>
      </c>
      <c r="BA793" t="s">
        <v>2365</v>
      </c>
      <c r="BB793" t="s">
        <v>2365</v>
      </c>
      <c r="BC793" t="s">
        <v>2365</v>
      </c>
      <c r="BD793" t="s">
        <v>2366</v>
      </c>
      <c r="BE793" t="s">
        <v>2365</v>
      </c>
      <c r="BF793" t="s">
        <v>2365</v>
      </c>
      <c r="BG793" t="s">
        <v>2365</v>
      </c>
      <c r="BH793" t="s">
        <v>2365</v>
      </c>
      <c r="BI793" t="s">
        <v>2366</v>
      </c>
      <c r="BJ793" t="s">
        <v>2365</v>
      </c>
      <c r="BK793" t="s">
        <v>2365</v>
      </c>
      <c r="BL793" t="s">
        <v>2365</v>
      </c>
      <c r="BM793" t="s">
        <v>2365</v>
      </c>
      <c r="BO793">
        <v>1</v>
      </c>
      <c r="BP793">
        <v>11</v>
      </c>
      <c r="BQ793" t="s">
        <v>2369</v>
      </c>
      <c r="BR793" t="s">
        <v>1487</v>
      </c>
      <c r="BU793">
        <v>0</v>
      </c>
      <c r="BV793">
        <v>0</v>
      </c>
      <c r="BW793" s="1371">
        <v>0</v>
      </c>
      <c r="BX793" s="1372">
        <v>0</v>
      </c>
      <c r="BY793">
        <v>0</v>
      </c>
      <c r="BZ793">
        <v>0</v>
      </c>
      <c r="CA793">
        <v>0</v>
      </c>
      <c r="CB793">
        <v>0</v>
      </c>
      <c r="CC793">
        <v>0</v>
      </c>
      <c r="CD793">
        <v>0</v>
      </c>
      <c r="CE793">
        <v>0</v>
      </c>
      <c r="CF793">
        <v>0</v>
      </c>
      <c r="CG793">
        <v>0</v>
      </c>
      <c r="CH793">
        <v>0</v>
      </c>
      <c r="CI793">
        <v>0</v>
      </c>
      <c r="CJ793">
        <v>0</v>
      </c>
      <c r="CK793">
        <v>0</v>
      </c>
      <c r="CL793">
        <v>0</v>
      </c>
      <c r="CM793">
        <v>0</v>
      </c>
      <c r="CR793" t="s">
        <v>2324</v>
      </c>
      <c r="CS793" s="1369" t="str">
        <f>INDEX([8]Sheet1!$H:$H,MATCH(CR:CR,[8]Sheet1!$AU:$AU,0))</f>
        <v>Finance</v>
      </c>
    </row>
    <row r="794" spans="1:97" x14ac:dyDescent="0.2">
      <c r="A794" t="s">
        <v>3466</v>
      </c>
      <c r="B794">
        <v>847</v>
      </c>
      <c r="C794" t="s">
        <v>3466</v>
      </c>
      <c r="D794">
        <v>41578</v>
      </c>
      <c r="E794" t="s">
        <v>3467</v>
      </c>
      <c r="F794" t="s">
        <v>2364</v>
      </c>
      <c r="G794" t="s">
        <v>2364</v>
      </c>
      <c r="H794" t="s">
        <v>2365</v>
      </c>
      <c r="I794" t="s">
        <v>2365</v>
      </c>
      <c r="J794" t="s">
        <v>2365</v>
      </c>
      <c r="K794" t="s">
        <v>2365</v>
      </c>
      <c r="L794">
        <v>1200</v>
      </c>
      <c r="M794" t="s">
        <v>1480</v>
      </c>
      <c r="N794">
        <v>1204</v>
      </c>
      <c r="O794" t="s">
        <v>1487</v>
      </c>
      <c r="P794" t="s">
        <v>2366</v>
      </c>
      <c r="Q794" t="s">
        <v>2364</v>
      </c>
      <c r="R794" t="s">
        <v>2364</v>
      </c>
      <c r="S794" t="s">
        <v>553</v>
      </c>
      <c r="T794" t="s">
        <v>2175</v>
      </c>
      <c r="U794">
        <v>140</v>
      </c>
      <c r="V794" t="s">
        <v>693</v>
      </c>
      <c r="W794">
        <v>140</v>
      </c>
      <c r="X794" t="s">
        <v>693</v>
      </c>
      <c r="Y794" t="s">
        <v>2365</v>
      </c>
      <c r="Z794" t="s">
        <v>2365</v>
      </c>
      <c r="AA794" t="s">
        <v>2365</v>
      </c>
      <c r="AB794" t="s">
        <v>2365</v>
      </c>
      <c r="AC794" s="813" t="s">
        <v>2365</v>
      </c>
      <c r="AD794" s="813" t="s">
        <v>2365</v>
      </c>
      <c r="AE794" s="813" t="s">
        <v>2365</v>
      </c>
      <c r="AF794" t="s">
        <v>2365</v>
      </c>
      <c r="AG794" t="s">
        <v>2365</v>
      </c>
      <c r="AH794" t="s">
        <v>2365</v>
      </c>
      <c r="AI794" t="s">
        <v>2365</v>
      </c>
      <c r="AJ794" t="s">
        <v>2365</v>
      </c>
      <c r="AK794" t="s">
        <v>2366</v>
      </c>
      <c r="AL794" t="s">
        <v>2366</v>
      </c>
      <c r="AM794" t="s">
        <v>2366</v>
      </c>
      <c r="AN794" t="s">
        <v>2366</v>
      </c>
      <c r="AR794" t="s">
        <v>2365</v>
      </c>
      <c r="AS794" t="s">
        <v>2365</v>
      </c>
      <c r="AT794" t="s">
        <v>2365</v>
      </c>
      <c r="AU794" t="s">
        <v>2365</v>
      </c>
      <c r="AV794" t="s">
        <v>2365</v>
      </c>
      <c r="AW794" t="s">
        <v>2365</v>
      </c>
      <c r="AX794" t="s">
        <v>2365</v>
      </c>
      <c r="AY794" t="s">
        <v>2365</v>
      </c>
      <c r="AZ794" t="s">
        <v>2365</v>
      </c>
      <c r="BA794" t="s">
        <v>2365</v>
      </c>
      <c r="BB794" t="s">
        <v>2365</v>
      </c>
      <c r="BC794" t="s">
        <v>2365</v>
      </c>
      <c r="BD794" t="s">
        <v>2366</v>
      </c>
      <c r="BE794" t="s">
        <v>2365</v>
      </c>
      <c r="BF794" t="s">
        <v>2365</v>
      </c>
      <c r="BG794" t="s">
        <v>2365</v>
      </c>
      <c r="BH794" t="s">
        <v>2365</v>
      </c>
      <c r="BI794" t="s">
        <v>2366</v>
      </c>
      <c r="BJ794" t="s">
        <v>2365</v>
      </c>
      <c r="BK794" t="s">
        <v>2365</v>
      </c>
      <c r="BL794" t="s">
        <v>2365</v>
      </c>
      <c r="BM794" t="s">
        <v>2365</v>
      </c>
      <c r="BO794">
        <v>1</v>
      </c>
      <c r="BP794">
        <v>11</v>
      </c>
      <c r="BQ794" t="s">
        <v>2369</v>
      </c>
      <c r="BR794" t="s">
        <v>1487</v>
      </c>
      <c r="BU794">
        <v>0</v>
      </c>
      <c r="BV794">
        <v>0</v>
      </c>
      <c r="BW794" s="1371">
        <v>0</v>
      </c>
      <c r="BX794" s="1372">
        <v>0</v>
      </c>
      <c r="BY794">
        <v>0</v>
      </c>
      <c r="BZ794">
        <v>0</v>
      </c>
      <c r="CA794">
        <v>0</v>
      </c>
      <c r="CB794">
        <v>0</v>
      </c>
      <c r="CC794">
        <v>0</v>
      </c>
      <c r="CD794">
        <v>0</v>
      </c>
      <c r="CE794">
        <v>0</v>
      </c>
      <c r="CF794">
        <v>0</v>
      </c>
      <c r="CG794">
        <v>0</v>
      </c>
      <c r="CH794">
        <v>0</v>
      </c>
      <c r="CI794">
        <v>0</v>
      </c>
      <c r="CJ794">
        <v>0</v>
      </c>
      <c r="CK794">
        <v>0</v>
      </c>
      <c r="CL794">
        <v>0</v>
      </c>
      <c r="CM794">
        <v>0</v>
      </c>
      <c r="CR794" t="s">
        <v>2324</v>
      </c>
      <c r="CS794" s="1369" t="str">
        <f>INDEX([8]Sheet1!$H:$H,MATCH(CR:CR,[8]Sheet1!$AU:$AU,0))</f>
        <v>Finance</v>
      </c>
    </row>
    <row r="795" spans="1:97" x14ac:dyDescent="0.2">
      <c r="A795" t="s">
        <v>3468</v>
      </c>
      <c r="B795">
        <v>848</v>
      </c>
      <c r="C795" t="s">
        <v>3468</v>
      </c>
      <c r="D795">
        <v>41579</v>
      </c>
      <c r="E795" t="s">
        <v>3469</v>
      </c>
      <c r="F795" t="s">
        <v>2364</v>
      </c>
      <c r="G795" t="s">
        <v>2364</v>
      </c>
      <c r="H795" t="s">
        <v>2365</v>
      </c>
      <c r="I795" t="s">
        <v>2365</v>
      </c>
      <c r="J795" t="s">
        <v>2365</v>
      </c>
      <c r="K795" t="s">
        <v>2365</v>
      </c>
      <c r="L795">
        <v>1200</v>
      </c>
      <c r="M795" t="s">
        <v>1480</v>
      </c>
      <c r="N795">
        <v>1204</v>
      </c>
      <c r="O795" t="s">
        <v>1487</v>
      </c>
      <c r="P795" t="s">
        <v>2366</v>
      </c>
      <c r="Q795" t="s">
        <v>2364</v>
      </c>
      <c r="R795" t="s">
        <v>2364</v>
      </c>
      <c r="S795" t="s">
        <v>553</v>
      </c>
      <c r="T795" t="s">
        <v>2175</v>
      </c>
      <c r="U795">
        <v>140</v>
      </c>
      <c r="V795" t="s">
        <v>693</v>
      </c>
      <c r="W795">
        <v>140</v>
      </c>
      <c r="X795" t="s">
        <v>693</v>
      </c>
      <c r="Y795" t="s">
        <v>2365</v>
      </c>
      <c r="Z795" t="s">
        <v>2365</v>
      </c>
      <c r="AA795" t="s">
        <v>2365</v>
      </c>
      <c r="AB795" t="s">
        <v>2365</v>
      </c>
      <c r="AC795" s="813" t="s">
        <v>2365</v>
      </c>
      <c r="AD795" s="813" t="s">
        <v>2365</v>
      </c>
      <c r="AE795" s="813" t="s">
        <v>2365</v>
      </c>
      <c r="AF795" t="s">
        <v>2365</v>
      </c>
      <c r="AG795" t="s">
        <v>2365</v>
      </c>
      <c r="AH795" t="s">
        <v>2365</v>
      </c>
      <c r="AI795" t="s">
        <v>2365</v>
      </c>
      <c r="AJ795" t="s">
        <v>2365</v>
      </c>
      <c r="AK795" t="s">
        <v>2366</v>
      </c>
      <c r="AL795" t="s">
        <v>2366</v>
      </c>
      <c r="AM795" t="s">
        <v>2366</v>
      </c>
      <c r="AN795" t="s">
        <v>2366</v>
      </c>
      <c r="AR795" t="s">
        <v>2365</v>
      </c>
      <c r="AS795" t="s">
        <v>2365</v>
      </c>
      <c r="AT795" t="s">
        <v>2365</v>
      </c>
      <c r="AU795" t="s">
        <v>2365</v>
      </c>
      <c r="AV795" t="s">
        <v>2365</v>
      </c>
      <c r="AW795" t="s">
        <v>2365</v>
      </c>
      <c r="AX795" t="s">
        <v>2365</v>
      </c>
      <c r="AY795" t="s">
        <v>2365</v>
      </c>
      <c r="AZ795" t="s">
        <v>2365</v>
      </c>
      <c r="BA795" t="s">
        <v>2365</v>
      </c>
      <c r="BB795" t="s">
        <v>2365</v>
      </c>
      <c r="BC795" t="s">
        <v>2365</v>
      </c>
      <c r="BD795" t="s">
        <v>2366</v>
      </c>
      <c r="BE795" t="s">
        <v>2365</v>
      </c>
      <c r="BF795" t="s">
        <v>2365</v>
      </c>
      <c r="BG795" t="s">
        <v>2365</v>
      </c>
      <c r="BH795" t="s">
        <v>2365</v>
      </c>
      <c r="BI795" t="s">
        <v>2366</v>
      </c>
      <c r="BJ795" t="s">
        <v>2365</v>
      </c>
      <c r="BK795" t="s">
        <v>2365</v>
      </c>
      <c r="BL795" t="s">
        <v>2365</v>
      </c>
      <c r="BM795" t="s">
        <v>2365</v>
      </c>
      <c r="BO795">
        <v>1</v>
      </c>
      <c r="BP795">
        <v>11</v>
      </c>
      <c r="BQ795" t="s">
        <v>2369</v>
      </c>
      <c r="BR795" t="s">
        <v>1487</v>
      </c>
      <c r="BU795">
        <v>0</v>
      </c>
      <c r="BV795">
        <v>0</v>
      </c>
      <c r="BW795" s="1371">
        <v>0</v>
      </c>
      <c r="BX795" s="1372">
        <v>0</v>
      </c>
      <c r="BY795">
        <v>0</v>
      </c>
      <c r="BZ795">
        <v>0</v>
      </c>
      <c r="CA795">
        <v>0</v>
      </c>
      <c r="CB795">
        <v>0</v>
      </c>
      <c r="CC795">
        <v>0</v>
      </c>
      <c r="CD795">
        <v>0</v>
      </c>
      <c r="CE795">
        <v>0</v>
      </c>
      <c r="CF795">
        <v>0</v>
      </c>
      <c r="CG795">
        <v>0</v>
      </c>
      <c r="CH795">
        <v>0</v>
      </c>
      <c r="CI795">
        <v>0</v>
      </c>
      <c r="CJ795">
        <v>0</v>
      </c>
      <c r="CK795">
        <v>0</v>
      </c>
      <c r="CL795">
        <v>0</v>
      </c>
      <c r="CM795">
        <v>0</v>
      </c>
      <c r="CR795" t="s">
        <v>2324</v>
      </c>
      <c r="CS795" s="1369" t="str">
        <f>INDEX([8]Sheet1!$H:$H,MATCH(CR:CR,[8]Sheet1!$AU:$AU,0))</f>
        <v>Finance</v>
      </c>
    </row>
    <row r="796" spans="1:97" x14ac:dyDescent="0.2">
      <c r="A796" t="s">
        <v>3470</v>
      </c>
      <c r="B796">
        <v>849</v>
      </c>
      <c r="C796" t="s">
        <v>3470</v>
      </c>
      <c r="D796">
        <v>41580</v>
      </c>
      <c r="E796" t="s">
        <v>3471</v>
      </c>
      <c r="F796" t="s">
        <v>2364</v>
      </c>
      <c r="G796" t="s">
        <v>2364</v>
      </c>
      <c r="H796" t="s">
        <v>2365</v>
      </c>
      <c r="I796" t="s">
        <v>2365</v>
      </c>
      <c r="J796" t="s">
        <v>2365</v>
      </c>
      <c r="K796" t="s">
        <v>2365</v>
      </c>
      <c r="L796">
        <v>1200</v>
      </c>
      <c r="M796" t="s">
        <v>1480</v>
      </c>
      <c r="N796">
        <v>1204</v>
      </c>
      <c r="O796" t="s">
        <v>1487</v>
      </c>
      <c r="P796" t="s">
        <v>2366</v>
      </c>
      <c r="Q796" t="s">
        <v>2364</v>
      </c>
      <c r="R796" t="s">
        <v>2364</v>
      </c>
      <c r="S796" t="s">
        <v>553</v>
      </c>
      <c r="T796" t="s">
        <v>2175</v>
      </c>
      <c r="U796">
        <v>140</v>
      </c>
      <c r="V796" t="s">
        <v>693</v>
      </c>
      <c r="W796">
        <v>140</v>
      </c>
      <c r="X796" t="s">
        <v>693</v>
      </c>
      <c r="Y796" t="s">
        <v>2365</v>
      </c>
      <c r="Z796" t="s">
        <v>2365</v>
      </c>
      <c r="AA796" t="s">
        <v>2365</v>
      </c>
      <c r="AB796" t="s">
        <v>2365</v>
      </c>
      <c r="AC796" s="813" t="s">
        <v>2365</v>
      </c>
      <c r="AD796" s="813" t="s">
        <v>2365</v>
      </c>
      <c r="AE796" s="813" t="s">
        <v>2365</v>
      </c>
      <c r="AF796" t="s">
        <v>2365</v>
      </c>
      <c r="AG796" t="s">
        <v>2365</v>
      </c>
      <c r="AH796" t="s">
        <v>2365</v>
      </c>
      <c r="AI796" t="s">
        <v>2365</v>
      </c>
      <c r="AJ796" t="s">
        <v>2365</v>
      </c>
      <c r="AK796" t="s">
        <v>2366</v>
      </c>
      <c r="AL796" t="s">
        <v>2366</v>
      </c>
      <c r="AM796" t="s">
        <v>2366</v>
      </c>
      <c r="AN796" t="s">
        <v>2366</v>
      </c>
      <c r="AR796" t="s">
        <v>2365</v>
      </c>
      <c r="AS796" t="s">
        <v>2365</v>
      </c>
      <c r="AT796" t="s">
        <v>2365</v>
      </c>
      <c r="AU796" t="s">
        <v>2365</v>
      </c>
      <c r="AV796" t="s">
        <v>2365</v>
      </c>
      <c r="AW796" t="s">
        <v>2365</v>
      </c>
      <c r="AX796" t="s">
        <v>2365</v>
      </c>
      <c r="AY796" t="s">
        <v>2365</v>
      </c>
      <c r="AZ796" t="s">
        <v>2365</v>
      </c>
      <c r="BA796" t="s">
        <v>2365</v>
      </c>
      <c r="BB796" t="s">
        <v>2365</v>
      </c>
      <c r="BC796" t="s">
        <v>2365</v>
      </c>
      <c r="BD796" t="s">
        <v>2366</v>
      </c>
      <c r="BE796" t="s">
        <v>2365</v>
      </c>
      <c r="BF796" t="s">
        <v>2365</v>
      </c>
      <c r="BG796" t="s">
        <v>2365</v>
      </c>
      <c r="BH796" t="s">
        <v>2365</v>
      </c>
      <c r="BI796" t="s">
        <v>2366</v>
      </c>
      <c r="BJ796" t="s">
        <v>2365</v>
      </c>
      <c r="BK796" t="s">
        <v>2365</v>
      </c>
      <c r="BL796" t="s">
        <v>2365</v>
      </c>
      <c r="BM796" t="s">
        <v>2365</v>
      </c>
      <c r="BO796">
        <v>1</v>
      </c>
      <c r="BP796">
        <v>11</v>
      </c>
      <c r="BQ796" t="s">
        <v>2369</v>
      </c>
      <c r="BR796" t="s">
        <v>1487</v>
      </c>
      <c r="BU796">
        <v>0</v>
      </c>
      <c r="BV796">
        <v>0</v>
      </c>
      <c r="BW796">
        <v>0</v>
      </c>
      <c r="BX796">
        <v>0</v>
      </c>
      <c r="BY796">
        <v>0</v>
      </c>
      <c r="BZ796">
        <v>0</v>
      </c>
      <c r="CA796">
        <v>0</v>
      </c>
      <c r="CB796">
        <v>204732.26</v>
      </c>
      <c r="CC796">
        <v>204732.26</v>
      </c>
      <c r="CD796">
        <v>204732.26</v>
      </c>
      <c r="CE796">
        <v>204732.26</v>
      </c>
      <c r="CF796">
        <v>204732.26</v>
      </c>
      <c r="CG796">
        <v>204732.26</v>
      </c>
      <c r="CH796">
        <v>204732.26</v>
      </c>
      <c r="CI796">
        <v>204108.26</v>
      </c>
      <c r="CJ796">
        <v>0</v>
      </c>
      <c r="CK796">
        <v>0</v>
      </c>
      <c r="CL796">
        <v>0</v>
      </c>
      <c r="CM796">
        <v>0</v>
      </c>
      <c r="CR796" t="s">
        <v>2320</v>
      </c>
      <c r="CS796" s="1369" t="str">
        <f>INDEX([8]Sheet1!$H:$H,MATCH(CR:CR,[8]Sheet1!$AU:$AU,0))</f>
        <v>Administrative and Corporate Support</v>
      </c>
    </row>
    <row r="797" spans="1:97" x14ac:dyDescent="0.2">
      <c r="A797" t="s">
        <v>3472</v>
      </c>
      <c r="B797">
        <v>850</v>
      </c>
      <c r="C797" t="s">
        <v>3472</v>
      </c>
      <c r="D797">
        <v>41581</v>
      </c>
      <c r="E797" t="s">
        <v>3473</v>
      </c>
      <c r="F797" t="s">
        <v>2364</v>
      </c>
      <c r="G797" t="s">
        <v>2364</v>
      </c>
      <c r="H797" t="s">
        <v>2365</v>
      </c>
      <c r="I797" t="s">
        <v>2365</v>
      </c>
      <c r="J797" t="s">
        <v>2365</v>
      </c>
      <c r="K797" t="s">
        <v>2365</v>
      </c>
      <c r="L797">
        <v>1200</v>
      </c>
      <c r="M797" t="s">
        <v>1480</v>
      </c>
      <c r="N797">
        <v>1204</v>
      </c>
      <c r="O797" t="s">
        <v>1487</v>
      </c>
      <c r="P797" t="s">
        <v>2366</v>
      </c>
      <c r="Q797" t="s">
        <v>2364</v>
      </c>
      <c r="R797" t="s">
        <v>2364</v>
      </c>
      <c r="S797" t="s">
        <v>553</v>
      </c>
      <c r="T797" t="s">
        <v>2175</v>
      </c>
      <c r="U797">
        <v>140</v>
      </c>
      <c r="V797" t="s">
        <v>693</v>
      </c>
      <c r="W797">
        <v>140</v>
      </c>
      <c r="X797" t="s">
        <v>693</v>
      </c>
      <c r="Y797" t="s">
        <v>2365</v>
      </c>
      <c r="Z797" t="s">
        <v>2365</v>
      </c>
      <c r="AA797" t="s">
        <v>2365</v>
      </c>
      <c r="AB797" t="s">
        <v>2365</v>
      </c>
      <c r="AC797" s="813" t="s">
        <v>2365</v>
      </c>
      <c r="AD797" s="813" t="s">
        <v>2365</v>
      </c>
      <c r="AE797" s="813" t="s">
        <v>2365</v>
      </c>
      <c r="AF797" t="s">
        <v>2365</v>
      </c>
      <c r="AG797" t="s">
        <v>2365</v>
      </c>
      <c r="AH797" t="s">
        <v>2365</v>
      </c>
      <c r="AI797" t="s">
        <v>2365</v>
      </c>
      <c r="AJ797" t="s">
        <v>2365</v>
      </c>
      <c r="AK797">
        <v>147</v>
      </c>
      <c r="AL797" t="s">
        <v>1200</v>
      </c>
      <c r="AM797">
        <v>147</v>
      </c>
      <c r="AN797" t="s">
        <v>1200</v>
      </c>
      <c r="AR797" t="s">
        <v>2365</v>
      </c>
      <c r="AS797" t="s">
        <v>2365</v>
      </c>
      <c r="AT797" t="s">
        <v>2365</v>
      </c>
      <c r="AU797" t="s">
        <v>2365</v>
      </c>
      <c r="AV797" t="s">
        <v>2365</v>
      </c>
      <c r="AW797" t="s">
        <v>2365</v>
      </c>
      <c r="AX797" t="s">
        <v>2365</v>
      </c>
      <c r="AY797" t="s">
        <v>2365</v>
      </c>
      <c r="AZ797" t="s">
        <v>2365</v>
      </c>
      <c r="BA797" t="s">
        <v>2365</v>
      </c>
      <c r="BB797" t="s">
        <v>2365</v>
      </c>
      <c r="BC797" t="s">
        <v>2365</v>
      </c>
      <c r="BD797" t="s">
        <v>2366</v>
      </c>
      <c r="BE797" t="s">
        <v>2365</v>
      </c>
      <c r="BF797" t="s">
        <v>2365</v>
      </c>
      <c r="BG797" t="s">
        <v>2365</v>
      </c>
      <c r="BH797" t="s">
        <v>2365</v>
      </c>
      <c r="BI797" t="s">
        <v>2366</v>
      </c>
      <c r="BJ797" t="s">
        <v>2365</v>
      </c>
      <c r="BK797" t="s">
        <v>2365</v>
      </c>
      <c r="BL797" t="s">
        <v>2365</v>
      </c>
      <c r="BM797" t="s">
        <v>2365</v>
      </c>
      <c r="BO797">
        <v>1</v>
      </c>
      <c r="BP797">
        <v>11</v>
      </c>
      <c r="BQ797" t="s">
        <v>2369</v>
      </c>
      <c r="BR797" t="s">
        <v>1487</v>
      </c>
      <c r="BU797">
        <v>0</v>
      </c>
      <c r="BV797">
        <v>0</v>
      </c>
      <c r="BW797">
        <v>0</v>
      </c>
      <c r="BX797">
        <v>0</v>
      </c>
      <c r="BY797">
        <v>0</v>
      </c>
      <c r="BZ797">
        <v>0</v>
      </c>
      <c r="CA797">
        <v>0</v>
      </c>
      <c r="CB797">
        <v>0</v>
      </c>
      <c r="CC797">
        <v>0</v>
      </c>
      <c r="CD797">
        <v>0</v>
      </c>
      <c r="CE797">
        <v>0</v>
      </c>
      <c r="CF797">
        <v>0</v>
      </c>
      <c r="CG797">
        <v>0</v>
      </c>
      <c r="CH797">
        <v>0</v>
      </c>
      <c r="CI797">
        <v>0</v>
      </c>
      <c r="CJ797">
        <v>0</v>
      </c>
      <c r="CK797">
        <v>0</v>
      </c>
      <c r="CL797">
        <v>0</v>
      </c>
      <c r="CM797">
        <v>0</v>
      </c>
      <c r="CR797" t="s">
        <v>2325</v>
      </c>
      <c r="CS797" s="1369" t="str">
        <f>INDEX([8]Sheet1!$H:$H,MATCH(CR:CR,[8]Sheet1!$AU:$AU,0))</f>
        <v>Asset Management</v>
      </c>
    </row>
    <row r="798" spans="1:97" x14ac:dyDescent="0.2">
      <c r="A798" t="s">
        <v>3474</v>
      </c>
      <c r="B798">
        <v>851</v>
      </c>
      <c r="C798" t="s">
        <v>3474</v>
      </c>
      <c r="D798">
        <v>41582</v>
      </c>
      <c r="E798" t="s">
        <v>3475</v>
      </c>
      <c r="F798" t="s">
        <v>2364</v>
      </c>
      <c r="G798" t="s">
        <v>2364</v>
      </c>
      <c r="H798" t="s">
        <v>2365</v>
      </c>
      <c r="I798" t="s">
        <v>2365</v>
      </c>
      <c r="J798" t="s">
        <v>2365</v>
      </c>
      <c r="K798" t="s">
        <v>2365</v>
      </c>
      <c r="L798">
        <v>1200</v>
      </c>
      <c r="M798" t="s">
        <v>1480</v>
      </c>
      <c r="N798">
        <v>1204</v>
      </c>
      <c r="O798" t="s">
        <v>1487</v>
      </c>
      <c r="P798" t="s">
        <v>2366</v>
      </c>
      <c r="Q798" t="s">
        <v>2364</v>
      </c>
      <c r="R798" t="s">
        <v>2364</v>
      </c>
      <c r="S798" t="s">
        <v>553</v>
      </c>
      <c r="T798" t="s">
        <v>2175</v>
      </c>
      <c r="U798">
        <v>140</v>
      </c>
      <c r="V798" t="s">
        <v>693</v>
      </c>
      <c r="W798">
        <v>140</v>
      </c>
      <c r="X798" t="s">
        <v>693</v>
      </c>
      <c r="Y798" t="s">
        <v>2365</v>
      </c>
      <c r="Z798" t="s">
        <v>2365</v>
      </c>
      <c r="AA798" t="s">
        <v>2365</v>
      </c>
      <c r="AB798" t="s">
        <v>2365</v>
      </c>
      <c r="AC798" s="813" t="s">
        <v>2365</v>
      </c>
      <c r="AD798" s="813" t="s">
        <v>2365</v>
      </c>
      <c r="AE798" s="813" t="s">
        <v>2365</v>
      </c>
      <c r="AF798" t="s">
        <v>2365</v>
      </c>
      <c r="AG798" t="s">
        <v>2365</v>
      </c>
      <c r="AH798" t="s">
        <v>2365</v>
      </c>
      <c r="AI798" t="s">
        <v>2365</v>
      </c>
      <c r="AJ798" t="s">
        <v>2365</v>
      </c>
      <c r="AK798" t="s">
        <v>2366</v>
      </c>
      <c r="AL798" t="s">
        <v>2366</v>
      </c>
      <c r="AM798" t="s">
        <v>2366</v>
      </c>
      <c r="AN798" t="s">
        <v>2366</v>
      </c>
      <c r="AR798" t="s">
        <v>2365</v>
      </c>
      <c r="AS798" t="s">
        <v>2365</v>
      </c>
      <c r="AT798" t="s">
        <v>2365</v>
      </c>
      <c r="AU798" t="s">
        <v>2365</v>
      </c>
      <c r="AV798" t="s">
        <v>2365</v>
      </c>
      <c r="AW798" t="s">
        <v>2365</v>
      </c>
      <c r="AX798" t="s">
        <v>2365</v>
      </c>
      <c r="AY798" t="s">
        <v>2365</v>
      </c>
      <c r="AZ798" t="s">
        <v>2365</v>
      </c>
      <c r="BA798" t="s">
        <v>2365</v>
      </c>
      <c r="BB798" t="s">
        <v>2365</v>
      </c>
      <c r="BC798" t="s">
        <v>2365</v>
      </c>
      <c r="BD798" t="s">
        <v>2366</v>
      </c>
      <c r="BE798" t="s">
        <v>2365</v>
      </c>
      <c r="BF798" t="s">
        <v>2365</v>
      </c>
      <c r="BG798" t="s">
        <v>2365</v>
      </c>
      <c r="BH798" t="s">
        <v>2365</v>
      </c>
      <c r="BI798" t="s">
        <v>2366</v>
      </c>
      <c r="BJ798" t="s">
        <v>2365</v>
      </c>
      <c r="BK798" t="s">
        <v>2365</v>
      </c>
      <c r="BL798" t="s">
        <v>2365</v>
      </c>
      <c r="BM798" t="s">
        <v>2365</v>
      </c>
      <c r="BO798">
        <v>1</v>
      </c>
      <c r="BP798">
        <v>11</v>
      </c>
      <c r="BQ798" t="s">
        <v>2369</v>
      </c>
      <c r="BR798" t="s">
        <v>1487</v>
      </c>
      <c r="BU798">
        <v>0</v>
      </c>
      <c r="BV798">
        <v>0</v>
      </c>
      <c r="BW798">
        <v>0</v>
      </c>
      <c r="BX798">
        <v>0</v>
      </c>
      <c r="BY798">
        <v>0</v>
      </c>
      <c r="BZ798">
        <v>0</v>
      </c>
      <c r="CA798">
        <v>0</v>
      </c>
      <c r="CB798">
        <v>0</v>
      </c>
      <c r="CC798">
        <v>0</v>
      </c>
      <c r="CD798">
        <v>0</v>
      </c>
      <c r="CE798">
        <v>0</v>
      </c>
      <c r="CF798">
        <v>0</v>
      </c>
      <c r="CG798">
        <v>0</v>
      </c>
      <c r="CH798">
        <v>0</v>
      </c>
      <c r="CI798">
        <v>0</v>
      </c>
      <c r="CJ798">
        <v>0</v>
      </c>
      <c r="CK798">
        <v>0</v>
      </c>
      <c r="CL798">
        <v>0</v>
      </c>
      <c r="CM798">
        <v>0</v>
      </c>
      <c r="CR798" t="s">
        <v>2325</v>
      </c>
      <c r="CS798" s="1369" t="str">
        <f>INDEX([8]Sheet1!$H:$H,MATCH(CR:CR,[8]Sheet1!$AU:$AU,0))</f>
        <v>Asset Management</v>
      </c>
    </row>
    <row r="799" spans="1:97" x14ac:dyDescent="0.2">
      <c r="A799" t="s">
        <v>3476</v>
      </c>
      <c r="B799">
        <v>852</v>
      </c>
      <c r="C799" t="s">
        <v>3476</v>
      </c>
      <c r="D799">
        <v>41583</v>
      </c>
      <c r="E799" t="s">
        <v>3477</v>
      </c>
      <c r="F799" t="s">
        <v>2364</v>
      </c>
      <c r="G799" t="s">
        <v>2364</v>
      </c>
      <c r="H799" t="s">
        <v>2365</v>
      </c>
      <c r="I799" t="s">
        <v>2365</v>
      </c>
      <c r="J799" t="s">
        <v>2365</v>
      </c>
      <c r="K799" t="s">
        <v>2365</v>
      </c>
      <c r="L799">
        <v>1200</v>
      </c>
      <c r="M799" t="s">
        <v>1480</v>
      </c>
      <c r="N799">
        <v>1204</v>
      </c>
      <c r="O799" t="s">
        <v>1487</v>
      </c>
      <c r="P799" t="s">
        <v>2366</v>
      </c>
      <c r="Q799" t="s">
        <v>2364</v>
      </c>
      <c r="R799" t="s">
        <v>2364</v>
      </c>
      <c r="S799" t="s">
        <v>553</v>
      </c>
      <c r="T799" t="s">
        <v>2175</v>
      </c>
      <c r="U799">
        <v>140</v>
      </c>
      <c r="V799" t="s">
        <v>693</v>
      </c>
      <c r="W799">
        <v>140</v>
      </c>
      <c r="X799" t="s">
        <v>693</v>
      </c>
      <c r="Y799" t="s">
        <v>2365</v>
      </c>
      <c r="Z799" t="s">
        <v>2365</v>
      </c>
      <c r="AA799" t="s">
        <v>2365</v>
      </c>
      <c r="AB799" t="s">
        <v>2365</v>
      </c>
      <c r="AC799" s="813" t="s">
        <v>2365</v>
      </c>
      <c r="AD799" s="813" t="s">
        <v>2365</v>
      </c>
      <c r="AE799" s="813" t="s">
        <v>2365</v>
      </c>
      <c r="AF799" t="s">
        <v>2365</v>
      </c>
      <c r="AG799" t="s">
        <v>2365</v>
      </c>
      <c r="AH799" t="s">
        <v>2365</v>
      </c>
      <c r="AI799" t="s">
        <v>2365</v>
      </c>
      <c r="AJ799" t="s">
        <v>2365</v>
      </c>
      <c r="AK799" t="s">
        <v>2366</v>
      </c>
      <c r="AL799" t="s">
        <v>2366</v>
      </c>
      <c r="AM799" t="s">
        <v>2366</v>
      </c>
      <c r="AN799" t="s">
        <v>2366</v>
      </c>
      <c r="AR799" t="s">
        <v>2365</v>
      </c>
      <c r="AS799" t="s">
        <v>2365</v>
      </c>
      <c r="AT799" t="s">
        <v>2365</v>
      </c>
      <c r="AU799" t="s">
        <v>2365</v>
      </c>
      <c r="AV799" t="s">
        <v>2365</v>
      </c>
      <c r="AW799" t="s">
        <v>2365</v>
      </c>
      <c r="AX799" t="s">
        <v>2365</v>
      </c>
      <c r="AY799" t="s">
        <v>2365</v>
      </c>
      <c r="AZ799" t="s">
        <v>2365</v>
      </c>
      <c r="BA799" t="s">
        <v>2365</v>
      </c>
      <c r="BB799" t="s">
        <v>2365</v>
      </c>
      <c r="BC799" t="s">
        <v>2365</v>
      </c>
      <c r="BD799" t="s">
        <v>2366</v>
      </c>
      <c r="BE799" t="s">
        <v>2365</v>
      </c>
      <c r="BF799" t="s">
        <v>2365</v>
      </c>
      <c r="BG799" t="s">
        <v>2365</v>
      </c>
      <c r="BH799" t="s">
        <v>2365</v>
      </c>
      <c r="BI799" t="s">
        <v>2366</v>
      </c>
      <c r="BJ799" t="s">
        <v>2365</v>
      </c>
      <c r="BK799" t="s">
        <v>2365</v>
      </c>
      <c r="BL799" t="s">
        <v>2365</v>
      </c>
      <c r="BM799" t="s">
        <v>2365</v>
      </c>
      <c r="BO799">
        <v>1</v>
      </c>
      <c r="BP799">
        <v>11</v>
      </c>
      <c r="BQ799" t="s">
        <v>2369</v>
      </c>
      <c r="BR799" t="s">
        <v>1487</v>
      </c>
      <c r="BU799">
        <v>0</v>
      </c>
      <c r="BV799">
        <v>0</v>
      </c>
      <c r="BW799">
        <v>0</v>
      </c>
      <c r="BX799">
        <v>0</v>
      </c>
      <c r="BY799">
        <v>0</v>
      </c>
      <c r="BZ799">
        <v>0</v>
      </c>
      <c r="CA799">
        <v>0</v>
      </c>
      <c r="CB799">
        <v>0</v>
      </c>
      <c r="CC799">
        <v>0</v>
      </c>
      <c r="CD799">
        <v>0</v>
      </c>
      <c r="CE799">
        <v>0</v>
      </c>
      <c r="CF799">
        <v>0</v>
      </c>
      <c r="CG799">
        <v>0</v>
      </c>
      <c r="CH799">
        <v>0</v>
      </c>
      <c r="CI799">
        <v>0</v>
      </c>
      <c r="CJ799">
        <v>0</v>
      </c>
      <c r="CK799">
        <v>0</v>
      </c>
      <c r="CL799">
        <v>0</v>
      </c>
      <c r="CM799">
        <v>0</v>
      </c>
      <c r="CR799" t="s">
        <v>2325</v>
      </c>
      <c r="CS799" s="1369" t="str">
        <f>INDEX([8]Sheet1!$H:$H,MATCH(CR:CR,[8]Sheet1!$AU:$AU,0))</f>
        <v>Asset Management</v>
      </c>
    </row>
    <row r="800" spans="1:97" x14ac:dyDescent="0.2">
      <c r="A800" t="s">
        <v>3478</v>
      </c>
      <c r="B800">
        <v>853</v>
      </c>
      <c r="C800" t="s">
        <v>3478</v>
      </c>
      <c r="D800">
        <v>41584</v>
      </c>
      <c r="E800" t="s">
        <v>3479</v>
      </c>
      <c r="F800" t="s">
        <v>2364</v>
      </c>
      <c r="G800" t="s">
        <v>2364</v>
      </c>
      <c r="H800" t="s">
        <v>2365</v>
      </c>
      <c r="I800" t="s">
        <v>2365</v>
      </c>
      <c r="J800" t="s">
        <v>2365</v>
      </c>
      <c r="K800" t="s">
        <v>2365</v>
      </c>
      <c r="L800">
        <v>1200</v>
      </c>
      <c r="M800" t="s">
        <v>1480</v>
      </c>
      <c r="N800">
        <v>1204</v>
      </c>
      <c r="O800" t="s">
        <v>1487</v>
      </c>
      <c r="P800" t="s">
        <v>2366</v>
      </c>
      <c r="Q800" t="s">
        <v>2364</v>
      </c>
      <c r="R800" t="s">
        <v>2364</v>
      </c>
      <c r="S800" t="s">
        <v>553</v>
      </c>
      <c r="T800" t="s">
        <v>2175</v>
      </c>
      <c r="U800">
        <v>140</v>
      </c>
      <c r="V800" t="s">
        <v>693</v>
      </c>
      <c r="W800">
        <v>140</v>
      </c>
      <c r="X800" t="s">
        <v>693</v>
      </c>
      <c r="Y800" t="s">
        <v>2365</v>
      </c>
      <c r="Z800" t="s">
        <v>2365</v>
      </c>
      <c r="AA800" t="s">
        <v>2365</v>
      </c>
      <c r="AB800" t="s">
        <v>2365</v>
      </c>
      <c r="AC800" s="813" t="s">
        <v>2365</v>
      </c>
      <c r="AD800" s="813" t="s">
        <v>2365</v>
      </c>
      <c r="AE800" s="813" t="s">
        <v>2365</v>
      </c>
      <c r="AF800" t="s">
        <v>2365</v>
      </c>
      <c r="AG800" t="s">
        <v>2365</v>
      </c>
      <c r="AH800" t="s">
        <v>2365</v>
      </c>
      <c r="AI800" t="s">
        <v>2365</v>
      </c>
      <c r="AJ800" t="s">
        <v>2365</v>
      </c>
      <c r="AK800" t="s">
        <v>2366</v>
      </c>
      <c r="AL800" t="s">
        <v>2366</v>
      </c>
      <c r="AM800" t="s">
        <v>2366</v>
      </c>
      <c r="AN800" t="s">
        <v>2366</v>
      </c>
      <c r="AR800" t="s">
        <v>2365</v>
      </c>
      <c r="AS800" t="s">
        <v>2365</v>
      </c>
      <c r="AT800" t="s">
        <v>2365</v>
      </c>
      <c r="AU800" t="s">
        <v>2365</v>
      </c>
      <c r="AV800" t="s">
        <v>2365</v>
      </c>
      <c r="AW800" t="s">
        <v>2365</v>
      </c>
      <c r="AX800" t="s">
        <v>2365</v>
      </c>
      <c r="AY800" t="s">
        <v>2365</v>
      </c>
      <c r="AZ800" t="s">
        <v>2365</v>
      </c>
      <c r="BA800" t="s">
        <v>2365</v>
      </c>
      <c r="BB800" t="s">
        <v>2365</v>
      </c>
      <c r="BC800" t="s">
        <v>2365</v>
      </c>
      <c r="BD800" t="s">
        <v>2366</v>
      </c>
      <c r="BE800" t="s">
        <v>2365</v>
      </c>
      <c r="BF800" t="s">
        <v>2365</v>
      </c>
      <c r="BG800" t="s">
        <v>2365</v>
      </c>
      <c r="BH800" t="s">
        <v>2365</v>
      </c>
      <c r="BI800" t="s">
        <v>2366</v>
      </c>
      <c r="BJ800" t="s">
        <v>2365</v>
      </c>
      <c r="BK800" t="s">
        <v>2365</v>
      </c>
      <c r="BL800" t="s">
        <v>2365</v>
      </c>
      <c r="BM800" t="s">
        <v>2365</v>
      </c>
      <c r="BO800">
        <v>1</v>
      </c>
      <c r="BP800">
        <v>11</v>
      </c>
      <c r="BQ800" t="s">
        <v>2369</v>
      </c>
      <c r="BR800" t="s">
        <v>1487</v>
      </c>
      <c r="BU800">
        <v>0</v>
      </c>
      <c r="BV800">
        <v>0</v>
      </c>
      <c r="BW800">
        <v>0</v>
      </c>
      <c r="BX800">
        <v>0</v>
      </c>
      <c r="BY800">
        <v>0</v>
      </c>
      <c r="BZ800">
        <v>0</v>
      </c>
      <c r="CA800">
        <v>0</v>
      </c>
      <c r="CB800">
        <v>0</v>
      </c>
      <c r="CC800">
        <v>0</v>
      </c>
      <c r="CD800">
        <v>0</v>
      </c>
      <c r="CE800">
        <v>0</v>
      </c>
      <c r="CF800">
        <v>0</v>
      </c>
      <c r="CG800">
        <v>0</v>
      </c>
      <c r="CH800">
        <v>0</v>
      </c>
      <c r="CI800">
        <v>0</v>
      </c>
      <c r="CJ800">
        <v>0</v>
      </c>
      <c r="CK800">
        <v>0</v>
      </c>
      <c r="CL800">
        <v>0</v>
      </c>
      <c r="CM800">
        <v>0</v>
      </c>
      <c r="CR800" t="s">
        <v>2325</v>
      </c>
      <c r="CS800" s="1369" t="str">
        <f>INDEX([8]Sheet1!$H:$H,MATCH(CR:CR,[8]Sheet1!$AU:$AU,0))</f>
        <v>Asset Management</v>
      </c>
    </row>
    <row r="801" spans="1:97" x14ac:dyDescent="0.2">
      <c r="A801" t="s">
        <v>3480</v>
      </c>
      <c r="B801">
        <v>854</v>
      </c>
      <c r="C801" t="s">
        <v>3480</v>
      </c>
      <c r="D801">
        <v>41585</v>
      </c>
      <c r="E801" t="s">
        <v>3481</v>
      </c>
      <c r="F801" t="s">
        <v>2364</v>
      </c>
      <c r="G801" t="s">
        <v>2364</v>
      </c>
      <c r="H801" t="s">
        <v>2365</v>
      </c>
      <c r="I801" t="s">
        <v>2365</v>
      </c>
      <c r="J801" t="s">
        <v>2365</v>
      </c>
      <c r="K801" t="s">
        <v>2365</v>
      </c>
      <c r="L801">
        <v>1200</v>
      </c>
      <c r="M801" t="s">
        <v>1480</v>
      </c>
      <c r="N801">
        <v>1204</v>
      </c>
      <c r="O801" t="s">
        <v>1487</v>
      </c>
      <c r="P801" t="s">
        <v>2366</v>
      </c>
      <c r="Q801" t="s">
        <v>2364</v>
      </c>
      <c r="R801" t="s">
        <v>2364</v>
      </c>
      <c r="S801" t="s">
        <v>553</v>
      </c>
      <c r="T801" t="s">
        <v>2175</v>
      </c>
      <c r="U801">
        <v>140</v>
      </c>
      <c r="V801" t="s">
        <v>693</v>
      </c>
      <c r="W801">
        <v>140</v>
      </c>
      <c r="X801" t="s">
        <v>693</v>
      </c>
      <c r="Y801" t="s">
        <v>2365</v>
      </c>
      <c r="Z801" t="s">
        <v>2365</v>
      </c>
      <c r="AA801" t="s">
        <v>2365</v>
      </c>
      <c r="AB801" t="s">
        <v>2365</v>
      </c>
      <c r="AC801" s="813" t="s">
        <v>2365</v>
      </c>
      <c r="AD801" s="813" t="s">
        <v>2365</v>
      </c>
      <c r="AE801" s="813" t="s">
        <v>2365</v>
      </c>
      <c r="AF801" t="s">
        <v>2365</v>
      </c>
      <c r="AG801" t="s">
        <v>2365</v>
      </c>
      <c r="AH801" t="s">
        <v>2365</v>
      </c>
      <c r="AI801" t="s">
        <v>2365</v>
      </c>
      <c r="AJ801" t="s">
        <v>2365</v>
      </c>
      <c r="AK801" t="s">
        <v>2366</v>
      </c>
      <c r="AL801" t="s">
        <v>2366</v>
      </c>
      <c r="AM801" t="s">
        <v>2366</v>
      </c>
      <c r="AN801" t="s">
        <v>2366</v>
      </c>
      <c r="AR801" t="s">
        <v>2365</v>
      </c>
      <c r="AS801" t="s">
        <v>2365</v>
      </c>
      <c r="AT801" t="s">
        <v>2365</v>
      </c>
      <c r="AU801" t="s">
        <v>2365</v>
      </c>
      <c r="AV801" t="s">
        <v>2365</v>
      </c>
      <c r="AW801" t="s">
        <v>2365</v>
      </c>
      <c r="AX801" t="s">
        <v>2365</v>
      </c>
      <c r="AY801" t="s">
        <v>2365</v>
      </c>
      <c r="AZ801" t="s">
        <v>2365</v>
      </c>
      <c r="BA801" t="s">
        <v>2365</v>
      </c>
      <c r="BB801" t="s">
        <v>2365</v>
      </c>
      <c r="BC801" t="s">
        <v>2365</v>
      </c>
      <c r="BD801" t="s">
        <v>2366</v>
      </c>
      <c r="BE801" t="s">
        <v>2365</v>
      </c>
      <c r="BF801" t="s">
        <v>2365</v>
      </c>
      <c r="BG801" t="s">
        <v>2365</v>
      </c>
      <c r="BH801" t="s">
        <v>2365</v>
      </c>
      <c r="BI801" t="s">
        <v>2366</v>
      </c>
      <c r="BJ801" t="s">
        <v>2365</v>
      </c>
      <c r="BK801" t="s">
        <v>2365</v>
      </c>
      <c r="BL801" t="s">
        <v>2365</v>
      </c>
      <c r="BM801" t="s">
        <v>2365</v>
      </c>
      <c r="BO801">
        <v>1</v>
      </c>
      <c r="BP801">
        <v>11</v>
      </c>
      <c r="BQ801" t="s">
        <v>2369</v>
      </c>
      <c r="BR801" t="s">
        <v>1487</v>
      </c>
      <c r="BU801">
        <v>0</v>
      </c>
      <c r="BV801">
        <v>0</v>
      </c>
      <c r="BW801">
        <v>0</v>
      </c>
      <c r="BX801">
        <v>0</v>
      </c>
      <c r="BY801">
        <v>0</v>
      </c>
      <c r="BZ801">
        <v>0</v>
      </c>
      <c r="CA801">
        <v>0</v>
      </c>
      <c r="CB801">
        <v>0</v>
      </c>
      <c r="CC801">
        <v>0</v>
      </c>
      <c r="CD801">
        <v>0</v>
      </c>
      <c r="CE801">
        <v>0</v>
      </c>
      <c r="CF801">
        <v>0</v>
      </c>
      <c r="CG801">
        <v>0</v>
      </c>
      <c r="CH801">
        <v>0</v>
      </c>
      <c r="CI801">
        <v>0</v>
      </c>
      <c r="CJ801">
        <v>0</v>
      </c>
      <c r="CK801">
        <v>0</v>
      </c>
      <c r="CL801">
        <v>0</v>
      </c>
      <c r="CM801">
        <v>0</v>
      </c>
      <c r="CR801" t="s">
        <v>2325</v>
      </c>
      <c r="CS801" s="1369" t="str">
        <f>INDEX([8]Sheet1!$H:$H,MATCH(CR:CR,[8]Sheet1!$AU:$AU,0))</f>
        <v>Asset Management</v>
      </c>
    </row>
    <row r="802" spans="1:97" x14ac:dyDescent="0.2">
      <c r="A802" t="s">
        <v>3482</v>
      </c>
      <c r="B802">
        <v>855</v>
      </c>
      <c r="C802" t="s">
        <v>3482</v>
      </c>
      <c r="D802">
        <v>41586</v>
      </c>
      <c r="E802" t="s">
        <v>3483</v>
      </c>
      <c r="F802" t="s">
        <v>2364</v>
      </c>
      <c r="G802" t="s">
        <v>2364</v>
      </c>
      <c r="H802" t="s">
        <v>2365</v>
      </c>
      <c r="I802" t="s">
        <v>2365</v>
      </c>
      <c r="J802" t="s">
        <v>2365</v>
      </c>
      <c r="K802" t="s">
        <v>2365</v>
      </c>
      <c r="L802">
        <v>1200</v>
      </c>
      <c r="M802" t="s">
        <v>1480</v>
      </c>
      <c r="N802">
        <v>1204</v>
      </c>
      <c r="O802" t="s">
        <v>1487</v>
      </c>
      <c r="P802" t="s">
        <v>2366</v>
      </c>
      <c r="Q802" t="s">
        <v>2364</v>
      </c>
      <c r="R802" t="s">
        <v>2364</v>
      </c>
      <c r="S802" t="s">
        <v>553</v>
      </c>
      <c r="T802" t="s">
        <v>2175</v>
      </c>
      <c r="U802">
        <v>140</v>
      </c>
      <c r="V802" t="s">
        <v>693</v>
      </c>
      <c r="W802">
        <v>140</v>
      </c>
      <c r="X802" t="s">
        <v>693</v>
      </c>
      <c r="Y802" t="s">
        <v>2365</v>
      </c>
      <c r="Z802" t="s">
        <v>2365</v>
      </c>
      <c r="AA802" t="s">
        <v>2365</v>
      </c>
      <c r="AB802" t="s">
        <v>2365</v>
      </c>
      <c r="AC802" s="813" t="s">
        <v>2365</v>
      </c>
      <c r="AD802" s="813" t="s">
        <v>2365</v>
      </c>
      <c r="AE802" s="813" t="s">
        <v>2365</v>
      </c>
      <c r="AF802" t="s">
        <v>2365</v>
      </c>
      <c r="AG802" t="s">
        <v>2365</v>
      </c>
      <c r="AH802" t="s">
        <v>2365</v>
      </c>
      <c r="AI802" t="s">
        <v>2365</v>
      </c>
      <c r="AJ802" t="s">
        <v>2365</v>
      </c>
      <c r="AK802" t="s">
        <v>2366</v>
      </c>
      <c r="AL802" t="s">
        <v>2366</v>
      </c>
      <c r="AM802" t="s">
        <v>2366</v>
      </c>
      <c r="AN802" t="s">
        <v>2366</v>
      </c>
      <c r="AR802" t="s">
        <v>2365</v>
      </c>
      <c r="AS802" t="s">
        <v>2365</v>
      </c>
      <c r="AT802" t="s">
        <v>2365</v>
      </c>
      <c r="AU802" t="s">
        <v>2365</v>
      </c>
      <c r="AV802" t="s">
        <v>2365</v>
      </c>
      <c r="AW802" t="s">
        <v>2365</v>
      </c>
      <c r="AX802" t="s">
        <v>2365</v>
      </c>
      <c r="AY802" t="s">
        <v>2365</v>
      </c>
      <c r="AZ802" t="s">
        <v>2365</v>
      </c>
      <c r="BA802" t="s">
        <v>2365</v>
      </c>
      <c r="BB802" t="s">
        <v>2365</v>
      </c>
      <c r="BC802" t="s">
        <v>2365</v>
      </c>
      <c r="BD802" t="s">
        <v>2366</v>
      </c>
      <c r="BE802" t="s">
        <v>2365</v>
      </c>
      <c r="BF802" t="s">
        <v>2365</v>
      </c>
      <c r="BG802" t="s">
        <v>2365</v>
      </c>
      <c r="BH802" t="s">
        <v>2365</v>
      </c>
      <c r="BI802" t="s">
        <v>2366</v>
      </c>
      <c r="BJ802" t="s">
        <v>2365</v>
      </c>
      <c r="BK802" t="s">
        <v>2365</v>
      </c>
      <c r="BL802" t="s">
        <v>2365</v>
      </c>
      <c r="BM802" t="s">
        <v>2365</v>
      </c>
      <c r="BO802">
        <v>1</v>
      </c>
      <c r="BP802">
        <v>11</v>
      </c>
      <c r="BQ802" t="s">
        <v>2369</v>
      </c>
      <c r="BR802" t="s">
        <v>1487</v>
      </c>
      <c r="BU802">
        <v>0</v>
      </c>
      <c r="BV802">
        <v>0</v>
      </c>
      <c r="BW802">
        <v>0</v>
      </c>
      <c r="BX802">
        <v>0</v>
      </c>
      <c r="BY802">
        <v>0</v>
      </c>
      <c r="BZ802">
        <v>0</v>
      </c>
      <c r="CA802">
        <v>0</v>
      </c>
      <c r="CB802">
        <v>-594189.28999999992</v>
      </c>
      <c r="CC802">
        <v>-233657.20999999996</v>
      </c>
      <c r="CD802">
        <v>-343372.9</v>
      </c>
      <c r="CE802">
        <v>-404831.25999999995</v>
      </c>
      <c r="CF802">
        <v>-390541.55999999988</v>
      </c>
      <c r="CG802">
        <v>-411650.08999999997</v>
      </c>
      <c r="CH802">
        <v>-412805.34999999992</v>
      </c>
      <c r="CI802">
        <v>-1870317.8200000015</v>
      </c>
      <c r="CJ802">
        <v>0</v>
      </c>
      <c r="CK802">
        <v>0</v>
      </c>
      <c r="CL802">
        <v>0</v>
      </c>
      <c r="CM802">
        <v>0</v>
      </c>
      <c r="CR802" t="s">
        <v>2320</v>
      </c>
      <c r="CS802" s="1369" t="str">
        <f>INDEX([8]Sheet1!$H:$H,MATCH(CR:CR,[8]Sheet1!$AU:$AU,0))</f>
        <v>Administrative and Corporate Support</v>
      </c>
    </row>
    <row r="803" spans="1:97" x14ac:dyDescent="0.2">
      <c r="A803" t="s">
        <v>3484</v>
      </c>
      <c r="B803">
        <v>856</v>
      </c>
      <c r="C803" t="s">
        <v>3484</v>
      </c>
      <c r="D803">
        <v>41587</v>
      </c>
      <c r="E803" t="s">
        <v>3485</v>
      </c>
      <c r="F803" t="s">
        <v>2364</v>
      </c>
      <c r="G803" t="s">
        <v>2364</v>
      </c>
      <c r="H803" t="s">
        <v>2365</v>
      </c>
      <c r="I803" t="s">
        <v>2365</v>
      </c>
      <c r="J803" t="s">
        <v>2365</v>
      </c>
      <c r="K803" t="s">
        <v>2365</v>
      </c>
      <c r="L803">
        <v>1200</v>
      </c>
      <c r="M803" t="s">
        <v>1480</v>
      </c>
      <c r="N803">
        <v>1204</v>
      </c>
      <c r="O803" t="s">
        <v>1487</v>
      </c>
      <c r="P803" t="s">
        <v>2366</v>
      </c>
      <c r="Q803" t="s">
        <v>2364</v>
      </c>
      <c r="R803" t="s">
        <v>2364</v>
      </c>
      <c r="S803" t="s">
        <v>553</v>
      </c>
      <c r="T803" t="s">
        <v>2175</v>
      </c>
      <c r="U803">
        <v>140</v>
      </c>
      <c r="V803" t="s">
        <v>693</v>
      </c>
      <c r="W803">
        <v>140</v>
      </c>
      <c r="X803" t="s">
        <v>693</v>
      </c>
      <c r="Y803" t="s">
        <v>2365</v>
      </c>
      <c r="Z803" t="s">
        <v>2365</v>
      </c>
      <c r="AA803" t="s">
        <v>2365</v>
      </c>
      <c r="AB803" t="s">
        <v>2365</v>
      </c>
      <c r="AC803" s="813" t="s">
        <v>2365</v>
      </c>
      <c r="AD803" s="813" t="s">
        <v>2365</v>
      </c>
      <c r="AE803" s="813" t="s">
        <v>2365</v>
      </c>
      <c r="AF803" t="s">
        <v>2365</v>
      </c>
      <c r="AG803" t="s">
        <v>2365</v>
      </c>
      <c r="AH803" t="s">
        <v>2365</v>
      </c>
      <c r="AI803" t="s">
        <v>2365</v>
      </c>
      <c r="AJ803" t="s">
        <v>2365</v>
      </c>
      <c r="AK803" t="s">
        <v>2366</v>
      </c>
      <c r="AL803" t="s">
        <v>2366</v>
      </c>
      <c r="AM803" t="s">
        <v>2366</v>
      </c>
      <c r="AN803" t="s">
        <v>2366</v>
      </c>
      <c r="AR803" t="s">
        <v>2365</v>
      </c>
      <c r="AS803" t="s">
        <v>2365</v>
      </c>
      <c r="AT803" t="s">
        <v>2365</v>
      </c>
      <c r="AU803" t="s">
        <v>2365</v>
      </c>
      <c r="AV803" t="s">
        <v>2365</v>
      </c>
      <c r="AW803" t="s">
        <v>2365</v>
      </c>
      <c r="AX803" t="s">
        <v>2365</v>
      </c>
      <c r="AY803" t="s">
        <v>2365</v>
      </c>
      <c r="AZ803" t="s">
        <v>2365</v>
      </c>
      <c r="BA803" t="s">
        <v>2365</v>
      </c>
      <c r="BB803" t="s">
        <v>2365</v>
      </c>
      <c r="BC803" t="s">
        <v>2365</v>
      </c>
      <c r="BD803" t="s">
        <v>2366</v>
      </c>
      <c r="BE803" t="s">
        <v>2365</v>
      </c>
      <c r="BF803" t="s">
        <v>2365</v>
      </c>
      <c r="BG803" t="s">
        <v>2365</v>
      </c>
      <c r="BH803" t="s">
        <v>2365</v>
      </c>
      <c r="BI803" t="s">
        <v>2366</v>
      </c>
      <c r="BJ803" t="s">
        <v>2365</v>
      </c>
      <c r="BK803" t="s">
        <v>2365</v>
      </c>
      <c r="BL803" t="s">
        <v>2365</v>
      </c>
      <c r="BM803" t="s">
        <v>2365</v>
      </c>
      <c r="BO803">
        <v>1</v>
      </c>
      <c r="BP803">
        <v>11</v>
      </c>
      <c r="BQ803" t="s">
        <v>2369</v>
      </c>
      <c r="BR803" t="s">
        <v>1487</v>
      </c>
      <c r="BU803">
        <v>0</v>
      </c>
      <c r="BV803">
        <v>0</v>
      </c>
      <c r="BW803">
        <v>0</v>
      </c>
      <c r="BX803">
        <v>0</v>
      </c>
      <c r="BY803">
        <v>0</v>
      </c>
      <c r="BZ803">
        <v>0</v>
      </c>
      <c r="CA803">
        <v>0</v>
      </c>
      <c r="CB803">
        <v>0</v>
      </c>
      <c r="CC803">
        <v>0</v>
      </c>
      <c r="CD803">
        <v>0</v>
      </c>
      <c r="CE803">
        <v>0</v>
      </c>
      <c r="CF803">
        <v>0</v>
      </c>
      <c r="CG803">
        <v>0</v>
      </c>
      <c r="CH803">
        <v>0</v>
      </c>
      <c r="CI803">
        <v>0</v>
      </c>
      <c r="CJ803">
        <v>0</v>
      </c>
      <c r="CK803">
        <v>0</v>
      </c>
      <c r="CL803">
        <v>0</v>
      </c>
      <c r="CM803">
        <v>0</v>
      </c>
      <c r="CR803" t="s">
        <v>2325</v>
      </c>
      <c r="CS803" s="1369" t="str">
        <f>INDEX([8]Sheet1!$H:$H,MATCH(CR:CR,[8]Sheet1!$AU:$AU,0))</f>
        <v>Asset Management</v>
      </c>
    </row>
    <row r="804" spans="1:97" x14ac:dyDescent="0.2">
      <c r="A804" t="s">
        <v>3486</v>
      </c>
      <c r="B804">
        <v>857</v>
      </c>
      <c r="C804" t="s">
        <v>3486</v>
      </c>
      <c r="D804">
        <v>41588</v>
      </c>
      <c r="E804" t="s">
        <v>3487</v>
      </c>
      <c r="F804" t="s">
        <v>2364</v>
      </c>
      <c r="G804" t="s">
        <v>2364</v>
      </c>
      <c r="H804" t="s">
        <v>2365</v>
      </c>
      <c r="I804" t="s">
        <v>2365</v>
      </c>
      <c r="J804" t="s">
        <v>2365</v>
      </c>
      <c r="K804" t="s">
        <v>2365</v>
      </c>
      <c r="L804">
        <v>1200</v>
      </c>
      <c r="M804" t="s">
        <v>1480</v>
      </c>
      <c r="N804">
        <v>1204</v>
      </c>
      <c r="O804" t="s">
        <v>1487</v>
      </c>
      <c r="P804" t="s">
        <v>2366</v>
      </c>
      <c r="Q804" t="s">
        <v>2364</v>
      </c>
      <c r="R804" t="s">
        <v>2364</v>
      </c>
      <c r="S804" t="s">
        <v>553</v>
      </c>
      <c r="T804" t="s">
        <v>2175</v>
      </c>
      <c r="U804">
        <v>140</v>
      </c>
      <c r="V804" t="s">
        <v>693</v>
      </c>
      <c r="W804">
        <v>140</v>
      </c>
      <c r="X804" t="s">
        <v>693</v>
      </c>
      <c r="Y804" t="s">
        <v>2365</v>
      </c>
      <c r="Z804" t="s">
        <v>2365</v>
      </c>
      <c r="AA804" t="s">
        <v>2365</v>
      </c>
      <c r="AB804" t="s">
        <v>2365</v>
      </c>
      <c r="AC804" s="813" t="s">
        <v>2365</v>
      </c>
      <c r="AD804" s="813" t="s">
        <v>2365</v>
      </c>
      <c r="AE804" s="813" t="s">
        <v>2365</v>
      </c>
      <c r="AF804" t="s">
        <v>2365</v>
      </c>
      <c r="AG804" t="s">
        <v>2365</v>
      </c>
      <c r="AH804" t="s">
        <v>2365</v>
      </c>
      <c r="AI804" t="s">
        <v>2365</v>
      </c>
      <c r="AJ804" t="s">
        <v>2365</v>
      </c>
      <c r="AK804">
        <v>147</v>
      </c>
      <c r="AL804" t="s">
        <v>1200</v>
      </c>
      <c r="AM804">
        <v>147</v>
      </c>
      <c r="AN804" t="s">
        <v>1200</v>
      </c>
      <c r="AR804" t="s">
        <v>2365</v>
      </c>
      <c r="AS804" t="s">
        <v>2365</v>
      </c>
      <c r="AT804" t="s">
        <v>2365</v>
      </c>
      <c r="AU804" t="s">
        <v>2365</v>
      </c>
      <c r="AV804" t="s">
        <v>2365</v>
      </c>
      <c r="AW804" t="s">
        <v>2365</v>
      </c>
      <c r="AX804" t="s">
        <v>2365</v>
      </c>
      <c r="AY804" t="s">
        <v>2365</v>
      </c>
      <c r="AZ804" t="s">
        <v>2365</v>
      </c>
      <c r="BA804" t="s">
        <v>2365</v>
      </c>
      <c r="BB804" t="s">
        <v>2365</v>
      </c>
      <c r="BC804" t="s">
        <v>2365</v>
      </c>
      <c r="BD804" t="s">
        <v>2366</v>
      </c>
      <c r="BE804" t="s">
        <v>2365</v>
      </c>
      <c r="BF804" t="s">
        <v>2365</v>
      </c>
      <c r="BG804" t="s">
        <v>2365</v>
      </c>
      <c r="BH804" t="s">
        <v>2365</v>
      </c>
      <c r="BI804" t="s">
        <v>2366</v>
      </c>
      <c r="BJ804" t="s">
        <v>2365</v>
      </c>
      <c r="BK804" t="s">
        <v>2365</v>
      </c>
      <c r="BL804" t="s">
        <v>2365</v>
      </c>
      <c r="BM804" t="s">
        <v>2365</v>
      </c>
      <c r="BO804">
        <v>1</v>
      </c>
      <c r="BP804">
        <v>11</v>
      </c>
      <c r="BQ804" t="s">
        <v>2369</v>
      </c>
      <c r="BR804" t="s">
        <v>1487</v>
      </c>
      <c r="BU804">
        <v>0</v>
      </c>
      <c r="BV804">
        <v>0</v>
      </c>
      <c r="BW804">
        <v>0</v>
      </c>
      <c r="BX804">
        <v>0</v>
      </c>
      <c r="BY804">
        <v>0</v>
      </c>
      <c r="BZ804">
        <v>0</v>
      </c>
      <c r="CA804">
        <v>0</v>
      </c>
      <c r="CB804">
        <v>0</v>
      </c>
      <c r="CC804">
        <v>0</v>
      </c>
      <c r="CD804">
        <v>0</v>
      </c>
      <c r="CE804">
        <v>0</v>
      </c>
      <c r="CF804">
        <v>0</v>
      </c>
      <c r="CG804">
        <v>0</v>
      </c>
      <c r="CH804">
        <v>0</v>
      </c>
      <c r="CI804">
        <v>0</v>
      </c>
      <c r="CJ804">
        <v>0</v>
      </c>
      <c r="CK804">
        <v>0</v>
      </c>
      <c r="CL804">
        <v>0</v>
      </c>
      <c r="CM804">
        <v>0</v>
      </c>
      <c r="CR804" t="s">
        <v>2325</v>
      </c>
      <c r="CS804" s="1369" t="str">
        <f>INDEX([8]Sheet1!$H:$H,MATCH(CR:CR,[8]Sheet1!$AU:$AU,0))</f>
        <v>Asset Management</v>
      </c>
    </row>
    <row r="805" spans="1:97" x14ac:dyDescent="0.2">
      <c r="A805" t="s">
        <v>3488</v>
      </c>
      <c r="B805">
        <v>858</v>
      </c>
      <c r="C805" t="s">
        <v>3488</v>
      </c>
      <c r="D805">
        <v>41589</v>
      </c>
      <c r="E805" t="s">
        <v>3489</v>
      </c>
      <c r="F805" t="s">
        <v>2364</v>
      </c>
      <c r="G805" t="s">
        <v>2364</v>
      </c>
      <c r="H805" s="1373" t="s">
        <v>2365</v>
      </c>
      <c r="I805" t="s">
        <v>2365</v>
      </c>
      <c r="J805" t="s">
        <v>2365</v>
      </c>
      <c r="K805" t="s">
        <v>2365</v>
      </c>
      <c r="L805" s="1373">
        <v>1200</v>
      </c>
      <c r="M805" t="s">
        <v>1480</v>
      </c>
      <c r="N805">
        <v>1204</v>
      </c>
      <c r="O805" t="s">
        <v>1487</v>
      </c>
      <c r="P805" t="s">
        <v>2366</v>
      </c>
      <c r="Q805" t="s">
        <v>2364</v>
      </c>
      <c r="R805" t="s">
        <v>2364</v>
      </c>
      <c r="S805" t="s">
        <v>553</v>
      </c>
      <c r="T805" t="s">
        <v>2175</v>
      </c>
      <c r="U805" t="s">
        <v>2366</v>
      </c>
      <c r="V805" t="s">
        <v>2366</v>
      </c>
      <c r="W805" t="s">
        <v>2366</v>
      </c>
      <c r="X805" t="s">
        <v>2366</v>
      </c>
      <c r="Y805" t="s">
        <v>2365</v>
      </c>
      <c r="Z805" t="s">
        <v>2365</v>
      </c>
      <c r="AA805" t="s">
        <v>2365</v>
      </c>
      <c r="AB805" t="s">
        <v>2365</v>
      </c>
      <c r="AC805" s="813" t="s">
        <v>2365</v>
      </c>
      <c r="AD805" s="813" t="s">
        <v>2365</v>
      </c>
      <c r="AE805" s="813" t="s">
        <v>2365</v>
      </c>
      <c r="AF805" t="s">
        <v>2365</v>
      </c>
      <c r="AG805" t="s">
        <v>2365</v>
      </c>
      <c r="AH805" t="s">
        <v>2365</v>
      </c>
      <c r="AI805" t="s">
        <v>2365</v>
      </c>
      <c r="AJ805" t="s">
        <v>2365</v>
      </c>
      <c r="AK805">
        <v>146</v>
      </c>
      <c r="AL805" t="s">
        <v>1199</v>
      </c>
      <c r="AM805">
        <v>146</v>
      </c>
      <c r="AN805" t="s">
        <v>1199</v>
      </c>
      <c r="AR805" t="s">
        <v>2365</v>
      </c>
      <c r="AS805" t="s">
        <v>2365</v>
      </c>
      <c r="AT805" t="s">
        <v>2365</v>
      </c>
      <c r="AU805" t="s">
        <v>2365</v>
      </c>
      <c r="AV805" t="s">
        <v>2365</v>
      </c>
      <c r="AW805" t="s">
        <v>2365</v>
      </c>
      <c r="AX805" t="s">
        <v>2365</v>
      </c>
      <c r="AY805" t="s">
        <v>2365</v>
      </c>
      <c r="AZ805" t="s">
        <v>2365</v>
      </c>
      <c r="BA805" t="s">
        <v>2365</v>
      </c>
      <c r="BB805" t="s">
        <v>2365</v>
      </c>
      <c r="BC805" t="s">
        <v>2365</v>
      </c>
      <c r="BD805" t="s">
        <v>2366</v>
      </c>
      <c r="BE805" t="s">
        <v>2365</v>
      </c>
      <c r="BF805" t="s">
        <v>2365</v>
      </c>
      <c r="BG805" t="s">
        <v>2365</v>
      </c>
      <c r="BH805" t="s">
        <v>2365</v>
      </c>
      <c r="BI805" t="s">
        <v>2366</v>
      </c>
      <c r="BJ805" t="s">
        <v>2365</v>
      </c>
      <c r="BK805" t="s">
        <v>2365</v>
      </c>
      <c r="BL805" t="s">
        <v>2365</v>
      </c>
      <c r="BM805" t="s">
        <v>2365</v>
      </c>
      <c r="BO805">
        <v>1</v>
      </c>
      <c r="BP805">
        <v>11</v>
      </c>
      <c r="BQ805" t="s">
        <v>2369</v>
      </c>
      <c r="BR805" t="s">
        <v>1487</v>
      </c>
      <c r="BU805" s="1371">
        <v>0</v>
      </c>
      <c r="BV805" s="1371">
        <v>0</v>
      </c>
      <c r="BW805" s="1371">
        <v>0</v>
      </c>
      <c r="BX805" s="1371">
        <v>0</v>
      </c>
      <c r="BY805" s="1371">
        <v>0</v>
      </c>
      <c r="BZ805">
        <v>0</v>
      </c>
      <c r="CA805">
        <v>0</v>
      </c>
      <c r="CB805">
        <v>0</v>
      </c>
      <c r="CC805">
        <v>0</v>
      </c>
      <c r="CD805">
        <v>0</v>
      </c>
      <c r="CE805">
        <v>0</v>
      </c>
      <c r="CF805">
        <v>0</v>
      </c>
      <c r="CG805">
        <v>0</v>
      </c>
      <c r="CH805">
        <v>0</v>
      </c>
      <c r="CI805">
        <v>0</v>
      </c>
      <c r="CJ805">
        <v>0</v>
      </c>
      <c r="CK805">
        <v>0</v>
      </c>
      <c r="CL805">
        <v>0</v>
      </c>
      <c r="CM805">
        <v>0</v>
      </c>
      <c r="CR805" t="s">
        <v>2325</v>
      </c>
      <c r="CS805" s="1369" t="str">
        <f>INDEX([8]Sheet1!$H:$H,MATCH(CR:CR,[8]Sheet1!$AU:$AU,0))</f>
        <v>Asset Management</v>
      </c>
    </row>
    <row r="806" spans="1:97" x14ac:dyDescent="0.2">
      <c r="A806" t="s">
        <v>3490</v>
      </c>
      <c r="B806">
        <v>859</v>
      </c>
      <c r="C806" t="s">
        <v>3490</v>
      </c>
      <c r="D806">
        <v>41590</v>
      </c>
      <c r="E806" t="s">
        <v>3491</v>
      </c>
      <c r="F806" t="s">
        <v>2364</v>
      </c>
      <c r="G806" t="s">
        <v>2364</v>
      </c>
      <c r="H806" s="1373" t="s">
        <v>2365</v>
      </c>
      <c r="I806" t="s">
        <v>2365</v>
      </c>
      <c r="J806" t="s">
        <v>2365</v>
      </c>
      <c r="K806" t="s">
        <v>2365</v>
      </c>
      <c r="L806" s="1373">
        <v>1200</v>
      </c>
      <c r="M806" t="s">
        <v>1480</v>
      </c>
      <c r="N806">
        <v>1204</v>
      </c>
      <c r="O806" t="s">
        <v>1487</v>
      </c>
      <c r="P806" t="s">
        <v>2366</v>
      </c>
      <c r="Q806" t="s">
        <v>2364</v>
      </c>
      <c r="R806" t="s">
        <v>2364</v>
      </c>
      <c r="S806" t="s">
        <v>553</v>
      </c>
      <c r="T806" t="s">
        <v>2175</v>
      </c>
      <c r="U806">
        <v>140</v>
      </c>
      <c r="V806" t="s">
        <v>693</v>
      </c>
      <c r="W806">
        <v>140</v>
      </c>
      <c r="X806" t="s">
        <v>693</v>
      </c>
      <c r="Y806" t="s">
        <v>2365</v>
      </c>
      <c r="Z806" t="s">
        <v>2365</v>
      </c>
      <c r="AA806" t="s">
        <v>2365</v>
      </c>
      <c r="AB806" t="s">
        <v>2365</v>
      </c>
      <c r="AC806" s="813" t="s">
        <v>2365</v>
      </c>
      <c r="AD806" s="813" t="s">
        <v>2365</v>
      </c>
      <c r="AE806" s="813" t="s">
        <v>2365</v>
      </c>
      <c r="AF806" t="s">
        <v>2365</v>
      </c>
      <c r="AG806" t="s">
        <v>2365</v>
      </c>
      <c r="AH806" t="s">
        <v>2365</v>
      </c>
      <c r="AI806" t="s">
        <v>2365</v>
      </c>
      <c r="AJ806" t="s">
        <v>2365</v>
      </c>
      <c r="AK806" t="s">
        <v>2366</v>
      </c>
      <c r="AL806" t="s">
        <v>2366</v>
      </c>
      <c r="AM806" t="s">
        <v>2366</v>
      </c>
      <c r="AN806" t="s">
        <v>2366</v>
      </c>
      <c r="AR806" t="s">
        <v>2365</v>
      </c>
      <c r="AS806" t="s">
        <v>2365</v>
      </c>
      <c r="AT806" t="s">
        <v>2365</v>
      </c>
      <c r="AU806" t="s">
        <v>2365</v>
      </c>
      <c r="AV806" t="s">
        <v>2365</v>
      </c>
      <c r="AW806" t="s">
        <v>2365</v>
      </c>
      <c r="AX806" t="s">
        <v>2365</v>
      </c>
      <c r="AY806" t="s">
        <v>2365</v>
      </c>
      <c r="AZ806" t="s">
        <v>2365</v>
      </c>
      <c r="BA806" t="s">
        <v>2365</v>
      </c>
      <c r="BB806" t="s">
        <v>2365</v>
      </c>
      <c r="BC806" t="s">
        <v>2365</v>
      </c>
      <c r="BD806" t="s">
        <v>2366</v>
      </c>
      <c r="BE806" t="s">
        <v>2365</v>
      </c>
      <c r="BF806" t="s">
        <v>2365</v>
      </c>
      <c r="BG806" t="s">
        <v>2365</v>
      </c>
      <c r="BH806" t="s">
        <v>2365</v>
      </c>
      <c r="BI806" t="s">
        <v>2366</v>
      </c>
      <c r="BJ806" t="s">
        <v>2365</v>
      </c>
      <c r="BK806" t="s">
        <v>2365</v>
      </c>
      <c r="BL806" t="s">
        <v>2365</v>
      </c>
      <c r="BM806" t="s">
        <v>2365</v>
      </c>
      <c r="BO806">
        <v>1</v>
      </c>
      <c r="BP806">
        <v>11</v>
      </c>
      <c r="BQ806" t="s">
        <v>2369</v>
      </c>
      <c r="BR806" t="s">
        <v>1487</v>
      </c>
      <c r="BU806" s="1371">
        <v>0</v>
      </c>
      <c r="BV806" s="1371">
        <v>0</v>
      </c>
      <c r="BW806" s="1371">
        <v>0</v>
      </c>
      <c r="BX806" s="1371">
        <v>0</v>
      </c>
      <c r="BY806" s="1371">
        <v>0</v>
      </c>
      <c r="BZ806">
        <v>0</v>
      </c>
      <c r="CA806">
        <v>0</v>
      </c>
      <c r="CB806">
        <v>0</v>
      </c>
      <c r="CC806">
        <v>0</v>
      </c>
      <c r="CD806">
        <v>0</v>
      </c>
      <c r="CE806">
        <v>0</v>
      </c>
      <c r="CF806">
        <v>0</v>
      </c>
      <c r="CG806">
        <v>0</v>
      </c>
      <c r="CH806">
        <v>0</v>
      </c>
      <c r="CI806">
        <v>0</v>
      </c>
      <c r="CJ806">
        <v>0</v>
      </c>
      <c r="CK806">
        <v>0</v>
      </c>
      <c r="CL806">
        <v>0</v>
      </c>
      <c r="CM806">
        <v>0</v>
      </c>
      <c r="CR806" t="s">
        <v>2325</v>
      </c>
      <c r="CS806" s="1369" t="str">
        <f>INDEX([8]Sheet1!$H:$H,MATCH(CR:CR,[8]Sheet1!$AU:$AU,0))</f>
        <v>Asset Management</v>
      </c>
    </row>
    <row r="807" spans="1:97" x14ac:dyDescent="0.2">
      <c r="A807" t="s">
        <v>3492</v>
      </c>
      <c r="B807">
        <v>860</v>
      </c>
      <c r="C807" t="s">
        <v>3492</v>
      </c>
      <c r="D807">
        <v>41591</v>
      </c>
      <c r="E807" t="s">
        <v>3493</v>
      </c>
      <c r="F807" t="s">
        <v>2364</v>
      </c>
      <c r="G807" t="s">
        <v>2364</v>
      </c>
      <c r="H807" t="s">
        <v>2365</v>
      </c>
      <c r="I807" t="s">
        <v>2365</v>
      </c>
      <c r="J807" t="s">
        <v>2365</v>
      </c>
      <c r="K807" t="s">
        <v>2365</v>
      </c>
      <c r="L807">
        <v>1200</v>
      </c>
      <c r="M807" t="s">
        <v>1480</v>
      </c>
      <c r="N807">
        <v>1204</v>
      </c>
      <c r="O807" t="s">
        <v>1487</v>
      </c>
      <c r="P807" t="s">
        <v>2366</v>
      </c>
      <c r="Q807" t="s">
        <v>2364</v>
      </c>
      <c r="R807" t="s">
        <v>2364</v>
      </c>
      <c r="S807" t="s">
        <v>553</v>
      </c>
      <c r="T807" t="s">
        <v>2175</v>
      </c>
      <c r="U807" t="s">
        <v>2366</v>
      </c>
      <c r="V807" t="s">
        <v>2366</v>
      </c>
      <c r="W807" t="s">
        <v>2366</v>
      </c>
      <c r="X807" t="s">
        <v>2366</v>
      </c>
      <c r="Y807" t="s">
        <v>2365</v>
      </c>
      <c r="Z807" t="s">
        <v>2365</v>
      </c>
      <c r="AA807" t="s">
        <v>2365</v>
      </c>
      <c r="AB807" t="s">
        <v>2365</v>
      </c>
      <c r="AC807" s="813" t="s">
        <v>2365</v>
      </c>
      <c r="AD807" s="813" t="s">
        <v>2365</v>
      </c>
      <c r="AE807" s="813" t="s">
        <v>2365</v>
      </c>
      <c r="AF807" t="s">
        <v>2365</v>
      </c>
      <c r="AG807" t="s">
        <v>2365</v>
      </c>
      <c r="AH807" t="s">
        <v>2365</v>
      </c>
      <c r="AI807" t="s">
        <v>2365</v>
      </c>
      <c r="AJ807" t="s">
        <v>2365</v>
      </c>
      <c r="AK807">
        <v>146</v>
      </c>
      <c r="AL807" t="s">
        <v>1199</v>
      </c>
      <c r="AM807">
        <v>146</v>
      </c>
      <c r="AN807" t="s">
        <v>1199</v>
      </c>
      <c r="AR807" t="s">
        <v>2365</v>
      </c>
      <c r="AS807" t="s">
        <v>2365</v>
      </c>
      <c r="AT807" t="s">
        <v>2365</v>
      </c>
      <c r="AU807" t="s">
        <v>2365</v>
      </c>
      <c r="AV807" t="s">
        <v>2365</v>
      </c>
      <c r="AW807" t="s">
        <v>2365</v>
      </c>
      <c r="AX807" t="s">
        <v>2365</v>
      </c>
      <c r="AY807" t="s">
        <v>2365</v>
      </c>
      <c r="AZ807" t="s">
        <v>2365</v>
      </c>
      <c r="BA807" t="s">
        <v>2365</v>
      </c>
      <c r="BB807" t="s">
        <v>2365</v>
      </c>
      <c r="BC807" t="s">
        <v>2365</v>
      </c>
      <c r="BD807" t="s">
        <v>2366</v>
      </c>
      <c r="BE807" t="s">
        <v>2365</v>
      </c>
      <c r="BF807" t="s">
        <v>2365</v>
      </c>
      <c r="BG807" t="s">
        <v>2365</v>
      </c>
      <c r="BH807" t="s">
        <v>2365</v>
      </c>
      <c r="BI807" t="s">
        <v>2366</v>
      </c>
      <c r="BJ807" t="s">
        <v>2365</v>
      </c>
      <c r="BK807" t="s">
        <v>2365</v>
      </c>
      <c r="BL807" t="s">
        <v>2365</v>
      </c>
      <c r="BM807" t="s">
        <v>2365</v>
      </c>
      <c r="BO807">
        <v>1</v>
      </c>
      <c r="BP807">
        <v>11</v>
      </c>
      <c r="BQ807" t="s">
        <v>2369</v>
      </c>
      <c r="BR807" t="s">
        <v>1487</v>
      </c>
      <c r="BU807">
        <v>0</v>
      </c>
      <c r="BV807">
        <v>0</v>
      </c>
      <c r="BW807">
        <v>0</v>
      </c>
      <c r="BX807">
        <v>0</v>
      </c>
      <c r="BY807">
        <v>0</v>
      </c>
      <c r="BZ807">
        <v>0</v>
      </c>
      <c r="CA807">
        <v>0</v>
      </c>
      <c r="CB807">
        <v>0</v>
      </c>
      <c r="CC807">
        <v>0</v>
      </c>
      <c r="CD807">
        <v>0</v>
      </c>
      <c r="CE807">
        <v>0</v>
      </c>
      <c r="CF807">
        <v>0</v>
      </c>
      <c r="CG807">
        <v>0</v>
      </c>
      <c r="CH807">
        <v>0</v>
      </c>
      <c r="CI807">
        <v>0</v>
      </c>
      <c r="CJ807">
        <v>0</v>
      </c>
      <c r="CK807">
        <v>0</v>
      </c>
      <c r="CL807">
        <v>0</v>
      </c>
      <c r="CM807">
        <v>0</v>
      </c>
      <c r="CR807" t="s">
        <v>2325</v>
      </c>
      <c r="CS807" s="1369" t="str">
        <f>INDEX([8]Sheet1!$H:$H,MATCH(CR:CR,[8]Sheet1!$AU:$AU,0))</f>
        <v>Asset Management</v>
      </c>
    </row>
    <row r="808" spans="1:97" x14ac:dyDescent="0.2">
      <c r="A808" t="s">
        <v>3494</v>
      </c>
      <c r="B808">
        <v>861</v>
      </c>
      <c r="C808" t="s">
        <v>3494</v>
      </c>
      <c r="D808">
        <v>41592</v>
      </c>
      <c r="E808" t="s">
        <v>3495</v>
      </c>
      <c r="F808" t="s">
        <v>2364</v>
      </c>
      <c r="G808" t="s">
        <v>2364</v>
      </c>
      <c r="H808" t="s">
        <v>2365</v>
      </c>
      <c r="I808" t="s">
        <v>2365</v>
      </c>
      <c r="J808" t="s">
        <v>2365</v>
      </c>
      <c r="K808" t="s">
        <v>2365</v>
      </c>
      <c r="L808">
        <v>1200</v>
      </c>
      <c r="M808" t="s">
        <v>1480</v>
      </c>
      <c r="N808">
        <v>1204</v>
      </c>
      <c r="O808" t="s">
        <v>1487</v>
      </c>
      <c r="P808" t="s">
        <v>2366</v>
      </c>
      <c r="Q808" t="s">
        <v>2364</v>
      </c>
      <c r="R808" t="s">
        <v>2364</v>
      </c>
      <c r="S808" t="s">
        <v>553</v>
      </c>
      <c r="T808" t="s">
        <v>2175</v>
      </c>
      <c r="U808">
        <v>140</v>
      </c>
      <c r="V808" t="s">
        <v>693</v>
      </c>
      <c r="W808">
        <v>140</v>
      </c>
      <c r="X808" t="s">
        <v>693</v>
      </c>
      <c r="Y808" t="s">
        <v>2365</v>
      </c>
      <c r="Z808" t="s">
        <v>2365</v>
      </c>
      <c r="AA808" t="s">
        <v>2365</v>
      </c>
      <c r="AB808" t="s">
        <v>2365</v>
      </c>
      <c r="AC808" s="813" t="s">
        <v>2365</v>
      </c>
      <c r="AD808" s="813" t="s">
        <v>2365</v>
      </c>
      <c r="AE808" s="813" t="s">
        <v>2365</v>
      </c>
      <c r="AF808" t="s">
        <v>2365</v>
      </c>
      <c r="AG808" t="s">
        <v>2365</v>
      </c>
      <c r="AH808" t="s">
        <v>2365</v>
      </c>
      <c r="AI808" t="s">
        <v>2365</v>
      </c>
      <c r="AJ808" t="s">
        <v>2365</v>
      </c>
      <c r="AK808" t="s">
        <v>2366</v>
      </c>
      <c r="AL808" t="s">
        <v>2366</v>
      </c>
      <c r="AM808" t="s">
        <v>2366</v>
      </c>
      <c r="AN808" t="s">
        <v>2366</v>
      </c>
      <c r="AR808" t="s">
        <v>2365</v>
      </c>
      <c r="AS808" t="s">
        <v>2365</v>
      </c>
      <c r="AT808" t="s">
        <v>2365</v>
      </c>
      <c r="AU808" t="s">
        <v>2365</v>
      </c>
      <c r="AV808" t="s">
        <v>2365</v>
      </c>
      <c r="AW808" t="s">
        <v>2365</v>
      </c>
      <c r="AX808" t="s">
        <v>2365</v>
      </c>
      <c r="AY808" t="s">
        <v>2365</v>
      </c>
      <c r="AZ808" t="s">
        <v>2365</v>
      </c>
      <c r="BA808" t="s">
        <v>2365</v>
      </c>
      <c r="BB808" t="s">
        <v>2365</v>
      </c>
      <c r="BC808" t="s">
        <v>2365</v>
      </c>
      <c r="BD808" t="s">
        <v>2366</v>
      </c>
      <c r="BE808" t="s">
        <v>2365</v>
      </c>
      <c r="BF808" t="s">
        <v>2365</v>
      </c>
      <c r="BG808" t="s">
        <v>2365</v>
      </c>
      <c r="BH808" t="s">
        <v>2365</v>
      </c>
      <c r="BI808" t="s">
        <v>2366</v>
      </c>
      <c r="BJ808" t="s">
        <v>2365</v>
      </c>
      <c r="BK808" t="s">
        <v>2365</v>
      </c>
      <c r="BL808" t="s">
        <v>2365</v>
      </c>
      <c r="BM808" t="s">
        <v>2365</v>
      </c>
      <c r="BO808">
        <v>1</v>
      </c>
      <c r="BP808">
        <v>11</v>
      </c>
      <c r="BQ808" t="s">
        <v>2369</v>
      </c>
      <c r="BR808" t="s">
        <v>1487</v>
      </c>
      <c r="BU808">
        <v>0</v>
      </c>
      <c r="BV808">
        <v>0</v>
      </c>
      <c r="BW808">
        <v>0</v>
      </c>
      <c r="BX808">
        <v>0</v>
      </c>
      <c r="BY808">
        <v>0</v>
      </c>
      <c r="BZ808">
        <v>0</v>
      </c>
      <c r="CA808">
        <v>0</v>
      </c>
      <c r="CB808">
        <v>326181.77999999997</v>
      </c>
      <c r="CC808">
        <v>326181.77999999997</v>
      </c>
      <c r="CD808">
        <v>326181.77999999997</v>
      </c>
      <c r="CE808">
        <v>326181.77999999997</v>
      </c>
      <c r="CF808">
        <v>326181.77999999997</v>
      </c>
      <c r="CG808">
        <v>326181.77999999997</v>
      </c>
      <c r="CH808">
        <v>326181.77999999997</v>
      </c>
      <c r="CI808">
        <v>327398.52</v>
      </c>
      <c r="CJ808">
        <v>0</v>
      </c>
      <c r="CK808">
        <v>0</v>
      </c>
      <c r="CL808">
        <v>0</v>
      </c>
      <c r="CM808">
        <v>0</v>
      </c>
      <c r="CR808" t="s">
        <v>2325</v>
      </c>
      <c r="CS808" s="1369" t="str">
        <f>INDEX([8]Sheet1!$H:$H,MATCH(CR:CR,[8]Sheet1!$AU:$AU,0))</f>
        <v>Asset Management</v>
      </c>
    </row>
    <row r="809" spans="1:97" x14ac:dyDescent="0.2">
      <c r="A809" t="s">
        <v>3496</v>
      </c>
      <c r="B809">
        <v>862</v>
      </c>
      <c r="C809" t="s">
        <v>3496</v>
      </c>
      <c r="D809">
        <v>41593</v>
      </c>
      <c r="E809" t="s">
        <v>3497</v>
      </c>
      <c r="F809" t="s">
        <v>2364</v>
      </c>
      <c r="G809" t="s">
        <v>2364</v>
      </c>
      <c r="H809" s="1373" t="s">
        <v>2365</v>
      </c>
      <c r="I809" t="s">
        <v>2365</v>
      </c>
      <c r="J809" t="s">
        <v>2365</v>
      </c>
      <c r="K809" t="s">
        <v>2365</v>
      </c>
      <c r="L809" s="1373">
        <v>1200</v>
      </c>
      <c r="M809" t="s">
        <v>1480</v>
      </c>
      <c r="N809">
        <v>1204</v>
      </c>
      <c r="O809" t="s">
        <v>1487</v>
      </c>
      <c r="P809" t="s">
        <v>2366</v>
      </c>
      <c r="Q809" t="s">
        <v>2364</v>
      </c>
      <c r="R809" t="s">
        <v>2364</v>
      </c>
      <c r="S809" t="s">
        <v>553</v>
      </c>
      <c r="T809" t="s">
        <v>2175</v>
      </c>
      <c r="U809" t="s">
        <v>2366</v>
      </c>
      <c r="V809" t="s">
        <v>2366</v>
      </c>
      <c r="W809" t="s">
        <v>2366</v>
      </c>
      <c r="X809" t="s">
        <v>2366</v>
      </c>
      <c r="Y809" t="s">
        <v>2365</v>
      </c>
      <c r="Z809" t="s">
        <v>2365</v>
      </c>
      <c r="AA809" t="s">
        <v>2365</v>
      </c>
      <c r="AB809" t="s">
        <v>2365</v>
      </c>
      <c r="AC809" s="813" t="s">
        <v>2365</v>
      </c>
      <c r="AD809" s="813" t="s">
        <v>2365</v>
      </c>
      <c r="AE809" s="813" t="s">
        <v>2365</v>
      </c>
      <c r="AF809" t="s">
        <v>2365</v>
      </c>
      <c r="AG809" t="s">
        <v>2365</v>
      </c>
      <c r="AH809" t="s">
        <v>2365</v>
      </c>
      <c r="AI809" t="s">
        <v>2365</v>
      </c>
      <c r="AJ809" t="s">
        <v>2365</v>
      </c>
      <c r="AK809">
        <v>146</v>
      </c>
      <c r="AL809" t="s">
        <v>1199</v>
      </c>
      <c r="AM809">
        <v>146</v>
      </c>
      <c r="AN809" t="s">
        <v>1199</v>
      </c>
      <c r="AR809" t="s">
        <v>2365</v>
      </c>
      <c r="AS809" t="s">
        <v>2365</v>
      </c>
      <c r="AT809" t="s">
        <v>2365</v>
      </c>
      <c r="AU809" t="s">
        <v>2365</v>
      </c>
      <c r="AV809" t="s">
        <v>2365</v>
      </c>
      <c r="AW809" t="s">
        <v>2365</v>
      </c>
      <c r="AX809" t="s">
        <v>2365</v>
      </c>
      <c r="AY809" t="s">
        <v>2365</v>
      </c>
      <c r="AZ809" t="s">
        <v>2365</v>
      </c>
      <c r="BA809" t="s">
        <v>2365</v>
      </c>
      <c r="BB809" t="s">
        <v>2365</v>
      </c>
      <c r="BC809" t="s">
        <v>2365</v>
      </c>
      <c r="BD809" t="s">
        <v>2366</v>
      </c>
      <c r="BE809" t="s">
        <v>2365</v>
      </c>
      <c r="BF809" t="s">
        <v>2365</v>
      </c>
      <c r="BG809" t="s">
        <v>2365</v>
      </c>
      <c r="BH809" t="s">
        <v>2365</v>
      </c>
      <c r="BI809" t="s">
        <v>2366</v>
      </c>
      <c r="BJ809" t="s">
        <v>2365</v>
      </c>
      <c r="BK809" t="s">
        <v>2365</v>
      </c>
      <c r="BL809" t="s">
        <v>2365</v>
      </c>
      <c r="BM809" t="s">
        <v>2365</v>
      </c>
      <c r="BO809">
        <v>1</v>
      </c>
      <c r="BP809">
        <v>11</v>
      </c>
      <c r="BQ809" t="s">
        <v>2369</v>
      </c>
      <c r="BR809" t="s">
        <v>1487</v>
      </c>
      <c r="BU809" s="1371">
        <v>0</v>
      </c>
      <c r="BV809" s="1371">
        <v>0</v>
      </c>
      <c r="BW809" s="1371">
        <v>0</v>
      </c>
      <c r="BX809" s="1371">
        <v>0</v>
      </c>
      <c r="BY809" s="1371">
        <v>0</v>
      </c>
      <c r="BZ809">
        <v>0</v>
      </c>
      <c r="CA809">
        <v>0</v>
      </c>
      <c r="CB809">
        <v>0</v>
      </c>
      <c r="CC809">
        <v>0</v>
      </c>
      <c r="CD809">
        <v>0</v>
      </c>
      <c r="CE809">
        <v>0</v>
      </c>
      <c r="CF809">
        <v>0</v>
      </c>
      <c r="CG809">
        <v>0</v>
      </c>
      <c r="CH809">
        <v>0</v>
      </c>
      <c r="CI809">
        <v>0</v>
      </c>
      <c r="CJ809">
        <v>0</v>
      </c>
      <c r="CK809">
        <v>0</v>
      </c>
      <c r="CL809">
        <v>0</v>
      </c>
      <c r="CM809">
        <v>0</v>
      </c>
      <c r="CR809" t="s">
        <v>2325</v>
      </c>
      <c r="CS809" s="1369" t="str">
        <f>INDEX([8]Sheet1!$H:$H,MATCH(CR:CR,[8]Sheet1!$AU:$AU,0))</f>
        <v>Asset Management</v>
      </c>
    </row>
    <row r="810" spans="1:97" x14ac:dyDescent="0.2">
      <c r="A810" t="s">
        <v>3498</v>
      </c>
      <c r="B810">
        <v>863</v>
      </c>
      <c r="C810" t="s">
        <v>3498</v>
      </c>
      <c r="D810">
        <v>41594</v>
      </c>
      <c r="E810" t="s">
        <v>3499</v>
      </c>
      <c r="F810" t="s">
        <v>2364</v>
      </c>
      <c r="G810" t="s">
        <v>2364</v>
      </c>
      <c r="H810" t="s">
        <v>2365</v>
      </c>
      <c r="I810" t="s">
        <v>2365</v>
      </c>
      <c r="J810" t="s">
        <v>2365</v>
      </c>
      <c r="K810" t="s">
        <v>2365</v>
      </c>
      <c r="L810">
        <v>1200</v>
      </c>
      <c r="M810" t="s">
        <v>1480</v>
      </c>
      <c r="N810">
        <v>1204</v>
      </c>
      <c r="O810" t="s">
        <v>1487</v>
      </c>
      <c r="P810" t="s">
        <v>2366</v>
      </c>
      <c r="Q810" t="s">
        <v>2364</v>
      </c>
      <c r="R810" t="s">
        <v>2364</v>
      </c>
      <c r="S810" t="s">
        <v>553</v>
      </c>
      <c r="T810" t="s">
        <v>2175</v>
      </c>
      <c r="U810">
        <v>140</v>
      </c>
      <c r="V810" t="s">
        <v>693</v>
      </c>
      <c r="W810">
        <v>140</v>
      </c>
      <c r="X810" t="s">
        <v>693</v>
      </c>
      <c r="Y810" t="s">
        <v>2365</v>
      </c>
      <c r="Z810" t="s">
        <v>2365</v>
      </c>
      <c r="AA810" t="s">
        <v>2365</v>
      </c>
      <c r="AB810" t="s">
        <v>2365</v>
      </c>
      <c r="AC810" s="813" t="s">
        <v>2365</v>
      </c>
      <c r="AD810" s="813" t="s">
        <v>2365</v>
      </c>
      <c r="AE810" s="813" t="s">
        <v>2365</v>
      </c>
      <c r="AF810" t="s">
        <v>2365</v>
      </c>
      <c r="AG810" t="s">
        <v>2365</v>
      </c>
      <c r="AH810" t="s">
        <v>2365</v>
      </c>
      <c r="AI810" t="s">
        <v>2365</v>
      </c>
      <c r="AJ810" t="s">
        <v>2365</v>
      </c>
      <c r="AK810" t="s">
        <v>2366</v>
      </c>
      <c r="AL810" t="s">
        <v>2366</v>
      </c>
      <c r="AM810" t="s">
        <v>2366</v>
      </c>
      <c r="AN810" t="s">
        <v>2366</v>
      </c>
      <c r="AR810" t="s">
        <v>2365</v>
      </c>
      <c r="AS810" t="s">
        <v>2365</v>
      </c>
      <c r="AT810" t="s">
        <v>2365</v>
      </c>
      <c r="AU810" t="s">
        <v>2365</v>
      </c>
      <c r="AV810" t="s">
        <v>2365</v>
      </c>
      <c r="AW810" t="s">
        <v>2365</v>
      </c>
      <c r="AX810" t="s">
        <v>2365</v>
      </c>
      <c r="AY810" t="s">
        <v>2365</v>
      </c>
      <c r="AZ810" t="s">
        <v>2365</v>
      </c>
      <c r="BA810" t="s">
        <v>2365</v>
      </c>
      <c r="BB810" t="s">
        <v>2365</v>
      </c>
      <c r="BC810" t="s">
        <v>2365</v>
      </c>
      <c r="BD810" t="s">
        <v>2366</v>
      </c>
      <c r="BE810" t="s">
        <v>2365</v>
      </c>
      <c r="BF810" t="s">
        <v>2365</v>
      </c>
      <c r="BG810" t="s">
        <v>2365</v>
      </c>
      <c r="BH810" t="s">
        <v>2365</v>
      </c>
      <c r="BI810" t="s">
        <v>2366</v>
      </c>
      <c r="BJ810" t="s">
        <v>2365</v>
      </c>
      <c r="BK810" t="s">
        <v>2365</v>
      </c>
      <c r="BL810" t="s">
        <v>2365</v>
      </c>
      <c r="BM810" t="s">
        <v>2365</v>
      </c>
      <c r="BO810">
        <v>1</v>
      </c>
      <c r="BP810">
        <v>11</v>
      </c>
      <c r="BQ810" t="s">
        <v>2369</v>
      </c>
      <c r="BR810" t="s">
        <v>1487</v>
      </c>
      <c r="BU810">
        <v>0</v>
      </c>
      <c r="BV810">
        <v>0</v>
      </c>
      <c r="BW810">
        <v>0</v>
      </c>
      <c r="BX810">
        <v>0</v>
      </c>
      <c r="BY810">
        <v>0</v>
      </c>
      <c r="BZ810">
        <v>0</v>
      </c>
      <c r="CA810">
        <v>0</v>
      </c>
      <c r="CB810">
        <v>0</v>
      </c>
      <c r="CC810">
        <v>0</v>
      </c>
      <c r="CD810">
        <v>0</v>
      </c>
      <c r="CE810">
        <v>0</v>
      </c>
      <c r="CF810">
        <v>0</v>
      </c>
      <c r="CG810">
        <v>0</v>
      </c>
      <c r="CH810">
        <v>0</v>
      </c>
      <c r="CI810">
        <v>0</v>
      </c>
      <c r="CJ810">
        <v>0</v>
      </c>
      <c r="CK810">
        <v>0</v>
      </c>
      <c r="CL810">
        <v>0</v>
      </c>
      <c r="CM810">
        <v>0</v>
      </c>
      <c r="CR810" t="s">
        <v>2325</v>
      </c>
      <c r="CS810" s="1369" t="str">
        <f>INDEX([8]Sheet1!$H:$H,MATCH(CR:CR,[8]Sheet1!$AU:$AU,0))</f>
        <v>Asset Management</v>
      </c>
    </row>
    <row r="811" spans="1:97" x14ac:dyDescent="0.2">
      <c r="A811" t="s">
        <v>3500</v>
      </c>
      <c r="B811">
        <v>864</v>
      </c>
      <c r="C811" t="s">
        <v>3500</v>
      </c>
      <c r="D811">
        <v>41595</v>
      </c>
      <c r="E811" t="s">
        <v>3501</v>
      </c>
      <c r="F811" t="s">
        <v>2364</v>
      </c>
      <c r="G811" t="s">
        <v>2364</v>
      </c>
      <c r="H811" t="s">
        <v>2365</v>
      </c>
      <c r="I811" t="s">
        <v>2365</v>
      </c>
      <c r="J811" t="s">
        <v>2365</v>
      </c>
      <c r="K811" t="s">
        <v>2365</v>
      </c>
      <c r="L811">
        <v>1200</v>
      </c>
      <c r="M811" t="s">
        <v>1480</v>
      </c>
      <c r="N811">
        <v>1204</v>
      </c>
      <c r="O811" t="s">
        <v>1487</v>
      </c>
      <c r="P811" t="s">
        <v>2366</v>
      </c>
      <c r="Q811" t="s">
        <v>2364</v>
      </c>
      <c r="R811" t="s">
        <v>2364</v>
      </c>
      <c r="S811" t="s">
        <v>553</v>
      </c>
      <c r="T811" t="s">
        <v>2175</v>
      </c>
      <c r="U811" t="s">
        <v>2366</v>
      </c>
      <c r="V811" t="s">
        <v>2366</v>
      </c>
      <c r="W811" t="s">
        <v>2366</v>
      </c>
      <c r="X811" t="s">
        <v>2366</v>
      </c>
      <c r="Y811" t="s">
        <v>2365</v>
      </c>
      <c r="Z811" t="s">
        <v>2365</v>
      </c>
      <c r="AA811" t="s">
        <v>2365</v>
      </c>
      <c r="AB811" t="s">
        <v>2365</v>
      </c>
      <c r="AC811" s="813" t="s">
        <v>2365</v>
      </c>
      <c r="AD811" s="813" t="s">
        <v>2365</v>
      </c>
      <c r="AE811" s="813" t="s">
        <v>2365</v>
      </c>
      <c r="AF811" t="s">
        <v>2365</v>
      </c>
      <c r="AG811" t="s">
        <v>2365</v>
      </c>
      <c r="AH811" t="s">
        <v>2365</v>
      </c>
      <c r="AI811" t="s">
        <v>2365</v>
      </c>
      <c r="AJ811" t="s">
        <v>2365</v>
      </c>
      <c r="AK811">
        <v>146</v>
      </c>
      <c r="AL811" t="s">
        <v>1199</v>
      </c>
      <c r="AM811">
        <v>146</v>
      </c>
      <c r="AN811" t="s">
        <v>1199</v>
      </c>
      <c r="AR811" t="s">
        <v>2365</v>
      </c>
      <c r="AS811" t="s">
        <v>2365</v>
      </c>
      <c r="AT811" t="s">
        <v>2365</v>
      </c>
      <c r="AU811" t="s">
        <v>2365</v>
      </c>
      <c r="AV811" t="s">
        <v>2365</v>
      </c>
      <c r="AW811" t="s">
        <v>2365</v>
      </c>
      <c r="AX811" t="s">
        <v>2365</v>
      </c>
      <c r="AY811" t="s">
        <v>2365</v>
      </c>
      <c r="AZ811" t="s">
        <v>2365</v>
      </c>
      <c r="BA811" t="s">
        <v>2365</v>
      </c>
      <c r="BB811" t="s">
        <v>2365</v>
      </c>
      <c r="BC811" t="s">
        <v>2365</v>
      </c>
      <c r="BD811" t="s">
        <v>2366</v>
      </c>
      <c r="BE811" t="s">
        <v>2365</v>
      </c>
      <c r="BF811" t="s">
        <v>2365</v>
      </c>
      <c r="BG811" t="s">
        <v>2365</v>
      </c>
      <c r="BH811" t="s">
        <v>2365</v>
      </c>
      <c r="BI811" t="s">
        <v>2366</v>
      </c>
      <c r="BJ811" t="s">
        <v>2365</v>
      </c>
      <c r="BK811" t="s">
        <v>2365</v>
      </c>
      <c r="BL811" t="s">
        <v>2365</v>
      </c>
      <c r="BM811" t="s">
        <v>2365</v>
      </c>
      <c r="BO811">
        <v>1</v>
      </c>
      <c r="BP811">
        <v>11</v>
      </c>
      <c r="BQ811" t="s">
        <v>2369</v>
      </c>
      <c r="BR811" t="s">
        <v>1487</v>
      </c>
      <c r="BU811">
        <v>0</v>
      </c>
      <c r="BV811">
        <v>0</v>
      </c>
      <c r="BW811">
        <v>0</v>
      </c>
      <c r="BX811">
        <v>0</v>
      </c>
      <c r="BY811">
        <v>0</v>
      </c>
      <c r="BZ811">
        <v>0</v>
      </c>
      <c r="CA811">
        <v>0</v>
      </c>
      <c r="CB811">
        <v>0</v>
      </c>
      <c r="CC811">
        <v>0</v>
      </c>
      <c r="CD811">
        <v>0</v>
      </c>
      <c r="CE811">
        <v>0</v>
      </c>
      <c r="CF811">
        <v>0</v>
      </c>
      <c r="CG811">
        <v>0</v>
      </c>
      <c r="CH811">
        <v>0</v>
      </c>
      <c r="CI811">
        <v>0</v>
      </c>
      <c r="CJ811">
        <v>0</v>
      </c>
      <c r="CK811">
        <v>0</v>
      </c>
      <c r="CL811">
        <v>0</v>
      </c>
      <c r="CM811">
        <v>0</v>
      </c>
      <c r="CR811" t="s">
        <v>2325</v>
      </c>
      <c r="CS811" s="1369" t="str">
        <f>INDEX([8]Sheet1!$H:$H,MATCH(CR:CR,[8]Sheet1!$AU:$AU,0))</f>
        <v>Asset Management</v>
      </c>
    </row>
    <row r="812" spans="1:97" x14ac:dyDescent="0.2">
      <c r="A812" t="s">
        <v>3502</v>
      </c>
      <c r="B812">
        <v>865</v>
      </c>
      <c r="C812" t="s">
        <v>3502</v>
      </c>
      <c r="D812">
        <v>41596</v>
      </c>
      <c r="E812" t="s">
        <v>3503</v>
      </c>
      <c r="F812" t="s">
        <v>2364</v>
      </c>
      <c r="G812" t="s">
        <v>2364</v>
      </c>
      <c r="H812" t="s">
        <v>2365</v>
      </c>
      <c r="I812" t="s">
        <v>2365</v>
      </c>
      <c r="J812" t="s">
        <v>2365</v>
      </c>
      <c r="K812" t="s">
        <v>2365</v>
      </c>
      <c r="L812">
        <v>1200</v>
      </c>
      <c r="M812" t="s">
        <v>1480</v>
      </c>
      <c r="N812">
        <v>1204</v>
      </c>
      <c r="O812" t="s">
        <v>1487</v>
      </c>
      <c r="P812" t="s">
        <v>2366</v>
      </c>
      <c r="Q812" t="s">
        <v>2364</v>
      </c>
      <c r="R812" t="s">
        <v>2364</v>
      </c>
      <c r="S812" t="s">
        <v>553</v>
      </c>
      <c r="T812" t="s">
        <v>2175</v>
      </c>
      <c r="U812">
        <v>140</v>
      </c>
      <c r="V812" t="s">
        <v>693</v>
      </c>
      <c r="W812">
        <v>140</v>
      </c>
      <c r="X812" t="s">
        <v>693</v>
      </c>
      <c r="Y812" t="s">
        <v>2365</v>
      </c>
      <c r="Z812" t="s">
        <v>2365</v>
      </c>
      <c r="AA812" t="s">
        <v>2365</v>
      </c>
      <c r="AB812" t="s">
        <v>2365</v>
      </c>
      <c r="AC812" s="813" t="s">
        <v>2365</v>
      </c>
      <c r="AD812" s="813" t="s">
        <v>2365</v>
      </c>
      <c r="AE812" s="813" t="s">
        <v>2365</v>
      </c>
      <c r="AF812" t="s">
        <v>2365</v>
      </c>
      <c r="AG812" t="s">
        <v>2365</v>
      </c>
      <c r="AH812" t="s">
        <v>2365</v>
      </c>
      <c r="AI812" t="s">
        <v>2365</v>
      </c>
      <c r="AJ812" t="s">
        <v>2365</v>
      </c>
      <c r="AK812" t="s">
        <v>2366</v>
      </c>
      <c r="AL812" t="s">
        <v>2366</v>
      </c>
      <c r="AM812" t="s">
        <v>2366</v>
      </c>
      <c r="AN812" t="s">
        <v>2366</v>
      </c>
      <c r="AR812" t="s">
        <v>2365</v>
      </c>
      <c r="AS812" t="s">
        <v>2365</v>
      </c>
      <c r="AT812" t="s">
        <v>2365</v>
      </c>
      <c r="AU812" t="s">
        <v>2365</v>
      </c>
      <c r="AV812" t="s">
        <v>2365</v>
      </c>
      <c r="AW812" t="s">
        <v>2365</v>
      </c>
      <c r="AX812" t="s">
        <v>2365</v>
      </c>
      <c r="AY812" t="s">
        <v>2365</v>
      </c>
      <c r="AZ812" t="s">
        <v>2365</v>
      </c>
      <c r="BA812" t="s">
        <v>2365</v>
      </c>
      <c r="BB812" t="s">
        <v>2365</v>
      </c>
      <c r="BC812" t="s">
        <v>2365</v>
      </c>
      <c r="BD812" t="s">
        <v>2366</v>
      </c>
      <c r="BE812" t="s">
        <v>2365</v>
      </c>
      <c r="BF812" t="s">
        <v>2365</v>
      </c>
      <c r="BG812" t="s">
        <v>2365</v>
      </c>
      <c r="BH812" t="s">
        <v>2365</v>
      </c>
      <c r="BI812" t="s">
        <v>2366</v>
      </c>
      <c r="BJ812" t="s">
        <v>2365</v>
      </c>
      <c r="BK812" t="s">
        <v>2365</v>
      </c>
      <c r="BL812" t="s">
        <v>2365</v>
      </c>
      <c r="BM812" t="s">
        <v>2365</v>
      </c>
      <c r="BO812">
        <v>1</v>
      </c>
      <c r="BP812">
        <v>11</v>
      </c>
      <c r="BQ812" t="s">
        <v>2369</v>
      </c>
      <c r="BR812" t="s">
        <v>1487</v>
      </c>
      <c r="BU812">
        <v>0</v>
      </c>
      <c r="BV812">
        <v>0</v>
      </c>
      <c r="BW812">
        <v>0</v>
      </c>
      <c r="BX812">
        <v>0</v>
      </c>
      <c r="BY812">
        <v>0</v>
      </c>
      <c r="BZ812">
        <v>0</v>
      </c>
      <c r="CA812">
        <v>0</v>
      </c>
      <c r="CB812">
        <v>0</v>
      </c>
      <c r="CC812">
        <v>0</v>
      </c>
      <c r="CD812">
        <v>0</v>
      </c>
      <c r="CE812">
        <v>0</v>
      </c>
      <c r="CF812">
        <v>0</v>
      </c>
      <c r="CG812">
        <v>0</v>
      </c>
      <c r="CH812">
        <v>0</v>
      </c>
      <c r="CI812">
        <v>0</v>
      </c>
      <c r="CJ812">
        <v>0</v>
      </c>
      <c r="CK812">
        <v>0</v>
      </c>
      <c r="CL812">
        <v>0</v>
      </c>
      <c r="CM812">
        <v>0</v>
      </c>
      <c r="CR812" t="s">
        <v>2325</v>
      </c>
      <c r="CS812" s="1369" t="str">
        <f>INDEX([8]Sheet1!$H:$H,MATCH(CR:CR,[8]Sheet1!$AU:$AU,0))</f>
        <v>Asset Management</v>
      </c>
    </row>
    <row r="813" spans="1:97" x14ac:dyDescent="0.2">
      <c r="A813" t="s">
        <v>3504</v>
      </c>
      <c r="B813">
        <v>866</v>
      </c>
      <c r="C813" t="s">
        <v>3504</v>
      </c>
      <c r="D813">
        <v>41597</v>
      </c>
      <c r="E813" t="s">
        <v>3505</v>
      </c>
      <c r="F813" t="s">
        <v>2364</v>
      </c>
      <c r="G813" t="s">
        <v>2364</v>
      </c>
      <c r="H813" t="s">
        <v>2365</v>
      </c>
      <c r="I813" t="s">
        <v>2365</v>
      </c>
      <c r="J813" t="s">
        <v>2365</v>
      </c>
      <c r="K813" t="s">
        <v>2365</v>
      </c>
      <c r="L813">
        <v>1200</v>
      </c>
      <c r="M813" t="s">
        <v>1480</v>
      </c>
      <c r="N813">
        <v>1204</v>
      </c>
      <c r="O813" t="s">
        <v>1487</v>
      </c>
      <c r="P813" t="s">
        <v>2366</v>
      </c>
      <c r="Q813" t="s">
        <v>2364</v>
      </c>
      <c r="R813" t="s">
        <v>2364</v>
      </c>
      <c r="S813" t="s">
        <v>553</v>
      </c>
      <c r="T813" t="s">
        <v>2175</v>
      </c>
      <c r="U813" t="s">
        <v>2366</v>
      </c>
      <c r="V813" t="s">
        <v>2366</v>
      </c>
      <c r="W813" t="s">
        <v>2366</v>
      </c>
      <c r="X813" t="s">
        <v>2366</v>
      </c>
      <c r="Y813" t="s">
        <v>2365</v>
      </c>
      <c r="Z813" t="s">
        <v>2365</v>
      </c>
      <c r="AA813" t="s">
        <v>2365</v>
      </c>
      <c r="AB813" t="s">
        <v>2365</v>
      </c>
      <c r="AC813" s="813" t="s">
        <v>2365</v>
      </c>
      <c r="AD813" s="813" t="s">
        <v>2365</v>
      </c>
      <c r="AE813" s="813" t="s">
        <v>2365</v>
      </c>
      <c r="AF813" t="s">
        <v>2365</v>
      </c>
      <c r="AG813" t="s">
        <v>2365</v>
      </c>
      <c r="AH813" t="s">
        <v>2365</v>
      </c>
      <c r="AI813" t="s">
        <v>2365</v>
      </c>
      <c r="AJ813" t="s">
        <v>2365</v>
      </c>
      <c r="AK813">
        <v>146</v>
      </c>
      <c r="AL813" t="s">
        <v>1199</v>
      </c>
      <c r="AM813">
        <v>146</v>
      </c>
      <c r="AN813" t="s">
        <v>1199</v>
      </c>
      <c r="AR813" t="s">
        <v>2365</v>
      </c>
      <c r="AS813" t="s">
        <v>2365</v>
      </c>
      <c r="AT813" t="s">
        <v>2365</v>
      </c>
      <c r="AU813" t="s">
        <v>2365</v>
      </c>
      <c r="AV813" t="s">
        <v>2365</v>
      </c>
      <c r="AW813" t="s">
        <v>2365</v>
      </c>
      <c r="AX813" t="s">
        <v>2365</v>
      </c>
      <c r="AY813" t="s">
        <v>2365</v>
      </c>
      <c r="AZ813" t="s">
        <v>2365</v>
      </c>
      <c r="BA813" t="s">
        <v>2365</v>
      </c>
      <c r="BB813" t="s">
        <v>2365</v>
      </c>
      <c r="BC813" t="s">
        <v>2365</v>
      </c>
      <c r="BD813" t="s">
        <v>2366</v>
      </c>
      <c r="BE813" t="s">
        <v>2365</v>
      </c>
      <c r="BF813" t="s">
        <v>2365</v>
      </c>
      <c r="BG813" t="s">
        <v>2365</v>
      </c>
      <c r="BH813" t="s">
        <v>2365</v>
      </c>
      <c r="BI813" t="s">
        <v>2366</v>
      </c>
      <c r="BJ813" t="s">
        <v>2365</v>
      </c>
      <c r="BK813" t="s">
        <v>2365</v>
      </c>
      <c r="BL813" t="s">
        <v>2365</v>
      </c>
      <c r="BM813" t="s">
        <v>2365</v>
      </c>
      <c r="BO813">
        <v>1</v>
      </c>
      <c r="BP813">
        <v>11</v>
      </c>
      <c r="BQ813" t="s">
        <v>2369</v>
      </c>
      <c r="BR813" t="s">
        <v>1487</v>
      </c>
      <c r="BU813">
        <v>0</v>
      </c>
      <c r="BV813">
        <v>0</v>
      </c>
      <c r="BW813">
        <v>0</v>
      </c>
      <c r="BX813">
        <v>0</v>
      </c>
      <c r="BY813">
        <v>0</v>
      </c>
      <c r="BZ813">
        <v>0</v>
      </c>
      <c r="CA813">
        <v>0</v>
      </c>
      <c r="CB813">
        <v>0</v>
      </c>
      <c r="CC813">
        <v>0</v>
      </c>
      <c r="CD813">
        <v>0</v>
      </c>
      <c r="CE813">
        <v>0</v>
      </c>
      <c r="CF813">
        <v>0</v>
      </c>
      <c r="CG813">
        <v>0</v>
      </c>
      <c r="CH813">
        <v>0</v>
      </c>
      <c r="CI813">
        <v>0</v>
      </c>
      <c r="CJ813">
        <v>0</v>
      </c>
      <c r="CK813">
        <v>0</v>
      </c>
      <c r="CL813">
        <v>0</v>
      </c>
      <c r="CM813">
        <v>0</v>
      </c>
      <c r="CR813" t="s">
        <v>2325</v>
      </c>
      <c r="CS813" s="1369" t="str">
        <f>INDEX([8]Sheet1!$H:$H,MATCH(CR:CR,[8]Sheet1!$AU:$AU,0))</f>
        <v>Asset Management</v>
      </c>
    </row>
    <row r="814" spans="1:97" x14ac:dyDescent="0.2">
      <c r="A814" t="s">
        <v>3506</v>
      </c>
      <c r="B814">
        <v>867</v>
      </c>
      <c r="C814" t="s">
        <v>3506</v>
      </c>
      <c r="D814">
        <v>41598</v>
      </c>
      <c r="E814" t="s">
        <v>3507</v>
      </c>
      <c r="F814" t="s">
        <v>2364</v>
      </c>
      <c r="G814" t="s">
        <v>2364</v>
      </c>
      <c r="H814" t="s">
        <v>2365</v>
      </c>
      <c r="I814" t="s">
        <v>2365</v>
      </c>
      <c r="J814" t="s">
        <v>2365</v>
      </c>
      <c r="K814" t="s">
        <v>2365</v>
      </c>
      <c r="L814">
        <v>1200</v>
      </c>
      <c r="M814" t="s">
        <v>1480</v>
      </c>
      <c r="N814">
        <v>1204</v>
      </c>
      <c r="O814" t="s">
        <v>1487</v>
      </c>
      <c r="P814" t="s">
        <v>2366</v>
      </c>
      <c r="Q814" t="s">
        <v>2364</v>
      </c>
      <c r="R814" t="s">
        <v>2364</v>
      </c>
      <c r="S814" t="s">
        <v>553</v>
      </c>
      <c r="T814" t="s">
        <v>2175</v>
      </c>
      <c r="U814">
        <v>140</v>
      </c>
      <c r="V814" t="s">
        <v>693</v>
      </c>
      <c r="W814">
        <v>140</v>
      </c>
      <c r="X814" t="s">
        <v>693</v>
      </c>
      <c r="Y814" t="s">
        <v>2365</v>
      </c>
      <c r="Z814" t="s">
        <v>2365</v>
      </c>
      <c r="AA814" t="s">
        <v>2365</v>
      </c>
      <c r="AB814" t="s">
        <v>2365</v>
      </c>
      <c r="AC814" s="813" t="s">
        <v>2365</v>
      </c>
      <c r="AD814" s="813" t="s">
        <v>2365</v>
      </c>
      <c r="AE814" s="813" t="s">
        <v>2365</v>
      </c>
      <c r="AF814" t="s">
        <v>2365</v>
      </c>
      <c r="AG814" t="s">
        <v>2365</v>
      </c>
      <c r="AH814" t="s">
        <v>2365</v>
      </c>
      <c r="AI814" t="s">
        <v>2365</v>
      </c>
      <c r="AJ814" t="s">
        <v>2365</v>
      </c>
      <c r="AK814" t="s">
        <v>2366</v>
      </c>
      <c r="AL814" t="s">
        <v>2366</v>
      </c>
      <c r="AM814" t="s">
        <v>2366</v>
      </c>
      <c r="AN814" t="s">
        <v>2366</v>
      </c>
      <c r="AR814" t="s">
        <v>2365</v>
      </c>
      <c r="AS814" t="s">
        <v>2365</v>
      </c>
      <c r="AT814" t="s">
        <v>2365</v>
      </c>
      <c r="AU814" t="s">
        <v>2365</v>
      </c>
      <c r="AV814" t="s">
        <v>2365</v>
      </c>
      <c r="AW814" t="s">
        <v>2365</v>
      </c>
      <c r="AX814" t="s">
        <v>2365</v>
      </c>
      <c r="AY814" t="s">
        <v>2365</v>
      </c>
      <c r="AZ814" t="s">
        <v>2365</v>
      </c>
      <c r="BA814" t="s">
        <v>2365</v>
      </c>
      <c r="BB814" t="s">
        <v>2365</v>
      </c>
      <c r="BC814" t="s">
        <v>2365</v>
      </c>
      <c r="BD814" t="s">
        <v>2366</v>
      </c>
      <c r="BE814" t="s">
        <v>2365</v>
      </c>
      <c r="BF814" t="s">
        <v>2365</v>
      </c>
      <c r="BG814" t="s">
        <v>2365</v>
      </c>
      <c r="BH814" t="s">
        <v>2365</v>
      </c>
      <c r="BI814" t="s">
        <v>2366</v>
      </c>
      <c r="BJ814" t="s">
        <v>2365</v>
      </c>
      <c r="BK814" t="s">
        <v>2365</v>
      </c>
      <c r="BL814" t="s">
        <v>2365</v>
      </c>
      <c r="BM814" t="s">
        <v>2365</v>
      </c>
      <c r="BO814">
        <v>1</v>
      </c>
      <c r="BP814">
        <v>11</v>
      </c>
      <c r="BQ814" t="s">
        <v>2369</v>
      </c>
      <c r="BR814" t="s">
        <v>1487</v>
      </c>
      <c r="BU814">
        <v>0</v>
      </c>
      <c r="BV814">
        <v>0</v>
      </c>
      <c r="BW814">
        <v>0</v>
      </c>
      <c r="BX814">
        <v>0</v>
      </c>
      <c r="BY814">
        <v>0</v>
      </c>
      <c r="BZ814">
        <v>0</v>
      </c>
      <c r="CA814">
        <v>0</v>
      </c>
      <c r="CB814">
        <v>0</v>
      </c>
      <c r="CC814">
        <v>0</v>
      </c>
      <c r="CD814">
        <v>0</v>
      </c>
      <c r="CE814">
        <v>0</v>
      </c>
      <c r="CF814">
        <v>0</v>
      </c>
      <c r="CG814">
        <v>0</v>
      </c>
      <c r="CH814">
        <v>0</v>
      </c>
      <c r="CI814">
        <v>0</v>
      </c>
      <c r="CJ814">
        <v>0</v>
      </c>
      <c r="CK814">
        <v>0</v>
      </c>
      <c r="CL814">
        <v>0</v>
      </c>
      <c r="CM814">
        <v>0</v>
      </c>
      <c r="CR814" t="s">
        <v>2325</v>
      </c>
      <c r="CS814" s="1369" t="str">
        <f>INDEX([8]Sheet1!$H:$H,MATCH(CR:CR,[8]Sheet1!$AU:$AU,0))</f>
        <v>Asset Management</v>
      </c>
    </row>
    <row r="815" spans="1:97" x14ac:dyDescent="0.2">
      <c r="A815" t="s">
        <v>3508</v>
      </c>
      <c r="B815">
        <v>868</v>
      </c>
      <c r="C815" t="s">
        <v>3508</v>
      </c>
      <c r="D815">
        <v>41599</v>
      </c>
      <c r="E815" t="s">
        <v>3509</v>
      </c>
      <c r="F815" t="s">
        <v>2364</v>
      </c>
      <c r="G815" t="s">
        <v>2364</v>
      </c>
      <c r="H815" t="s">
        <v>2365</v>
      </c>
      <c r="I815" t="s">
        <v>2365</v>
      </c>
      <c r="J815" t="s">
        <v>2365</v>
      </c>
      <c r="K815" t="s">
        <v>2365</v>
      </c>
      <c r="L815">
        <v>1200</v>
      </c>
      <c r="M815" t="s">
        <v>1480</v>
      </c>
      <c r="N815">
        <v>1204</v>
      </c>
      <c r="O815" t="s">
        <v>1487</v>
      </c>
      <c r="P815" t="s">
        <v>2366</v>
      </c>
      <c r="Q815" t="s">
        <v>2364</v>
      </c>
      <c r="R815" t="s">
        <v>2364</v>
      </c>
      <c r="S815" t="s">
        <v>553</v>
      </c>
      <c r="T815" t="s">
        <v>2175</v>
      </c>
      <c r="U815" t="s">
        <v>2366</v>
      </c>
      <c r="V815" t="s">
        <v>2366</v>
      </c>
      <c r="W815" t="s">
        <v>2366</v>
      </c>
      <c r="X815" t="s">
        <v>2366</v>
      </c>
      <c r="Y815" t="s">
        <v>2365</v>
      </c>
      <c r="Z815" t="s">
        <v>2365</v>
      </c>
      <c r="AA815" t="s">
        <v>2365</v>
      </c>
      <c r="AB815" t="s">
        <v>2365</v>
      </c>
      <c r="AC815" s="813" t="s">
        <v>2365</v>
      </c>
      <c r="AD815" s="813" t="s">
        <v>2365</v>
      </c>
      <c r="AE815" s="813" t="s">
        <v>2365</v>
      </c>
      <c r="AF815" t="s">
        <v>2365</v>
      </c>
      <c r="AG815" t="s">
        <v>2365</v>
      </c>
      <c r="AH815" t="s">
        <v>2365</v>
      </c>
      <c r="AI815" t="s">
        <v>2365</v>
      </c>
      <c r="AJ815" t="s">
        <v>2365</v>
      </c>
      <c r="AK815">
        <v>146</v>
      </c>
      <c r="AL815" t="s">
        <v>1199</v>
      </c>
      <c r="AM815">
        <v>146</v>
      </c>
      <c r="AN815" t="s">
        <v>1199</v>
      </c>
      <c r="AR815" t="s">
        <v>2365</v>
      </c>
      <c r="AS815" t="s">
        <v>2365</v>
      </c>
      <c r="AT815" t="s">
        <v>2365</v>
      </c>
      <c r="AU815" t="s">
        <v>2365</v>
      </c>
      <c r="AV815" t="s">
        <v>2365</v>
      </c>
      <c r="AW815" t="s">
        <v>2365</v>
      </c>
      <c r="AX815" t="s">
        <v>2365</v>
      </c>
      <c r="AY815" t="s">
        <v>2365</v>
      </c>
      <c r="AZ815" t="s">
        <v>2365</v>
      </c>
      <c r="BA815" t="s">
        <v>2365</v>
      </c>
      <c r="BB815" t="s">
        <v>2365</v>
      </c>
      <c r="BC815" t="s">
        <v>2365</v>
      </c>
      <c r="BD815" t="s">
        <v>2366</v>
      </c>
      <c r="BE815" t="s">
        <v>2365</v>
      </c>
      <c r="BF815" t="s">
        <v>2365</v>
      </c>
      <c r="BG815" t="s">
        <v>2365</v>
      </c>
      <c r="BH815" t="s">
        <v>2365</v>
      </c>
      <c r="BI815" t="s">
        <v>2366</v>
      </c>
      <c r="BJ815" t="s">
        <v>2365</v>
      </c>
      <c r="BK815" t="s">
        <v>2365</v>
      </c>
      <c r="BL815" t="s">
        <v>2365</v>
      </c>
      <c r="BM815" t="s">
        <v>2365</v>
      </c>
      <c r="BO815">
        <v>1</v>
      </c>
      <c r="BP815">
        <v>11</v>
      </c>
      <c r="BQ815" t="s">
        <v>2369</v>
      </c>
      <c r="BR815" t="s">
        <v>1487</v>
      </c>
      <c r="BU815">
        <v>0</v>
      </c>
      <c r="BV815">
        <v>0</v>
      </c>
      <c r="BW815">
        <v>0</v>
      </c>
      <c r="BX815">
        <v>0</v>
      </c>
      <c r="BY815">
        <v>0</v>
      </c>
      <c r="BZ815">
        <v>0</v>
      </c>
      <c r="CA815">
        <v>0</v>
      </c>
      <c r="CB815">
        <v>0</v>
      </c>
      <c r="CC815">
        <v>0</v>
      </c>
      <c r="CD815">
        <v>0</v>
      </c>
      <c r="CE815">
        <v>0</v>
      </c>
      <c r="CF815">
        <v>0</v>
      </c>
      <c r="CG815">
        <v>0</v>
      </c>
      <c r="CH815">
        <v>0</v>
      </c>
      <c r="CI815">
        <v>0</v>
      </c>
      <c r="CJ815">
        <v>0</v>
      </c>
      <c r="CK815">
        <v>0</v>
      </c>
      <c r="CL815">
        <v>0</v>
      </c>
      <c r="CM815">
        <v>0</v>
      </c>
      <c r="CR815" t="s">
        <v>2325</v>
      </c>
      <c r="CS815" s="1369" t="str">
        <f>INDEX([8]Sheet1!$H:$H,MATCH(CR:CR,[8]Sheet1!$AU:$AU,0))</f>
        <v>Asset Management</v>
      </c>
    </row>
    <row r="816" spans="1:97" x14ac:dyDescent="0.2">
      <c r="A816" t="s">
        <v>3510</v>
      </c>
      <c r="B816">
        <v>869</v>
      </c>
      <c r="C816" t="s">
        <v>3510</v>
      </c>
      <c r="D816">
        <v>41600</v>
      </c>
      <c r="E816" t="s">
        <v>3511</v>
      </c>
      <c r="F816" t="s">
        <v>2364</v>
      </c>
      <c r="G816" t="s">
        <v>2364</v>
      </c>
      <c r="H816" t="s">
        <v>2365</v>
      </c>
      <c r="I816" t="s">
        <v>2365</v>
      </c>
      <c r="J816" t="s">
        <v>2365</v>
      </c>
      <c r="K816" t="s">
        <v>2365</v>
      </c>
      <c r="L816">
        <v>1200</v>
      </c>
      <c r="M816" t="s">
        <v>1480</v>
      </c>
      <c r="N816">
        <v>1204</v>
      </c>
      <c r="O816" t="s">
        <v>1487</v>
      </c>
      <c r="P816" t="s">
        <v>2366</v>
      </c>
      <c r="Q816" t="s">
        <v>2364</v>
      </c>
      <c r="R816" t="s">
        <v>2364</v>
      </c>
      <c r="S816" t="s">
        <v>553</v>
      </c>
      <c r="T816" t="s">
        <v>2175</v>
      </c>
      <c r="U816">
        <v>140</v>
      </c>
      <c r="V816" t="s">
        <v>693</v>
      </c>
      <c r="W816">
        <v>140</v>
      </c>
      <c r="X816" t="s">
        <v>693</v>
      </c>
      <c r="Y816" t="s">
        <v>2365</v>
      </c>
      <c r="Z816" t="s">
        <v>2365</v>
      </c>
      <c r="AA816" t="s">
        <v>2365</v>
      </c>
      <c r="AB816" t="s">
        <v>2365</v>
      </c>
      <c r="AC816" s="813" t="s">
        <v>2365</v>
      </c>
      <c r="AD816" s="813" t="s">
        <v>2365</v>
      </c>
      <c r="AE816" s="813" t="s">
        <v>2365</v>
      </c>
      <c r="AF816" t="s">
        <v>2365</v>
      </c>
      <c r="AG816" t="s">
        <v>2365</v>
      </c>
      <c r="AH816" t="s">
        <v>2365</v>
      </c>
      <c r="AI816" t="s">
        <v>2365</v>
      </c>
      <c r="AJ816" t="s">
        <v>2365</v>
      </c>
      <c r="AK816">
        <v>147</v>
      </c>
      <c r="AL816" t="s">
        <v>1200</v>
      </c>
      <c r="AM816">
        <v>147</v>
      </c>
      <c r="AN816" t="s">
        <v>1200</v>
      </c>
      <c r="AR816" t="s">
        <v>2365</v>
      </c>
      <c r="AS816" t="s">
        <v>2365</v>
      </c>
      <c r="AT816" t="s">
        <v>2365</v>
      </c>
      <c r="AU816" t="s">
        <v>2365</v>
      </c>
      <c r="AV816" t="s">
        <v>2365</v>
      </c>
      <c r="AW816" t="s">
        <v>2365</v>
      </c>
      <c r="AX816" t="s">
        <v>2365</v>
      </c>
      <c r="AY816" t="s">
        <v>2365</v>
      </c>
      <c r="AZ816" t="s">
        <v>2365</v>
      </c>
      <c r="BA816" t="s">
        <v>2365</v>
      </c>
      <c r="BB816" t="s">
        <v>2365</v>
      </c>
      <c r="BC816" t="s">
        <v>2365</v>
      </c>
      <c r="BD816" t="s">
        <v>2366</v>
      </c>
      <c r="BE816" t="s">
        <v>2365</v>
      </c>
      <c r="BF816" t="s">
        <v>2365</v>
      </c>
      <c r="BG816" t="s">
        <v>2365</v>
      </c>
      <c r="BH816" t="s">
        <v>2365</v>
      </c>
      <c r="BI816" t="s">
        <v>2366</v>
      </c>
      <c r="BJ816" t="s">
        <v>2365</v>
      </c>
      <c r="BK816" t="s">
        <v>2365</v>
      </c>
      <c r="BL816" t="s">
        <v>2365</v>
      </c>
      <c r="BM816" t="s">
        <v>2365</v>
      </c>
      <c r="BO816">
        <v>1</v>
      </c>
      <c r="BP816">
        <v>11</v>
      </c>
      <c r="BQ816" t="s">
        <v>2369</v>
      </c>
      <c r="BR816" t="s">
        <v>1487</v>
      </c>
      <c r="BU816">
        <v>0</v>
      </c>
      <c r="BV816">
        <v>0</v>
      </c>
      <c r="BW816">
        <v>0</v>
      </c>
      <c r="BX816">
        <v>0</v>
      </c>
      <c r="BY816">
        <v>0</v>
      </c>
      <c r="BZ816">
        <v>0</v>
      </c>
      <c r="CA816">
        <v>0</v>
      </c>
      <c r="CB816">
        <v>0</v>
      </c>
      <c r="CC816">
        <v>0</v>
      </c>
      <c r="CD816">
        <v>0</v>
      </c>
      <c r="CE816">
        <v>0</v>
      </c>
      <c r="CF816">
        <v>0</v>
      </c>
      <c r="CG816">
        <v>0</v>
      </c>
      <c r="CH816">
        <v>0</v>
      </c>
      <c r="CI816">
        <v>0</v>
      </c>
      <c r="CJ816">
        <v>0</v>
      </c>
      <c r="CK816">
        <v>0</v>
      </c>
      <c r="CL816">
        <v>0</v>
      </c>
      <c r="CM816">
        <v>0</v>
      </c>
      <c r="CR816" t="s">
        <v>2325</v>
      </c>
      <c r="CS816" s="1369" t="str">
        <f>INDEX([8]Sheet1!$H:$H,MATCH(CR:CR,[8]Sheet1!$AU:$AU,0))</f>
        <v>Asset Management</v>
      </c>
    </row>
    <row r="817" spans="1:97" x14ac:dyDescent="0.2">
      <c r="A817" t="s">
        <v>3512</v>
      </c>
      <c r="B817">
        <v>870</v>
      </c>
      <c r="C817" t="s">
        <v>3512</v>
      </c>
      <c r="D817">
        <v>41601</v>
      </c>
      <c r="E817" t="s">
        <v>3513</v>
      </c>
      <c r="F817" t="s">
        <v>2364</v>
      </c>
      <c r="G817" t="s">
        <v>2364</v>
      </c>
      <c r="H817" t="s">
        <v>2365</v>
      </c>
      <c r="I817" t="s">
        <v>2365</v>
      </c>
      <c r="J817" t="s">
        <v>2365</v>
      </c>
      <c r="K817" t="s">
        <v>2365</v>
      </c>
      <c r="L817">
        <v>1200</v>
      </c>
      <c r="M817" t="s">
        <v>1480</v>
      </c>
      <c r="N817">
        <v>1204</v>
      </c>
      <c r="O817" t="s">
        <v>1487</v>
      </c>
      <c r="P817" t="s">
        <v>2366</v>
      </c>
      <c r="Q817" t="s">
        <v>2364</v>
      </c>
      <c r="R817" t="s">
        <v>2364</v>
      </c>
      <c r="S817" t="s">
        <v>553</v>
      </c>
      <c r="T817" t="s">
        <v>2175</v>
      </c>
      <c r="U817" t="s">
        <v>2366</v>
      </c>
      <c r="V817" t="s">
        <v>2366</v>
      </c>
      <c r="W817" t="s">
        <v>2366</v>
      </c>
      <c r="X817" t="s">
        <v>2366</v>
      </c>
      <c r="Y817" t="s">
        <v>2365</v>
      </c>
      <c r="Z817" t="s">
        <v>2365</v>
      </c>
      <c r="AA817" t="s">
        <v>2365</v>
      </c>
      <c r="AB817" t="s">
        <v>2365</v>
      </c>
      <c r="AC817" s="813" t="s">
        <v>2365</v>
      </c>
      <c r="AD817" s="813" t="s">
        <v>2365</v>
      </c>
      <c r="AE817" s="813" t="s">
        <v>2365</v>
      </c>
      <c r="AF817" t="s">
        <v>2365</v>
      </c>
      <c r="AG817" t="s">
        <v>2365</v>
      </c>
      <c r="AH817" t="s">
        <v>2365</v>
      </c>
      <c r="AI817" t="s">
        <v>2365</v>
      </c>
      <c r="AJ817" t="s">
        <v>2365</v>
      </c>
      <c r="AK817">
        <v>146</v>
      </c>
      <c r="AL817" t="s">
        <v>1199</v>
      </c>
      <c r="AM817">
        <v>146</v>
      </c>
      <c r="AN817" t="s">
        <v>1199</v>
      </c>
      <c r="AR817" t="s">
        <v>2365</v>
      </c>
      <c r="AS817" t="s">
        <v>2365</v>
      </c>
      <c r="AT817" t="s">
        <v>2365</v>
      </c>
      <c r="AU817" t="s">
        <v>2365</v>
      </c>
      <c r="AV817" t="s">
        <v>2365</v>
      </c>
      <c r="AW817" t="s">
        <v>2365</v>
      </c>
      <c r="AX817" t="s">
        <v>2365</v>
      </c>
      <c r="AY817" t="s">
        <v>2365</v>
      </c>
      <c r="AZ817" t="s">
        <v>2365</v>
      </c>
      <c r="BA817" t="s">
        <v>2365</v>
      </c>
      <c r="BB817" t="s">
        <v>2365</v>
      </c>
      <c r="BC817" t="s">
        <v>2365</v>
      </c>
      <c r="BD817" t="s">
        <v>2366</v>
      </c>
      <c r="BE817" t="s">
        <v>2365</v>
      </c>
      <c r="BF817" t="s">
        <v>2365</v>
      </c>
      <c r="BG817" t="s">
        <v>2365</v>
      </c>
      <c r="BH817" t="s">
        <v>2365</v>
      </c>
      <c r="BI817" t="s">
        <v>2366</v>
      </c>
      <c r="BJ817" t="s">
        <v>2365</v>
      </c>
      <c r="BK817" t="s">
        <v>2365</v>
      </c>
      <c r="BL817" t="s">
        <v>2365</v>
      </c>
      <c r="BM817" t="s">
        <v>2365</v>
      </c>
      <c r="BO817">
        <v>1</v>
      </c>
      <c r="BP817">
        <v>11</v>
      </c>
      <c r="BQ817" t="s">
        <v>2369</v>
      </c>
      <c r="BR817" t="s">
        <v>1487</v>
      </c>
      <c r="BU817">
        <v>0</v>
      </c>
      <c r="BV817">
        <v>0</v>
      </c>
      <c r="BW817">
        <v>0</v>
      </c>
      <c r="BX817">
        <v>0</v>
      </c>
      <c r="BY817">
        <v>0</v>
      </c>
      <c r="BZ817">
        <v>0</v>
      </c>
      <c r="CA817">
        <v>0</v>
      </c>
      <c r="CB817">
        <v>0</v>
      </c>
      <c r="CC817">
        <v>0</v>
      </c>
      <c r="CD817">
        <v>0</v>
      </c>
      <c r="CE817">
        <v>0</v>
      </c>
      <c r="CF817">
        <v>0</v>
      </c>
      <c r="CG817">
        <v>0</v>
      </c>
      <c r="CH817">
        <v>0</v>
      </c>
      <c r="CI817">
        <v>0</v>
      </c>
      <c r="CJ817">
        <v>0</v>
      </c>
      <c r="CK817">
        <v>0</v>
      </c>
      <c r="CL817">
        <v>0</v>
      </c>
      <c r="CM817">
        <v>0</v>
      </c>
      <c r="CR817" t="s">
        <v>2325</v>
      </c>
      <c r="CS817" s="1369" t="str">
        <f>INDEX([8]Sheet1!$H:$H,MATCH(CR:CR,[8]Sheet1!$AU:$AU,0))</f>
        <v>Asset Management</v>
      </c>
    </row>
    <row r="818" spans="1:97" x14ac:dyDescent="0.2">
      <c r="A818" t="s">
        <v>3514</v>
      </c>
      <c r="B818">
        <v>871</v>
      </c>
      <c r="C818" t="s">
        <v>3514</v>
      </c>
      <c r="D818">
        <v>41602</v>
      </c>
      <c r="E818" t="s">
        <v>3515</v>
      </c>
      <c r="F818" t="s">
        <v>2364</v>
      </c>
      <c r="G818" t="s">
        <v>2364</v>
      </c>
      <c r="H818" t="s">
        <v>2365</v>
      </c>
      <c r="I818" t="s">
        <v>2365</v>
      </c>
      <c r="J818" t="s">
        <v>2365</v>
      </c>
      <c r="K818" t="s">
        <v>2365</v>
      </c>
      <c r="L818">
        <v>1200</v>
      </c>
      <c r="M818" t="s">
        <v>1480</v>
      </c>
      <c r="N818">
        <v>1204</v>
      </c>
      <c r="O818" t="s">
        <v>1487</v>
      </c>
      <c r="P818" t="s">
        <v>2366</v>
      </c>
      <c r="Q818" t="s">
        <v>2364</v>
      </c>
      <c r="R818" t="s">
        <v>2364</v>
      </c>
      <c r="S818" t="s">
        <v>553</v>
      </c>
      <c r="T818" t="s">
        <v>2175</v>
      </c>
      <c r="U818">
        <v>140</v>
      </c>
      <c r="V818" t="s">
        <v>693</v>
      </c>
      <c r="W818">
        <v>140</v>
      </c>
      <c r="X818" t="s">
        <v>693</v>
      </c>
      <c r="Y818" t="s">
        <v>2365</v>
      </c>
      <c r="Z818" t="s">
        <v>2365</v>
      </c>
      <c r="AA818" t="s">
        <v>2365</v>
      </c>
      <c r="AB818" t="s">
        <v>2365</v>
      </c>
      <c r="AC818" s="813" t="s">
        <v>2365</v>
      </c>
      <c r="AD818" s="813" t="s">
        <v>2365</v>
      </c>
      <c r="AE818" s="813" t="s">
        <v>2365</v>
      </c>
      <c r="AF818" t="s">
        <v>2365</v>
      </c>
      <c r="AG818" t="s">
        <v>2365</v>
      </c>
      <c r="AH818" t="s">
        <v>2365</v>
      </c>
      <c r="AI818" t="s">
        <v>2365</v>
      </c>
      <c r="AJ818" t="s">
        <v>2365</v>
      </c>
      <c r="AK818" t="s">
        <v>2366</v>
      </c>
      <c r="AL818" t="s">
        <v>2366</v>
      </c>
      <c r="AM818" t="s">
        <v>2366</v>
      </c>
      <c r="AN818" t="s">
        <v>2366</v>
      </c>
      <c r="AR818" t="s">
        <v>2365</v>
      </c>
      <c r="AS818" t="s">
        <v>2365</v>
      </c>
      <c r="AT818" t="s">
        <v>2365</v>
      </c>
      <c r="AU818" t="s">
        <v>2365</v>
      </c>
      <c r="AV818" t="s">
        <v>2365</v>
      </c>
      <c r="AW818" t="s">
        <v>2365</v>
      </c>
      <c r="AX818" t="s">
        <v>2365</v>
      </c>
      <c r="AY818" t="s">
        <v>2365</v>
      </c>
      <c r="AZ818" t="s">
        <v>2365</v>
      </c>
      <c r="BA818" t="s">
        <v>2365</v>
      </c>
      <c r="BB818" t="s">
        <v>2365</v>
      </c>
      <c r="BC818" t="s">
        <v>2365</v>
      </c>
      <c r="BD818" t="s">
        <v>2366</v>
      </c>
      <c r="BE818" t="s">
        <v>2365</v>
      </c>
      <c r="BF818" t="s">
        <v>2365</v>
      </c>
      <c r="BG818" t="s">
        <v>2365</v>
      </c>
      <c r="BH818" t="s">
        <v>2365</v>
      </c>
      <c r="BI818" t="s">
        <v>2366</v>
      </c>
      <c r="BJ818" t="s">
        <v>2365</v>
      </c>
      <c r="BK818" t="s">
        <v>2365</v>
      </c>
      <c r="BL818" t="s">
        <v>2365</v>
      </c>
      <c r="BM818" t="s">
        <v>2365</v>
      </c>
      <c r="BO818">
        <v>1</v>
      </c>
      <c r="BP818">
        <v>11</v>
      </c>
      <c r="BQ818" t="s">
        <v>2369</v>
      </c>
      <c r="BR818" t="s">
        <v>1487</v>
      </c>
      <c r="BU818">
        <v>0</v>
      </c>
      <c r="BV818">
        <v>0</v>
      </c>
      <c r="BW818" s="1371">
        <v>0</v>
      </c>
      <c r="BX818" s="1372">
        <v>0</v>
      </c>
      <c r="BY818">
        <v>0</v>
      </c>
      <c r="BZ818">
        <v>0</v>
      </c>
      <c r="CA818">
        <v>0</v>
      </c>
      <c r="CB818">
        <v>0</v>
      </c>
      <c r="CC818">
        <v>0</v>
      </c>
      <c r="CD818">
        <v>0</v>
      </c>
      <c r="CE818">
        <v>0</v>
      </c>
      <c r="CF818">
        <v>0</v>
      </c>
      <c r="CG818">
        <v>0</v>
      </c>
      <c r="CH818">
        <v>0</v>
      </c>
      <c r="CI818">
        <v>0</v>
      </c>
      <c r="CJ818">
        <v>0</v>
      </c>
      <c r="CK818">
        <v>0</v>
      </c>
      <c r="CL818">
        <v>0</v>
      </c>
      <c r="CM818">
        <v>0</v>
      </c>
      <c r="CR818" t="s">
        <v>2324</v>
      </c>
      <c r="CS818" s="1369" t="str">
        <f>INDEX([8]Sheet1!$H:$H,MATCH(CR:CR,[8]Sheet1!$AU:$AU,0))</f>
        <v>Finance</v>
      </c>
    </row>
    <row r="819" spans="1:97" x14ac:dyDescent="0.2">
      <c r="A819" t="s">
        <v>3516</v>
      </c>
      <c r="B819">
        <v>872</v>
      </c>
      <c r="C819" t="s">
        <v>3516</v>
      </c>
      <c r="D819">
        <v>41603</v>
      </c>
      <c r="E819" t="s">
        <v>3517</v>
      </c>
      <c r="F819" t="s">
        <v>2364</v>
      </c>
      <c r="G819" t="s">
        <v>2364</v>
      </c>
      <c r="H819" t="s">
        <v>2365</v>
      </c>
      <c r="I819" t="s">
        <v>2365</v>
      </c>
      <c r="J819" t="s">
        <v>2365</v>
      </c>
      <c r="K819" t="s">
        <v>2365</v>
      </c>
      <c r="L819">
        <v>1200</v>
      </c>
      <c r="M819" t="s">
        <v>1480</v>
      </c>
      <c r="N819">
        <v>1204</v>
      </c>
      <c r="O819" t="s">
        <v>1487</v>
      </c>
      <c r="P819" t="s">
        <v>2366</v>
      </c>
      <c r="Q819" t="s">
        <v>2364</v>
      </c>
      <c r="R819" t="s">
        <v>2364</v>
      </c>
      <c r="S819" t="s">
        <v>553</v>
      </c>
      <c r="T819" t="s">
        <v>2175</v>
      </c>
      <c r="U819" t="s">
        <v>2366</v>
      </c>
      <c r="V819" t="s">
        <v>2366</v>
      </c>
      <c r="W819" t="s">
        <v>2366</v>
      </c>
      <c r="X819" t="s">
        <v>2366</v>
      </c>
      <c r="Y819" t="s">
        <v>2365</v>
      </c>
      <c r="Z819" t="s">
        <v>2365</v>
      </c>
      <c r="AA819" t="s">
        <v>2365</v>
      </c>
      <c r="AB819" t="s">
        <v>2365</v>
      </c>
      <c r="AC819" s="813" t="s">
        <v>2365</v>
      </c>
      <c r="AD819" s="813" t="s">
        <v>2365</v>
      </c>
      <c r="AE819" s="813" t="s">
        <v>2365</v>
      </c>
      <c r="AF819" t="s">
        <v>2365</v>
      </c>
      <c r="AG819" t="s">
        <v>2365</v>
      </c>
      <c r="AH819" t="s">
        <v>2365</v>
      </c>
      <c r="AI819" t="s">
        <v>2365</v>
      </c>
      <c r="AJ819" t="s">
        <v>2365</v>
      </c>
      <c r="AK819">
        <v>146</v>
      </c>
      <c r="AL819" t="s">
        <v>1199</v>
      </c>
      <c r="AM819">
        <v>146</v>
      </c>
      <c r="AN819" t="s">
        <v>1199</v>
      </c>
      <c r="AR819" t="s">
        <v>2365</v>
      </c>
      <c r="AS819" t="s">
        <v>2365</v>
      </c>
      <c r="AT819" t="s">
        <v>2365</v>
      </c>
      <c r="AU819" t="s">
        <v>2365</v>
      </c>
      <c r="AV819" t="s">
        <v>2365</v>
      </c>
      <c r="AW819" t="s">
        <v>2365</v>
      </c>
      <c r="AX819" t="s">
        <v>2365</v>
      </c>
      <c r="AY819" t="s">
        <v>2365</v>
      </c>
      <c r="AZ819" t="s">
        <v>2365</v>
      </c>
      <c r="BA819" t="s">
        <v>2365</v>
      </c>
      <c r="BB819" t="s">
        <v>2365</v>
      </c>
      <c r="BC819" t="s">
        <v>2365</v>
      </c>
      <c r="BD819" t="s">
        <v>2366</v>
      </c>
      <c r="BE819" t="s">
        <v>2365</v>
      </c>
      <c r="BF819" t="s">
        <v>2365</v>
      </c>
      <c r="BG819" t="s">
        <v>2365</v>
      </c>
      <c r="BH819" t="s">
        <v>2365</v>
      </c>
      <c r="BI819" t="s">
        <v>2366</v>
      </c>
      <c r="BJ819" t="s">
        <v>2365</v>
      </c>
      <c r="BK819" t="s">
        <v>2365</v>
      </c>
      <c r="BL819" t="s">
        <v>2365</v>
      </c>
      <c r="BM819" t="s">
        <v>2365</v>
      </c>
      <c r="BO819">
        <v>1</v>
      </c>
      <c r="BP819">
        <v>11</v>
      </c>
      <c r="BQ819" t="s">
        <v>2369</v>
      </c>
      <c r="BR819" t="s">
        <v>1487</v>
      </c>
      <c r="BU819">
        <v>0</v>
      </c>
      <c r="BV819">
        <v>0</v>
      </c>
      <c r="BW819">
        <v>0</v>
      </c>
      <c r="BX819">
        <v>0</v>
      </c>
      <c r="BY819">
        <v>0</v>
      </c>
      <c r="BZ819">
        <v>0</v>
      </c>
      <c r="CA819">
        <v>0</v>
      </c>
      <c r="CB819">
        <v>0</v>
      </c>
      <c r="CC819">
        <v>0</v>
      </c>
      <c r="CD819">
        <v>0</v>
      </c>
      <c r="CE819">
        <v>0</v>
      </c>
      <c r="CF819">
        <v>0</v>
      </c>
      <c r="CG819">
        <v>0</v>
      </c>
      <c r="CH819">
        <v>0</v>
      </c>
      <c r="CI819">
        <v>0</v>
      </c>
      <c r="CJ819">
        <v>0</v>
      </c>
      <c r="CK819">
        <v>0</v>
      </c>
      <c r="CL819">
        <v>0</v>
      </c>
      <c r="CM819">
        <v>0</v>
      </c>
      <c r="CR819" t="s">
        <v>2324</v>
      </c>
      <c r="CS819" s="1369" t="str">
        <f>INDEX([8]Sheet1!$H:$H,MATCH(CR:CR,[8]Sheet1!$AU:$AU,0))</f>
        <v>Finance</v>
      </c>
    </row>
    <row r="820" spans="1:97" x14ac:dyDescent="0.2">
      <c r="A820" t="s">
        <v>3518</v>
      </c>
      <c r="B820">
        <v>873</v>
      </c>
      <c r="C820" t="s">
        <v>3518</v>
      </c>
      <c r="D820">
        <v>41604</v>
      </c>
      <c r="E820" t="s">
        <v>3519</v>
      </c>
      <c r="F820" t="s">
        <v>2364</v>
      </c>
      <c r="G820" t="s">
        <v>2364</v>
      </c>
      <c r="H820" t="s">
        <v>2365</v>
      </c>
      <c r="I820" t="s">
        <v>2365</v>
      </c>
      <c r="J820" t="s">
        <v>2365</v>
      </c>
      <c r="K820" t="s">
        <v>2365</v>
      </c>
      <c r="L820">
        <v>1200</v>
      </c>
      <c r="M820" t="s">
        <v>1480</v>
      </c>
      <c r="N820">
        <v>1204</v>
      </c>
      <c r="O820" t="s">
        <v>1487</v>
      </c>
      <c r="P820" t="s">
        <v>2366</v>
      </c>
      <c r="Q820" t="s">
        <v>2364</v>
      </c>
      <c r="R820" t="s">
        <v>2364</v>
      </c>
      <c r="S820" t="s">
        <v>553</v>
      </c>
      <c r="T820" t="s">
        <v>2175</v>
      </c>
      <c r="U820">
        <v>140</v>
      </c>
      <c r="V820" t="s">
        <v>693</v>
      </c>
      <c r="W820">
        <v>140</v>
      </c>
      <c r="X820" t="s">
        <v>693</v>
      </c>
      <c r="Y820" t="s">
        <v>2365</v>
      </c>
      <c r="Z820" t="s">
        <v>2365</v>
      </c>
      <c r="AA820" t="s">
        <v>2365</v>
      </c>
      <c r="AB820" t="s">
        <v>2365</v>
      </c>
      <c r="AC820" s="813" t="s">
        <v>2365</v>
      </c>
      <c r="AD820" s="813" t="s">
        <v>2365</v>
      </c>
      <c r="AE820" s="813" t="s">
        <v>2365</v>
      </c>
      <c r="AF820" t="s">
        <v>2365</v>
      </c>
      <c r="AG820" t="s">
        <v>2365</v>
      </c>
      <c r="AH820" t="s">
        <v>2365</v>
      </c>
      <c r="AI820" t="s">
        <v>2365</v>
      </c>
      <c r="AJ820" t="s">
        <v>2365</v>
      </c>
      <c r="AK820" t="s">
        <v>2366</v>
      </c>
      <c r="AL820" t="s">
        <v>2366</v>
      </c>
      <c r="AM820" t="s">
        <v>2366</v>
      </c>
      <c r="AN820" t="s">
        <v>2366</v>
      </c>
      <c r="AR820" t="s">
        <v>2365</v>
      </c>
      <c r="AS820" t="s">
        <v>2365</v>
      </c>
      <c r="AT820" t="s">
        <v>2365</v>
      </c>
      <c r="AU820" t="s">
        <v>2365</v>
      </c>
      <c r="AV820" t="s">
        <v>2365</v>
      </c>
      <c r="AW820" t="s">
        <v>2365</v>
      </c>
      <c r="AX820" t="s">
        <v>2365</v>
      </c>
      <c r="AY820" t="s">
        <v>2365</v>
      </c>
      <c r="AZ820" t="s">
        <v>2365</v>
      </c>
      <c r="BA820" t="s">
        <v>2365</v>
      </c>
      <c r="BB820" t="s">
        <v>2365</v>
      </c>
      <c r="BC820" t="s">
        <v>2365</v>
      </c>
      <c r="BD820" t="s">
        <v>2366</v>
      </c>
      <c r="BE820" t="s">
        <v>2365</v>
      </c>
      <c r="BF820" t="s">
        <v>2365</v>
      </c>
      <c r="BG820" t="s">
        <v>2365</v>
      </c>
      <c r="BH820" t="s">
        <v>2365</v>
      </c>
      <c r="BI820" t="s">
        <v>2366</v>
      </c>
      <c r="BJ820" t="s">
        <v>2365</v>
      </c>
      <c r="BK820" t="s">
        <v>2365</v>
      </c>
      <c r="BL820" t="s">
        <v>2365</v>
      </c>
      <c r="BM820" t="s">
        <v>2365</v>
      </c>
      <c r="BO820">
        <v>1</v>
      </c>
      <c r="BP820">
        <v>11</v>
      </c>
      <c r="BQ820" t="s">
        <v>2369</v>
      </c>
      <c r="BR820" t="s">
        <v>1487</v>
      </c>
      <c r="BU820">
        <v>0</v>
      </c>
      <c r="BV820">
        <v>0</v>
      </c>
      <c r="BW820" s="1371">
        <v>0</v>
      </c>
      <c r="BX820" s="1372">
        <v>0</v>
      </c>
      <c r="BY820">
        <v>0</v>
      </c>
      <c r="BZ820">
        <v>0</v>
      </c>
      <c r="CA820">
        <v>0</v>
      </c>
      <c r="CB820">
        <v>0</v>
      </c>
      <c r="CC820">
        <v>0</v>
      </c>
      <c r="CD820">
        <v>0</v>
      </c>
      <c r="CE820">
        <v>0</v>
      </c>
      <c r="CF820">
        <v>0</v>
      </c>
      <c r="CG820">
        <v>0</v>
      </c>
      <c r="CH820">
        <v>0</v>
      </c>
      <c r="CI820">
        <v>0</v>
      </c>
      <c r="CJ820">
        <v>0</v>
      </c>
      <c r="CK820">
        <v>0</v>
      </c>
      <c r="CL820">
        <v>0</v>
      </c>
      <c r="CM820">
        <v>0</v>
      </c>
      <c r="CR820" t="s">
        <v>2324</v>
      </c>
      <c r="CS820" s="1369" t="str">
        <f>INDEX([8]Sheet1!$H:$H,MATCH(CR:CR,[8]Sheet1!$AU:$AU,0))</f>
        <v>Finance</v>
      </c>
    </row>
    <row r="821" spans="1:97" x14ac:dyDescent="0.2">
      <c r="A821" t="s">
        <v>3520</v>
      </c>
      <c r="B821">
        <v>874</v>
      </c>
      <c r="C821" t="s">
        <v>3520</v>
      </c>
      <c r="D821">
        <v>41605</v>
      </c>
      <c r="E821" t="s">
        <v>3521</v>
      </c>
      <c r="F821" t="s">
        <v>2364</v>
      </c>
      <c r="G821" t="s">
        <v>2364</v>
      </c>
      <c r="H821" t="s">
        <v>2365</v>
      </c>
      <c r="I821" t="s">
        <v>2365</v>
      </c>
      <c r="J821" t="s">
        <v>2365</v>
      </c>
      <c r="K821" t="s">
        <v>2365</v>
      </c>
      <c r="L821">
        <v>1200</v>
      </c>
      <c r="M821" t="s">
        <v>1480</v>
      </c>
      <c r="N821">
        <v>1204</v>
      </c>
      <c r="O821" t="s">
        <v>1487</v>
      </c>
      <c r="P821" t="s">
        <v>2366</v>
      </c>
      <c r="Q821" t="s">
        <v>2364</v>
      </c>
      <c r="R821" t="s">
        <v>2364</v>
      </c>
      <c r="S821" t="s">
        <v>553</v>
      </c>
      <c r="T821" t="s">
        <v>2175</v>
      </c>
      <c r="U821" t="s">
        <v>2366</v>
      </c>
      <c r="V821" t="s">
        <v>2366</v>
      </c>
      <c r="W821" t="s">
        <v>2366</v>
      </c>
      <c r="X821" t="s">
        <v>2366</v>
      </c>
      <c r="Y821" t="s">
        <v>2365</v>
      </c>
      <c r="Z821" t="s">
        <v>2365</v>
      </c>
      <c r="AA821" t="s">
        <v>2365</v>
      </c>
      <c r="AB821" t="s">
        <v>2365</v>
      </c>
      <c r="AC821" s="813" t="s">
        <v>2365</v>
      </c>
      <c r="AD821" s="813" t="s">
        <v>2365</v>
      </c>
      <c r="AE821" s="813" t="s">
        <v>2365</v>
      </c>
      <c r="AF821" t="s">
        <v>2365</v>
      </c>
      <c r="AG821" t="s">
        <v>2365</v>
      </c>
      <c r="AH821" t="s">
        <v>2365</v>
      </c>
      <c r="AI821" t="s">
        <v>2365</v>
      </c>
      <c r="AJ821" t="s">
        <v>2365</v>
      </c>
      <c r="AK821">
        <v>146</v>
      </c>
      <c r="AL821" t="s">
        <v>1199</v>
      </c>
      <c r="AM821">
        <v>146</v>
      </c>
      <c r="AN821" t="s">
        <v>1199</v>
      </c>
      <c r="AR821" t="s">
        <v>2365</v>
      </c>
      <c r="AS821" t="s">
        <v>2365</v>
      </c>
      <c r="AT821" t="s">
        <v>2365</v>
      </c>
      <c r="AU821" t="s">
        <v>2365</v>
      </c>
      <c r="AV821" t="s">
        <v>2365</v>
      </c>
      <c r="AW821" t="s">
        <v>2365</v>
      </c>
      <c r="AX821" t="s">
        <v>2365</v>
      </c>
      <c r="AY821" t="s">
        <v>2365</v>
      </c>
      <c r="AZ821" t="s">
        <v>2365</v>
      </c>
      <c r="BA821" t="s">
        <v>2365</v>
      </c>
      <c r="BB821" t="s">
        <v>2365</v>
      </c>
      <c r="BC821" t="s">
        <v>2365</v>
      </c>
      <c r="BD821" t="s">
        <v>2366</v>
      </c>
      <c r="BE821" t="s">
        <v>2365</v>
      </c>
      <c r="BF821" t="s">
        <v>2365</v>
      </c>
      <c r="BG821" t="s">
        <v>2365</v>
      </c>
      <c r="BH821" t="s">
        <v>2365</v>
      </c>
      <c r="BI821" t="s">
        <v>2366</v>
      </c>
      <c r="BJ821" t="s">
        <v>2365</v>
      </c>
      <c r="BK821" t="s">
        <v>2365</v>
      </c>
      <c r="BL821" t="s">
        <v>2365</v>
      </c>
      <c r="BM821" t="s">
        <v>2365</v>
      </c>
      <c r="BO821">
        <v>1</v>
      </c>
      <c r="BP821">
        <v>11</v>
      </c>
      <c r="BQ821" t="s">
        <v>2369</v>
      </c>
      <c r="BR821" t="s">
        <v>1487</v>
      </c>
      <c r="BU821">
        <v>0</v>
      </c>
      <c r="BV821">
        <v>0</v>
      </c>
      <c r="BW821">
        <v>0</v>
      </c>
      <c r="BX821">
        <v>0</v>
      </c>
      <c r="BY821">
        <v>0</v>
      </c>
      <c r="BZ821">
        <v>0</v>
      </c>
      <c r="CA821">
        <v>0</v>
      </c>
      <c r="CB821">
        <v>0</v>
      </c>
      <c r="CC821">
        <v>0</v>
      </c>
      <c r="CD821">
        <v>0</v>
      </c>
      <c r="CE821">
        <v>0</v>
      </c>
      <c r="CF821">
        <v>0</v>
      </c>
      <c r="CG821">
        <v>0</v>
      </c>
      <c r="CH821">
        <v>0</v>
      </c>
      <c r="CI821">
        <v>0</v>
      </c>
      <c r="CJ821">
        <v>0</v>
      </c>
      <c r="CK821">
        <v>0</v>
      </c>
      <c r="CL821">
        <v>0</v>
      </c>
      <c r="CM821">
        <v>0</v>
      </c>
      <c r="CR821" t="s">
        <v>2324</v>
      </c>
      <c r="CS821" s="1369" t="str">
        <f>INDEX([8]Sheet1!$H:$H,MATCH(CR:CR,[8]Sheet1!$AU:$AU,0))</f>
        <v>Finance</v>
      </c>
    </row>
    <row r="822" spans="1:97" x14ac:dyDescent="0.2">
      <c r="A822" t="s">
        <v>3522</v>
      </c>
      <c r="B822">
        <v>875</v>
      </c>
      <c r="C822" t="s">
        <v>3522</v>
      </c>
      <c r="D822">
        <v>41606</v>
      </c>
      <c r="E822" t="s">
        <v>3523</v>
      </c>
      <c r="F822" t="s">
        <v>2364</v>
      </c>
      <c r="G822" t="s">
        <v>2364</v>
      </c>
      <c r="H822" t="s">
        <v>2365</v>
      </c>
      <c r="I822" t="s">
        <v>2365</v>
      </c>
      <c r="J822" t="s">
        <v>2365</v>
      </c>
      <c r="K822" t="s">
        <v>2365</v>
      </c>
      <c r="L822">
        <v>1200</v>
      </c>
      <c r="M822" t="s">
        <v>1480</v>
      </c>
      <c r="N822">
        <v>1204</v>
      </c>
      <c r="O822" t="s">
        <v>1487</v>
      </c>
      <c r="P822" t="s">
        <v>2366</v>
      </c>
      <c r="Q822" t="s">
        <v>2364</v>
      </c>
      <c r="R822" t="s">
        <v>2364</v>
      </c>
      <c r="S822" t="s">
        <v>553</v>
      </c>
      <c r="T822" t="s">
        <v>2175</v>
      </c>
      <c r="U822">
        <v>140</v>
      </c>
      <c r="V822" t="s">
        <v>693</v>
      </c>
      <c r="W822">
        <v>140</v>
      </c>
      <c r="X822" t="s">
        <v>693</v>
      </c>
      <c r="Y822" t="s">
        <v>2365</v>
      </c>
      <c r="Z822" t="s">
        <v>2365</v>
      </c>
      <c r="AA822" t="s">
        <v>2365</v>
      </c>
      <c r="AB822" t="s">
        <v>2365</v>
      </c>
      <c r="AC822" s="813" t="s">
        <v>2365</v>
      </c>
      <c r="AD822" s="813" t="s">
        <v>2365</v>
      </c>
      <c r="AE822" s="813" t="s">
        <v>2365</v>
      </c>
      <c r="AF822" t="s">
        <v>2365</v>
      </c>
      <c r="AG822" t="s">
        <v>2365</v>
      </c>
      <c r="AH822" t="s">
        <v>2365</v>
      </c>
      <c r="AI822" t="s">
        <v>2365</v>
      </c>
      <c r="AJ822" t="s">
        <v>2365</v>
      </c>
      <c r="AK822" t="s">
        <v>2366</v>
      </c>
      <c r="AL822" t="s">
        <v>2366</v>
      </c>
      <c r="AM822" t="s">
        <v>2366</v>
      </c>
      <c r="AN822" t="s">
        <v>2366</v>
      </c>
      <c r="AR822" t="s">
        <v>2365</v>
      </c>
      <c r="AS822" t="s">
        <v>2365</v>
      </c>
      <c r="AT822" t="s">
        <v>2365</v>
      </c>
      <c r="AU822" t="s">
        <v>2365</v>
      </c>
      <c r="AV822" t="s">
        <v>2365</v>
      </c>
      <c r="AW822" t="s">
        <v>2365</v>
      </c>
      <c r="AX822" t="s">
        <v>2365</v>
      </c>
      <c r="AY822" t="s">
        <v>2365</v>
      </c>
      <c r="AZ822" t="s">
        <v>2365</v>
      </c>
      <c r="BA822" t="s">
        <v>2365</v>
      </c>
      <c r="BB822" t="s">
        <v>2365</v>
      </c>
      <c r="BC822" t="s">
        <v>2365</v>
      </c>
      <c r="BD822" t="s">
        <v>2366</v>
      </c>
      <c r="BE822" t="s">
        <v>2365</v>
      </c>
      <c r="BF822" t="s">
        <v>2365</v>
      </c>
      <c r="BG822" t="s">
        <v>2365</v>
      </c>
      <c r="BH822" t="s">
        <v>2365</v>
      </c>
      <c r="BI822" t="s">
        <v>2366</v>
      </c>
      <c r="BJ822" t="s">
        <v>2365</v>
      </c>
      <c r="BK822" t="s">
        <v>2365</v>
      </c>
      <c r="BL822" t="s">
        <v>2365</v>
      </c>
      <c r="BM822" t="s">
        <v>2365</v>
      </c>
      <c r="BO822">
        <v>1</v>
      </c>
      <c r="BP822">
        <v>11</v>
      </c>
      <c r="BQ822" t="s">
        <v>2369</v>
      </c>
      <c r="BR822" t="s">
        <v>1487</v>
      </c>
      <c r="BU822">
        <v>0</v>
      </c>
      <c r="BV822">
        <v>0</v>
      </c>
      <c r="BW822">
        <v>0</v>
      </c>
      <c r="BX822">
        <v>0</v>
      </c>
      <c r="BY822">
        <v>0</v>
      </c>
      <c r="BZ822">
        <v>0</v>
      </c>
      <c r="CA822">
        <v>0</v>
      </c>
      <c r="CB822">
        <v>0</v>
      </c>
      <c r="CC822">
        <v>0</v>
      </c>
      <c r="CD822">
        <v>0</v>
      </c>
      <c r="CE822">
        <v>0</v>
      </c>
      <c r="CF822">
        <v>0</v>
      </c>
      <c r="CG822">
        <v>0</v>
      </c>
      <c r="CH822">
        <v>0</v>
      </c>
      <c r="CI822">
        <v>0</v>
      </c>
      <c r="CJ822">
        <v>0</v>
      </c>
      <c r="CK822">
        <v>0</v>
      </c>
      <c r="CL822">
        <v>0</v>
      </c>
      <c r="CM822">
        <v>0</v>
      </c>
      <c r="CR822" t="s">
        <v>2324</v>
      </c>
      <c r="CS822" s="1369" t="str">
        <f>INDEX([8]Sheet1!$H:$H,MATCH(CR:CR,[8]Sheet1!$AU:$AU,0))</f>
        <v>Finance</v>
      </c>
    </row>
    <row r="823" spans="1:97" x14ac:dyDescent="0.2">
      <c r="A823" t="s">
        <v>3524</v>
      </c>
      <c r="B823">
        <v>876</v>
      </c>
      <c r="C823" t="s">
        <v>3524</v>
      </c>
      <c r="D823">
        <v>41607</v>
      </c>
      <c r="E823" t="s">
        <v>3525</v>
      </c>
      <c r="F823" t="s">
        <v>2364</v>
      </c>
      <c r="G823" t="s">
        <v>2364</v>
      </c>
      <c r="H823" t="s">
        <v>2365</v>
      </c>
      <c r="I823" t="s">
        <v>2365</v>
      </c>
      <c r="J823" t="s">
        <v>2365</v>
      </c>
      <c r="K823" t="s">
        <v>2365</v>
      </c>
      <c r="L823">
        <v>1200</v>
      </c>
      <c r="M823" t="s">
        <v>1480</v>
      </c>
      <c r="N823">
        <v>1204</v>
      </c>
      <c r="O823" t="s">
        <v>1487</v>
      </c>
      <c r="P823" t="s">
        <v>2366</v>
      </c>
      <c r="Q823" t="s">
        <v>2364</v>
      </c>
      <c r="R823" t="s">
        <v>2364</v>
      </c>
      <c r="S823" t="s">
        <v>553</v>
      </c>
      <c r="T823" t="s">
        <v>2175</v>
      </c>
      <c r="U823" t="s">
        <v>2366</v>
      </c>
      <c r="V823" t="s">
        <v>2366</v>
      </c>
      <c r="W823" t="s">
        <v>2366</v>
      </c>
      <c r="X823" t="s">
        <v>2366</v>
      </c>
      <c r="Y823" t="s">
        <v>2365</v>
      </c>
      <c r="Z823" t="s">
        <v>2365</v>
      </c>
      <c r="AA823" t="s">
        <v>2365</v>
      </c>
      <c r="AB823" t="s">
        <v>2365</v>
      </c>
      <c r="AC823" s="813" t="s">
        <v>2365</v>
      </c>
      <c r="AD823" s="813" t="s">
        <v>2365</v>
      </c>
      <c r="AE823" s="813" t="s">
        <v>2365</v>
      </c>
      <c r="AF823" t="s">
        <v>2365</v>
      </c>
      <c r="AG823" t="s">
        <v>2365</v>
      </c>
      <c r="AH823" t="s">
        <v>2365</v>
      </c>
      <c r="AI823" t="s">
        <v>2365</v>
      </c>
      <c r="AJ823" t="s">
        <v>2365</v>
      </c>
      <c r="AK823">
        <v>146</v>
      </c>
      <c r="AL823" t="s">
        <v>1199</v>
      </c>
      <c r="AM823">
        <v>146</v>
      </c>
      <c r="AN823" t="s">
        <v>1199</v>
      </c>
      <c r="AR823" t="s">
        <v>2365</v>
      </c>
      <c r="AS823" t="s">
        <v>2365</v>
      </c>
      <c r="AT823" t="s">
        <v>2365</v>
      </c>
      <c r="AU823" t="s">
        <v>2365</v>
      </c>
      <c r="AV823" t="s">
        <v>2365</v>
      </c>
      <c r="AW823" t="s">
        <v>2365</v>
      </c>
      <c r="AX823" t="s">
        <v>2365</v>
      </c>
      <c r="AY823" t="s">
        <v>2365</v>
      </c>
      <c r="AZ823" t="s">
        <v>2365</v>
      </c>
      <c r="BA823" t="s">
        <v>2365</v>
      </c>
      <c r="BB823" t="s">
        <v>2365</v>
      </c>
      <c r="BC823" t="s">
        <v>2365</v>
      </c>
      <c r="BD823" t="s">
        <v>2366</v>
      </c>
      <c r="BE823" t="s">
        <v>2365</v>
      </c>
      <c r="BF823" t="s">
        <v>2365</v>
      </c>
      <c r="BG823" t="s">
        <v>2365</v>
      </c>
      <c r="BH823" t="s">
        <v>2365</v>
      </c>
      <c r="BI823" t="s">
        <v>2366</v>
      </c>
      <c r="BJ823" t="s">
        <v>2365</v>
      </c>
      <c r="BK823" t="s">
        <v>2365</v>
      </c>
      <c r="BL823" t="s">
        <v>2365</v>
      </c>
      <c r="BM823" t="s">
        <v>2365</v>
      </c>
      <c r="BO823">
        <v>1</v>
      </c>
      <c r="BP823">
        <v>11</v>
      </c>
      <c r="BQ823" t="s">
        <v>2369</v>
      </c>
      <c r="BR823" t="s">
        <v>1487</v>
      </c>
      <c r="BU823">
        <v>0</v>
      </c>
      <c r="BV823">
        <v>0</v>
      </c>
      <c r="BW823">
        <v>0</v>
      </c>
      <c r="BX823">
        <v>0</v>
      </c>
      <c r="BY823">
        <v>0</v>
      </c>
      <c r="BZ823">
        <v>0</v>
      </c>
      <c r="CA823">
        <v>0</v>
      </c>
      <c r="CB823">
        <v>0</v>
      </c>
      <c r="CC823">
        <v>0</v>
      </c>
      <c r="CD823">
        <v>0</v>
      </c>
      <c r="CE823">
        <v>0</v>
      </c>
      <c r="CF823">
        <v>0</v>
      </c>
      <c r="CG823">
        <v>0</v>
      </c>
      <c r="CH823">
        <v>0</v>
      </c>
      <c r="CI823">
        <v>0</v>
      </c>
      <c r="CJ823">
        <v>0</v>
      </c>
      <c r="CK823">
        <v>0</v>
      </c>
      <c r="CL823">
        <v>0</v>
      </c>
      <c r="CM823">
        <v>0</v>
      </c>
      <c r="CR823" t="s">
        <v>2324</v>
      </c>
      <c r="CS823" s="1369" t="str">
        <f>INDEX([8]Sheet1!$H:$H,MATCH(CR:CR,[8]Sheet1!$AU:$AU,0))</f>
        <v>Finance</v>
      </c>
    </row>
    <row r="824" spans="1:97" x14ac:dyDescent="0.2">
      <c r="A824" t="s">
        <v>3526</v>
      </c>
      <c r="B824">
        <v>877</v>
      </c>
      <c r="C824" t="s">
        <v>3526</v>
      </c>
      <c r="D824">
        <v>41608</v>
      </c>
      <c r="E824" t="s">
        <v>3527</v>
      </c>
      <c r="F824" t="s">
        <v>2364</v>
      </c>
      <c r="G824" t="s">
        <v>2364</v>
      </c>
      <c r="H824" t="s">
        <v>2365</v>
      </c>
      <c r="I824" t="s">
        <v>2365</v>
      </c>
      <c r="J824" t="s">
        <v>2365</v>
      </c>
      <c r="K824" t="s">
        <v>2365</v>
      </c>
      <c r="L824">
        <v>1200</v>
      </c>
      <c r="M824" t="s">
        <v>1480</v>
      </c>
      <c r="N824">
        <v>1204</v>
      </c>
      <c r="O824" t="s">
        <v>1487</v>
      </c>
      <c r="P824" t="s">
        <v>2366</v>
      </c>
      <c r="Q824" t="s">
        <v>2364</v>
      </c>
      <c r="R824" t="s">
        <v>2364</v>
      </c>
      <c r="S824" t="s">
        <v>553</v>
      </c>
      <c r="T824" t="s">
        <v>2175</v>
      </c>
      <c r="U824">
        <v>140</v>
      </c>
      <c r="V824" t="s">
        <v>693</v>
      </c>
      <c r="W824">
        <v>140</v>
      </c>
      <c r="X824" t="s">
        <v>693</v>
      </c>
      <c r="Y824" t="s">
        <v>2365</v>
      </c>
      <c r="Z824" t="s">
        <v>2365</v>
      </c>
      <c r="AA824" t="s">
        <v>2365</v>
      </c>
      <c r="AB824" t="s">
        <v>2365</v>
      </c>
      <c r="AC824" s="813" t="s">
        <v>2365</v>
      </c>
      <c r="AD824" s="813" t="s">
        <v>2365</v>
      </c>
      <c r="AE824" s="813" t="s">
        <v>2365</v>
      </c>
      <c r="AF824" t="s">
        <v>2365</v>
      </c>
      <c r="AG824" t="s">
        <v>2365</v>
      </c>
      <c r="AH824" t="s">
        <v>2365</v>
      </c>
      <c r="AI824" t="s">
        <v>2365</v>
      </c>
      <c r="AJ824" t="s">
        <v>2365</v>
      </c>
      <c r="AK824" t="s">
        <v>2366</v>
      </c>
      <c r="AL824" t="s">
        <v>2366</v>
      </c>
      <c r="AM824" t="s">
        <v>2366</v>
      </c>
      <c r="AN824" t="s">
        <v>2366</v>
      </c>
      <c r="AR824" t="s">
        <v>2365</v>
      </c>
      <c r="AS824" t="s">
        <v>2365</v>
      </c>
      <c r="AT824" t="s">
        <v>2365</v>
      </c>
      <c r="AU824" t="s">
        <v>2365</v>
      </c>
      <c r="AV824" t="s">
        <v>2365</v>
      </c>
      <c r="AW824" t="s">
        <v>2365</v>
      </c>
      <c r="AX824" t="s">
        <v>2365</v>
      </c>
      <c r="AY824" t="s">
        <v>2365</v>
      </c>
      <c r="AZ824" t="s">
        <v>2365</v>
      </c>
      <c r="BA824" t="s">
        <v>2365</v>
      </c>
      <c r="BB824" t="s">
        <v>2365</v>
      </c>
      <c r="BC824" t="s">
        <v>2365</v>
      </c>
      <c r="BD824" t="s">
        <v>2366</v>
      </c>
      <c r="BE824" t="s">
        <v>2365</v>
      </c>
      <c r="BF824" t="s">
        <v>2365</v>
      </c>
      <c r="BG824" t="s">
        <v>2365</v>
      </c>
      <c r="BH824" t="s">
        <v>2365</v>
      </c>
      <c r="BI824" t="s">
        <v>2366</v>
      </c>
      <c r="BJ824" t="s">
        <v>2365</v>
      </c>
      <c r="BK824" t="s">
        <v>2365</v>
      </c>
      <c r="BL824" t="s">
        <v>2365</v>
      </c>
      <c r="BM824" t="s">
        <v>2365</v>
      </c>
      <c r="BO824">
        <v>1</v>
      </c>
      <c r="BP824">
        <v>11</v>
      </c>
      <c r="BQ824" t="s">
        <v>2369</v>
      </c>
      <c r="BR824" t="s">
        <v>1487</v>
      </c>
      <c r="BU824">
        <v>0</v>
      </c>
      <c r="BV824">
        <v>0</v>
      </c>
      <c r="BW824">
        <v>0</v>
      </c>
      <c r="BX824">
        <v>0</v>
      </c>
      <c r="BY824">
        <v>0</v>
      </c>
      <c r="BZ824">
        <v>0</v>
      </c>
      <c r="CA824">
        <v>0</v>
      </c>
      <c r="CB824">
        <v>0</v>
      </c>
      <c r="CC824">
        <v>0</v>
      </c>
      <c r="CD824">
        <v>0</v>
      </c>
      <c r="CE824">
        <v>0</v>
      </c>
      <c r="CF824">
        <v>0</v>
      </c>
      <c r="CG824">
        <v>0</v>
      </c>
      <c r="CH824">
        <v>0</v>
      </c>
      <c r="CI824">
        <v>0</v>
      </c>
      <c r="CJ824">
        <v>0</v>
      </c>
      <c r="CK824">
        <v>0</v>
      </c>
      <c r="CL824">
        <v>0</v>
      </c>
      <c r="CM824">
        <v>0</v>
      </c>
      <c r="CR824" t="s">
        <v>2325</v>
      </c>
      <c r="CS824" s="1369" t="str">
        <f>INDEX([8]Sheet1!$H:$H,MATCH(CR:CR,[8]Sheet1!$AU:$AU,0))</f>
        <v>Asset Management</v>
      </c>
    </row>
    <row r="825" spans="1:97" x14ac:dyDescent="0.2">
      <c r="A825" t="s">
        <v>3528</v>
      </c>
      <c r="B825">
        <v>878</v>
      </c>
      <c r="C825" t="s">
        <v>3528</v>
      </c>
      <c r="D825">
        <v>41609</v>
      </c>
      <c r="E825" t="s">
        <v>3529</v>
      </c>
      <c r="F825" t="s">
        <v>2364</v>
      </c>
      <c r="G825" t="s">
        <v>2364</v>
      </c>
      <c r="H825" t="s">
        <v>2365</v>
      </c>
      <c r="I825" t="s">
        <v>2365</v>
      </c>
      <c r="J825" t="s">
        <v>2365</v>
      </c>
      <c r="K825" t="s">
        <v>2365</v>
      </c>
      <c r="L825">
        <v>1200</v>
      </c>
      <c r="M825" t="s">
        <v>1480</v>
      </c>
      <c r="N825">
        <v>1204</v>
      </c>
      <c r="O825" t="s">
        <v>1487</v>
      </c>
      <c r="P825" t="s">
        <v>2366</v>
      </c>
      <c r="Q825" t="s">
        <v>2364</v>
      </c>
      <c r="R825" t="s">
        <v>2364</v>
      </c>
      <c r="S825" t="s">
        <v>553</v>
      </c>
      <c r="T825" t="s">
        <v>2175</v>
      </c>
      <c r="U825" t="s">
        <v>2366</v>
      </c>
      <c r="V825" t="s">
        <v>2366</v>
      </c>
      <c r="W825" t="s">
        <v>2366</v>
      </c>
      <c r="X825" t="s">
        <v>2366</v>
      </c>
      <c r="Y825" t="s">
        <v>2365</v>
      </c>
      <c r="Z825" t="s">
        <v>2365</v>
      </c>
      <c r="AA825" t="s">
        <v>2365</v>
      </c>
      <c r="AB825" t="s">
        <v>2365</v>
      </c>
      <c r="AC825" s="813" t="s">
        <v>2365</v>
      </c>
      <c r="AD825" s="813" t="s">
        <v>2365</v>
      </c>
      <c r="AE825" s="813" t="s">
        <v>2365</v>
      </c>
      <c r="AF825" t="s">
        <v>2365</v>
      </c>
      <c r="AG825" t="s">
        <v>2365</v>
      </c>
      <c r="AH825" t="s">
        <v>2365</v>
      </c>
      <c r="AI825" t="s">
        <v>2365</v>
      </c>
      <c r="AJ825" t="s">
        <v>2365</v>
      </c>
      <c r="AK825">
        <v>146</v>
      </c>
      <c r="AL825" t="s">
        <v>1199</v>
      </c>
      <c r="AM825">
        <v>146</v>
      </c>
      <c r="AN825" t="s">
        <v>1199</v>
      </c>
      <c r="AR825" t="s">
        <v>2365</v>
      </c>
      <c r="AS825" t="s">
        <v>2365</v>
      </c>
      <c r="AT825" t="s">
        <v>2365</v>
      </c>
      <c r="AU825" t="s">
        <v>2365</v>
      </c>
      <c r="AV825" t="s">
        <v>2365</v>
      </c>
      <c r="AW825" t="s">
        <v>2365</v>
      </c>
      <c r="AX825" t="s">
        <v>2365</v>
      </c>
      <c r="AY825" t="s">
        <v>2365</v>
      </c>
      <c r="AZ825" t="s">
        <v>2365</v>
      </c>
      <c r="BA825" t="s">
        <v>2365</v>
      </c>
      <c r="BB825" t="s">
        <v>2365</v>
      </c>
      <c r="BC825" t="s">
        <v>2365</v>
      </c>
      <c r="BD825" t="s">
        <v>2366</v>
      </c>
      <c r="BE825" t="s">
        <v>2365</v>
      </c>
      <c r="BF825" t="s">
        <v>2365</v>
      </c>
      <c r="BG825" t="s">
        <v>2365</v>
      </c>
      <c r="BH825" t="s">
        <v>2365</v>
      </c>
      <c r="BI825" t="s">
        <v>2366</v>
      </c>
      <c r="BJ825" t="s">
        <v>2365</v>
      </c>
      <c r="BK825" t="s">
        <v>2365</v>
      </c>
      <c r="BL825" t="s">
        <v>2365</v>
      </c>
      <c r="BM825" t="s">
        <v>2365</v>
      </c>
      <c r="BO825">
        <v>1</v>
      </c>
      <c r="BP825">
        <v>11</v>
      </c>
      <c r="BQ825" t="s">
        <v>2369</v>
      </c>
      <c r="BR825" t="s">
        <v>1487</v>
      </c>
      <c r="BU825">
        <v>0</v>
      </c>
      <c r="BV825">
        <v>0</v>
      </c>
      <c r="BW825">
        <v>0</v>
      </c>
      <c r="BX825">
        <v>0</v>
      </c>
      <c r="BY825">
        <v>0</v>
      </c>
      <c r="BZ825">
        <v>0</v>
      </c>
      <c r="CA825">
        <v>0</v>
      </c>
      <c r="CB825">
        <v>0</v>
      </c>
      <c r="CC825">
        <v>0</v>
      </c>
      <c r="CD825">
        <v>0</v>
      </c>
      <c r="CE825">
        <v>0</v>
      </c>
      <c r="CF825">
        <v>0</v>
      </c>
      <c r="CG825">
        <v>0</v>
      </c>
      <c r="CH825">
        <v>0</v>
      </c>
      <c r="CI825">
        <v>0</v>
      </c>
      <c r="CJ825">
        <v>0</v>
      </c>
      <c r="CK825">
        <v>0</v>
      </c>
      <c r="CL825">
        <v>0</v>
      </c>
      <c r="CM825">
        <v>0</v>
      </c>
      <c r="CR825" t="s">
        <v>2325</v>
      </c>
      <c r="CS825" s="1369" t="str">
        <f>INDEX([8]Sheet1!$H:$H,MATCH(CR:CR,[8]Sheet1!$AU:$AU,0))</f>
        <v>Asset Management</v>
      </c>
    </row>
    <row r="826" spans="1:97" x14ac:dyDescent="0.2">
      <c r="A826" t="s">
        <v>3530</v>
      </c>
      <c r="B826">
        <v>879</v>
      </c>
      <c r="C826" t="s">
        <v>3530</v>
      </c>
      <c r="D826">
        <v>41610</v>
      </c>
      <c r="E826" t="s">
        <v>3531</v>
      </c>
      <c r="F826" t="s">
        <v>2364</v>
      </c>
      <c r="G826" t="s">
        <v>2364</v>
      </c>
      <c r="H826" t="s">
        <v>2365</v>
      </c>
      <c r="I826" t="s">
        <v>2365</v>
      </c>
      <c r="J826" t="s">
        <v>2365</v>
      </c>
      <c r="K826" t="s">
        <v>2365</v>
      </c>
      <c r="L826">
        <v>1200</v>
      </c>
      <c r="M826" t="s">
        <v>1480</v>
      </c>
      <c r="N826">
        <v>1204</v>
      </c>
      <c r="O826" t="s">
        <v>1487</v>
      </c>
      <c r="P826" t="s">
        <v>2366</v>
      </c>
      <c r="Q826" t="s">
        <v>2364</v>
      </c>
      <c r="R826" t="s">
        <v>2364</v>
      </c>
      <c r="S826" t="s">
        <v>553</v>
      </c>
      <c r="T826" t="s">
        <v>2175</v>
      </c>
      <c r="U826">
        <v>140</v>
      </c>
      <c r="V826" t="s">
        <v>693</v>
      </c>
      <c r="W826">
        <v>140</v>
      </c>
      <c r="X826" t="s">
        <v>693</v>
      </c>
      <c r="Y826" t="s">
        <v>2365</v>
      </c>
      <c r="Z826" t="s">
        <v>2365</v>
      </c>
      <c r="AA826" t="s">
        <v>2365</v>
      </c>
      <c r="AB826" t="s">
        <v>2365</v>
      </c>
      <c r="AC826" s="813" t="s">
        <v>2365</v>
      </c>
      <c r="AD826" s="813" t="s">
        <v>2365</v>
      </c>
      <c r="AE826" s="813" t="s">
        <v>2365</v>
      </c>
      <c r="AF826" t="s">
        <v>2365</v>
      </c>
      <c r="AG826" t="s">
        <v>2365</v>
      </c>
      <c r="AH826" t="s">
        <v>2365</v>
      </c>
      <c r="AI826" t="s">
        <v>2365</v>
      </c>
      <c r="AJ826" t="s">
        <v>2365</v>
      </c>
      <c r="AK826" t="s">
        <v>2366</v>
      </c>
      <c r="AL826" t="s">
        <v>2366</v>
      </c>
      <c r="AM826" t="s">
        <v>2366</v>
      </c>
      <c r="AN826" t="s">
        <v>2366</v>
      </c>
      <c r="AR826" t="s">
        <v>2365</v>
      </c>
      <c r="AS826" t="s">
        <v>2365</v>
      </c>
      <c r="AT826" t="s">
        <v>2365</v>
      </c>
      <c r="AU826" t="s">
        <v>2365</v>
      </c>
      <c r="AV826" t="s">
        <v>2365</v>
      </c>
      <c r="AW826" t="s">
        <v>2365</v>
      </c>
      <c r="AX826" t="s">
        <v>2365</v>
      </c>
      <c r="AY826" t="s">
        <v>2365</v>
      </c>
      <c r="AZ826" t="s">
        <v>2365</v>
      </c>
      <c r="BA826" t="s">
        <v>2365</v>
      </c>
      <c r="BB826" t="s">
        <v>2365</v>
      </c>
      <c r="BC826" t="s">
        <v>2365</v>
      </c>
      <c r="BD826" t="s">
        <v>2366</v>
      </c>
      <c r="BE826" t="s">
        <v>2365</v>
      </c>
      <c r="BF826" t="s">
        <v>2365</v>
      </c>
      <c r="BG826" t="s">
        <v>2365</v>
      </c>
      <c r="BH826" t="s">
        <v>2365</v>
      </c>
      <c r="BI826" t="s">
        <v>2366</v>
      </c>
      <c r="BJ826" t="s">
        <v>2365</v>
      </c>
      <c r="BK826" t="s">
        <v>2365</v>
      </c>
      <c r="BL826" t="s">
        <v>2365</v>
      </c>
      <c r="BM826" t="s">
        <v>2365</v>
      </c>
      <c r="BO826">
        <v>1</v>
      </c>
      <c r="BP826">
        <v>11</v>
      </c>
      <c r="BQ826" t="s">
        <v>2369</v>
      </c>
      <c r="BR826" t="s">
        <v>1487</v>
      </c>
      <c r="BU826">
        <v>0</v>
      </c>
      <c r="BV826">
        <v>0</v>
      </c>
      <c r="BW826">
        <v>0</v>
      </c>
      <c r="BX826">
        <v>0</v>
      </c>
      <c r="BY826">
        <v>0</v>
      </c>
      <c r="BZ826">
        <v>0</v>
      </c>
      <c r="CA826">
        <v>0</v>
      </c>
      <c r="CB826">
        <v>0</v>
      </c>
      <c r="CC826">
        <v>0</v>
      </c>
      <c r="CD826">
        <v>0</v>
      </c>
      <c r="CE826">
        <v>0</v>
      </c>
      <c r="CF826">
        <v>0</v>
      </c>
      <c r="CG826">
        <v>0</v>
      </c>
      <c r="CH826">
        <v>0</v>
      </c>
      <c r="CI826">
        <v>0</v>
      </c>
      <c r="CJ826">
        <v>0</v>
      </c>
      <c r="CK826">
        <v>0</v>
      </c>
      <c r="CL826">
        <v>0</v>
      </c>
      <c r="CM826">
        <v>0</v>
      </c>
      <c r="CR826" t="s">
        <v>2324</v>
      </c>
      <c r="CS826" s="1369" t="str">
        <f>INDEX([8]Sheet1!$H:$H,MATCH(CR:CR,[8]Sheet1!$AU:$AU,0))</f>
        <v>Finance</v>
      </c>
    </row>
    <row r="827" spans="1:97" x14ac:dyDescent="0.2">
      <c r="A827" t="s">
        <v>3532</v>
      </c>
      <c r="B827">
        <v>880</v>
      </c>
      <c r="C827" t="s">
        <v>3532</v>
      </c>
      <c r="D827">
        <v>41611</v>
      </c>
      <c r="E827" t="s">
        <v>3533</v>
      </c>
      <c r="F827" t="s">
        <v>2364</v>
      </c>
      <c r="G827" t="s">
        <v>2364</v>
      </c>
      <c r="H827" t="s">
        <v>2365</v>
      </c>
      <c r="I827" t="s">
        <v>2365</v>
      </c>
      <c r="J827" t="s">
        <v>2365</v>
      </c>
      <c r="K827" t="s">
        <v>2365</v>
      </c>
      <c r="L827">
        <v>1200</v>
      </c>
      <c r="M827" t="s">
        <v>1480</v>
      </c>
      <c r="N827">
        <v>1204</v>
      </c>
      <c r="O827" t="s">
        <v>1487</v>
      </c>
      <c r="P827" t="s">
        <v>2366</v>
      </c>
      <c r="Q827" t="s">
        <v>2364</v>
      </c>
      <c r="R827" t="s">
        <v>2364</v>
      </c>
      <c r="S827" t="s">
        <v>553</v>
      </c>
      <c r="T827" t="s">
        <v>2175</v>
      </c>
      <c r="U827" t="s">
        <v>2366</v>
      </c>
      <c r="V827" t="s">
        <v>2366</v>
      </c>
      <c r="W827" t="s">
        <v>2366</v>
      </c>
      <c r="X827" t="s">
        <v>2366</v>
      </c>
      <c r="Y827" t="s">
        <v>2365</v>
      </c>
      <c r="Z827" t="s">
        <v>2365</v>
      </c>
      <c r="AA827" t="s">
        <v>2365</v>
      </c>
      <c r="AB827" t="s">
        <v>2365</v>
      </c>
      <c r="AC827" s="813" t="s">
        <v>2365</v>
      </c>
      <c r="AD827" s="813" t="s">
        <v>2365</v>
      </c>
      <c r="AE827" s="813" t="s">
        <v>2365</v>
      </c>
      <c r="AF827" t="s">
        <v>2365</v>
      </c>
      <c r="AG827" t="s">
        <v>2365</v>
      </c>
      <c r="AH827" t="s">
        <v>2365</v>
      </c>
      <c r="AI827" t="s">
        <v>2365</v>
      </c>
      <c r="AJ827" t="s">
        <v>2365</v>
      </c>
      <c r="AK827">
        <v>146</v>
      </c>
      <c r="AL827" t="s">
        <v>1199</v>
      </c>
      <c r="AM827">
        <v>146</v>
      </c>
      <c r="AN827" t="s">
        <v>1199</v>
      </c>
      <c r="AR827" t="s">
        <v>2365</v>
      </c>
      <c r="AS827" t="s">
        <v>2365</v>
      </c>
      <c r="AT827" t="s">
        <v>2365</v>
      </c>
      <c r="AU827" t="s">
        <v>2365</v>
      </c>
      <c r="AV827" t="s">
        <v>2365</v>
      </c>
      <c r="AW827" t="s">
        <v>2365</v>
      </c>
      <c r="AX827" t="s">
        <v>2365</v>
      </c>
      <c r="AY827" t="s">
        <v>2365</v>
      </c>
      <c r="AZ827" t="s">
        <v>2365</v>
      </c>
      <c r="BA827" t="s">
        <v>2365</v>
      </c>
      <c r="BB827" t="s">
        <v>2365</v>
      </c>
      <c r="BC827" t="s">
        <v>2365</v>
      </c>
      <c r="BD827" t="s">
        <v>2366</v>
      </c>
      <c r="BE827" t="s">
        <v>2365</v>
      </c>
      <c r="BF827" t="s">
        <v>2365</v>
      </c>
      <c r="BG827" t="s">
        <v>2365</v>
      </c>
      <c r="BH827" t="s">
        <v>2365</v>
      </c>
      <c r="BI827" t="s">
        <v>2366</v>
      </c>
      <c r="BJ827" t="s">
        <v>2365</v>
      </c>
      <c r="BK827" t="s">
        <v>2365</v>
      </c>
      <c r="BL827" t="s">
        <v>2365</v>
      </c>
      <c r="BM827" t="s">
        <v>2365</v>
      </c>
      <c r="BO827">
        <v>1</v>
      </c>
      <c r="BP827">
        <v>11</v>
      </c>
      <c r="BQ827" t="s">
        <v>2369</v>
      </c>
      <c r="BR827" t="s">
        <v>1487</v>
      </c>
      <c r="BU827">
        <v>0</v>
      </c>
      <c r="BV827">
        <v>0</v>
      </c>
      <c r="BW827">
        <v>0</v>
      </c>
      <c r="BX827">
        <v>0</v>
      </c>
      <c r="BY827">
        <v>0</v>
      </c>
      <c r="BZ827">
        <v>0</v>
      </c>
      <c r="CA827">
        <v>0</v>
      </c>
      <c r="CB827">
        <v>0</v>
      </c>
      <c r="CC827">
        <v>0</v>
      </c>
      <c r="CD827">
        <v>0</v>
      </c>
      <c r="CE827">
        <v>0</v>
      </c>
      <c r="CF827">
        <v>0</v>
      </c>
      <c r="CG827">
        <v>0</v>
      </c>
      <c r="CH827">
        <v>0</v>
      </c>
      <c r="CI827">
        <v>0</v>
      </c>
      <c r="CJ827">
        <v>0</v>
      </c>
      <c r="CK827">
        <v>0</v>
      </c>
      <c r="CL827">
        <v>0</v>
      </c>
      <c r="CM827">
        <v>0</v>
      </c>
      <c r="CR827" t="s">
        <v>2324</v>
      </c>
      <c r="CS827" s="1369" t="str">
        <f>INDEX([8]Sheet1!$H:$H,MATCH(CR:CR,[8]Sheet1!$AU:$AU,0))</f>
        <v>Finance</v>
      </c>
    </row>
    <row r="828" spans="1:97" x14ac:dyDescent="0.2">
      <c r="A828" t="s">
        <v>3534</v>
      </c>
      <c r="B828">
        <v>881</v>
      </c>
      <c r="C828" t="s">
        <v>3534</v>
      </c>
      <c r="D828">
        <v>41612</v>
      </c>
      <c r="E828" t="s">
        <v>3535</v>
      </c>
      <c r="F828" t="s">
        <v>2364</v>
      </c>
      <c r="G828" t="s">
        <v>2364</v>
      </c>
      <c r="H828" t="s">
        <v>2365</v>
      </c>
      <c r="I828" t="s">
        <v>2365</v>
      </c>
      <c r="J828" t="s">
        <v>2365</v>
      </c>
      <c r="K828" t="s">
        <v>2365</v>
      </c>
      <c r="L828">
        <v>1200</v>
      </c>
      <c r="M828" t="s">
        <v>1480</v>
      </c>
      <c r="N828">
        <v>1204</v>
      </c>
      <c r="O828" t="s">
        <v>1487</v>
      </c>
      <c r="P828" t="s">
        <v>2366</v>
      </c>
      <c r="Q828" t="s">
        <v>2364</v>
      </c>
      <c r="R828" t="s">
        <v>2364</v>
      </c>
      <c r="S828" t="s">
        <v>553</v>
      </c>
      <c r="T828" t="s">
        <v>2175</v>
      </c>
      <c r="U828">
        <v>140</v>
      </c>
      <c r="V828" t="s">
        <v>693</v>
      </c>
      <c r="W828">
        <v>140</v>
      </c>
      <c r="X828" t="s">
        <v>693</v>
      </c>
      <c r="Y828" t="s">
        <v>2365</v>
      </c>
      <c r="Z828" t="s">
        <v>2365</v>
      </c>
      <c r="AA828" t="s">
        <v>2365</v>
      </c>
      <c r="AB828" t="s">
        <v>2365</v>
      </c>
      <c r="AC828" s="813" t="s">
        <v>2365</v>
      </c>
      <c r="AD828" s="813" t="s">
        <v>2365</v>
      </c>
      <c r="AE828" s="813" t="s">
        <v>2365</v>
      </c>
      <c r="AF828" t="s">
        <v>2365</v>
      </c>
      <c r="AG828" t="s">
        <v>2365</v>
      </c>
      <c r="AH828" t="s">
        <v>2365</v>
      </c>
      <c r="AI828" t="s">
        <v>2365</v>
      </c>
      <c r="AJ828" t="s">
        <v>2365</v>
      </c>
      <c r="AK828">
        <v>147</v>
      </c>
      <c r="AL828" t="s">
        <v>1200</v>
      </c>
      <c r="AM828">
        <v>147</v>
      </c>
      <c r="AN828" t="s">
        <v>1200</v>
      </c>
      <c r="AR828" t="s">
        <v>2365</v>
      </c>
      <c r="AS828" t="s">
        <v>2365</v>
      </c>
      <c r="AT828" t="s">
        <v>2365</v>
      </c>
      <c r="AU828" t="s">
        <v>2365</v>
      </c>
      <c r="AV828" t="s">
        <v>2365</v>
      </c>
      <c r="AW828" t="s">
        <v>2365</v>
      </c>
      <c r="AX828" t="s">
        <v>2365</v>
      </c>
      <c r="AY828" t="s">
        <v>2365</v>
      </c>
      <c r="AZ828" t="s">
        <v>2365</v>
      </c>
      <c r="BA828" t="s">
        <v>2365</v>
      </c>
      <c r="BB828" t="s">
        <v>2365</v>
      </c>
      <c r="BC828" t="s">
        <v>2365</v>
      </c>
      <c r="BD828" t="s">
        <v>2366</v>
      </c>
      <c r="BE828" t="s">
        <v>2365</v>
      </c>
      <c r="BF828" t="s">
        <v>2365</v>
      </c>
      <c r="BG828" t="s">
        <v>2365</v>
      </c>
      <c r="BH828" t="s">
        <v>2365</v>
      </c>
      <c r="BI828" t="s">
        <v>2366</v>
      </c>
      <c r="BJ828" t="s">
        <v>2365</v>
      </c>
      <c r="BK828" t="s">
        <v>2365</v>
      </c>
      <c r="BL828" t="s">
        <v>2365</v>
      </c>
      <c r="BM828" t="s">
        <v>2365</v>
      </c>
      <c r="BO828">
        <v>1</v>
      </c>
      <c r="BP828">
        <v>11</v>
      </c>
      <c r="BQ828" t="s">
        <v>2369</v>
      </c>
      <c r="BR828" t="s">
        <v>1487</v>
      </c>
      <c r="BU828">
        <v>0</v>
      </c>
      <c r="BV828">
        <v>0</v>
      </c>
      <c r="BW828">
        <v>0</v>
      </c>
      <c r="BX828">
        <v>0</v>
      </c>
      <c r="BY828">
        <v>0</v>
      </c>
      <c r="BZ828">
        <v>0</v>
      </c>
      <c r="CA828">
        <v>0</v>
      </c>
      <c r="CB828">
        <v>0</v>
      </c>
      <c r="CC828">
        <v>0</v>
      </c>
      <c r="CD828">
        <v>0</v>
      </c>
      <c r="CE828">
        <v>0</v>
      </c>
      <c r="CF828">
        <v>0</v>
      </c>
      <c r="CG828">
        <v>0</v>
      </c>
      <c r="CH828">
        <v>0</v>
      </c>
      <c r="CI828">
        <v>0</v>
      </c>
      <c r="CJ828">
        <v>0</v>
      </c>
      <c r="CK828">
        <v>0</v>
      </c>
      <c r="CL828">
        <v>0</v>
      </c>
      <c r="CM828">
        <v>0</v>
      </c>
      <c r="CR828" t="s">
        <v>2324</v>
      </c>
      <c r="CS828" s="1369" t="str">
        <f>INDEX([8]Sheet1!$H:$H,MATCH(CR:CR,[8]Sheet1!$AU:$AU,0))</f>
        <v>Finance</v>
      </c>
    </row>
    <row r="829" spans="1:97" x14ac:dyDescent="0.2">
      <c r="A829" t="s">
        <v>3536</v>
      </c>
      <c r="B829">
        <v>882</v>
      </c>
      <c r="C829" t="s">
        <v>3536</v>
      </c>
      <c r="D829">
        <v>41613</v>
      </c>
      <c r="E829" t="s">
        <v>3537</v>
      </c>
      <c r="F829" t="s">
        <v>2364</v>
      </c>
      <c r="G829" t="s">
        <v>2364</v>
      </c>
      <c r="H829" t="s">
        <v>2365</v>
      </c>
      <c r="I829" t="s">
        <v>2365</v>
      </c>
      <c r="J829" t="s">
        <v>2365</v>
      </c>
      <c r="K829" t="s">
        <v>2365</v>
      </c>
      <c r="L829">
        <v>1200</v>
      </c>
      <c r="M829" t="s">
        <v>1480</v>
      </c>
      <c r="N829">
        <v>1204</v>
      </c>
      <c r="O829" t="s">
        <v>1487</v>
      </c>
      <c r="P829" t="s">
        <v>2366</v>
      </c>
      <c r="Q829" t="s">
        <v>2364</v>
      </c>
      <c r="R829" t="s">
        <v>2364</v>
      </c>
      <c r="S829" t="s">
        <v>553</v>
      </c>
      <c r="T829" t="s">
        <v>2175</v>
      </c>
      <c r="U829" t="s">
        <v>2366</v>
      </c>
      <c r="V829" t="s">
        <v>2366</v>
      </c>
      <c r="W829" t="s">
        <v>2366</v>
      </c>
      <c r="X829" t="s">
        <v>2366</v>
      </c>
      <c r="Y829" t="s">
        <v>2365</v>
      </c>
      <c r="Z829" t="s">
        <v>2365</v>
      </c>
      <c r="AA829" t="s">
        <v>2365</v>
      </c>
      <c r="AB829" t="s">
        <v>2365</v>
      </c>
      <c r="AC829" s="813" t="s">
        <v>2365</v>
      </c>
      <c r="AD829" s="813" t="s">
        <v>2365</v>
      </c>
      <c r="AE829" s="813" t="s">
        <v>2365</v>
      </c>
      <c r="AF829" t="s">
        <v>2365</v>
      </c>
      <c r="AG829" t="s">
        <v>2365</v>
      </c>
      <c r="AH829" t="s">
        <v>2365</v>
      </c>
      <c r="AI829" t="s">
        <v>2365</v>
      </c>
      <c r="AJ829" t="s">
        <v>2365</v>
      </c>
      <c r="AK829">
        <v>146</v>
      </c>
      <c r="AL829" t="s">
        <v>1199</v>
      </c>
      <c r="AM829">
        <v>146</v>
      </c>
      <c r="AN829" t="s">
        <v>1199</v>
      </c>
      <c r="AR829" t="s">
        <v>2365</v>
      </c>
      <c r="AS829" t="s">
        <v>2365</v>
      </c>
      <c r="AT829" t="s">
        <v>2365</v>
      </c>
      <c r="AU829" t="s">
        <v>2365</v>
      </c>
      <c r="AV829" t="s">
        <v>2365</v>
      </c>
      <c r="AW829" t="s">
        <v>2365</v>
      </c>
      <c r="AX829" t="s">
        <v>2365</v>
      </c>
      <c r="AY829" t="s">
        <v>2365</v>
      </c>
      <c r="AZ829" t="s">
        <v>2365</v>
      </c>
      <c r="BA829" t="s">
        <v>2365</v>
      </c>
      <c r="BB829" t="s">
        <v>2365</v>
      </c>
      <c r="BC829" t="s">
        <v>2365</v>
      </c>
      <c r="BD829" t="s">
        <v>2366</v>
      </c>
      <c r="BE829" t="s">
        <v>2365</v>
      </c>
      <c r="BF829" t="s">
        <v>2365</v>
      </c>
      <c r="BG829" t="s">
        <v>2365</v>
      </c>
      <c r="BH829" t="s">
        <v>2365</v>
      </c>
      <c r="BI829" t="s">
        <v>2366</v>
      </c>
      <c r="BJ829" t="s">
        <v>2365</v>
      </c>
      <c r="BK829" t="s">
        <v>2365</v>
      </c>
      <c r="BL829" t="s">
        <v>2365</v>
      </c>
      <c r="BM829" t="s">
        <v>2365</v>
      </c>
      <c r="BO829">
        <v>1</v>
      </c>
      <c r="BP829">
        <v>11</v>
      </c>
      <c r="BQ829" t="s">
        <v>2369</v>
      </c>
      <c r="BR829" t="s">
        <v>1487</v>
      </c>
      <c r="BU829">
        <v>0</v>
      </c>
      <c r="BV829">
        <v>0</v>
      </c>
      <c r="BW829">
        <v>0</v>
      </c>
      <c r="BX829">
        <v>0</v>
      </c>
      <c r="BY829">
        <v>0</v>
      </c>
      <c r="BZ829">
        <v>0</v>
      </c>
      <c r="CA829">
        <v>0</v>
      </c>
      <c r="CB829">
        <v>0</v>
      </c>
      <c r="CC829">
        <v>0</v>
      </c>
      <c r="CD829">
        <v>0</v>
      </c>
      <c r="CE829">
        <v>0</v>
      </c>
      <c r="CF829">
        <v>0</v>
      </c>
      <c r="CG829">
        <v>0</v>
      </c>
      <c r="CH829">
        <v>0</v>
      </c>
      <c r="CI829">
        <v>0</v>
      </c>
      <c r="CJ829">
        <v>0</v>
      </c>
      <c r="CK829">
        <v>0</v>
      </c>
      <c r="CL829">
        <v>0</v>
      </c>
      <c r="CM829">
        <v>0</v>
      </c>
      <c r="CR829" t="s">
        <v>2324</v>
      </c>
      <c r="CS829" s="1369" t="str">
        <f>INDEX([8]Sheet1!$H:$H,MATCH(CR:CR,[8]Sheet1!$AU:$AU,0))</f>
        <v>Finance</v>
      </c>
    </row>
    <row r="830" spans="1:97" x14ac:dyDescent="0.2">
      <c r="A830" t="s">
        <v>3538</v>
      </c>
      <c r="B830">
        <v>883</v>
      </c>
      <c r="C830" t="s">
        <v>3538</v>
      </c>
      <c r="D830">
        <v>41614</v>
      </c>
      <c r="E830" t="s">
        <v>3539</v>
      </c>
      <c r="F830" t="s">
        <v>2364</v>
      </c>
      <c r="G830" t="s">
        <v>2364</v>
      </c>
      <c r="H830" t="s">
        <v>2365</v>
      </c>
      <c r="I830" t="s">
        <v>2365</v>
      </c>
      <c r="J830" t="s">
        <v>2365</v>
      </c>
      <c r="K830" t="s">
        <v>2365</v>
      </c>
      <c r="L830">
        <v>1200</v>
      </c>
      <c r="M830" t="s">
        <v>1480</v>
      </c>
      <c r="N830">
        <v>1204</v>
      </c>
      <c r="O830" t="s">
        <v>1487</v>
      </c>
      <c r="P830" t="s">
        <v>2366</v>
      </c>
      <c r="Q830" t="s">
        <v>2364</v>
      </c>
      <c r="R830" t="s">
        <v>2364</v>
      </c>
      <c r="S830" t="s">
        <v>553</v>
      </c>
      <c r="T830" t="s">
        <v>2175</v>
      </c>
      <c r="U830">
        <v>140</v>
      </c>
      <c r="V830" t="s">
        <v>693</v>
      </c>
      <c r="W830">
        <v>140</v>
      </c>
      <c r="X830" t="s">
        <v>693</v>
      </c>
      <c r="Y830" t="s">
        <v>2365</v>
      </c>
      <c r="Z830" t="s">
        <v>2365</v>
      </c>
      <c r="AA830" t="s">
        <v>2365</v>
      </c>
      <c r="AB830" t="s">
        <v>2365</v>
      </c>
      <c r="AC830" s="813" t="s">
        <v>2365</v>
      </c>
      <c r="AD830" s="813" t="s">
        <v>2365</v>
      </c>
      <c r="AE830" s="813" t="s">
        <v>2365</v>
      </c>
      <c r="AF830" t="s">
        <v>2365</v>
      </c>
      <c r="AG830" t="s">
        <v>2365</v>
      </c>
      <c r="AH830" t="s">
        <v>2365</v>
      </c>
      <c r="AI830" t="s">
        <v>2365</v>
      </c>
      <c r="AJ830" t="s">
        <v>2365</v>
      </c>
      <c r="AK830" t="s">
        <v>2366</v>
      </c>
      <c r="AL830" t="s">
        <v>2366</v>
      </c>
      <c r="AM830" t="s">
        <v>2366</v>
      </c>
      <c r="AN830" t="s">
        <v>2366</v>
      </c>
      <c r="AR830" t="s">
        <v>2365</v>
      </c>
      <c r="AS830" t="s">
        <v>2365</v>
      </c>
      <c r="AT830" t="s">
        <v>2365</v>
      </c>
      <c r="AU830" t="s">
        <v>2365</v>
      </c>
      <c r="AV830" t="s">
        <v>2365</v>
      </c>
      <c r="AW830" t="s">
        <v>2365</v>
      </c>
      <c r="AX830" t="s">
        <v>2365</v>
      </c>
      <c r="AY830" t="s">
        <v>2365</v>
      </c>
      <c r="AZ830" t="s">
        <v>2365</v>
      </c>
      <c r="BA830" t="s">
        <v>2365</v>
      </c>
      <c r="BB830" t="s">
        <v>2365</v>
      </c>
      <c r="BC830" t="s">
        <v>2365</v>
      </c>
      <c r="BD830" t="s">
        <v>2366</v>
      </c>
      <c r="BE830" t="s">
        <v>2365</v>
      </c>
      <c r="BF830" t="s">
        <v>2365</v>
      </c>
      <c r="BG830" t="s">
        <v>2365</v>
      </c>
      <c r="BH830" t="s">
        <v>2365</v>
      </c>
      <c r="BI830" t="s">
        <v>2366</v>
      </c>
      <c r="BJ830" t="s">
        <v>2365</v>
      </c>
      <c r="BK830" t="s">
        <v>2365</v>
      </c>
      <c r="BL830" t="s">
        <v>2365</v>
      </c>
      <c r="BM830" t="s">
        <v>2365</v>
      </c>
      <c r="BO830">
        <v>1</v>
      </c>
      <c r="BP830">
        <v>11</v>
      </c>
      <c r="BQ830" t="s">
        <v>2369</v>
      </c>
      <c r="BR830" t="s">
        <v>1487</v>
      </c>
      <c r="BU830">
        <v>0</v>
      </c>
      <c r="BV830">
        <v>0</v>
      </c>
      <c r="BW830">
        <v>0</v>
      </c>
      <c r="BX830">
        <v>0</v>
      </c>
      <c r="BY830">
        <v>0</v>
      </c>
      <c r="BZ830">
        <v>0</v>
      </c>
      <c r="CA830">
        <v>0</v>
      </c>
      <c r="CB830">
        <v>0</v>
      </c>
      <c r="CC830">
        <v>0</v>
      </c>
      <c r="CD830">
        <v>0</v>
      </c>
      <c r="CE830">
        <v>0</v>
      </c>
      <c r="CF830">
        <v>0</v>
      </c>
      <c r="CG830">
        <v>0</v>
      </c>
      <c r="CH830">
        <v>0</v>
      </c>
      <c r="CI830">
        <v>0</v>
      </c>
      <c r="CJ830">
        <v>0</v>
      </c>
      <c r="CK830">
        <v>0</v>
      </c>
      <c r="CL830">
        <v>0</v>
      </c>
      <c r="CM830">
        <v>0</v>
      </c>
      <c r="CR830" t="s">
        <v>2324</v>
      </c>
      <c r="CS830" s="1369" t="str">
        <f>INDEX([8]Sheet1!$H:$H,MATCH(CR:CR,[8]Sheet1!$AU:$AU,0))</f>
        <v>Finance</v>
      </c>
    </row>
    <row r="831" spans="1:97" x14ac:dyDescent="0.2">
      <c r="A831" t="s">
        <v>3540</v>
      </c>
      <c r="B831">
        <v>884</v>
      </c>
      <c r="C831" t="s">
        <v>3540</v>
      </c>
      <c r="D831">
        <v>41615</v>
      </c>
      <c r="E831" t="s">
        <v>3541</v>
      </c>
      <c r="F831" t="s">
        <v>2364</v>
      </c>
      <c r="G831" t="s">
        <v>2364</v>
      </c>
      <c r="H831" t="s">
        <v>2365</v>
      </c>
      <c r="I831" t="s">
        <v>2365</v>
      </c>
      <c r="J831" t="s">
        <v>2365</v>
      </c>
      <c r="K831" t="s">
        <v>2365</v>
      </c>
      <c r="L831">
        <v>1200</v>
      </c>
      <c r="M831" t="s">
        <v>1480</v>
      </c>
      <c r="N831">
        <v>1204</v>
      </c>
      <c r="O831" t="s">
        <v>1487</v>
      </c>
      <c r="P831" t="s">
        <v>2366</v>
      </c>
      <c r="Q831" t="s">
        <v>2364</v>
      </c>
      <c r="R831" t="s">
        <v>2364</v>
      </c>
      <c r="S831" t="s">
        <v>553</v>
      </c>
      <c r="T831" t="s">
        <v>2175</v>
      </c>
      <c r="U831" t="s">
        <v>2366</v>
      </c>
      <c r="V831" t="s">
        <v>2366</v>
      </c>
      <c r="W831" t="s">
        <v>2366</v>
      </c>
      <c r="X831" t="s">
        <v>2366</v>
      </c>
      <c r="Y831" t="s">
        <v>2365</v>
      </c>
      <c r="Z831" t="s">
        <v>2365</v>
      </c>
      <c r="AA831" t="s">
        <v>2365</v>
      </c>
      <c r="AB831" t="s">
        <v>2365</v>
      </c>
      <c r="AC831" s="813" t="s">
        <v>2365</v>
      </c>
      <c r="AD831" s="813" t="s">
        <v>2365</v>
      </c>
      <c r="AE831" s="813" t="s">
        <v>2365</v>
      </c>
      <c r="AF831" t="s">
        <v>2365</v>
      </c>
      <c r="AG831" t="s">
        <v>2365</v>
      </c>
      <c r="AH831" t="s">
        <v>2365</v>
      </c>
      <c r="AI831" t="s">
        <v>2365</v>
      </c>
      <c r="AJ831" t="s">
        <v>2365</v>
      </c>
      <c r="AK831">
        <v>146</v>
      </c>
      <c r="AL831" t="s">
        <v>1199</v>
      </c>
      <c r="AM831">
        <v>146</v>
      </c>
      <c r="AN831" t="s">
        <v>1199</v>
      </c>
      <c r="AR831" t="s">
        <v>2365</v>
      </c>
      <c r="AS831" t="s">
        <v>2365</v>
      </c>
      <c r="AT831" t="s">
        <v>2365</v>
      </c>
      <c r="AU831" t="s">
        <v>2365</v>
      </c>
      <c r="AV831" t="s">
        <v>2365</v>
      </c>
      <c r="AW831" t="s">
        <v>2365</v>
      </c>
      <c r="AX831" t="s">
        <v>2365</v>
      </c>
      <c r="AY831" t="s">
        <v>2365</v>
      </c>
      <c r="AZ831" t="s">
        <v>2365</v>
      </c>
      <c r="BA831" t="s">
        <v>2365</v>
      </c>
      <c r="BB831" t="s">
        <v>2365</v>
      </c>
      <c r="BC831" t="s">
        <v>2365</v>
      </c>
      <c r="BD831" t="s">
        <v>2366</v>
      </c>
      <c r="BE831" t="s">
        <v>2365</v>
      </c>
      <c r="BF831" t="s">
        <v>2365</v>
      </c>
      <c r="BG831" t="s">
        <v>2365</v>
      </c>
      <c r="BH831" t="s">
        <v>2365</v>
      </c>
      <c r="BI831" t="s">
        <v>2366</v>
      </c>
      <c r="BJ831" t="s">
        <v>2365</v>
      </c>
      <c r="BK831" t="s">
        <v>2365</v>
      </c>
      <c r="BL831" t="s">
        <v>2365</v>
      </c>
      <c r="BM831" t="s">
        <v>2365</v>
      </c>
      <c r="BO831">
        <v>1</v>
      </c>
      <c r="BP831">
        <v>11</v>
      </c>
      <c r="BQ831" t="s">
        <v>2369</v>
      </c>
      <c r="BR831" t="s">
        <v>1487</v>
      </c>
      <c r="BU831">
        <v>0</v>
      </c>
      <c r="BV831">
        <v>0</v>
      </c>
      <c r="BW831">
        <v>0</v>
      </c>
      <c r="BX831">
        <v>0</v>
      </c>
      <c r="BY831">
        <v>0</v>
      </c>
      <c r="BZ831">
        <v>0</v>
      </c>
      <c r="CA831">
        <v>0</v>
      </c>
      <c r="CB831">
        <v>0</v>
      </c>
      <c r="CC831">
        <v>0</v>
      </c>
      <c r="CD831">
        <v>0</v>
      </c>
      <c r="CE831">
        <v>0</v>
      </c>
      <c r="CF831">
        <v>0</v>
      </c>
      <c r="CG831">
        <v>0</v>
      </c>
      <c r="CH831">
        <v>0</v>
      </c>
      <c r="CI831">
        <v>0</v>
      </c>
      <c r="CJ831">
        <v>0</v>
      </c>
      <c r="CK831">
        <v>0</v>
      </c>
      <c r="CL831">
        <v>0</v>
      </c>
      <c r="CM831">
        <v>0</v>
      </c>
      <c r="CR831" t="s">
        <v>2324</v>
      </c>
      <c r="CS831" s="1369" t="str">
        <f>INDEX([8]Sheet1!$H:$H,MATCH(CR:CR,[8]Sheet1!$AU:$AU,0))</f>
        <v>Finance</v>
      </c>
    </row>
    <row r="832" spans="1:97" x14ac:dyDescent="0.2">
      <c r="A832" t="s">
        <v>3542</v>
      </c>
      <c r="B832">
        <v>885</v>
      </c>
      <c r="C832" t="s">
        <v>3542</v>
      </c>
      <c r="D832">
        <v>41616</v>
      </c>
      <c r="E832" t="s">
        <v>3543</v>
      </c>
      <c r="F832" t="s">
        <v>2364</v>
      </c>
      <c r="G832" t="s">
        <v>2364</v>
      </c>
      <c r="H832" t="s">
        <v>2365</v>
      </c>
      <c r="I832" t="s">
        <v>2365</v>
      </c>
      <c r="J832" t="s">
        <v>2365</v>
      </c>
      <c r="K832" t="s">
        <v>2365</v>
      </c>
      <c r="L832">
        <v>1200</v>
      </c>
      <c r="M832" t="s">
        <v>1480</v>
      </c>
      <c r="N832">
        <v>1204</v>
      </c>
      <c r="O832" t="s">
        <v>1487</v>
      </c>
      <c r="P832" t="s">
        <v>2366</v>
      </c>
      <c r="Q832" t="s">
        <v>2364</v>
      </c>
      <c r="R832" t="s">
        <v>2364</v>
      </c>
      <c r="S832" t="s">
        <v>553</v>
      </c>
      <c r="T832" t="s">
        <v>2175</v>
      </c>
      <c r="U832">
        <v>140</v>
      </c>
      <c r="V832" t="s">
        <v>693</v>
      </c>
      <c r="W832">
        <v>140</v>
      </c>
      <c r="X832" t="s">
        <v>693</v>
      </c>
      <c r="Y832" t="s">
        <v>2365</v>
      </c>
      <c r="Z832" t="s">
        <v>2365</v>
      </c>
      <c r="AA832" t="s">
        <v>2365</v>
      </c>
      <c r="AB832" t="s">
        <v>2365</v>
      </c>
      <c r="AC832" s="813" t="s">
        <v>2365</v>
      </c>
      <c r="AD832" s="813" t="s">
        <v>2365</v>
      </c>
      <c r="AE832" s="813" t="s">
        <v>2365</v>
      </c>
      <c r="AF832" t="s">
        <v>2365</v>
      </c>
      <c r="AG832" t="s">
        <v>2365</v>
      </c>
      <c r="AH832" t="s">
        <v>2365</v>
      </c>
      <c r="AI832" t="s">
        <v>2365</v>
      </c>
      <c r="AJ832" t="s">
        <v>2365</v>
      </c>
      <c r="AK832" t="s">
        <v>2366</v>
      </c>
      <c r="AL832" t="s">
        <v>2366</v>
      </c>
      <c r="AM832" t="s">
        <v>2366</v>
      </c>
      <c r="AN832" t="s">
        <v>2366</v>
      </c>
      <c r="AR832" t="s">
        <v>2365</v>
      </c>
      <c r="AS832" t="s">
        <v>2365</v>
      </c>
      <c r="AT832" t="s">
        <v>2365</v>
      </c>
      <c r="AU832" t="s">
        <v>2365</v>
      </c>
      <c r="AV832" t="s">
        <v>2365</v>
      </c>
      <c r="AW832" t="s">
        <v>2365</v>
      </c>
      <c r="AX832" t="s">
        <v>2365</v>
      </c>
      <c r="AY832" t="s">
        <v>2365</v>
      </c>
      <c r="AZ832" t="s">
        <v>2365</v>
      </c>
      <c r="BA832" t="s">
        <v>2365</v>
      </c>
      <c r="BB832" t="s">
        <v>2365</v>
      </c>
      <c r="BC832" t="s">
        <v>2365</v>
      </c>
      <c r="BD832" t="s">
        <v>2366</v>
      </c>
      <c r="BE832" t="s">
        <v>2365</v>
      </c>
      <c r="BF832" t="s">
        <v>2365</v>
      </c>
      <c r="BG832" t="s">
        <v>2365</v>
      </c>
      <c r="BH832" t="s">
        <v>2365</v>
      </c>
      <c r="BI832" t="s">
        <v>2366</v>
      </c>
      <c r="BJ832" t="s">
        <v>2365</v>
      </c>
      <c r="BK832" t="s">
        <v>2365</v>
      </c>
      <c r="BL832" t="s">
        <v>2365</v>
      </c>
      <c r="BM832" t="s">
        <v>2365</v>
      </c>
      <c r="BO832">
        <v>1</v>
      </c>
      <c r="BP832">
        <v>11</v>
      </c>
      <c r="BQ832" t="s">
        <v>2369</v>
      </c>
      <c r="BR832" t="s">
        <v>1487</v>
      </c>
      <c r="BU832">
        <v>0</v>
      </c>
      <c r="BV832">
        <v>0</v>
      </c>
      <c r="BW832">
        <v>0</v>
      </c>
      <c r="BX832">
        <v>0</v>
      </c>
      <c r="BY832">
        <v>0</v>
      </c>
      <c r="BZ832">
        <v>0</v>
      </c>
      <c r="CA832">
        <v>0</v>
      </c>
      <c r="CB832">
        <v>0</v>
      </c>
      <c r="CC832">
        <v>0</v>
      </c>
      <c r="CD832">
        <v>0</v>
      </c>
      <c r="CE832">
        <v>0</v>
      </c>
      <c r="CF832">
        <v>0</v>
      </c>
      <c r="CG832">
        <v>0</v>
      </c>
      <c r="CH832">
        <v>0</v>
      </c>
      <c r="CI832">
        <v>0</v>
      </c>
      <c r="CJ832">
        <v>0</v>
      </c>
      <c r="CK832">
        <v>0</v>
      </c>
      <c r="CL832">
        <v>0</v>
      </c>
      <c r="CM832">
        <v>0</v>
      </c>
      <c r="CR832" t="s">
        <v>2324</v>
      </c>
      <c r="CS832" s="1369" t="str">
        <f>INDEX([8]Sheet1!$H:$H,MATCH(CR:CR,[8]Sheet1!$AU:$AU,0))</f>
        <v>Finance</v>
      </c>
    </row>
    <row r="833" spans="1:97" x14ac:dyDescent="0.2">
      <c r="A833" t="s">
        <v>3544</v>
      </c>
      <c r="B833">
        <v>886</v>
      </c>
      <c r="C833" t="s">
        <v>3544</v>
      </c>
      <c r="D833">
        <v>41617</v>
      </c>
      <c r="E833" t="s">
        <v>3545</v>
      </c>
      <c r="F833" t="s">
        <v>2364</v>
      </c>
      <c r="G833" t="s">
        <v>2364</v>
      </c>
      <c r="H833" t="s">
        <v>2365</v>
      </c>
      <c r="I833" t="s">
        <v>2365</v>
      </c>
      <c r="J833" t="s">
        <v>2365</v>
      </c>
      <c r="K833" t="s">
        <v>2365</v>
      </c>
      <c r="L833">
        <v>1200</v>
      </c>
      <c r="M833" t="s">
        <v>1480</v>
      </c>
      <c r="N833">
        <v>1204</v>
      </c>
      <c r="O833" t="s">
        <v>1487</v>
      </c>
      <c r="P833" t="s">
        <v>2366</v>
      </c>
      <c r="Q833" t="s">
        <v>2364</v>
      </c>
      <c r="R833" t="s">
        <v>2364</v>
      </c>
      <c r="S833" t="s">
        <v>553</v>
      </c>
      <c r="T833" t="s">
        <v>2175</v>
      </c>
      <c r="U833">
        <v>140</v>
      </c>
      <c r="V833" t="s">
        <v>693</v>
      </c>
      <c r="W833">
        <v>140</v>
      </c>
      <c r="X833" t="s">
        <v>693</v>
      </c>
      <c r="Y833" t="s">
        <v>2365</v>
      </c>
      <c r="Z833" t="s">
        <v>2365</v>
      </c>
      <c r="AA833" t="s">
        <v>2365</v>
      </c>
      <c r="AB833" t="s">
        <v>2365</v>
      </c>
      <c r="AC833" s="813" t="s">
        <v>2365</v>
      </c>
      <c r="AD833" s="813" t="s">
        <v>2365</v>
      </c>
      <c r="AE833" s="813" t="s">
        <v>2365</v>
      </c>
      <c r="AF833" t="s">
        <v>2365</v>
      </c>
      <c r="AG833" t="s">
        <v>2365</v>
      </c>
      <c r="AH833" t="s">
        <v>2365</v>
      </c>
      <c r="AI833" t="s">
        <v>2365</v>
      </c>
      <c r="AJ833" t="s">
        <v>2365</v>
      </c>
      <c r="AK833" t="s">
        <v>2366</v>
      </c>
      <c r="AL833" t="s">
        <v>2366</v>
      </c>
      <c r="AM833" t="s">
        <v>2366</v>
      </c>
      <c r="AN833" t="s">
        <v>2366</v>
      </c>
      <c r="AR833" t="s">
        <v>2365</v>
      </c>
      <c r="AS833" t="s">
        <v>2365</v>
      </c>
      <c r="AT833" t="s">
        <v>2365</v>
      </c>
      <c r="AU833" t="s">
        <v>2365</v>
      </c>
      <c r="AV833" t="s">
        <v>2365</v>
      </c>
      <c r="AW833" t="s">
        <v>2365</v>
      </c>
      <c r="AX833" t="s">
        <v>2365</v>
      </c>
      <c r="AY833" t="s">
        <v>2365</v>
      </c>
      <c r="AZ833" t="s">
        <v>2365</v>
      </c>
      <c r="BA833" t="s">
        <v>2365</v>
      </c>
      <c r="BB833" t="s">
        <v>2365</v>
      </c>
      <c r="BC833" t="s">
        <v>2365</v>
      </c>
      <c r="BD833" t="s">
        <v>2366</v>
      </c>
      <c r="BE833" t="s">
        <v>2365</v>
      </c>
      <c r="BF833" t="s">
        <v>2365</v>
      </c>
      <c r="BG833" t="s">
        <v>2365</v>
      </c>
      <c r="BH833" t="s">
        <v>2365</v>
      </c>
      <c r="BI833" t="s">
        <v>2366</v>
      </c>
      <c r="BJ833" t="s">
        <v>2365</v>
      </c>
      <c r="BK833" t="s">
        <v>2365</v>
      </c>
      <c r="BL833" t="s">
        <v>2365</v>
      </c>
      <c r="BM833" t="s">
        <v>2365</v>
      </c>
      <c r="BO833">
        <v>1</v>
      </c>
      <c r="BP833">
        <v>11</v>
      </c>
      <c r="BQ833" t="s">
        <v>2369</v>
      </c>
      <c r="BR833" t="s">
        <v>1487</v>
      </c>
      <c r="BU833">
        <v>0</v>
      </c>
      <c r="BV833">
        <v>0</v>
      </c>
      <c r="BW833">
        <v>0</v>
      </c>
      <c r="BX833">
        <v>0</v>
      </c>
      <c r="BY833">
        <v>0</v>
      </c>
      <c r="BZ833">
        <v>0</v>
      </c>
      <c r="CA833">
        <v>0</v>
      </c>
      <c r="CB833">
        <v>0</v>
      </c>
      <c r="CC833">
        <v>0</v>
      </c>
      <c r="CD833">
        <v>0</v>
      </c>
      <c r="CE833">
        <v>0</v>
      </c>
      <c r="CF833">
        <v>0</v>
      </c>
      <c r="CG833">
        <v>0</v>
      </c>
      <c r="CH833">
        <v>0</v>
      </c>
      <c r="CI833">
        <v>0</v>
      </c>
      <c r="CJ833">
        <v>0</v>
      </c>
      <c r="CK833">
        <v>0</v>
      </c>
      <c r="CL833">
        <v>0</v>
      </c>
      <c r="CM833">
        <v>0</v>
      </c>
      <c r="CR833" t="s">
        <v>2324</v>
      </c>
      <c r="CS833" s="1369" t="str">
        <f>INDEX([8]Sheet1!$H:$H,MATCH(CR:CR,[8]Sheet1!$AU:$AU,0))</f>
        <v>Finance</v>
      </c>
    </row>
    <row r="834" spans="1:97" x14ac:dyDescent="0.2">
      <c r="A834" t="s">
        <v>3546</v>
      </c>
      <c r="B834">
        <v>887</v>
      </c>
      <c r="C834" t="s">
        <v>3546</v>
      </c>
      <c r="D834">
        <v>41618</v>
      </c>
      <c r="E834" t="s">
        <v>3547</v>
      </c>
      <c r="F834" t="s">
        <v>2364</v>
      </c>
      <c r="G834" t="s">
        <v>2364</v>
      </c>
      <c r="H834" t="s">
        <v>2365</v>
      </c>
      <c r="I834" t="s">
        <v>2365</v>
      </c>
      <c r="J834" t="s">
        <v>2365</v>
      </c>
      <c r="K834" t="s">
        <v>2365</v>
      </c>
      <c r="L834">
        <v>1200</v>
      </c>
      <c r="M834" t="s">
        <v>1480</v>
      </c>
      <c r="N834">
        <v>1204</v>
      </c>
      <c r="O834" t="s">
        <v>1487</v>
      </c>
      <c r="P834" t="s">
        <v>2366</v>
      </c>
      <c r="Q834" t="s">
        <v>2364</v>
      </c>
      <c r="R834" t="s">
        <v>2364</v>
      </c>
      <c r="S834" t="s">
        <v>553</v>
      </c>
      <c r="T834" t="s">
        <v>2175</v>
      </c>
      <c r="U834">
        <v>140</v>
      </c>
      <c r="V834" t="s">
        <v>693</v>
      </c>
      <c r="W834">
        <v>140</v>
      </c>
      <c r="X834" t="s">
        <v>693</v>
      </c>
      <c r="Y834" t="s">
        <v>2365</v>
      </c>
      <c r="Z834" t="s">
        <v>2365</v>
      </c>
      <c r="AA834" t="s">
        <v>2365</v>
      </c>
      <c r="AB834" t="s">
        <v>2365</v>
      </c>
      <c r="AC834" s="813" t="s">
        <v>2365</v>
      </c>
      <c r="AD834" s="813" t="s">
        <v>2365</v>
      </c>
      <c r="AE834" s="813" t="s">
        <v>2365</v>
      </c>
      <c r="AF834" t="s">
        <v>2365</v>
      </c>
      <c r="AG834" t="s">
        <v>2365</v>
      </c>
      <c r="AH834" t="s">
        <v>2365</v>
      </c>
      <c r="AI834" t="s">
        <v>2365</v>
      </c>
      <c r="AJ834" t="s">
        <v>2365</v>
      </c>
      <c r="AK834" t="s">
        <v>2366</v>
      </c>
      <c r="AL834" t="s">
        <v>2366</v>
      </c>
      <c r="AM834" t="s">
        <v>2366</v>
      </c>
      <c r="AN834" t="s">
        <v>2366</v>
      </c>
      <c r="AR834" t="s">
        <v>2365</v>
      </c>
      <c r="AS834" t="s">
        <v>2365</v>
      </c>
      <c r="AT834" t="s">
        <v>2365</v>
      </c>
      <c r="AU834" t="s">
        <v>2365</v>
      </c>
      <c r="AV834" t="s">
        <v>2365</v>
      </c>
      <c r="AW834" t="s">
        <v>2365</v>
      </c>
      <c r="AX834" t="s">
        <v>2365</v>
      </c>
      <c r="AY834" t="s">
        <v>2365</v>
      </c>
      <c r="AZ834" t="s">
        <v>2365</v>
      </c>
      <c r="BA834" t="s">
        <v>2365</v>
      </c>
      <c r="BB834" t="s">
        <v>2365</v>
      </c>
      <c r="BC834" t="s">
        <v>2365</v>
      </c>
      <c r="BD834" t="s">
        <v>2366</v>
      </c>
      <c r="BE834" t="s">
        <v>2365</v>
      </c>
      <c r="BF834" t="s">
        <v>2365</v>
      </c>
      <c r="BG834" t="s">
        <v>2365</v>
      </c>
      <c r="BH834" t="s">
        <v>2365</v>
      </c>
      <c r="BI834" t="s">
        <v>2366</v>
      </c>
      <c r="BJ834" t="s">
        <v>2365</v>
      </c>
      <c r="BK834" t="s">
        <v>2365</v>
      </c>
      <c r="BL834" t="s">
        <v>2365</v>
      </c>
      <c r="BM834" t="s">
        <v>2365</v>
      </c>
      <c r="BO834">
        <v>1</v>
      </c>
      <c r="BP834">
        <v>11</v>
      </c>
      <c r="BQ834" t="s">
        <v>2369</v>
      </c>
      <c r="BR834" t="s">
        <v>1487</v>
      </c>
      <c r="BU834">
        <v>0</v>
      </c>
      <c r="BV834">
        <v>0</v>
      </c>
      <c r="BW834">
        <v>0</v>
      </c>
      <c r="BX834">
        <v>0</v>
      </c>
      <c r="BY834">
        <v>0</v>
      </c>
      <c r="BZ834">
        <v>0</v>
      </c>
      <c r="CA834">
        <v>0</v>
      </c>
      <c r="CB834">
        <v>0</v>
      </c>
      <c r="CC834">
        <v>0</v>
      </c>
      <c r="CD834">
        <v>0</v>
      </c>
      <c r="CE834">
        <v>0</v>
      </c>
      <c r="CF834">
        <v>0</v>
      </c>
      <c r="CG834">
        <v>0</v>
      </c>
      <c r="CH834">
        <v>0</v>
      </c>
      <c r="CI834">
        <v>0</v>
      </c>
      <c r="CJ834">
        <v>0</v>
      </c>
      <c r="CK834">
        <v>0</v>
      </c>
      <c r="CL834">
        <v>0</v>
      </c>
      <c r="CM834">
        <v>0</v>
      </c>
      <c r="CR834" t="s">
        <v>2324</v>
      </c>
      <c r="CS834" s="1369" t="str">
        <f>INDEX([8]Sheet1!$H:$H,MATCH(CR:CR,[8]Sheet1!$AU:$AU,0))</f>
        <v>Finance</v>
      </c>
    </row>
    <row r="835" spans="1:97" x14ac:dyDescent="0.2">
      <c r="A835" t="s">
        <v>3548</v>
      </c>
      <c r="B835">
        <v>888</v>
      </c>
      <c r="C835" t="s">
        <v>3548</v>
      </c>
      <c r="D835">
        <v>41619</v>
      </c>
      <c r="E835" t="s">
        <v>3549</v>
      </c>
      <c r="F835" t="s">
        <v>2364</v>
      </c>
      <c r="G835" t="s">
        <v>2364</v>
      </c>
      <c r="H835" t="s">
        <v>2365</v>
      </c>
      <c r="I835" t="s">
        <v>2365</v>
      </c>
      <c r="J835" t="s">
        <v>2365</v>
      </c>
      <c r="K835" t="s">
        <v>2365</v>
      </c>
      <c r="L835">
        <v>1200</v>
      </c>
      <c r="M835" t="s">
        <v>1480</v>
      </c>
      <c r="N835">
        <v>1204</v>
      </c>
      <c r="O835" t="s">
        <v>1487</v>
      </c>
      <c r="P835" t="s">
        <v>2366</v>
      </c>
      <c r="Q835" t="s">
        <v>2364</v>
      </c>
      <c r="R835" t="s">
        <v>2364</v>
      </c>
      <c r="S835" t="s">
        <v>553</v>
      </c>
      <c r="T835" t="s">
        <v>2175</v>
      </c>
      <c r="U835">
        <v>140</v>
      </c>
      <c r="V835" t="s">
        <v>693</v>
      </c>
      <c r="W835">
        <v>140</v>
      </c>
      <c r="X835" t="s">
        <v>693</v>
      </c>
      <c r="Y835" t="s">
        <v>2365</v>
      </c>
      <c r="Z835" t="s">
        <v>2365</v>
      </c>
      <c r="AA835" t="s">
        <v>2365</v>
      </c>
      <c r="AB835" t="s">
        <v>2365</v>
      </c>
      <c r="AC835" s="813" t="s">
        <v>2365</v>
      </c>
      <c r="AD835" s="813" t="s">
        <v>2365</v>
      </c>
      <c r="AE835" s="813" t="s">
        <v>2365</v>
      </c>
      <c r="AF835" t="s">
        <v>2365</v>
      </c>
      <c r="AG835" t="s">
        <v>2365</v>
      </c>
      <c r="AH835" t="s">
        <v>2365</v>
      </c>
      <c r="AI835" t="s">
        <v>2365</v>
      </c>
      <c r="AJ835" t="s">
        <v>2365</v>
      </c>
      <c r="AK835" t="s">
        <v>2366</v>
      </c>
      <c r="AL835" t="s">
        <v>2366</v>
      </c>
      <c r="AM835" t="s">
        <v>2366</v>
      </c>
      <c r="AN835" t="s">
        <v>2366</v>
      </c>
      <c r="AR835" t="s">
        <v>2365</v>
      </c>
      <c r="AS835" t="s">
        <v>2365</v>
      </c>
      <c r="AT835" t="s">
        <v>2365</v>
      </c>
      <c r="AU835" t="s">
        <v>2365</v>
      </c>
      <c r="AV835" t="s">
        <v>2365</v>
      </c>
      <c r="AW835" t="s">
        <v>2365</v>
      </c>
      <c r="AX835" t="s">
        <v>2365</v>
      </c>
      <c r="AY835" t="s">
        <v>2365</v>
      </c>
      <c r="AZ835" t="s">
        <v>2365</v>
      </c>
      <c r="BA835" t="s">
        <v>2365</v>
      </c>
      <c r="BB835" t="s">
        <v>2365</v>
      </c>
      <c r="BC835" t="s">
        <v>2365</v>
      </c>
      <c r="BD835" t="s">
        <v>2366</v>
      </c>
      <c r="BE835" t="s">
        <v>2365</v>
      </c>
      <c r="BF835" t="s">
        <v>2365</v>
      </c>
      <c r="BG835" t="s">
        <v>2365</v>
      </c>
      <c r="BH835" t="s">
        <v>2365</v>
      </c>
      <c r="BI835" t="s">
        <v>2366</v>
      </c>
      <c r="BJ835" t="s">
        <v>2365</v>
      </c>
      <c r="BK835" t="s">
        <v>2365</v>
      </c>
      <c r="BL835" t="s">
        <v>2365</v>
      </c>
      <c r="BM835" t="s">
        <v>2365</v>
      </c>
      <c r="BO835">
        <v>1</v>
      </c>
      <c r="BP835">
        <v>11</v>
      </c>
      <c r="BQ835" t="s">
        <v>2369</v>
      </c>
      <c r="BR835" t="s">
        <v>1487</v>
      </c>
      <c r="BU835">
        <v>0</v>
      </c>
      <c r="BV835">
        <v>0</v>
      </c>
      <c r="BW835">
        <v>0</v>
      </c>
      <c r="BX835">
        <v>0</v>
      </c>
      <c r="BY835">
        <v>0</v>
      </c>
      <c r="BZ835">
        <v>0</v>
      </c>
      <c r="CA835">
        <v>0</v>
      </c>
      <c r="CB835">
        <v>-191356.25000000006</v>
      </c>
      <c r="CC835">
        <v>-239149.5399999996</v>
      </c>
      <c r="CD835">
        <v>-302078.82999999984</v>
      </c>
      <c r="CE835">
        <v>-276902.43999999965</v>
      </c>
      <c r="CF835">
        <v>-218980.16999999987</v>
      </c>
      <c r="CG835">
        <v>-195650.87999999986</v>
      </c>
      <c r="CH835">
        <v>-295056.62999999966</v>
      </c>
      <c r="CI835">
        <v>-241788.78999999969</v>
      </c>
      <c r="CJ835">
        <v>-4946.58</v>
      </c>
      <c r="CK835">
        <v>0</v>
      </c>
      <c r="CL835">
        <v>0</v>
      </c>
      <c r="CM835">
        <v>0</v>
      </c>
      <c r="CR835" t="s">
        <v>2324</v>
      </c>
      <c r="CS835" s="1369" t="str">
        <f>INDEX([8]Sheet1!$H:$H,MATCH(CR:CR,[8]Sheet1!$AU:$AU,0))</f>
        <v>Finance</v>
      </c>
    </row>
    <row r="836" spans="1:97" x14ac:dyDescent="0.2">
      <c r="A836" t="s">
        <v>3550</v>
      </c>
      <c r="B836">
        <v>889</v>
      </c>
      <c r="C836" t="s">
        <v>3550</v>
      </c>
      <c r="D836">
        <v>41620</v>
      </c>
      <c r="E836" t="s">
        <v>3551</v>
      </c>
      <c r="F836" t="s">
        <v>2364</v>
      </c>
      <c r="G836" t="s">
        <v>2364</v>
      </c>
      <c r="H836" t="s">
        <v>2365</v>
      </c>
      <c r="I836" t="s">
        <v>2365</v>
      </c>
      <c r="J836" t="s">
        <v>2365</v>
      </c>
      <c r="K836" t="s">
        <v>2365</v>
      </c>
      <c r="L836">
        <v>1200</v>
      </c>
      <c r="M836" t="s">
        <v>1480</v>
      </c>
      <c r="N836">
        <v>1204</v>
      </c>
      <c r="O836" t="s">
        <v>1487</v>
      </c>
      <c r="P836" t="s">
        <v>2366</v>
      </c>
      <c r="Q836" t="s">
        <v>2364</v>
      </c>
      <c r="R836" t="s">
        <v>2364</v>
      </c>
      <c r="S836" t="s">
        <v>553</v>
      </c>
      <c r="T836" t="s">
        <v>2175</v>
      </c>
      <c r="U836">
        <v>140</v>
      </c>
      <c r="V836" t="s">
        <v>693</v>
      </c>
      <c r="W836">
        <v>140</v>
      </c>
      <c r="X836" t="s">
        <v>693</v>
      </c>
      <c r="Y836" t="s">
        <v>2365</v>
      </c>
      <c r="Z836" t="s">
        <v>2365</v>
      </c>
      <c r="AA836" t="s">
        <v>2365</v>
      </c>
      <c r="AB836" t="s">
        <v>2365</v>
      </c>
      <c r="AC836" s="813" t="s">
        <v>2365</v>
      </c>
      <c r="AD836" s="813" t="s">
        <v>2365</v>
      </c>
      <c r="AE836" s="813" t="s">
        <v>2365</v>
      </c>
      <c r="AF836" t="s">
        <v>2365</v>
      </c>
      <c r="AG836" t="s">
        <v>2365</v>
      </c>
      <c r="AH836" t="s">
        <v>2365</v>
      </c>
      <c r="AI836" t="s">
        <v>2365</v>
      </c>
      <c r="AJ836" t="s">
        <v>2365</v>
      </c>
      <c r="AK836" t="s">
        <v>2366</v>
      </c>
      <c r="AL836" t="s">
        <v>2366</v>
      </c>
      <c r="AM836" t="s">
        <v>2366</v>
      </c>
      <c r="AN836" t="s">
        <v>2366</v>
      </c>
      <c r="AR836" t="s">
        <v>2365</v>
      </c>
      <c r="AS836" t="s">
        <v>2365</v>
      </c>
      <c r="AT836" t="s">
        <v>2365</v>
      </c>
      <c r="AU836" t="s">
        <v>2365</v>
      </c>
      <c r="AV836" t="s">
        <v>2365</v>
      </c>
      <c r="AW836" t="s">
        <v>2365</v>
      </c>
      <c r="AX836" t="s">
        <v>2365</v>
      </c>
      <c r="AY836" t="s">
        <v>2365</v>
      </c>
      <c r="AZ836" t="s">
        <v>2365</v>
      </c>
      <c r="BA836" t="s">
        <v>2365</v>
      </c>
      <c r="BB836" t="s">
        <v>2365</v>
      </c>
      <c r="BC836" t="s">
        <v>2365</v>
      </c>
      <c r="BD836" t="s">
        <v>2366</v>
      </c>
      <c r="BE836" t="s">
        <v>2365</v>
      </c>
      <c r="BF836" t="s">
        <v>2365</v>
      </c>
      <c r="BG836" t="s">
        <v>2365</v>
      </c>
      <c r="BH836" t="s">
        <v>2365</v>
      </c>
      <c r="BI836" t="s">
        <v>2366</v>
      </c>
      <c r="BJ836" t="s">
        <v>2365</v>
      </c>
      <c r="BK836" t="s">
        <v>2365</v>
      </c>
      <c r="BL836" t="s">
        <v>2365</v>
      </c>
      <c r="BM836" t="s">
        <v>2365</v>
      </c>
      <c r="BO836">
        <v>1</v>
      </c>
      <c r="BP836">
        <v>11</v>
      </c>
      <c r="BQ836" t="s">
        <v>2369</v>
      </c>
      <c r="BR836" t="s">
        <v>1487</v>
      </c>
      <c r="BU836">
        <v>0</v>
      </c>
      <c r="BV836">
        <v>0</v>
      </c>
      <c r="BW836">
        <v>0</v>
      </c>
      <c r="BX836">
        <v>0</v>
      </c>
      <c r="BY836">
        <v>0</v>
      </c>
      <c r="BZ836">
        <v>0</v>
      </c>
      <c r="CA836">
        <v>0</v>
      </c>
      <c r="CB836">
        <v>0</v>
      </c>
      <c r="CC836">
        <v>0</v>
      </c>
      <c r="CD836">
        <v>0</v>
      </c>
      <c r="CE836">
        <v>0</v>
      </c>
      <c r="CF836">
        <v>0</v>
      </c>
      <c r="CG836">
        <v>0</v>
      </c>
      <c r="CH836">
        <v>0</v>
      </c>
      <c r="CI836">
        <v>0</v>
      </c>
      <c r="CJ836">
        <v>0</v>
      </c>
      <c r="CK836">
        <v>0</v>
      </c>
      <c r="CL836">
        <v>0</v>
      </c>
      <c r="CM836">
        <v>0</v>
      </c>
      <c r="CR836" t="s">
        <v>2324</v>
      </c>
      <c r="CS836" s="1369" t="str">
        <f>INDEX([8]Sheet1!$H:$H,MATCH(CR:CR,[8]Sheet1!$AU:$AU,0))</f>
        <v>Finance</v>
      </c>
    </row>
    <row r="837" spans="1:97" x14ac:dyDescent="0.2">
      <c r="A837" t="s">
        <v>3552</v>
      </c>
      <c r="B837">
        <v>890</v>
      </c>
      <c r="C837" t="s">
        <v>3552</v>
      </c>
      <c r="D837">
        <v>41621</v>
      </c>
      <c r="E837" t="s">
        <v>3553</v>
      </c>
      <c r="F837" t="s">
        <v>2364</v>
      </c>
      <c r="G837" t="s">
        <v>2364</v>
      </c>
      <c r="H837" t="s">
        <v>2365</v>
      </c>
      <c r="I837" t="s">
        <v>2365</v>
      </c>
      <c r="J837" t="s">
        <v>2365</v>
      </c>
      <c r="K837" t="s">
        <v>2365</v>
      </c>
      <c r="L837">
        <v>1200</v>
      </c>
      <c r="M837" t="s">
        <v>1480</v>
      </c>
      <c r="N837">
        <v>1204</v>
      </c>
      <c r="O837" t="s">
        <v>1487</v>
      </c>
      <c r="P837" t="s">
        <v>2366</v>
      </c>
      <c r="Q837" t="s">
        <v>2364</v>
      </c>
      <c r="R837" t="s">
        <v>2364</v>
      </c>
      <c r="S837" t="s">
        <v>553</v>
      </c>
      <c r="T837" t="s">
        <v>2175</v>
      </c>
      <c r="U837">
        <v>140</v>
      </c>
      <c r="V837" t="s">
        <v>693</v>
      </c>
      <c r="W837">
        <v>140</v>
      </c>
      <c r="X837" t="s">
        <v>693</v>
      </c>
      <c r="Y837" t="s">
        <v>2365</v>
      </c>
      <c r="Z837" t="s">
        <v>2365</v>
      </c>
      <c r="AA837" t="s">
        <v>2365</v>
      </c>
      <c r="AB837" t="s">
        <v>2365</v>
      </c>
      <c r="AC837" s="813" t="s">
        <v>2365</v>
      </c>
      <c r="AD837" s="813" t="s">
        <v>2365</v>
      </c>
      <c r="AE837" s="813" t="s">
        <v>2365</v>
      </c>
      <c r="AF837" t="s">
        <v>2365</v>
      </c>
      <c r="AG837" t="s">
        <v>2365</v>
      </c>
      <c r="AH837" t="s">
        <v>2365</v>
      </c>
      <c r="AI837" t="s">
        <v>2365</v>
      </c>
      <c r="AJ837" t="s">
        <v>2365</v>
      </c>
      <c r="AK837">
        <v>147</v>
      </c>
      <c r="AL837" t="s">
        <v>1200</v>
      </c>
      <c r="AM837">
        <v>147</v>
      </c>
      <c r="AN837" t="s">
        <v>1200</v>
      </c>
      <c r="AR837" t="s">
        <v>2365</v>
      </c>
      <c r="AS837" t="s">
        <v>2365</v>
      </c>
      <c r="AT837" t="s">
        <v>2365</v>
      </c>
      <c r="AU837" t="s">
        <v>2365</v>
      </c>
      <c r="AV837" t="s">
        <v>2365</v>
      </c>
      <c r="AW837" t="s">
        <v>2365</v>
      </c>
      <c r="AX837" t="s">
        <v>2365</v>
      </c>
      <c r="AY837" t="s">
        <v>2365</v>
      </c>
      <c r="AZ837" t="s">
        <v>2365</v>
      </c>
      <c r="BA837" t="s">
        <v>2365</v>
      </c>
      <c r="BB837" t="s">
        <v>2365</v>
      </c>
      <c r="BC837" t="s">
        <v>2365</v>
      </c>
      <c r="BD837" t="s">
        <v>2366</v>
      </c>
      <c r="BE837" t="s">
        <v>2365</v>
      </c>
      <c r="BF837" t="s">
        <v>2365</v>
      </c>
      <c r="BG837" t="s">
        <v>2365</v>
      </c>
      <c r="BH837" t="s">
        <v>2365</v>
      </c>
      <c r="BI837" t="s">
        <v>2366</v>
      </c>
      <c r="BJ837" t="s">
        <v>2365</v>
      </c>
      <c r="BK837" t="s">
        <v>2365</v>
      </c>
      <c r="BL837" t="s">
        <v>2365</v>
      </c>
      <c r="BM837" t="s">
        <v>2365</v>
      </c>
      <c r="BO837">
        <v>1</v>
      </c>
      <c r="BP837">
        <v>11</v>
      </c>
      <c r="BQ837" t="s">
        <v>2369</v>
      </c>
      <c r="BR837" t="s">
        <v>1487</v>
      </c>
      <c r="BU837">
        <v>0</v>
      </c>
      <c r="BV837">
        <v>0</v>
      </c>
      <c r="BW837">
        <v>0</v>
      </c>
      <c r="BX837">
        <v>0</v>
      </c>
      <c r="BY837">
        <v>0</v>
      </c>
      <c r="BZ837">
        <v>0</v>
      </c>
      <c r="CA837">
        <v>0</v>
      </c>
      <c r="CB837">
        <v>0</v>
      </c>
      <c r="CC837">
        <v>0</v>
      </c>
      <c r="CD837">
        <v>0</v>
      </c>
      <c r="CE837">
        <v>0</v>
      </c>
      <c r="CF837">
        <v>0</v>
      </c>
      <c r="CG837">
        <v>0</v>
      </c>
      <c r="CH837">
        <v>0</v>
      </c>
      <c r="CI837">
        <v>0</v>
      </c>
      <c r="CJ837">
        <v>0</v>
      </c>
      <c r="CK837">
        <v>0</v>
      </c>
      <c r="CL837">
        <v>0</v>
      </c>
      <c r="CM837">
        <v>0</v>
      </c>
      <c r="CR837" t="s">
        <v>2324</v>
      </c>
      <c r="CS837" s="1369" t="str">
        <f>INDEX([8]Sheet1!$H:$H,MATCH(CR:CR,[8]Sheet1!$AU:$AU,0))</f>
        <v>Finance</v>
      </c>
    </row>
    <row r="838" spans="1:97" x14ac:dyDescent="0.2">
      <c r="A838" t="s">
        <v>3554</v>
      </c>
      <c r="B838">
        <v>891</v>
      </c>
      <c r="C838" t="s">
        <v>3554</v>
      </c>
      <c r="D838">
        <v>41622</v>
      </c>
      <c r="E838" t="s">
        <v>3555</v>
      </c>
      <c r="F838" t="s">
        <v>2364</v>
      </c>
      <c r="G838" t="s">
        <v>2364</v>
      </c>
      <c r="H838" t="s">
        <v>2365</v>
      </c>
      <c r="I838" t="s">
        <v>2365</v>
      </c>
      <c r="J838" t="s">
        <v>2365</v>
      </c>
      <c r="K838" t="s">
        <v>2365</v>
      </c>
      <c r="L838">
        <v>1200</v>
      </c>
      <c r="M838" t="s">
        <v>1480</v>
      </c>
      <c r="N838">
        <v>1204</v>
      </c>
      <c r="O838" t="s">
        <v>1487</v>
      </c>
      <c r="P838" t="s">
        <v>2366</v>
      </c>
      <c r="Q838" t="s">
        <v>2364</v>
      </c>
      <c r="R838" t="s">
        <v>2364</v>
      </c>
      <c r="S838" t="s">
        <v>553</v>
      </c>
      <c r="T838" t="s">
        <v>2175</v>
      </c>
      <c r="U838">
        <v>140</v>
      </c>
      <c r="V838" t="s">
        <v>693</v>
      </c>
      <c r="W838">
        <v>140</v>
      </c>
      <c r="X838" t="s">
        <v>693</v>
      </c>
      <c r="Y838" t="s">
        <v>2365</v>
      </c>
      <c r="Z838" t="s">
        <v>2365</v>
      </c>
      <c r="AA838" t="s">
        <v>2365</v>
      </c>
      <c r="AB838" t="s">
        <v>2365</v>
      </c>
      <c r="AC838" s="813" t="s">
        <v>2365</v>
      </c>
      <c r="AD838" s="813" t="s">
        <v>2365</v>
      </c>
      <c r="AE838" s="813" t="s">
        <v>2365</v>
      </c>
      <c r="AF838" t="s">
        <v>2365</v>
      </c>
      <c r="AG838" t="s">
        <v>2365</v>
      </c>
      <c r="AH838" t="s">
        <v>2365</v>
      </c>
      <c r="AI838" t="s">
        <v>2365</v>
      </c>
      <c r="AJ838" t="s">
        <v>2365</v>
      </c>
      <c r="AK838" t="s">
        <v>2366</v>
      </c>
      <c r="AL838" t="s">
        <v>2366</v>
      </c>
      <c r="AM838" t="s">
        <v>2366</v>
      </c>
      <c r="AN838" t="s">
        <v>2366</v>
      </c>
      <c r="AR838" t="s">
        <v>2365</v>
      </c>
      <c r="AS838" t="s">
        <v>2365</v>
      </c>
      <c r="AT838" t="s">
        <v>2365</v>
      </c>
      <c r="AU838" t="s">
        <v>2365</v>
      </c>
      <c r="AV838" t="s">
        <v>2365</v>
      </c>
      <c r="AW838" t="s">
        <v>2365</v>
      </c>
      <c r="AX838" t="s">
        <v>2365</v>
      </c>
      <c r="AY838" t="s">
        <v>2365</v>
      </c>
      <c r="AZ838" t="s">
        <v>2365</v>
      </c>
      <c r="BA838" t="s">
        <v>2365</v>
      </c>
      <c r="BB838" t="s">
        <v>2365</v>
      </c>
      <c r="BC838" t="s">
        <v>2365</v>
      </c>
      <c r="BD838" t="s">
        <v>2366</v>
      </c>
      <c r="BE838" t="s">
        <v>2365</v>
      </c>
      <c r="BF838" t="s">
        <v>2365</v>
      </c>
      <c r="BG838" t="s">
        <v>2365</v>
      </c>
      <c r="BH838" t="s">
        <v>2365</v>
      </c>
      <c r="BI838" t="s">
        <v>2366</v>
      </c>
      <c r="BJ838" t="s">
        <v>2365</v>
      </c>
      <c r="BK838" t="s">
        <v>2365</v>
      </c>
      <c r="BL838" t="s">
        <v>2365</v>
      </c>
      <c r="BM838" t="s">
        <v>2365</v>
      </c>
      <c r="BO838">
        <v>1</v>
      </c>
      <c r="BP838">
        <v>11</v>
      </c>
      <c r="BQ838" t="s">
        <v>2369</v>
      </c>
      <c r="BR838" t="s">
        <v>1487</v>
      </c>
      <c r="BU838">
        <v>0</v>
      </c>
      <c r="BV838">
        <v>0</v>
      </c>
      <c r="BW838">
        <v>0</v>
      </c>
      <c r="BX838">
        <v>0</v>
      </c>
      <c r="BY838">
        <v>0</v>
      </c>
      <c r="BZ838">
        <v>0</v>
      </c>
      <c r="CA838">
        <v>0</v>
      </c>
      <c r="CB838">
        <v>0</v>
      </c>
      <c r="CC838">
        <v>0</v>
      </c>
      <c r="CD838">
        <v>0</v>
      </c>
      <c r="CE838">
        <v>0</v>
      </c>
      <c r="CF838">
        <v>0</v>
      </c>
      <c r="CG838">
        <v>0</v>
      </c>
      <c r="CH838">
        <v>0</v>
      </c>
      <c r="CI838">
        <v>0</v>
      </c>
      <c r="CJ838">
        <v>0</v>
      </c>
      <c r="CK838">
        <v>0</v>
      </c>
      <c r="CL838">
        <v>0</v>
      </c>
      <c r="CM838">
        <v>0</v>
      </c>
      <c r="CR838" t="s">
        <v>2324</v>
      </c>
      <c r="CS838" s="1369" t="str">
        <f>INDEX([8]Sheet1!$H:$H,MATCH(CR:CR,[8]Sheet1!$AU:$AU,0))</f>
        <v>Finance</v>
      </c>
    </row>
    <row r="839" spans="1:97" x14ac:dyDescent="0.2">
      <c r="A839" t="s">
        <v>3556</v>
      </c>
      <c r="B839">
        <v>892</v>
      </c>
      <c r="C839" t="s">
        <v>3556</v>
      </c>
      <c r="D839">
        <v>41623</v>
      </c>
      <c r="E839" t="s">
        <v>3557</v>
      </c>
      <c r="F839" t="s">
        <v>2364</v>
      </c>
      <c r="G839" t="s">
        <v>2364</v>
      </c>
      <c r="H839" t="s">
        <v>2365</v>
      </c>
      <c r="I839" t="s">
        <v>2365</v>
      </c>
      <c r="J839" t="s">
        <v>2365</v>
      </c>
      <c r="K839" t="s">
        <v>2365</v>
      </c>
      <c r="L839">
        <v>1200</v>
      </c>
      <c r="M839" t="s">
        <v>1480</v>
      </c>
      <c r="N839">
        <v>1204</v>
      </c>
      <c r="O839" t="s">
        <v>1487</v>
      </c>
      <c r="P839" t="s">
        <v>2366</v>
      </c>
      <c r="Q839" t="s">
        <v>2364</v>
      </c>
      <c r="R839" t="s">
        <v>2364</v>
      </c>
      <c r="S839" t="s">
        <v>553</v>
      </c>
      <c r="T839" t="s">
        <v>2175</v>
      </c>
      <c r="U839">
        <v>140</v>
      </c>
      <c r="V839" t="s">
        <v>693</v>
      </c>
      <c r="W839">
        <v>140</v>
      </c>
      <c r="X839" t="s">
        <v>693</v>
      </c>
      <c r="Y839" t="s">
        <v>2365</v>
      </c>
      <c r="Z839" t="s">
        <v>2365</v>
      </c>
      <c r="AA839" t="s">
        <v>2365</v>
      </c>
      <c r="AB839" t="s">
        <v>2365</v>
      </c>
      <c r="AC839" s="813" t="s">
        <v>2365</v>
      </c>
      <c r="AD839" s="813" t="s">
        <v>2365</v>
      </c>
      <c r="AE839" s="813" t="s">
        <v>2365</v>
      </c>
      <c r="AF839" t="s">
        <v>2365</v>
      </c>
      <c r="AG839" t="s">
        <v>2365</v>
      </c>
      <c r="AH839" t="s">
        <v>2365</v>
      </c>
      <c r="AI839" t="s">
        <v>2365</v>
      </c>
      <c r="AJ839" t="s">
        <v>2365</v>
      </c>
      <c r="AK839" t="s">
        <v>2366</v>
      </c>
      <c r="AL839" t="s">
        <v>2366</v>
      </c>
      <c r="AM839" t="s">
        <v>2366</v>
      </c>
      <c r="AN839" t="s">
        <v>2366</v>
      </c>
      <c r="AR839" t="s">
        <v>2365</v>
      </c>
      <c r="AS839" t="s">
        <v>2365</v>
      </c>
      <c r="AT839" t="s">
        <v>2365</v>
      </c>
      <c r="AU839" t="s">
        <v>2365</v>
      </c>
      <c r="AV839" t="s">
        <v>2365</v>
      </c>
      <c r="AW839" t="s">
        <v>2365</v>
      </c>
      <c r="AX839" t="s">
        <v>2365</v>
      </c>
      <c r="AY839" t="s">
        <v>2365</v>
      </c>
      <c r="AZ839" t="s">
        <v>2365</v>
      </c>
      <c r="BA839" t="s">
        <v>2365</v>
      </c>
      <c r="BB839" t="s">
        <v>2365</v>
      </c>
      <c r="BC839" t="s">
        <v>2365</v>
      </c>
      <c r="BD839" t="s">
        <v>2366</v>
      </c>
      <c r="BE839" t="s">
        <v>2365</v>
      </c>
      <c r="BF839" t="s">
        <v>2365</v>
      </c>
      <c r="BG839" t="s">
        <v>2365</v>
      </c>
      <c r="BH839" t="s">
        <v>2365</v>
      </c>
      <c r="BI839" t="s">
        <v>2366</v>
      </c>
      <c r="BJ839" t="s">
        <v>2365</v>
      </c>
      <c r="BK839" t="s">
        <v>2365</v>
      </c>
      <c r="BL839" t="s">
        <v>2365</v>
      </c>
      <c r="BM839" t="s">
        <v>2365</v>
      </c>
      <c r="BO839">
        <v>1</v>
      </c>
      <c r="BP839">
        <v>11</v>
      </c>
      <c r="BQ839" t="s">
        <v>2369</v>
      </c>
      <c r="BR839" t="s">
        <v>1487</v>
      </c>
      <c r="BU839">
        <v>0</v>
      </c>
      <c r="BV839">
        <v>0</v>
      </c>
      <c r="BW839">
        <v>0</v>
      </c>
      <c r="BX839">
        <v>0</v>
      </c>
      <c r="BY839">
        <v>0</v>
      </c>
      <c r="BZ839">
        <v>0</v>
      </c>
      <c r="CA839">
        <v>0</v>
      </c>
      <c r="CB839">
        <v>0</v>
      </c>
      <c r="CC839">
        <v>0</v>
      </c>
      <c r="CD839">
        <v>0</v>
      </c>
      <c r="CE839">
        <v>0</v>
      </c>
      <c r="CF839">
        <v>0</v>
      </c>
      <c r="CG839">
        <v>0</v>
      </c>
      <c r="CH839">
        <v>0</v>
      </c>
      <c r="CI839">
        <v>0</v>
      </c>
      <c r="CJ839">
        <v>0</v>
      </c>
      <c r="CK839">
        <v>0</v>
      </c>
      <c r="CL839">
        <v>0</v>
      </c>
      <c r="CM839">
        <v>0</v>
      </c>
      <c r="CR839" t="s">
        <v>2324</v>
      </c>
      <c r="CS839" s="1369" t="str">
        <f>INDEX([8]Sheet1!$H:$H,MATCH(CR:CR,[8]Sheet1!$AU:$AU,0))</f>
        <v>Finance</v>
      </c>
    </row>
    <row r="840" spans="1:97" x14ac:dyDescent="0.2">
      <c r="A840" t="s">
        <v>3558</v>
      </c>
      <c r="B840">
        <v>893</v>
      </c>
      <c r="C840" t="s">
        <v>3558</v>
      </c>
      <c r="D840">
        <v>41624</v>
      </c>
      <c r="E840" t="s">
        <v>3559</v>
      </c>
      <c r="F840" t="s">
        <v>2364</v>
      </c>
      <c r="G840" t="s">
        <v>2364</v>
      </c>
      <c r="H840" t="s">
        <v>2365</v>
      </c>
      <c r="I840" t="s">
        <v>2365</v>
      </c>
      <c r="J840" t="s">
        <v>2365</v>
      </c>
      <c r="K840" t="s">
        <v>2365</v>
      </c>
      <c r="L840">
        <v>1200</v>
      </c>
      <c r="M840" t="s">
        <v>1480</v>
      </c>
      <c r="N840">
        <v>1204</v>
      </c>
      <c r="O840" t="s">
        <v>1487</v>
      </c>
      <c r="P840" t="s">
        <v>2366</v>
      </c>
      <c r="Q840" t="s">
        <v>2364</v>
      </c>
      <c r="R840" t="s">
        <v>2364</v>
      </c>
      <c r="S840" t="s">
        <v>553</v>
      </c>
      <c r="T840" t="s">
        <v>2175</v>
      </c>
      <c r="U840">
        <v>140</v>
      </c>
      <c r="V840" t="s">
        <v>693</v>
      </c>
      <c r="W840">
        <v>140</v>
      </c>
      <c r="X840" t="s">
        <v>693</v>
      </c>
      <c r="Y840" t="s">
        <v>2365</v>
      </c>
      <c r="Z840" t="s">
        <v>2365</v>
      </c>
      <c r="AA840" t="s">
        <v>2365</v>
      </c>
      <c r="AB840" t="s">
        <v>2365</v>
      </c>
      <c r="AC840" s="813" t="s">
        <v>2365</v>
      </c>
      <c r="AD840" s="813" t="s">
        <v>2365</v>
      </c>
      <c r="AE840" s="813" t="s">
        <v>2365</v>
      </c>
      <c r="AF840" t="s">
        <v>2365</v>
      </c>
      <c r="AG840" t="s">
        <v>2365</v>
      </c>
      <c r="AH840" t="s">
        <v>2365</v>
      </c>
      <c r="AI840" t="s">
        <v>2365</v>
      </c>
      <c r="AJ840" t="s">
        <v>2365</v>
      </c>
      <c r="AK840">
        <v>147</v>
      </c>
      <c r="AL840" t="s">
        <v>1200</v>
      </c>
      <c r="AM840">
        <v>147</v>
      </c>
      <c r="AN840" t="s">
        <v>1200</v>
      </c>
      <c r="AR840" t="s">
        <v>2365</v>
      </c>
      <c r="AS840" t="s">
        <v>2365</v>
      </c>
      <c r="AT840" t="s">
        <v>2365</v>
      </c>
      <c r="AU840" t="s">
        <v>2365</v>
      </c>
      <c r="AV840" t="s">
        <v>2365</v>
      </c>
      <c r="AW840" t="s">
        <v>2365</v>
      </c>
      <c r="AX840" t="s">
        <v>2365</v>
      </c>
      <c r="AY840" t="s">
        <v>2365</v>
      </c>
      <c r="AZ840" t="s">
        <v>2365</v>
      </c>
      <c r="BA840" t="s">
        <v>2365</v>
      </c>
      <c r="BB840" t="s">
        <v>2365</v>
      </c>
      <c r="BC840" t="s">
        <v>2365</v>
      </c>
      <c r="BD840" t="s">
        <v>2366</v>
      </c>
      <c r="BE840" t="s">
        <v>2365</v>
      </c>
      <c r="BF840" t="s">
        <v>2365</v>
      </c>
      <c r="BG840" t="s">
        <v>2365</v>
      </c>
      <c r="BH840" t="s">
        <v>2365</v>
      </c>
      <c r="BI840" t="s">
        <v>2366</v>
      </c>
      <c r="BJ840" t="s">
        <v>2365</v>
      </c>
      <c r="BK840" t="s">
        <v>2365</v>
      </c>
      <c r="BL840" t="s">
        <v>2365</v>
      </c>
      <c r="BM840" t="s">
        <v>2365</v>
      </c>
      <c r="BO840">
        <v>1</v>
      </c>
      <c r="BP840">
        <v>11</v>
      </c>
      <c r="BQ840" t="s">
        <v>2369</v>
      </c>
      <c r="BR840" t="s">
        <v>1487</v>
      </c>
      <c r="BU840">
        <v>0</v>
      </c>
      <c r="BV840">
        <v>0</v>
      </c>
      <c r="BW840">
        <v>0</v>
      </c>
      <c r="BX840">
        <v>0</v>
      </c>
      <c r="BY840">
        <v>0</v>
      </c>
      <c r="BZ840">
        <v>0</v>
      </c>
      <c r="CA840">
        <v>0</v>
      </c>
      <c r="CB840">
        <v>0</v>
      </c>
      <c r="CC840">
        <v>0</v>
      </c>
      <c r="CD840">
        <v>0</v>
      </c>
      <c r="CE840">
        <v>0</v>
      </c>
      <c r="CF840">
        <v>0</v>
      </c>
      <c r="CG840">
        <v>0</v>
      </c>
      <c r="CH840">
        <v>0</v>
      </c>
      <c r="CI840">
        <v>0</v>
      </c>
      <c r="CJ840">
        <v>0</v>
      </c>
      <c r="CK840">
        <v>0</v>
      </c>
      <c r="CL840">
        <v>0</v>
      </c>
      <c r="CM840">
        <v>0</v>
      </c>
      <c r="CR840" t="s">
        <v>2324</v>
      </c>
      <c r="CS840" s="1369" t="str">
        <f>INDEX([8]Sheet1!$H:$H,MATCH(CR:CR,[8]Sheet1!$AU:$AU,0))</f>
        <v>Finance</v>
      </c>
    </row>
    <row r="841" spans="1:97" x14ac:dyDescent="0.2">
      <c r="A841" t="s">
        <v>3560</v>
      </c>
      <c r="B841">
        <v>894</v>
      </c>
      <c r="C841" t="s">
        <v>3560</v>
      </c>
      <c r="D841">
        <v>41625</v>
      </c>
      <c r="E841" t="s">
        <v>3561</v>
      </c>
      <c r="F841" t="s">
        <v>2364</v>
      </c>
      <c r="G841" t="s">
        <v>2364</v>
      </c>
      <c r="H841" t="s">
        <v>2365</v>
      </c>
      <c r="I841" t="s">
        <v>2365</v>
      </c>
      <c r="J841" t="s">
        <v>2365</v>
      </c>
      <c r="K841" t="s">
        <v>2365</v>
      </c>
      <c r="L841">
        <v>1200</v>
      </c>
      <c r="M841" t="s">
        <v>1480</v>
      </c>
      <c r="N841">
        <v>1204</v>
      </c>
      <c r="O841" t="s">
        <v>1487</v>
      </c>
      <c r="P841" t="s">
        <v>2366</v>
      </c>
      <c r="Q841" t="s">
        <v>2364</v>
      </c>
      <c r="R841" t="s">
        <v>2364</v>
      </c>
      <c r="S841" t="s">
        <v>553</v>
      </c>
      <c r="T841" t="s">
        <v>2175</v>
      </c>
      <c r="U841">
        <v>140</v>
      </c>
      <c r="V841" t="s">
        <v>693</v>
      </c>
      <c r="W841">
        <v>140</v>
      </c>
      <c r="X841" t="s">
        <v>693</v>
      </c>
      <c r="Y841" t="s">
        <v>2365</v>
      </c>
      <c r="Z841" t="s">
        <v>2365</v>
      </c>
      <c r="AA841" t="s">
        <v>2365</v>
      </c>
      <c r="AB841" t="s">
        <v>2365</v>
      </c>
      <c r="AC841" s="813" t="s">
        <v>2365</v>
      </c>
      <c r="AD841" s="813" t="s">
        <v>2365</v>
      </c>
      <c r="AE841" s="813" t="s">
        <v>2365</v>
      </c>
      <c r="AF841" t="s">
        <v>2365</v>
      </c>
      <c r="AG841" t="s">
        <v>2365</v>
      </c>
      <c r="AH841" t="s">
        <v>2365</v>
      </c>
      <c r="AI841" t="s">
        <v>2365</v>
      </c>
      <c r="AJ841" t="s">
        <v>2365</v>
      </c>
      <c r="AK841" t="s">
        <v>2366</v>
      </c>
      <c r="AL841" t="s">
        <v>2366</v>
      </c>
      <c r="AM841" t="s">
        <v>2366</v>
      </c>
      <c r="AN841" t="s">
        <v>2366</v>
      </c>
      <c r="AR841" t="s">
        <v>2365</v>
      </c>
      <c r="AS841" t="s">
        <v>2365</v>
      </c>
      <c r="AT841" t="s">
        <v>2365</v>
      </c>
      <c r="AU841" t="s">
        <v>2365</v>
      </c>
      <c r="AV841" t="s">
        <v>2365</v>
      </c>
      <c r="AW841" t="s">
        <v>2365</v>
      </c>
      <c r="AX841" t="s">
        <v>2365</v>
      </c>
      <c r="AY841" t="s">
        <v>2365</v>
      </c>
      <c r="AZ841" t="s">
        <v>2365</v>
      </c>
      <c r="BA841" t="s">
        <v>2365</v>
      </c>
      <c r="BB841" t="s">
        <v>2365</v>
      </c>
      <c r="BC841" t="s">
        <v>2365</v>
      </c>
      <c r="BD841" t="s">
        <v>2366</v>
      </c>
      <c r="BE841" t="s">
        <v>2365</v>
      </c>
      <c r="BF841" t="s">
        <v>2365</v>
      </c>
      <c r="BG841" t="s">
        <v>2365</v>
      </c>
      <c r="BH841" t="s">
        <v>2365</v>
      </c>
      <c r="BI841" t="s">
        <v>2366</v>
      </c>
      <c r="BJ841" t="s">
        <v>2365</v>
      </c>
      <c r="BK841" t="s">
        <v>2365</v>
      </c>
      <c r="BL841" t="s">
        <v>2365</v>
      </c>
      <c r="BM841" t="s">
        <v>2365</v>
      </c>
      <c r="BO841">
        <v>1</v>
      </c>
      <c r="BP841">
        <v>11</v>
      </c>
      <c r="BQ841" t="s">
        <v>2369</v>
      </c>
      <c r="BR841" t="s">
        <v>1487</v>
      </c>
      <c r="BU841">
        <v>0</v>
      </c>
      <c r="BV841">
        <v>0</v>
      </c>
      <c r="BW841">
        <v>0</v>
      </c>
      <c r="BX841">
        <v>0</v>
      </c>
      <c r="BY841">
        <v>0</v>
      </c>
      <c r="BZ841">
        <v>0</v>
      </c>
      <c r="CA841">
        <v>0</v>
      </c>
      <c r="CB841">
        <v>274374.34999999998</v>
      </c>
      <c r="CC841">
        <v>274765.93000000005</v>
      </c>
      <c r="CD841">
        <v>273994.59999999998</v>
      </c>
      <c r="CE841">
        <v>273994.59999999998</v>
      </c>
      <c r="CF841">
        <v>273994.59999999998</v>
      </c>
      <c r="CG841">
        <v>273994.59999999998</v>
      </c>
      <c r="CH841">
        <v>273994.59999999998</v>
      </c>
      <c r="CI841">
        <v>274211.58999999997</v>
      </c>
      <c r="CJ841">
        <v>0</v>
      </c>
      <c r="CK841">
        <v>0</v>
      </c>
      <c r="CL841">
        <v>0</v>
      </c>
      <c r="CM841">
        <v>0</v>
      </c>
      <c r="CR841" t="s">
        <v>2324</v>
      </c>
      <c r="CS841" s="1369" t="str">
        <f>INDEX([8]Sheet1!$H:$H,MATCH(CR:CR,[8]Sheet1!$AU:$AU,0))</f>
        <v>Finance</v>
      </c>
    </row>
    <row r="842" spans="1:97" x14ac:dyDescent="0.2">
      <c r="A842" t="s">
        <v>3562</v>
      </c>
      <c r="B842">
        <v>895</v>
      </c>
      <c r="C842" t="s">
        <v>3562</v>
      </c>
      <c r="D842">
        <v>41626</v>
      </c>
      <c r="E842" t="s">
        <v>3563</v>
      </c>
      <c r="F842" t="s">
        <v>2364</v>
      </c>
      <c r="G842" t="s">
        <v>2364</v>
      </c>
      <c r="H842" t="s">
        <v>2365</v>
      </c>
      <c r="I842" t="s">
        <v>2365</v>
      </c>
      <c r="J842" t="s">
        <v>2365</v>
      </c>
      <c r="K842" t="s">
        <v>2365</v>
      </c>
      <c r="L842">
        <v>1200</v>
      </c>
      <c r="M842" t="s">
        <v>1480</v>
      </c>
      <c r="N842">
        <v>1204</v>
      </c>
      <c r="O842" t="s">
        <v>1487</v>
      </c>
      <c r="P842" t="s">
        <v>2366</v>
      </c>
      <c r="Q842" t="s">
        <v>2364</v>
      </c>
      <c r="R842" t="s">
        <v>2364</v>
      </c>
      <c r="S842" t="s">
        <v>553</v>
      </c>
      <c r="T842" t="s">
        <v>2175</v>
      </c>
      <c r="U842">
        <v>140</v>
      </c>
      <c r="V842" t="s">
        <v>693</v>
      </c>
      <c r="W842">
        <v>140</v>
      </c>
      <c r="X842" t="s">
        <v>693</v>
      </c>
      <c r="Y842" t="s">
        <v>2365</v>
      </c>
      <c r="Z842" t="s">
        <v>2365</v>
      </c>
      <c r="AA842" t="s">
        <v>2365</v>
      </c>
      <c r="AB842" t="s">
        <v>2365</v>
      </c>
      <c r="AC842" s="813" t="s">
        <v>2365</v>
      </c>
      <c r="AD842" s="813" t="s">
        <v>2365</v>
      </c>
      <c r="AE842" s="813" t="s">
        <v>2365</v>
      </c>
      <c r="AF842" t="s">
        <v>2365</v>
      </c>
      <c r="AG842" t="s">
        <v>2365</v>
      </c>
      <c r="AH842" t="s">
        <v>2365</v>
      </c>
      <c r="AI842" t="s">
        <v>2365</v>
      </c>
      <c r="AJ842" t="s">
        <v>2365</v>
      </c>
      <c r="AK842" t="s">
        <v>2366</v>
      </c>
      <c r="AL842" t="s">
        <v>2366</v>
      </c>
      <c r="AM842" t="s">
        <v>2366</v>
      </c>
      <c r="AN842" t="s">
        <v>2366</v>
      </c>
      <c r="AR842" t="s">
        <v>2365</v>
      </c>
      <c r="AS842" t="s">
        <v>2365</v>
      </c>
      <c r="AT842" t="s">
        <v>2365</v>
      </c>
      <c r="AU842" t="s">
        <v>2365</v>
      </c>
      <c r="AV842" t="s">
        <v>2365</v>
      </c>
      <c r="AW842" t="s">
        <v>2365</v>
      </c>
      <c r="AX842" t="s">
        <v>2365</v>
      </c>
      <c r="AY842" t="s">
        <v>2365</v>
      </c>
      <c r="AZ842" t="s">
        <v>2365</v>
      </c>
      <c r="BA842" t="s">
        <v>2365</v>
      </c>
      <c r="BB842" t="s">
        <v>2365</v>
      </c>
      <c r="BC842" t="s">
        <v>2365</v>
      </c>
      <c r="BD842" t="s">
        <v>2366</v>
      </c>
      <c r="BE842" t="s">
        <v>2365</v>
      </c>
      <c r="BF842" t="s">
        <v>2365</v>
      </c>
      <c r="BG842" t="s">
        <v>2365</v>
      </c>
      <c r="BH842" t="s">
        <v>2365</v>
      </c>
      <c r="BI842" t="s">
        <v>2366</v>
      </c>
      <c r="BJ842" t="s">
        <v>2365</v>
      </c>
      <c r="BK842" t="s">
        <v>2365</v>
      </c>
      <c r="BL842" t="s">
        <v>2365</v>
      </c>
      <c r="BM842" t="s">
        <v>2365</v>
      </c>
      <c r="BO842">
        <v>1</v>
      </c>
      <c r="BP842">
        <v>11</v>
      </c>
      <c r="BQ842" t="s">
        <v>2369</v>
      </c>
      <c r="BR842" t="s">
        <v>1487</v>
      </c>
      <c r="BU842">
        <v>0</v>
      </c>
      <c r="BV842">
        <v>0</v>
      </c>
      <c r="BW842">
        <v>0</v>
      </c>
      <c r="BX842">
        <v>0</v>
      </c>
      <c r="BY842">
        <v>0</v>
      </c>
      <c r="BZ842">
        <v>0</v>
      </c>
      <c r="CA842">
        <v>0</v>
      </c>
      <c r="CB842">
        <v>0</v>
      </c>
      <c r="CC842">
        <v>0</v>
      </c>
      <c r="CD842">
        <v>0</v>
      </c>
      <c r="CE842">
        <v>0</v>
      </c>
      <c r="CF842">
        <v>0</v>
      </c>
      <c r="CG842">
        <v>0</v>
      </c>
      <c r="CH842">
        <v>0</v>
      </c>
      <c r="CI842">
        <v>0</v>
      </c>
      <c r="CJ842">
        <v>0</v>
      </c>
      <c r="CK842">
        <v>0</v>
      </c>
      <c r="CL842">
        <v>0</v>
      </c>
      <c r="CM842">
        <v>0</v>
      </c>
      <c r="CR842" t="s">
        <v>2324</v>
      </c>
      <c r="CS842" s="1369" t="str">
        <f>INDEX([8]Sheet1!$H:$H,MATCH(CR:CR,[8]Sheet1!$AU:$AU,0))</f>
        <v>Finance</v>
      </c>
    </row>
    <row r="843" spans="1:97" x14ac:dyDescent="0.2">
      <c r="A843" t="s">
        <v>3564</v>
      </c>
      <c r="B843">
        <v>896</v>
      </c>
      <c r="C843" t="s">
        <v>3564</v>
      </c>
      <c r="D843">
        <v>41627</v>
      </c>
      <c r="E843" t="s">
        <v>3565</v>
      </c>
      <c r="F843" t="s">
        <v>2364</v>
      </c>
      <c r="G843" t="s">
        <v>2364</v>
      </c>
      <c r="H843" s="1373" t="s">
        <v>2365</v>
      </c>
      <c r="I843" t="s">
        <v>2365</v>
      </c>
      <c r="J843" t="s">
        <v>2365</v>
      </c>
      <c r="K843" t="s">
        <v>2365</v>
      </c>
      <c r="L843" s="1373">
        <v>1200</v>
      </c>
      <c r="M843" t="s">
        <v>1480</v>
      </c>
      <c r="N843">
        <v>1204</v>
      </c>
      <c r="O843" t="s">
        <v>1487</v>
      </c>
      <c r="P843" t="s">
        <v>2366</v>
      </c>
      <c r="Q843" t="s">
        <v>2364</v>
      </c>
      <c r="R843" t="s">
        <v>2364</v>
      </c>
      <c r="S843" t="s">
        <v>553</v>
      </c>
      <c r="T843" t="s">
        <v>2175</v>
      </c>
      <c r="U843">
        <v>140</v>
      </c>
      <c r="V843" t="s">
        <v>693</v>
      </c>
      <c r="W843">
        <v>140</v>
      </c>
      <c r="X843" t="s">
        <v>693</v>
      </c>
      <c r="Y843" t="s">
        <v>2365</v>
      </c>
      <c r="Z843" t="s">
        <v>2365</v>
      </c>
      <c r="AA843" t="s">
        <v>2365</v>
      </c>
      <c r="AB843" t="s">
        <v>2365</v>
      </c>
      <c r="AC843" s="813" t="s">
        <v>2365</v>
      </c>
      <c r="AD843" s="813" t="s">
        <v>2365</v>
      </c>
      <c r="AE843" s="813" t="s">
        <v>2365</v>
      </c>
      <c r="AF843" t="s">
        <v>2365</v>
      </c>
      <c r="AG843" t="s">
        <v>2365</v>
      </c>
      <c r="AH843" t="s">
        <v>2365</v>
      </c>
      <c r="AI843" t="s">
        <v>2365</v>
      </c>
      <c r="AJ843" t="s">
        <v>2365</v>
      </c>
      <c r="AK843" t="s">
        <v>2366</v>
      </c>
      <c r="AL843" t="s">
        <v>2366</v>
      </c>
      <c r="AM843" t="s">
        <v>2366</v>
      </c>
      <c r="AN843" t="s">
        <v>2366</v>
      </c>
      <c r="AR843" t="s">
        <v>2365</v>
      </c>
      <c r="AS843" t="s">
        <v>2365</v>
      </c>
      <c r="AT843" t="s">
        <v>2365</v>
      </c>
      <c r="AU843" t="s">
        <v>2365</v>
      </c>
      <c r="AV843" t="s">
        <v>2365</v>
      </c>
      <c r="AW843" t="s">
        <v>2365</v>
      </c>
      <c r="AX843" t="s">
        <v>2365</v>
      </c>
      <c r="AY843" t="s">
        <v>2365</v>
      </c>
      <c r="AZ843" t="s">
        <v>2365</v>
      </c>
      <c r="BA843" t="s">
        <v>2365</v>
      </c>
      <c r="BB843" t="s">
        <v>2365</v>
      </c>
      <c r="BC843" t="s">
        <v>2365</v>
      </c>
      <c r="BD843" t="s">
        <v>2366</v>
      </c>
      <c r="BE843" t="s">
        <v>2365</v>
      </c>
      <c r="BF843" t="s">
        <v>2365</v>
      </c>
      <c r="BG843" t="s">
        <v>2365</v>
      </c>
      <c r="BH843" t="s">
        <v>2365</v>
      </c>
      <c r="BI843" t="s">
        <v>2366</v>
      </c>
      <c r="BJ843" t="s">
        <v>2365</v>
      </c>
      <c r="BK843" t="s">
        <v>2365</v>
      </c>
      <c r="BL843" t="s">
        <v>2365</v>
      </c>
      <c r="BM843" t="s">
        <v>2365</v>
      </c>
      <c r="BO843">
        <v>1</v>
      </c>
      <c r="BP843">
        <v>11</v>
      </c>
      <c r="BQ843" t="s">
        <v>2369</v>
      </c>
      <c r="BR843" t="s">
        <v>1487</v>
      </c>
      <c r="BU843" s="1371">
        <v>0</v>
      </c>
      <c r="BV843" s="1371">
        <v>0</v>
      </c>
      <c r="BW843" s="1371">
        <v>0</v>
      </c>
      <c r="BX843" s="1371">
        <v>0</v>
      </c>
      <c r="BY843" s="1371">
        <v>0</v>
      </c>
      <c r="BZ843">
        <v>0</v>
      </c>
      <c r="CA843">
        <v>0</v>
      </c>
      <c r="CB843">
        <v>0</v>
      </c>
      <c r="CC843">
        <v>0</v>
      </c>
      <c r="CD843">
        <v>0</v>
      </c>
      <c r="CE843">
        <v>0</v>
      </c>
      <c r="CF843">
        <v>0</v>
      </c>
      <c r="CG843">
        <v>0</v>
      </c>
      <c r="CH843">
        <v>0</v>
      </c>
      <c r="CI843">
        <v>0</v>
      </c>
      <c r="CJ843">
        <v>0</v>
      </c>
      <c r="CK843">
        <v>0</v>
      </c>
      <c r="CL843">
        <v>0</v>
      </c>
      <c r="CM843">
        <v>0</v>
      </c>
      <c r="CR843" t="s">
        <v>2324</v>
      </c>
      <c r="CS843" s="1369" t="str">
        <f>INDEX([8]Sheet1!$H:$H,MATCH(CR:CR,[8]Sheet1!$AU:$AU,0))</f>
        <v>Finance</v>
      </c>
    </row>
    <row r="844" spans="1:97" x14ac:dyDescent="0.2">
      <c r="A844" t="s">
        <v>3566</v>
      </c>
      <c r="B844">
        <v>897</v>
      </c>
      <c r="C844" t="s">
        <v>3566</v>
      </c>
      <c r="D844">
        <v>41628</v>
      </c>
      <c r="E844" t="s">
        <v>3567</v>
      </c>
      <c r="F844" t="s">
        <v>2364</v>
      </c>
      <c r="G844" t="s">
        <v>2364</v>
      </c>
      <c r="H844" t="s">
        <v>2365</v>
      </c>
      <c r="I844" t="s">
        <v>2365</v>
      </c>
      <c r="J844" t="s">
        <v>2365</v>
      </c>
      <c r="K844" t="s">
        <v>2365</v>
      </c>
      <c r="L844">
        <v>1200</v>
      </c>
      <c r="M844" t="s">
        <v>1480</v>
      </c>
      <c r="N844">
        <v>1204</v>
      </c>
      <c r="O844" t="s">
        <v>1487</v>
      </c>
      <c r="P844" t="s">
        <v>2366</v>
      </c>
      <c r="Q844" t="s">
        <v>2364</v>
      </c>
      <c r="R844" t="s">
        <v>2364</v>
      </c>
      <c r="S844" t="s">
        <v>553</v>
      </c>
      <c r="T844" t="s">
        <v>2175</v>
      </c>
      <c r="U844">
        <v>140</v>
      </c>
      <c r="V844" t="s">
        <v>693</v>
      </c>
      <c r="W844">
        <v>140</v>
      </c>
      <c r="X844" t="s">
        <v>693</v>
      </c>
      <c r="Y844" t="s">
        <v>2365</v>
      </c>
      <c r="Z844" t="s">
        <v>2365</v>
      </c>
      <c r="AA844" t="s">
        <v>2365</v>
      </c>
      <c r="AB844" t="s">
        <v>2365</v>
      </c>
      <c r="AC844" s="813" t="s">
        <v>2365</v>
      </c>
      <c r="AD844" s="813" t="s">
        <v>2365</v>
      </c>
      <c r="AE844" s="813" t="s">
        <v>2365</v>
      </c>
      <c r="AF844" t="s">
        <v>2365</v>
      </c>
      <c r="AG844" t="s">
        <v>2365</v>
      </c>
      <c r="AH844" t="s">
        <v>2365</v>
      </c>
      <c r="AI844" t="s">
        <v>2365</v>
      </c>
      <c r="AJ844" t="s">
        <v>2365</v>
      </c>
      <c r="AK844" t="s">
        <v>2366</v>
      </c>
      <c r="AL844" t="s">
        <v>2366</v>
      </c>
      <c r="AM844" t="s">
        <v>2366</v>
      </c>
      <c r="AN844" t="s">
        <v>2366</v>
      </c>
      <c r="AR844" t="s">
        <v>2365</v>
      </c>
      <c r="AS844" t="s">
        <v>2365</v>
      </c>
      <c r="AT844" t="s">
        <v>2365</v>
      </c>
      <c r="AU844" t="s">
        <v>2365</v>
      </c>
      <c r="AV844" t="s">
        <v>2365</v>
      </c>
      <c r="AW844" t="s">
        <v>2365</v>
      </c>
      <c r="AX844" t="s">
        <v>2365</v>
      </c>
      <c r="AY844" t="s">
        <v>2365</v>
      </c>
      <c r="AZ844" t="s">
        <v>2365</v>
      </c>
      <c r="BA844" t="s">
        <v>2365</v>
      </c>
      <c r="BB844" t="s">
        <v>2365</v>
      </c>
      <c r="BC844" t="s">
        <v>2365</v>
      </c>
      <c r="BD844" t="s">
        <v>2366</v>
      </c>
      <c r="BE844" t="s">
        <v>2365</v>
      </c>
      <c r="BF844" t="s">
        <v>2365</v>
      </c>
      <c r="BG844" t="s">
        <v>2365</v>
      </c>
      <c r="BH844" t="s">
        <v>2365</v>
      </c>
      <c r="BI844" t="s">
        <v>2366</v>
      </c>
      <c r="BJ844" t="s">
        <v>2365</v>
      </c>
      <c r="BK844" t="s">
        <v>2365</v>
      </c>
      <c r="BL844" t="s">
        <v>2365</v>
      </c>
      <c r="BM844" t="s">
        <v>2365</v>
      </c>
      <c r="BO844">
        <v>1</v>
      </c>
      <c r="BP844">
        <v>11</v>
      </c>
      <c r="BQ844" t="s">
        <v>2369</v>
      </c>
      <c r="BR844" t="s">
        <v>1487</v>
      </c>
      <c r="BU844">
        <v>0</v>
      </c>
      <c r="BV844">
        <v>0</v>
      </c>
      <c r="BW844">
        <v>0</v>
      </c>
      <c r="BX844">
        <v>0</v>
      </c>
      <c r="BY844">
        <v>0</v>
      </c>
      <c r="BZ844">
        <v>0</v>
      </c>
      <c r="CA844">
        <v>0</v>
      </c>
      <c r="CB844">
        <v>0</v>
      </c>
      <c r="CC844">
        <v>0</v>
      </c>
      <c r="CD844">
        <v>0</v>
      </c>
      <c r="CE844">
        <v>0</v>
      </c>
      <c r="CF844">
        <v>0</v>
      </c>
      <c r="CG844">
        <v>0</v>
      </c>
      <c r="CH844">
        <v>0</v>
      </c>
      <c r="CI844">
        <v>0</v>
      </c>
      <c r="CJ844">
        <v>0</v>
      </c>
      <c r="CK844">
        <v>0</v>
      </c>
      <c r="CL844">
        <v>0</v>
      </c>
      <c r="CM844">
        <v>0</v>
      </c>
      <c r="CR844" t="s">
        <v>2324</v>
      </c>
      <c r="CS844" s="1369" t="str">
        <f>INDEX([8]Sheet1!$H:$H,MATCH(CR:CR,[8]Sheet1!$AU:$AU,0))</f>
        <v>Finance</v>
      </c>
    </row>
    <row r="845" spans="1:97" x14ac:dyDescent="0.2">
      <c r="A845" t="s">
        <v>3568</v>
      </c>
      <c r="B845">
        <v>898</v>
      </c>
      <c r="C845" t="s">
        <v>3568</v>
      </c>
      <c r="D845">
        <v>41629</v>
      </c>
      <c r="E845" t="s">
        <v>3569</v>
      </c>
      <c r="F845" t="s">
        <v>2364</v>
      </c>
      <c r="G845" t="s">
        <v>2364</v>
      </c>
      <c r="H845" t="s">
        <v>2365</v>
      </c>
      <c r="I845" t="s">
        <v>2365</v>
      </c>
      <c r="J845" t="s">
        <v>2365</v>
      </c>
      <c r="K845" t="s">
        <v>2365</v>
      </c>
      <c r="L845">
        <v>1200</v>
      </c>
      <c r="M845" t="s">
        <v>1480</v>
      </c>
      <c r="N845">
        <v>1204</v>
      </c>
      <c r="O845" t="s">
        <v>1487</v>
      </c>
      <c r="P845" t="s">
        <v>2366</v>
      </c>
      <c r="Q845" t="s">
        <v>2364</v>
      </c>
      <c r="R845" t="s">
        <v>2364</v>
      </c>
      <c r="S845" t="s">
        <v>553</v>
      </c>
      <c r="T845" t="s">
        <v>2175</v>
      </c>
      <c r="U845">
        <v>140</v>
      </c>
      <c r="V845" t="s">
        <v>693</v>
      </c>
      <c r="W845">
        <v>140</v>
      </c>
      <c r="X845" t="s">
        <v>693</v>
      </c>
      <c r="Y845" t="s">
        <v>2365</v>
      </c>
      <c r="Z845" t="s">
        <v>2365</v>
      </c>
      <c r="AA845" t="s">
        <v>2365</v>
      </c>
      <c r="AB845" t="s">
        <v>2365</v>
      </c>
      <c r="AC845" s="813" t="s">
        <v>2365</v>
      </c>
      <c r="AD845" s="813" t="s">
        <v>2365</v>
      </c>
      <c r="AE845" s="813" t="s">
        <v>2365</v>
      </c>
      <c r="AF845" t="s">
        <v>2365</v>
      </c>
      <c r="AG845" t="s">
        <v>2365</v>
      </c>
      <c r="AH845" t="s">
        <v>2365</v>
      </c>
      <c r="AI845" t="s">
        <v>2365</v>
      </c>
      <c r="AJ845" t="s">
        <v>2365</v>
      </c>
      <c r="AK845" t="s">
        <v>2366</v>
      </c>
      <c r="AL845" t="s">
        <v>2366</v>
      </c>
      <c r="AM845" t="s">
        <v>2366</v>
      </c>
      <c r="AN845" t="s">
        <v>2366</v>
      </c>
      <c r="AR845" t="s">
        <v>2365</v>
      </c>
      <c r="AS845" t="s">
        <v>2365</v>
      </c>
      <c r="AT845" t="s">
        <v>2365</v>
      </c>
      <c r="AU845" t="s">
        <v>2365</v>
      </c>
      <c r="AV845" t="s">
        <v>2365</v>
      </c>
      <c r="AW845" t="s">
        <v>2365</v>
      </c>
      <c r="AX845" t="s">
        <v>2365</v>
      </c>
      <c r="AY845" t="s">
        <v>2365</v>
      </c>
      <c r="AZ845" t="s">
        <v>2365</v>
      </c>
      <c r="BA845" t="s">
        <v>2365</v>
      </c>
      <c r="BB845" t="s">
        <v>2365</v>
      </c>
      <c r="BC845" t="s">
        <v>2365</v>
      </c>
      <c r="BD845" t="s">
        <v>2366</v>
      </c>
      <c r="BE845" t="s">
        <v>2365</v>
      </c>
      <c r="BF845" t="s">
        <v>2365</v>
      </c>
      <c r="BG845" t="s">
        <v>2365</v>
      </c>
      <c r="BH845" t="s">
        <v>2365</v>
      </c>
      <c r="BI845" t="s">
        <v>2366</v>
      </c>
      <c r="BJ845" t="s">
        <v>2365</v>
      </c>
      <c r="BK845" t="s">
        <v>2365</v>
      </c>
      <c r="BL845" t="s">
        <v>2365</v>
      </c>
      <c r="BM845" t="s">
        <v>2365</v>
      </c>
      <c r="BO845">
        <v>1</v>
      </c>
      <c r="BP845">
        <v>11</v>
      </c>
      <c r="BQ845" t="s">
        <v>2369</v>
      </c>
      <c r="BR845" t="s">
        <v>1487</v>
      </c>
      <c r="BU845">
        <v>0</v>
      </c>
      <c r="BV845">
        <v>0</v>
      </c>
      <c r="BW845">
        <v>0</v>
      </c>
      <c r="BX845">
        <v>0</v>
      </c>
      <c r="BY845">
        <v>0</v>
      </c>
      <c r="BZ845">
        <v>0</v>
      </c>
      <c r="CA845">
        <v>0</v>
      </c>
      <c r="CB845">
        <v>0</v>
      </c>
      <c r="CC845">
        <v>0</v>
      </c>
      <c r="CD845">
        <v>0</v>
      </c>
      <c r="CE845">
        <v>0</v>
      </c>
      <c r="CF845">
        <v>0</v>
      </c>
      <c r="CG845">
        <v>0</v>
      </c>
      <c r="CH845">
        <v>0</v>
      </c>
      <c r="CI845">
        <v>0</v>
      </c>
      <c r="CJ845">
        <v>0</v>
      </c>
      <c r="CK845">
        <v>0</v>
      </c>
      <c r="CL845">
        <v>0</v>
      </c>
      <c r="CM845">
        <v>0</v>
      </c>
      <c r="CR845" t="s">
        <v>2324</v>
      </c>
      <c r="CS845" s="1369" t="str">
        <f>INDEX([8]Sheet1!$H:$H,MATCH(CR:CR,[8]Sheet1!$AU:$AU,0))</f>
        <v>Finance</v>
      </c>
    </row>
    <row r="846" spans="1:97" x14ac:dyDescent="0.2">
      <c r="A846" t="s">
        <v>3570</v>
      </c>
      <c r="B846">
        <v>899</v>
      </c>
      <c r="C846" t="s">
        <v>3570</v>
      </c>
      <c r="D846">
        <v>41630</v>
      </c>
      <c r="E846" t="s">
        <v>3571</v>
      </c>
      <c r="F846" t="s">
        <v>2364</v>
      </c>
      <c r="G846" t="s">
        <v>2364</v>
      </c>
      <c r="H846" t="s">
        <v>2365</v>
      </c>
      <c r="I846" t="s">
        <v>2365</v>
      </c>
      <c r="J846" t="s">
        <v>2365</v>
      </c>
      <c r="K846" t="s">
        <v>2365</v>
      </c>
      <c r="L846">
        <v>1200</v>
      </c>
      <c r="M846" t="s">
        <v>1480</v>
      </c>
      <c r="N846">
        <v>1204</v>
      </c>
      <c r="O846" t="s">
        <v>1487</v>
      </c>
      <c r="P846" t="s">
        <v>2366</v>
      </c>
      <c r="Q846" t="s">
        <v>2364</v>
      </c>
      <c r="R846" t="s">
        <v>2364</v>
      </c>
      <c r="S846" t="s">
        <v>553</v>
      </c>
      <c r="T846" t="s">
        <v>2175</v>
      </c>
      <c r="U846">
        <v>140</v>
      </c>
      <c r="V846" t="s">
        <v>693</v>
      </c>
      <c r="W846">
        <v>140</v>
      </c>
      <c r="X846" t="s">
        <v>693</v>
      </c>
      <c r="Y846" t="s">
        <v>2365</v>
      </c>
      <c r="Z846" t="s">
        <v>2365</v>
      </c>
      <c r="AA846" t="s">
        <v>2365</v>
      </c>
      <c r="AB846" t="s">
        <v>2365</v>
      </c>
      <c r="AC846" s="813" t="s">
        <v>2365</v>
      </c>
      <c r="AD846" s="813" t="s">
        <v>2365</v>
      </c>
      <c r="AE846" s="813" t="s">
        <v>2365</v>
      </c>
      <c r="AF846" t="s">
        <v>2365</v>
      </c>
      <c r="AG846" t="s">
        <v>2365</v>
      </c>
      <c r="AH846" t="s">
        <v>2365</v>
      </c>
      <c r="AI846" t="s">
        <v>2365</v>
      </c>
      <c r="AJ846" t="s">
        <v>2365</v>
      </c>
      <c r="AK846" t="s">
        <v>2366</v>
      </c>
      <c r="AL846" t="s">
        <v>2366</v>
      </c>
      <c r="AM846" t="s">
        <v>2366</v>
      </c>
      <c r="AN846" t="s">
        <v>2366</v>
      </c>
      <c r="AR846" t="s">
        <v>2365</v>
      </c>
      <c r="AS846" t="s">
        <v>2365</v>
      </c>
      <c r="AT846" t="s">
        <v>2365</v>
      </c>
      <c r="AU846" t="s">
        <v>2365</v>
      </c>
      <c r="AV846" t="s">
        <v>2365</v>
      </c>
      <c r="AW846" t="s">
        <v>2365</v>
      </c>
      <c r="AX846" t="s">
        <v>2365</v>
      </c>
      <c r="AY846" t="s">
        <v>2365</v>
      </c>
      <c r="AZ846" t="s">
        <v>2365</v>
      </c>
      <c r="BA846" t="s">
        <v>2365</v>
      </c>
      <c r="BB846" t="s">
        <v>2365</v>
      </c>
      <c r="BC846" t="s">
        <v>2365</v>
      </c>
      <c r="BD846" t="s">
        <v>2366</v>
      </c>
      <c r="BE846" t="s">
        <v>2365</v>
      </c>
      <c r="BF846" t="s">
        <v>2365</v>
      </c>
      <c r="BG846" t="s">
        <v>2365</v>
      </c>
      <c r="BH846" t="s">
        <v>2365</v>
      </c>
      <c r="BI846" t="s">
        <v>2366</v>
      </c>
      <c r="BJ846" t="s">
        <v>2365</v>
      </c>
      <c r="BK846" t="s">
        <v>2365</v>
      </c>
      <c r="BL846" t="s">
        <v>2365</v>
      </c>
      <c r="BM846" t="s">
        <v>2365</v>
      </c>
      <c r="BO846">
        <v>1</v>
      </c>
      <c r="BP846">
        <v>11</v>
      </c>
      <c r="BQ846" t="s">
        <v>2369</v>
      </c>
      <c r="BR846" t="s">
        <v>1487</v>
      </c>
      <c r="BU846">
        <v>0</v>
      </c>
      <c r="BV846">
        <v>0</v>
      </c>
      <c r="BW846">
        <v>0</v>
      </c>
      <c r="BX846">
        <v>0</v>
      </c>
      <c r="BY846">
        <v>0</v>
      </c>
      <c r="BZ846">
        <v>0</v>
      </c>
      <c r="CA846">
        <v>0</v>
      </c>
      <c r="CB846">
        <v>0</v>
      </c>
      <c r="CC846">
        <v>0</v>
      </c>
      <c r="CD846">
        <v>0</v>
      </c>
      <c r="CE846">
        <v>0</v>
      </c>
      <c r="CF846">
        <v>0</v>
      </c>
      <c r="CG846">
        <v>0</v>
      </c>
      <c r="CH846">
        <v>0</v>
      </c>
      <c r="CI846">
        <v>0</v>
      </c>
      <c r="CJ846">
        <v>0</v>
      </c>
      <c r="CK846">
        <v>0</v>
      </c>
      <c r="CL846">
        <v>0</v>
      </c>
      <c r="CM846">
        <v>0</v>
      </c>
      <c r="CR846" t="s">
        <v>2324</v>
      </c>
      <c r="CS846" s="1369" t="str">
        <f>INDEX([8]Sheet1!$H:$H,MATCH(CR:CR,[8]Sheet1!$AU:$AU,0))</f>
        <v>Finance</v>
      </c>
    </row>
    <row r="847" spans="1:97" x14ac:dyDescent="0.2">
      <c r="A847" t="s">
        <v>3572</v>
      </c>
      <c r="B847">
        <v>900</v>
      </c>
      <c r="C847" t="s">
        <v>3572</v>
      </c>
      <c r="D847">
        <v>41631</v>
      </c>
      <c r="E847" t="s">
        <v>3573</v>
      </c>
      <c r="F847" t="s">
        <v>2364</v>
      </c>
      <c r="G847" t="s">
        <v>2364</v>
      </c>
      <c r="H847" t="s">
        <v>2365</v>
      </c>
      <c r="I847" t="s">
        <v>2365</v>
      </c>
      <c r="J847" t="s">
        <v>2365</v>
      </c>
      <c r="K847" t="s">
        <v>2365</v>
      </c>
      <c r="L847">
        <v>1200</v>
      </c>
      <c r="M847" t="s">
        <v>1480</v>
      </c>
      <c r="N847">
        <v>1204</v>
      </c>
      <c r="O847" t="s">
        <v>1487</v>
      </c>
      <c r="P847" t="s">
        <v>2366</v>
      </c>
      <c r="Q847" t="s">
        <v>2364</v>
      </c>
      <c r="R847" t="s">
        <v>2364</v>
      </c>
      <c r="S847" t="s">
        <v>553</v>
      </c>
      <c r="T847" t="s">
        <v>2175</v>
      </c>
      <c r="U847">
        <v>140</v>
      </c>
      <c r="V847" t="s">
        <v>693</v>
      </c>
      <c r="W847">
        <v>140</v>
      </c>
      <c r="X847" t="s">
        <v>693</v>
      </c>
      <c r="Y847" t="s">
        <v>2365</v>
      </c>
      <c r="Z847" t="s">
        <v>2365</v>
      </c>
      <c r="AA847" t="s">
        <v>2365</v>
      </c>
      <c r="AB847" t="s">
        <v>2365</v>
      </c>
      <c r="AC847" s="813" t="s">
        <v>2365</v>
      </c>
      <c r="AD847" s="813" t="s">
        <v>2365</v>
      </c>
      <c r="AE847" s="813" t="s">
        <v>2365</v>
      </c>
      <c r="AF847" t="s">
        <v>2365</v>
      </c>
      <c r="AG847" t="s">
        <v>2365</v>
      </c>
      <c r="AH847" t="s">
        <v>2365</v>
      </c>
      <c r="AI847" t="s">
        <v>2365</v>
      </c>
      <c r="AJ847" t="s">
        <v>2365</v>
      </c>
      <c r="AK847" t="s">
        <v>2366</v>
      </c>
      <c r="AL847" t="s">
        <v>2366</v>
      </c>
      <c r="AM847" t="s">
        <v>2366</v>
      </c>
      <c r="AN847" t="s">
        <v>2366</v>
      </c>
      <c r="AR847" t="s">
        <v>2365</v>
      </c>
      <c r="AS847" t="s">
        <v>2365</v>
      </c>
      <c r="AT847" t="s">
        <v>2365</v>
      </c>
      <c r="AU847" t="s">
        <v>2365</v>
      </c>
      <c r="AV847" t="s">
        <v>2365</v>
      </c>
      <c r="AW847" t="s">
        <v>2365</v>
      </c>
      <c r="AX847" t="s">
        <v>2365</v>
      </c>
      <c r="AY847" t="s">
        <v>2365</v>
      </c>
      <c r="AZ847" t="s">
        <v>2365</v>
      </c>
      <c r="BA847" t="s">
        <v>2365</v>
      </c>
      <c r="BB847" t="s">
        <v>2365</v>
      </c>
      <c r="BC847" t="s">
        <v>2365</v>
      </c>
      <c r="BD847" t="s">
        <v>2366</v>
      </c>
      <c r="BE847" t="s">
        <v>2365</v>
      </c>
      <c r="BF847" t="s">
        <v>2365</v>
      </c>
      <c r="BG847" t="s">
        <v>2365</v>
      </c>
      <c r="BH847" t="s">
        <v>2365</v>
      </c>
      <c r="BI847" t="s">
        <v>2366</v>
      </c>
      <c r="BJ847" t="s">
        <v>2365</v>
      </c>
      <c r="BK847" t="s">
        <v>2365</v>
      </c>
      <c r="BL847" t="s">
        <v>2365</v>
      </c>
      <c r="BM847" t="s">
        <v>2365</v>
      </c>
      <c r="BO847">
        <v>1</v>
      </c>
      <c r="BP847">
        <v>11</v>
      </c>
      <c r="BQ847" t="s">
        <v>2369</v>
      </c>
      <c r="BR847" t="s">
        <v>1487</v>
      </c>
      <c r="BU847">
        <v>0</v>
      </c>
      <c r="BV847">
        <v>0</v>
      </c>
      <c r="BW847">
        <v>0</v>
      </c>
      <c r="BX847">
        <v>0</v>
      </c>
      <c r="BY847">
        <v>0</v>
      </c>
      <c r="BZ847">
        <v>0</v>
      </c>
      <c r="CA847">
        <v>0</v>
      </c>
      <c r="CB847">
        <v>0</v>
      </c>
      <c r="CC847">
        <v>0</v>
      </c>
      <c r="CD847">
        <v>0</v>
      </c>
      <c r="CE847">
        <v>0</v>
      </c>
      <c r="CF847">
        <v>0</v>
      </c>
      <c r="CG847">
        <v>0</v>
      </c>
      <c r="CH847">
        <v>0</v>
      </c>
      <c r="CI847">
        <v>0</v>
      </c>
      <c r="CJ847">
        <v>0</v>
      </c>
      <c r="CK847">
        <v>0</v>
      </c>
      <c r="CL847">
        <v>0</v>
      </c>
      <c r="CM847">
        <v>0</v>
      </c>
      <c r="CR847" t="s">
        <v>2324</v>
      </c>
      <c r="CS847" s="1369" t="str">
        <f>INDEX([8]Sheet1!$H:$H,MATCH(CR:CR,[8]Sheet1!$AU:$AU,0))</f>
        <v>Finance</v>
      </c>
    </row>
    <row r="848" spans="1:97" x14ac:dyDescent="0.2">
      <c r="A848" t="s">
        <v>3574</v>
      </c>
      <c r="B848">
        <v>901</v>
      </c>
      <c r="C848" t="s">
        <v>3574</v>
      </c>
      <c r="D848">
        <v>41632</v>
      </c>
      <c r="E848" t="s">
        <v>3575</v>
      </c>
      <c r="F848" t="s">
        <v>2364</v>
      </c>
      <c r="G848" t="s">
        <v>2364</v>
      </c>
      <c r="H848" t="s">
        <v>2365</v>
      </c>
      <c r="I848" t="s">
        <v>2365</v>
      </c>
      <c r="J848" t="s">
        <v>2365</v>
      </c>
      <c r="K848" t="s">
        <v>2365</v>
      </c>
      <c r="L848">
        <v>1200</v>
      </c>
      <c r="M848" t="s">
        <v>1480</v>
      </c>
      <c r="N848">
        <v>1204</v>
      </c>
      <c r="O848" t="s">
        <v>1487</v>
      </c>
      <c r="P848" t="s">
        <v>2366</v>
      </c>
      <c r="Q848" t="s">
        <v>2364</v>
      </c>
      <c r="R848" t="s">
        <v>2364</v>
      </c>
      <c r="S848" t="s">
        <v>553</v>
      </c>
      <c r="T848" t="s">
        <v>2175</v>
      </c>
      <c r="U848">
        <v>140</v>
      </c>
      <c r="V848" t="s">
        <v>693</v>
      </c>
      <c r="W848">
        <v>140</v>
      </c>
      <c r="X848" t="s">
        <v>693</v>
      </c>
      <c r="Y848" t="s">
        <v>2365</v>
      </c>
      <c r="Z848" t="s">
        <v>2365</v>
      </c>
      <c r="AA848" t="s">
        <v>2365</v>
      </c>
      <c r="AB848" t="s">
        <v>2365</v>
      </c>
      <c r="AC848" s="813" t="s">
        <v>2365</v>
      </c>
      <c r="AD848" s="813" t="s">
        <v>2365</v>
      </c>
      <c r="AE848" s="813" t="s">
        <v>2365</v>
      </c>
      <c r="AF848" t="s">
        <v>2365</v>
      </c>
      <c r="AG848" t="s">
        <v>2365</v>
      </c>
      <c r="AH848" t="s">
        <v>2365</v>
      </c>
      <c r="AI848" t="s">
        <v>2365</v>
      </c>
      <c r="AJ848" t="s">
        <v>2365</v>
      </c>
      <c r="AK848" t="s">
        <v>2366</v>
      </c>
      <c r="AL848" t="s">
        <v>2366</v>
      </c>
      <c r="AM848" t="s">
        <v>2366</v>
      </c>
      <c r="AN848" t="s">
        <v>2366</v>
      </c>
      <c r="AR848" t="s">
        <v>2365</v>
      </c>
      <c r="AS848" t="s">
        <v>2365</v>
      </c>
      <c r="AT848" t="s">
        <v>2365</v>
      </c>
      <c r="AU848" t="s">
        <v>2365</v>
      </c>
      <c r="AV848" t="s">
        <v>2365</v>
      </c>
      <c r="AW848" t="s">
        <v>2365</v>
      </c>
      <c r="AX848" t="s">
        <v>2365</v>
      </c>
      <c r="AY848" t="s">
        <v>2365</v>
      </c>
      <c r="AZ848" t="s">
        <v>2365</v>
      </c>
      <c r="BA848" t="s">
        <v>2365</v>
      </c>
      <c r="BB848" t="s">
        <v>2365</v>
      </c>
      <c r="BC848" t="s">
        <v>2365</v>
      </c>
      <c r="BD848" t="s">
        <v>2366</v>
      </c>
      <c r="BE848" t="s">
        <v>2365</v>
      </c>
      <c r="BF848" t="s">
        <v>2365</v>
      </c>
      <c r="BG848" t="s">
        <v>2365</v>
      </c>
      <c r="BH848" t="s">
        <v>2365</v>
      </c>
      <c r="BI848" t="s">
        <v>2366</v>
      </c>
      <c r="BJ848" t="s">
        <v>2365</v>
      </c>
      <c r="BK848" t="s">
        <v>2365</v>
      </c>
      <c r="BL848" t="s">
        <v>2365</v>
      </c>
      <c r="BM848" t="s">
        <v>2365</v>
      </c>
      <c r="BO848">
        <v>1</v>
      </c>
      <c r="BP848">
        <v>11</v>
      </c>
      <c r="BQ848" t="s">
        <v>2369</v>
      </c>
      <c r="BR848" t="s">
        <v>1487</v>
      </c>
      <c r="BU848">
        <v>0</v>
      </c>
      <c r="BV848">
        <v>0</v>
      </c>
      <c r="BW848">
        <v>0</v>
      </c>
      <c r="BX848">
        <v>0</v>
      </c>
      <c r="BY848">
        <v>0</v>
      </c>
      <c r="BZ848">
        <v>0</v>
      </c>
      <c r="CA848">
        <v>0</v>
      </c>
      <c r="CB848">
        <v>0</v>
      </c>
      <c r="CC848">
        <v>0</v>
      </c>
      <c r="CD848">
        <v>0</v>
      </c>
      <c r="CE848">
        <v>0</v>
      </c>
      <c r="CF848">
        <v>0</v>
      </c>
      <c r="CG848">
        <v>0</v>
      </c>
      <c r="CH848">
        <v>0</v>
      </c>
      <c r="CI848">
        <v>0</v>
      </c>
      <c r="CJ848">
        <v>0</v>
      </c>
      <c r="CK848">
        <v>0</v>
      </c>
      <c r="CL848">
        <v>0</v>
      </c>
      <c r="CM848">
        <v>0</v>
      </c>
      <c r="CR848" t="s">
        <v>2324</v>
      </c>
      <c r="CS848" s="1369" t="str">
        <f>INDEX([8]Sheet1!$H:$H,MATCH(CR:CR,[8]Sheet1!$AU:$AU,0))</f>
        <v>Finance</v>
      </c>
    </row>
    <row r="849" spans="1:97" x14ac:dyDescent="0.2">
      <c r="A849" t="s">
        <v>3576</v>
      </c>
      <c r="B849">
        <v>902</v>
      </c>
      <c r="C849" t="s">
        <v>3576</v>
      </c>
      <c r="D849">
        <v>41633</v>
      </c>
      <c r="E849" t="s">
        <v>3577</v>
      </c>
      <c r="F849" t="s">
        <v>2364</v>
      </c>
      <c r="G849" t="s">
        <v>2364</v>
      </c>
      <c r="H849" t="s">
        <v>2365</v>
      </c>
      <c r="I849" t="s">
        <v>2365</v>
      </c>
      <c r="J849" t="s">
        <v>2365</v>
      </c>
      <c r="K849" t="s">
        <v>2365</v>
      </c>
      <c r="L849">
        <v>1200</v>
      </c>
      <c r="M849" t="s">
        <v>1480</v>
      </c>
      <c r="N849">
        <v>1204</v>
      </c>
      <c r="O849" t="s">
        <v>1487</v>
      </c>
      <c r="P849" t="s">
        <v>2366</v>
      </c>
      <c r="Q849" t="s">
        <v>2364</v>
      </c>
      <c r="R849" t="s">
        <v>2364</v>
      </c>
      <c r="S849" t="s">
        <v>553</v>
      </c>
      <c r="T849" t="s">
        <v>2175</v>
      </c>
      <c r="U849">
        <v>140</v>
      </c>
      <c r="V849" t="s">
        <v>693</v>
      </c>
      <c r="W849">
        <v>140</v>
      </c>
      <c r="X849" t="s">
        <v>693</v>
      </c>
      <c r="Y849" t="s">
        <v>2365</v>
      </c>
      <c r="Z849" t="s">
        <v>2365</v>
      </c>
      <c r="AA849" t="s">
        <v>2365</v>
      </c>
      <c r="AB849" t="s">
        <v>2365</v>
      </c>
      <c r="AC849" s="813" t="s">
        <v>2365</v>
      </c>
      <c r="AD849" s="813" t="s">
        <v>2365</v>
      </c>
      <c r="AE849" s="813" t="s">
        <v>2365</v>
      </c>
      <c r="AF849" t="s">
        <v>2365</v>
      </c>
      <c r="AG849" t="s">
        <v>2365</v>
      </c>
      <c r="AH849" t="s">
        <v>2365</v>
      </c>
      <c r="AI849" t="s">
        <v>2365</v>
      </c>
      <c r="AJ849" t="s">
        <v>2365</v>
      </c>
      <c r="AK849">
        <v>147</v>
      </c>
      <c r="AL849" t="s">
        <v>1200</v>
      </c>
      <c r="AM849">
        <v>147</v>
      </c>
      <c r="AN849" t="s">
        <v>1200</v>
      </c>
      <c r="AR849" t="s">
        <v>2365</v>
      </c>
      <c r="AS849" t="s">
        <v>2365</v>
      </c>
      <c r="AT849" t="s">
        <v>2365</v>
      </c>
      <c r="AU849" t="s">
        <v>2365</v>
      </c>
      <c r="AV849" t="s">
        <v>2365</v>
      </c>
      <c r="AW849" t="s">
        <v>2365</v>
      </c>
      <c r="AX849" t="s">
        <v>2365</v>
      </c>
      <c r="AY849" t="s">
        <v>2365</v>
      </c>
      <c r="AZ849" t="s">
        <v>2365</v>
      </c>
      <c r="BA849" t="s">
        <v>2365</v>
      </c>
      <c r="BB849" t="s">
        <v>2365</v>
      </c>
      <c r="BC849" t="s">
        <v>2365</v>
      </c>
      <c r="BD849" t="s">
        <v>2366</v>
      </c>
      <c r="BE849" t="s">
        <v>2365</v>
      </c>
      <c r="BF849" t="s">
        <v>2365</v>
      </c>
      <c r="BG849" t="s">
        <v>2365</v>
      </c>
      <c r="BH849" t="s">
        <v>2365</v>
      </c>
      <c r="BI849" t="s">
        <v>2366</v>
      </c>
      <c r="BJ849" t="s">
        <v>2365</v>
      </c>
      <c r="BK849" t="s">
        <v>2365</v>
      </c>
      <c r="BL849" t="s">
        <v>2365</v>
      </c>
      <c r="BM849" t="s">
        <v>2365</v>
      </c>
      <c r="BO849">
        <v>1</v>
      </c>
      <c r="BP849">
        <v>11</v>
      </c>
      <c r="BQ849" t="s">
        <v>2369</v>
      </c>
      <c r="BR849" t="s">
        <v>1487</v>
      </c>
      <c r="BU849">
        <v>0</v>
      </c>
      <c r="BV849">
        <v>0</v>
      </c>
      <c r="BW849">
        <v>0</v>
      </c>
      <c r="BX849">
        <v>0</v>
      </c>
      <c r="BY849">
        <v>0</v>
      </c>
      <c r="BZ849">
        <v>0</v>
      </c>
      <c r="CA849">
        <v>0</v>
      </c>
      <c r="CB849">
        <v>0</v>
      </c>
      <c r="CC849">
        <v>0</v>
      </c>
      <c r="CD849">
        <v>0</v>
      </c>
      <c r="CE849">
        <v>0</v>
      </c>
      <c r="CF849">
        <v>0</v>
      </c>
      <c r="CG849">
        <v>0</v>
      </c>
      <c r="CH849">
        <v>0</v>
      </c>
      <c r="CI849">
        <v>0</v>
      </c>
      <c r="CJ849">
        <v>0</v>
      </c>
      <c r="CK849">
        <v>0</v>
      </c>
      <c r="CL849">
        <v>0</v>
      </c>
      <c r="CM849">
        <v>0</v>
      </c>
      <c r="CR849" t="s">
        <v>2324</v>
      </c>
      <c r="CS849" s="1369" t="str">
        <f>INDEX([8]Sheet1!$H:$H,MATCH(CR:CR,[8]Sheet1!$AU:$AU,0))</f>
        <v>Finance</v>
      </c>
    </row>
    <row r="850" spans="1:97" x14ac:dyDescent="0.2">
      <c r="A850" t="s">
        <v>3578</v>
      </c>
      <c r="B850">
        <v>903</v>
      </c>
      <c r="C850" t="s">
        <v>3578</v>
      </c>
      <c r="D850">
        <v>41634</v>
      </c>
      <c r="E850" t="s">
        <v>3579</v>
      </c>
      <c r="F850" t="s">
        <v>2364</v>
      </c>
      <c r="G850" t="s">
        <v>2364</v>
      </c>
      <c r="H850" t="s">
        <v>2365</v>
      </c>
      <c r="I850" t="s">
        <v>2365</v>
      </c>
      <c r="J850" t="s">
        <v>2365</v>
      </c>
      <c r="K850" t="s">
        <v>2365</v>
      </c>
      <c r="L850">
        <v>1200</v>
      </c>
      <c r="M850" t="s">
        <v>1480</v>
      </c>
      <c r="N850">
        <v>1204</v>
      </c>
      <c r="O850" t="s">
        <v>1487</v>
      </c>
      <c r="P850" t="s">
        <v>2366</v>
      </c>
      <c r="Q850" t="s">
        <v>2364</v>
      </c>
      <c r="R850" t="s">
        <v>2364</v>
      </c>
      <c r="S850" t="s">
        <v>553</v>
      </c>
      <c r="T850" t="s">
        <v>2175</v>
      </c>
      <c r="U850">
        <v>140</v>
      </c>
      <c r="V850" t="s">
        <v>693</v>
      </c>
      <c r="W850">
        <v>140</v>
      </c>
      <c r="X850" t="s">
        <v>693</v>
      </c>
      <c r="Y850" t="s">
        <v>2365</v>
      </c>
      <c r="Z850" t="s">
        <v>2365</v>
      </c>
      <c r="AA850" t="s">
        <v>2365</v>
      </c>
      <c r="AB850" t="s">
        <v>2365</v>
      </c>
      <c r="AC850" s="813" t="s">
        <v>2365</v>
      </c>
      <c r="AD850" s="813" t="s">
        <v>2365</v>
      </c>
      <c r="AE850" s="813" t="s">
        <v>2365</v>
      </c>
      <c r="AF850" t="s">
        <v>2365</v>
      </c>
      <c r="AG850" t="s">
        <v>2365</v>
      </c>
      <c r="AH850" t="s">
        <v>2365</v>
      </c>
      <c r="AI850" t="s">
        <v>2365</v>
      </c>
      <c r="AJ850" t="s">
        <v>2365</v>
      </c>
      <c r="AK850" t="s">
        <v>2366</v>
      </c>
      <c r="AL850" t="s">
        <v>2366</v>
      </c>
      <c r="AM850" t="s">
        <v>2366</v>
      </c>
      <c r="AN850" t="s">
        <v>2366</v>
      </c>
      <c r="AR850" t="s">
        <v>2365</v>
      </c>
      <c r="AS850" t="s">
        <v>2365</v>
      </c>
      <c r="AT850" t="s">
        <v>2365</v>
      </c>
      <c r="AU850" t="s">
        <v>2365</v>
      </c>
      <c r="AV850" t="s">
        <v>2365</v>
      </c>
      <c r="AW850" t="s">
        <v>2365</v>
      </c>
      <c r="AX850" t="s">
        <v>2365</v>
      </c>
      <c r="AY850" t="s">
        <v>2365</v>
      </c>
      <c r="AZ850" t="s">
        <v>2365</v>
      </c>
      <c r="BA850" t="s">
        <v>2365</v>
      </c>
      <c r="BB850" t="s">
        <v>2365</v>
      </c>
      <c r="BC850" t="s">
        <v>2365</v>
      </c>
      <c r="BD850" t="s">
        <v>2366</v>
      </c>
      <c r="BE850" t="s">
        <v>2365</v>
      </c>
      <c r="BF850" t="s">
        <v>2365</v>
      </c>
      <c r="BG850" t="s">
        <v>2365</v>
      </c>
      <c r="BH850" t="s">
        <v>2365</v>
      </c>
      <c r="BI850" t="s">
        <v>2366</v>
      </c>
      <c r="BJ850" t="s">
        <v>2365</v>
      </c>
      <c r="BK850" t="s">
        <v>2365</v>
      </c>
      <c r="BL850" t="s">
        <v>2365</v>
      </c>
      <c r="BM850" t="s">
        <v>2365</v>
      </c>
      <c r="BO850">
        <v>1</v>
      </c>
      <c r="BP850">
        <v>11</v>
      </c>
      <c r="BQ850" t="s">
        <v>2369</v>
      </c>
      <c r="BR850" t="s">
        <v>1487</v>
      </c>
      <c r="BU850">
        <v>0</v>
      </c>
      <c r="BV850">
        <v>0</v>
      </c>
      <c r="BW850">
        <v>0</v>
      </c>
      <c r="BX850">
        <v>0</v>
      </c>
      <c r="BY850">
        <v>0</v>
      </c>
      <c r="BZ850">
        <v>0</v>
      </c>
      <c r="CA850">
        <v>0</v>
      </c>
      <c r="CB850">
        <v>0</v>
      </c>
      <c r="CC850">
        <v>0</v>
      </c>
      <c r="CD850">
        <v>0</v>
      </c>
      <c r="CE850">
        <v>0</v>
      </c>
      <c r="CF850">
        <v>0</v>
      </c>
      <c r="CG850">
        <v>0</v>
      </c>
      <c r="CH850">
        <v>0</v>
      </c>
      <c r="CI850">
        <v>0</v>
      </c>
      <c r="CJ850">
        <v>0</v>
      </c>
      <c r="CK850">
        <v>0</v>
      </c>
      <c r="CL850">
        <v>0</v>
      </c>
      <c r="CM850">
        <v>0</v>
      </c>
      <c r="CR850" t="s">
        <v>2324</v>
      </c>
      <c r="CS850" s="1369" t="str">
        <f>INDEX([8]Sheet1!$H:$H,MATCH(CR:CR,[8]Sheet1!$AU:$AU,0))</f>
        <v>Finance</v>
      </c>
    </row>
    <row r="851" spans="1:97" x14ac:dyDescent="0.2">
      <c r="A851" t="s">
        <v>3580</v>
      </c>
      <c r="B851">
        <v>904</v>
      </c>
      <c r="C851" t="s">
        <v>3580</v>
      </c>
      <c r="D851">
        <v>41635</v>
      </c>
      <c r="E851" t="s">
        <v>3581</v>
      </c>
      <c r="F851" t="s">
        <v>2364</v>
      </c>
      <c r="G851" t="s">
        <v>2364</v>
      </c>
      <c r="H851" t="s">
        <v>2365</v>
      </c>
      <c r="I851" t="s">
        <v>2365</v>
      </c>
      <c r="J851" t="s">
        <v>2365</v>
      </c>
      <c r="K851" t="s">
        <v>2365</v>
      </c>
      <c r="L851">
        <v>1200</v>
      </c>
      <c r="M851" t="s">
        <v>1480</v>
      </c>
      <c r="N851">
        <v>1204</v>
      </c>
      <c r="O851" t="s">
        <v>1487</v>
      </c>
      <c r="P851" t="s">
        <v>2366</v>
      </c>
      <c r="Q851" t="s">
        <v>2364</v>
      </c>
      <c r="R851" t="s">
        <v>2364</v>
      </c>
      <c r="S851" t="s">
        <v>553</v>
      </c>
      <c r="T851" t="s">
        <v>2175</v>
      </c>
      <c r="U851">
        <v>140</v>
      </c>
      <c r="V851" t="s">
        <v>693</v>
      </c>
      <c r="W851">
        <v>140</v>
      </c>
      <c r="X851" t="s">
        <v>693</v>
      </c>
      <c r="Y851" t="s">
        <v>2365</v>
      </c>
      <c r="Z851" t="s">
        <v>2365</v>
      </c>
      <c r="AA851" t="s">
        <v>2365</v>
      </c>
      <c r="AB851" t="s">
        <v>2365</v>
      </c>
      <c r="AC851" s="813" t="s">
        <v>2365</v>
      </c>
      <c r="AD851" s="813" t="s">
        <v>2365</v>
      </c>
      <c r="AE851" s="813" t="s">
        <v>2365</v>
      </c>
      <c r="AF851" t="s">
        <v>2365</v>
      </c>
      <c r="AG851" t="s">
        <v>2365</v>
      </c>
      <c r="AH851" t="s">
        <v>2365</v>
      </c>
      <c r="AI851" t="s">
        <v>2365</v>
      </c>
      <c r="AJ851" t="s">
        <v>2365</v>
      </c>
      <c r="AK851" t="s">
        <v>2366</v>
      </c>
      <c r="AL851" t="s">
        <v>2366</v>
      </c>
      <c r="AM851" t="s">
        <v>2366</v>
      </c>
      <c r="AN851" t="s">
        <v>2366</v>
      </c>
      <c r="AR851" t="s">
        <v>2365</v>
      </c>
      <c r="AS851" t="s">
        <v>2365</v>
      </c>
      <c r="AT851" t="s">
        <v>2365</v>
      </c>
      <c r="AU851" t="s">
        <v>2365</v>
      </c>
      <c r="AV851" t="s">
        <v>2365</v>
      </c>
      <c r="AW851" t="s">
        <v>2365</v>
      </c>
      <c r="AX851" t="s">
        <v>2365</v>
      </c>
      <c r="AY851" t="s">
        <v>2365</v>
      </c>
      <c r="AZ851" t="s">
        <v>2365</v>
      </c>
      <c r="BA851" t="s">
        <v>2365</v>
      </c>
      <c r="BB851" t="s">
        <v>2365</v>
      </c>
      <c r="BC851" t="s">
        <v>2365</v>
      </c>
      <c r="BD851" t="s">
        <v>2366</v>
      </c>
      <c r="BE851" t="s">
        <v>2365</v>
      </c>
      <c r="BF851" t="s">
        <v>2365</v>
      </c>
      <c r="BG851" t="s">
        <v>2365</v>
      </c>
      <c r="BH851" t="s">
        <v>2365</v>
      </c>
      <c r="BI851" t="s">
        <v>2366</v>
      </c>
      <c r="BJ851" t="s">
        <v>2365</v>
      </c>
      <c r="BK851" t="s">
        <v>2365</v>
      </c>
      <c r="BL851" t="s">
        <v>2365</v>
      </c>
      <c r="BM851" t="s">
        <v>2365</v>
      </c>
      <c r="BO851">
        <v>1</v>
      </c>
      <c r="BP851">
        <v>11</v>
      </c>
      <c r="BQ851" t="s">
        <v>2369</v>
      </c>
      <c r="BR851" t="s">
        <v>1487</v>
      </c>
      <c r="BU851">
        <v>0</v>
      </c>
      <c r="BV851">
        <v>0</v>
      </c>
      <c r="BW851">
        <v>0</v>
      </c>
      <c r="BX851">
        <v>0</v>
      </c>
      <c r="BY851">
        <v>0</v>
      </c>
      <c r="BZ851">
        <v>0</v>
      </c>
      <c r="CA851">
        <v>0</v>
      </c>
      <c r="CB851">
        <v>0</v>
      </c>
      <c r="CC851">
        <v>0</v>
      </c>
      <c r="CD851">
        <v>0</v>
      </c>
      <c r="CE851">
        <v>0</v>
      </c>
      <c r="CF851">
        <v>0</v>
      </c>
      <c r="CG851">
        <v>0</v>
      </c>
      <c r="CH851">
        <v>0</v>
      </c>
      <c r="CI851">
        <v>0</v>
      </c>
      <c r="CJ851">
        <v>0</v>
      </c>
      <c r="CK851">
        <v>0</v>
      </c>
      <c r="CL851">
        <v>0</v>
      </c>
      <c r="CM851">
        <v>0</v>
      </c>
      <c r="CR851" t="s">
        <v>2324</v>
      </c>
      <c r="CS851" s="1369" t="str">
        <f>INDEX([8]Sheet1!$H:$H,MATCH(CR:CR,[8]Sheet1!$AU:$AU,0))</f>
        <v>Finance</v>
      </c>
    </row>
    <row r="852" spans="1:97" x14ac:dyDescent="0.2">
      <c r="A852" t="s">
        <v>3582</v>
      </c>
      <c r="B852">
        <v>905</v>
      </c>
      <c r="C852" t="s">
        <v>3582</v>
      </c>
      <c r="D852">
        <v>41636</v>
      </c>
      <c r="E852" t="s">
        <v>3583</v>
      </c>
      <c r="F852" t="s">
        <v>2364</v>
      </c>
      <c r="G852" t="s">
        <v>2364</v>
      </c>
      <c r="H852" t="s">
        <v>2365</v>
      </c>
      <c r="I852" t="s">
        <v>2365</v>
      </c>
      <c r="J852" t="s">
        <v>2365</v>
      </c>
      <c r="K852" t="s">
        <v>2365</v>
      </c>
      <c r="L852">
        <v>1200</v>
      </c>
      <c r="M852" t="s">
        <v>1480</v>
      </c>
      <c r="N852">
        <v>1204</v>
      </c>
      <c r="O852" t="s">
        <v>1487</v>
      </c>
      <c r="P852" t="s">
        <v>2366</v>
      </c>
      <c r="Q852" t="s">
        <v>2364</v>
      </c>
      <c r="R852" t="s">
        <v>2364</v>
      </c>
      <c r="S852" t="s">
        <v>553</v>
      </c>
      <c r="T852" t="s">
        <v>2175</v>
      </c>
      <c r="U852">
        <v>140</v>
      </c>
      <c r="V852" t="s">
        <v>693</v>
      </c>
      <c r="W852">
        <v>140</v>
      </c>
      <c r="X852" t="s">
        <v>693</v>
      </c>
      <c r="Y852" t="s">
        <v>2365</v>
      </c>
      <c r="Z852" t="s">
        <v>2365</v>
      </c>
      <c r="AA852" t="s">
        <v>2365</v>
      </c>
      <c r="AB852" t="s">
        <v>2365</v>
      </c>
      <c r="AC852" s="813" t="s">
        <v>2365</v>
      </c>
      <c r="AD852" s="813" t="s">
        <v>2365</v>
      </c>
      <c r="AE852" s="813" t="s">
        <v>2365</v>
      </c>
      <c r="AF852" t="s">
        <v>2365</v>
      </c>
      <c r="AG852" t="s">
        <v>2365</v>
      </c>
      <c r="AH852" t="s">
        <v>2365</v>
      </c>
      <c r="AI852" t="s">
        <v>2365</v>
      </c>
      <c r="AJ852" t="s">
        <v>2365</v>
      </c>
      <c r="AK852">
        <v>147</v>
      </c>
      <c r="AL852" t="s">
        <v>1200</v>
      </c>
      <c r="AM852">
        <v>147</v>
      </c>
      <c r="AN852" t="s">
        <v>1200</v>
      </c>
      <c r="AR852" t="s">
        <v>2365</v>
      </c>
      <c r="AS852" t="s">
        <v>2365</v>
      </c>
      <c r="AT852" t="s">
        <v>2365</v>
      </c>
      <c r="AU852" t="s">
        <v>2365</v>
      </c>
      <c r="AV852" t="s">
        <v>2365</v>
      </c>
      <c r="AW852" t="s">
        <v>2365</v>
      </c>
      <c r="AX852" t="s">
        <v>2365</v>
      </c>
      <c r="AY852" t="s">
        <v>2365</v>
      </c>
      <c r="AZ852" t="s">
        <v>2365</v>
      </c>
      <c r="BA852" t="s">
        <v>2365</v>
      </c>
      <c r="BB852" t="s">
        <v>2365</v>
      </c>
      <c r="BC852" t="s">
        <v>2365</v>
      </c>
      <c r="BD852" t="s">
        <v>2366</v>
      </c>
      <c r="BE852" t="s">
        <v>2365</v>
      </c>
      <c r="BF852" t="s">
        <v>2365</v>
      </c>
      <c r="BG852" t="s">
        <v>2365</v>
      </c>
      <c r="BH852" t="s">
        <v>2365</v>
      </c>
      <c r="BI852" t="s">
        <v>2366</v>
      </c>
      <c r="BJ852" t="s">
        <v>2365</v>
      </c>
      <c r="BK852" t="s">
        <v>2365</v>
      </c>
      <c r="BL852" t="s">
        <v>2365</v>
      </c>
      <c r="BM852" t="s">
        <v>2365</v>
      </c>
      <c r="BO852">
        <v>1</v>
      </c>
      <c r="BP852">
        <v>11</v>
      </c>
      <c r="BQ852" t="s">
        <v>2369</v>
      </c>
      <c r="BR852" t="s">
        <v>1487</v>
      </c>
      <c r="BU852">
        <v>0</v>
      </c>
      <c r="BV852">
        <v>0</v>
      </c>
      <c r="BW852">
        <v>0</v>
      </c>
      <c r="BX852">
        <v>0</v>
      </c>
      <c r="BY852">
        <v>0</v>
      </c>
      <c r="BZ852">
        <v>0</v>
      </c>
      <c r="CA852">
        <v>0</v>
      </c>
      <c r="CB852">
        <v>0</v>
      </c>
      <c r="CC852">
        <v>0</v>
      </c>
      <c r="CD852">
        <v>0</v>
      </c>
      <c r="CE852">
        <v>0</v>
      </c>
      <c r="CF852">
        <v>0</v>
      </c>
      <c r="CG852">
        <v>0</v>
      </c>
      <c r="CH852">
        <v>0</v>
      </c>
      <c r="CI852">
        <v>0</v>
      </c>
      <c r="CJ852">
        <v>0</v>
      </c>
      <c r="CK852">
        <v>0</v>
      </c>
      <c r="CL852">
        <v>0</v>
      </c>
      <c r="CM852">
        <v>0</v>
      </c>
      <c r="CR852" t="s">
        <v>2324</v>
      </c>
      <c r="CS852" s="1369" t="str">
        <f>INDEX([8]Sheet1!$H:$H,MATCH(CR:CR,[8]Sheet1!$AU:$AU,0))</f>
        <v>Finance</v>
      </c>
    </row>
    <row r="853" spans="1:97" x14ac:dyDescent="0.2">
      <c r="A853" t="s">
        <v>3584</v>
      </c>
      <c r="B853">
        <v>906</v>
      </c>
      <c r="C853" t="s">
        <v>3584</v>
      </c>
      <c r="D853">
        <v>41637</v>
      </c>
      <c r="E853" t="s">
        <v>3585</v>
      </c>
      <c r="F853" t="s">
        <v>2364</v>
      </c>
      <c r="G853" t="s">
        <v>2364</v>
      </c>
      <c r="H853" t="s">
        <v>2365</v>
      </c>
      <c r="I853" t="s">
        <v>2365</v>
      </c>
      <c r="J853" t="s">
        <v>2365</v>
      </c>
      <c r="K853" t="s">
        <v>2365</v>
      </c>
      <c r="L853">
        <v>1200</v>
      </c>
      <c r="M853" t="s">
        <v>1480</v>
      </c>
      <c r="N853">
        <v>1204</v>
      </c>
      <c r="O853" t="s">
        <v>1487</v>
      </c>
      <c r="P853" t="s">
        <v>2366</v>
      </c>
      <c r="Q853" t="s">
        <v>2364</v>
      </c>
      <c r="R853" t="s">
        <v>2364</v>
      </c>
      <c r="S853" t="s">
        <v>553</v>
      </c>
      <c r="T853" t="s">
        <v>2175</v>
      </c>
      <c r="U853">
        <v>140</v>
      </c>
      <c r="V853" t="s">
        <v>693</v>
      </c>
      <c r="W853">
        <v>140</v>
      </c>
      <c r="X853" t="s">
        <v>693</v>
      </c>
      <c r="Y853" t="s">
        <v>2365</v>
      </c>
      <c r="Z853" t="s">
        <v>2365</v>
      </c>
      <c r="AA853" t="s">
        <v>2365</v>
      </c>
      <c r="AB853" t="s">
        <v>2365</v>
      </c>
      <c r="AC853" s="813" t="s">
        <v>2365</v>
      </c>
      <c r="AD853" s="813" t="s">
        <v>2365</v>
      </c>
      <c r="AE853" s="813" t="s">
        <v>2365</v>
      </c>
      <c r="AF853" t="s">
        <v>2365</v>
      </c>
      <c r="AG853" t="s">
        <v>2365</v>
      </c>
      <c r="AH853" t="s">
        <v>2365</v>
      </c>
      <c r="AI853" t="s">
        <v>2365</v>
      </c>
      <c r="AJ853" t="s">
        <v>2365</v>
      </c>
      <c r="AK853" t="s">
        <v>2366</v>
      </c>
      <c r="AL853" t="s">
        <v>2366</v>
      </c>
      <c r="AM853" t="s">
        <v>2366</v>
      </c>
      <c r="AN853" t="s">
        <v>2366</v>
      </c>
      <c r="AR853" t="s">
        <v>2365</v>
      </c>
      <c r="AS853" t="s">
        <v>2365</v>
      </c>
      <c r="AT853" t="s">
        <v>2365</v>
      </c>
      <c r="AU853" t="s">
        <v>2365</v>
      </c>
      <c r="AV853" t="s">
        <v>2365</v>
      </c>
      <c r="AW853" t="s">
        <v>2365</v>
      </c>
      <c r="AX853" t="s">
        <v>2365</v>
      </c>
      <c r="AY853" t="s">
        <v>2365</v>
      </c>
      <c r="AZ853" t="s">
        <v>2365</v>
      </c>
      <c r="BA853" t="s">
        <v>2365</v>
      </c>
      <c r="BB853" t="s">
        <v>2365</v>
      </c>
      <c r="BC853" t="s">
        <v>2365</v>
      </c>
      <c r="BD853" t="s">
        <v>2366</v>
      </c>
      <c r="BE853" t="s">
        <v>2365</v>
      </c>
      <c r="BF853" t="s">
        <v>2365</v>
      </c>
      <c r="BG853" t="s">
        <v>2365</v>
      </c>
      <c r="BH853" t="s">
        <v>2365</v>
      </c>
      <c r="BI853" t="s">
        <v>2366</v>
      </c>
      <c r="BJ853" t="s">
        <v>2365</v>
      </c>
      <c r="BK853" t="s">
        <v>2365</v>
      </c>
      <c r="BL853" t="s">
        <v>2365</v>
      </c>
      <c r="BM853" t="s">
        <v>2365</v>
      </c>
      <c r="BO853">
        <v>1</v>
      </c>
      <c r="BP853">
        <v>11</v>
      </c>
      <c r="BQ853" t="s">
        <v>2369</v>
      </c>
      <c r="BR853" t="s">
        <v>1487</v>
      </c>
      <c r="BU853">
        <v>0</v>
      </c>
      <c r="BV853">
        <v>0</v>
      </c>
      <c r="BW853">
        <v>0</v>
      </c>
      <c r="BX853">
        <v>0</v>
      </c>
      <c r="BY853">
        <v>0</v>
      </c>
      <c r="BZ853">
        <v>0</v>
      </c>
      <c r="CA853">
        <v>0</v>
      </c>
      <c r="CB853">
        <v>134284.5</v>
      </c>
      <c r="CC853">
        <v>134284.5</v>
      </c>
      <c r="CD853">
        <v>134284.5</v>
      </c>
      <c r="CE853">
        <v>134284.5</v>
      </c>
      <c r="CF853">
        <v>134284.5</v>
      </c>
      <c r="CG853">
        <v>134284.5</v>
      </c>
      <c r="CH853">
        <v>134284.5</v>
      </c>
      <c r="CI853">
        <v>133817.82999999999</v>
      </c>
      <c r="CJ853">
        <v>0</v>
      </c>
      <c r="CK853">
        <v>0</v>
      </c>
      <c r="CL853">
        <v>0</v>
      </c>
      <c r="CM853">
        <v>0</v>
      </c>
      <c r="CR853" t="s">
        <v>2324</v>
      </c>
      <c r="CS853" s="1369" t="str">
        <f>INDEX([8]Sheet1!$H:$H,MATCH(CR:CR,[8]Sheet1!$AU:$AU,0))</f>
        <v>Finance</v>
      </c>
    </row>
    <row r="854" spans="1:97" x14ac:dyDescent="0.2">
      <c r="A854" t="s">
        <v>3586</v>
      </c>
      <c r="B854">
        <v>907</v>
      </c>
      <c r="C854" t="s">
        <v>3586</v>
      </c>
      <c r="D854">
        <v>41638</v>
      </c>
      <c r="E854" t="s">
        <v>3587</v>
      </c>
      <c r="F854" t="s">
        <v>2364</v>
      </c>
      <c r="G854" t="s">
        <v>2364</v>
      </c>
      <c r="H854" t="s">
        <v>2365</v>
      </c>
      <c r="I854" t="s">
        <v>2365</v>
      </c>
      <c r="J854" t="s">
        <v>2365</v>
      </c>
      <c r="K854" t="s">
        <v>2365</v>
      </c>
      <c r="L854">
        <v>1200</v>
      </c>
      <c r="M854" t="s">
        <v>1480</v>
      </c>
      <c r="N854">
        <v>1204</v>
      </c>
      <c r="O854" t="s">
        <v>1487</v>
      </c>
      <c r="P854" t="s">
        <v>2366</v>
      </c>
      <c r="Q854" t="s">
        <v>2364</v>
      </c>
      <c r="R854" t="s">
        <v>2364</v>
      </c>
      <c r="S854" t="s">
        <v>553</v>
      </c>
      <c r="T854" t="s">
        <v>2175</v>
      </c>
      <c r="U854">
        <v>140</v>
      </c>
      <c r="V854" t="s">
        <v>693</v>
      </c>
      <c r="W854">
        <v>140</v>
      </c>
      <c r="X854" t="s">
        <v>693</v>
      </c>
      <c r="Y854" t="s">
        <v>2365</v>
      </c>
      <c r="Z854" t="s">
        <v>2365</v>
      </c>
      <c r="AA854" t="s">
        <v>2365</v>
      </c>
      <c r="AB854" t="s">
        <v>2365</v>
      </c>
      <c r="AC854" s="813" t="s">
        <v>2365</v>
      </c>
      <c r="AD854" s="813" t="s">
        <v>2365</v>
      </c>
      <c r="AE854" s="813" t="s">
        <v>2365</v>
      </c>
      <c r="AF854" t="s">
        <v>2365</v>
      </c>
      <c r="AG854" t="s">
        <v>2365</v>
      </c>
      <c r="AH854" t="s">
        <v>2365</v>
      </c>
      <c r="AI854" t="s">
        <v>2365</v>
      </c>
      <c r="AJ854" t="s">
        <v>2365</v>
      </c>
      <c r="AK854" t="s">
        <v>2366</v>
      </c>
      <c r="AL854" t="s">
        <v>2366</v>
      </c>
      <c r="AM854" t="s">
        <v>2366</v>
      </c>
      <c r="AN854" t="s">
        <v>2366</v>
      </c>
      <c r="AR854" t="s">
        <v>2365</v>
      </c>
      <c r="AS854" t="s">
        <v>2365</v>
      </c>
      <c r="AT854" t="s">
        <v>2365</v>
      </c>
      <c r="AU854" t="s">
        <v>2365</v>
      </c>
      <c r="AV854" t="s">
        <v>2365</v>
      </c>
      <c r="AW854" t="s">
        <v>2365</v>
      </c>
      <c r="AX854" t="s">
        <v>2365</v>
      </c>
      <c r="AY854" t="s">
        <v>2365</v>
      </c>
      <c r="AZ854" t="s">
        <v>2365</v>
      </c>
      <c r="BA854" t="s">
        <v>2365</v>
      </c>
      <c r="BB854" t="s">
        <v>2365</v>
      </c>
      <c r="BC854" t="s">
        <v>2365</v>
      </c>
      <c r="BD854" t="s">
        <v>2366</v>
      </c>
      <c r="BE854" t="s">
        <v>2365</v>
      </c>
      <c r="BF854" t="s">
        <v>2365</v>
      </c>
      <c r="BG854" t="s">
        <v>2365</v>
      </c>
      <c r="BH854" t="s">
        <v>2365</v>
      </c>
      <c r="BI854" t="s">
        <v>2366</v>
      </c>
      <c r="BJ854" t="s">
        <v>2365</v>
      </c>
      <c r="BK854" t="s">
        <v>2365</v>
      </c>
      <c r="BL854" t="s">
        <v>2365</v>
      </c>
      <c r="BM854" t="s">
        <v>2365</v>
      </c>
      <c r="BO854">
        <v>1</v>
      </c>
      <c r="BP854">
        <v>11</v>
      </c>
      <c r="BQ854" t="s">
        <v>2369</v>
      </c>
      <c r="BR854" t="s">
        <v>1487</v>
      </c>
      <c r="BU854">
        <v>0</v>
      </c>
      <c r="BV854">
        <v>0</v>
      </c>
      <c r="BW854">
        <v>0</v>
      </c>
      <c r="BX854">
        <v>0</v>
      </c>
      <c r="BY854">
        <v>0</v>
      </c>
      <c r="BZ854">
        <v>0</v>
      </c>
      <c r="CA854">
        <v>0</v>
      </c>
      <c r="CB854">
        <v>0</v>
      </c>
      <c r="CC854">
        <v>0</v>
      </c>
      <c r="CD854">
        <v>0</v>
      </c>
      <c r="CE854">
        <v>0</v>
      </c>
      <c r="CF854">
        <v>0</v>
      </c>
      <c r="CG854">
        <v>0</v>
      </c>
      <c r="CH854">
        <v>0</v>
      </c>
      <c r="CI854">
        <v>0</v>
      </c>
      <c r="CJ854">
        <v>0</v>
      </c>
      <c r="CK854">
        <v>0</v>
      </c>
      <c r="CL854">
        <v>0</v>
      </c>
      <c r="CM854">
        <v>0</v>
      </c>
      <c r="CR854" t="s">
        <v>2324</v>
      </c>
      <c r="CS854" s="1369" t="str">
        <f>INDEX([8]Sheet1!$H:$H,MATCH(CR:CR,[8]Sheet1!$AU:$AU,0))</f>
        <v>Finance</v>
      </c>
    </row>
    <row r="855" spans="1:97" x14ac:dyDescent="0.2">
      <c r="A855" t="s">
        <v>3588</v>
      </c>
      <c r="B855">
        <v>908</v>
      </c>
      <c r="C855" t="s">
        <v>3588</v>
      </c>
      <c r="D855">
        <v>41639</v>
      </c>
      <c r="E855" t="s">
        <v>3589</v>
      </c>
      <c r="F855" t="s">
        <v>2364</v>
      </c>
      <c r="G855" t="s">
        <v>2364</v>
      </c>
      <c r="H855" t="s">
        <v>2365</v>
      </c>
      <c r="I855" t="s">
        <v>2365</v>
      </c>
      <c r="J855" t="s">
        <v>2365</v>
      </c>
      <c r="K855" t="s">
        <v>2365</v>
      </c>
      <c r="L855">
        <v>1200</v>
      </c>
      <c r="M855" t="s">
        <v>1480</v>
      </c>
      <c r="N855">
        <v>1204</v>
      </c>
      <c r="O855" t="s">
        <v>1487</v>
      </c>
      <c r="P855" t="s">
        <v>2366</v>
      </c>
      <c r="Q855" t="s">
        <v>2364</v>
      </c>
      <c r="R855" t="s">
        <v>2364</v>
      </c>
      <c r="S855" t="s">
        <v>553</v>
      </c>
      <c r="T855" t="s">
        <v>2175</v>
      </c>
      <c r="U855">
        <v>140</v>
      </c>
      <c r="V855" t="s">
        <v>693</v>
      </c>
      <c r="W855">
        <v>140</v>
      </c>
      <c r="X855" t="s">
        <v>693</v>
      </c>
      <c r="Y855" t="s">
        <v>2365</v>
      </c>
      <c r="Z855" t="s">
        <v>2365</v>
      </c>
      <c r="AA855" t="s">
        <v>2365</v>
      </c>
      <c r="AB855" t="s">
        <v>2365</v>
      </c>
      <c r="AC855" s="813" t="s">
        <v>2365</v>
      </c>
      <c r="AD855" s="813" t="s">
        <v>2365</v>
      </c>
      <c r="AE855" s="813" t="s">
        <v>2365</v>
      </c>
      <c r="AF855" t="s">
        <v>2365</v>
      </c>
      <c r="AG855" t="s">
        <v>2365</v>
      </c>
      <c r="AH855" t="s">
        <v>2365</v>
      </c>
      <c r="AI855" t="s">
        <v>2365</v>
      </c>
      <c r="AJ855" t="s">
        <v>2365</v>
      </c>
      <c r="AK855" t="s">
        <v>2366</v>
      </c>
      <c r="AL855" t="s">
        <v>2366</v>
      </c>
      <c r="AM855" t="s">
        <v>2366</v>
      </c>
      <c r="AN855" t="s">
        <v>2366</v>
      </c>
      <c r="AR855" t="s">
        <v>2365</v>
      </c>
      <c r="AS855" t="s">
        <v>2365</v>
      </c>
      <c r="AT855" t="s">
        <v>2365</v>
      </c>
      <c r="AU855" t="s">
        <v>2365</v>
      </c>
      <c r="AV855" t="s">
        <v>2365</v>
      </c>
      <c r="AW855" t="s">
        <v>2365</v>
      </c>
      <c r="AX855" t="s">
        <v>2365</v>
      </c>
      <c r="AY855" t="s">
        <v>2365</v>
      </c>
      <c r="AZ855" t="s">
        <v>2365</v>
      </c>
      <c r="BA855" t="s">
        <v>2365</v>
      </c>
      <c r="BB855" t="s">
        <v>2365</v>
      </c>
      <c r="BC855" t="s">
        <v>2365</v>
      </c>
      <c r="BD855" t="s">
        <v>2366</v>
      </c>
      <c r="BE855" t="s">
        <v>2365</v>
      </c>
      <c r="BF855" t="s">
        <v>2365</v>
      </c>
      <c r="BG855" t="s">
        <v>2365</v>
      </c>
      <c r="BH855" t="s">
        <v>2365</v>
      </c>
      <c r="BI855" t="s">
        <v>2366</v>
      </c>
      <c r="BJ855" t="s">
        <v>2365</v>
      </c>
      <c r="BK855" t="s">
        <v>2365</v>
      </c>
      <c r="BL855" t="s">
        <v>2365</v>
      </c>
      <c r="BM855" t="s">
        <v>2365</v>
      </c>
      <c r="BO855">
        <v>1</v>
      </c>
      <c r="BP855">
        <v>11</v>
      </c>
      <c r="BQ855" t="s">
        <v>2369</v>
      </c>
      <c r="BR855" t="s">
        <v>1487</v>
      </c>
      <c r="BU855">
        <v>0</v>
      </c>
      <c r="BV855">
        <v>0</v>
      </c>
      <c r="BW855">
        <v>0</v>
      </c>
      <c r="BX855">
        <v>0</v>
      </c>
      <c r="BY855">
        <v>0</v>
      </c>
      <c r="BZ855">
        <v>0</v>
      </c>
      <c r="CA855">
        <v>0</v>
      </c>
      <c r="CB855">
        <v>0</v>
      </c>
      <c r="CC855">
        <v>0</v>
      </c>
      <c r="CD855">
        <v>0</v>
      </c>
      <c r="CE855">
        <v>0</v>
      </c>
      <c r="CF855">
        <v>0</v>
      </c>
      <c r="CG855">
        <v>0</v>
      </c>
      <c r="CH855">
        <v>0</v>
      </c>
      <c r="CI855">
        <v>0</v>
      </c>
      <c r="CJ855">
        <v>0</v>
      </c>
      <c r="CK855">
        <v>0</v>
      </c>
      <c r="CL855">
        <v>0</v>
      </c>
      <c r="CM855">
        <v>0</v>
      </c>
      <c r="CR855" t="s">
        <v>2324</v>
      </c>
      <c r="CS855" s="1369" t="str">
        <f>INDEX([8]Sheet1!$H:$H,MATCH(CR:CR,[8]Sheet1!$AU:$AU,0))</f>
        <v>Finance</v>
      </c>
    </row>
    <row r="856" spans="1:97" x14ac:dyDescent="0.2">
      <c r="A856" t="s">
        <v>3590</v>
      </c>
      <c r="B856">
        <v>909</v>
      </c>
      <c r="C856" t="s">
        <v>3590</v>
      </c>
      <c r="D856">
        <v>41640</v>
      </c>
      <c r="E856" t="s">
        <v>3591</v>
      </c>
      <c r="F856" t="s">
        <v>2364</v>
      </c>
      <c r="G856" t="s">
        <v>2364</v>
      </c>
      <c r="H856" t="s">
        <v>2365</v>
      </c>
      <c r="I856" t="s">
        <v>2365</v>
      </c>
      <c r="J856" t="s">
        <v>2365</v>
      </c>
      <c r="K856" t="s">
        <v>2365</v>
      </c>
      <c r="L856">
        <v>1200</v>
      </c>
      <c r="M856" t="s">
        <v>1480</v>
      </c>
      <c r="N856">
        <v>1204</v>
      </c>
      <c r="O856" t="s">
        <v>1487</v>
      </c>
      <c r="P856" t="s">
        <v>2366</v>
      </c>
      <c r="Q856" t="s">
        <v>2364</v>
      </c>
      <c r="R856" t="s">
        <v>2364</v>
      </c>
      <c r="S856" t="s">
        <v>553</v>
      </c>
      <c r="T856" t="s">
        <v>2175</v>
      </c>
      <c r="U856">
        <v>140</v>
      </c>
      <c r="V856" t="s">
        <v>693</v>
      </c>
      <c r="W856">
        <v>140</v>
      </c>
      <c r="X856" t="s">
        <v>693</v>
      </c>
      <c r="Y856" t="s">
        <v>2365</v>
      </c>
      <c r="Z856" t="s">
        <v>2365</v>
      </c>
      <c r="AA856" t="s">
        <v>2365</v>
      </c>
      <c r="AB856" t="s">
        <v>2365</v>
      </c>
      <c r="AC856" s="813" t="s">
        <v>2365</v>
      </c>
      <c r="AD856" s="813" t="s">
        <v>2365</v>
      </c>
      <c r="AE856" s="813" t="s">
        <v>2365</v>
      </c>
      <c r="AF856" t="s">
        <v>2365</v>
      </c>
      <c r="AG856" t="s">
        <v>2365</v>
      </c>
      <c r="AH856" t="s">
        <v>2365</v>
      </c>
      <c r="AI856" t="s">
        <v>2365</v>
      </c>
      <c r="AJ856" t="s">
        <v>2365</v>
      </c>
      <c r="AK856" t="s">
        <v>2366</v>
      </c>
      <c r="AL856" t="s">
        <v>2366</v>
      </c>
      <c r="AM856" t="s">
        <v>2366</v>
      </c>
      <c r="AN856" t="s">
        <v>2366</v>
      </c>
      <c r="AR856" t="s">
        <v>2365</v>
      </c>
      <c r="AS856" t="s">
        <v>2365</v>
      </c>
      <c r="AT856" t="s">
        <v>2365</v>
      </c>
      <c r="AU856" t="s">
        <v>2365</v>
      </c>
      <c r="AV856" t="s">
        <v>2365</v>
      </c>
      <c r="AW856" t="s">
        <v>2365</v>
      </c>
      <c r="AX856" t="s">
        <v>2365</v>
      </c>
      <c r="AY856" t="s">
        <v>2365</v>
      </c>
      <c r="AZ856" t="s">
        <v>2365</v>
      </c>
      <c r="BA856" t="s">
        <v>2365</v>
      </c>
      <c r="BB856" t="s">
        <v>2365</v>
      </c>
      <c r="BC856" t="s">
        <v>2365</v>
      </c>
      <c r="BD856" t="s">
        <v>2366</v>
      </c>
      <c r="BE856" t="s">
        <v>2365</v>
      </c>
      <c r="BF856" t="s">
        <v>2365</v>
      </c>
      <c r="BG856" t="s">
        <v>2365</v>
      </c>
      <c r="BH856" t="s">
        <v>2365</v>
      </c>
      <c r="BI856" t="s">
        <v>2366</v>
      </c>
      <c r="BJ856" t="s">
        <v>2365</v>
      </c>
      <c r="BK856" t="s">
        <v>2365</v>
      </c>
      <c r="BL856" t="s">
        <v>2365</v>
      </c>
      <c r="BM856" t="s">
        <v>2365</v>
      </c>
      <c r="BO856">
        <v>1</v>
      </c>
      <c r="BP856">
        <v>11</v>
      </c>
      <c r="BQ856" t="s">
        <v>2369</v>
      </c>
      <c r="BR856" t="s">
        <v>1487</v>
      </c>
      <c r="BU856">
        <v>0</v>
      </c>
      <c r="BV856">
        <v>0</v>
      </c>
      <c r="BW856">
        <v>0</v>
      </c>
      <c r="BX856">
        <v>0</v>
      </c>
      <c r="BY856">
        <v>0</v>
      </c>
      <c r="BZ856">
        <v>0</v>
      </c>
      <c r="CA856">
        <v>0</v>
      </c>
      <c r="CB856">
        <v>0</v>
      </c>
      <c r="CC856">
        <v>0</v>
      </c>
      <c r="CD856">
        <v>0</v>
      </c>
      <c r="CE856">
        <v>0</v>
      </c>
      <c r="CF856">
        <v>0</v>
      </c>
      <c r="CG856">
        <v>0</v>
      </c>
      <c r="CH856">
        <v>0</v>
      </c>
      <c r="CI856">
        <v>0</v>
      </c>
      <c r="CJ856">
        <v>0</v>
      </c>
      <c r="CK856">
        <v>0</v>
      </c>
      <c r="CL856">
        <v>0</v>
      </c>
      <c r="CM856">
        <v>0</v>
      </c>
      <c r="CR856" t="s">
        <v>2324</v>
      </c>
      <c r="CS856" s="1369" t="str">
        <f>INDEX([8]Sheet1!$H:$H,MATCH(CR:CR,[8]Sheet1!$AU:$AU,0))</f>
        <v>Finance</v>
      </c>
    </row>
    <row r="857" spans="1:97" x14ac:dyDescent="0.2">
      <c r="A857" t="s">
        <v>3592</v>
      </c>
      <c r="B857">
        <v>910</v>
      </c>
      <c r="C857" t="s">
        <v>3592</v>
      </c>
      <c r="D857">
        <v>41641</v>
      </c>
      <c r="E857" t="s">
        <v>3593</v>
      </c>
      <c r="F857" t="s">
        <v>2364</v>
      </c>
      <c r="G857" t="s">
        <v>2364</v>
      </c>
      <c r="H857" t="s">
        <v>2365</v>
      </c>
      <c r="I857" t="s">
        <v>2365</v>
      </c>
      <c r="J857" t="s">
        <v>2365</v>
      </c>
      <c r="K857" t="s">
        <v>2365</v>
      </c>
      <c r="L857">
        <v>1200</v>
      </c>
      <c r="M857" t="s">
        <v>1480</v>
      </c>
      <c r="N857">
        <v>1204</v>
      </c>
      <c r="O857" t="s">
        <v>1487</v>
      </c>
      <c r="P857" t="s">
        <v>2366</v>
      </c>
      <c r="Q857" t="s">
        <v>2364</v>
      </c>
      <c r="R857" t="s">
        <v>2364</v>
      </c>
      <c r="S857" t="s">
        <v>553</v>
      </c>
      <c r="T857" t="s">
        <v>2175</v>
      </c>
      <c r="U857" t="s">
        <v>2366</v>
      </c>
      <c r="V857" t="s">
        <v>2366</v>
      </c>
      <c r="W857" t="s">
        <v>2366</v>
      </c>
      <c r="X857" t="s">
        <v>2366</v>
      </c>
      <c r="Y857" t="s">
        <v>2365</v>
      </c>
      <c r="Z857" t="s">
        <v>2365</v>
      </c>
      <c r="AA857" t="s">
        <v>2365</v>
      </c>
      <c r="AB857" t="s">
        <v>2365</v>
      </c>
      <c r="AC857" s="813" t="s">
        <v>2365</v>
      </c>
      <c r="AD857" s="813" t="s">
        <v>2365</v>
      </c>
      <c r="AE857" s="813" t="s">
        <v>2365</v>
      </c>
      <c r="AF857" t="s">
        <v>2365</v>
      </c>
      <c r="AG857" t="s">
        <v>2365</v>
      </c>
      <c r="AH857" t="s">
        <v>2365</v>
      </c>
      <c r="AI857" t="s">
        <v>2365</v>
      </c>
      <c r="AJ857" t="s">
        <v>2365</v>
      </c>
      <c r="AK857">
        <v>146</v>
      </c>
      <c r="AL857" t="s">
        <v>1199</v>
      </c>
      <c r="AM857">
        <v>146</v>
      </c>
      <c r="AN857" t="s">
        <v>1199</v>
      </c>
      <c r="AR857" t="s">
        <v>2365</v>
      </c>
      <c r="AS857" t="s">
        <v>2365</v>
      </c>
      <c r="AT857" t="s">
        <v>2365</v>
      </c>
      <c r="AU857" t="s">
        <v>2365</v>
      </c>
      <c r="AV857" t="s">
        <v>2365</v>
      </c>
      <c r="AW857" t="s">
        <v>2365</v>
      </c>
      <c r="AX857" t="s">
        <v>2365</v>
      </c>
      <c r="AY857" t="s">
        <v>2365</v>
      </c>
      <c r="AZ857" t="s">
        <v>2365</v>
      </c>
      <c r="BA857" t="s">
        <v>2365</v>
      </c>
      <c r="BB857" t="s">
        <v>2365</v>
      </c>
      <c r="BC857" t="s">
        <v>2365</v>
      </c>
      <c r="BD857" t="s">
        <v>2366</v>
      </c>
      <c r="BE857" t="s">
        <v>2365</v>
      </c>
      <c r="BF857" t="s">
        <v>2365</v>
      </c>
      <c r="BG857" t="s">
        <v>2365</v>
      </c>
      <c r="BH857" t="s">
        <v>2365</v>
      </c>
      <c r="BI857" t="s">
        <v>2366</v>
      </c>
      <c r="BJ857" t="s">
        <v>2365</v>
      </c>
      <c r="BK857" t="s">
        <v>2365</v>
      </c>
      <c r="BL857" t="s">
        <v>2365</v>
      </c>
      <c r="BM857" t="s">
        <v>2365</v>
      </c>
      <c r="BO857">
        <v>1</v>
      </c>
      <c r="BP857">
        <v>11</v>
      </c>
      <c r="BQ857" t="s">
        <v>2369</v>
      </c>
      <c r="BR857" t="s">
        <v>1487</v>
      </c>
      <c r="BU857">
        <v>0</v>
      </c>
      <c r="BV857">
        <v>0</v>
      </c>
      <c r="BW857">
        <v>0</v>
      </c>
      <c r="BX857">
        <v>0</v>
      </c>
      <c r="BY857">
        <v>0</v>
      </c>
      <c r="BZ857">
        <v>0</v>
      </c>
      <c r="CA857">
        <v>0</v>
      </c>
      <c r="CB857">
        <v>0</v>
      </c>
      <c r="CC857">
        <v>0</v>
      </c>
      <c r="CD857">
        <v>0</v>
      </c>
      <c r="CE857">
        <v>0</v>
      </c>
      <c r="CF857">
        <v>0</v>
      </c>
      <c r="CG857">
        <v>0</v>
      </c>
      <c r="CH857">
        <v>0</v>
      </c>
      <c r="CI857">
        <v>0</v>
      </c>
      <c r="CJ857">
        <v>0</v>
      </c>
      <c r="CK857">
        <v>0</v>
      </c>
      <c r="CL857">
        <v>0</v>
      </c>
      <c r="CM857">
        <v>0</v>
      </c>
      <c r="CR857" t="s">
        <v>2324</v>
      </c>
      <c r="CS857" s="1369" t="str">
        <f>INDEX([8]Sheet1!$H:$H,MATCH(CR:CR,[8]Sheet1!$AU:$AU,0))</f>
        <v>Finance</v>
      </c>
    </row>
    <row r="858" spans="1:97" x14ac:dyDescent="0.2">
      <c r="A858" t="s">
        <v>3594</v>
      </c>
      <c r="B858">
        <v>911</v>
      </c>
      <c r="C858" t="s">
        <v>3594</v>
      </c>
      <c r="D858">
        <v>41642</v>
      </c>
      <c r="E858" t="s">
        <v>3595</v>
      </c>
      <c r="F858" t="s">
        <v>2364</v>
      </c>
      <c r="G858" t="s">
        <v>2364</v>
      </c>
      <c r="H858" t="s">
        <v>2365</v>
      </c>
      <c r="I858" t="s">
        <v>2365</v>
      </c>
      <c r="J858" t="s">
        <v>2365</v>
      </c>
      <c r="K858" t="s">
        <v>2365</v>
      </c>
      <c r="L858">
        <v>1200</v>
      </c>
      <c r="M858" t="s">
        <v>1480</v>
      </c>
      <c r="N858">
        <v>1204</v>
      </c>
      <c r="O858" t="s">
        <v>1487</v>
      </c>
      <c r="P858" t="s">
        <v>2366</v>
      </c>
      <c r="Q858" t="s">
        <v>2364</v>
      </c>
      <c r="R858" t="s">
        <v>2364</v>
      </c>
      <c r="S858" t="s">
        <v>553</v>
      </c>
      <c r="T858" t="s">
        <v>2175</v>
      </c>
      <c r="U858">
        <v>140</v>
      </c>
      <c r="V858" t="s">
        <v>693</v>
      </c>
      <c r="W858">
        <v>140</v>
      </c>
      <c r="X858" t="s">
        <v>693</v>
      </c>
      <c r="Y858" t="s">
        <v>2365</v>
      </c>
      <c r="Z858" t="s">
        <v>2365</v>
      </c>
      <c r="AA858" t="s">
        <v>2365</v>
      </c>
      <c r="AB858" t="s">
        <v>2365</v>
      </c>
      <c r="AC858" s="813" t="s">
        <v>2365</v>
      </c>
      <c r="AD858" s="813" t="s">
        <v>2365</v>
      </c>
      <c r="AE858" s="813" t="s">
        <v>2365</v>
      </c>
      <c r="AF858" t="s">
        <v>2365</v>
      </c>
      <c r="AG858" t="s">
        <v>2365</v>
      </c>
      <c r="AH858" t="s">
        <v>2365</v>
      </c>
      <c r="AI858" t="s">
        <v>2365</v>
      </c>
      <c r="AJ858" t="s">
        <v>2365</v>
      </c>
      <c r="AK858" t="s">
        <v>2366</v>
      </c>
      <c r="AL858" t="s">
        <v>2366</v>
      </c>
      <c r="AM858" t="s">
        <v>2366</v>
      </c>
      <c r="AN858" t="s">
        <v>2366</v>
      </c>
      <c r="AR858" t="s">
        <v>2365</v>
      </c>
      <c r="AS858" t="s">
        <v>2365</v>
      </c>
      <c r="AT858" t="s">
        <v>2365</v>
      </c>
      <c r="AU858" t="s">
        <v>2365</v>
      </c>
      <c r="AV858" t="s">
        <v>2365</v>
      </c>
      <c r="AW858" t="s">
        <v>2365</v>
      </c>
      <c r="AX858" t="s">
        <v>2365</v>
      </c>
      <c r="AY858" t="s">
        <v>2365</v>
      </c>
      <c r="AZ858" t="s">
        <v>2365</v>
      </c>
      <c r="BA858" t="s">
        <v>2365</v>
      </c>
      <c r="BB858" t="s">
        <v>2365</v>
      </c>
      <c r="BC858" t="s">
        <v>2365</v>
      </c>
      <c r="BD858" t="s">
        <v>2366</v>
      </c>
      <c r="BE858" t="s">
        <v>2365</v>
      </c>
      <c r="BF858" t="s">
        <v>2365</v>
      </c>
      <c r="BG858" t="s">
        <v>2365</v>
      </c>
      <c r="BH858" t="s">
        <v>2365</v>
      </c>
      <c r="BI858" t="s">
        <v>2366</v>
      </c>
      <c r="BJ858" t="s">
        <v>2365</v>
      </c>
      <c r="BK858" t="s">
        <v>2365</v>
      </c>
      <c r="BL858" t="s">
        <v>2365</v>
      </c>
      <c r="BM858" t="s">
        <v>2365</v>
      </c>
      <c r="BO858">
        <v>1</v>
      </c>
      <c r="BP858">
        <v>11</v>
      </c>
      <c r="BQ858" t="s">
        <v>2369</v>
      </c>
      <c r="BR858" t="s">
        <v>1487</v>
      </c>
      <c r="BU858">
        <v>0</v>
      </c>
      <c r="BV858">
        <v>0</v>
      </c>
      <c r="BW858" s="1371">
        <v>0</v>
      </c>
      <c r="BX858" s="1372">
        <v>0</v>
      </c>
      <c r="BY858">
        <v>0</v>
      </c>
      <c r="BZ858">
        <v>0</v>
      </c>
      <c r="CA858">
        <v>0</v>
      </c>
      <c r="CB858">
        <v>0</v>
      </c>
      <c r="CC858">
        <v>0</v>
      </c>
      <c r="CD858">
        <v>0</v>
      </c>
      <c r="CE858">
        <v>0</v>
      </c>
      <c r="CF858">
        <v>0</v>
      </c>
      <c r="CG858">
        <v>0</v>
      </c>
      <c r="CH858">
        <v>0</v>
      </c>
      <c r="CI858">
        <v>0</v>
      </c>
      <c r="CJ858">
        <v>0</v>
      </c>
      <c r="CK858">
        <v>0</v>
      </c>
      <c r="CL858">
        <v>0</v>
      </c>
      <c r="CM858">
        <v>0</v>
      </c>
      <c r="CR858" t="s">
        <v>2324</v>
      </c>
      <c r="CS858" s="1369" t="str">
        <f>INDEX([8]Sheet1!$H:$H,MATCH(CR:CR,[8]Sheet1!$AU:$AU,0))</f>
        <v>Finance</v>
      </c>
    </row>
    <row r="859" spans="1:97" x14ac:dyDescent="0.2">
      <c r="A859" t="s">
        <v>3596</v>
      </c>
      <c r="B859">
        <v>912</v>
      </c>
      <c r="C859" t="s">
        <v>3596</v>
      </c>
      <c r="D859">
        <v>41643</v>
      </c>
      <c r="E859" t="s">
        <v>3597</v>
      </c>
      <c r="F859" t="s">
        <v>2364</v>
      </c>
      <c r="G859" t="s">
        <v>2364</v>
      </c>
      <c r="H859" t="s">
        <v>2365</v>
      </c>
      <c r="I859" t="s">
        <v>2365</v>
      </c>
      <c r="J859" t="s">
        <v>2365</v>
      </c>
      <c r="K859" t="s">
        <v>2365</v>
      </c>
      <c r="L859">
        <v>1200</v>
      </c>
      <c r="M859" t="s">
        <v>1480</v>
      </c>
      <c r="N859">
        <v>1204</v>
      </c>
      <c r="O859" t="s">
        <v>1487</v>
      </c>
      <c r="P859" t="s">
        <v>2366</v>
      </c>
      <c r="Q859" t="s">
        <v>2364</v>
      </c>
      <c r="R859" t="s">
        <v>2364</v>
      </c>
      <c r="S859" t="s">
        <v>553</v>
      </c>
      <c r="T859" t="s">
        <v>2175</v>
      </c>
      <c r="U859" t="s">
        <v>2366</v>
      </c>
      <c r="V859" t="s">
        <v>2366</v>
      </c>
      <c r="W859" t="s">
        <v>2366</v>
      </c>
      <c r="X859" t="s">
        <v>2366</v>
      </c>
      <c r="Y859" t="s">
        <v>2365</v>
      </c>
      <c r="Z859" t="s">
        <v>2365</v>
      </c>
      <c r="AA859" t="s">
        <v>2365</v>
      </c>
      <c r="AB859" t="s">
        <v>2365</v>
      </c>
      <c r="AC859" s="813" t="s">
        <v>2365</v>
      </c>
      <c r="AD859" s="813" t="s">
        <v>2365</v>
      </c>
      <c r="AE859" s="813" t="s">
        <v>2365</v>
      </c>
      <c r="AF859" t="s">
        <v>2365</v>
      </c>
      <c r="AG859" t="s">
        <v>2365</v>
      </c>
      <c r="AH859" t="s">
        <v>2365</v>
      </c>
      <c r="AI859" t="s">
        <v>2365</v>
      </c>
      <c r="AJ859" t="s">
        <v>2365</v>
      </c>
      <c r="AK859">
        <v>146</v>
      </c>
      <c r="AL859" t="s">
        <v>1199</v>
      </c>
      <c r="AM859">
        <v>146</v>
      </c>
      <c r="AN859" t="s">
        <v>1199</v>
      </c>
      <c r="AR859" t="s">
        <v>2365</v>
      </c>
      <c r="AS859" t="s">
        <v>2365</v>
      </c>
      <c r="AT859" t="s">
        <v>2365</v>
      </c>
      <c r="AU859" t="s">
        <v>2365</v>
      </c>
      <c r="AV859" t="s">
        <v>2365</v>
      </c>
      <c r="AW859" t="s">
        <v>2365</v>
      </c>
      <c r="AX859" t="s">
        <v>2365</v>
      </c>
      <c r="AY859" t="s">
        <v>2365</v>
      </c>
      <c r="AZ859" t="s">
        <v>2365</v>
      </c>
      <c r="BA859" t="s">
        <v>2365</v>
      </c>
      <c r="BB859" t="s">
        <v>2365</v>
      </c>
      <c r="BC859" t="s">
        <v>2365</v>
      </c>
      <c r="BD859" t="s">
        <v>2366</v>
      </c>
      <c r="BE859" t="s">
        <v>2365</v>
      </c>
      <c r="BF859" t="s">
        <v>2365</v>
      </c>
      <c r="BG859" t="s">
        <v>2365</v>
      </c>
      <c r="BH859" t="s">
        <v>2365</v>
      </c>
      <c r="BI859" t="s">
        <v>2366</v>
      </c>
      <c r="BJ859" t="s">
        <v>2365</v>
      </c>
      <c r="BK859" t="s">
        <v>2365</v>
      </c>
      <c r="BL859" t="s">
        <v>2365</v>
      </c>
      <c r="BM859" t="s">
        <v>2365</v>
      </c>
      <c r="BO859">
        <v>1</v>
      </c>
      <c r="BP859">
        <v>11</v>
      </c>
      <c r="BQ859" t="s">
        <v>2369</v>
      </c>
      <c r="BR859" t="s">
        <v>1487</v>
      </c>
      <c r="BU859">
        <v>0</v>
      </c>
      <c r="BV859">
        <v>0</v>
      </c>
      <c r="BW859" s="1371">
        <v>0</v>
      </c>
      <c r="BX859" s="1372">
        <v>0</v>
      </c>
      <c r="BY859">
        <v>0</v>
      </c>
      <c r="BZ859">
        <v>0</v>
      </c>
      <c r="CA859">
        <v>0</v>
      </c>
      <c r="CB859">
        <v>0</v>
      </c>
      <c r="CC859">
        <v>0</v>
      </c>
      <c r="CD859">
        <v>0</v>
      </c>
      <c r="CE859">
        <v>0</v>
      </c>
      <c r="CF859">
        <v>0</v>
      </c>
      <c r="CG859">
        <v>0</v>
      </c>
      <c r="CH859">
        <v>0</v>
      </c>
      <c r="CI859">
        <v>0</v>
      </c>
      <c r="CJ859">
        <v>0</v>
      </c>
      <c r="CK859">
        <v>0</v>
      </c>
      <c r="CL859">
        <v>0</v>
      </c>
      <c r="CM859">
        <v>0</v>
      </c>
      <c r="CR859" t="s">
        <v>2324</v>
      </c>
      <c r="CS859" s="1369" t="str">
        <f>INDEX([8]Sheet1!$H:$H,MATCH(CR:CR,[8]Sheet1!$AU:$AU,0))</f>
        <v>Finance</v>
      </c>
    </row>
    <row r="860" spans="1:97" x14ac:dyDescent="0.2">
      <c r="A860" t="s">
        <v>3598</v>
      </c>
      <c r="B860">
        <v>913</v>
      </c>
      <c r="C860" t="s">
        <v>3598</v>
      </c>
      <c r="D860">
        <v>41644</v>
      </c>
      <c r="E860" t="s">
        <v>3599</v>
      </c>
      <c r="F860" t="s">
        <v>2364</v>
      </c>
      <c r="G860" t="s">
        <v>2364</v>
      </c>
      <c r="H860" t="s">
        <v>2365</v>
      </c>
      <c r="I860" t="s">
        <v>2365</v>
      </c>
      <c r="J860" t="s">
        <v>2365</v>
      </c>
      <c r="K860" t="s">
        <v>2365</v>
      </c>
      <c r="L860">
        <v>1200</v>
      </c>
      <c r="M860" t="s">
        <v>1480</v>
      </c>
      <c r="N860">
        <v>1204</v>
      </c>
      <c r="O860" t="s">
        <v>1487</v>
      </c>
      <c r="P860" t="s">
        <v>2366</v>
      </c>
      <c r="Q860" t="s">
        <v>2364</v>
      </c>
      <c r="R860" t="s">
        <v>2364</v>
      </c>
      <c r="S860" t="s">
        <v>553</v>
      </c>
      <c r="T860" t="s">
        <v>2175</v>
      </c>
      <c r="U860">
        <v>140</v>
      </c>
      <c r="V860" t="s">
        <v>693</v>
      </c>
      <c r="W860">
        <v>140</v>
      </c>
      <c r="X860" t="s">
        <v>693</v>
      </c>
      <c r="Y860" t="s">
        <v>2365</v>
      </c>
      <c r="Z860" t="s">
        <v>2365</v>
      </c>
      <c r="AA860" t="s">
        <v>2365</v>
      </c>
      <c r="AB860" t="s">
        <v>2365</v>
      </c>
      <c r="AC860" s="813" t="s">
        <v>2365</v>
      </c>
      <c r="AD860" s="813" t="s">
        <v>2365</v>
      </c>
      <c r="AE860" s="813" t="s">
        <v>2365</v>
      </c>
      <c r="AF860" t="s">
        <v>2365</v>
      </c>
      <c r="AG860" t="s">
        <v>2365</v>
      </c>
      <c r="AH860" t="s">
        <v>2365</v>
      </c>
      <c r="AI860" t="s">
        <v>2365</v>
      </c>
      <c r="AJ860" t="s">
        <v>2365</v>
      </c>
      <c r="AK860" t="s">
        <v>2366</v>
      </c>
      <c r="AL860" t="s">
        <v>2366</v>
      </c>
      <c r="AM860" t="s">
        <v>2366</v>
      </c>
      <c r="AN860" t="s">
        <v>2366</v>
      </c>
      <c r="AR860" t="s">
        <v>2365</v>
      </c>
      <c r="AS860" t="s">
        <v>2365</v>
      </c>
      <c r="AT860" t="s">
        <v>2365</v>
      </c>
      <c r="AU860" t="s">
        <v>2365</v>
      </c>
      <c r="AV860" t="s">
        <v>2365</v>
      </c>
      <c r="AW860" t="s">
        <v>2365</v>
      </c>
      <c r="AX860" t="s">
        <v>2365</v>
      </c>
      <c r="AY860" t="s">
        <v>2365</v>
      </c>
      <c r="AZ860" t="s">
        <v>2365</v>
      </c>
      <c r="BA860" t="s">
        <v>2365</v>
      </c>
      <c r="BB860" t="s">
        <v>2365</v>
      </c>
      <c r="BC860" t="s">
        <v>2365</v>
      </c>
      <c r="BD860" t="s">
        <v>2366</v>
      </c>
      <c r="BE860" t="s">
        <v>2365</v>
      </c>
      <c r="BF860" t="s">
        <v>2365</v>
      </c>
      <c r="BG860" t="s">
        <v>2365</v>
      </c>
      <c r="BH860" t="s">
        <v>2365</v>
      </c>
      <c r="BI860" t="s">
        <v>2366</v>
      </c>
      <c r="BJ860" t="s">
        <v>2365</v>
      </c>
      <c r="BK860" t="s">
        <v>2365</v>
      </c>
      <c r="BL860" t="s">
        <v>2365</v>
      </c>
      <c r="BM860" t="s">
        <v>2365</v>
      </c>
      <c r="BO860">
        <v>1</v>
      </c>
      <c r="BP860">
        <v>11</v>
      </c>
      <c r="BQ860" t="s">
        <v>2369</v>
      </c>
      <c r="BR860" t="s">
        <v>1487</v>
      </c>
      <c r="BU860">
        <v>0</v>
      </c>
      <c r="BV860">
        <v>0</v>
      </c>
      <c r="BW860" s="1371">
        <v>0</v>
      </c>
      <c r="BX860" s="1372">
        <v>0</v>
      </c>
      <c r="BY860">
        <v>0</v>
      </c>
      <c r="BZ860">
        <v>0</v>
      </c>
      <c r="CA860">
        <v>0</v>
      </c>
      <c r="CB860">
        <v>0</v>
      </c>
      <c r="CC860">
        <v>0</v>
      </c>
      <c r="CD860">
        <v>0</v>
      </c>
      <c r="CE860">
        <v>0</v>
      </c>
      <c r="CF860">
        <v>0</v>
      </c>
      <c r="CG860">
        <v>0</v>
      </c>
      <c r="CH860">
        <v>0</v>
      </c>
      <c r="CI860">
        <v>0</v>
      </c>
      <c r="CJ860">
        <v>0</v>
      </c>
      <c r="CK860">
        <v>0</v>
      </c>
      <c r="CL860">
        <v>0</v>
      </c>
      <c r="CM860">
        <v>0</v>
      </c>
      <c r="CR860" t="s">
        <v>2324</v>
      </c>
      <c r="CS860" s="1369" t="str">
        <f>INDEX([8]Sheet1!$H:$H,MATCH(CR:CR,[8]Sheet1!$AU:$AU,0))</f>
        <v>Finance</v>
      </c>
    </row>
    <row r="861" spans="1:97" x14ac:dyDescent="0.2">
      <c r="A861" t="s">
        <v>3600</v>
      </c>
      <c r="B861">
        <v>914</v>
      </c>
      <c r="C861" t="s">
        <v>3600</v>
      </c>
      <c r="D861">
        <v>41645</v>
      </c>
      <c r="E861" t="s">
        <v>3601</v>
      </c>
      <c r="F861" t="s">
        <v>2364</v>
      </c>
      <c r="G861" t="s">
        <v>2364</v>
      </c>
      <c r="H861" t="s">
        <v>2365</v>
      </c>
      <c r="I861" t="s">
        <v>2365</v>
      </c>
      <c r="J861" t="s">
        <v>2365</v>
      </c>
      <c r="K861" t="s">
        <v>2365</v>
      </c>
      <c r="L861">
        <v>1200</v>
      </c>
      <c r="M861" t="s">
        <v>1480</v>
      </c>
      <c r="N861">
        <v>1204</v>
      </c>
      <c r="O861" t="s">
        <v>1487</v>
      </c>
      <c r="P861" t="s">
        <v>2366</v>
      </c>
      <c r="Q861" t="s">
        <v>2364</v>
      </c>
      <c r="R861" t="s">
        <v>2364</v>
      </c>
      <c r="S861" t="s">
        <v>553</v>
      </c>
      <c r="T861" t="s">
        <v>2175</v>
      </c>
      <c r="U861">
        <v>140</v>
      </c>
      <c r="V861" t="s">
        <v>693</v>
      </c>
      <c r="W861">
        <v>140</v>
      </c>
      <c r="X861" t="s">
        <v>693</v>
      </c>
      <c r="Y861" t="s">
        <v>2365</v>
      </c>
      <c r="Z861" t="s">
        <v>2365</v>
      </c>
      <c r="AA861" t="s">
        <v>2365</v>
      </c>
      <c r="AB861" t="s">
        <v>2365</v>
      </c>
      <c r="AC861" s="813" t="s">
        <v>2365</v>
      </c>
      <c r="AD861" s="813" t="s">
        <v>2365</v>
      </c>
      <c r="AE861" s="813" t="s">
        <v>2365</v>
      </c>
      <c r="AF861" t="s">
        <v>2365</v>
      </c>
      <c r="AG861" t="s">
        <v>2365</v>
      </c>
      <c r="AH861" t="s">
        <v>2365</v>
      </c>
      <c r="AI861" t="s">
        <v>2365</v>
      </c>
      <c r="AJ861" t="s">
        <v>2365</v>
      </c>
      <c r="AK861" t="s">
        <v>2366</v>
      </c>
      <c r="AL861" t="s">
        <v>2366</v>
      </c>
      <c r="AM861" t="s">
        <v>2366</v>
      </c>
      <c r="AN861" t="s">
        <v>2366</v>
      </c>
      <c r="AR861" t="s">
        <v>2365</v>
      </c>
      <c r="AS861" t="s">
        <v>2365</v>
      </c>
      <c r="AT861" t="s">
        <v>2365</v>
      </c>
      <c r="AU861" t="s">
        <v>2365</v>
      </c>
      <c r="AV861" t="s">
        <v>2365</v>
      </c>
      <c r="AW861" t="s">
        <v>2365</v>
      </c>
      <c r="AX861" t="s">
        <v>2365</v>
      </c>
      <c r="AY861" t="s">
        <v>2365</v>
      </c>
      <c r="AZ861" t="s">
        <v>2365</v>
      </c>
      <c r="BA861" t="s">
        <v>2365</v>
      </c>
      <c r="BB861" t="s">
        <v>2365</v>
      </c>
      <c r="BC861" t="s">
        <v>2365</v>
      </c>
      <c r="BD861" t="s">
        <v>2366</v>
      </c>
      <c r="BE861" t="s">
        <v>2365</v>
      </c>
      <c r="BF861" t="s">
        <v>2365</v>
      </c>
      <c r="BG861" t="s">
        <v>2365</v>
      </c>
      <c r="BH861" t="s">
        <v>2365</v>
      </c>
      <c r="BI861" t="s">
        <v>2366</v>
      </c>
      <c r="BJ861" t="s">
        <v>2365</v>
      </c>
      <c r="BK861" t="s">
        <v>2365</v>
      </c>
      <c r="BL861" t="s">
        <v>2365</v>
      </c>
      <c r="BM861" t="s">
        <v>2365</v>
      </c>
      <c r="BO861">
        <v>1</v>
      </c>
      <c r="BP861">
        <v>11</v>
      </c>
      <c r="BQ861" t="s">
        <v>2369</v>
      </c>
      <c r="BR861" t="s">
        <v>1487</v>
      </c>
      <c r="BU861">
        <v>0</v>
      </c>
      <c r="BV861">
        <v>0</v>
      </c>
      <c r="BW861" s="1371">
        <v>0</v>
      </c>
      <c r="BX861" s="1372">
        <v>0</v>
      </c>
      <c r="BY861">
        <v>0</v>
      </c>
      <c r="BZ861">
        <v>0</v>
      </c>
      <c r="CA861">
        <v>0</v>
      </c>
      <c r="CB861">
        <v>0</v>
      </c>
      <c r="CC861">
        <v>0</v>
      </c>
      <c r="CD861">
        <v>0</v>
      </c>
      <c r="CE861">
        <v>0</v>
      </c>
      <c r="CF861">
        <v>0</v>
      </c>
      <c r="CG861">
        <v>0</v>
      </c>
      <c r="CH861">
        <v>0</v>
      </c>
      <c r="CI861">
        <v>0</v>
      </c>
      <c r="CJ861">
        <v>0</v>
      </c>
      <c r="CK861">
        <v>0</v>
      </c>
      <c r="CL861">
        <v>0</v>
      </c>
      <c r="CM861">
        <v>0</v>
      </c>
      <c r="CR861" t="s">
        <v>2324</v>
      </c>
      <c r="CS861" s="1369" t="str">
        <f>INDEX([8]Sheet1!$H:$H,MATCH(CR:CR,[8]Sheet1!$AU:$AU,0))</f>
        <v>Finance</v>
      </c>
    </row>
    <row r="862" spans="1:97" x14ac:dyDescent="0.2">
      <c r="A862" t="s">
        <v>3602</v>
      </c>
      <c r="B862">
        <v>915</v>
      </c>
      <c r="C862" t="s">
        <v>3602</v>
      </c>
      <c r="D862">
        <v>41646</v>
      </c>
      <c r="E862" t="s">
        <v>3603</v>
      </c>
      <c r="F862" t="s">
        <v>2364</v>
      </c>
      <c r="G862" t="s">
        <v>2364</v>
      </c>
      <c r="H862" s="1373" t="s">
        <v>2365</v>
      </c>
      <c r="I862" t="s">
        <v>2365</v>
      </c>
      <c r="J862" t="s">
        <v>2365</v>
      </c>
      <c r="K862" t="s">
        <v>2365</v>
      </c>
      <c r="L862" s="1373">
        <v>1200</v>
      </c>
      <c r="M862" t="s">
        <v>1480</v>
      </c>
      <c r="N862">
        <v>1204</v>
      </c>
      <c r="O862" t="s">
        <v>1487</v>
      </c>
      <c r="P862" t="s">
        <v>2366</v>
      </c>
      <c r="Q862" t="s">
        <v>2364</v>
      </c>
      <c r="R862" t="s">
        <v>2364</v>
      </c>
      <c r="S862" t="s">
        <v>553</v>
      </c>
      <c r="T862" t="s">
        <v>2175</v>
      </c>
      <c r="U862">
        <v>140</v>
      </c>
      <c r="V862" t="s">
        <v>693</v>
      </c>
      <c r="W862">
        <v>140</v>
      </c>
      <c r="X862" t="s">
        <v>693</v>
      </c>
      <c r="Y862" t="s">
        <v>2365</v>
      </c>
      <c r="Z862" t="s">
        <v>2365</v>
      </c>
      <c r="AA862" t="s">
        <v>2365</v>
      </c>
      <c r="AB862" t="s">
        <v>2365</v>
      </c>
      <c r="AC862" s="813" t="s">
        <v>2365</v>
      </c>
      <c r="AD862" s="813" t="s">
        <v>2365</v>
      </c>
      <c r="AE862" s="813" t="s">
        <v>2365</v>
      </c>
      <c r="AF862" t="s">
        <v>2365</v>
      </c>
      <c r="AG862" t="s">
        <v>2365</v>
      </c>
      <c r="AH862" t="s">
        <v>2365</v>
      </c>
      <c r="AI862" t="s">
        <v>2365</v>
      </c>
      <c r="AJ862" t="s">
        <v>2365</v>
      </c>
      <c r="AK862" t="s">
        <v>2366</v>
      </c>
      <c r="AL862" t="s">
        <v>2366</v>
      </c>
      <c r="AM862" t="s">
        <v>2366</v>
      </c>
      <c r="AN862" t="s">
        <v>2366</v>
      </c>
      <c r="AR862" t="s">
        <v>2365</v>
      </c>
      <c r="AS862" t="s">
        <v>2365</v>
      </c>
      <c r="AT862" t="s">
        <v>2365</v>
      </c>
      <c r="AU862" t="s">
        <v>2365</v>
      </c>
      <c r="AV862" t="s">
        <v>2365</v>
      </c>
      <c r="AW862" t="s">
        <v>2365</v>
      </c>
      <c r="AX862" t="s">
        <v>2365</v>
      </c>
      <c r="AY862" t="s">
        <v>2365</v>
      </c>
      <c r="AZ862" t="s">
        <v>2365</v>
      </c>
      <c r="BA862" t="s">
        <v>2365</v>
      </c>
      <c r="BB862" t="s">
        <v>2365</v>
      </c>
      <c r="BC862" t="s">
        <v>2365</v>
      </c>
      <c r="BD862" t="s">
        <v>2366</v>
      </c>
      <c r="BE862" t="s">
        <v>2365</v>
      </c>
      <c r="BF862" t="s">
        <v>2365</v>
      </c>
      <c r="BG862" t="s">
        <v>2365</v>
      </c>
      <c r="BH862" t="s">
        <v>2365</v>
      </c>
      <c r="BI862" t="s">
        <v>2366</v>
      </c>
      <c r="BJ862" t="s">
        <v>2365</v>
      </c>
      <c r="BK862" t="s">
        <v>2365</v>
      </c>
      <c r="BL862" t="s">
        <v>2365</v>
      </c>
      <c r="BM862" t="s">
        <v>2365</v>
      </c>
      <c r="BO862">
        <v>1</v>
      </c>
      <c r="BP862">
        <v>11</v>
      </c>
      <c r="BQ862" t="s">
        <v>2369</v>
      </c>
      <c r="BR862" t="s">
        <v>1487</v>
      </c>
      <c r="BU862" s="1371">
        <v>0</v>
      </c>
      <c r="BV862" s="1371">
        <v>0</v>
      </c>
      <c r="BW862" s="1371">
        <v>0</v>
      </c>
      <c r="BX862" s="1371">
        <v>0</v>
      </c>
      <c r="BY862" s="1371">
        <v>0</v>
      </c>
      <c r="BZ862">
        <v>0</v>
      </c>
      <c r="CA862">
        <v>0</v>
      </c>
      <c r="CB862">
        <v>0</v>
      </c>
      <c r="CC862">
        <v>0</v>
      </c>
      <c r="CD862">
        <v>0</v>
      </c>
      <c r="CE862">
        <v>0</v>
      </c>
      <c r="CF862">
        <v>0</v>
      </c>
      <c r="CG862">
        <v>0</v>
      </c>
      <c r="CH862">
        <v>0</v>
      </c>
      <c r="CI862">
        <v>0</v>
      </c>
      <c r="CJ862">
        <v>0</v>
      </c>
      <c r="CK862">
        <v>0</v>
      </c>
      <c r="CL862">
        <v>0</v>
      </c>
      <c r="CM862">
        <v>0</v>
      </c>
      <c r="CR862" t="s">
        <v>2324</v>
      </c>
      <c r="CS862" s="1369" t="str">
        <f>INDEX([8]Sheet1!$H:$H,MATCH(CR:CR,[8]Sheet1!$AU:$AU,0))</f>
        <v>Finance</v>
      </c>
    </row>
    <row r="863" spans="1:97" x14ac:dyDescent="0.2">
      <c r="A863" t="s">
        <v>3604</v>
      </c>
      <c r="B863">
        <v>916</v>
      </c>
      <c r="C863" t="s">
        <v>3604</v>
      </c>
      <c r="D863">
        <v>41647</v>
      </c>
      <c r="E863" t="s">
        <v>3605</v>
      </c>
      <c r="F863" t="s">
        <v>2364</v>
      </c>
      <c r="G863" t="s">
        <v>2364</v>
      </c>
      <c r="H863" s="1373" t="s">
        <v>2365</v>
      </c>
      <c r="I863" t="s">
        <v>2365</v>
      </c>
      <c r="J863" t="s">
        <v>2365</v>
      </c>
      <c r="K863" t="s">
        <v>2365</v>
      </c>
      <c r="L863" s="1373">
        <v>1200</v>
      </c>
      <c r="M863" t="s">
        <v>1480</v>
      </c>
      <c r="N863">
        <v>1204</v>
      </c>
      <c r="O863" t="s">
        <v>1487</v>
      </c>
      <c r="P863" t="s">
        <v>2366</v>
      </c>
      <c r="Q863" t="s">
        <v>2364</v>
      </c>
      <c r="R863" t="s">
        <v>2364</v>
      </c>
      <c r="S863" t="s">
        <v>553</v>
      </c>
      <c r="T863" t="s">
        <v>2175</v>
      </c>
      <c r="U863">
        <v>140</v>
      </c>
      <c r="V863" t="s">
        <v>693</v>
      </c>
      <c r="W863">
        <v>140</v>
      </c>
      <c r="X863" t="s">
        <v>693</v>
      </c>
      <c r="Y863" t="s">
        <v>2365</v>
      </c>
      <c r="Z863" t="s">
        <v>2365</v>
      </c>
      <c r="AA863" t="s">
        <v>2365</v>
      </c>
      <c r="AB863" t="s">
        <v>2365</v>
      </c>
      <c r="AC863" s="813" t="s">
        <v>2365</v>
      </c>
      <c r="AD863" s="813" t="s">
        <v>2365</v>
      </c>
      <c r="AE863" s="813" t="s">
        <v>2365</v>
      </c>
      <c r="AF863" t="s">
        <v>2365</v>
      </c>
      <c r="AG863" t="s">
        <v>2365</v>
      </c>
      <c r="AH863" t="s">
        <v>2365</v>
      </c>
      <c r="AI863" t="s">
        <v>2365</v>
      </c>
      <c r="AJ863" t="s">
        <v>2365</v>
      </c>
      <c r="AK863" t="s">
        <v>2366</v>
      </c>
      <c r="AL863" t="s">
        <v>2366</v>
      </c>
      <c r="AM863" t="s">
        <v>2366</v>
      </c>
      <c r="AN863" t="s">
        <v>2366</v>
      </c>
      <c r="AR863" t="s">
        <v>2365</v>
      </c>
      <c r="AS863" t="s">
        <v>2365</v>
      </c>
      <c r="AT863" t="s">
        <v>2365</v>
      </c>
      <c r="AU863" t="s">
        <v>2365</v>
      </c>
      <c r="AV863" t="s">
        <v>2365</v>
      </c>
      <c r="AW863" t="s">
        <v>2365</v>
      </c>
      <c r="AX863" t="s">
        <v>2365</v>
      </c>
      <c r="AY863" t="s">
        <v>2365</v>
      </c>
      <c r="AZ863" t="s">
        <v>2365</v>
      </c>
      <c r="BA863" t="s">
        <v>2365</v>
      </c>
      <c r="BB863" t="s">
        <v>2365</v>
      </c>
      <c r="BC863" t="s">
        <v>2365</v>
      </c>
      <c r="BD863" t="s">
        <v>2366</v>
      </c>
      <c r="BE863" t="s">
        <v>2365</v>
      </c>
      <c r="BF863" t="s">
        <v>2365</v>
      </c>
      <c r="BG863" t="s">
        <v>2365</v>
      </c>
      <c r="BH863" t="s">
        <v>2365</v>
      </c>
      <c r="BI863" t="s">
        <v>2366</v>
      </c>
      <c r="BJ863" t="s">
        <v>2365</v>
      </c>
      <c r="BK863" t="s">
        <v>2365</v>
      </c>
      <c r="BL863" t="s">
        <v>2365</v>
      </c>
      <c r="BM863" t="s">
        <v>2365</v>
      </c>
      <c r="BO863">
        <v>1</v>
      </c>
      <c r="BP863">
        <v>11</v>
      </c>
      <c r="BQ863" t="s">
        <v>2369</v>
      </c>
      <c r="BR863" t="s">
        <v>1487</v>
      </c>
      <c r="BU863" s="1371">
        <v>0</v>
      </c>
      <c r="BV863" s="1371">
        <v>0</v>
      </c>
      <c r="BW863" s="1371">
        <v>0</v>
      </c>
      <c r="BX863" s="1371">
        <v>0</v>
      </c>
      <c r="BY863" s="1371">
        <v>0</v>
      </c>
      <c r="BZ863">
        <v>0</v>
      </c>
      <c r="CA863">
        <v>0</v>
      </c>
      <c r="CB863">
        <v>0</v>
      </c>
      <c r="CC863">
        <v>0</v>
      </c>
      <c r="CD863">
        <v>0</v>
      </c>
      <c r="CE863">
        <v>-70357.5</v>
      </c>
      <c r="CF863">
        <v>-222147.21</v>
      </c>
      <c r="CG863">
        <v>-17446.71</v>
      </c>
      <c r="CH863">
        <v>-17304.04</v>
      </c>
      <c r="CI863">
        <v>-17589.38</v>
      </c>
      <c r="CJ863">
        <v>0</v>
      </c>
      <c r="CK863">
        <v>0</v>
      </c>
      <c r="CL863">
        <v>0</v>
      </c>
      <c r="CM863">
        <v>0</v>
      </c>
      <c r="CR863" t="s">
        <v>2324</v>
      </c>
      <c r="CS863" s="1369" t="str">
        <f>INDEX([8]Sheet1!$H:$H,MATCH(CR:CR,[8]Sheet1!$AU:$AU,0))</f>
        <v>Finance</v>
      </c>
    </row>
    <row r="864" spans="1:97" x14ac:dyDescent="0.2">
      <c r="A864" t="s">
        <v>3606</v>
      </c>
      <c r="B864">
        <v>917</v>
      </c>
      <c r="C864" t="s">
        <v>3606</v>
      </c>
      <c r="D864">
        <v>41648</v>
      </c>
      <c r="E864" t="s">
        <v>3607</v>
      </c>
      <c r="F864" t="s">
        <v>2364</v>
      </c>
      <c r="G864" t="s">
        <v>2364</v>
      </c>
      <c r="H864" t="s">
        <v>2365</v>
      </c>
      <c r="I864" t="s">
        <v>2365</v>
      </c>
      <c r="J864" t="s">
        <v>2365</v>
      </c>
      <c r="K864" t="s">
        <v>2365</v>
      </c>
      <c r="L864">
        <v>1200</v>
      </c>
      <c r="M864" t="s">
        <v>1480</v>
      </c>
      <c r="N864">
        <v>1204</v>
      </c>
      <c r="O864" t="s">
        <v>1487</v>
      </c>
      <c r="P864" t="s">
        <v>2366</v>
      </c>
      <c r="Q864" t="s">
        <v>2364</v>
      </c>
      <c r="R864" t="s">
        <v>2364</v>
      </c>
      <c r="S864" t="s">
        <v>553</v>
      </c>
      <c r="T864" t="s">
        <v>2175</v>
      </c>
      <c r="U864">
        <v>140</v>
      </c>
      <c r="V864" t="s">
        <v>693</v>
      </c>
      <c r="W864">
        <v>140</v>
      </c>
      <c r="X864" t="s">
        <v>693</v>
      </c>
      <c r="Y864" t="s">
        <v>2365</v>
      </c>
      <c r="Z864" t="s">
        <v>2365</v>
      </c>
      <c r="AA864" t="s">
        <v>2365</v>
      </c>
      <c r="AB864" t="s">
        <v>2365</v>
      </c>
      <c r="AC864" s="813" t="s">
        <v>2365</v>
      </c>
      <c r="AD864" s="813" t="s">
        <v>2365</v>
      </c>
      <c r="AE864" s="813" t="s">
        <v>2365</v>
      </c>
      <c r="AF864" t="s">
        <v>2365</v>
      </c>
      <c r="AG864" t="s">
        <v>2365</v>
      </c>
      <c r="AH864" t="s">
        <v>2365</v>
      </c>
      <c r="AI864" t="s">
        <v>2365</v>
      </c>
      <c r="AJ864" t="s">
        <v>2365</v>
      </c>
      <c r="AK864">
        <v>147</v>
      </c>
      <c r="AL864" t="s">
        <v>1200</v>
      </c>
      <c r="AM864">
        <v>147</v>
      </c>
      <c r="AN864" t="s">
        <v>1200</v>
      </c>
      <c r="AR864" t="s">
        <v>2365</v>
      </c>
      <c r="AS864" t="s">
        <v>2365</v>
      </c>
      <c r="AT864" t="s">
        <v>2365</v>
      </c>
      <c r="AU864" t="s">
        <v>2365</v>
      </c>
      <c r="AV864" t="s">
        <v>2365</v>
      </c>
      <c r="AW864" t="s">
        <v>2365</v>
      </c>
      <c r="AX864" t="s">
        <v>2365</v>
      </c>
      <c r="AY864" t="s">
        <v>2365</v>
      </c>
      <c r="AZ864" t="s">
        <v>2365</v>
      </c>
      <c r="BA864" t="s">
        <v>2365</v>
      </c>
      <c r="BB864" t="s">
        <v>2365</v>
      </c>
      <c r="BC864" t="s">
        <v>2365</v>
      </c>
      <c r="BD864" t="s">
        <v>2366</v>
      </c>
      <c r="BE864" t="s">
        <v>2365</v>
      </c>
      <c r="BF864" t="s">
        <v>2365</v>
      </c>
      <c r="BG864" t="s">
        <v>2365</v>
      </c>
      <c r="BH864" t="s">
        <v>2365</v>
      </c>
      <c r="BI864" t="s">
        <v>2366</v>
      </c>
      <c r="BJ864" t="s">
        <v>2365</v>
      </c>
      <c r="BK864" t="s">
        <v>2365</v>
      </c>
      <c r="BL864" t="s">
        <v>2365</v>
      </c>
      <c r="BM864" t="s">
        <v>2365</v>
      </c>
      <c r="BO864">
        <v>1</v>
      </c>
      <c r="BP864">
        <v>11</v>
      </c>
      <c r="BQ864" t="s">
        <v>2369</v>
      </c>
      <c r="BR864" t="s">
        <v>1487</v>
      </c>
      <c r="BU864">
        <v>0</v>
      </c>
      <c r="BV864">
        <v>0</v>
      </c>
      <c r="BW864" s="1371">
        <v>0</v>
      </c>
      <c r="BX864" s="1372">
        <v>0</v>
      </c>
      <c r="BY864">
        <v>0</v>
      </c>
      <c r="BZ864">
        <v>0</v>
      </c>
      <c r="CA864">
        <v>0</v>
      </c>
      <c r="CB864">
        <v>0</v>
      </c>
      <c r="CC864">
        <v>0</v>
      </c>
      <c r="CD864">
        <v>0</v>
      </c>
      <c r="CE864">
        <v>0</v>
      </c>
      <c r="CF864">
        <v>0</v>
      </c>
      <c r="CG864">
        <v>0</v>
      </c>
      <c r="CH864">
        <v>0</v>
      </c>
      <c r="CI864">
        <v>0</v>
      </c>
      <c r="CJ864">
        <v>0</v>
      </c>
      <c r="CK864">
        <v>0</v>
      </c>
      <c r="CL864">
        <v>0</v>
      </c>
      <c r="CM864">
        <v>0</v>
      </c>
      <c r="CR864" t="s">
        <v>2324</v>
      </c>
      <c r="CS864" s="1369" t="str">
        <f>INDEX([8]Sheet1!$H:$H,MATCH(CR:CR,[8]Sheet1!$AU:$AU,0))</f>
        <v>Finance</v>
      </c>
    </row>
    <row r="865" spans="1:97" x14ac:dyDescent="0.2">
      <c r="A865" t="s">
        <v>3608</v>
      </c>
      <c r="B865">
        <v>918</v>
      </c>
      <c r="C865" t="s">
        <v>3608</v>
      </c>
      <c r="D865">
        <v>41649</v>
      </c>
      <c r="E865" t="s">
        <v>3609</v>
      </c>
      <c r="F865" t="s">
        <v>2364</v>
      </c>
      <c r="G865" t="s">
        <v>2364</v>
      </c>
      <c r="H865" t="s">
        <v>2365</v>
      </c>
      <c r="I865" t="s">
        <v>2365</v>
      </c>
      <c r="J865" t="s">
        <v>2365</v>
      </c>
      <c r="K865" t="s">
        <v>2365</v>
      </c>
      <c r="L865">
        <v>1200</v>
      </c>
      <c r="M865" t="s">
        <v>1480</v>
      </c>
      <c r="N865">
        <v>1204</v>
      </c>
      <c r="O865" t="s">
        <v>1487</v>
      </c>
      <c r="P865" t="s">
        <v>2366</v>
      </c>
      <c r="Q865" t="s">
        <v>2364</v>
      </c>
      <c r="R865" t="s">
        <v>2364</v>
      </c>
      <c r="S865" t="s">
        <v>553</v>
      </c>
      <c r="T865" t="s">
        <v>2175</v>
      </c>
      <c r="U865">
        <v>140</v>
      </c>
      <c r="V865" t="s">
        <v>693</v>
      </c>
      <c r="W865">
        <v>140</v>
      </c>
      <c r="X865" t="s">
        <v>693</v>
      </c>
      <c r="Y865" t="s">
        <v>2365</v>
      </c>
      <c r="Z865" t="s">
        <v>2365</v>
      </c>
      <c r="AA865" t="s">
        <v>2365</v>
      </c>
      <c r="AB865" t="s">
        <v>2365</v>
      </c>
      <c r="AC865" s="813" t="s">
        <v>2365</v>
      </c>
      <c r="AD865" s="813" t="s">
        <v>2365</v>
      </c>
      <c r="AE865" s="813" t="s">
        <v>2365</v>
      </c>
      <c r="AF865" t="s">
        <v>2365</v>
      </c>
      <c r="AG865" t="s">
        <v>2365</v>
      </c>
      <c r="AH865" t="s">
        <v>2365</v>
      </c>
      <c r="AI865" t="s">
        <v>2365</v>
      </c>
      <c r="AJ865" t="s">
        <v>2365</v>
      </c>
      <c r="AK865">
        <v>147</v>
      </c>
      <c r="AL865" t="s">
        <v>1200</v>
      </c>
      <c r="AM865">
        <v>147</v>
      </c>
      <c r="AN865" t="s">
        <v>1200</v>
      </c>
      <c r="AR865" t="s">
        <v>2365</v>
      </c>
      <c r="AS865" t="s">
        <v>2365</v>
      </c>
      <c r="AT865" t="s">
        <v>2365</v>
      </c>
      <c r="AU865" t="s">
        <v>2365</v>
      </c>
      <c r="AV865" t="s">
        <v>2365</v>
      </c>
      <c r="AW865" t="s">
        <v>2365</v>
      </c>
      <c r="AX865" t="s">
        <v>2365</v>
      </c>
      <c r="AY865" t="s">
        <v>2365</v>
      </c>
      <c r="AZ865" t="s">
        <v>2365</v>
      </c>
      <c r="BA865" t="s">
        <v>2365</v>
      </c>
      <c r="BB865" t="s">
        <v>2365</v>
      </c>
      <c r="BC865" t="s">
        <v>2365</v>
      </c>
      <c r="BD865" t="s">
        <v>2366</v>
      </c>
      <c r="BE865" t="s">
        <v>2365</v>
      </c>
      <c r="BF865" t="s">
        <v>2365</v>
      </c>
      <c r="BG865" t="s">
        <v>2365</v>
      </c>
      <c r="BH865" t="s">
        <v>2365</v>
      </c>
      <c r="BI865" t="s">
        <v>2366</v>
      </c>
      <c r="BJ865" t="s">
        <v>2365</v>
      </c>
      <c r="BK865" t="s">
        <v>2365</v>
      </c>
      <c r="BL865" t="s">
        <v>2365</v>
      </c>
      <c r="BM865" t="s">
        <v>2365</v>
      </c>
      <c r="BO865">
        <v>1</v>
      </c>
      <c r="BP865">
        <v>11</v>
      </c>
      <c r="BQ865" t="s">
        <v>2369</v>
      </c>
      <c r="BR865" t="s">
        <v>1487</v>
      </c>
      <c r="BU865">
        <v>0</v>
      </c>
      <c r="BV865">
        <v>0</v>
      </c>
      <c r="BW865" s="1371">
        <v>0</v>
      </c>
      <c r="BX865" s="1372">
        <v>0</v>
      </c>
      <c r="BY865">
        <v>0</v>
      </c>
      <c r="BZ865">
        <v>0</v>
      </c>
      <c r="CA865">
        <v>0</v>
      </c>
      <c r="CB865">
        <v>0</v>
      </c>
      <c r="CC865">
        <v>0</v>
      </c>
      <c r="CD865">
        <v>0</v>
      </c>
      <c r="CE865">
        <v>0</v>
      </c>
      <c r="CF865">
        <v>0</v>
      </c>
      <c r="CG865">
        <v>0</v>
      </c>
      <c r="CH865">
        <v>0</v>
      </c>
      <c r="CI865">
        <v>0</v>
      </c>
      <c r="CJ865">
        <v>0</v>
      </c>
      <c r="CK865">
        <v>0</v>
      </c>
      <c r="CL865">
        <v>0</v>
      </c>
      <c r="CM865">
        <v>0</v>
      </c>
      <c r="CR865" t="s">
        <v>2324</v>
      </c>
      <c r="CS865" s="1369" t="str">
        <f>INDEX([8]Sheet1!$H:$H,MATCH(CR:CR,[8]Sheet1!$AU:$AU,0))</f>
        <v>Finance</v>
      </c>
    </row>
    <row r="866" spans="1:97" x14ac:dyDescent="0.2">
      <c r="A866" t="s">
        <v>3610</v>
      </c>
      <c r="B866">
        <v>919</v>
      </c>
      <c r="C866" t="s">
        <v>3610</v>
      </c>
      <c r="D866">
        <v>41650</v>
      </c>
      <c r="E866" t="s">
        <v>3611</v>
      </c>
      <c r="F866" t="s">
        <v>2364</v>
      </c>
      <c r="G866" t="s">
        <v>2364</v>
      </c>
      <c r="H866" t="s">
        <v>2365</v>
      </c>
      <c r="I866" t="s">
        <v>2365</v>
      </c>
      <c r="J866" t="s">
        <v>2365</v>
      </c>
      <c r="K866" t="s">
        <v>2365</v>
      </c>
      <c r="L866">
        <v>1200</v>
      </c>
      <c r="M866" t="s">
        <v>1480</v>
      </c>
      <c r="N866">
        <v>1204</v>
      </c>
      <c r="O866" t="s">
        <v>1487</v>
      </c>
      <c r="P866" t="s">
        <v>2366</v>
      </c>
      <c r="Q866" t="s">
        <v>2364</v>
      </c>
      <c r="R866" t="s">
        <v>2364</v>
      </c>
      <c r="S866" t="s">
        <v>553</v>
      </c>
      <c r="T866" t="s">
        <v>2175</v>
      </c>
      <c r="U866">
        <v>140</v>
      </c>
      <c r="V866" t="s">
        <v>693</v>
      </c>
      <c r="W866">
        <v>140</v>
      </c>
      <c r="X866" t="s">
        <v>693</v>
      </c>
      <c r="Y866" t="s">
        <v>2365</v>
      </c>
      <c r="Z866" t="s">
        <v>2365</v>
      </c>
      <c r="AA866" t="s">
        <v>2365</v>
      </c>
      <c r="AB866" t="s">
        <v>2365</v>
      </c>
      <c r="AC866" s="813" t="s">
        <v>2365</v>
      </c>
      <c r="AD866" s="813" t="s">
        <v>2365</v>
      </c>
      <c r="AE866" s="813" t="s">
        <v>2365</v>
      </c>
      <c r="AF866" t="s">
        <v>2365</v>
      </c>
      <c r="AG866" t="s">
        <v>2365</v>
      </c>
      <c r="AH866" t="s">
        <v>2365</v>
      </c>
      <c r="AI866" t="s">
        <v>2365</v>
      </c>
      <c r="AJ866" t="s">
        <v>2365</v>
      </c>
      <c r="AK866" t="s">
        <v>2366</v>
      </c>
      <c r="AL866" t="s">
        <v>2366</v>
      </c>
      <c r="AM866" t="s">
        <v>2366</v>
      </c>
      <c r="AN866" t="s">
        <v>2366</v>
      </c>
      <c r="AR866" t="s">
        <v>2365</v>
      </c>
      <c r="AS866" t="s">
        <v>2365</v>
      </c>
      <c r="AT866" t="s">
        <v>2365</v>
      </c>
      <c r="AU866" t="s">
        <v>2365</v>
      </c>
      <c r="AV866" t="s">
        <v>2365</v>
      </c>
      <c r="AW866" t="s">
        <v>2365</v>
      </c>
      <c r="AX866" t="s">
        <v>2365</v>
      </c>
      <c r="AY866" t="s">
        <v>2365</v>
      </c>
      <c r="AZ866" t="s">
        <v>2365</v>
      </c>
      <c r="BA866" t="s">
        <v>2365</v>
      </c>
      <c r="BB866" t="s">
        <v>2365</v>
      </c>
      <c r="BC866" t="s">
        <v>2365</v>
      </c>
      <c r="BD866" t="s">
        <v>2366</v>
      </c>
      <c r="BE866" t="s">
        <v>2365</v>
      </c>
      <c r="BF866" t="s">
        <v>2365</v>
      </c>
      <c r="BG866" t="s">
        <v>2365</v>
      </c>
      <c r="BH866" t="s">
        <v>2365</v>
      </c>
      <c r="BI866" t="s">
        <v>2366</v>
      </c>
      <c r="BJ866" t="s">
        <v>2365</v>
      </c>
      <c r="BK866" t="s">
        <v>2365</v>
      </c>
      <c r="BL866" t="s">
        <v>2365</v>
      </c>
      <c r="BM866" t="s">
        <v>2365</v>
      </c>
      <c r="BO866">
        <v>1</v>
      </c>
      <c r="BP866">
        <v>11</v>
      </c>
      <c r="BQ866" t="s">
        <v>2369</v>
      </c>
      <c r="BR866" t="s">
        <v>1487</v>
      </c>
      <c r="BU866">
        <v>0</v>
      </c>
      <c r="BV866">
        <v>0</v>
      </c>
      <c r="BW866" s="1371">
        <v>0</v>
      </c>
      <c r="BX866" s="1372">
        <v>0</v>
      </c>
      <c r="BY866">
        <v>0</v>
      </c>
      <c r="BZ866">
        <v>0</v>
      </c>
      <c r="CA866">
        <v>0</v>
      </c>
      <c r="CB866">
        <v>0</v>
      </c>
      <c r="CC866">
        <v>0</v>
      </c>
      <c r="CD866">
        <v>0</v>
      </c>
      <c r="CE866">
        <v>0</v>
      </c>
      <c r="CF866">
        <v>0</v>
      </c>
      <c r="CG866">
        <v>0</v>
      </c>
      <c r="CH866">
        <v>0</v>
      </c>
      <c r="CI866">
        <v>0</v>
      </c>
      <c r="CJ866">
        <v>0</v>
      </c>
      <c r="CK866">
        <v>0</v>
      </c>
      <c r="CL866">
        <v>0</v>
      </c>
      <c r="CM866">
        <v>0</v>
      </c>
      <c r="CR866" t="s">
        <v>2324</v>
      </c>
      <c r="CS866" s="1369" t="str">
        <f>INDEX([8]Sheet1!$H:$H,MATCH(CR:CR,[8]Sheet1!$AU:$AU,0))</f>
        <v>Finance</v>
      </c>
    </row>
    <row r="867" spans="1:97" x14ac:dyDescent="0.2">
      <c r="A867" t="s">
        <v>3612</v>
      </c>
      <c r="B867">
        <v>920</v>
      </c>
      <c r="C867" t="s">
        <v>3612</v>
      </c>
      <c r="D867">
        <v>41651</v>
      </c>
      <c r="E867" t="s">
        <v>3613</v>
      </c>
      <c r="F867" t="s">
        <v>2364</v>
      </c>
      <c r="G867" t="s">
        <v>2364</v>
      </c>
      <c r="H867" t="s">
        <v>2365</v>
      </c>
      <c r="I867" t="s">
        <v>2365</v>
      </c>
      <c r="J867" t="s">
        <v>2365</v>
      </c>
      <c r="K867" t="s">
        <v>2365</v>
      </c>
      <c r="L867">
        <v>1200</v>
      </c>
      <c r="M867" t="s">
        <v>1480</v>
      </c>
      <c r="N867">
        <v>1204</v>
      </c>
      <c r="O867" t="s">
        <v>1487</v>
      </c>
      <c r="P867" t="s">
        <v>2366</v>
      </c>
      <c r="Q867" t="s">
        <v>2364</v>
      </c>
      <c r="R867" t="s">
        <v>2364</v>
      </c>
      <c r="S867" t="s">
        <v>553</v>
      </c>
      <c r="T867" t="s">
        <v>2175</v>
      </c>
      <c r="U867">
        <v>140</v>
      </c>
      <c r="V867" t="s">
        <v>693</v>
      </c>
      <c r="W867">
        <v>140</v>
      </c>
      <c r="X867" t="s">
        <v>693</v>
      </c>
      <c r="Y867" t="s">
        <v>2365</v>
      </c>
      <c r="Z867" t="s">
        <v>2365</v>
      </c>
      <c r="AA867" t="s">
        <v>2365</v>
      </c>
      <c r="AB867" t="s">
        <v>2365</v>
      </c>
      <c r="AC867" s="813" t="s">
        <v>2365</v>
      </c>
      <c r="AD867" s="813" t="s">
        <v>2365</v>
      </c>
      <c r="AE867" s="813" t="s">
        <v>2365</v>
      </c>
      <c r="AF867" t="s">
        <v>2365</v>
      </c>
      <c r="AG867" t="s">
        <v>2365</v>
      </c>
      <c r="AH867" t="s">
        <v>2365</v>
      </c>
      <c r="AI867" t="s">
        <v>2365</v>
      </c>
      <c r="AJ867" t="s">
        <v>2365</v>
      </c>
      <c r="AK867" t="s">
        <v>2366</v>
      </c>
      <c r="AL867" t="s">
        <v>2366</v>
      </c>
      <c r="AM867" t="s">
        <v>2366</v>
      </c>
      <c r="AN867" t="s">
        <v>2366</v>
      </c>
      <c r="AR867" t="s">
        <v>2365</v>
      </c>
      <c r="AS867" t="s">
        <v>2365</v>
      </c>
      <c r="AT867" t="s">
        <v>2365</v>
      </c>
      <c r="AU867" t="s">
        <v>2365</v>
      </c>
      <c r="AV867" t="s">
        <v>2365</v>
      </c>
      <c r="AW867" t="s">
        <v>2365</v>
      </c>
      <c r="AX867" t="s">
        <v>2365</v>
      </c>
      <c r="AY867" t="s">
        <v>2365</v>
      </c>
      <c r="AZ867" t="s">
        <v>2365</v>
      </c>
      <c r="BA867" t="s">
        <v>2365</v>
      </c>
      <c r="BB867" t="s">
        <v>2365</v>
      </c>
      <c r="BC867" t="s">
        <v>2365</v>
      </c>
      <c r="BD867" t="s">
        <v>2366</v>
      </c>
      <c r="BE867" t="s">
        <v>2365</v>
      </c>
      <c r="BF867" t="s">
        <v>2365</v>
      </c>
      <c r="BG867" t="s">
        <v>2365</v>
      </c>
      <c r="BH867" t="s">
        <v>2365</v>
      </c>
      <c r="BI867" t="s">
        <v>2366</v>
      </c>
      <c r="BJ867" t="s">
        <v>2365</v>
      </c>
      <c r="BK867" t="s">
        <v>2365</v>
      </c>
      <c r="BL867" t="s">
        <v>2365</v>
      </c>
      <c r="BM867" t="s">
        <v>2365</v>
      </c>
      <c r="BO867">
        <v>1</v>
      </c>
      <c r="BP867">
        <v>11</v>
      </c>
      <c r="BQ867" t="s">
        <v>2369</v>
      </c>
      <c r="BR867" t="s">
        <v>1487</v>
      </c>
      <c r="BU867">
        <v>0</v>
      </c>
      <c r="BV867">
        <v>0</v>
      </c>
      <c r="BW867" s="1371">
        <v>0</v>
      </c>
      <c r="BX867" s="1372">
        <v>0</v>
      </c>
      <c r="BY867">
        <v>0</v>
      </c>
      <c r="BZ867">
        <v>0</v>
      </c>
      <c r="CA867">
        <v>0</v>
      </c>
      <c r="CB867">
        <v>0</v>
      </c>
      <c r="CC867">
        <v>0</v>
      </c>
      <c r="CD867">
        <v>0</v>
      </c>
      <c r="CE867">
        <v>0</v>
      </c>
      <c r="CF867">
        <v>0</v>
      </c>
      <c r="CG867">
        <v>0</v>
      </c>
      <c r="CH867">
        <v>0</v>
      </c>
      <c r="CI867">
        <v>0</v>
      </c>
      <c r="CJ867">
        <v>0</v>
      </c>
      <c r="CK867">
        <v>0</v>
      </c>
      <c r="CL867">
        <v>0</v>
      </c>
      <c r="CM867">
        <v>0</v>
      </c>
      <c r="CR867" t="s">
        <v>2324</v>
      </c>
      <c r="CS867" s="1369" t="str">
        <f>INDEX([8]Sheet1!$H:$H,MATCH(CR:CR,[8]Sheet1!$AU:$AU,0))</f>
        <v>Finance</v>
      </c>
    </row>
    <row r="868" spans="1:97" x14ac:dyDescent="0.2">
      <c r="A868" t="s">
        <v>3614</v>
      </c>
      <c r="B868">
        <v>921</v>
      </c>
      <c r="C868" t="s">
        <v>3614</v>
      </c>
      <c r="D868">
        <v>41652</v>
      </c>
      <c r="E868" t="s">
        <v>3615</v>
      </c>
      <c r="F868" t="s">
        <v>2364</v>
      </c>
      <c r="G868" t="s">
        <v>2364</v>
      </c>
      <c r="H868" t="s">
        <v>2365</v>
      </c>
      <c r="I868" t="s">
        <v>2365</v>
      </c>
      <c r="J868" t="s">
        <v>2365</v>
      </c>
      <c r="K868" t="s">
        <v>2365</v>
      </c>
      <c r="L868">
        <v>1200</v>
      </c>
      <c r="M868" t="s">
        <v>1480</v>
      </c>
      <c r="N868">
        <v>1204</v>
      </c>
      <c r="O868" t="s">
        <v>1487</v>
      </c>
      <c r="P868" t="s">
        <v>2366</v>
      </c>
      <c r="Q868" t="s">
        <v>2364</v>
      </c>
      <c r="R868" t="s">
        <v>2364</v>
      </c>
      <c r="S868" t="s">
        <v>553</v>
      </c>
      <c r="T868" t="s">
        <v>2175</v>
      </c>
      <c r="U868">
        <v>140</v>
      </c>
      <c r="V868" t="s">
        <v>693</v>
      </c>
      <c r="W868">
        <v>140</v>
      </c>
      <c r="X868" t="s">
        <v>693</v>
      </c>
      <c r="Y868" t="s">
        <v>2365</v>
      </c>
      <c r="Z868" t="s">
        <v>2365</v>
      </c>
      <c r="AA868" t="s">
        <v>2365</v>
      </c>
      <c r="AB868" t="s">
        <v>2365</v>
      </c>
      <c r="AC868" s="813" t="s">
        <v>2365</v>
      </c>
      <c r="AD868" s="813" t="s">
        <v>2365</v>
      </c>
      <c r="AE868" s="813" t="s">
        <v>2365</v>
      </c>
      <c r="AF868" t="s">
        <v>2365</v>
      </c>
      <c r="AG868" t="s">
        <v>2365</v>
      </c>
      <c r="AH868" t="s">
        <v>2365</v>
      </c>
      <c r="AI868" t="s">
        <v>2365</v>
      </c>
      <c r="AJ868" t="s">
        <v>2365</v>
      </c>
      <c r="AK868" t="s">
        <v>2366</v>
      </c>
      <c r="AL868" t="s">
        <v>2366</v>
      </c>
      <c r="AM868" t="s">
        <v>2366</v>
      </c>
      <c r="AN868" t="s">
        <v>2366</v>
      </c>
      <c r="AR868" t="s">
        <v>2365</v>
      </c>
      <c r="AS868" t="s">
        <v>2365</v>
      </c>
      <c r="AT868" t="s">
        <v>2365</v>
      </c>
      <c r="AU868" t="s">
        <v>2365</v>
      </c>
      <c r="AV868" t="s">
        <v>2365</v>
      </c>
      <c r="AW868" t="s">
        <v>2365</v>
      </c>
      <c r="AX868" t="s">
        <v>2365</v>
      </c>
      <c r="AY868" t="s">
        <v>2365</v>
      </c>
      <c r="AZ868" t="s">
        <v>2365</v>
      </c>
      <c r="BA868" t="s">
        <v>2365</v>
      </c>
      <c r="BB868" t="s">
        <v>2365</v>
      </c>
      <c r="BC868" t="s">
        <v>2365</v>
      </c>
      <c r="BD868" t="s">
        <v>2366</v>
      </c>
      <c r="BE868" t="s">
        <v>2365</v>
      </c>
      <c r="BF868" t="s">
        <v>2365</v>
      </c>
      <c r="BG868" t="s">
        <v>2365</v>
      </c>
      <c r="BH868" t="s">
        <v>2365</v>
      </c>
      <c r="BI868" t="s">
        <v>2366</v>
      </c>
      <c r="BJ868" t="s">
        <v>2365</v>
      </c>
      <c r="BK868" t="s">
        <v>2365</v>
      </c>
      <c r="BL868" t="s">
        <v>2365</v>
      </c>
      <c r="BM868" t="s">
        <v>2365</v>
      </c>
      <c r="BO868">
        <v>1</v>
      </c>
      <c r="BP868">
        <v>11</v>
      </c>
      <c r="BQ868" t="s">
        <v>2369</v>
      </c>
      <c r="BR868" t="s">
        <v>1487</v>
      </c>
      <c r="BU868">
        <v>0</v>
      </c>
      <c r="BV868">
        <v>0</v>
      </c>
      <c r="BW868" s="1371">
        <v>0</v>
      </c>
      <c r="BX868" s="1372">
        <v>0</v>
      </c>
      <c r="BY868">
        <v>0</v>
      </c>
      <c r="BZ868">
        <v>0</v>
      </c>
      <c r="CA868">
        <v>0</v>
      </c>
      <c r="CB868">
        <v>0</v>
      </c>
      <c r="CC868">
        <v>0</v>
      </c>
      <c r="CD868">
        <v>0</v>
      </c>
      <c r="CE868">
        <v>0</v>
      </c>
      <c r="CF868">
        <v>0</v>
      </c>
      <c r="CG868">
        <v>0</v>
      </c>
      <c r="CH868">
        <v>0</v>
      </c>
      <c r="CI868">
        <v>0</v>
      </c>
      <c r="CJ868">
        <v>0</v>
      </c>
      <c r="CK868">
        <v>0</v>
      </c>
      <c r="CL868">
        <v>0</v>
      </c>
      <c r="CM868">
        <v>0</v>
      </c>
      <c r="CR868" t="s">
        <v>2324</v>
      </c>
      <c r="CS868" s="1369" t="str">
        <f>INDEX([8]Sheet1!$H:$H,MATCH(CR:CR,[8]Sheet1!$AU:$AU,0))</f>
        <v>Finance</v>
      </c>
    </row>
    <row r="869" spans="1:97" x14ac:dyDescent="0.2">
      <c r="A869" t="s">
        <v>3616</v>
      </c>
      <c r="B869">
        <v>922</v>
      </c>
      <c r="C869" t="s">
        <v>3616</v>
      </c>
      <c r="D869">
        <v>41653</v>
      </c>
      <c r="E869" t="s">
        <v>3617</v>
      </c>
      <c r="F869" t="s">
        <v>2364</v>
      </c>
      <c r="G869" t="s">
        <v>2364</v>
      </c>
      <c r="H869" t="s">
        <v>2365</v>
      </c>
      <c r="I869" t="s">
        <v>2365</v>
      </c>
      <c r="J869" t="s">
        <v>2365</v>
      </c>
      <c r="K869" t="s">
        <v>2365</v>
      </c>
      <c r="L869">
        <v>1200</v>
      </c>
      <c r="M869" t="s">
        <v>1480</v>
      </c>
      <c r="N869">
        <v>1204</v>
      </c>
      <c r="O869" t="s">
        <v>1487</v>
      </c>
      <c r="P869" t="s">
        <v>2366</v>
      </c>
      <c r="Q869" t="s">
        <v>2364</v>
      </c>
      <c r="R869" t="s">
        <v>2364</v>
      </c>
      <c r="S869" t="s">
        <v>553</v>
      </c>
      <c r="T869" t="s">
        <v>2175</v>
      </c>
      <c r="U869">
        <v>140</v>
      </c>
      <c r="V869" t="s">
        <v>693</v>
      </c>
      <c r="W869">
        <v>140</v>
      </c>
      <c r="X869" t="s">
        <v>693</v>
      </c>
      <c r="Y869" t="s">
        <v>2365</v>
      </c>
      <c r="Z869" t="s">
        <v>2365</v>
      </c>
      <c r="AA869" t="s">
        <v>2365</v>
      </c>
      <c r="AB869" t="s">
        <v>2365</v>
      </c>
      <c r="AC869" s="813" t="s">
        <v>2365</v>
      </c>
      <c r="AD869" s="813" t="s">
        <v>2365</v>
      </c>
      <c r="AE869" s="813" t="s">
        <v>2365</v>
      </c>
      <c r="AF869" t="s">
        <v>2365</v>
      </c>
      <c r="AG869" t="s">
        <v>2365</v>
      </c>
      <c r="AH869" t="s">
        <v>2365</v>
      </c>
      <c r="AI869" t="s">
        <v>2365</v>
      </c>
      <c r="AJ869" t="s">
        <v>2365</v>
      </c>
      <c r="AK869" t="s">
        <v>2366</v>
      </c>
      <c r="AL869" t="s">
        <v>2366</v>
      </c>
      <c r="AM869" t="s">
        <v>2366</v>
      </c>
      <c r="AN869" t="s">
        <v>2366</v>
      </c>
      <c r="AR869" t="s">
        <v>2365</v>
      </c>
      <c r="AS869" t="s">
        <v>2365</v>
      </c>
      <c r="AT869" t="s">
        <v>2365</v>
      </c>
      <c r="AU869" t="s">
        <v>2365</v>
      </c>
      <c r="AV869" t="s">
        <v>2365</v>
      </c>
      <c r="AW869" t="s">
        <v>2365</v>
      </c>
      <c r="AX869" t="s">
        <v>2365</v>
      </c>
      <c r="AY869" t="s">
        <v>2365</v>
      </c>
      <c r="AZ869" t="s">
        <v>2365</v>
      </c>
      <c r="BA869" t="s">
        <v>2365</v>
      </c>
      <c r="BB869" t="s">
        <v>2365</v>
      </c>
      <c r="BC869" t="s">
        <v>2365</v>
      </c>
      <c r="BD869" t="s">
        <v>2366</v>
      </c>
      <c r="BE869" t="s">
        <v>2365</v>
      </c>
      <c r="BF869" t="s">
        <v>2365</v>
      </c>
      <c r="BG869" t="s">
        <v>2365</v>
      </c>
      <c r="BH869" t="s">
        <v>2365</v>
      </c>
      <c r="BI869" t="s">
        <v>2366</v>
      </c>
      <c r="BJ869" t="s">
        <v>2365</v>
      </c>
      <c r="BK869" t="s">
        <v>2365</v>
      </c>
      <c r="BL869" t="s">
        <v>2365</v>
      </c>
      <c r="BM869" t="s">
        <v>2365</v>
      </c>
      <c r="BO869">
        <v>1</v>
      </c>
      <c r="BP869">
        <v>11</v>
      </c>
      <c r="BQ869" t="s">
        <v>2369</v>
      </c>
      <c r="BR869" t="s">
        <v>1487</v>
      </c>
      <c r="BU869">
        <v>0</v>
      </c>
      <c r="BV869">
        <v>0</v>
      </c>
      <c r="BW869" s="1371">
        <v>0</v>
      </c>
      <c r="BX869" s="1372">
        <v>0</v>
      </c>
      <c r="BY869">
        <v>0</v>
      </c>
      <c r="BZ869">
        <v>0</v>
      </c>
      <c r="CA869">
        <v>0</v>
      </c>
      <c r="CB869">
        <v>0</v>
      </c>
      <c r="CC869">
        <v>0</v>
      </c>
      <c r="CD869">
        <v>0</v>
      </c>
      <c r="CE869">
        <v>0</v>
      </c>
      <c r="CF869">
        <v>0</v>
      </c>
      <c r="CG869">
        <v>0</v>
      </c>
      <c r="CH869">
        <v>0</v>
      </c>
      <c r="CI869">
        <v>0</v>
      </c>
      <c r="CJ869">
        <v>0</v>
      </c>
      <c r="CK869">
        <v>0</v>
      </c>
      <c r="CL869">
        <v>0</v>
      </c>
      <c r="CM869">
        <v>0</v>
      </c>
      <c r="CR869" t="s">
        <v>2324</v>
      </c>
      <c r="CS869" s="1369" t="str">
        <f>INDEX([8]Sheet1!$H:$H,MATCH(CR:CR,[8]Sheet1!$AU:$AU,0))</f>
        <v>Finance</v>
      </c>
    </row>
    <row r="870" spans="1:97" x14ac:dyDescent="0.2">
      <c r="A870" t="s">
        <v>3618</v>
      </c>
      <c r="B870">
        <v>923</v>
      </c>
      <c r="C870" t="s">
        <v>3618</v>
      </c>
      <c r="D870">
        <v>41654</v>
      </c>
      <c r="E870" t="s">
        <v>3619</v>
      </c>
      <c r="F870" t="s">
        <v>2364</v>
      </c>
      <c r="G870" t="s">
        <v>2364</v>
      </c>
      <c r="H870" t="s">
        <v>2365</v>
      </c>
      <c r="I870" t="s">
        <v>2365</v>
      </c>
      <c r="J870" t="s">
        <v>2365</v>
      </c>
      <c r="K870" t="s">
        <v>2365</v>
      </c>
      <c r="L870">
        <v>1200</v>
      </c>
      <c r="M870" t="s">
        <v>1480</v>
      </c>
      <c r="N870">
        <v>1204</v>
      </c>
      <c r="O870" t="s">
        <v>1487</v>
      </c>
      <c r="P870" t="s">
        <v>2366</v>
      </c>
      <c r="Q870" t="s">
        <v>2364</v>
      </c>
      <c r="R870" t="s">
        <v>2364</v>
      </c>
      <c r="S870" t="s">
        <v>553</v>
      </c>
      <c r="T870" t="s">
        <v>2175</v>
      </c>
      <c r="U870">
        <v>140</v>
      </c>
      <c r="V870" t="s">
        <v>693</v>
      </c>
      <c r="W870">
        <v>140</v>
      </c>
      <c r="X870" t="s">
        <v>693</v>
      </c>
      <c r="Y870" t="s">
        <v>2365</v>
      </c>
      <c r="Z870" t="s">
        <v>2365</v>
      </c>
      <c r="AA870" t="s">
        <v>2365</v>
      </c>
      <c r="AB870" t="s">
        <v>2365</v>
      </c>
      <c r="AC870" s="813" t="s">
        <v>2365</v>
      </c>
      <c r="AD870" s="813" t="s">
        <v>2365</v>
      </c>
      <c r="AE870" s="813" t="s">
        <v>2365</v>
      </c>
      <c r="AF870" t="s">
        <v>2365</v>
      </c>
      <c r="AG870" t="s">
        <v>2365</v>
      </c>
      <c r="AH870" t="s">
        <v>2365</v>
      </c>
      <c r="AI870" t="s">
        <v>2365</v>
      </c>
      <c r="AJ870" t="s">
        <v>2365</v>
      </c>
      <c r="AK870" t="s">
        <v>2366</v>
      </c>
      <c r="AL870" t="s">
        <v>2366</v>
      </c>
      <c r="AM870" t="s">
        <v>2366</v>
      </c>
      <c r="AN870" t="s">
        <v>2366</v>
      </c>
      <c r="AR870" t="s">
        <v>2365</v>
      </c>
      <c r="AS870" t="s">
        <v>2365</v>
      </c>
      <c r="AT870" t="s">
        <v>2365</v>
      </c>
      <c r="AU870" t="s">
        <v>2365</v>
      </c>
      <c r="AV870" t="s">
        <v>2365</v>
      </c>
      <c r="AW870" t="s">
        <v>2365</v>
      </c>
      <c r="AX870" t="s">
        <v>2365</v>
      </c>
      <c r="AY870" t="s">
        <v>2365</v>
      </c>
      <c r="AZ870" t="s">
        <v>2365</v>
      </c>
      <c r="BA870" t="s">
        <v>2365</v>
      </c>
      <c r="BB870" t="s">
        <v>2365</v>
      </c>
      <c r="BC870" t="s">
        <v>2365</v>
      </c>
      <c r="BD870" t="s">
        <v>2366</v>
      </c>
      <c r="BE870" t="s">
        <v>2365</v>
      </c>
      <c r="BF870" t="s">
        <v>2365</v>
      </c>
      <c r="BG870" t="s">
        <v>2365</v>
      </c>
      <c r="BH870" t="s">
        <v>2365</v>
      </c>
      <c r="BI870" t="s">
        <v>2366</v>
      </c>
      <c r="BJ870" t="s">
        <v>2365</v>
      </c>
      <c r="BK870" t="s">
        <v>2365</v>
      </c>
      <c r="BL870" t="s">
        <v>2365</v>
      </c>
      <c r="BM870" t="s">
        <v>2365</v>
      </c>
      <c r="BO870">
        <v>1</v>
      </c>
      <c r="BP870">
        <v>11</v>
      </c>
      <c r="BQ870" t="s">
        <v>2369</v>
      </c>
      <c r="BR870" t="s">
        <v>1487</v>
      </c>
      <c r="BU870">
        <v>0</v>
      </c>
      <c r="BV870">
        <v>0</v>
      </c>
      <c r="BW870" s="1371">
        <v>0</v>
      </c>
      <c r="BX870" s="1372">
        <v>0</v>
      </c>
      <c r="BY870">
        <v>0</v>
      </c>
      <c r="BZ870">
        <v>0</v>
      </c>
      <c r="CA870">
        <v>0</v>
      </c>
      <c r="CB870">
        <v>49795.98</v>
      </c>
      <c r="CC870">
        <v>49795.98</v>
      </c>
      <c r="CD870">
        <v>49795.98</v>
      </c>
      <c r="CE870">
        <v>49795.98</v>
      </c>
      <c r="CF870">
        <v>49795.98</v>
      </c>
      <c r="CG870">
        <v>49795.98</v>
      </c>
      <c r="CH870">
        <v>49795.98</v>
      </c>
      <c r="CI870">
        <v>49795.98</v>
      </c>
      <c r="CJ870">
        <v>0</v>
      </c>
      <c r="CK870">
        <v>0</v>
      </c>
      <c r="CL870">
        <v>0</v>
      </c>
      <c r="CM870">
        <v>0</v>
      </c>
      <c r="CR870" t="s">
        <v>2324</v>
      </c>
      <c r="CS870" s="1369" t="str">
        <f>INDEX([8]Sheet1!$H:$H,MATCH(CR:CR,[8]Sheet1!$AU:$AU,0))</f>
        <v>Finance</v>
      </c>
    </row>
    <row r="871" spans="1:97" x14ac:dyDescent="0.2">
      <c r="A871" t="s">
        <v>3620</v>
      </c>
      <c r="B871">
        <v>924</v>
      </c>
      <c r="C871" t="s">
        <v>3620</v>
      </c>
      <c r="D871">
        <v>41655</v>
      </c>
      <c r="E871" t="s">
        <v>3621</v>
      </c>
      <c r="F871" t="s">
        <v>2364</v>
      </c>
      <c r="G871" t="s">
        <v>2364</v>
      </c>
      <c r="H871" t="s">
        <v>2365</v>
      </c>
      <c r="I871" t="s">
        <v>2365</v>
      </c>
      <c r="J871" t="s">
        <v>2365</v>
      </c>
      <c r="K871" t="s">
        <v>2365</v>
      </c>
      <c r="L871">
        <v>1200</v>
      </c>
      <c r="M871" t="s">
        <v>1480</v>
      </c>
      <c r="N871">
        <v>1204</v>
      </c>
      <c r="O871" t="s">
        <v>1487</v>
      </c>
      <c r="P871" t="s">
        <v>2366</v>
      </c>
      <c r="Q871" t="s">
        <v>2364</v>
      </c>
      <c r="R871" t="s">
        <v>2364</v>
      </c>
      <c r="S871" t="s">
        <v>553</v>
      </c>
      <c r="T871" t="s">
        <v>2175</v>
      </c>
      <c r="U871">
        <v>140</v>
      </c>
      <c r="V871" t="s">
        <v>693</v>
      </c>
      <c r="W871">
        <v>140</v>
      </c>
      <c r="X871" t="s">
        <v>693</v>
      </c>
      <c r="Y871" t="s">
        <v>2365</v>
      </c>
      <c r="Z871" t="s">
        <v>2365</v>
      </c>
      <c r="AA871" t="s">
        <v>2365</v>
      </c>
      <c r="AB871" t="s">
        <v>2365</v>
      </c>
      <c r="AC871" s="813" t="s">
        <v>2365</v>
      </c>
      <c r="AD871" s="813" t="s">
        <v>2365</v>
      </c>
      <c r="AE871" s="813" t="s">
        <v>2365</v>
      </c>
      <c r="AF871" t="s">
        <v>2365</v>
      </c>
      <c r="AG871" t="s">
        <v>2365</v>
      </c>
      <c r="AH871" t="s">
        <v>2365</v>
      </c>
      <c r="AI871" t="s">
        <v>2365</v>
      </c>
      <c r="AJ871" t="s">
        <v>2365</v>
      </c>
      <c r="AK871" t="s">
        <v>2366</v>
      </c>
      <c r="AL871" t="s">
        <v>2366</v>
      </c>
      <c r="AM871" t="s">
        <v>2366</v>
      </c>
      <c r="AN871" t="s">
        <v>2366</v>
      </c>
      <c r="AR871" t="s">
        <v>2365</v>
      </c>
      <c r="AS871" t="s">
        <v>2365</v>
      </c>
      <c r="AT871" t="s">
        <v>2365</v>
      </c>
      <c r="AU871" t="s">
        <v>2365</v>
      </c>
      <c r="AV871" t="s">
        <v>2365</v>
      </c>
      <c r="AW871" t="s">
        <v>2365</v>
      </c>
      <c r="AX871" t="s">
        <v>2365</v>
      </c>
      <c r="AY871" t="s">
        <v>2365</v>
      </c>
      <c r="AZ871" t="s">
        <v>2365</v>
      </c>
      <c r="BA871" t="s">
        <v>2365</v>
      </c>
      <c r="BB871" t="s">
        <v>2365</v>
      </c>
      <c r="BC871" t="s">
        <v>2365</v>
      </c>
      <c r="BD871" t="s">
        <v>2366</v>
      </c>
      <c r="BE871" t="s">
        <v>2365</v>
      </c>
      <c r="BF871" t="s">
        <v>2365</v>
      </c>
      <c r="BG871" t="s">
        <v>2365</v>
      </c>
      <c r="BH871" t="s">
        <v>2365</v>
      </c>
      <c r="BI871" t="s">
        <v>2366</v>
      </c>
      <c r="BJ871" t="s">
        <v>2365</v>
      </c>
      <c r="BK871" t="s">
        <v>2365</v>
      </c>
      <c r="BL871" t="s">
        <v>2365</v>
      </c>
      <c r="BM871" t="s">
        <v>2365</v>
      </c>
      <c r="BO871">
        <v>1</v>
      </c>
      <c r="BP871">
        <v>11</v>
      </c>
      <c r="BQ871" t="s">
        <v>2369</v>
      </c>
      <c r="BR871" t="s">
        <v>1487</v>
      </c>
      <c r="BU871">
        <v>0</v>
      </c>
      <c r="BV871">
        <v>0</v>
      </c>
      <c r="BW871" s="1371">
        <v>0</v>
      </c>
      <c r="BX871" s="1372">
        <v>0</v>
      </c>
      <c r="BY871">
        <v>0</v>
      </c>
      <c r="BZ871">
        <v>0</v>
      </c>
      <c r="CA871">
        <v>0</v>
      </c>
      <c r="CB871">
        <v>0</v>
      </c>
      <c r="CC871">
        <v>0</v>
      </c>
      <c r="CD871">
        <v>0</v>
      </c>
      <c r="CE871">
        <v>0</v>
      </c>
      <c r="CF871">
        <v>0</v>
      </c>
      <c r="CG871">
        <v>0</v>
      </c>
      <c r="CH871">
        <v>0</v>
      </c>
      <c r="CI871">
        <v>0</v>
      </c>
      <c r="CJ871">
        <v>0</v>
      </c>
      <c r="CK871">
        <v>0</v>
      </c>
      <c r="CL871">
        <v>0</v>
      </c>
      <c r="CM871">
        <v>0</v>
      </c>
      <c r="CR871" t="s">
        <v>2324</v>
      </c>
      <c r="CS871" s="1369" t="str">
        <f>INDEX([8]Sheet1!$H:$H,MATCH(CR:CR,[8]Sheet1!$AU:$AU,0))</f>
        <v>Finance</v>
      </c>
    </row>
    <row r="872" spans="1:97" x14ac:dyDescent="0.2">
      <c r="A872" t="s">
        <v>3622</v>
      </c>
      <c r="B872">
        <v>925</v>
      </c>
      <c r="C872" t="s">
        <v>3622</v>
      </c>
      <c r="D872">
        <v>41656</v>
      </c>
      <c r="E872" t="s">
        <v>3623</v>
      </c>
      <c r="F872" t="s">
        <v>2364</v>
      </c>
      <c r="G872" t="s">
        <v>2364</v>
      </c>
      <c r="H872" t="s">
        <v>2365</v>
      </c>
      <c r="I872" t="s">
        <v>2365</v>
      </c>
      <c r="J872" t="s">
        <v>2365</v>
      </c>
      <c r="K872" t="s">
        <v>2365</v>
      </c>
      <c r="L872">
        <v>1200</v>
      </c>
      <c r="M872" t="s">
        <v>1480</v>
      </c>
      <c r="N872">
        <v>1204</v>
      </c>
      <c r="O872" t="s">
        <v>1487</v>
      </c>
      <c r="P872" t="s">
        <v>2366</v>
      </c>
      <c r="Q872" t="s">
        <v>2364</v>
      </c>
      <c r="R872" t="s">
        <v>2364</v>
      </c>
      <c r="S872" t="s">
        <v>553</v>
      </c>
      <c r="T872" t="s">
        <v>2175</v>
      </c>
      <c r="U872">
        <v>140</v>
      </c>
      <c r="V872" t="s">
        <v>693</v>
      </c>
      <c r="W872">
        <v>140</v>
      </c>
      <c r="X872" t="s">
        <v>693</v>
      </c>
      <c r="Y872" t="s">
        <v>2365</v>
      </c>
      <c r="Z872" t="s">
        <v>2365</v>
      </c>
      <c r="AA872" t="s">
        <v>2365</v>
      </c>
      <c r="AB872" t="s">
        <v>2365</v>
      </c>
      <c r="AC872" s="813" t="s">
        <v>2365</v>
      </c>
      <c r="AD872" s="813" t="s">
        <v>2365</v>
      </c>
      <c r="AE872" s="813" t="s">
        <v>2365</v>
      </c>
      <c r="AF872" t="s">
        <v>2365</v>
      </c>
      <c r="AG872" t="s">
        <v>2365</v>
      </c>
      <c r="AH872" t="s">
        <v>2365</v>
      </c>
      <c r="AI872" t="s">
        <v>2365</v>
      </c>
      <c r="AJ872" t="s">
        <v>2365</v>
      </c>
      <c r="AK872" t="s">
        <v>2366</v>
      </c>
      <c r="AL872" t="s">
        <v>2366</v>
      </c>
      <c r="AM872" t="s">
        <v>2366</v>
      </c>
      <c r="AN872" t="s">
        <v>2366</v>
      </c>
      <c r="AR872" t="s">
        <v>2365</v>
      </c>
      <c r="AS872" t="s">
        <v>2365</v>
      </c>
      <c r="AT872" t="s">
        <v>2365</v>
      </c>
      <c r="AU872" t="s">
        <v>2365</v>
      </c>
      <c r="AV872" t="s">
        <v>2365</v>
      </c>
      <c r="AW872" t="s">
        <v>2365</v>
      </c>
      <c r="AX872" t="s">
        <v>2365</v>
      </c>
      <c r="AY872" t="s">
        <v>2365</v>
      </c>
      <c r="AZ872" t="s">
        <v>2365</v>
      </c>
      <c r="BA872" t="s">
        <v>2365</v>
      </c>
      <c r="BB872" t="s">
        <v>2365</v>
      </c>
      <c r="BC872" t="s">
        <v>2365</v>
      </c>
      <c r="BD872" t="s">
        <v>2366</v>
      </c>
      <c r="BE872" t="s">
        <v>2365</v>
      </c>
      <c r="BF872" t="s">
        <v>2365</v>
      </c>
      <c r="BG872" t="s">
        <v>2365</v>
      </c>
      <c r="BH872" t="s">
        <v>2365</v>
      </c>
      <c r="BI872" t="s">
        <v>2366</v>
      </c>
      <c r="BJ872" t="s">
        <v>2365</v>
      </c>
      <c r="BK872" t="s">
        <v>2365</v>
      </c>
      <c r="BL872" t="s">
        <v>2365</v>
      </c>
      <c r="BM872" t="s">
        <v>2365</v>
      </c>
      <c r="BO872">
        <v>1</v>
      </c>
      <c r="BP872">
        <v>11</v>
      </c>
      <c r="BQ872" t="s">
        <v>2369</v>
      </c>
      <c r="BR872" t="s">
        <v>1487</v>
      </c>
      <c r="BU872">
        <v>0</v>
      </c>
      <c r="BV872">
        <v>0</v>
      </c>
      <c r="BW872" s="1371">
        <v>0</v>
      </c>
      <c r="BX872" s="1372">
        <v>0</v>
      </c>
      <c r="BY872">
        <v>0</v>
      </c>
      <c r="BZ872">
        <v>0</v>
      </c>
      <c r="CA872">
        <v>0</v>
      </c>
      <c r="CB872">
        <v>0</v>
      </c>
      <c r="CC872">
        <v>0</v>
      </c>
      <c r="CD872">
        <v>0</v>
      </c>
      <c r="CE872">
        <v>0</v>
      </c>
      <c r="CF872">
        <v>0</v>
      </c>
      <c r="CG872">
        <v>0</v>
      </c>
      <c r="CH872">
        <v>0</v>
      </c>
      <c r="CI872">
        <v>0</v>
      </c>
      <c r="CJ872">
        <v>0</v>
      </c>
      <c r="CK872">
        <v>0</v>
      </c>
      <c r="CL872">
        <v>0</v>
      </c>
      <c r="CM872">
        <v>0</v>
      </c>
      <c r="CR872" t="s">
        <v>2324</v>
      </c>
      <c r="CS872" s="1369" t="str">
        <f>INDEX([8]Sheet1!$H:$H,MATCH(CR:CR,[8]Sheet1!$AU:$AU,0))</f>
        <v>Finance</v>
      </c>
    </row>
    <row r="873" spans="1:97" x14ac:dyDescent="0.2">
      <c r="A873" t="s">
        <v>3624</v>
      </c>
      <c r="B873">
        <v>926</v>
      </c>
      <c r="C873" t="s">
        <v>3624</v>
      </c>
      <c r="D873">
        <v>41657</v>
      </c>
      <c r="E873" t="s">
        <v>3625</v>
      </c>
      <c r="F873" t="s">
        <v>2364</v>
      </c>
      <c r="G873" t="s">
        <v>2364</v>
      </c>
      <c r="H873" t="s">
        <v>2365</v>
      </c>
      <c r="I873" t="s">
        <v>2365</v>
      </c>
      <c r="J873" t="s">
        <v>2365</v>
      </c>
      <c r="K873" t="s">
        <v>2365</v>
      </c>
      <c r="L873">
        <v>1200</v>
      </c>
      <c r="M873" t="s">
        <v>1480</v>
      </c>
      <c r="N873">
        <v>1204</v>
      </c>
      <c r="O873" t="s">
        <v>1487</v>
      </c>
      <c r="P873" t="s">
        <v>2366</v>
      </c>
      <c r="Q873" t="s">
        <v>2364</v>
      </c>
      <c r="R873" t="s">
        <v>2364</v>
      </c>
      <c r="S873" t="s">
        <v>553</v>
      </c>
      <c r="T873" t="s">
        <v>2175</v>
      </c>
      <c r="U873">
        <v>140</v>
      </c>
      <c r="V873" t="s">
        <v>693</v>
      </c>
      <c r="W873">
        <v>140</v>
      </c>
      <c r="X873" t="s">
        <v>693</v>
      </c>
      <c r="Y873" t="s">
        <v>2365</v>
      </c>
      <c r="Z873" t="s">
        <v>2365</v>
      </c>
      <c r="AA873" t="s">
        <v>2365</v>
      </c>
      <c r="AB873" t="s">
        <v>2365</v>
      </c>
      <c r="AC873" s="813" t="s">
        <v>2365</v>
      </c>
      <c r="AD873" s="813" t="s">
        <v>2365</v>
      </c>
      <c r="AE873" s="813" t="s">
        <v>2365</v>
      </c>
      <c r="AF873" t="s">
        <v>2365</v>
      </c>
      <c r="AG873" t="s">
        <v>2365</v>
      </c>
      <c r="AH873" t="s">
        <v>2365</v>
      </c>
      <c r="AI873" t="s">
        <v>2365</v>
      </c>
      <c r="AJ873" t="s">
        <v>2365</v>
      </c>
      <c r="AK873" t="s">
        <v>2366</v>
      </c>
      <c r="AL873" t="s">
        <v>2366</v>
      </c>
      <c r="AM873" t="s">
        <v>2366</v>
      </c>
      <c r="AN873" t="s">
        <v>2366</v>
      </c>
      <c r="AR873" t="s">
        <v>2365</v>
      </c>
      <c r="AS873" t="s">
        <v>2365</v>
      </c>
      <c r="AT873" t="s">
        <v>2365</v>
      </c>
      <c r="AU873" t="s">
        <v>2365</v>
      </c>
      <c r="AV873" t="s">
        <v>2365</v>
      </c>
      <c r="AW873" t="s">
        <v>2365</v>
      </c>
      <c r="AX873" t="s">
        <v>2365</v>
      </c>
      <c r="AY873" t="s">
        <v>2365</v>
      </c>
      <c r="AZ873" t="s">
        <v>2365</v>
      </c>
      <c r="BA873" t="s">
        <v>2365</v>
      </c>
      <c r="BB873" t="s">
        <v>2365</v>
      </c>
      <c r="BC873" t="s">
        <v>2365</v>
      </c>
      <c r="BD873" t="s">
        <v>2366</v>
      </c>
      <c r="BE873" t="s">
        <v>2365</v>
      </c>
      <c r="BF873" t="s">
        <v>2365</v>
      </c>
      <c r="BG873" t="s">
        <v>2365</v>
      </c>
      <c r="BH873" t="s">
        <v>2365</v>
      </c>
      <c r="BI873" t="s">
        <v>2366</v>
      </c>
      <c r="BJ873" t="s">
        <v>2365</v>
      </c>
      <c r="BK873" t="s">
        <v>2365</v>
      </c>
      <c r="BL873" t="s">
        <v>2365</v>
      </c>
      <c r="BM873" t="s">
        <v>2365</v>
      </c>
      <c r="BO873">
        <v>1</v>
      </c>
      <c r="BP873">
        <v>11</v>
      </c>
      <c r="BQ873" t="s">
        <v>2369</v>
      </c>
      <c r="BR873" t="s">
        <v>1487</v>
      </c>
      <c r="BU873">
        <v>0</v>
      </c>
      <c r="BV873">
        <v>0</v>
      </c>
      <c r="BW873" s="1371">
        <v>0</v>
      </c>
      <c r="BX873" s="1372">
        <v>0</v>
      </c>
      <c r="BY873">
        <v>0</v>
      </c>
      <c r="BZ873">
        <v>0</v>
      </c>
      <c r="CA873">
        <v>0</v>
      </c>
      <c r="CB873">
        <v>0</v>
      </c>
      <c r="CC873">
        <v>0</v>
      </c>
      <c r="CD873">
        <v>0</v>
      </c>
      <c r="CE873">
        <v>0</v>
      </c>
      <c r="CF873">
        <v>0</v>
      </c>
      <c r="CG873">
        <v>0</v>
      </c>
      <c r="CH873">
        <v>0</v>
      </c>
      <c r="CI873">
        <v>0</v>
      </c>
      <c r="CJ873">
        <v>0</v>
      </c>
      <c r="CK873">
        <v>0</v>
      </c>
      <c r="CL873">
        <v>0</v>
      </c>
      <c r="CM873">
        <v>0</v>
      </c>
      <c r="CR873" t="s">
        <v>2324</v>
      </c>
      <c r="CS873" s="1369" t="str">
        <f>INDEX([8]Sheet1!$H:$H,MATCH(CR:CR,[8]Sheet1!$AU:$AU,0))</f>
        <v>Finance</v>
      </c>
    </row>
    <row r="874" spans="1:97" x14ac:dyDescent="0.2">
      <c r="A874" t="s">
        <v>3626</v>
      </c>
      <c r="B874">
        <v>927</v>
      </c>
      <c r="C874" t="s">
        <v>3626</v>
      </c>
      <c r="D874">
        <v>41658</v>
      </c>
      <c r="E874" t="s">
        <v>3627</v>
      </c>
      <c r="F874" t="s">
        <v>2364</v>
      </c>
      <c r="G874" t="s">
        <v>2364</v>
      </c>
      <c r="H874" t="s">
        <v>2365</v>
      </c>
      <c r="I874" t="s">
        <v>2365</v>
      </c>
      <c r="J874" t="s">
        <v>2365</v>
      </c>
      <c r="K874" t="s">
        <v>2365</v>
      </c>
      <c r="L874">
        <v>1200</v>
      </c>
      <c r="M874" t="s">
        <v>1480</v>
      </c>
      <c r="N874">
        <v>1204</v>
      </c>
      <c r="O874" t="s">
        <v>1487</v>
      </c>
      <c r="P874" t="s">
        <v>2366</v>
      </c>
      <c r="Q874" t="s">
        <v>2364</v>
      </c>
      <c r="R874" t="s">
        <v>2364</v>
      </c>
      <c r="S874" t="s">
        <v>553</v>
      </c>
      <c r="T874" t="s">
        <v>2175</v>
      </c>
      <c r="U874">
        <v>140</v>
      </c>
      <c r="V874" t="s">
        <v>693</v>
      </c>
      <c r="W874">
        <v>140</v>
      </c>
      <c r="X874" t="s">
        <v>693</v>
      </c>
      <c r="Y874" t="s">
        <v>2365</v>
      </c>
      <c r="Z874" t="s">
        <v>2365</v>
      </c>
      <c r="AA874" t="s">
        <v>2365</v>
      </c>
      <c r="AB874" t="s">
        <v>2365</v>
      </c>
      <c r="AC874" s="813" t="s">
        <v>2365</v>
      </c>
      <c r="AD874" s="813" t="s">
        <v>2365</v>
      </c>
      <c r="AE874" s="813" t="s">
        <v>2365</v>
      </c>
      <c r="AF874" t="s">
        <v>2365</v>
      </c>
      <c r="AG874" t="s">
        <v>2365</v>
      </c>
      <c r="AH874" t="s">
        <v>2365</v>
      </c>
      <c r="AI874" t="s">
        <v>2365</v>
      </c>
      <c r="AJ874" t="s">
        <v>2365</v>
      </c>
      <c r="AK874" t="s">
        <v>2366</v>
      </c>
      <c r="AL874" t="s">
        <v>2366</v>
      </c>
      <c r="AM874" t="s">
        <v>2366</v>
      </c>
      <c r="AN874" t="s">
        <v>2366</v>
      </c>
      <c r="AR874" t="s">
        <v>2365</v>
      </c>
      <c r="AS874" t="s">
        <v>2365</v>
      </c>
      <c r="AT874" t="s">
        <v>2365</v>
      </c>
      <c r="AU874" t="s">
        <v>2365</v>
      </c>
      <c r="AV874" t="s">
        <v>2365</v>
      </c>
      <c r="AW874" t="s">
        <v>2365</v>
      </c>
      <c r="AX874" t="s">
        <v>2365</v>
      </c>
      <c r="AY874" t="s">
        <v>2365</v>
      </c>
      <c r="AZ874" t="s">
        <v>2365</v>
      </c>
      <c r="BA874" t="s">
        <v>2365</v>
      </c>
      <c r="BB874" t="s">
        <v>2365</v>
      </c>
      <c r="BC874" t="s">
        <v>2365</v>
      </c>
      <c r="BD874" t="s">
        <v>2366</v>
      </c>
      <c r="BE874" t="s">
        <v>2365</v>
      </c>
      <c r="BF874" t="s">
        <v>2365</v>
      </c>
      <c r="BG874" t="s">
        <v>2365</v>
      </c>
      <c r="BH874" t="s">
        <v>2365</v>
      </c>
      <c r="BI874" t="s">
        <v>2366</v>
      </c>
      <c r="BJ874" t="s">
        <v>2365</v>
      </c>
      <c r="BK874" t="s">
        <v>2365</v>
      </c>
      <c r="BL874" t="s">
        <v>2365</v>
      </c>
      <c r="BM874" t="s">
        <v>2365</v>
      </c>
      <c r="BO874">
        <v>1</v>
      </c>
      <c r="BP874">
        <v>11</v>
      </c>
      <c r="BQ874" t="s">
        <v>2369</v>
      </c>
      <c r="BR874" t="s">
        <v>1487</v>
      </c>
      <c r="BU874">
        <v>0</v>
      </c>
      <c r="BV874">
        <v>0</v>
      </c>
      <c r="BW874" s="1371">
        <v>0</v>
      </c>
      <c r="BX874" s="1372">
        <v>0</v>
      </c>
      <c r="BY874">
        <v>0</v>
      </c>
      <c r="BZ874">
        <v>0</v>
      </c>
      <c r="CA874">
        <v>0</v>
      </c>
      <c r="CB874">
        <v>0</v>
      </c>
      <c r="CC874">
        <v>0</v>
      </c>
      <c r="CD874">
        <v>0</v>
      </c>
      <c r="CE874">
        <v>0</v>
      </c>
      <c r="CF874">
        <v>0</v>
      </c>
      <c r="CG874">
        <v>0</v>
      </c>
      <c r="CH874">
        <v>0</v>
      </c>
      <c r="CI874">
        <v>-2.64</v>
      </c>
      <c r="CJ874">
        <v>0</v>
      </c>
      <c r="CK874">
        <v>0</v>
      </c>
      <c r="CL874">
        <v>0</v>
      </c>
      <c r="CM874">
        <v>0</v>
      </c>
      <c r="CR874" t="s">
        <v>2324</v>
      </c>
      <c r="CS874" s="1369" t="str">
        <f>INDEX([8]Sheet1!$H:$H,MATCH(CR:CR,[8]Sheet1!$AU:$AU,0))</f>
        <v>Finance</v>
      </c>
    </row>
    <row r="875" spans="1:97" x14ac:dyDescent="0.2">
      <c r="A875" t="s">
        <v>3628</v>
      </c>
      <c r="B875">
        <v>928</v>
      </c>
      <c r="C875" t="s">
        <v>3628</v>
      </c>
      <c r="D875">
        <v>41659</v>
      </c>
      <c r="E875" t="s">
        <v>3629</v>
      </c>
      <c r="F875" t="s">
        <v>2364</v>
      </c>
      <c r="G875" t="s">
        <v>2364</v>
      </c>
      <c r="H875" t="s">
        <v>2365</v>
      </c>
      <c r="I875" t="s">
        <v>2365</v>
      </c>
      <c r="J875" t="s">
        <v>2365</v>
      </c>
      <c r="K875" t="s">
        <v>2365</v>
      </c>
      <c r="L875">
        <v>1200</v>
      </c>
      <c r="M875" t="s">
        <v>1480</v>
      </c>
      <c r="N875">
        <v>1204</v>
      </c>
      <c r="O875" t="s">
        <v>1487</v>
      </c>
      <c r="P875" t="s">
        <v>2366</v>
      </c>
      <c r="Q875" t="s">
        <v>2364</v>
      </c>
      <c r="R875" t="s">
        <v>2364</v>
      </c>
      <c r="S875" t="s">
        <v>553</v>
      </c>
      <c r="T875" t="s">
        <v>2175</v>
      </c>
      <c r="U875">
        <v>140</v>
      </c>
      <c r="V875" t="s">
        <v>693</v>
      </c>
      <c r="W875">
        <v>140</v>
      </c>
      <c r="X875" t="s">
        <v>693</v>
      </c>
      <c r="Y875" t="s">
        <v>2365</v>
      </c>
      <c r="Z875" t="s">
        <v>2365</v>
      </c>
      <c r="AA875" t="s">
        <v>2365</v>
      </c>
      <c r="AB875" t="s">
        <v>2365</v>
      </c>
      <c r="AC875" s="813" t="s">
        <v>2365</v>
      </c>
      <c r="AD875" s="813" t="s">
        <v>2365</v>
      </c>
      <c r="AE875" s="813" t="s">
        <v>2365</v>
      </c>
      <c r="AF875" t="s">
        <v>2365</v>
      </c>
      <c r="AG875" t="s">
        <v>2365</v>
      </c>
      <c r="AH875" t="s">
        <v>2365</v>
      </c>
      <c r="AI875" t="s">
        <v>2365</v>
      </c>
      <c r="AJ875" t="s">
        <v>2365</v>
      </c>
      <c r="AK875" t="s">
        <v>2366</v>
      </c>
      <c r="AL875" t="s">
        <v>2366</v>
      </c>
      <c r="AM875" t="s">
        <v>2366</v>
      </c>
      <c r="AN875" t="s">
        <v>2366</v>
      </c>
      <c r="AR875" t="s">
        <v>2365</v>
      </c>
      <c r="AS875" t="s">
        <v>2365</v>
      </c>
      <c r="AT875" t="s">
        <v>2365</v>
      </c>
      <c r="AU875" t="s">
        <v>2365</v>
      </c>
      <c r="AV875" t="s">
        <v>2365</v>
      </c>
      <c r="AW875" t="s">
        <v>2365</v>
      </c>
      <c r="AX875" t="s">
        <v>2365</v>
      </c>
      <c r="AY875" t="s">
        <v>2365</v>
      </c>
      <c r="AZ875" t="s">
        <v>2365</v>
      </c>
      <c r="BA875" t="s">
        <v>2365</v>
      </c>
      <c r="BB875" t="s">
        <v>2365</v>
      </c>
      <c r="BC875" t="s">
        <v>2365</v>
      </c>
      <c r="BD875" t="s">
        <v>2366</v>
      </c>
      <c r="BE875" t="s">
        <v>2365</v>
      </c>
      <c r="BF875" t="s">
        <v>2365</v>
      </c>
      <c r="BG875" t="s">
        <v>2365</v>
      </c>
      <c r="BH875" t="s">
        <v>2365</v>
      </c>
      <c r="BI875" t="s">
        <v>2366</v>
      </c>
      <c r="BJ875" t="s">
        <v>2365</v>
      </c>
      <c r="BK875" t="s">
        <v>2365</v>
      </c>
      <c r="BL875" t="s">
        <v>2365</v>
      </c>
      <c r="BM875" t="s">
        <v>2365</v>
      </c>
      <c r="BO875">
        <v>1</v>
      </c>
      <c r="BP875">
        <v>11</v>
      </c>
      <c r="BQ875" t="s">
        <v>2369</v>
      </c>
      <c r="BR875" t="s">
        <v>1487</v>
      </c>
      <c r="BU875">
        <v>0</v>
      </c>
      <c r="BV875">
        <v>0</v>
      </c>
      <c r="BW875" s="1371">
        <v>0</v>
      </c>
      <c r="BX875" s="1372">
        <v>0</v>
      </c>
      <c r="BY875">
        <v>0</v>
      </c>
      <c r="BZ875">
        <v>0</v>
      </c>
      <c r="CA875">
        <v>0</v>
      </c>
      <c r="CB875">
        <v>0</v>
      </c>
      <c r="CC875">
        <v>0</v>
      </c>
      <c r="CD875">
        <v>0</v>
      </c>
      <c r="CE875">
        <v>-3112987.5</v>
      </c>
      <c r="CF875">
        <v>-237799.5</v>
      </c>
      <c r="CG875">
        <v>0</v>
      </c>
      <c r="CH875">
        <v>0</v>
      </c>
      <c r="CI875">
        <v>0</v>
      </c>
      <c r="CJ875">
        <v>0</v>
      </c>
      <c r="CK875">
        <v>0</v>
      </c>
      <c r="CL875">
        <v>0</v>
      </c>
      <c r="CM875">
        <v>0</v>
      </c>
      <c r="CR875" t="s">
        <v>2324</v>
      </c>
      <c r="CS875" s="1369" t="str">
        <f>INDEX([8]Sheet1!$H:$H,MATCH(CR:CR,[8]Sheet1!$AU:$AU,0))</f>
        <v>Finance</v>
      </c>
    </row>
    <row r="876" spans="1:97" x14ac:dyDescent="0.2">
      <c r="A876" t="s">
        <v>3630</v>
      </c>
      <c r="B876">
        <v>929</v>
      </c>
      <c r="C876" t="s">
        <v>3630</v>
      </c>
      <c r="D876">
        <v>41660</v>
      </c>
      <c r="E876" t="s">
        <v>3631</v>
      </c>
      <c r="F876" t="s">
        <v>2364</v>
      </c>
      <c r="G876" t="s">
        <v>2364</v>
      </c>
      <c r="H876" t="s">
        <v>2365</v>
      </c>
      <c r="I876" t="s">
        <v>2365</v>
      </c>
      <c r="J876" t="s">
        <v>2365</v>
      </c>
      <c r="K876" t="s">
        <v>2365</v>
      </c>
      <c r="L876">
        <v>1200</v>
      </c>
      <c r="M876" t="s">
        <v>1480</v>
      </c>
      <c r="N876">
        <v>1204</v>
      </c>
      <c r="O876" t="s">
        <v>1487</v>
      </c>
      <c r="P876" t="s">
        <v>2366</v>
      </c>
      <c r="Q876" t="s">
        <v>2364</v>
      </c>
      <c r="R876" t="s">
        <v>2364</v>
      </c>
      <c r="S876" t="s">
        <v>553</v>
      </c>
      <c r="T876" t="s">
        <v>2175</v>
      </c>
      <c r="U876">
        <v>140</v>
      </c>
      <c r="V876" t="s">
        <v>693</v>
      </c>
      <c r="W876">
        <v>140</v>
      </c>
      <c r="X876" t="s">
        <v>693</v>
      </c>
      <c r="Y876" t="s">
        <v>2365</v>
      </c>
      <c r="Z876" t="s">
        <v>2365</v>
      </c>
      <c r="AA876" t="s">
        <v>2365</v>
      </c>
      <c r="AB876" t="s">
        <v>2365</v>
      </c>
      <c r="AC876" s="813" t="s">
        <v>2365</v>
      </c>
      <c r="AD876" s="813" t="s">
        <v>2365</v>
      </c>
      <c r="AE876" s="813" t="s">
        <v>2365</v>
      </c>
      <c r="AF876" t="s">
        <v>2365</v>
      </c>
      <c r="AG876" t="s">
        <v>2365</v>
      </c>
      <c r="AH876" t="s">
        <v>2365</v>
      </c>
      <c r="AI876" t="s">
        <v>2365</v>
      </c>
      <c r="AJ876" t="s">
        <v>2365</v>
      </c>
      <c r="AK876">
        <v>147</v>
      </c>
      <c r="AL876" t="s">
        <v>1200</v>
      </c>
      <c r="AM876">
        <v>147</v>
      </c>
      <c r="AN876" t="s">
        <v>1200</v>
      </c>
      <c r="AR876" t="s">
        <v>2365</v>
      </c>
      <c r="AS876" t="s">
        <v>2365</v>
      </c>
      <c r="AT876" t="s">
        <v>2365</v>
      </c>
      <c r="AU876" t="s">
        <v>2365</v>
      </c>
      <c r="AV876" t="s">
        <v>2365</v>
      </c>
      <c r="AW876" t="s">
        <v>2365</v>
      </c>
      <c r="AX876" t="s">
        <v>2365</v>
      </c>
      <c r="AY876" t="s">
        <v>2365</v>
      </c>
      <c r="AZ876" t="s">
        <v>2365</v>
      </c>
      <c r="BA876" t="s">
        <v>2365</v>
      </c>
      <c r="BB876" t="s">
        <v>2365</v>
      </c>
      <c r="BC876" t="s">
        <v>2365</v>
      </c>
      <c r="BD876" t="s">
        <v>2366</v>
      </c>
      <c r="BE876" t="s">
        <v>2365</v>
      </c>
      <c r="BF876" t="s">
        <v>2365</v>
      </c>
      <c r="BG876" t="s">
        <v>2365</v>
      </c>
      <c r="BH876" t="s">
        <v>2365</v>
      </c>
      <c r="BI876" t="s">
        <v>2366</v>
      </c>
      <c r="BJ876" t="s">
        <v>2365</v>
      </c>
      <c r="BK876" t="s">
        <v>2365</v>
      </c>
      <c r="BL876" t="s">
        <v>2365</v>
      </c>
      <c r="BM876" t="s">
        <v>2365</v>
      </c>
      <c r="BO876">
        <v>1</v>
      </c>
      <c r="BP876">
        <v>11</v>
      </c>
      <c r="BQ876" t="s">
        <v>2369</v>
      </c>
      <c r="BR876" t="s">
        <v>1487</v>
      </c>
      <c r="BU876">
        <v>0</v>
      </c>
      <c r="BV876">
        <v>0</v>
      </c>
      <c r="BW876" s="1371">
        <v>0</v>
      </c>
      <c r="BX876" s="1372">
        <v>0</v>
      </c>
      <c r="BY876">
        <v>0</v>
      </c>
      <c r="BZ876">
        <v>0</v>
      </c>
      <c r="CA876">
        <v>0</v>
      </c>
      <c r="CB876">
        <v>0</v>
      </c>
      <c r="CC876">
        <v>0</v>
      </c>
      <c r="CD876">
        <v>0</v>
      </c>
      <c r="CE876">
        <v>0</v>
      </c>
      <c r="CF876">
        <v>0</v>
      </c>
      <c r="CG876">
        <v>0</v>
      </c>
      <c r="CH876">
        <v>0</v>
      </c>
      <c r="CI876">
        <v>0</v>
      </c>
      <c r="CJ876">
        <v>0</v>
      </c>
      <c r="CK876">
        <v>0</v>
      </c>
      <c r="CL876">
        <v>0</v>
      </c>
      <c r="CM876">
        <v>0</v>
      </c>
      <c r="CR876" t="s">
        <v>2324</v>
      </c>
      <c r="CS876" s="1369" t="str">
        <f>INDEX([8]Sheet1!$H:$H,MATCH(CR:CR,[8]Sheet1!$AU:$AU,0))</f>
        <v>Finance</v>
      </c>
    </row>
    <row r="877" spans="1:97" x14ac:dyDescent="0.2">
      <c r="A877" t="s">
        <v>3632</v>
      </c>
      <c r="B877">
        <v>930</v>
      </c>
      <c r="C877" t="s">
        <v>3632</v>
      </c>
      <c r="D877">
        <v>41661</v>
      </c>
      <c r="E877" t="s">
        <v>3633</v>
      </c>
      <c r="F877" t="s">
        <v>2364</v>
      </c>
      <c r="G877" t="s">
        <v>2364</v>
      </c>
      <c r="H877" t="s">
        <v>2365</v>
      </c>
      <c r="I877" t="s">
        <v>2365</v>
      </c>
      <c r="J877" t="s">
        <v>2365</v>
      </c>
      <c r="K877" t="s">
        <v>2365</v>
      </c>
      <c r="L877">
        <v>1200</v>
      </c>
      <c r="M877" t="s">
        <v>1480</v>
      </c>
      <c r="N877">
        <v>1204</v>
      </c>
      <c r="O877" t="s">
        <v>1487</v>
      </c>
      <c r="P877" t="s">
        <v>2366</v>
      </c>
      <c r="Q877" t="s">
        <v>2364</v>
      </c>
      <c r="R877" t="s">
        <v>2364</v>
      </c>
      <c r="S877" t="s">
        <v>553</v>
      </c>
      <c r="T877" t="s">
        <v>2175</v>
      </c>
      <c r="U877">
        <v>140</v>
      </c>
      <c r="V877" t="s">
        <v>693</v>
      </c>
      <c r="W877">
        <v>140</v>
      </c>
      <c r="X877" t="s">
        <v>693</v>
      </c>
      <c r="Y877" t="s">
        <v>2365</v>
      </c>
      <c r="Z877" t="s">
        <v>2365</v>
      </c>
      <c r="AA877" t="s">
        <v>2365</v>
      </c>
      <c r="AB877" t="s">
        <v>2365</v>
      </c>
      <c r="AC877" s="813" t="s">
        <v>2365</v>
      </c>
      <c r="AD877" s="813" t="s">
        <v>2365</v>
      </c>
      <c r="AE877" s="813" t="s">
        <v>2365</v>
      </c>
      <c r="AF877" t="s">
        <v>2365</v>
      </c>
      <c r="AG877" t="s">
        <v>2365</v>
      </c>
      <c r="AH877" t="s">
        <v>2365</v>
      </c>
      <c r="AI877" t="s">
        <v>2365</v>
      </c>
      <c r="AJ877" t="s">
        <v>2365</v>
      </c>
      <c r="AK877">
        <v>147</v>
      </c>
      <c r="AL877" t="s">
        <v>1200</v>
      </c>
      <c r="AM877">
        <v>147</v>
      </c>
      <c r="AN877" t="s">
        <v>1200</v>
      </c>
      <c r="AR877" t="s">
        <v>2365</v>
      </c>
      <c r="AS877" t="s">
        <v>2365</v>
      </c>
      <c r="AT877" t="s">
        <v>2365</v>
      </c>
      <c r="AU877" t="s">
        <v>2365</v>
      </c>
      <c r="AV877" t="s">
        <v>2365</v>
      </c>
      <c r="AW877" t="s">
        <v>2365</v>
      </c>
      <c r="AX877" t="s">
        <v>2365</v>
      </c>
      <c r="AY877" t="s">
        <v>2365</v>
      </c>
      <c r="AZ877" t="s">
        <v>2365</v>
      </c>
      <c r="BA877" t="s">
        <v>2365</v>
      </c>
      <c r="BB877" t="s">
        <v>2365</v>
      </c>
      <c r="BC877" t="s">
        <v>2365</v>
      </c>
      <c r="BD877" t="s">
        <v>2366</v>
      </c>
      <c r="BE877" t="s">
        <v>2365</v>
      </c>
      <c r="BF877" t="s">
        <v>2365</v>
      </c>
      <c r="BG877" t="s">
        <v>2365</v>
      </c>
      <c r="BH877" t="s">
        <v>2365</v>
      </c>
      <c r="BI877" t="s">
        <v>2366</v>
      </c>
      <c r="BJ877" t="s">
        <v>2365</v>
      </c>
      <c r="BK877" t="s">
        <v>2365</v>
      </c>
      <c r="BL877" t="s">
        <v>2365</v>
      </c>
      <c r="BM877" t="s">
        <v>2365</v>
      </c>
      <c r="BO877">
        <v>1</v>
      </c>
      <c r="BP877">
        <v>11</v>
      </c>
      <c r="BQ877" t="s">
        <v>2369</v>
      </c>
      <c r="BR877" t="s">
        <v>1487</v>
      </c>
      <c r="BU877">
        <v>0</v>
      </c>
      <c r="BV877">
        <v>0</v>
      </c>
      <c r="BW877" s="1371">
        <v>0</v>
      </c>
      <c r="BX877" s="1372">
        <v>0</v>
      </c>
      <c r="BY877">
        <v>0</v>
      </c>
      <c r="BZ877">
        <v>0</v>
      </c>
      <c r="CA877">
        <v>0</v>
      </c>
      <c r="CB877">
        <v>0</v>
      </c>
      <c r="CC877">
        <v>0</v>
      </c>
      <c r="CD877">
        <v>0</v>
      </c>
      <c r="CE877">
        <v>0</v>
      </c>
      <c r="CF877">
        <v>0</v>
      </c>
      <c r="CG877">
        <v>0</v>
      </c>
      <c r="CH877">
        <v>0</v>
      </c>
      <c r="CI877">
        <v>0</v>
      </c>
      <c r="CJ877">
        <v>0</v>
      </c>
      <c r="CK877">
        <v>0</v>
      </c>
      <c r="CL877">
        <v>0</v>
      </c>
      <c r="CM877">
        <v>0</v>
      </c>
      <c r="CR877" t="s">
        <v>2324</v>
      </c>
      <c r="CS877" s="1369" t="str">
        <f>INDEX([8]Sheet1!$H:$H,MATCH(CR:CR,[8]Sheet1!$AU:$AU,0))</f>
        <v>Finance</v>
      </c>
    </row>
    <row r="878" spans="1:97" x14ac:dyDescent="0.2">
      <c r="A878" t="s">
        <v>3634</v>
      </c>
      <c r="B878">
        <v>931</v>
      </c>
      <c r="C878" t="s">
        <v>3634</v>
      </c>
      <c r="D878">
        <v>41662</v>
      </c>
      <c r="E878" t="s">
        <v>3635</v>
      </c>
      <c r="F878" t="s">
        <v>2364</v>
      </c>
      <c r="G878" t="s">
        <v>2364</v>
      </c>
      <c r="H878" t="s">
        <v>2365</v>
      </c>
      <c r="I878" t="s">
        <v>2365</v>
      </c>
      <c r="J878" t="s">
        <v>2365</v>
      </c>
      <c r="K878" t="s">
        <v>2365</v>
      </c>
      <c r="L878">
        <v>1200</v>
      </c>
      <c r="M878" t="s">
        <v>1480</v>
      </c>
      <c r="N878">
        <v>1204</v>
      </c>
      <c r="O878" t="s">
        <v>1487</v>
      </c>
      <c r="P878" t="s">
        <v>2366</v>
      </c>
      <c r="Q878" t="s">
        <v>2364</v>
      </c>
      <c r="R878" t="s">
        <v>2364</v>
      </c>
      <c r="S878" t="s">
        <v>553</v>
      </c>
      <c r="T878" t="s">
        <v>2175</v>
      </c>
      <c r="U878">
        <v>140</v>
      </c>
      <c r="V878" t="s">
        <v>693</v>
      </c>
      <c r="W878">
        <v>140</v>
      </c>
      <c r="X878" t="s">
        <v>693</v>
      </c>
      <c r="Y878" t="s">
        <v>2365</v>
      </c>
      <c r="Z878" t="s">
        <v>2365</v>
      </c>
      <c r="AA878" t="s">
        <v>2365</v>
      </c>
      <c r="AB878" t="s">
        <v>2365</v>
      </c>
      <c r="AC878" s="813" t="s">
        <v>2365</v>
      </c>
      <c r="AD878" s="813" t="s">
        <v>2365</v>
      </c>
      <c r="AE878" s="813" t="s">
        <v>2365</v>
      </c>
      <c r="AF878" t="s">
        <v>2365</v>
      </c>
      <c r="AG878" t="s">
        <v>2365</v>
      </c>
      <c r="AH878" t="s">
        <v>2365</v>
      </c>
      <c r="AI878" t="s">
        <v>2365</v>
      </c>
      <c r="AJ878" t="s">
        <v>2365</v>
      </c>
      <c r="AK878" t="s">
        <v>2366</v>
      </c>
      <c r="AL878" t="s">
        <v>2366</v>
      </c>
      <c r="AM878" t="s">
        <v>2366</v>
      </c>
      <c r="AN878" t="s">
        <v>2366</v>
      </c>
      <c r="AR878" t="s">
        <v>2365</v>
      </c>
      <c r="AS878" t="s">
        <v>2365</v>
      </c>
      <c r="AT878" t="s">
        <v>2365</v>
      </c>
      <c r="AU878" t="s">
        <v>2365</v>
      </c>
      <c r="AV878" t="s">
        <v>2365</v>
      </c>
      <c r="AW878" t="s">
        <v>2365</v>
      </c>
      <c r="AX878" t="s">
        <v>2365</v>
      </c>
      <c r="AY878" t="s">
        <v>2365</v>
      </c>
      <c r="AZ878" t="s">
        <v>2365</v>
      </c>
      <c r="BA878" t="s">
        <v>2365</v>
      </c>
      <c r="BB878" t="s">
        <v>2365</v>
      </c>
      <c r="BC878" t="s">
        <v>2365</v>
      </c>
      <c r="BD878" t="s">
        <v>2366</v>
      </c>
      <c r="BE878" t="s">
        <v>2365</v>
      </c>
      <c r="BF878" t="s">
        <v>2365</v>
      </c>
      <c r="BG878" t="s">
        <v>2365</v>
      </c>
      <c r="BH878" t="s">
        <v>2365</v>
      </c>
      <c r="BI878" t="s">
        <v>2366</v>
      </c>
      <c r="BJ878" t="s">
        <v>2365</v>
      </c>
      <c r="BK878" t="s">
        <v>2365</v>
      </c>
      <c r="BL878" t="s">
        <v>2365</v>
      </c>
      <c r="BM878" t="s">
        <v>2365</v>
      </c>
      <c r="BO878">
        <v>1</v>
      </c>
      <c r="BP878">
        <v>11</v>
      </c>
      <c r="BQ878" t="s">
        <v>2369</v>
      </c>
      <c r="BR878" t="s">
        <v>1487</v>
      </c>
      <c r="BU878">
        <v>0</v>
      </c>
      <c r="BV878">
        <v>0</v>
      </c>
      <c r="BW878" s="1371">
        <v>0</v>
      </c>
      <c r="BX878" s="1372">
        <v>0</v>
      </c>
      <c r="BY878">
        <v>0</v>
      </c>
      <c r="BZ878">
        <v>0</v>
      </c>
      <c r="CA878">
        <v>0</v>
      </c>
      <c r="CB878">
        <v>0</v>
      </c>
      <c r="CC878">
        <v>0</v>
      </c>
      <c r="CD878">
        <v>0</v>
      </c>
      <c r="CE878">
        <v>0</v>
      </c>
      <c r="CF878">
        <v>0</v>
      </c>
      <c r="CG878">
        <v>0</v>
      </c>
      <c r="CH878">
        <v>0</v>
      </c>
      <c r="CI878">
        <v>0</v>
      </c>
      <c r="CJ878">
        <v>0</v>
      </c>
      <c r="CK878">
        <v>0</v>
      </c>
      <c r="CL878">
        <v>0</v>
      </c>
      <c r="CM878">
        <v>0</v>
      </c>
      <c r="CR878" t="s">
        <v>2324</v>
      </c>
      <c r="CS878" s="1369" t="str">
        <f>INDEX([8]Sheet1!$H:$H,MATCH(CR:CR,[8]Sheet1!$AU:$AU,0))</f>
        <v>Finance</v>
      </c>
    </row>
    <row r="879" spans="1:97" x14ac:dyDescent="0.2">
      <c r="A879" t="s">
        <v>3636</v>
      </c>
      <c r="B879">
        <v>932</v>
      </c>
      <c r="C879" t="s">
        <v>3636</v>
      </c>
      <c r="D879">
        <v>41663</v>
      </c>
      <c r="E879" t="s">
        <v>3637</v>
      </c>
      <c r="F879" t="s">
        <v>2364</v>
      </c>
      <c r="G879" t="s">
        <v>2364</v>
      </c>
      <c r="H879" t="s">
        <v>2365</v>
      </c>
      <c r="I879" t="s">
        <v>2365</v>
      </c>
      <c r="J879" t="s">
        <v>2365</v>
      </c>
      <c r="K879" t="s">
        <v>2365</v>
      </c>
      <c r="L879">
        <v>1200</v>
      </c>
      <c r="M879" t="s">
        <v>1480</v>
      </c>
      <c r="N879">
        <v>1204</v>
      </c>
      <c r="O879" t="s">
        <v>1487</v>
      </c>
      <c r="P879" t="s">
        <v>2366</v>
      </c>
      <c r="Q879" t="s">
        <v>2364</v>
      </c>
      <c r="R879" t="s">
        <v>2364</v>
      </c>
      <c r="S879" t="s">
        <v>553</v>
      </c>
      <c r="T879" t="s">
        <v>2175</v>
      </c>
      <c r="U879">
        <v>140</v>
      </c>
      <c r="V879" t="s">
        <v>693</v>
      </c>
      <c r="W879">
        <v>140</v>
      </c>
      <c r="X879" t="s">
        <v>693</v>
      </c>
      <c r="Y879" t="s">
        <v>2365</v>
      </c>
      <c r="Z879" t="s">
        <v>2365</v>
      </c>
      <c r="AA879" t="s">
        <v>2365</v>
      </c>
      <c r="AB879" t="s">
        <v>2365</v>
      </c>
      <c r="AC879" s="813" t="s">
        <v>2365</v>
      </c>
      <c r="AD879" s="813" t="s">
        <v>2365</v>
      </c>
      <c r="AE879" s="813" t="s">
        <v>2365</v>
      </c>
      <c r="AF879" t="s">
        <v>2365</v>
      </c>
      <c r="AG879" t="s">
        <v>2365</v>
      </c>
      <c r="AH879" t="s">
        <v>2365</v>
      </c>
      <c r="AI879" t="s">
        <v>2365</v>
      </c>
      <c r="AJ879" t="s">
        <v>2365</v>
      </c>
      <c r="AK879" t="s">
        <v>2366</v>
      </c>
      <c r="AL879" t="s">
        <v>2366</v>
      </c>
      <c r="AM879" t="s">
        <v>2366</v>
      </c>
      <c r="AN879" t="s">
        <v>2366</v>
      </c>
      <c r="AR879" t="s">
        <v>2365</v>
      </c>
      <c r="AS879" t="s">
        <v>2365</v>
      </c>
      <c r="AT879" t="s">
        <v>2365</v>
      </c>
      <c r="AU879" t="s">
        <v>2365</v>
      </c>
      <c r="AV879" t="s">
        <v>2365</v>
      </c>
      <c r="AW879" t="s">
        <v>2365</v>
      </c>
      <c r="AX879" t="s">
        <v>2365</v>
      </c>
      <c r="AY879" t="s">
        <v>2365</v>
      </c>
      <c r="AZ879" t="s">
        <v>2365</v>
      </c>
      <c r="BA879" t="s">
        <v>2365</v>
      </c>
      <c r="BB879" t="s">
        <v>2365</v>
      </c>
      <c r="BC879" t="s">
        <v>2365</v>
      </c>
      <c r="BD879" t="s">
        <v>2366</v>
      </c>
      <c r="BE879" t="s">
        <v>2365</v>
      </c>
      <c r="BF879" t="s">
        <v>2365</v>
      </c>
      <c r="BG879" t="s">
        <v>2365</v>
      </c>
      <c r="BH879" t="s">
        <v>2365</v>
      </c>
      <c r="BI879" t="s">
        <v>2366</v>
      </c>
      <c r="BJ879" t="s">
        <v>2365</v>
      </c>
      <c r="BK879" t="s">
        <v>2365</v>
      </c>
      <c r="BL879" t="s">
        <v>2365</v>
      </c>
      <c r="BM879" t="s">
        <v>2365</v>
      </c>
      <c r="BO879">
        <v>1</v>
      </c>
      <c r="BP879">
        <v>11</v>
      </c>
      <c r="BQ879" t="s">
        <v>2369</v>
      </c>
      <c r="BR879" t="s">
        <v>1487</v>
      </c>
      <c r="BU879">
        <v>0</v>
      </c>
      <c r="BV879">
        <v>0</v>
      </c>
      <c r="BW879" s="1371">
        <v>0</v>
      </c>
      <c r="BX879" s="1372">
        <v>0</v>
      </c>
      <c r="BY879">
        <v>0</v>
      </c>
      <c r="BZ879">
        <v>0</v>
      </c>
      <c r="CA879">
        <v>0</v>
      </c>
      <c r="CB879">
        <v>0</v>
      </c>
      <c r="CC879">
        <v>0</v>
      </c>
      <c r="CD879">
        <v>0</v>
      </c>
      <c r="CE879">
        <v>0</v>
      </c>
      <c r="CF879">
        <v>0</v>
      </c>
      <c r="CG879">
        <v>0</v>
      </c>
      <c r="CH879">
        <v>0</v>
      </c>
      <c r="CI879">
        <v>0</v>
      </c>
      <c r="CJ879">
        <v>0</v>
      </c>
      <c r="CK879">
        <v>0</v>
      </c>
      <c r="CL879">
        <v>0</v>
      </c>
      <c r="CM879">
        <v>0</v>
      </c>
      <c r="CR879" t="s">
        <v>2324</v>
      </c>
      <c r="CS879" s="1369" t="str">
        <f>INDEX([8]Sheet1!$H:$H,MATCH(CR:CR,[8]Sheet1!$AU:$AU,0))</f>
        <v>Finance</v>
      </c>
    </row>
    <row r="880" spans="1:97" x14ac:dyDescent="0.2">
      <c r="A880" t="s">
        <v>3638</v>
      </c>
      <c r="B880">
        <v>933</v>
      </c>
      <c r="C880" t="s">
        <v>3638</v>
      </c>
      <c r="D880">
        <v>41664</v>
      </c>
      <c r="E880" t="s">
        <v>3639</v>
      </c>
      <c r="F880" t="s">
        <v>2364</v>
      </c>
      <c r="G880" t="s">
        <v>2364</v>
      </c>
      <c r="H880" t="s">
        <v>2365</v>
      </c>
      <c r="I880" t="s">
        <v>2365</v>
      </c>
      <c r="J880" t="s">
        <v>2365</v>
      </c>
      <c r="K880" t="s">
        <v>2365</v>
      </c>
      <c r="L880">
        <v>1200</v>
      </c>
      <c r="M880" t="s">
        <v>1480</v>
      </c>
      <c r="N880">
        <v>1204</v>
      </c>
      <c r="O880" t="s">
        <v>1487</v>
      </c>
      <c r="P880" t="s">
        <v>2366</v>
      </c>
      <c r="Q880" t="s">
        <v>2364</v>
      </c>
      <c r="R880" t="s">
        <v>2364</v>
      </c>
      <c r="S880" t="s">
        <v>553</v>
      </c>
      <c r="T880" t="s">
        <v>2175</v>
      </c>
      <c r="U880">
        <v>140</v>
      </c>
      <c r="V880" t="s">
        <v>693</v>
      </c>
      <c r="W880">
        <v>140</v>
      </c>
      <c r="X880" t="s">
        <v>693</v>
      </c>
      <c r="Y880" t="s">
        <v>2365</v>
      </c>
      <c r="Z880" t="s">
        <v>2365</v>
      </c>
      <c r="AA880" t="s">
        <v>2365</v>
      </c>
      <c r="AB880" t="s">
        <v>2365</v>
      </c>
      <c r="AC880" s="813" t="s">
        <v>2365</v>
      </c>
      <c r="AD880" s="813" t="s">
        <v>2365</v>
      </c>
      <c r="AE880" s="813" t="s">
        <v>2365</v>
      </c>
      <c r="AF880" t="s">
        <v>2365</v>
      </c>
      <c r="AG880" t="s">
        <v>2365</v>
      </c>
      <c r="AH880" t="s">
        <v>2365</v>
      </c>
      <c r="AI880" t="s">
        <v>2365</v>
      </c>
      <c r="AJ880" t="s">
        <v>2365</v>
      </c>
      <c r="AK880" t="s">
        <v>2366</v>
      </c>
      <c r="AL880" t="s">
        <v>2366</v>
      </c>
      <c r="AM880" t="s">
        <v>2366</v>
      </c>
      <c r="AN880" t="s">
        <v>2366</v>
      </c>
      <c r="AR880" t="s">
        <v>2365</v>
      </c>
      <c r="AS880" t="s">
        <v>2365</v>
      </c>
      <c r="AT880" t="s">
        <v>2365</v>
      </c>
      <c r="AU880" t="s">
        <v>2365</v>
      </c>
      <c r="AV880" t="s">
        <v>2365</v>
      </c>
      <c r="AW880" t="s">
        <v>2365</v>
      </c>
      <c r="AX880" t="s">
        <v>2365</v>
      </c>
      <c r="AY880" t="s">
        <v>2365</v>
      </c>
      <c r="AZ880" t="s">
        <v>2365</v>
      </c>
      <c r="BA880" t="s">
        <v>2365</v>
      </c>
      <c r="BB880" t="s">
        <v>2365</v>
      </c>
      <c r="BC880" t="s">
        <v>2365</v>
      </c>
      <c r="BD880" t="s">
        <v>2366</v>
      </c>
      <c r="BE880" t="s">
        <v>2365</v>
      </c>
      <c r="BF880" t="s">
        <v>2365</v>
      </c>
      <c r="BG880" t="s">
        <v>2365</v>
      </c>
      <c r="BH880" t="s">
        <v>2365</v>
      </c>
      <c r="BI880" t="s">
        <v>2366</v>
      </c>
      <c r="BJ880" t="s">
        <v>2365</v>
      </c>
      <c r="BK880" t="s">
        <v>2365</v>
      </c>
      <c r="BL880" t="s">
        <v>2365</v>
      </c>
      <c r="BM880" t="s">
        <v>2365</v>
      </c>
      <c r="BO880">
        <v>1</v>
      </c>
      <c r="BP880">
        <v>11</v>
      </c>
      <c r="BQ880" t="s">
        <v>2369</v>
      </c>
      <c r="BR880" t="s">
        <v>1487</v>
      </c>
      <c r="BU880">
        <v>0</v>
      </c>
      <c r="BV880">
        <v>0</v>
      </c>
      <c r="BW880" s="1371">
        <v>0</v>
      </c>
      <c r="BX880" s="1372">
        <v>0</v>
      </c>
      <c r="BY880">
        <v>0</v>
      </c>
      <c r="BZ880">
        <v>0</v>
      </c>
      <c r="CA880">
        <v>0</v>
      </c>
      <c r="CB880">
        <v>0</v>
      </c>
      <c r="CC880">
        <v>0</v>
      </c>
      <c r="CD880">
        <v>0</v>
      </c>
      <c r="CE880">
        <v>0</v>
      </c>
      <c r="CF880">
        <v>0</v>
      </c>
      <c r="CG880">
        <v>0</v>
      </c>
      <c r="CH880">
        <v>0</v>
      </c>
      <c r="CI880">
        <v>0</v>
      </c>
      <c r="CJ880">
        <v>0</v>
      </c>
      <c r="CK880">
        <v>0</v>
      </c>
      <c r="CL880">
        <v>0</v>
      </c>
      <c r="CM880">
        <v>0</v>
      </c>
      <c r="CR880" t="s">
        <v>2324</v>
      </c>
      <c r="CS880" s="1369" t="str">
        <f>INDEX([8]Sheet1!$H:$H,MATCH(CR:CR,[8]Sheet1!$AU:$AU,0))</f>
        <v>Finance</v>
      </c>
    </row>
    <row r="881" spans="1:97" x14ac:dyDescent="0.2">
      <c r="A881" t="s">
        <v>3640</v>
      </c>
      <c r="B881">
        <v>934</v>
      </c>
      <c r="C881" t="s">
        <v>3640</v>
      </c>
      <c r="D881">
        <v>41665</v>
      </c>
      <c r="E881" t="s">
        <v>3641</v>
      </c>
      <c r="F881" t="s">
        <v>2364</v>
      </c>
      <c r="G881" t="s">
        <v>2364</v>
      </c>
      <c r="H881" t="s">
        <v>2365</v>
      </c>
      <c r="I881" t="s">
        <v>2365</v>
      </c>
      <c r="J881" t="s">
        <v>2365</v>
      </c>
      <c r="K881" t="s">
        <v>2365</v>
      </c>
      <c r="L881">
        <v>1200</v>
      </c>
      <c r="M881" t="s">
        <v>1480</v>
      </c>
      <c r="N881">
        <v>1204</v>
      </c>
      <c r="O881" t="s">
        <v>1487</v>
      </c>
      <c r="P881" t="s">
        <v>2366</v>
      </c>
      <c r="Q881" t="s">
        <v>2364</v>
      </c>
      <c r="R881" t="s">
        <v>2364</v>
      </c>
      <c r="S881" t="s">
        <v>553</v>
      </c>
      <c r="T881" t="s">
        <v>2175</v>
      </c>
      <c r="U881">
        <v>140</v>
      </c>
      <c r="V881" t="s">
        <v>693</v>
      </c>
      <c r="W881">
        <v>140</v>
      </c>
      <c r="X881" t="s">
        <v>693</v>
      </c>
      <c r="Y881" t="s">
        <v>2365</v>
      </c>
      <c r="Z881" t="s">
        <v>2365</v>
      </c>
      <c r="AA881" t="s">
        <v>2365</v>
      </c>
      <c r="AB881" t="s">
        <v>2365</v>
      </c>
      <c r="AC881" s="813" t="s">
        <v>2365</v>
      </c>
      <c r="AD881" s="813" t="s">
        <v>2365</v>
      </c>
      <c r="AE881" s="813" t="s">
        <v>2365</v>
      </c>
      <c r="AF881" t="s">
        <v>2365</v>
      </c>
      <c r="AG881" t="s">
        <v>2365</v>
      </c>
      <c r="AH881" t="s">
        <v>2365</v>
      </c>
      <c r="AI881" t="s">
        <v>2365</v>
      </c>
      <c r="AJ881" t="s">
        <v>2365</v>
      </c>
      <c r="AK881" t="s">
        <v>2366</v>
      </c>
      <c r="AL881" t="s">
        <v>2366</v>
      </c>
      <c r="AM881" t="s">
        <v>2366</v>
      </c>
      <c r="AN881" t="s">
        <v>2366</v>
      </c>
      <c r="AR881" t="s">
        <v>2365</v>
      </c>
      <c r="AS881" t="s">
        <v>2365</v>
      </c>
      <c r="AT881" t="s">
        <v>2365</v>
      </c>
      <c r="AU881" t="s">
        <v>2365</v>
      </c>
      <c r="AV881" t="s">
        <v>2365</v>
      </c>
      <c r="AW881" t="s">
        <v>2365</v>
      </c>
      <c r="AX881" t="s">
        <v>2365</v>
      </c>
      <c r="AY881" t="s">
        <v>2365</v>
      </c>
      <c r="AZ881" t="s">
        <v>2365</v>
      </c>
      <c r="BA881" t="s">
        <v>2365</v>
      </c>
      <c r="BB881" t="s">
        <v>2365</v>
      </c>
      <c r="BC881" t="s">
        <v>2365</v>
      </c>
      <c r="BD881" t="s">
        <v>2366</v>
      </c>
      <c r="BE881" t="s">
        <v>2365</v>
      </c>
      <c r="BF881" t="s">
        <v>2365</v>
      </c>
      <c r="BG881" t="s">
        <v>2365</v>
      </c>
      <c r="BH881" t="s">
        <v>2365</v>
      </c>
      <c r="BI881" t="s">
        <v>2366</v>
      </c>
      <c r="BJ881" t="s">
        <v>2365</v>
      </c>
      <c r="BK881" t="s">
        <v>2365</v>
      </c>
      <c r="BL881" t="s">
        <v>2365</v>
      </c>
      <c r="BM881" t="s">
        <v>2365</v>
      </c>
      <c r="BO881">
        <v>1</v>
      </c>
      <c r="BP881">
        <v>11</v>
      </c>
      <c r="BQ881" t="s">
        <v>2369</v>
      </c>
      <c r="BR881" t="s">
        <v>1487</v>
      </c>
      <c r="BU881">
        <v>0</v>
      </c>
      <c r="BV881">
        <v>0</v>
      </c>
      <c r="BW881" s="1371">
        <v>0</v>
      </c>
      <c r="BX881" s="1372">
        <v>0</v>
      </c>
      <c r="BY881">
        <v>0</v>
      </c>
      <c r="BZ881">
        <v>0</v>
      </c>
      <c r="CA881">
        <v>0</v>
      </c>
      <c r="CB881">
        <v>314255.89</v>
      </c>
      <c r="CC881">
        <v>314255.89</v>
      </c>
      <c r="CD881">
        <v>314255.89</v>
      </c>
      <c r="CE881">
        <v>314255.89</v>
      </c>
      <c r="CF881">
        <v>314255.89</v>
      </c>
      <c r="CG881">
        <v>314255.89</v>
      </c>
      <c r="CH881">
        <v>314255.89</v>
      </c>
      <c r="CI881">
        <v>314093.64</v>
      </c>
      <c r="CJ881">
        <v>0</v>
      </c>
      <c r="CK881">
        <v>0</v>
      </c>
      <c r="CL881">
        <v>0</v>
      </c>
      <c r="CM881">
        <v>0</v>
      </c>
      <c r="CR881" t="s">
        <v>2324</v>
      </c>
      <c r="CS881" s="1369" t="str">
        <f>INDEX([8]Sheet1!$H:$H,MATCH(CR:CR,[8]Sheet1!$AU:$AU,0))</f>
        <v>Finance</v>
      </c>
    </row>
    <row r="882" spans="1:97" x14ac:dyDescent="0.2">
      <c r="A882" t="s">
        <v>3642</v>
      </c>
      <c r="B882">
        <v>935</v>
      </c>
      <c r="C882" t="s">
        <v>3642</v>
      </c>
      <c r="D882">
        <v>41666</v>
      </c>
      <c r="E882" t="s">
        <v>3643</v>
      </c>
      <c r="F882" t="s">
        <v>2364</v>
      </c>
      <c r="G882" t="s">
        <v>2364</v>
      </c>
      <c r="H882" t="s">
        <v>2365</v>
      </c>
      <c r="I882" t="s">
        <v>2365</v>
      </c>
      <c r="J882" t="s">
        <v>2365</v>
      </c>
      <c r="K882" t="s">
        <v>2365</v>
      </c>
      <c r="L882">
        <v>1200</v>
      </c>
      <c r="M882" t="s">
        <v>1480</v>
      </c>
      <c r="N882">
        <v>1204</v>
      </c>
      <c r="O882" t="s">
        <v>1487</v>
      </c>
      <c r="P882" t="s">
        <v>2366</v>
      </c>
      <c r="Q882" t="s">
        <v>2364</v>
      </c>
      <c r="R882" t="s">
        <v>2364</v>
      </c>
      <c r="S882" t="s">
        <v>553</v>
      </c>
      <c r="T882" t="s">
        <v>2175</v>
      </c>
      <c r="U882">
        <v>140</v>
      </c>
      <c r="V882" t="s">
        <v>693</v>
      </c>
      <c r="W882">
        <v>140</v>
      </c>
      <c r="X882" t="s">
        <v>693</v>
      </c>
      <c r="Y882" t="s">
        <v>2365</v>
      </c>
      <c r="Z882" t="s">
        <v>2365</v>
      </c>
      <c r="AA882" t="s">
        <v>2365</v>
      </c>
      <c r="AB882" t="s">
        <v>2365</v>
      </c>
      <c r="AC882" s="813" t="s">
        <v>2365</v>
      </c>
      <c r="AD882" s="813" t="s">
        <v>2365</v>
      </c>
      <c r="AE882" s="813" t="s">
        <v>2365</v>
      </c>
      <c r="AF882" t="s">
        <v>2365</v>
      </c>
      <c r="AG882" t="s">
        <v>2365</v>
      </c>
      <c r="AH882" t="s">
        <v>2365</v>
      </c>
      <c r="AI882" t="s">
        <v>2365</v>
      </c>
      <c r="AJ882" t="s">
        <v>2365</v>
      </c>
      <c r="AK882" t="s">
        <v>2366</v>
      </c>
      <c r="AL882" t="s">
        <v>2366</v>
      </c>
      <c r="AM882" t="s">
        <v>2366</v>
      </c>
      <c r="AN882" t="s">
        <v>2366</v>
      </c>
      <c r="AR882" t="s">
        <v>2365</v>
      </c>
      <c r="AS882" t="s">
        <v>2365</v>
      </c>
      <c r="AT882" t="s">
        <v>2365</v>
      </c>
      <c r="AU882" t="s">
        <v>2365</v>
      </c>
      <c r="AV882" t="s">
        <v>2365</v>
      </c>
      <c r="AW882" t="s">
        <v>2365</v>
      </c>
      <c r="AX882" t="s">
        <v>2365</v>
      </c>
      <c r="AY882" t="s">
        <v>2365</v>
      </c>
      <c r="AZ882" t="s">
        <v>2365</v>
      </c>
      <c r="BA882" t="s">
        <v>2365</v>
      </c>
      <c r="BB882" t="s">
        <v>2365</v>
      </c>
      <c r="BC882" t="s">
        <v>2365</v>
      </c>
      <c r="BD882" t="s">
        <v>2366</v>
      </c>
      <c r="BE882" t="s">
        <v>2365</v>
      </c>
      <c r="BF882" t="s">
        <v>2365</v>
      </c>
      <c r="BG882" t="s">
        <v>2365</v>
      </c>
      <c r="BH882" t="s">
        <v>2365</v>
      </c>
      <c r="BI882" t="s">
        <v>2366</v>
      </c>
      <c r="BJ882" t="s">
        <v>2365</v>
      </c>
      <c r="BK882" t="s">
        <v>2365</v>
      </c>
      <c r="BL882" t="s">
        <v>2365</v>
      </c>
      <c r="BM882" t="s">
        <v>2365</v>
      </c>
      <c r="BO882">
        <v>1</v>
      </c>
      <c r="BP882">
        <v>11</v>
      </c>
      <c r="BQ882" t="s">
        <v>2369</v>
      </c>
      <c r="BR882" t="s">
        <v>1487</v>
      </c>
      <c r="BU882">
        <v>0</v>
      </c>
      <c r="BV882">
        <v>0</v>
      </c>
      <c r="BW882" s="1371">
        <v>0</v>
      </c>
      <c r="BX882" s="1372">
        <v>0</v>
      </c>
      <c r="BY882">
        <v>0</v>
      </c>
      <c r="BZ882">
        <v>0</v>
      </c>
      <c r="CA882">
        <v>0</v>
      </c>
      <c r="CB882">
        <v>0</v>
      </c>
      <c r="CC882">
        <v>0</v>
      </c>
      <c r="CD882">
        <v>0</v>
      </c>
      <c r="CE882">
        <v>0</v>
      </c>
      <c r="CF882">
        <v>0</v>
      </c>
      <c r="CG882">
        <v>0</v>
      </c>
      <c r="CH882">
        <v>0</v>
      </c>
      <c r="CI882">
        <v>0</v>
      </c>
      <c r="CJ882">
        <v>0</v>
      </c>
      <c r="CK882">
        <v>0</v>
      </c>
      <c r="CL882">
        <v>0</v>
      </c>
      <c r="CM882">
        <v>0</v>
      </c>
      <c r="CR882" t="s">
        <v>2324</v>
      </c>
      <c r="CS882" s="1369" t="str">
        <f>INDEX([8]Sheet1!$H:$H,MATCH(CR:CR,[8]Sheet1!$AU:$AU,0))</f>
        <v>Finance</v>
      </c>
    </row>
    <row r="883" spans="1:97" x14ac:dyDescent="0.2">
      <c r="A883" t="s">
        <v>3644</v>
      </c>
      <c r="B883">
        <v>936</v>
      </c>
      <c r="C883" t="s">
        <v>3644</v>
      </c>
      <c r="D883">
        <v>41667</v>
      </c>
      <c r="E883" t="s">
        <v>3645</v>
      </c>
      <c r="F883" t="s">
        <v>2364</v>
      </c>
      <c r="G883" t="s">
        <v>2364</v>
      </c>
      <c r="H883" t="s">
        <v>2365</v>
      </c>
      <c r="I883" t="s">
        <v>2365</v>
      </c>
      <c r="J883" t="s">
        <v>2365</v>
      </c>
      <c r="K883" t="s">
        <v>2365</v>
      </c>
      <c r="L883">
        <v>1200</v>
      </c>
      <c r="M883" t="s">
        <v>1480</v>
      </c>
      <c r="N883">
        <v>1204</v>
      </c>
      <c r="O883" t="s">
        <v>1487</v>
      </c>
      <c r="P883" t="s">
        <v>2366</v>
      </c>
      <c r="Q883" t="s">
        <v>2364</v>
      </c>
      <c r="R883" t="s">
        <v>2364</v>
      </c>
      <c r="S883" t="s">
        <v>553</v>
      </c>
      <c r="T883" t="s">
        <v>2175</v>
      </c>
      <c r="U883">
        <v>140</v>
      </c>
      <c r="V883" t="s">
        <v>693</v>
      </c>
      <c r="W883">
        <v>140</v>
      </c>
      <c r="X883" t="s">
        <v>693</v>
      </c>
      <c r="Y883" t="s">
        <v>2365</v>
      </c>
      <c r="Z883" t="s">
        <v>2365</v>
      </c>
      <c r="AA883" t="s">
        <v>2365</v>
      </c>
      <c r="AB883" t="s">
        <v>2365</v>
      </c>
      <c r="AC883" s="813" t="s">
        <v>2365</v>
      </c>
      <c r="AD883" s="813" t="s">
        <v>2365</v>
      </c>
      <c r="AE883" s="813" t="s">
        <v>2365</v>
      </c>
      <c r="AF883" t="s">
        <v>2365</v>
      </c>
      <c r="AG883" t="s">
        <v>2365</v>
      </c>
      <c r="AH883" t="s">
        <v>2365</v>
      </c>
      <c r="AI883" t="s">
        <v>2365</v>
      </c>
      <c r="AJ883" t="s">
        <v>2365</v>
      </c>
      <c r="AK883" t="s">
        <v>2366</v>
      </c>
      <c r="AL883" t="s">
        <v>2366</v>
      </c>
      <c r="AM883" t="s">
        <v>2366</v>
      </c>
      <c r="AN883" t="s">
        <v>2366</v>
      </c>
      <c r="AR883" t="s">
        <v>2365</v>
      </c>
      <c r="AS883" t="s">
        <v>2365</v>
      </c>
      <c r="AT883" t="s">
        <v>2365</v>
      </c>
      <c r="AU883" t="s">
        <v>2365</v>
      </c>
      <c r="AV883" t="s">
        <v>2365</v>
      </c>
      <c r="AW883" t="s">
        <v>2365</v>
      </c>
      <c r="AX883" t="s">
        <v>2365</v>
      </c>
      <c r="AY883" t="s">
        <v>2365</v>
      </c>
      <c r="AZ883" t="s">
        <v>2365</v>
      </c>
      <c r="BA883" t="s">
        <v>2365</v>
      </c>
      <c r="BB883" t="s">
        <v>2365</v>
      </c>
      <c r="BC883" t="s">
        <v>2365</v>
      </c>
      <c r="BD883" t="s">
        <v>2366</v>
      </c>
      <c r="BE883" t="s">
        <v>2365</v>
      </c>
      <c r="BF883" t="s">
        <v>2365</v>
      </c>
      <c r="BG883" t="s">
        <v>2365</v>
      </c>
      <c r="BH883" t="s">
        <v>2365</v>
      </c>
      <c r="BI883" t="s">
        <v>2366</v>
      </c>
      <c r="BJ883" t="s">
        <v>2365</v>
      </c>
      <c r="BK883" t="s">
        <v>2365</v>
      </c>
      <c r="BL883" t="s">
        <v>2365</v>
      </c>
      <c r="BM883" t="s">
        <v>2365</v>
      </c>
      <c r="BO883">
        <v>1</v>
      </c>
      <c r="BP883">
        <v>11</v>
      </c>
      <c r="BQ883" t="s">
        <v>2369</v>
      </c>
      <c r="BR883" t="s">
        <v>1487</v>
      </c>
      <c r="BU883">
        <v>0</v>
      </c>
      <c r="BV883">
        <v>0</v>
      </c>
      <c r="BW883" s="1371">
        <v>0</v>
      </c>
      <c r="BX883" s="1372">
        <v>0</v>
      </c>
      <c r="BY883">
        <v>0</v>
      </c>
      <c r="BZ883">
        <v>0</v>
      </c>
      <c r="CA883">
        <v>0</v>
      </c>
      <c r="CB883">
        <v>0</v>
      </c>
      <c r="CC883">
        <v>0</v>
      </c>
      <c r="CD883">
        <v>0</v>
      </c>
      <c r="CE883">
        <v>0</v>
      </c>
      <c r="CF883">
        <v>0</v>
      </c>
      <c r="CG883">
        <v>0</v>
      </c>
      <c r="CH883">
        <v>0</v>
      </c>
      <c r="CI883">
        <v>0</v>
      </c>
      <c r="CJ883">
        <v>0</v>
      </c>
      <c r="CK883">
        <v>0</v>
      </c>
      <c r="CL883">
        <v>0</v>
      </c>
      <c r="CM883">
        <v>0</v>
      </c>
      <c r="CR883" t="s">
        <v>2324</v>
      </c>
      <c r="CS883" s="1369" t="str">
        <f>INDEX([8]Sheet1!$H:$H,MATCH(CR:CR,[8]Sheet1!$AU:$AU,0))</f>
        <v>Finance</v>
      </c>
    </row>
    <row r="884" spans="1:97" x14ac:dyDescent="0.2">
      <c r="A884" t="s">
        <v>3646</v>
      </c>
      <c r="B884">
        <v>937</v>
      </c>
      <c r="C884" t="s">
        <v>3646</v>
      </c>
      <c r="D884">
        <v>41668</v>
      </c>
      <c r="E884" t="s">
        <v>3647</v>
      </c>
      <c r="F884" t="s">
        <v>2364</v>
      </c>
      <c r="G884" t="s">
        <v>2364</v>
      </c>
      <c r="H884" t="s">
        <v>2365</v>
      </c>
      <c r="I884" t="s">
        <v>2365</v>
      </c>
      <c r="J884" t="s">
        <v>2365</v>
      </c>
      <c r="K884" t="s">
        <v>2365</v>
      </c>
      <c r="L884">
        <v>1200</v>
      </c>
      <c r="M884" t="s">
        <v>1480</v>
      </c>
      <c r="N884">
        <v>1204</v>
      </c>
      <c r="O884" t="s">
        <v>1487</v>
      </c>
      <c r="P884" t="s">
        <v>2366</v>
      </c>
      <c r="Q884" t="s">
        <v>2364</v>
      </c>
      <c r="R884" t="s">
        <v>2364</v>
      </c>
      <c r="S884" t="s">
        <v>553</v>
      </c>
      <c r="T884" t="s">
        <v>2175</v>
      </c>
      <c r="U884">
        <v>140</v>
      </c>
      <c r="V884" t="s">
        <v>693</v>
      </c>
      <c r="W884">
        <v>140</v>
      </c>
      <c r="X884" t="s">
        <v>693</v>
      </c>
      <c r="Y884" t="s">
        <v>2365</v>
      </c>
      <c r="Z884" t="s">
        <v>2365</v>
      </c>
      <c r="AA884" t="s">
        <v>2365</v>
      </c>
      <c r="AB884" t="s">
        <v>2365</v>
      </c>
      <c r="AC884" s="813" t="s">
        <v>2365</v>
      </c>
      <c r="AD884" s="813" t="s">
        <v>2365</v>
      </c>
      <c r="AE884" s="813" t="s">
        <v>2365</v>
      </c>
      <c r="AF884" t="s">
        <v>2365</v>
      </c>
      <c r="AG884" t="s">
        <v>2365</v>
      </c>
      <c r="AH884" t="s">
        <v>2365</v>
      </c>
      <c r="AI884" t="s">
        <v>2365</v>
      </c>
      <c r="AJ884" t="s">
        <v>2365</v>
      </c>
      <c r="AK884" t="s">
        <v>2366</v>
      </c>
      <c r="AL884" t="s">
        <v>2366</v>
      </c>
      <c r="AM884" t="s">
        <v>2366</v>
      </c>
      <c r="AN884" t="s">
        <v>2366</v>
      </c>
      <c r="AR884" t="s">
        <v>2365</v>
      </c>
      <c r="AS884" t="s">
        <v>2365</v>
      </c>
      <c r="AT884" t="s">
        <v>2365</v>
      </c>
      <c r="AU884" t="s">
        <v>2365</v>
      </c>
      <c r="AV884" t="s">
        <v>2365</v>
      </c>
      <c r="AW884" t="s">
        <v>2365</v>
      </c>
      <c r="AX884" t="s">
        <v>2365</v>
      </c>
      <c r="AY884" t="s">
        <v>2365</v>
      </c>
      <c r="AZ884" t="s">
        <v>2365</v>
      </c>
      <c r="BA884" t="s">
        <v>2365</v>
      </c>
      <c r="BB884" t="s">
        <v>2365</v>
      </c>
      <c r="BC884" t="s">
        <v>2365</v>
      </c>
      <c r="BD884" t="s">
        <v>2366</v>
      </c>
      <c r="BE884" t="s">
        <v>2365</v>
      </c>
      <c r="BF884" t="s">
        <v>2365</v>
      </c>
      <c r="BG884" t="s">
        <v>2365</v>
      </c>
      <c r="BH884" t="s">
        <v>2365</v>
      </c>
      <c r="BI884" t="s">
        <v>2366</v>
      </c>
      <c r="BJ884" t="s">
        <v>2365</v>
      </c>
      <c r="BK884" t="s">
        <v>2365</v>
      </c>
      <c r="BL884" t="s">
        <v>2365</v>
      </c>
      <c r="BM884" t="s">
        <v>2365</v>
      </c>
      <c r="BO884">
        <v>1</v>
      </c>
      <c r="BP884">
        <v>11</v>
      </c>
      <c r="BQ884" t="s">
        <v>2369</v>
      </c>
      <c r="BR884" t="s">
        <v>1487</v>
      </c>
      <c r="BU884">
        <v>0</v>
      </c>
      <c r="BV884">
        <v>0</v>
      </c>
      <c r="BW884" s="1371">
        <v>0</v>
      </c>
      <c r="BX884" s="1372">
        <v>0</v>
      </c>
      <c r="BY884">
        <v>0</v>
      </c>
      <c r="BZ884">
        <v>0</v>
      </c>
      <c r="CA884">
        <v>0</v>
      </c>
      <c r="CB884">
        <v>0</v>
      </c>
      <c r="CC884">
        <v>0</v>
      </c>
      <c r="CD884">
        <v>0</v>
      </c>
      <c r="CE884">
        <v>0</v>
      </c>
      <c r="CF884">
        <v>0</v>
      </c>
      <c r="CG884">
        <v>0</v>
      </c>
      <c r="CH884">
        <v>0</v>
      </c>
      <c r="CI884">
        <v>0</v>
      </c>
      <c r="CJ884">
        <v>0</v>
      </c>
      <c r="CK884">
        <v>0</v>
      </c>
      <c r="CL884">
        <v>0</v>
      </c>
      <c r="CM884">
        <v>0</v>
      </c>
      <c r="CR884" t="s">
        <v>2324</v>
      </c>
      <c r="CS884" s="1369" t="str">
        <f>INDEX([8]Sheet1!$H:$H,MATCH(CR:CR,[8]Sheet1!$AU:$AU,0))</f>
        <v>Finance</v>
      </c>
    </row>
    <row r="885" spans="1:97" x14ac:dyDescent="0.2">
      <c r="A885" t="s">
        <v>3648</v>
      </c>
      <c r="B885">
        <v>938</v>
      </c>
      <c r="C885" t="s">
        <v>3648</v>
      </c>
      <c r="D885">
        <v>41669</v>
      </c>
      <c r="E885" t="s">
        <v>3649</v>
      </c>
      <c r="F885" t="s">
        <v>2364</v>
      </c>
      <c r="G885" t="s">
        <v>2364</v>
      </c>
      <c r="H885" t="s">
        <v>2365</v>
      </c>
      <c r="I885" t="s">
        <v>2365</v>
      </c>
      <c r="J885" t="s">
        <v>2365</v>
      </c>
      <c r="K885" t="s">
        <v>2365</v>
      </c>
      <c r="L885">
        <v>1200</v>
      </c>
      <c r="M885" t="s">
        <v>1480</v>
      </c>
      <c r="N885">
        <v>1204</v>
      </c>
      <c r="O885" t="s">
        <v>1487</v>
      </c>
      <c r="P885" t="s">
        <v>2366</v>
      </c>
      <c r="Q885" t="s">
        <v>2364</v>
      </c>
      <c r="R885" t="s">
        <v>2364</v>
      </c>
      <c r="S885" t="s">
        <v>553</v>
      </c>
      <c r="T885" t="s">
        <v>2175</v>
      </c>
      <c r="U885" t="s">
        <v>2366</v>
      </c>
      <c r="V885" t="s">
        <v>2366</v>
      </c>
      <c r="W885" t="s">
        <v>2366</v>
      </c>
      <c r="X885" t="s">
        <v>2366</v>
      </c>
      <c r="Y885" t="s">
        <v>2365</v>
      </c>
      <c r="Z885" t="s">
        <v>2365</v>
      </c>
      <c r="AA885" t="s">
        <v>2365</v>
      </c>
      <c r="AB885" t="s">
        <v>2365</v>
      </c>
      <c r="AC885" s="813" t="s">
        <v>2365</v>
      </c>
      <c r="AD885" s="813" t="s">
        <v>2365</v>
      </c>
      <c r="AE885" s="813" t="s">
        <v>2365</v>
      </c>
      <c r="AF885" t="s">
        <v>2365</v>
      </c>
      <c r="AG885" t="s">
        <v>2365</v>
      </c>
      <c r="AH885" t="s">
        <v>2365</v>
      </c>
      <c r="AI885" t="s">
        <v>2365</v>
      </c>
      <c r="AJ885" t="s">
        <v>2365</v>
      </c>
      <c r="AK885">
        <v>146</v>
      </c>
      <c r="AL885" t="s">
        <v>1199</v>
      </c>
      <c r="AM885">
        <v>146</v>
      </c>
      <c r="AN885" t="s">
        <v>1199</v>
      </c>
      <c r="AR885" t="s">
        <v>2365</v>
      </c>
      <c r="AS885" t="s">
        <v>2365</v>
      </c>
      <c r="AT885" t="s">
        <v>2365</v>
      </c>
      <c r="AU885" t="s">
        <v>2365</v>
      </c>
      <c r="AV885" t="s">
        <v>2365</v>
      </c>
      <c r="AW885" t="s">
        <v>2365</v>
      </c>
      <c r="AX885" t="s">
        <v>2365</v>
      </c>
      <c r="AY885" t="s">
        <v>2365</v>
      </c>
      <c r="AZ885" t="s">
        <v>2365</v>
      </c>
      <c r="BA885" t="s">
        <v>2365</v>
      </c>
      <c r="BB885" t="s">
        <v>2365</v>
      </c>
      <c r="BC885" t="s">
        <v>2365</v>
      </c>
      <c r="BD885" t="s">
        <v>2366</v>
      </c>
      <c r="BE885" t="s">
        <v>2365</v>
      </c>
      <c r="BF885" t="s">
        <v>2365</v>
      </c>
      <c r="BG885" t="s">
        <v>2365</v>
      </c>
      <c r="BH885" t="s">
        <v>2365</v>
      </c>
      <c r="BI885" t="s">
        <v>2366</v>
      </c>
      <c r="BJ885" t="s">
        <v>2365</v>
      </c>
      <c r="BK885" t="s">
        <v>2365</v>
      </c>
      <c r="BL885" t="s">
        <v>2365</v>
      </c>
      <c r="BM885" t="s">
        <v>2365</v>
      </c>
      <c r="BO885">
        <v>1</v>
      </c>
      <c r="BP885">
        <v>11</v>
      </c>
      <c r="BQ885" t="s">
        <v>2369</v>
      </c>
      <c r="BR885" t="s">
        <v>1487</v>
      </c>
      <c r="BU885">
        <v>0</v>
      </c>
      <c r="BV885">
        <v>0</v>
      </c>
      <c r="BW885" s="1371">
        <v>0</v>
      </c>
      <c r="BX885" s="1372">
        <v>0</v>
      </c>
      <c r="BY885">
        <v>0</v>
      </c>
      <c r="BZ885">
        <v>0</v>
      </c>
      <c r="CA885">
        <v>0</v>
      </c>
      <c r="CB885">
        <v>0</v>
      </c>
      <c r="CC885">
        <v>0</v>
      </c>
      <c r="CD885">
        <v>0</v>
      </c>
      <c r="CE885">
        <v>0</v>
      </c>
      <c r="CF885">
        <v>0</v>
      </c>
      <c r="CG885">
        <v>0</v>
      </c>
      <c r="CH885">
        <v>0</v>
      </c>
      <c r="CI885">
        <v>0</v>
      </c>
      <c r="CJ885">
        <v>0</v>
      </c>
      <c r="CK885">
        <v>0</v>
      </c>
      <c r="CL885">
        <v>0</v>
      </c>
      <c r="CM885">
        <v>0</v>
      </c>
      <c r="CR885" t="s">
        <v>2324</v>
      </c>
      <c r="CS885" s="1369" t="str">
        <f>INDEX([8]Sheet1!$H:$H,MATCH(CR:CR,[8]Sheet1!$AU:$AU,0))</f>
        <v>Finance</v>
      </c>
    </row>
    <row r="886" spans="1:97" x14ac:dyDescent="0.2">
      <c r="A886" t="s">
        <v>3650</v>
      </c>
      <c r="B886">
        <v>939</v>
      </c>
      <c r="C886" t="s">
        <v>3650</v>
      </c>
      <c r="D886">
        <v>41670</v>
      </c>
      <c r="E886" t="s">
        <v>3651</v>
      </c>
      <c r="F886" t="s">
        <v>2364</v>
      </c>
      <c r="G886" t="s">
        <v>2364</v>
      </c>
      <c r="H886" t="s">
        <v>2365</v>
      </c>
      <c r="I886" t="s">
        <v>2365</v>
      </c>
      <c r="J886" t="s">
        <v>2365</v>
      </c>
      <c r="K886" t="s">
        <v>2365</v>
      </c>
      <c r="L886">
        <v>1200</v>
      </c>
      <c r="M886" t="s">
        <v>1480</v>
      </c>
      <c r="N886">
        <v>1204</v>
      </c>
      <c r="O886" t="s">
        <v>1487</v>
      </c>
      <c r="P886" t="s">
        <v>2366</v>
      </c>
      <c r="Q886" t="s">
        <v>2364</v>
      </c>
      <c r="R886" t="s">
        <v>2364</v>
      </c>
      <c r="S886" t="s">
        <v>553</v>
      </c>
      <c r="T886" t="s">
        <v>2175</v>
      </c>
      <c r="U886">
        <v>140</v>
      </c>
      <c r="V886" t="s">
        <v>693</v>
      </c>
      <c r="W886">
        <v>140</v>
      </c>
      <c r="X886" t="s">
        <v>693</v>
      </c>
      <c r="Y886" t="s">
        <v>2365</v>
      </c>
      <c r="Z886" t="s">
        <v>2365</v>
      </c>
      <c r="AA886" t="s">
        <v>2365</v>
      </c>
      <c r="AB886" t="s">
        <v>2365</v>
      </c>
      <c r="AC886" s="813" t="s">
        <v>2365</v>
      </c>
      <c r="AD886" s="813" t="s">
        <v>2365</v>
      </c>
      <c r="AE886" s="813" t="s">
        <v>2365</v>
      </c>
      <c r="AF886" t="s">
        <v>2365</v>
      </c>
      <c r="AG886" t="s">
        <v>2365</v>
      </c>
      <c r="AH886" t="s">
        <v>2365</v>
      </c>
      <c r="AI886" t="s">
        <v>2365</v>
      </c>
      <c r="AJ886" t="s">
        <v>2365</v>
      </c>
      <c r="AK886" t="s">
        <v>2366</v>
      </c>
      <c r="AL886" t="s">
        <v>2366</v>
      </c>
      <c r="AM886" t="s">
        <v>2366</v>
      </c>
      <c r="AN886" t="s">
        <v>2366</v>
      </c>
      <c r="AR886" t="s">
        <v>2365</v>
      </c>
      <c r="AS886" t="s">
        <v>2365</v>
      </c>
      <c r="AT886" t="s">
        <v>2365</v>
      </c>
      <c r="AU886" t="s">
        <v>2365</v>
      </c>
      <c r="AV886" t="s">
        <v>2365</v>
      </c>
      <c r="AW886" t="s">
        <v>2365</v>
      </c>
      <c r="AX886" t="s">
        <v>2365</v>
      </c>
      <c r="AY886" t="s">
        <v>2365</v>
      </c>
      <c r="AZ886" t="s">
        <v>2365</v>
      </c>
      <c r="BA886" t="s">
        <v>2365</v>
      </c>
      <c r="BB886" t="s">
        <v>2365</v>
      </c>
      <c r="BC886" t="s">
        <v>2365</v>
      </c>
      <c r="BD886" t="s">
        <v>2366</v>
      </c>
      <c r="BE886" t="s">
        <v>2365</v>
      </c>
      <c r="BF886" t="s">
        <v>2365</v>
      </c>
      <c r="BG886" t="s">
        <v>2365</v>
      </c>
      <c r="BH886" t="s">
        <v>2365</v>
      </c>
      <c r="BI886" t="s">
        <v>2366</v>
      </c>
      <c r="BJ886" t="s">
        <v>2365</v>
      </c>
      <c r="BK886" t="s">
        <v>2365</v>
      </c>
      <c r="BL886" t="s">
        <v>2365</v>
      </c>
      <c r="BM886" t="s">
        <v>2365</v>
      </c>
      <c r="BO886">
        <v>1</v>
      </c>
      <c r="BP886">
        <v>11</v>
      </c>
      <c r="BQ886" t="s">
        <v>2369</v>
      </c>
      <c r="BR886" t="s">
        <v>1487</v>
      </c>
      <c r="BU886">
        <v>0</v>
      </c>
      <c r="BV886">
        <v>0</v>
      </c>
      <c r="BW886">
        <v>0</v>
      </c>
      <c r="BX886">
        <v>0</v>
      </c>
      <c r="BY886">
        <v>0</v>
      </c>
      <c r="BZ886">
        <v>0</v>
      </c>
      <c r="CA886">
        <v>0</v>
      </c>
      <c r="CB886">
        <v>0</v>
      </c>
      <c r="CC886">
        <v>0</v>
      </c>
      <c r="CD886">
        <v>0</v>
      </c>
      <c r="CE886">
        <v>0</v>
      </c>
      <c r="CF886">
        <v>0</v>
      </c>
      <c r="CG886">
        <v>0</v>
      </c>
      <c r="CH886">
        <v>0</v>
      </c>
      <c r="CI886">
        <v>0</v>
      </c>
      <c r="CJ886">
        <v>0</v>
      </c>
      <c r="CK886">
        <v>0</v>
      </c>
      <c r="CL886">
        <v>0</v>
      </c>
      <c r="CM886">
        <v>0</v>
      </c>
      <c r="CR886" t="s">
        <v>2324</v>
      </c>
      <c r="CS886" s="1369" t="str">
        <f>INDEX([8]Sheet1!$H:$H,MATCH(CR:CR,[8]Sheet1!$AU:$AU,0))</f>
        <v>Finance</v>
      </c>
    </row>
    <row r="887" spans="1:97" x14ac:dyDescent="0.2">
      <c r="A887" t="s">
        <v>3652</v>
      </c>
      <c r="B887">
        <v>940</v>
      </c>
      <c r="C887" t="s">
        <v>3652</v>
      </c>
      <c r="D887">
        <v>41671</v>
      </c>
      <c r="E887" t="s">
        <v>3653</v>
      </c>
      <c r="F887" t="s">
        <v>2364</v>
      </c>
      <c r="G887" t="s">
        <v>2364</v>
      </c>
      <c r="H887" t="s">
        <v>2365</v>
      </c>
      <c r="I887" t="s">
        <v>2365</v>
      </c>
      <c r="J887" t="s">
        <v>2365</v>
      </c>
      <c r="K887" t="s">
        <v>2365</v>
      </c>
      <c r="L887">
        <v>1200</v>
      </c>
      <c r="M887" t="s">
        <v>1480</v>
      </c>
      <c r="N887">
        <v>1204</v>
      </c>
      <c r="O887" t="s">
        <v>1487</v>
      </c>
      <c r="P887" t="s">
        <v>2366</v>
      </c>
      <c r="Q887" t="s">
        <v>2364</v>
      </c>
      <c r="R887" t="s">
        <v>2364</v>
      </c>
      <c r="S887" t="s">
        <v>553</v>
      </c>
      <c r="T887" t="s">
        <v>2175</v>
      </c>
      <c r="U887" t="s">
        <v>2366</v>
      </c>
      <c r="V887" t="s">
        <v>2366</v>
      </c>
      <c r="W887" t="s">
        <v>2366</v>
      </c>
      <c r="X887" t="s">
        <v>2366</v>
      </c>
      <c r="Y887" t="s">
        <v>2365</v>
      </c>
      <c r="Z887" t="s">
        <v>2365</v>
      </c>
      <c r="AA887" t="s">
        <v>2365</v>
      </c>
      <c r="AB887" t="s">
        <v>2365</v>
      </c>
      <c r="AC887" s="813" t="s">
        <v>2365</v>
      </c>
      <c r="AD887" s="813" t="s">
        <v>2365</v>
      </c>
      <c r="AE887" s="813" t="s">
        <v>2365</v>
      </c>
      <c r="AF887" t="s">
        <v>2365</v>
      </c>
      <c r="AG887" t="s">
        <v>2365</v>
      </c>
      <c r="AH887" t="s">
        <v>2365</v>
      </c>
      <c r="AI887" t="s">
        <v>2365</v>
      </c>
      <c r="AJ887" t="s">
        <v>2365</v>
      </c>
      <c r="AK887">
        <v>146</v>
      </c>
      <c r="AL887" t="s">
        <v>1199</v>
      </c>
      <c r="AM887">
        <v>146</v>
      </c>
      <c r="AN887" t="s">
        <v>1199</v>
      </c>
      <c r="AR887" t="s">
        <v>2365</v>
      </c>
      <c r="AS887" t="s">
        <v>2365</v>
      </c>
      <c r="AT887" t="s">
        <v>2365</v>
      </c>
      <c r="AU887" t="s">
        <v>2365</v>
      </c>
      <c r="AV887" t="s">
        <v>2365</v>
      </c>
      <c r="AW887" t="s">
        <v>2365</v>
      </c>
      <c r="AX887" t="s">
        <v>2365</v>
      </c>
      <c r="AY887" t="s">
        <v>2365</v>
      </c>
      <c r="AZ887" t="s">
        <v>2365</v>
      </c>
      <c r="BA887" t="s">
        <v>2365</v>
      </c>
      <c r="BB887" t="s">
        <v>2365</v>
      </c>
      <c r="BC887" t="s">
        <v>2365</v>
      </c>
      <c r="BD887" t="s">
        <v>2366</v>
      </c>
      <c r="BE887" t="s">
        <v>2365</v>
      </c>
      <c r="BF887" t="s">
        <v>2365</v>
      </c>
      <c r="BG887" t="s">
        <v>2365</v>
      </c>
      <c r="BH887" t="s">
        <v>2365</v>
      </c>
      <c r="BI887" t="s">
        <v>2366</v>
      </c>
      <c r="BJ887" t="s">
        <v>2365</v>
      </c>
      <c r="BK887" t="s">
        <v>2365</v>
      </c>
      <c r="BL887" t="s">
        <v>2365</v>
      </c>
      <c r="BM887" t="s">
        <v>2365</v>
      </c>
      <c r="BO887">
        <v>1</v>
      </c>
      <c r="BP887">
        <v>11</v>
      </c>
      <c r="BQ887" t="s">
        <v>2369</v>
      </c>
      <c r="BR887" t="s">
        <v>1487</v>
      </c>
      <c r="BU887">
        <v>0</v>
      </c>
      <c r="BV887">
        <v>0</v>
      </c>
      <c r="BW887">
        <v>0</v>
      </c>
      <c r="BX887">
        <v>0</v>
      </c>
      <c r="BY887">
        <v>0</v>
      </c>
      <c r="BZ887">
        <v>0</v>
      </c>
      <c r="CA887">
        <v>0</v>
      </c>
      <c r="CB887">
        <v>0</v>
      </c>
      <c r="CC887">
        <v>0</v>
      </c>
      <c r="CD887">
        <v>0</v>
      </c>
      <c r="CE887">
        <v>0</v>
      </c>
      <c r="CF887">
        <v>0</v>
      </c>
      <c r="CG887">
        <v>0</v>
      </c>
      <c r="CH887">
        <v>0</v>
      </c>
      <c r="CI887">
        <v>0</v>
      </c>
      <c r="CJ887">
        <v>0</v>
      </c>
      <c r="CK887">
        <v>0</v>
      </c>
      <c r="CL887">
        <v>0</v>
      </c>
      <c r="CM887">
        <v>0</v>
      </c>
      <c r="CR887" t="s">
        <v>2324</v>
      </c>
      <c r="CS887" s="1369" t="str">
        <f>INDEX([8]Sheet1!$H:$H,MATCH(CR:CR,[8]Sheet1!$AU:$AU,0))</f>
        <v>Finance</v>
      </c>
    </row>
    <row r="888" spans="1:97" x14ac:dyDescent="0.2">
      <c r="A888" t="s">
        <v>3654</v>
      </c>
      <c r="B888">
        <v>941</v>
      </c>
      <c r="C888" t="s">
        <v>3654</v>
      </c>
      <c r="D888">
        <v>41672</v>
      </c>
      <c r="E888" t="s">
        <v>3655</v>
      </c>
      <c r="F888" t="s">
        <v>2364</v>
      </c>
      <c r="G888" t="s">
        <v>2364</v>
      </c>
      <c r="H888" t="s">
        <v>2365</v>
      </c>
      <c r="I888" t="s">
        <v>2365</v>
      </c>
      <c r="J888" t="s">
        <v>2365</v>
      </c>
      <c r="K888" t="s">
        <v>2365</v>
      </c>
      <c r="L888">
        <v>1200</v>
      </c>
      <c r="M888" t="s">
        <v>1480</v>
      </c>
      <c r="N888">
        <v>1204</v>
      </c>
      <c r="O888" t="s">
        <v>1487</v>
      </c>
      <c r="P888" t="s">
        <v>2366</v>
      </c>
      <c r="Q888" t="s">
        <v>2364</v>
      </c>
      <c r="R888" t="s">
        <v>2364</v>
      </c>
      <c r="S888" t="s">
        <v>553</v>
      </c>
      <c r="T888" t="s">
        <v>2175</v>
      </c>
      <c r="U888">
        <v>140</v>
      </c>
      <c r="V888" t="s">
        <v>693</v>
      </c>
      <c r="W888">
        <v>140</v>
      </c>
      <c r="X888" t="s">
        <v>693</v>
      </c>
      <c r="Y888" t="s">
        <v>2365</v>
      </c>
      <c r="Z888" t="s">
        <v>2365</v>
      </c>
      <c r="AA888" t="s">
        <v>2365</v>
      </c>
      <c r="AB888" t="s">
        <v>2365</v>
      </c>
      <c r="AC888" s="813" t="s">
        <v>2365</v>
      </c>
      <c r="AD888" s="813" t="s">
        <v>2365</v>
      </c>
      <c r="AE888" s="813" t="s">
        <v>2365</v>
      </c>
      <c r="AF888" t="s">
        <v>2365</v>
      </c>
      <c r="AG888" t="s">
        <v>2365</v>
      </c>
      <c r="AH888" t="s">
        <v>2365</v>
      </c>
      <c r="AI888" t="s">
        <v>2365</v>
      </c>
      <c r="AJ888" t="s">
        <v>2365</v>
      </c>
      <c r="AK888">
        <v>147</v>
      </c>
      <c r="AL888" t="s">
        <v>1200</v>
      </c>
      <c r="AM888">
        <v>147</v>
      </c>
      <c r="AN888" t="s">
        <v>1200</v>
      </c>
      <c r="AR888" t="s">
        <v>2365</v>
      </c>
      <c r="AS888" t="s">
        <v>2365</v>
      </c>
      <c r="AT888" t="s">
        <v>2365</v>
      </c>
      <c r="AU888" t="s">
        <v>2365</v>
      </c>
      <c r="AV888" t="s">
        <v>2365</v>
      </c>
      <c r="AW888" t="s">
        <v>2365</v>
      </c>
      <c r="AX888" t="s">
        <v>2365</v>
      </c>
      <c r="AY888" t="s">
        <v>2365</v>
      </c>
      <c r="AZ888" t="s">
        <v>2365</v>
      </c>
      <c r="BA888" t="s">
        <v>2365</v>
      </c>
      <c r="BB888" t="s">
        <v>2365</v>
      </c>
      <c r="BC888" t="s">
        <v>2365</v>
      </c>
      <c r="BD888" t="s">
        <v>2366</v>
      </c>
      <c r="BE888" t="s">
        <v>2365</v>
      </c>
      <c r="BF888" t="s">
        <v>2365</v>
      </c>
      <c r="BG888" t="s">
        <v>2365</v>
      </c>
      <c r="BH888" t="s">
        <v>2365</v>
      </c>
      <c r="BI888" t="s">
        <v>2366</v>
      </c>
      <c r="BJ888" t="s">
        <v>2365</v>
      </c>
      <c r="BK888" t="s">
        <v>2365</v>
      </c>
      <c r="BL888" t="s">
        <v>2365</v>
      </c>
      <c r="BM888" t="s">
        <v>2365</v>
      </c>
      <c r="BO888">
        <v>1</v>
      </c>
      <c r="BP888">
        <v>11</v>
      </c>
      <c r="BQ888" t="s">
        <v>2369</v>
      </c>
      <c r="BR888" t="s">
        <v>1487</v>
      </c>
      <c r="BU888">
        <v>0</v>
      </c>
      <c r="BV888">
        <v>0</v>
      </c>
      <c r="BW888" s="1371">
        <v>0</v>
      </c>
      <c r="BX888" s="1372">
        <v>0</v>
      </c>
      <c r="BY888">
        <v>0</v>
      </c>
      <c r="BZ888">
        <v>0</v>
      </c>
      <c r="CA888">
        <v>0</v>
      </c>
      <c r="CB888">
        <v>0</v>
      </c>
      <c r="CC888">
        <v>0</v>
      </c>
      <c r="CD888">
        <v>0</v>
      </c>
      <c r="CE888">
        <v>0</v>
      </c>
      <c r="CF888">
        <v>0</v>
      </c>
      <c r="CG888">
        <v>0</v>
      </c>
      <c r="CH888">
        <v>0</v>
      </c>
      <c r="CI888">
        <v>0</v>
      </c>
      <c r="CJ888">
        <v>0</v>
      </c>
      <c r="CK888">
        <v>0</v>
      </c>
      <c r="CL888">
        <v>0</v>
      </c>
      <c r="CM888">
        <v>0</v>
      </c>
      <c r="CR888" t="s">
        <v>2324</v>
      </c>
      <c r="CS888" s="1369" t="str">
        <f>INDEX([8]Sheet1!$H:$H,MATCH(CR:CR,[8]Sheet1!$AU:$AU,0))</f>
        <v>Finance</v>
      </c>
    </row>
    <row r="889" spans="1:97" x14ac:dyDescent="0.2">
      <c r="A889" t="s">
        <v>3656</v>
      </c>
      <c r="B889">
        <v>942</v>
      </c>
      <c r="C889" t="s">
        <v>3656</v>
      </c>
      <c r="D889">
        <v>41673</v>
      </c>
      <c r="E889" t="s">
        <v>3657</v>
      </c>
      <c r="F889" t="s">
        <v>2364</v>
      </c>
      <c r="G889" t="s">
        <v>2364</v>
      </c>
      <c r="H889" t="s">
        <v>2365</v>
      </c>
      <c r="I889" t="s">
        <v>2365</v>
      </c>
      <c r="J889" t="s">
        <v>2365</v>
      </c>
      <c r="K889" t="s">
        <v>2365</v>
      </c>
      <c r="L889">
        <v>1200</v>
      </c>
      <c r="M889" t="s">
        <v>1480</v>
      </c>
      <c r="N889">
        <v>1204</v>
      </c>
      <c r="O889" t="s">
        <v>1487</v>
      </c>
      <c r="P889" t="s">
        <v>2366</v>
      </c>
      <c r="Q889" t="s">
        <v>2364</v>
      </c>
      <c r="R889" t="s">
        <v>2364</v>
      </c>
      <c r="S889" t="s">
        <v>553</v>
      </c>
      <c r="T889" t="s">
        <v>2175</v>
      </c>
      <c r="U889">
        <v>140</v>
      </c>
      <c r="V889" t="s">
        <v>693</v>
      </c>
      <c r="W889">
        <v>140</v>
      </c>
      <c r="X889" t="s">
        <v>693</v>
      </c>
      <c r="Y889" t="s">
        <v>2365</v>
      </c>
      <c r="Z889" t="s">
        <v>2365</v>
      </c>
      <c r="AA889" t="s">
        <v>2365</v>
      </c>
      <c r="AB889" t="s">
        <v>2365</v>
      </c>
      <c r="AC889" s="813" t="s">
        <v>2365</v>
      </c>
      <c r="AD889" s="813" t="s">
        <v>2365</v>
      </c>
      <c r="AE889" s="813" t="s">
        <v>2365</v>
      </c>
      <c r="AF889" t="s">
        <v>2365</v>
      </c>
      <c r="AG889" t="s">
        <v>2365</v>
      </c>
      <c r="AH889" t="s">
        <v>2365</v>
      </c>
      <c r="AI889" t="s">
        <v>2365</v>
      </c>
      <c r="AJ889" t="s">
        <v>2365</v>
      </c>
      <c r="AK889" t="s">
        <v>2366</v>
      </c>
      <c r="AL889" t="s">
        <v>2366</v>
      </c>
      <c r="AM889" t="s">
        <v>2366</v>
      </c>
      <c r="AN889" t="s">
        <v>2366</v>
      </c>
      <c r="AR889" t="s">
        <v>2365</v>
      </c>
      <c r="AS889" t="s">
        <v>2365</v>
      </c>
      <c r="AT889" t="s">
        <v>2365</v>
      </c>
      <c r="AU889" t="s">
        <v>2365</v>
      </c>
      <c r="AV889" t="s">
        <v>2365</v>
      </c>
      <c r="AW889" t="s">
        <v>2365</v>
      </c>
      <c r="AX889" t="s">
        <v>2365</v>
      </c>
      <c r="AY889" t="s">
        <v>2365</v>
      </c>
      <c r="AZ889" t="s">
        <v>2365</v>
      </c>
      <c r="BA889" t="s">
        <v>2365</v>
      </c>
      <c r="BB889" t="s">
        <v>2365</v>
      </c>
      <c r="BC889" t="s">
        <v>2365</v>
      </c>
      <c r="BD889" t="s">
        <v>2366</v>
      </c>
      <c r="BE889" t="s">
        <v>2365</v>
      </c>
      <c r="BF889" t="s">
        <v>2365</v>
      </c>
      <c r="BG889" t="s">
        <v>2365</v>
      </c>
      <c r="BH889" t="s">
        <v>2365</v>
      </c>
      <c r="BI889" t="s">
        <v>2366</v>
      </c>
      <c r="BJ889" t="s">
        <v>2365</v>
      </c>
      <c r="BK889" t="s">
        <v>2365</v>
      </c>
      <c r="BL889" t="s">
        <v>2365</v>
      </c>
      <c r="BM889" t="s">
        <v>2365</v>
      </c>
      <c r="BO889">
        <v>1</v>
      </c>
      <c r="BP889">
        <v>11</v>
      </c>
      <c r="BQ889" t="s">
        <v>2369</v>
      </c>
      <c r="BR889" t="s">
        <v>1487</v>
      </c>
      <c r="BU889">
        <v>0</v>
      </c>
      <c r="BV889">
        <v>0</v>
      </c>
      <c r="BW889" s="1371">
        <v>0</v>
      </c>
      <c r="BX889" s="1372">
        <v>0</v>
      </c>
      <c r="BY889">
        <v>0</v>
      </c>
      <c r="BZ889">
        <v>0</v>
      </c>
      <c r="CA889">
        <v>0</v>
      </c>
      <c r="CB889">
        <v>0</v>
      </c>
      <c r="CC889">
        <v>0</v>
      </c>
      <c r="CD889">
        <v>0</v>
      </c>
      <c r="CE889">
        <v>0</v>
      </c>
      <c r="CF889">
        <v>0</v>
      </c>
      <c r="CG889">
        <v>0</v>
      </c>
      <c r="CH889">
        <v>0</v>
      </c>
      <c r="CI889">
        <v>0</v>
      </c>
      <c r="CJ889">
        <v>0</v>
      </c>
      <c r="CK889">
        <v>0</v>
      </c>
      <c r="CL889">
        <v>0</v>
      </c>
      <c r="CM889">
        <v>0</v>
      </c>
      <c r="CR889" t="s">
        <v>2324</v>
      </c>
      <c r="CS889" s="1369" t="str">
        <f>INDEX([8]Sheet1!$H:$H,MATCH(CR:CR,[8]Sheet1!$AU:$AU,0))</f>
        <v>Finance</v>
      </c>
    </row>
    <row r="890" spans="1:97" x14ac:dyDescent="0.2">
      <c r="A890" t="s">
        <v>3658</v>
      </c>
      <c r="B890">
        <v>943</v>
      </c>
      <c r="C890" t="s">
        <v>3658</v>
      </c>
      <c r="D890">
        <v>41674</v>
      </c>
      <c r="E890" t="s">
        <v>3659</v>
      </c>
      <c r="F890" t="s">
        <v>2364</v>
      </c>
      <c r="G890" t="s">
        <v>2364</v>
      </c>
      <c r="H890" t="s">
        <v>2365</v>
      </c>
      <c r="I890" t="s">
        <v>2365</v>
      </c>
      <c r="J890" t="s">
        <v>2365</v>
      </c>
      <c r="K890" t="s">
        <v>2365</v>
      </c>
      <c r="L890">
        <v>1200</v>
      </c>
      <c r="M890" t="s">
        <v>1480</v>
      </c>
      <c r="N890">
        <v>1204</v>
      </c>
      <c r="O890" t="s">
        <v>1487</v>
      </c>
      <c r="P890" t="s">
        <v>2366</v>
      </c>
      <c r="Q890" t="s">
        <v>2364</v>
      </c>
      <c r="R890" t="s">
        <v>2364</v>
      </c>
      <c r="S890" t="s">
        <v>553</v>
      </c>
      <c r="T890" t="s">
        <v>2175</v>
      </c>
      <c r="U890" t="s">
        <v>2366</v>
      </c>
      <c r="V890" t="s">
        <v>2366</v>
      </c>
      <c r="W890" t="s">
        <v>2366</v>
      </c>
      <c r="X890" t="s">
        <v>2366</v>
      </c>
      <c r="Y890" t="s">
        <v>2365</v>
      </c>
      <c r="Z890" t="s">
        <v>2365</v>
      </c>
      <c r="AA890" t="s">
        <v>2365</v>
      </c>
      <c r="AB890" t="s">
        <v>2365</v>
      </c>
      <c r="AC890" s="813" t="s">
        <v>2365</v>
      </c>
      <c r="AD890" s="813" t="s">
        <v>2365</v>
      </c>
      <c r="AE890" s="813" t="s">
        <v>2365</v>
      </c>
      <c r="AF890" t="s">
        <v>2365</v>
      </c>
      <c r="AG890" t="s">
        <v>2365</v>
      </c>
      <c r="AH890" t="s">
        <v>2365</v>
      </c>
      <c r="AI890" t="s">
        <v>2365</v>
      </c>
      <c r="AJ890" t="s">
        <v>2365</v>
      </c>
      <c r="AK890">
        <v>146</v>
      </c>
      <c r="AL890" t="s">
        <v>1199</v>
      </c>
      <c r="AM890">
        <v>146</v>
      </c>
      <c r="AN890" t="s">
        <v>1199</v>
      </c>
      <c r="AR890" t="s">
        <v>2365</v>
      </c>
      <c r="AS890" t="s">
        <v>2365</v>
      </c>
      <c r="AT890" t="s">
        <v>2365</v>
      </c>
      <c r="AU890" t="s">
        <v>2365</v>
      </c>
      <c r="AV890" t="s">
        <v>2365</v>
      </c>
      <c r="AW890" t="s">
        <v>2365</v>
      </c>
      <c r="AX890" t="s">
        <v>2365</v>
      </c>
      <c r="AY890" t="s">
        <v>2365</v>
      </c>
      <c r="AZ890" t="s">
        <v>2365</v>
      </c>
      <c r="BA890" t="s">
        <v>2365</v>
      </c>
      <c r="BB890" t="s">
        <v>2365</v>
      </c>
      <c r="BC890" t="s">
        <v>2365</v>
      </c>
      <c r="BD890" t="s">
        <v>2366</v>
      </c>
      <c r="BE890" t="s">
        <v>2365</v>
      </c>
      <c r="BF890" t="s">
        <v>2365</v>
      </c>
      <c r="BG890" t="s">
        <v>2365</v>
      </c>
      <c r="BH890" t="s">
        <v>2365</v>
      </c>
      <c r="BI890" t="s">
        <v>2366</v>
      </c>
      <c r="BJ890" t="s">
        <v>2365</v>
      </c>
      <c r="BK890" t="s">
        <v>2365</v>
      </c>
      <c r="BL890" t="s">
        <v>2365</v>
      </c>
      <c r="BM890" t="s">
        <v>2365</v>
      </c>
      <c r="BO890">
        <v>1</v>
      </c>
      <c r="BP890">
        <v>11</v>
      </c>
      <c r="BQ890" t="s">
        <v>2369</v>
      </c>
      <c r="BR890" t="s">
        <v>1487</v>
      </c>
      <c r="BU890">
        <v>0</v>
      </c>
      <c r="BV890">
        <v>0</v>
      </c>
      <c r="BW890" s="1371">
        <v>0</v>
      </c>
      <c r="BX890" s="1372">
        <v>0</v>
      </c>
      <c r="BY890">
        <v>0</v>
      </c>
      <c r="BZ890">
        <v>0</v>
      </c>
      <c r="CA890">
        <v>0</v>
      </c>
      <c r="CB890">
        <v>0</v>
      </c>
      <c r="CC890">
        <v>0</v>
      </c>
      <c r="CD890">
        <v>0</v>
      </c>
      <c r="CE890">
        <v>0</v>
      </c>
      <c r="CF890">
        <v>0</v>
      </c>
      <c r="CG890">
        <v>0</v>
      </c>
      <c r="CH890">
        <v>0</v>
      </c>
      <c r="CI890">
        <v>0</v>
      </c>
      <c r="CJ890">
        <v>0</v>
      </c>
      <c r="CK890">
        <v>0</v>
      </c>
      <c r="CL890">
        <v>0</v>
      </c>
      <c r="CM890">
        <v>0</v>
      </c>
      <c r="CR890" t="s">
        <v>2324</v>
      </c>
      <c r="CS890" s="1369" t="str">
        <f>INDEX([8]Sheet1!$H:$H,MATCH(CR:CR,[8]Sheet1!$AU:$AU,0))</f>
        <v>Finance</v>
      </c>
    </row>
    <row r="891" spans="1:97" x14ac:dyDescent="0.2">
      <c r="A891" t="s">
        <v>3660</v>
      </c>
      <c r="B891">
        <v>944</v>
      </c>
      <c r="C891" t="s">
        <v>3660</v>
      </c>
      <c r="D891">
        <v>41675</v>
      </c>
      <c r="E891" t="s">
        <v>3661</v>
      </c>
      <c r="F891" t="s">
        <v>2364</v>
      </c>
      <c r="G891" t="s">
        <v>2364</v>
      </c>
      <c r="H891" t="s">
        <v>2365</v>
      </c>
      <c r="I891" t="s">
        <v>2365</v>
      </c>
      <c r="J891" t="s">
        <v>2365</v>
      </c>
      <c r="K891" t="s">
        <v>2365</v>
      </c>
      <c r="L891">
        <v>1200</v>
      </c>
      <c r="M891" t="s">
        <v>1480</v>
      </c>
      <c r="N891">
        <v>1204</v>
      </c>
      <c r="O891" t="s">
        <v>1487</v>
      </c>
      <c r="P891" t="s">
        <v>2366</v>
      </c>
      <c r="Q891" t="s">
        <v>2364</v>
      </c>
      <c r="R891" t="s">
        <v>2364</v>
      </c>
      <c r="S891" t="s">
        <v>553</v>
      </c>
      <c r="T891" t="s">
        <v>2175</v>
      </c>
      <c r="U891">
        <v>140</v>
      </c>
      <c r="V891" t="s">
        <v>693</v>
      </c>
      <c r="W891">
        <v>140</v>
      </c>
      <c r="X891" t="s">
        <v>693</v>
      </c>
      <c r="Y891" t="s">
        <v>2365</v>
      </c>
      <c r="Z891" t="s">
        <v>2365</v>
      </c>
      <c r="AA891" t="s">
        <v>2365</v>
      </c>
      <c r="AB891" t="s">
        <v>2365</v>
      </c>
      <c r="AC891" s="813" t="s">
        <v>2365</v>
      </c>
      <c r="AD891" s="813" t="s">
        <v>2365</v>
      </c>
      <c r="AE891" s="813" t="s">
        <v>2365</v>
      </c>
      <c r="AF891" t="s">
        <v>2365</v>
      </c>
      <c r="AG891" t="s">
        <v>2365</v>
      </c>
      <c r="AH891" t="s">
        <v>2365</v>
      </c>
      <c r="AI891" t="s">
        <v>2365</v>
      </c>
      <c r="AJ891" t="s">
        <v>2365</v>
      </c>
      <c r="AK891" t="s">
        <v>2366</v>
      </c>
      <c r="AL891" t="s">
        <v>2366</v>
      </c>
      <c r="AM891" t="s">
        <v>2366</v>
      </c>
      <c r="AN891" t="s">
        <v>2366</v>
      </c>
      <c r="AR891" t="s">
        <v>2365</v>
      </c>
      <c r="AS891" t="s">
        <v>2365</v>
      </c>
      <c r="AT891" t="s">
        <v>2365</v>
      </c>
      <c r="AU891" t="s">
        <v>2365</v>
      </c>
      <c r="AV891" t="s">
        <v>2365</v>
      </c>
      <c r="AW891" t="s">
        <v>2365</v>
      </c>
      <c r="AX891" t="s">
        <v>2365</v>
      </c>
      <c r="AY891" t="s">
        <v>2365</v>
      </c>
      <c r="AZ891" t="s">
        <v>2365</v>
      </c>
      <c r="BA891" t="s">
        <v>2365</v>
      </c>
      <c r="BB891" t="s">
        <v>2365</v>
      </c>
      <c r="BC891" t="s">
        <v>2365</v>
      </c>
      <c r="BD891" t="s">
        <v>2366</v>
      </c>
      <c r="BE891" t="s">
        <v>2365</v>
      </c>
      <c r="BF891" t="s">
        <v>2365</v>
      </c>
      <c r="BG891" t="s">
        <v>2365</v>
      </c>
      <c r="BH891" t="s">
        <v>2365</v>
      </c>
      <c r="BI891" t="s">
        <v>2366</v>
      </c>
      <c r="BJ891" t="s">
        <v>2365</v>
      </c>
      <c r="BK891" t="s">
        <v>2365</v>
      </c>
      <c r="BL891" t="s">
        <v>2365</v>
      </c>
      <c r="BM891" t="s">
        <v>2365</v>
      </c>
      <c r="BO891">
        <v>1</v>
      </c>
      <c r="BP891">
        <v>11</v>
      </c>
      <c r="BQ891" t="s">
        <v>2369</v>
      </c>
      <c r="BR891" t="s">
        <v>1487</v>
      </c>
      <c r="BU891">
        <v>0</v>
      </c>
      <c r="BV891">
        <v>0</v>
      </c>
      <c r="BW891" s="1371">
        <v>0</v>
      </c>
      <c r="BX891" s="1372">
        <v>0</v>
      </c>
      <c r="BY891">
        <v>0</v>
      </c>
      <c r="BZ891">
        <v>0</v>
      </c>
      <c r="CA891">
        <v>0</v>
      </c>
      <c r="CB891">
        <v>0</v>
      </c>
      <c r="CC891">
        <v>0</v>
      </c>
      <c r="CD891">
        <v>0</v>
      </c>
      <c r="CE891">
        <v>0</v>
      </c>
      <c r="CF891">
        <v>0</v>
      </c>
      <c r="CG891">
        <v>0</v>
      </c>
      <c r="CH891">
        <v>0</v>
      </c>
      <c r="CI891">
        <v>0</v>
      </c>
      <c r="CJ891">
        <v>0</v>
      </c>
      <c r="CK891">
        <v>0</v>
      </c>
      <c r="CL891">
        <v>0</v>
      </c>
      <c r="CM891">
        <v>0</v>
      </c>
      <c r="CR891" t="s">
        <v>2324</v>
      </c>
      <c r="CS891" s="1369" t="str">
        <f>INDEX([8]Sheet1!$H:$H,MATCH(CR:CR,[8]Sheet1!$AU:$AU,0))</f>
        <v>Finance</v>
      </c>
    </row>
    <row r="892" spans="1:97" x14ac:dyDescent="0.2">
      <c r="A892" t="s">
        <v>3662</v>
      </c>
      <c r="B892">
        <v>945</v>
      </c>
      <c r="C892" t="s">
        <v>3662</v>
      </c>
      <c r="D892">
        <v>41676</v>
      </c>
      <c r="E892" t="s">
        <v>3663</v>
      </c>
      <c r="F892" t="s">
        <v>2364</v>
      </c>
      <c r="G892" t="s">
        <v>2364</v>
      </c>
      <c r="H892" t="s">
        <v>2365</v>
      </c>
      <c r="I892" t="s">
        <v>2365</v>
      </c>
      <c r="J892" t="s">
        <v>2365</v>
      </c>
      <c r="K892" t="s">
        <v>2365</v>
      </c>
      <c r="L892">
        <v>1200</v>
      </c>
      <c r="M892" t="s">
        <v>1480</v>
      </c>
      <c r="N892">
        <v>1204</v>
      </c>
      <c r="O892" t="s">
        <v>1487</v>
      </c>
      <c r="P892" t="s">
        <v>2366</v>
      </c>
      <c r="Q892" t="s">
        <v>2364</v>
      </c>
      <c r="R892" t="s">
        <v>2364</v>
      </c>
      <c r="S892" t="s">
        <v>553</v>
      </c>
      <c r="T892" t="s">
        <v>2175</v>
      </c>
      <c r="U892" t="s">
        <v>2366</v>
      </c>
      <c r="V892" t="s">
        <v>2366</v>
      </c>
      <c r="W892" t="s">
        <v>2366</v>
      </c>
      <c r="X892" t="s">
        <v>2366</v>
      </c>
      <c r="Y892" t="s">
        <v>2365</v>
      </c>
      <c r="Z892" t="s">
        <v>2365</v>
      </c>
      <c r="AA892" t="s">
        <v>2365</v>
      </c>
      <c r="AB892" t="s">
        <v>2365</v>
      </c>
      <c r="AC892" s="813" t="s">
        <v>2365</v>
      </c>
      <c r="AD892" s="813" t="s">
        <v>2365</v>
      </c>
      <c r="AE892" s="813" t="s">
        <v>2365</v>
      </c>
      <c r="AF892" t="s">
        <v>2365</v>
      </c>
      <c r="AG892" t="s">
        <v>2365</v>
      </c>
      <c r="AH892" t="s">
        <v>2365</v>
      </c>
      <c r="AI892" t="s">
        <v>2365</v>
      </c>
      <c r="AJ892" t="s">
        <v>2365</v>
      </c>
      <c r="AK892">
        <v>146</v>
      </c>
      <c r="AL892" t="s">
        <v>1199</v>
      </c>
      <c r="AM892">
        <v>146</v>
      </c>
      <c r="AN892" t="s">
        <v>1199</v>
      </c>
      <c r="AR892" t="s">
        <v>2365</v>
      </c>
      <c r="AS892" t="s">
        <v>2365</v>
      </c>
      <c r="AT892" t="s">
        <v>2365</v>
      </c>
      <c r="AU892" t="s">
        <v>2365</v>
      </c>
      <c r="AV892" t="s">
        <v>2365</v>
      </c>
      <c r="AW892" t="s">
        <v>2365</v>
      </c>
      <c r="AX892" t="s">
        <v>2365</v>
      </c>
      <c r="AY892" t="s">
        <v>2365</v>
      </c>
      <c r="AZ892" t="s">
        <v>2365</v>
      </c>
      <c r="BA892" t="s">
        <v>2365</v>
      </c>
      <c r="BB892" t="s">
        <v>2365</v>
      </c>
      <c r="BC892" t="s">
        <v>2365</v>
      </c>
      <c r="BD892" t="s">
        <v>2366</v>
      </c>
      <c r="BE892" t="s">
        <v>2365</v>
      </c>
      <c r="BF892" t="s">
        <v>2365</v>
      </c>
      <c r="BG892" t="s">
        <v>2365</v>
      </c>
      <c r="BH892" t="s">
        <v>2365</v>
      </c>
      <c r="BI892" t="s">
        <v>2366</v>
      </c>
      <c r="BJ892" t="s">
        <v>2365</v>
      </c>
      <c r="BK892" t="s">
        <v>2365</v>
      </c>
      <c r="BL892" t="s">
        <v>2365</v>
      </c>
      <c r="BM892" t="s">
        <v>2365</v>
      </c>
      <c r="BO892">
        <v>1</v>
      </c>
      <c r="BP892">
        <v>11</v>
      </c>
      <c r="BQ892" t="s">
        <v>2369</v>
      </c>
      <c r="BR892" t="s">
        <v>1487</v>
      </c>
      <c r="BU892">
        <v>0</v>
      </c>
      <c r="BV892">
        <v>0</v>
      </c>
      <c r="BW892">
        <v>0</v>
      </c>
      <c r="BX892">
        <v>0</v>
      </c>
      <c r="BY892">
        <v>0</v>
      </c>
      <c r="BZ892">
        <v>0</v>
      </c>
      <c r="CA892">
        <v>0</v>
      </c>
      <c r="CB892">
        <v>0</v>
      </c>
      <c r="CC892">
        <v>0</v>
      </c>
      <c r="CD892">
        <v>0</v>
      </c>
      <c r="CE892">
        <v>0</v>
      </c>
      <c r="CF892">
        <v>0</v>
      </c>
      <c r="CG892">
        <v>0</v>
      </c>
      <c r="CH892">
        <v>0</v>
      </c>
      <c r="CI892">
        <v>0</v>
      </c>
      <c r="CJ892">
        <v>0</v>
      </c>
      <c r="CK892">
        <v>0</v>
      </c>
      <c r="CL892">
        <v>0</v>
      </c>
      <c r="CM892">
        <v>0</v>
      </c>
      <c r="CR892" t="s">
        <v>2324</v>
      </c>
      <c r="CS892" s="1369" t="str">
        <f>INDEX([8]Sheet1!$H:$H,MATCH(CR:CR,[8]Sheet1!$AU:$AU,0))</f>
        <v>Finance</v>
      </c>
    </row>
    <row r="893" spans="1:97" x14ac:dyDescent="0.2">
      <c r="A893" t="s">
        <v>3664</v>
      </c>
      <c r="B893">
        <v>946</v>
      </c>
      <c r="C893" t="s">
        <v>3664</v>
      </c>
      <c r="D893">
        <v>41677</v>
      </c>
      <c r="E893" t="s">
        <v>3665</v>
      </c>
      <c r="F893" t="s">
        <v>2364</v>
      </c>
      <c r="G893" t="s">
        <v>2364</v>
      </c>
      <c r="H893" t="s">
        <v>2365</v>
      </c>
      <c r="I893" t="s">
        <v>2365</v>
      </c>
      <c r="J893" t="s">
        <v>2365</v>
      </c>
      <c r="K893" t="s">
        <v>2365</v>
      </c>
      <c r="L893">
        <v>1200</v>
      </c>
      <c r="M893" t="s">
        <v>1480</v>
      </c>
      <c r="N893">
        <v>1204</v>
      </c>
      <c r="O893" t="s">
        <v>1487</v>
      </c>
      <c r="P893" t="s">
        <v>2366</v>
      </c>
      <c r="Q893" t="s">
        <v>2364</v>
      </c>
      <c r="R893" t="s">
        <v>2364</v>
      </c>
      <c r="S893" t="s">
        <v>553</v>
      </c>
      <c r="T893" t="s">
        <v>2175</v>
      </c>
      <c r="U893">
        <v>140</v>
      </c>
      <c r="V893" t="s">
        <v>693</v>
      </c>
      <c r="W893">
        <v>140</v>
      </c>
      <c r="X893" t="s">
        <v>693</v>
      </c>
      <c r="Y893" t="s">
        <v>2365</v>
      </c>
      <c r="Z893" t="s">
        <v>2365</v>
      </c>
      <c r="AA893" t="s">
        <v>2365</v>
      </c>
      <c r="AB893" t="s">
        <v>2365</v>
      </c>
      <c r="AC893" s="813" t="s">
        <v>2365</v>
      </c>
      <c r="AD893" s="813" t="s">
        <v>2365</v>
      </c>
      <c r="AE893" s="813" t="s">
        <v>2365</v>
      </c>
      <c r="AF893" t="s">
        <v>2365</v>
      </c>
      <c r="AG893" t="s">
        <v>2365</v>
      </c>
      <c r="AH893" t="s">
        <v>2365</v>
      </c>
      <c r="AI893" t="s">
        <v>2365</v>
      </c>
      <c r="AJ893" t="s">
        <v>2365</v>
      </c>
      <c r="AK893" t="s">
        <v>2366</v>
      </c>
      <c r="AL893" t="s">
        <v>2366</v>
      </c>
      <c r="AM893" t="s">
        <v>2366</v>
      </c>
      <c r="AN893" t="s">
        <v>2366</v>
      </c>
      <c r="AR893" t="s">
        <v>2365</v>
      </c>
      <c r="AS893" t="s">
        <v>2365</v>
      </c>
      <c r="AT893" t="s">
        <v>2365</v>
      </c>
      <c r="AU893" t="s">
        <v>2365</v>
      </c>
      <c r="AV893" t="s">
        <v>2365</v>
      </c>
      <c r="AW893" t="s">
        <v>2365</v>
      </c>
      <c r="AX893" t="s">
        <v>2365</v>
      </c>
      <c r="AY893" t="s">
        <v>2365</v>
      </c>
      <c r="AZ893" t="s">
        <v>2365</v>
      </c>
      <c r="BA893" t="s">
        <v>2365</v>
      </c>
      <c r="BB893" t="s">
        <v>2365</v>
      </c>
      <c r="BC893" t="s">
        <v>2365</v>
      </c>
      <c r="BD893" t="s">
        <v>2366</v>
      </c>
      <c r="BE893" t="s">
        <v>2365</v>
      </c>
      <c r="BF893" t="s">
        <v>2365</v>
      </c>
      <c r="BG893" t="s">
        <v>2365</v>
      </c>
      <c r="BH893" t="s">
        <v>2365</v>
      </c>
      <c r="BI893" t="s">
        <v>2366</v>
      </c>
      <c r="BJ893" t="s">
        <v>2365</v>
      </c>
      <c r="BK893" t="s">
        <v>2365</v>
      </c>
      <c r="BL893" t="s">
        <v>2365</v>
      </c>
      <c r="BM893" t="s">
        <v>2365</v>
      </c>
      <c r="BO893">
        <v>1</v>
      </c>
      <c r="BP893">
        <v>11</v>
      </c>
      <c r="BQ893" t="s">
        <v>2369</v>
      </c>
      <c r="BR893" t="s">
        <v>1487</v>
      </c>
      <c r="BU893">
        <v>0</v>
      </c>
      <c r="BV893">
        <v>0</v>
      </c>
      <c r="BW893">
        <v>0</v>
      </c>
      <c r="BX893">
        <v>0</v>
      </c>
      <c r="BY893">
        <v>0</v>
      </c>
      <c r="BZ893">
        <v>0</v>
      </c>
      <c r="CA893">
        <v>0</v>
      </c>
      <c r="CB893">
        <v>0</v>
      </c>
      <c r="CC893">
        <v>0</v>
      </c>
      <c r="CD893">
        <v>0</v>
      </c>
      <c r="CE893">
        <v>0</v>
      </c>
      <c r="CF893">
        <v>0</v>
      </c>
      <c r="CG893">
        <v>0</v>
      </c>
      <c r="CH893">
        <v>0</v>
      </c>
      <c r="CI893">
        <v>0</v>
      </c>
      <c r="CJ893">
        <v>0</v>
      </c>
      <c r="CK893">
        <v>0</v>
      </c>
      <c r="CL893">
        <v>0</v>
      </c>
      <c r="CM893">
        <v>0</v>
      </c>
      <c r="CR893" t="s">
        <v>2324</v>
      </c>
      <c r="CS893" s="1369" t="str">
        <f>INDEX([8]Sheet1!$H:$H,MATCH(CR:CR,[8]Sheet1!$AU:$AU,0))</f>
        <v>Finance</v>
      </c>
    </row>
    <row r="894" spans="1:97" x14ac:dyDescent="0.2">
      <c r="A894" t="s">
        <v>3666</v>
      </c>
      <c r="B894">
        <v>947</v>
      </c>
      <c r="C894" t="s">
        <v>3666</v>
      </c>
      <c r="D894">
        <v>41678</v>
      </c>
      <c r="E894" t="s">
        <v>3667</v>
      </c>
      <c r="F894" t="s">
        <v>2364</v>
      </c>
      <c r="G894" t="s">
        <v>2364</v>
      </c>
      <c r="H894" t="s">
        <v>2365</v>
      </c>
      <c r="I894" t="s">
        <v>2365</v>
      </c>
      <c r="J894" t="s">
        <v>2365</v>
      </c>
      <c r="K894" t="s">
        <v>2365</v>
      </c>
      <c r="L894">
        <v>1200</v>
      </c>
      <c r="M894" t="s">
        <v>1480</v>
      </c>
      <c r="N894">
        <v>1204</v>
      </c>
      <c r="O894" t="s">
        <v>1487</v>
      </c>
      <c r="P894" t="s">
        <v>2366</v>
      </c>
      <c r="Q894" t="s">
        <v>2364</v>
      </c>
      <c r="R894" t="s">
        <v>2364</v>
      </c>
      <c r="S894" t="s">
        <v>553</v>
      </c>
      <c r="T894" t="s">
        <v>2175</v>
      </c>
      <c r="U894" t="s">
        <v>2366</v>
      </c>
      <c r="V894" t="s">
        <v>2366</v>
      </c>
      <c r="W894" t="s">
        <v>2366</v>
      </c>
      <c r="X894" t="s">
        <v>2366</v>
      </c>
      <c r="Y894" t="s">
        <v>2365</v>
      </c>
      <c r="Z894" t="s">
        <v>2365</v>
      </c>
      <c r="AA894" t="s">
        <v>2365</v>
      </c>
      <c r="AB894" t="s">
        <v>2365</v>
      </c>
      <c r="AC894" s="813" t="s">
        <v>2365</v>
      </c>
      <c r="AD894" s="813" t="s">
        <v>2365</v>
      </c>
      <c r="AE894" s="813" t="s">
        <v>2365</v>
      </c>
      <c r="AF894" t="s">
        <v>2365</v>
      </c>
      <c r="AG894" t="s">
        <v>2365</v>
      </c>
      <c r="AH894" t="s">
        <v>2365</v>
      </c>
      <c r="AI894" t="s">
        <v>2365</v>
      </c>
      <c r="AJ894" t="s">
        <v>2365</v>
      </c>
      <c r="AK894">
        <v>146</v>
      </c>
      <c r="AL894" t="s">
        <v>1199</v>
      </c>
      <c r="AM894">
        <v>146</v>
      </c>
      <c r="AN894" t="s">
        <v>1199</v>
      </c>
      <c r="AR894" t="s">
        <v>2365</v>
      </c>
      <c r="AS894" t="s">
        <v>2365</v>
      </c>
      <c r="AT894" t="s">
        <v>2365</v>
      </c>
      <c r="AU894" t="s">
        <v>2365</v>
      </c>
      <c r="AV894" t="s">
        <v>2365</v>
      </c>
      <c r="AW894" t="s">
        <v>2365</v>
      </c>
      <c r="AX894" t="s">
        <v>2365</v>
      </c>
      <c r="AY894" t="s">
        <v>2365</v>
      </c>
      <c r="AZ894" t="s">
        <v>2365</v>
      </c>
      <c r="BA894" t="s">
        <v>2365</v>
      </c>
      <c r="BB894" t="s">
        <v>2365</v>
      </c>
      <c r="BC894" t="s">
        <v>2365</v>
      </c>
      <c r="BD894" t="s">
        <v>2366</v>
      </c>
      <c r="BE894" t="s">
        <v>2365</v>
      </c>
      <c r="BF894" t="s">
        <v>2365</v>
      </c>
      <c r="BG894" t="s">
        <v>2365</v>
      </c>
      <c r="BH894" t="s">
        <v>2365</v>
      </c>
      <c r="BI894" t="s">
        <v>2366</v>
      </c>
      <c r="BJ894" t="s">
        <v>2365</v>
      </c>
      <c r="BK894" t="s">
        <v>2365</v>
      </c>
      <c r="BL894" t="s">
        <v>2365</v>
      </c>
      <c r="BM894" t="s">
        <v>2365</v>
      </c>
      <c r="BO894">
        <v>1</v>
      </c>
      <c r="BP894">
        <v>11</v>
      </c>
      <c r="BQ894" t="s">
        <v>2369</v>
      </c>
      <c r="BR894" t="s">
        <v>1487</v>
      </c>
      <c r="BU894">
        <v>0</v>
      </c>
      <c r="BV894">
        <v>0</v>
      </c>
      <c r="BW894">
        <v>0</v>
      </c>
      <c r="BX894">
        <v>0</v>
      </c>
      <c r="BY894">
        <v>0</v>
      </c>
      <c r="BZ894">
        <v>0</v>
      </c>
      <c r="CA894">
        <v>0</v>
      </c>
      <c r="CB894">
        <v>0</v>
      </c>
      <c r="CC894">
        <v>0</v>
      </c>
      <c r="CD894">
        <v>0</v>
      </c>
      <c r="CE894">
        <v>0</v>
      </c>
      <c r="CF894">
        <v>0</v>
      </c>
      <c r="CG894">
        <v>0</v>
      </c>
      <c r="CH894">
        <v>0</v>
      </c>
      <c r="CI894">
        <v>0</v>
      </c>
      <c r="CJ894">
        <v>0</v>
      </c>
      <c r="CK894">
        <v>0</v>
      </c>
      <c r="CL894">
        <v>0</v>
      </c>
      <c r="CM894">
        <v>0</v>
      </c>
      <c r="CR894" t="s">
        <v>2324</v>
      </c>
      <c r="CS894" s="1369" t="str">
        <f>INDEX([8]Sheet1!$H:$H,MATCH(CR:CR,[8]Sheet1!$AU:$AU,0))</f>
        <v>Finance</v>
      </c>
    </row>
    <row r="895" spans="1:97" x14ac:dyDescent="0.2">
      <c r="A895" t="s">
        <v>3668</v>
      </c>
      <c r="B895">
        <v>948</v>
      </c>
      <c r="C895" t="s">
        <v>3668</v>
      </c>
      <c r="D895">
        <v>41679</v>
      </c>
      <c r="E895" t="s">
        <v>3669</v>
      </c>
      <c r="F895" t="s">
        <v>2364</v>
      </c>
      <c r="G895" t="s">
        <v>2364</v>
      </c>
      <c r="H895" t="s">
        <v>2365</v>
      </c>
      <c r="I895" t="s">
        <v>2365</v>
      </c>
      <c r="J895" t="s">
        <v>2365</v>
      </c>
      <c r="K895" t="s">
        <v>2365</v>
      </c>
      <c r="L895">
        <v>1200</v>
      </c>
      <c r="M895" t="s">
        <v>1480</v>
      </c>
      <c r="N895">
        <v>1204</v>
      </c>
      <c r="O895" t="s">
        <v>1487</v>
      </c>
      <c r="P895" t="s">
        <v>2366</v>
      </c>
      <c r="Q895" t="s">
        <v>2364</v>
      </c>
      <c r="R895" t="s">
        <v>2364</v>
      </c>
      <c r="S895" t="s">
        <v>553</v>
      </c>
      <c r="T895" t="s">
        <v>2175</v>
      </c>
      <c r="U895" t="s">
        <v>2366</v>
      </c>
      <c r="V895" t="s">
        <v>2366</v>
      </c>
      <c r="W895" t="s">
        <v>2366</v>
      </c>
      <c r="X895" t="s">
        <v>2366</v>
      </c>
      <c r="Y895" t="s">
        <v>2365</v>
      </c>
      <c r="Z895" t="s">
        <v>2365</v>
      </c>
      <c r="AA895" t="s">
        <v>2365</v>
      </c>
      <c r="AB895" t="s">
        <v>2365</v>
      </c>
      <c r="AC895" s="813" t="s">
        <v>2365</v>
      </c>
      <c r="AD895" s="813" t="s">
        <v>2365</v>
      </c>
      <c r="AE895" s="813" t="s">
        <v>2365</v>
      </c>
      <c r="AF895" t="s">
        <v>2365</v>
      </c>
      <c r="AG895" t="s">
        <v>2365</v>
      </c>
      <c r="AH895" t="s">
        <v>2365</v>
      </c>
      <c r="AI895" t="s">
        <v>2365</v>
      </c>
      <c r="AJ895" t="s">
        <v>2365</v>
      </c>
      <c r="AK895">
        <v>145</v>
      </c>
      <c r="AL895" t="s">
        <v>1198</v>
      </c>
      <c r="AM895">
        <v>145</v>
      </c>
      <c r="AN895" t="s">
        <v>1198</v>
      </c>
      <c r="AR895" t="s">
        <v>2365</v>
      </c>
      <c r="AS895" t="s">
        <v>2365</v>
      </c>
      <c r="AT895" t="s">
        <v>2365</v>
      </c>
      <c r="AU895" t="s">
        <v>2365</v>
      </c>
      <c r="AV895" t="s">
        <v>2365</v>
      </c>
      <c r="AW895" t="s">
        <v>2365</v>
      </c>
      <c r="AX895" t="s">
        <v>2365</v>
      </c>
      <c r="AY895" t="s">
        <v>2365</v>
      </c>
      <c r="AZ895" t="s">
        <v>2365</v>
      </c>
      <c r="BA895" t="s">
        <v>2365</v>
      </c>
      <c r="BB895" t="s">
        <v>2365</v>
      </c>
      <c r="BC895" t="s">
        <v>2365</v>
      </c>
      <c r="BD895" t="s">
        <v>2366</v>
      </c>
      <c r="BE895" t="s">
        <v>2365</v>
      </c>
      <c r="BF895" t="s">
        <v>2365</v>
      </c>
      <c r="BG895" t="s">
        <v>2365</v>
      </c>
      <c r="BH895" t="s">
        <v>2365</v>
      </c>
      <c r="BI895" t="s">
        <v>2366</v>
      </c>
      <c r="BJ895" t="s">
        <v>2365</v>
      </c>
      <c r="BK895" t="s">
        <v>2365</v>
      </c>
      <c r="BL895" t="s">
        <v>2365</v>
      </c>
      <c r="BM895" t="s">
        <v>2365</v>
      </c>
      <c r="BO895">
        <v>1</v>
      </c>
      <c r="BP895">
        <v>11</v>
      </c>
      <c r="BQ895" t="s">
        <v>2369</v>
      </c>
      <c r="BR895" t="s">
        <v>1487</v>
      </c>
      <c r="BU895">
        <v>0</v>
      </c>
      <c r="BV895">
        <v>0</v>
      </c>
      <c r="BW895">
        <v>0</v>
      </c>
      <c r="BX895">
        <v>0</v>
      </c>
      <c r="BY895">
        <v>0</v>
      </c>
      <c r="BZ895">
        <v>0</v>
      </c>
      <c r="CA895">
        <v>0</v>
      </c>
      <c r="CB895">
        <v>0</v>
      </c>
      <c r="CC895">
        <v>0</v>
      </c>
      <c r="CD895">
        <v>0</v>
      </c>
      <c r="CE895">
        <v>0</v>
      </c>
      <c r="CF895">
        <v>0</v>
      </c>
      <c r="CG895">
        <v>0</v>
      </c>
      <c r="CH895">
        <v>0</v>
      </c>
      <c r="CI895">
        <v>0</v>
      </c>
      <c r="CJ895">
        <v>0</v>
      </c>
      <c r="CK895">
        <v>0</v>
      </c>
      <c r="CL895">
        <v>0</v>
      </c>
      <c r="CM895">
        <v>0</v>
      </c>
      <c r="CR895" t="s">
        <v>2335</v>
      </c>
      <c r="CS895" s="1369" t="str">
        <f>INDEX([8]Sheet1!$H:$H,MATCH(CR:CR,[8]Sheet1!$AU:$AU,0))</f>
        <v>Economic Development/Planning</v>
      </c>
    </row>
    <row r="896" spans="1:97" x14ac:dyDescent="0.2">
      <c r="A896" t="s">
        <v>3670</v>
      </c>
      <c r="B896">
        <v>949</v>
      </c>
      <c r="C896" t="s">
        <v>3670</v>
      </c>
      <c r="D896">
        <v>41680</v>
      </c>
      <c r="E896" t="s">
        <v>3671</v>
      </c>
      <c r="F896" t="s">
        <v>2364</v>
      </c>
      <c r="G896" t="s">
        <v>2364</v>
      </c>
      <c r="H896" t="s">
        <v>2365</v>
      </c>
      <c r="I896" t="s">
        <v>2365</v>
      </c>
      <c r="J896" t="s">
        <v>2365</v>
      </c>
      <c r="K896" t="s">
        <v>2365</v>
      </c>
      <c r="L896">
        <v>1200</v>
      </c>
      <c r="M896" t="s">
        <v>1480</v>
      </c>
      <c r="N896">
        <v>1204</v>
      </c>
      <c r="O896" t="s">
        <v>1487</v>
      </c>
      <c r="P896" t="s">
        <v>2366</v>
      </c>
      <c r="Q896" t="s">
        <v>2364</v>
      </c>
      <c r="R896" t="s">
        <v>2364</v>
      </c>
      <c r="S896" t="s">
        <v>553</v>
      </c>
      <c r="T896" t="s">
        <v>2175</v>
      </c>
      <c r="U896" t="s">
        <v>2366</v>
      </c>
      <c r="V896" t="s">
        <v>2366</v>
      </c>
      <c r="W896" t="s">
        <v>2366</v>
      </c>
      <c r="X896" t="s">
        <v>2366</v>
      </c>
      <c r="Y896" t="s">
        <v>2365</v>
      </c>
      <c r="Z896" t="s">
        <v>2365</v>
      </c>
      <c r="AA896" t="s">
        <v>2365</v>
      </c>
      <c r="AB896" t="s">
        <v>2365</v>
      </c>
      <c r="AC896" s="813" t="s">
        <v>2365</v>
      </c>
      <c r="AD896" s="813" t="s">
        <v>2365</v>
      </c>
      <c r="AE896" s="813" t="s">
        <v>2365</v>
      </c>
      <c r="AF896" t="s">
        <v>2365</v>
      </c>
      <c r="AG896" t="s">
        <v>2365</v>
      </c>
      <c r="AH896" t="s">
        <v>2365</v>
      </c>
      <c r="AI896" t="s">
        <v>2365</v>
      </c>
      <c r="AJ896" t="s">
        <v>2365</v>
      </c>
      <c r="AK896">
        <v>146</v>
      </c>
      <c r="AL896" t="s">
        <v>1199</v>
      </c>
      <c r="AM896">
        <v>146</v>
      </c>
      <c r="AN896" t="s">
        <v>1199</v>
      </c>
      <c r="AR896" t="s">
        <v>2365</v>
      </c>
      <c r="AS896" t="s">
        <v>2365</v>
      </c>
      <c r="AT896" t="s">
        <v>2365</v>
      </c>
      <c r="AU896" t="s">
        <v>2365</v>
      </c>
      <c r="AV896" t="s">
        <v>2365</v>
      </c>
      <c r="AW896" t="s">
        <v>2365</v>
      </c>
      <c r="AX896" t="s">
        <v>2365</v>
      </c>
      <c r="AY896" t="s">
        <v>2365</v>
      </c>
      <c r="AZ896" t="s">
        <v>2365</v>
      </c>
      <c r="BA896" t="s">
        <v>2365</v>
      </c>
      <c r="BB896" t="s">
        <v>2365</v>
      </c>
      <c r="BC896" t="s">
        <v>2365</v>
      </c>
      <c r="BD896" t="s">
        <v>2366</v>
      </c>
      <c r="BE896" t="s">
        <v>2365</v>
      </c>
      <c r="BF896" t="s">
        <v>2365</v>
      </c>
      <c r="BG896" t="s">
        <v>2365</v>
      </c>
      <c r="BH896" t="s">
        <v>2365</v>
      </c>
      <c r="BI896" t="s">
        <v>2366</v>
      </c>
      <c r="BJ896" t="s">
        <v>2365</v>
      </c>
      <c r="BK896" t="s">
        <v>2365</v>
      </c>
      <c r="BL896" t="s">
        <v>2365</v>
      </c>
      <c r="BM896" t="s">
        <v>2365</v>
      </c>
      <c r="BO896">
        <v>1</v>
      </c>
      <c r="BP896">
        <v>11</v>
      </c>
      <c r="BQ896" t="s">
        <v>2369</v>
      </c>
      <c r="BR896" t="s">
        <v>1487</v>
      </c>
      <c r="BU896">
        <v>0</v>
      </c>
      <c r="BV896">
        <v>0</v>
      </c>
      <c r="BW896">
        <v>0</v>
      </c>
      <c r="BX896">
        <v>0</v>
      </c>
      <c r="BY896">
        <v>0</v>
      </c>
      <c r="BZ896">
        <v>0</v>
      </c>
      <c r="CA896">
        <v>0</v>
      </c>
      <c r="CB896">
        <v>0</v>
      </c>
      <c r="CC896">
        <v>0</v>
      </c>
      <c r="CD896">
        <v>0</v>
      </c>
      <c r="CE896">
        <v>0</v>
      </c>
      <c r="CF896">
        <v>0</v>
      </c>
      <c r="CG896">
        <v>0</v>
      </c>
      <c r="CH896">
        <v>0</v>
      </c>
      <c r="CI896">
        <v>0</v>
      </c>
      <c r="CJ896">
        <v>0</v>
      </c>
      <c r="CK896">
        <v>0</v>
      </c>
      <c r="CL896">
        <v>0</v>
      </c>
      <c r="CM896">
        <v>0</v>
      </c>
      <c r="CR896" t="s">
        <v>2328</v>
      </c>
      <c r="CS896" s="1369" t="str">
        <f>INDEX([8]Sheet1!$H:$H,MATCH(CR:CR,[8]Sheet1!$AU:$AU,0))</f>
        <v>Water Distribution</v>
      </c>
    </row>
    <row r="897" spans="1:97" x14ac:dyDescent="0.2">
      <c r="A897" t="s">
        <v>3672</v>
      </c>
      <c r="B897">
        <v>950</v>
      </c>
      <c r="C897" t="s">
        <v>3672</v>
      </c>
      <c r="D897">
        <v>41681</v>
      </c>
      <c r="E897" t="s">
        <v>3673</v>
      </c>
      <c r="F897" t="s">
        <v>2364</v>
      </c>
      <c r="G897" t="s">
        <v>2364</v>
      </c>
      <c r="H897" t="s">
        <v>2365</v>
      </c>
      <c r="I897" t="s">
        <v>2365</v>
      </c>
      <c r="J897" t="s">
        <v>2365</v>
      </c>
      <c r="K897" t="s">
        <v>2365</v>
      </c>
      <c r="L897">
        <v>1200</v>
      </c>
      <c r="M897" t="s">
        <v>1480</v>
      </c>
      <c r="N897">
        <v>1204</v>
      </c>
      <c r="O897" t="s">
        <v>1487</v>
      </c>
      <c r="P897" t="s">
        <v>2366</v>
      </c>
      <c r="Q897" t="s">
        <v>2364</v>
      </c>
      <c r="R897" t="s">
        <v>2364</v>
      </c>
      <c r="S897" t="s">
        <v>553</v>
      </c>
      <c r="T897" t="s">
        <v>2175</v>
      </c>
      <c r="U897" t="s">
        <v>2366</v>
      </c>
      <c r="V897" t="s">
        <v>2366</v>
      </c>
      <c r="W897" t="s">
        <v>2366</v>
      </c>
      <c r="X897" t="s">
        <v>2366</v>
      </c>
      <c r="Y897" t="s">
        <v>2365</v>
      </c>
      <c r="Z897" t="s">
        <v>2365</v>
      </c>
      <c r="AA897" t="s">
        <v>2365</v>
      </c>
      <c r="AB897" t="s">
        <v>2365</v>
      </c>
      <c r="AC897" s="813" t="s">
        <v>2365</v>
      </c>
      <c r="AD897" s="813" t="s">
        <v>2365</v>
      </c>
      <c r="AE897" s="813" t="s">
        <v>2365</v>
      </c>
      <c r="AF897" t="s">
        <v>2365</v>
      </c>
      <c r="AG897" t="s">
        <v>2365</v>
      </c>
      <c r="AH897" t="s">
        <v>2365</v>
      </c>
      <c r="AI897" t="s">
        <v>2365</v>
      </c>
      <c r="AJ897" t="s">
        <v>2365</v>
      </c>
      <c r="AK897">
        <v>146</v>
      </c>
      <c r="AL897" t="s">
        <v>1199</v>
      </c>
      <c r="AM897">
        <v>146</v>
      </c>
      <c r="AN897" t="s">
        <v>1199</v>
      </c>
      <c r="AR897" t="s">
        <v>2365</v>
      </c>
      <c r="AS897" t="s">
        <v>2365</v>
      </c>
      <c r="AT897" t="s">
        <v>2365</v>
      </c>
      <c r="AU897" t="s">
        <v>2365</v>
      </c>
      <c r="AV897" t="s">
        <v>2365</v>
      </c>
      <c r="AW897" t="s">
        <v>2365</v>
      </c>
      <c r="AX897" t="s">
        <v>2365</v>
      </c>
      <c r="AY897" t="s">
        <v>2365</v>
      </c>
      <c r="AZ897" t="s">
        <v>2365</v>
      </c>
      <c r="BA897" t="s">
        <v>2365</v>
      </c>
      <c r="BB897" t="s">
        <v>2365</v>
      </c>
      <c r="BC897" t="s">
        <v>2365</v>
      </c>
      <c r="BD897" t="s">
        <v>2366</v>
      </c>
      <c r="BE897" t="s">
        <v>2365</v>
      </c>
      <c r="BF897" t="s">
        <v>2365</v>
      </c>
      <c r="BG897" t="s">
        <v>2365</v>
      </c>
      <c r="BH897" t="s">
        <v>2365</v>
      </c>
      <c r="BI897" t="s">
        <v>2366</v>
      </c>
      <c r="BJ897" t="s">
        <v>2365</v>
      </c>
      <c r="BK897" t="s">
        <v>2365</v>
      </c>
      <c r="BL897" t="s">
        <v>2365</v>
      </c>
      <c r="BM897" t="s">
        <v>2365</v>
      </c>
      <c r="BO897">
        <v>1</v>
      </c>
      <c r="BP897">
        <v>11</v>
      </c>
      <c r="BQ897" t="s">
        <v>2369</v>
      </c>
      <c r="BR897" t="s">
        <v>1487</v>
      </c>
      <c r="BU897">
        <v>0</v>
      </c>
      <c r="BV897">
        <v>0</v>
      </c>
      <c r="BW897">
        <v>0</v>
      </c>
      <c r="BX897">
        <v>0</v>
      </c>
      <c r="BY897">
        <v>0</v>
      </c>
      <c r="BZ897">
        <v>0</v>
      </c>
      <c r="CA897">
        <v>0</v>
      </c>
      <c r="CB897">
        <v>0</v>
      </c>
      <c r="CC897">
        <v>0</v>
      </c>
      <c r="CD897">
        <v>0</v>
      </c>
      <c r="CE897">
        <v>0</v>
      </c>
      <c r="CF897">
        <v>0</v>
      </c>
      <c r="CG897">
        <v>0</v>
      </c>
      <c r="CH897">
        <v>0</v>
      </c>
      <c r="CI897">
        <v>0</v>
      </c>
      <c r="CJ897">
        <v>0</v>
      </c>
      <c r="CK897">
        <v>0</v>
      </c>
      <c r="CL897">
        <v>0</v>
      </c>
      <c r="CM897">
        <v>0</v>
      </c>
      <c r="CR897" t="s">
        <v>2328</v>
      </c>
      <c r="CS897" s="1369" t="str">
        <f>INDEX([8]Sheet1!$H:$H,MATCH(CR:CR,[8]Sheet1!$AU:$AU,0))</f>
        <v>Water Distribution</v>
      </c>
    </row>
    <row r="898" spans="1:97" x14ac:dyDescent="0.2">
      <c r="A898" t="s">
        <v>3674</v>
      </c>
      <c r="B898">
        <v>951</v>
      </c>
      <c r="C898" t="s">
        <v>3674</v>
      </c>
      <c r="D898">
        <v>41682</v>
      </c>
      <c r="E898" t="s">
        <v>3675</v>
      </c>
      <c r="F898" t="s">
        <v>2364</v>
      </c>
      <c r="G898" t="s">
        <v>2364</v>
      </c>
      <c r="H898" t="s">
        <v>2365</v>
      </c>
      <c r="I898" t="s">
        <v>2365</v>
      </c>
      <c r="J898" t="s">
        <v>2365</v>
      </c>
      <c r="K898" t="s">
        <v>2365</v>
      </c>
      <c r="L898">
        <v>1200</v>
      </c>
      <c r="M898" t="s">
        <v>1480</v>
      </c>
      <c r="N898">
        <v>1204</v>
      </c>
      <c r="O898" t="s">
        <v>1487</v>
      </c>
      <c r="P898" t="s">
        <v>2366</v>
      </c>
      <c r="Q898" t="s">
        <v>2364</v>
      </c>
      <c r="R898" t="s">
        <v>2364</v>
      </c>
      <c r="S898" t="s">
        <v>553</v>
      </c>
      <c r="T898" t="s">
        <v>2175</v>
      </c>
      <c r="U898" t="s">
        <v>2366</v>
      </c>
      <c r="V898" t="s">
        <v>2366</v>
      </c>
      <c r="W898" t="s">
        <v>2366</v>
      </c>
      <c r="X898" t="s">
        <v>2366</v>
      </c>
      <c r="Y898" t="s">
        <v>2365</v>
      </c>
      <c r="Z898" t="s">
        <v>2365</v>
      </c>
      <c r="AA898" t="s">
        <v>2365</v>
      </c>
      <c r="AB898" t="s">
        <v>2365</v>
      </c>
      <c r="AC898" s="813" t="s">
        <v>2365</v>
      </c>
      <c r="AD898" s="813" t="s">
        <v>2365</v>
      </c>
      <c r="AE898" s="813" t="s">
        <v>2365</v>
      </c>
      <c r="AF898" t="s">
        <v>2365</v>
      </c>
      <c r="AG898" t="s">
        <v>2365</v>
      </c>
      <c r="AH898" t="s">
        <v>2365</v>
      </c>
      <c r="AI898" t="s">
        <v>2365</v>
      </c>
      <c r="AJ898" t="s">
        <v>2365</v>
      </c>
      <c r="AK898">
        <v>146</v>
      </c>
      <c r="AL898" t="s">
        <v>1199</v>
      </c>
      <c r="AM898">
        <v>146</v>
      </c>
      <c r="AN898" t="s">
        <v>1199</v>
      </c>
      <c r="AR898" t="s">
        <v>2365</v>
      </c>
      <c r="AS898" t="s">
        <v>2365</v>
      </c>
      <c r="AT898" t="s">
        <v>2365</v>
      </c>
      <c r="AU898" t="s">
        <v>2365</v>
      </c>
      <c r="AV898" t="s">
        <v>2365</v>
      </c>
      <c r="AW898" t="s">
        <v>2365</v>
      </c>
      <c r="AX898" t="s">
        <v>2365</v>
      </c>
      <c r="AY898" t="s">
        <v>2365</v>
      </c>
      <c r="AZ898" t="s">
        <v>2365</v>
      </c>
      <c r="BA898" t="s">
        <v>2365</v>
      </c>
      <c r="BB898" t="s">
        <v>2365</v>
      </c>
      <c r="BC898" t="s">
        <v>2365</v>
      </c>
      <c r="BD898" t="s">
        <v>2366</v>
      </c>
      <c r="BE898" t="s">
        <v>2365</v>
      </c>
      <c r="BF898" t="s">
        <v>2365</v>
      </c>
      <c r="BG898" t="s">
        <v>2365</v>
      </c>
      <c r="BH898" t="s">
        <v>2365</v>
      </c>
      <c r="BI898" t="s">
        <v>2366</v>
      </c>
      <c r="BJ898" t="s">
        <v>2365</v>
      </c>
      <c r="BK898" t="s">
        <v>2365</v>
      </c>
      <c r="BL898" t="s">
        <v>2365</v>
      </c>
      <c r="BM898" t="s">
        <v>2365</v>
      </c>
      <c r="BO898">
        <v>1</v>
      </c>
      <c r="BP898">
        <v>11</v>
      </c>
      <c r="BQ898" t="s">
        <v>2369</v>
      </c>
      <c r="BR898" t="s">
        <v>1487</v>
      </c>
      <c r="BU898">
        <v>0</v>
      </c>
      <c r="BV898">
        <v>0</v>
      </c>
      <c r="BW898">
        <v>0</v>
      </c>
      <c r="BX898">
        <v>0</v>
      </c>
      <c r="BY898">
        <v>0</v>
      </c>
      <c r="BZ898">
        <v>0</v>
      </c>
      <c r="CA898">
        <v>0</v>
      </c>
      <c r="CB898">
        <v>0</v>
      </c>
      <c r="CC898">
        <v>0</v>
      </c>
      <c r="CD898">
        <v>0</v>
      </c>
      <c r="CE898">
        <v>0</v>
      </c>
      <c r="CF898">
        <v>0</v>
      </c>
      <c r="CG898">
        <v>0</v>
      </c>
      <c r="CH898">
        <v>0</v>
      </c>
      <c r="CI898">
        <v>0</v>
      </c>
      <c r="CJ898">
        <v>0</v>
      </c>
      <c r="CK898">
        <v>0</v>
      </c>
      <c r="CL898">
        <v>0</v>
      </c>
      <c r="CM898">
        <v>0</v>
      </c>
      <c r="CR898" t="s">
        <v>2328</v>
      </c>
      <c r="CS898" s="1369" t="str">
        <f>INDEX([8]Sheet1!$H:$H,MATCH(CR:CR,[8]Sheet1!$AU:$AU,0))</f>
        <v>Water Distribution</v>
      </c>
    </row>
    <row r="899" spans="1:97" x14ac:dyDescent="0.2">
      <c r="A899" t="s">
        <v>3676</v>
      </c>
      <c r="B899">
        <v>952</v>
      </c>
      <c r="C899" t="s">
        <v>3676</v>
      </c>
      <c r="D899">
        <v>41683</v>
      </c>
      <c r="E899" t="s">
        <v>3677</v>
      </c>
      <c r="F899" t="s">
        <v>2364</v>
      </c>
      <c r="G899" t="s">
        <v>2364</v>
      </c>
      <c r="H899" t="s">
        <v>2365</v>
      </c>
      <c r="I899" t="s">
        <v>2365</v>
      </c>
      <c r="J899" t="s">
        <v>2365</v>
      </c>
      <c r="K899" t="s">
        <v>2365</v>
      </c>
      <c r="L899">
        <v>1200</v>
      </c>
      <c r="M899" t="s">
        <v>1480</v>
      </c>
      <c r="N899">
        <v>1204</v>
      </c>
      <c r="O899" t="s">
        <v>1487</v>
      </c>
      <c r="P899" t="s">
        <v>2366</v>
      </c>
      <c r="Q899" t="s">
        <v>2364</v>
      </c>
      <c r="R899" t="s">
        <v>2364</v>
      </c>
      <c r="S899" t="s">
        <v>553</v>
      </c>
      <c r="T899" t="s">
        <v>2175</v>
      </c>
      <c r="U899" t="s">
        <v>2366</v>
      </c>
      <c r="V899" t="s">
        <v>2366</v>
      </c>
      <c r="W899" t="s">
        <v>2366</v>
      </c>
      <c r="X899" t="s">
        <v>2366</v>
      </c>
      <c r="Y899" t="s">
        <v>2365</v>
      </c>
      <c r="Z899" t="s">
        <v>2365</v>
      </c>
      <c r="AA899" t="s">
        <v>2365</v>
      </c>
      <c r="AB899" t="s">
        <v>2365</v>
      </c>
      <c r="AC899" s="813" t="s">
        <v>2365</v>
      </c>
      <c r="AD899" s="813" t="s">
        <v>2365</v>
      </c>
      <c r="AE899" s="813" t="s">
        <v>2365</v>
      </c>
      <c r="AF899" t="s">
        <v>2365</v>
      </c>
      <c r="AG899" t="s">
        <v>2365</v>
      </c>
      <c r="AH899" t="s">
        <v>2365</v>
      </c>
      <c r="AI899" t="s">
        <v>2365</v>
      </c>
      <c r="AJ899" t="s">
        <v>2365</v>
      </c>
      <c r="AK899">
        <v>146</v>
      </c>
      <c r="AL899" t="s">
        <v>1199</v>
      </c>
      <c r="AM899">
        <v>146</v>
      </c>
      <c r="AN899" t="s">
        <v>1199</v>
      </c>
      <c r="AR899" t="s">
        <v>2365</v>
      </c>
      <c r="AS899" t="s">
        <v>2365</v>
      </c>
      <c r="AT899" t="s">
        <v>2365</v>
      </c>
      <c r="AU899" t="s">
        <v>2365</v>
      </c>
      <c r="AV899" t="s">
        <v>2365</v>
      </c>
      <c r="AW899" t="s">
        <v>2365</v>
      </c>
      <c r="AX899" t="s">
        <v>2365</v>
      </c>
      <c r="AY899" t="s">
        <v>2365</v>
      </c>
      <c r="AZ899" t="s">
        <v>2365</v>
      </c>
      <c r="BA899" t="s">
        <v>2365</v>
      </c>
      <c r="BB899" t="s">
        <v>2365</v>
      </c>
      <c r="BC899" t="s">
        <v>2365</v>
      </c>
      <c r="BD899" t="s">
        <v>2366</v>
      </c>
      <c r="BE899" t="s">
        <v>2365</v>
      </c>
      <c r="BF899" t="s">
        <v>2365</v>
      </c>
      <c r="BG899" t="s">
        <v>2365</v>
      </c>
      <c r="BH899" t="s">
        <v>2365</v>
      </c>
      <c r="BI899" t="s">
        <v>2366</v>
      </c>
      <c r="BJ899" t="s">
        <v>2365</v>
      </c>
      <c r="BK899" t="s">
        <v>2365</v>
      </c>
      <c r="BL899" t="s">
        <v>2365</v>
      </c>
      <c r="BM899" t="s">
        <v>2365</v>
      </c>
      <c r="BO899">
        <v>1</v>
      </c>
      <c r="BP899">
        <v>11</v>
      </c>
      <c r="BQ899" t="s">
        <v>2369</v>
      </c>
      <c r="BR899" t="s">
        <v>1487</v>
      </c>
      <c r="BU899">
        <v>0</v>
      </c>
      <c r="BV899">
        <v>0</v>
      </c>
      <c r="BW899">
        <v>0</v>
      </c>
      <c r="BX899">
        <v>0</v>
      </c>
      <c r="BY899">
        <v>0</v>
      </c>
      <c r="BZ899">
        <v>0</v>
      </c>
      <c r="CA899">
        <v>0</v>
      </c>
      <c r="CB899">
        <v>0</v>
      </c>
      <c r="CC899">
        <v>0</v>
      </c>
      <c r="CD899">
        <v>0</v>
      </c>
      <c r="CE899">
        <v>0</v>
      </c>
      <c r="CF899">
        <v>0</v>
      </c>
      <c r="CG899">
        <v>0</v>
      </c>
      <c r="CH899">
        <v>0</v>
      </c>
      <c r="CI899">
        <v>0</v>
      </c>
      <c r="CJ899">
        <v>0</v>
      </c>
      <c r="CK899">
        <v>0</v>
      </c>
      <c r="CL899">
        <v>0</v>
      </c>
      <c r="CM899">
        <v>0</v>
      </c>
      <c r="CR899" t="s">
        <v>2328</v>
      </c>
      <c r="CS899" s="1369" t="str">
        <f>INDEX([8]Sheet1!$H:$H,MATCH(CR:CR,[8]Sheet1!$AU:$AU,0))</f>
        <v>Water Distribution</v>
      </c>
    </row>
    <row r="900" spans="1:97" x14ac:dyDescent="0.2">
      <c r="A900" t="s">
        <v>3678</v>
      </c>
      <c r="B900">
        <v>953</v>
      </c>
      <c r="C900" t="s">
        <v>3678</v>
      </c>
      <c r="D900">
        <v>41684</v>
      </c>
      <c r="E900" t="s">
        <v>3679</v>
      </c>
      <c r="F900" t="s">
        <v>2364</v>
      </c>
      <c r="G900" t="s">
        <v>2364</v>
      </c>
      <c r="H900" t="s">
        <v>2365</v>
      </c>
      <c r="I900" t="s">
        <v>2365</v>
      </c>
      <c r="J900" t="s">
        <v>2365</v>
      </c>
      <c r="K900" t="s">
        <v>2365</v>
      </c>
      <c r="L900">
        <v>1200</v>
      </c>
      <c r="M900" t="s">
        <v>1480</v>
      </c>
      <c r="N900">
        <v>1204</v>
      </c>
      <c r="O900" t="s">
        <v>1487</v>
      </c>
      <c r="P900" t="s">
        <v>2366</v>
      </c>
      <c r="Q900" t="s">
        <v>2364</v>
      </c>
      <c r="R900" t="s">
        <v>2364</v>
      </c>
      <c r="S900" t="s">
        <v>553</v>
      </c>
      <c r="T900" t="s">
        <v>2175</v>
      </c>
      <c r="U900" t="s">
        <v>2366</v>
      </c>
      <c r="V900" t="s">
        <v>2366</v>
      </c>
      <c r="W900" t="s">
        <v>2366</v>
      </c>
      <c r="X900" t="s">
        <v>2366</v>
      </c>
      <c r="Y900" t="s">
        <v>2365</v>
      </c>
      <c r="Z900" t="s">
        <v>2365</v>
      </c>
      <c r="AA900" t="s">
        <v>2365</v>
      </c>
      <c r="AB900" t="s">
        <v>2365</v>
      </c>
      <c r="AC900" s="813" t="s">
        <v>2365</v>
      </c>
      <c r="AD900" s="813" t="s">
        <v>2365</v>
      </c>
      <c r="AE900" s="813" t="s">
        <v>2365</v>
      </c>
      <c r="AF900" t="s">
        <v>2365</v>
      </c>
      <c r="AG900" t="s">
        <v>2365</v>
      </c>
      <c r="AH900" t="s">
        <v>2365</v>
      </c>
      <c r="AI900" t="s">
        <v>2365</v>
      </c>
      <c r="AJ900" t="s">
        <v>2365</v>
      </c>
      <c r="AK900">
        <v>146</v>
      </c>
      <c r="AL900" t="s">
        <v>1199</v>
      </c>
      <c r="AM900">
        <v>146</v>
      </c>
      <c r="AN900" t="s">
        <v>1199</v>
      </c>
      <c r="AR900" t="s">
        <v>2365</v>
      </c>
      <c r="AS900" t="s">
        <v>2365</v>
      </c>
      <c r="AT900" t="s">
        <v>2365</v>
      </c>
      <c r="AU900" t="s">
        <v>2365</v>
      </c>
      <c r="AV900" t="s">
        <v>2365</v>
      </c>
      <c r="AW900" t="s">
        <v>2365</v>
      </c>
      <c r="AX900" t="s">
        <v>2365</v>
      </c>
      <c r="AY900" t="s">
        <v>2365</v>
      </c>
      <c r="AZ900" t="s">
        <v>2365</v>
      </c>
      <c r="BA900" t="s">
        <v>2365</v>
      </c>
      <c r="BB900" t="s">
        <v>2365</v>
      </c>
      <c r="BC900" t="s">
        <v>2365</v>
      </c>
      <c r="BD900" t="s">
        <v>2366</v>
      </c>
      <c r="BE900" t="s">
        <v>2365</v>
      </c>
      <c r="BF900" t="s">
        <v>2365</v>
      </c>
      <c r="BG900" t="s">
        <v>2365</v>
      </c>
      <c r="BH900" t="s">
        <v>2365</v>
      </c>
      <c r="BI900" t="s">
        <v>2366</v>
      </c>
      <c r="BJ900" t="s">
        <v>2365</v>
      </c>
      <c r="BK900" t="s">
        <v>2365</v>
      </c>
      <c r="BL900" t="s">
        <v>2365</v>
      </c>
      <c r="BM900" t="s">
        <v>2365</v>
      </c>
      <c r="BO900">
        <v>1</v>
      </c>
      <c r="BP900">
        <v>11</v>
      </c>
      <c r="BQ900" t="s">
        <v>2369</v>
      </c>
      <c r="BR900" t="s">
        <v>1487</v>
      </c>
      <c r="BU900">
        <v>0</v>
      </c>
      <c r="BV900">
        <v>0</v>
      </c>
      <c r="BW900">
        <v>0</v>
      </c>
      <c r="BX900">
        <v>0</v>
      </c>
      <c r="BY900">
        <v>0</v>
      </c>
      <c r="BZ900">
        <v>0</v>
      </c>
      <c r="CA900">
        <v>0</v>
      </c>
      <c r="CB900">
        <v>0</v>
      </c>
      <c r="CC900">
        <v>0</v>
      </c>
      <c r="CD900">
        <v>0</v>
      </c>
      <c r="CE900">
        <v>0</v>
      </c>
      <c r="CF900">
        <v>0</v>
      </c>
      <c r="CG900">
        <v>0</v>
      </c>
      <c r="CH900">
        <v>0</v>
      </c>
      <c r="CI900">
        <v>0</v>
      </c>
      <c r="CJ900">
        <v>0</v>
      </c>
      <c r="CK900">
        <v>0</v>
      </c>
      <c r="CL900">
        <v>0</v>
      </c>
      <c r="CM900">
        <v>0</v>
      </c>
      <c r="CR900" t="s">
        <v>2328</v>
      </c>
      <c r="CS900" s="1369" t="str">
        <f>INDEX([8]Sheet1!$H:$H,MATCH(CR:CR,[8]Sheet1!$AU:$AU,0))</f>
        <v>Water Distribution</v>
      </c>
    </row>
    <row r="901" spans="1:97" x14ac:dyDescent="0.2">
      <c r="A901" t="s">
        <v>3680</v>
      </c>
      <c r="B901">
        <v>954</v>
      </c>
      <c r="C901" t="s">
        <v>3680</v>
      </c>
      <c r="D901">
        <v>41685</v>
      </c>
      <c r="E901" t="s">
        <v>3681</v>
      </c>
      <c r="F901" t="s">
        <v>2364</v>
      </c>
      <c r="G901" t="s">
        <v>2364</v>
      </c>
      <c r="H901" t="s">
        <v>2365</v>
      </c>
      <c r="I901" t="s">
        <v>2365</v>
      </c>
      <c r="J901" t="s">
        <v>2365</v>
      </c>
      <c r="K901" t="s">
        <v>2365</v>
      </c>
      <c r="L901">
        <v>1200</v>
      </c>
      <c r="M901" t="s">
        <v>1480</v>
      </c>
      <c r="N901">
        <v>1204</v>
      </c>
      <c r="O901" t="s">
        <v>1487</v>
      </c>
      <c r="P901" t="s">
        <v>2366</v>
      </c>
      <c r="Q901" t="s">
        <v>2364</v>
      </c>
      <c r="R901" t="s">
        <v>2364</v>
      </c>
      <c r="S901" t="s">
        <v>553</v>
      </c>
      <c r="T901" t="s">
        <v>2175</v>
      </c>
      <c r="U901" t="s">
        <v>2366</v>
      </c>
      <c r="V901" t="s">
        <v>2366</v>
      </c>
      <c r="W901" t="s">
        <v>2366</v>
      </c>
      <c r="X901" t="s">
        <v>2366</v>
      </c>
      <c r="Y901" t="s">
        <v>2365</v>
      </c>
      <c r="Z901" t="s">
        <v>2365</v>
      </c>
      <c r="AA901" t="s">
        <v>2365</v>
      </c>
      <c r="AB901" t="s">
        <v>2365</v>
      </c>
      <c r="AC901" s="813" t="s">
        <v>2365</v>
      </c>
      <c r="AD901" s="813" t="s">
        <v>2365</v>
      </c>
      <c r="AE901" s="813" t="s">
        <v>2365</v>
      </c>
      <c r="AF901" t="s">
        <v>2365</v>
      </c>
      <c r="AG901" t="s">
        <v>2365</v>
      </c>
      <c r="AH901" t="s">
        <v>2365</v>
      </c>
      <c r="AI901" t="s">
        <v>2365</v>
      </c>
      <c r="AJ901" t="s">
        <v>2365</v>
      </c>
      <c r="AK901">
        <v>146</v>
      </c>
      <c r="AL901" t="s">
        <v>1199</v>
      </c>
      <c r="AM901">
        <v>146</v>
      </c>
      <c r="AN901" t="s">
        <v>1199</v>
      </c>
      <c r="AR901" t="s">
        <v>2365</v>
      </c>
      <c r="AS901" t="s">
        <v>2365</v>
      </c>
      <c r="AT901" t="s">
        <v>2365</v>
      </c>
      <c r="AU901" t="s">
        <v>2365</v>
      </c>
      <c r="AV901" t="s">
        <v>2365</v>
      </c>
      <c r="AW901" t="s">
        <v>2365</v>
      </c>
      <c r="AX901" t="s">
        <v>2365</v>
      </c>
      <c r="AY901" t="s">
        <v>2365</v>
      </c>
      <c r="AZ901" t="s">
        <v>2365</v>
      </c>
      <c r="BA901" t="s">
        <v>2365</v>
      </c>
      <c r="BB901" t="s">
        <v>2365</v>
      </c>
      <c r="BC901" t="s">
        <v>2365</v>
      </c>
      <c r="BD901" t="s">
        <v>2366</v>
      </c>
      <c r="BE901" t="s">
        <v>2365</v>
      </c>
      <c r="BF901" t="s">
        <v>2365</v>
      </c>
      <c r="BG901" t="s">
        <v>2365</v>
      </c>
      <c r="BH901" t="s">
        <v>2365</v>
      </c>
      <c r="BI901" t="s">
        <v>2366</v>
      </c>
      <c r="BJ901" t="s">
        <v>2365</v>
      </c>
      <c r="BK901" t="s">
        <v>2365</v>
      </c>
      <c r="BL901" t="s">
        <v>2365</v>
      </c>
      <c r="BM901" t="s">
        <v>2365</v>
      </c>
      <c r="BO901">
        <v>1</v>
      </c>
      <c r="BP901">
        <v>11</v>
      </c>
      <c r="BQ901" t="s">
        <v>2369</v>
      </c>
      <c r="BR901" t="s">
        <v>1487</v>
      </c>
      <c r="BU901">
        <v>0</v>
      </c>
      <c r="BV901">
        <v>0</v>
      </c>
      <c r="BW901">
        <v>0</v>
      </c>
      <c r="BX901">
        <v>0</v>
      </c>
      <c r="BY901">
        <v>0</v>
      </c>
      <c r="BZ901">
        <v>0</v>
      </c>
      <c r="CA901">
        <v>0</v>
      </c>
      <c r="CB901">
        <v>0</v>
      </c>
      <c r="CC901">
        <v>0</v>
      </c>
      <c r="CD901">
        <v>0</v>
      </c>
      <c r="CE901">
        <v>0</v>
      </c>
      <c r="CF901">
        <v>0</v>
      </c>
      <c r="CG901">
        <v>0</v>
      </c>
      <c r="CH901">
        <v>0</v>
      </c>
      <c r="CI901">
        <v>0</v>
      </c>
      <c r="CJ901">
        <v>0</v>
      </c>
      <c r="CK901">
        <v>0</v>
      </c>
      <c r="CL901">
        <v>0</v>
      </c>
      <c r="CM901">
        <v>0</v>
      </c>
      <c r="CR901" t="s">
        <v>2328</v>
      </c>
      <c r="CS901" s="1369" t="str">
        <f>INDEX([8]Sheet1!$H:$H,MATCH(CR:CR,[8]Sheet1!$AU:$AU,0))</f>
        <v>Water Distribution</v>
      </c>
    </row>
    <row r="902" spans="1:97" x14ac:dyDescent="0.2">
      <c r="A902" t="s">
        <v>3682</v>
      </c>
      <c r="B902">
        <v>955</v>
      </c>
      <c r="C902" t="s">
        <v>3682</v>
      </c>
      <c r="D902">
        <v>41686</v>
      </c>
      <c r="E902" t="s">
        <v>3683</v>
      </c>
      <c r="F902" t="s">
        <v>2364</v>
      </c>
      <c r="G902" t="s">
        <v>2364</v>
      </c>
      <c r="H902" t="s">
        <v>2365</v>
      </c>
      <c r="I902" t="s">
        <v>2365</v>
      </c>
      <c r="J902" t="s">
        <v>2365</v>
      </c>
      <c r="K902" t="s">
        <v>2365</v>
      </c>
      <c r="L902">
        <v>1200</v>
      </c>
      <c r="M902" t="s">
        <v>1480</v>
      </c>
      <c r="N902">
        <v>1204</v>
      </c>
      <c r="O902" t="s">
        <v>1487</v>
      </c>
      <c r="P902" t="s">
        <v>2366</v>
      </c>
      <c r="Q902" t="s">
        <v>2364</v>
      </c>
      <c r="R902" t="s">
        <v>2364</v>
      </c>
      <c r="S902" t="s">
        <v>553</v>
      </c>
      <c r="T902" t="s">
        <v>2175</v>
      </c>
      <c r="U902" t="s">
        <v>2366</v>
      </c>
      <c r="V902" t="s">
        <v>2366</v>
      </c>
      <c r="W902" t="s">
        <v>2366</v>
      </c>
      <c r="X902" t="s">
        <v>2366</v>
      </c>
      <c r="Y902" t="s">
        <v>2365</v>
      </c>
      <c r="Z902" t="s">
        <v>2365</v>
      </c>
      <c r="AA902" t="s">
        <v>2365</v>
      </c>
      <c r="AB902" t="s">
        <v>2365</v>
      </c>
      <c r="AC902" s="813" t="s">
        <v>2365</v>
      </c>
      <c r="AD902" s="813" t="s">
        <v>2365</v>
      </c>
      <c r="AE902" s="813" t="s">
        <v>2365</v>
      </c>
      <c r="AF902" t="s">
        <v>2365</v>
      </c>
      <c r="AG902" t="s">
        <v>2365</v>
      </c>
      <c r="AH902" t="s">
        <v>2365</v>
      </c>
      <c r="AI902" t="s">
        <v>2365</v>
      </c>
      <c r="AJ902" t="s">
        <v>2365</v>
      </c>
      <c r="AK902">
        <v>146</v>
      </c>
      <c r="AL902" t="s">
        <v>1199</v>
      </c>
      <c r="AM902">
        <v>146</v>
      </c>
      <c r="AN902" t="s">
        <v>1199</v>
      </c>
      <c r="AR902" t="s">
        <v>2365</v>
      </c>
      <c r="AS902" t="s">
        <v>2365</v>
      </c>
      <c r="AT902" t="s">
        <v>2365</v>
      </c>
      <c r="AU902" t="s">
        <v>2365</v>
      </c>
      <c r="AV902" t="s">
        <v>2365</v>
      </c>
      <c r="AW902" t="s">
        <v>2365</v>
      </c>
      <c r="AX902" t="s">
        <v>2365</v>
      </c>
      <c r="AY902" t="s">
        <v>2365</v>
      </c>
      <c r="AZ902" t="s">
        <v>2365</v>
      </c>
      <c r="BA902" t="s">
        <v>2365</v>
      </c>
      <c r="BB902" t="s">
        <v>2365</v>
      </c>
      <c r="BC902" t="s">
        <v>2365</v>
      </c>
      <c r="BD902" t="s">
        <v>2366</v>
      </c>
      <c r="BE902" t="s">
        <v>2365</v>
      </c>
      <c r="BF902" t="s">
        <v>2365</v>
      </c>
      <c r="BG902" t="s">
        <v>2365</v>
      </c>
      <c r="BH902" t="s">
        <v>2365</v>
      </c>
      <c r="BI902" t="s">
        <v>2366</v>
      </c>
      <c r="BJ902" t="s">
        <v>2365</v>
      </c>
      <c r="BK902" t="s">
        <v>2365</v>
      </c>
      <c r="BL902" t="s">
        <v>2365</v>
      </c>
      <c r="BM902" t="s">
        <v>2365</v>
      </c>
      <c r="BO902">
        <v>1</v>
      </c>
      <c r="BP902">
        <v>11</v>
      </c>
      <c r="BQ902" t="s">
        <v>2369</v>
      </c>
      <c r="BR902" t="s">
        <v>1487</v>
      </c>
      <c r="BU902">
        <v>0</v>
      </c>
      <c r="BV902">
        <v>0</v>
      </c>
      <c r="BW902">
        <v>0</v>
      </c>
      <c r="BX902">
        <v>0</v>
      </c>
      <c r="BY902">
        <v>0</v>
      </c>
      <c r="BZ902">
        <v>0</v>
      </c>
      <c r="CA902">
        <v>0</v>
      </c>
      <c r="CB902">
        <v>0</v>
      </c>
      <c r="CC902">
        <v>0</v>
      </c>
      <c r="CD902">
        <v>0</v>
      </c>
      <c r="CE902">
        <v>0</v>
      </c>
      <c r="CF902">
        <v>0</v>
      </c>
      <c r="CG902">
        <v>0</v>
      </c>
      <c r="CH902">
        <v>0</v>
      </c>
      <c r="CI902">
        <v>0</v>
      </c>
      <c r="CJ902">
        <v>0</v>
      </c>
      <c r="CK902">
        <v>0</v>
      </c>
      <c r="CL902">
        <v>0</v>
      </c>
      <c r="CM902">
        <v>0</v>
      </c>
      <c r="CR902" t="s">
        <v>2320</v>
      </c>
      <c r="CS902" s="1369" t="str">
        <f>INDEX([8]Sheet1!$H:$H,MATCH(CR:CR,[8]Sheet1!$AU:$AU,0))</f>
        <v>Administrative and Corporate Support</v>
      </c>
    </row>
    <row r="903" spans="1:97" x14ac:dyDescent="0.2">
      <c r="A903" t="s">
        <v>3684</v>
      </c>
      <c r="B903">
        <v>956</v>
      </c>
      <c r="C903" t="s">
        <v>3684</v>
      </c>
      <c r="D903">
        <v>41687</v>
      </c>
      <c r="E903" t="s">
        <v>3685</v>
      </c>
      <c r="F903" t="s">
        <v>2364</v>
      </c>
      <c r="G903" t="s">
        <v>2364</v>
      </c>
      <c r="H903" t="s">
        <v>2365</v>
      </c>
      <c r="I903" t="s">
        <v>2365</v>
      </c>
      <c r="J903" t="s">
        <v>2365</v>
      </c>
      <c r="K903" t="s">
        <v>2365</v>
      </c>
      <c r="L903">
        <v>1200</v>
      </c>
      <c r="M903" t="s">
        <v>1480</v>
      </c>
      <c r="N903">
        <v>1204</v>
      </c>
      <c r="O903" t="s">
        <v>1487</v>
      </c>
      <c r="P903" t="s">
        <v>2366</v>
      </c>
      <c r="Q903" t="s">
        <v>2364</v>
      </c>
      <c r="R903" t="s">
        <v>2364</v>
      </c>
      <c r="S903" t="s">
        <v>553</v>
      </c>
      <c r="T903" t="s">
        <v>2175</v>
      </c>
      <c r="U903" t="s">
        <v>2366</v>
      </c>
      <c r="V903" t="s">
        <v>2366</v>
      </c>
      <c r="W903" t="s">
        <v>2366</v>
      </c>
      <c r="X903" t="s">
        <v>2366</v>
      </c>
      <c r="Y903" t="s">
        <v>2365</v>
      </c>
      <c r="Z903" t="s">
        <v>2365</v>
      </c>
      <c r="AA903" t="s">
        <v>2365</v>
      </c>
      <c r="AB903" t="s">
        <v>2365</v>
      </c>
      <c r="AC903" s="813" t="s">
        <v>2365</v>
      </c>
      <c r="AD903" s="813" t="s">
        <v>2365</v>
      </c>
      <c r="AE903" s="813" t="s">
        <v>2365</v>
      </c>
      <c r="AF903" t="s">
        <v>2365</v>
      </c>
      <c r="AG903" t="s">
        <v>2365</v>
      </c>
      <c r="AH903" t="s">
        <v>2365</v>
      </c>
      <c r="AI903" t="s">
        <v>2365</v>
      </c>
      <c r="AJ903" t="s">
        <v>2365</v>
      </c>
      <c r="AK903">
        <v>146</v>
      </c>
      <c r="AL903" t="s">
        <v>1199</v>
      </c>
      <c r="AM903">
        <v>146</v>
      </c>
      <c r="AN903" t="s">
        <v>1199</v>
      </c>
      <c r="AR903" t="s">
        <v>2365</v>
      </c>
      <c r="AS903" t="s">
        <v>2365</v>
      </c>
      <c r="AT903" t="s">
        <v>2365</v>
      </c>
      <c r="AU903" t="s">
        <v>2365</v>
      </c>
      <c r="AV903" t="s">
        <v>2365</v>
      </c>
      <c r="AW903" t="s">
        <v>2365</v>
      </c>
      <c r="AX903" t="s">
        <v>2365</v>
      </c>
      <c r="AY903" t="s">
        <v>2365</v>
      </c>
      <c r="AZ903" t="s">
        <v>2365</v>
      </c>
      <c r="BA903" t="s">
        <v>2365</v>
      </c>
      <c r="BB903" t="s">
        <v>2365</v>
      </c>
      <c r="BC903" t="s">
        <v>2365</v>
      </c>
      <c r="BD903" t="s">
        <v>2366</v>
      </c>
      <c r="BE903" t="s">
        <v>2365</v>
      </c>
      <c r="BF903" t="s">
        <v>2365</v>
      </c>
      <c r="BG903" t="s">
        <v>2365</v>
      </c>
      <c r="BH903" t="s">
        <v>2365</v>
      </c>
      <c r="BI903" t="s">
        <v>2366</v>
      </c>
      <c r="BJ903" t="s">
        <v>2365</v>
      </c>
      <c r="BK903" t="s">
        <v>2365</v>
      </c>
      <c r="BL903" t="s">
        <v>2365</v>
      </c>
      <c r="BM903" t="s">
        <v>2365</v>
      </c>
      <c r="BO903">
        <v>1</v>
      </c>
      <c r="BP903">
        <v>11</v>
      </c>
      <c r="BQ903" t="s">
        <v>2369</v>
      </c>
      <c r="BR903" t="s">
        <v>1487</v>
      </c>
      <c r="BU903">
        <v>0</v>
      </c>
      <c r="BV903">
        <v>0</v>
      </c>
      <c r="BW903">
        <v>0</v>
      </c>
      <c r="BX903">
        <v>0</v>
      </c>
      <c r="BY903">
        <v>0</v>
      </c>
      <c r="BZ903">
        <v>0</v>
      </c>
      <c r="CA903">
        <v>0</v>
      </c>
      <c r="CB903">
        <v>0</v>
      </c>
      <c r="CC903">
        <v>0</v>
      </c>
      <c r="CD903">
        <v>0</v>
      </c>
      <c r="CE903">
        <v>0</v>
      </c>
      <c r="CF903">
        <v>0</v>
      </c>
      <c r="CG903">
        <v>0</v>
      </c>
      <c r="CH903">
        <v>0</v>
      </c>
      <c r="CI903">
        <v>0</v>
      </c>
      <c r="CJ903">
        <v>0</v>
      </c>
      <c r="CK903">
        <v>0</v>
      </c>
      <c r="CL903">
        <v>0</v>
      </c>
      <c r="CM903">
        <v>0</v>
      </c>
      <c r="CR903" t="s">
        <v>2320</v>
      </c>
      <c r="CS903" s="1369" t="str">
        <f>INDEX([8]Sheet1!$H:$H,MATCH(CR:CR,[8]Sheet1!$AU:$AU,0))</f>
        <v>Administrative and Corporate Support</v>
      </c>
    </row>
    <row r="904" spans="1:97" x14ac:dyDescent="0.2">
      <c r="A904" t="s">
        <v>3686</v>
      </c>
      <c r="B904">
        <v>957</v>
      </c>
      <c r="C904" t="s">
        <v>3686</v>
      </c>
      <c r="D904">
        <v>41688</v>
      </c>
      <c r="E904" t="s">
        <v>3687</v>
      </c>
      <c r="F904" t="s">
        <v>2364</v>
      </c>
      <c r="G904" t="s">
        <v>2364</v>
      </c>
      <c r="H904" t="s">
        <v>2365</v>
      </c>
      <c r="I904" t="s">
        <v>2365</v>
      </c>
      <c r="J904" t="s">
        <v>2365</v>
      </c>
      <c r="K904" t="s">
        <v>2365</v>
      </c>
      <c r="L904">
        <v>1200</v>
      </c>
      <c r="M904" t="s">
        <v>1480</v>
      </c>
      <c r="N904">
        <v>1204</v>
      </c>
      <c r="O904" t="s">
        <v>1487</v>
      </c>
      <c r="P904" t="s">
        <v>2366</v>
      </c>
      <c r="Q904" t="s">
        <v>2364</v>
      </c>
      <c r="R904" t="s">
        <v>2364</v>
      </c>
      <c r="S904" t="s">
        <v>553</v>
      </c>
      <c r="T904" t="s">
        <v>2175</v>
      </c>
      <c r="U904">
        <v>140</v>
      </c>
      <c r="V904" t="s">
        <v>693</v>
      </c>
      <c r="W904">
        <v>140</v>
      </c>
      <c r="X904" t="s">
        <v>693</v>
      </c>
      <c r="Y904" t="s">
        <v>2365</v>
      </c>
      <c r="Z904" t="s">
        <v>2365</v>
      </c>
      <c r="AA904" t="s">
        <v>2365</v>
      </c>
      <c r="AB904" t="s">
        <v>2365</v>
      </c>
      <c r="AC904" s="813" t="s">
        <v>2365</v>
      </c>
      <c r="AD904" s="813" t="s">
        <v>2365</v>
      </c>
      <c r="AE904" s="813" t="s">
        <v>2365</v>
      </c>
      <c r="AF904" t="s">
        <v>2365</v>
      </c>
      <c r="AG904" t="s">
        <v>2365</v>
      </c>
      <c r="AH904" t="s">
        <v>2365</v>
      </c>
      <c r="AI904" t="s">
        <v>2365</v>
      </c>
      <c r="AJ904" t="s">
        <v>2365</v>
      </c>
      <c r="AK904" t="s">
        <v>2366</v>
      </c>
      <c r="AL904" t="s">
        <v>2366</v>
      </c>
      <c r="AM904" t="s">
        <v>2366</v>
      </c>
      <c r="AN904" t="s">
        <v>2366</v>
      </c>
      <c r="AR904" t="s">
        <v>2365</v>
      </c>
      <c r="AS904" t="s">
        <v>2365</v>
      </c>
      <c r="AT904" t="s">
        <v>2365</v>
      </c>
      <c r="AU904" t="s">
        <v>2365</v>
      </c>
      <c r="AV904" t="s">
        <v>2365</v>
      </c>
      <c r="AW904" t="s">
        <v>2365</v>
      </c>
      <c r="AX904" t="s">
        <v>2365</v>
      </c>
      <c r="AY904" t="s">
        <v>2365</v>
      </c>
      <c r="AZ904" t="s">
        <v>2365</v>
      </c>
      <c r="BA904" t="s">
        <v>2365</v>
      </c>
      <c r="BB904" t="s">
        <v>2365</v>
      </c>
      <c r="BC904" t="s">
        <v>2365</v>
      </c>
      <c r="BD904" t="s">
        <v>2366</v>
      </c>
      <c r="BE904" t="s">
        <v>2365</v>
      </c>
      <c r="BF904" t="s">
        <v>2365</v>
      </c>
      <c r="BG904" t="s">
        <v>2365</v>
      </c>
      <c r="BH904" t="s">
        <v>2365</v>
      </c>
      <c r="BI904" t="s">
        <v>2366</v>
      </c>
      <c r="BJ904" t="s">
        <v>2365</v>
      </c>
      <c r="BK904" t="s">
        <v>2365</v>
      </c>
      <c r="BL904" t="s">
        <v>2365</v>
      </c>
      <c r="BM904" t="s">
        <v>2365</v>
      </c>
      <c r="BO904">
        <v>1</v>
      </c>
      <c r="BP904">
        <v>11</v>
      </c>
      <c r="BQ904" t="s">
        <v>2369</v>
      </c>
      <c r="BR904" t="s">
        <v>1487</v>
      </c>
      <c r="BU904">
        <v>0</v>
      </c>
      <c r="BV904">
        <v>0</v>
      </c>
      <c r="BW904">
        <v>0</v>
      </c>
      <c r="BX904">
        <v>0</v>
      </c>
      <c r="BY904">
        <v>0</v>
      </c>
      <c r="BZ904">
        <v>0</v>
      </c>
      <c r="CA904">
        <v>0</v>
      </c>
      <c r="CB904">
        <v>0</v>
      </c>
      <c r="CC904">
        <v>0</v>
      </c>
      <c r="CD904">
        <v>0</v>
      </c>
      <c r="CE904">
        <v>0</v>
      </c>
      <c r="CF904">
        <v>0</v>
      </c>
      <c r="CG904">
        <v>0</v>
      </c>
      <c r="CH904">
        <v>0</v>
      </c>
      <c r="CI904">
        <v>0</v>
      </c>
      <c r="CJ904">
        <v>0</v>
      </c>
      <c r="CK904">
        <v>0</v>
      </c>
      <c r="CL904">
        <v>0</v>
      </c>
      <c r="CM904">
        <v>0</v>
      </c>
      <c r="CR904" t="s">
        <v>2335</v>
      </c>
      <c r="CS904" s="1369" t="str">
        <f>INDEX([8]Sheet1!$H:$H,MATCH(CR:CR,[8]Sheet1!$AU:$AU,0))</f>
        <v>Economic Development/Planning</v>
      </c>
    </row>
    <row r="905" spans="1:97" x14ac:dyDescent="0.2">
      <c r="A905" t="s">
        <v>3688</v>
      </c>
      <c r="B905">
        <v>958</v>
      </c>
      <c r="C905" t="s">
        <v>3688</v>
      </c>
      <c r="D905">
        <v>41689</v>
      </c>
      <c r="E905" t="s">
        <v>3689</v>
      </c>
      <c r="F905" t="s">
        <v>2364</v>
      </c>
      <c r="G905" t="s">
        <v>2364</v>
      </c>
      <c r="H905" t="s">
        <v>2365</v>
      </c>
      <c r="I905" t="s">
        <v>2365</v>
      </c>
      <c r="J905" t="s">
        <v>2365</v>
      </c>
      <c r="K905" t="s">
        <v>2365</v>
      </c>
      <c r="L905">
        <v>1200</v>
      </c>
      <c r="M905" t="s">
        <v>1480</v>
      </c>
      <c r="N905">
        <v>1204</v>
      </c>
      <c r="O905" t="s">
        <v>1487</v>
      </c>
      <c r="P905" t="s">
        <v>2366</v>
      </c>
      <c r="Q905" t="s">
        <v>2364</v>
      </c>
      <c r="R905" t="s">
        <v>2364</v>
      </c>
      <c r="S905" t="s">
        <v>553</v>
      </c>
      <c r="T905" t="s">
        <v>2175</v>
      </c>
      <c r="U905" t="s">
        <v>2366</v>
      </c>
      <c r="V905" t="s">
        <v>2366</v>
      </c>
      <c r="W905" t="s">
        <v>2366</v>
      </c>
      <c r="X905" t="s">
        <v>2366</v>
      </c>
      <c r="Y905" t="s">
        <v>2365</v>
      </c>
      <c r="Z905" t="s">
        <v>2365</v>
      </c>
      <c r="AA905" t="s">
        <v>2365</v>
      </c>
      <c r="AB905" t="s">
        <v>2365</v>
      </c>
      <c r="AC905" s="813" t="s">
        <v>2365</v>
      </c>
      <c r="AD905" s="813" t="s">
        <v>2365</v>
      </c>
      <c r="AE905" s="813" t="s">
        <v>2365</v>
      </c>
      <c r="AF905" t="s">
        <v>2365</v>
      </c>
      <c r="AG905" t="s">
        <v>2365</v>
      </c>
      <c r="AH905" t="s">
        <v>2365</v>
      </c>
      <c r="AI905" t="s">
        <v>2365</v>
      </c>
      <c r="AJ905" t="s">
        <v>2365</v>
      </c>
      <c r="AK905">
        <v>146</v>
      </c>
      <c r="AL905" t="s">
        <v>1199</v>
      </c>
      <c r="AM905">
        <v>146</v>
      </c>
      <c r="AN905" t="s">
        <v>1199</v>
      </c>
      <c r="AR905" t="s">
        <v>2365</v>
      </c>
      <c r="AS905" t="s">
        <v>2365</v>
      </c>
      <c r="AT905" t="s">
        <v>2365</v>
      </c>
      <c r="AU905" t="s">
        <v>2365</v>
      </c>
      <c r="AV905" t="s">
        <v>2365</v>
      </c>
      <c r="AW905" t="s">
        <v>2365</v>
      </c>
      <c r="AX905" t="s">
        <v>2365</v>
      </c>
      <c r="AY905" t="s">
        <v>2365</v>
      </c>
      <c r="AZ905" t="s">
        <v>2365</v>
      </c>
      <c r="BA905" t="s">
        <v>2365</v>
      </c>
      <c r="BB905" t="s">
        <v>2365</v>
      </c>
      <c r="BC905" t="s">
        <v>2365</v>
      </c>
      <c r="BD905" t="s">
        <v>2366</v>
      </c>
      <c r="BE905" t="s">
        <v>2365</v>
      </c>
      <c r="BF905" t="s">
        <v>2365</v>
      </c>
      <c r="BG905" t="s">
        <v>2365</v>
      </c>
      <c r="BH905" t="s">
        <v>2365</v>
      </c>
      <c r="BI905" t="s">
        <v>2366</v>
      </c>
      <c r="BJ905" t="s">
        <v>2365</v>
      </c>
      <c r="BK905" t="s">
        <v>2365</v>
      </c>
      <c r="BL905" t="s">
        <v>2365</v>
      </c>
      <c r="BM905" t="s">
        <v>2365</v>
      </c>
      <c r="BO905">
        <v>1</v>
      </c>
      <c r="BP905">
        <v>11</v>
      </c>
      <c r="BQ905" t="s">
        <v>2369</v>
      </c>
      <c r="BR905" t="s">
        <v>1487</v>
      </c>
      <c r="BU905">
        <v>0</v>
      </c>
      <c r="BV905">
        <v>0</v>
      </c>
      <c r="BW905">
        <v>0</v>
      </c>
      <c r="BX905">
        <v>0</v>
      </c>
      <c r="BY905">
        <v>0</v>
      </c>
      <c r="BZ905">
        <v>0</v>
      </c>
      <c r="CA905">
        <v>0</v>
      </c>
      <c r="CB905">
        <v>0</v>
      </c>
      <c r="CC905">
        <v>0</v>
      </c>
      <c r="CD905">
        <v>0</v>
      </c>
      <c r="CE905">
        <v>0</v>
      </c>
      <c r="CF905">
        <v>0</v>
      </c>
      <c r="CG905">
        <v>0</v>
      </c>
      <c r="CH905">
        <v>0</v>
      </c>
      <c r="CI905">
        <v>0</v>
      </c>
      <c r="CJ905">
        <v>0</v>
      </c>
      <c r="CK905">
        <v>0</v>
      </c>
      <c r="CL905">
        <v>0</v>
      </c>
      <c r="CM905">
        <v>0</v>
      </c>
      <c r="CR905" t="s">
        <v>2335</v>
      </c>
      <c r="CS905" s="1369" t="str">
        <f>INDEX([8]Sheet1!$H:$H,MATCH(CR:CR,[8]Sheet1!$AU:$AU,0))</f>
        <v>Economic Development/Planning</v>
      </c>
    </row>
    <row r="906" spans="1:97" x14ac:dyDescent="0.2">
      <c r="A906" t="s">
        <v>3690</v>
      </c>
      <c r="B906">
        <v>959</v>
      </c>
      <c r="C906" t="s">
        <v>3690</v>
      </c>
      <c r="D906">
        <v>41690</v>
      </c>
      <c r="E906" t="s">
        <v>3691</v>
      </c>
      <c r="F906" t="s">
        <v>2364</v>
      </c>
      <c r="G906" t="s">
        <v>2364</v>
      </c>
      <c r="H906" t="s">
        <v>2365</v>
      </c>
      <c r="I906" t="s">
        <v>2365</v>
      </c>
      <c r="J906" t="s">
        <v>2365</v>
      </c>
      <c r="K906" t="s">
        <v>2365</v>
      </c>
      <c r="L906">
        <v>1200</v>
      </c>
      <c r="M906" t="s">
        <v>1480</v>
      </c>
      <c r="N906">
        <v>1204</v>
      </c>
      <c r="O906" t="s">
        <v>1487</v>
      </c>
      <c r="P906" t="s">
        <v>2366</v>
      </c>
      <c r="Q906" t="s">
        <v>2364</v>
      </c>
      <c r="R906" t="s">
        <v>2364</v>
      </c>
      <c r="S906" t="s">
        <v>553</v>
      </c>
      <c r="T906" t="s">
        <v>2175</v>
      </c>
      <c r="U906">
        <v>140</v>
      </c>
      <c r="V906" t="s">
        <v>693</v>
      </c>
      <c r="W906">
        <v>140</v>
      </c>
      <c r="X906" t="s">
        <v>693</v>
      </c>
      <c r="Y906" t="s">
        <v>2365</v>
      </c>
      <c r="Z906" t="s">
        <v>2365</v>
      </c>
      <c r="AA906" t="s">
        <v>2365</v>
      </c>
      <c r="AB906" t="s">
        <v>2365</v>
      </c>
      <c r="AC906" s="813" t="s">
        <v>2365</v>
      </c>
      <c r="AD906" s="813" t="s">
        <v>2365</v>
      </c>
      <c r="AE906" s="813" t="s">
        <v>2365</v>
      </c>
      <c r="AF906" t="s">
        <v>2365</v>
      </c>
      <c r="AG906" t="s">
        <v>2365</v>
      </c>
      <c r="AH906" t="s">
        <v>2365</v>
      </c>
      <c r="AI906" t="s">
        <v>2365</v>
      </c>
      <c r="AJ906" t="s">
        <v>2365</v>
      </c>
      <c r="AK906" t="s">
        <v>2366</v>
      </c>
      <c r="AL906" t="s">
        <v>2366</v>
      </c>
      <c r="AM906" t="s">
        <v>2366</v>
      </c>
      <c r="AN906" t="s">
        <v>2366</v>
      </c>
      <c r="AR906" t="s">
        <v>2365</v>
      </c>
      <c r="AS906" t="s">
        <v>2365</v>
      </c>
      <c r="AT906" t="s">
        <v>2365</v>
      </c>
      <c r="AU906" t="s">
        <v>2365</v>
      </c>
      <c r="AV906" t="s">
        <v>2365</v>
      </c>
      <c r="AW906" t="s">
        <v>2365</v>
      </c>
      <c r="AX906" t="s">
        <v>2365</v>
      </c>
      <c r="AY906" t="s">
        <v>2365</v>
      </c>
      <c r="AZ906" t="s">
        <v>2365</v>
      </c>
      <c r="BA906" t="s">
        <v>2365</v>
      </c>
      <c r="BB906" t="s">
        <v>2365</v>
      </c>
      <c r="BC906" t="s">
        <v>2365</v>
      </c>
      <c r="BD906" t="s">
        <v>2366</v>
      </c>
      <c r="BE906" t="s">
        <v>2365</v>
      </c>
      <c r="BF906" t="s">
        <v>2365</v>
      </c>
      <c r="BG906" t="s">
        <v>2365</v>
      </c>
      <c r="BH906" t="s">
        <v>2365</v>
      </c>
      <c r="BI906" t="s">
        <v>2366</v>
      </c>
      <c r="BJ906" t="s">
        <v>2365</v>
      </c>
      <c r="BK906" t="s">
        <v>2365</v>
      </c>
      <c r="BL906" t="s">
        <v>2365</v>
      </c>
      <c r="BM906" t="s">
        <v>2365</v>
      </c>
      <c r="BO906">
        <v>1</v>
      </c>
      <c r="BP906">
        <v>11</v>
      </c>
      <c r="BQ906" t="s">
        <v>2369</v>
      </c>
      <c r="BR906" t="s">
        <v>1487</v>
      </c>
      <c r="BU906">
        <v>0</v>
      </c>
      <c r="BV906">
        <v>0</v>
      </c>
      <c r="BW906">
        <v>0</v>
      </c>
      <c r="BX906">
        <v>0</v>
      </c>
      <c r="BY906">
        <v>0</v>
      </c>
      <c r="BZ906">
        <v>0</v>
      </c>
      <c r="CA906">
        <v>0</v>
      </c>
      <c r="CB906">
        <v>0</v>
      </c>
      <c r="CC906">
        <v>0</v>
      </c>
      <c r="CD906">
        <v>0</v>
      </c>
      <c r="CE906">
        <v>0</v>
      </c>
      <c r="CF906">
        <v>0</v>
      </c>
      <c r="CG906">
        <v>0</v>
      </c>
      <c r="CH906">
        <v>0</v>
      </c>
      <c r="CI906">
        <v>0</v>
      </c>
      <c r="CJ906">
        <v>0</v>
      </c>
      <c r="CK906">
        <v>0</v>
      </c>
      <c r="CL906">
        <v>0</v>
      </c>
      <c r="CM906">
        <v>0</v>
      </c>
      <c r="CR906" t="s">
        <v>2320</v>
      </c>
      <c r="CS906" s="1369" t="str">
        <f>INDEX([8]Sheet1!$H:$H,MATCH(CR:CR,[8]Sheet1!$AU:$AU,0))</f>
        <v>Administrative and Corporate Support</v>
      </c>
    </row>
    <row r="907" spans="1:97" x14ac:dyDescent="0.2">
      <c r="A907" t="s">
        <v>3692</v>
      </c>
      <c r="B907">
        <v>960</v>
      </c>
      <c r="C907" t="s">
        <v>3692</v>
      </c>
      <c r="D907">
        <v>41691</v>
      </c>
      <c r="E907" t="s">
        <v>3693</v>
      </c>
      <c r="F907" t="s">
        <v>2364</v>
      </c>
      <c r="G907" t="s">
        <v>2364</v>
      </c>
      <c r="H907" t="s">
        <v>2365</v>
      </c>
      <c r="I907" t="s">
        <v>2365</v>
      </c>
      <c r="J907" t="s">
        <v>2365</v>
      </c>
      <c r="K907" t="s">
        <v>2365</v>
      </c>
      <c r="L907">
        <v>1200</v>
      </c>
      <c r="M907" t="s">
        <v>1480</v>
      </c>
      <c r="N907">
        <v>1204</v>
      </c>
      <c r="O907" t="s">
        <v>1487</v>
      </c>
      <c r="P907" t="s">
        <v>2366</v>
      </c>
      <c r="Q907" t="s">
        <v>2364</v>
      </c>
      <c r="R907" t="s">
        <v>2364</v>
      </c>
      <c r="S907" t="s">
        <v>553</v>
      </c>
      <c r="T907" t="s">
        <v>2175</v>
      </c>
      <c r="U907" t="s">
        <v>2366</v>
      </c>
      <c r="V907" t="s">
        <v>2366</v>
      </c>
      <c r="W907" t="s">
        <v>2366</v>
      </c>
      <c r="X907" t="s">
        <v>2366</v>
      </c>
      <c r="Y907" t="s">
        <v>2365</v>
      </c>
      <c r="Z907" t="s">
        <v>2365</v>
      </c>
      <c r="AA907" t="s">
        <v>2365</v>
      </c>
      <c r="AB907" t="s">
        <v>2365</v>
      </c>
      <c r="AC907" s="813" t="s">
        <v>2365</v>
      </c>
      <c r="AD907" s="813" t="s">
        <v>2365</v>
      </c>
      <c r="AE907" s="813" t="s">
        <v>2365</v>
      </c>
      <c r="AF907" t="s">
        <v>2365</v>
      </c>
      <c r="AG907" t="s">
        <v>2365</v>
      </c>
      <c r="AH907" t="s">
        <v>2365</v>
      </c>
      <c r="AI907" t="s">
        <v>2365</v>
      </c>
      <c r="AJ907" t="s">
        <v>2365</v>
      </c>
      <c r="AK907">
        <v>146</v>
      </c>
      <c r="AL907" t="s">
        <v>1199</v>
      </c>
      <c r="AM907">
        <v>146</v>
      </c>
      <c r="AN907" t="s">
        <v>1199</v>
      </c>
      <c r="AR907" t="s">
        <v>2365</v>
      </c>
      <c r="AS907" t="s">
        <v>2365</v>
      </c>
      <c r="AT907" t="s">
        <v>2365</v>
      </c>
      <c r="AU907" t="s">
        <v>2365</v>
      </c>
      <c r="AV907" t="s">
        <v>2365</v>
      </c>
      <c r="AW907" t="s">
        <v>2365</v>
      </c>
      <c r="AX907" t="s">
        <v>2365</v>
      </c>
      <c r="AY907" t="s">
        <v>2365</v>
      </c>
      <c r="AZ907" t="s">
        <v>2365</v>
      </c>
      <c r="BA907" t="s">
        <v>2365</v>
      </c>
      <c r="BB907" t="s">
        <v>2365</v>
      </c>
      <c r="BC907" t="s">
        <v>2365</v>
      </c>
      <c r="BD907" t="s">
        <v>2366</v>
      </c>
      <c r="BE907" t="s">
        <v>2365</v>
      </c>
      <c r="BF907" t="s">
        <v>2365</v>
      </c>
      <c r="BG907" t="s">
        <v>2365</v>
      </c>
      <c r="BH907" t="s">
        <v>2365</v>
      </c>
      <c r="BI907" t="s">
        <v>2366</v>
      </c>
      <c r="BJ907" t="s">
        <v>2365</v>
      </c>
      <c r="BK907" t="s">
        <v>2365</v>
      </c>
      <c r="BL907" t="s">
        <v>2365</v>
      </c>
      <c r="BM907" t="s">
        <v>2365</v>
      </c>
      <c r="BO907">
        <v>1</v>
      </c>
      <c r="BP907">
        <v>11</v>
      </c>
      <c r="BQ907" t="s">
        <v>2369</v>
      </c>
      <c r="BR907" t="s">
        <v>1487</v>
      </c>
      <c r="BU907">
        <v>0</v>
      </c>
      <c r="BV907">
        <v>0</v>
      </c>
      <c r="BW907">
        <v>0</v>
      </c>
      <c r="BX907">
        <v>0</v>
      </c>
      <c r="BY907">
        <v>0</v>
      </c>
      <c r="BZ907">
        <v>0</v>
      </c>
      <c r="CA907">
        <v>0</v>
      </c>
      <c r="CB907">
        <v>0</v>
      </c>
      <c r="CC907">
        <v>0</v>
      </c>
      <c r="CD907">
        <v>0</v>
      </c>
      <c r="CE907">
        <v>0</v>
      </c>
      <c r="CF907">
        <v>0</v>
      </c>
      <c r="CG907">
        <v>0</v>
      </c>
      <c r="CH907">
        <v>0</v>
      </c>
      <c r="CI907">
        <v>0</v>
      </c>
      <c r="CJ907">
        <v>0</v>
      </c>
      <c r="CK907">
        <v>0</v>
      </c>
      <c r="CL907">
        <v>0</v>
      </c>
      <c r="CM907">
        <v>0</v>
      </c>
      <c r="CR907" t="s">
        <v>2324</v>
      </c>
      <c r="CS907" s="1369" t="str">
        <f>INDEX([8]Sheet1!$H:$H,MATCH(CR:CR,[8]Sheet1!$AU:$AU,0))</f>
        <v>Finance</v>
      </c>
    </row>
    <row r="908" spans="1:97" x14ac:dyDescent="0.2">
      <c r="A908" t="s">
        <v>3694</v>
      </c>
      <c r="B908">
        <v>961</v>
      </c>
      <c r="C908" t="s">
        <v>3694</v>
      </c>
      <c r="D908">
        <v>41692</v>
      </c>
      <c r="E908" t="s">
        <v>3695</v>
      </c>
      <c r="F908" t="s">
        <v>2364</v>
      </c>
      <c r="G908" t="s">
        <v>2364</v>
      </c>
      <c r="H908" t="s">
        <v>2365</v>
      </c>
      <c r="I908" t="s">
        <v>2365</v>
      </c>
      <c r="J908" t="s">
        <v>2365</v>
      </c>
      <c r="K908" t="s">
        <v>2365</v>
      </c>
      <c r="L908">
        <v>1200</v>
      </c>
      <c r="M908" t="s">
        <v>1480</v>
      </c>
      <c r="N908">
        <v>1204</v>
      </c>
      <c r="O908" t="s">
        <v>1487</v>
      </c>
      <c r="P908" t="s">
        <v>2366</v>
      </c>
      <c r="Q908" t="s">
        <v>2364</v>
      </c>
      <c r="R908" t="s">
        <v>2364</v>
      </c>
      <c r="S908" t="s">
        <v>553</v>
      </c>
      <c r="T908" t="s">
        <v>2175</v>
      </c>
      <c r="U908">
        <v>140</v>
      </c>
      <c r="V908" t="s">
        <v>693</v>
      </c>
      <c r="W908">
        <v>140</v>
      </c>
      <c r="X908" t="s">
        <v>693</v>
      </c>
      <c r="Y908" t="s">
        <v>2365</v>
      </c>
      <c r="Z908" t="s">
        <v>2365</v>
      </c>
      <c r="AA908" t="s">
        <v>2365</v>
      </c>
      <c r="AB908" t="s">
        <v>2365</v>
      </c>
      <c r="AC908" s="813" t="s">
        <v>2365</v>
      </c>
      <c r="AD908" s="813" t="s">
        <v>2365</v>
      </c>
      <c r="AE908" s="813" t="s">
        <v>2365</v>
      </c>
      <c r="AF908" t="s">
        <v>2365</v>
      </c>
      <c r="AG908" t="s">
        <v>2365</v>
      </c>
      <c r="AH908" t="s">
        <v>2365</v>
      </c>
      <c r="AI908" t="s">
        <v>2365</v>
      </c>
      <c r="AJ908" t="s">
        <v>2365</v>
      </c>
      <c r="AK908">
        <v>147</v>
      </c>
      <c r="AL908" t="s">
        <v>1200</v>
      </c>
      <c r="AM908">
        <v>147</v>
      </c>
      <c r="AN908" t="s">
        <v>1200</v>
      </c>
      <c r="AR908" t="s">
        <v>2365</v>
      </c>
      <c r="AS908" t="s">
        <v>2365</v>
      </c>
      <c r="AT908" t="s">
        <v>2365</v>
      </c>
      <c r="AU908" t="s">
        <v>2365</v>
      </c>
      <c r="AV908" t="s">
        <v>2365</v>
      </c>
      <c r="AW908" t="s">
        <v>2365</v>
      </c>
      <c r="AX908" t="s">
        <v>2365</v>
      </c>
      <c r="AY908" t="s">
        <v>2365</v>
      </c>
      <c r="AZ908" t="s">
        <v>2365</v>
      </c>
      <c r="BA908" t="s">
        <v>2365</v>
      </c>
      <c r="BB908" t="s">
        <v>2365</v>
      </c>
      <c r="BC908" t="s">
        <v>2365</v>
      </c>
      <c r="BD908" t="s">
        <v>2366</v>
      </c>
      <c r="BE908" t="s">
        <v>2365</v>
      </c>
      <c r="BF908" t="s">
        <v>2365</v>
      </c>
      <c r="BG908" t="s">
        <v>2365</v>
      </c>
      <c r="BH908" t="s">
        <v>2365</v>
      </c>
      <c r="BI908" t="s">
        <v>2366</v>
      </c>
      <c r="BJ908" t="s">
        <v>2365</v>
      </c>
      <c r="BK908" t="s">
        <v>2365</v>
      </c>
      <c r="BL908" t="s">
        <v>2365</v>
      </c>
      <c r="BM908" t="s">
        <v>2365</v>
      </c>
      <c r="BO908">
        <v>1</v>
      </c>
      <c r="BP908">
        <v>11</v>
      </c>
      <c r="BQ908" t="s">
        <v>2369</v>
      </c>
      <c r="BR908" t="s">
        <v>1487</v>
      </c>
      <c r="BU908">
        <v>0</v>
      </c>
      <c r="BV908">
        <v>0</v>
      </c>
      <c r="BW908">
        <v>0</v>
      </c>
      <c r="BX908">
        <v>0</v>
      </c>
      <c r="BY908">
        <v>0</v>
      </c>
      <c r="BZ908">
        <v>0</v>
      </c>
      <c r="CA908">
        <v>0</v>
      </c>
      <c r="CB908">
        <v>0</v>
      </c>
      <c r="CC908">
        <v>0</v>
      </c>
      <c r="CD908">
        <v>0</v>
      </c>
      <c r="CE908">
        <v>0</v>
      </c>
      <c r="CF908">
        <v>0</v>
      </c>
      <c r="CG908">
        <v>0</v>
      </c>
      <c r="CH908">
        <v>0</v>
      </c>
      <c r="CI908">
        <v>0</v>
      </c>
      <c r="CJ908">
        <v>0</v>
      </c>
      <c r="CK908">
        <v>0</v>
      </c>
      <c r="CL908">
        <v>0</v>
      </c>
      <c r="CM908">
        <v>0</v>
      </c>
      <c r="CR908" t="s">
        <v>2324</v>
      </c>
      <c r="CS908" s="1369" t="str">
        <f>INDEX([8]Sheet1!$H:$H,MATCH(CR:CR,[8]Sheet1!$AU:$AU,0))</f>
        <v>Finance</v>
      </c>
    </row>
    <row r="909" spans="1:97" x14ac:dyDescent="0.2">
      <c r="A909" t="s">
        <v>3696</v>
      </c>
      <c r="B909">
        <v>962</v>
      </c>
      <c r="C909" t="s">
        <v>3696</v>
      </c>
      <c r="D909">
        <v>41693</v>
      </c>
      <c r="E909" t="s">
        <v>3697</v>
      </c>
      <c r="F909" t="s">
        <v>2364</v>
      </c>
      <c r="G909" t="s">
        <v>2364</v>
      </c>
      <c r="H909" t="s">
        <v>2365</v>
      </c>
      <c r="I909" t="s">
        <v>2365</v>
      </c>
      <c r="J909" t="s">
        <v>2365</v>
      </c>
      <c r="K909" t="s">
        <v>2365</v>
      </c>
      <c r="L909">
        <v>1200</v>
      </c>
      <c r="M909" t="s">
        <v>1480</v>
      </c>
      <c r="N909">
        <v>1204</v>
      </c>
      <c r="O909" t="s">
        <v>1487</v>
      </c>
      <c r="P909" t="s">
        <v>2366</v>
      </c>
      <c r="Q909" t="s">
        <v>2364</v>
      </c>
      <c r="R909" t="s">
        <v>2364</v>
      </c>
      <c r="S909" t="s">
        <v>553</v>
      </c>
      <c r="T909" t="s">
        <v>2175</v>
      </c>
      <c r="U909" t="s">
        <v>2366</v>
      </c>
      <c r="V909" t="s">
        <v>2366</v>
      </c>
      <c r="W909" t="s">
        <v>2366</v>
      </c>
      <c r="X909" t="s">
        <v>2366</v>
      </c>
      <c r="Y909" t="s">
        <v>2365</v>
      </c>
      <c r="Z909" t="s">
        <v>2365</v>
      </c>
      <c r="AA909" t="s">
        <v>2365</v>
      </c>
      <c r="AB909" t="s">
        <v>2365</v>
      </c>
      <c r="AC909" s="813" t="s">
        <v>2365</v>
      </c>
      <c r="AD909" s="813" t="s">
        <v>2365</v>
      </c>
      <c r="AE909" s="813" t="s">
        <v>2365</v>
      </c>
      <c r="AF909" t="s">
        <v>2365</v>
      </c>
      <c r="AG909" t="s">
        <v>2365</v>
      </c>
      <c r="AH909" t="s">
        <v>2365</v>
      </c>
      <c r="AI909" t="s">
        <v>2365</v>
      </c>
      <c r="AJ909" t="s">
        <v>2365</v>
      </c>
      <c r="AK909">
        <v>146</v>
      </c>
      <c r="AL909" t="s">
        <v>1199</v>
      </c>
      <c r="AM909">
        <v>146</v>
      </c>
      <c r="AN909" t="s">
        <v>1199</v>
      </c>
      <c r="AR909" t="s">
        <v>2365</v>
      </c>
      <c r="AS909" t="s">
        <v>2365</v>
      </c>
      <c r="AT909" t="s">
        <v>2365</v>
      </c>
      <c r="AU909" t="s">
        <v>2365</v>
      </c>
      <c r="AV909" t="s">
        <v>2365</v>
      </c>
      <c r="AW909" t="s">
        <v>2365</v>
      </c>
      <c r="AX909" t="s">
        <v>2365</v>
      </c>
      <c r="AY909" t="s">
        <v>2365</v>
      </c>
      <c r="AZ909" t="s">
        <v>2365</v>
      </c>
      <c r="BA909" t="s">
        <v>2365</v>
      </c>
      <c r="BB909" t="s">
        <v>2365</v>
      </c>
      <c r="BC909" t="s">
        <v>2365</v>
      </c>
      <c r="BD909" t="s">
        <v>2366</v>
      </c>
      <c r="BE909" t="s">
        <v>2365</v>
      </c>
      <c r="BF909" t="s">
        <v>2365</v>
      </c>
      <c r="BG909" t="s">
        <v>2365</v>
      </c>
      <c r="BH909" t="s">
        <v>2365</v>
      </c>
      <c r="BI909" t="s">
        <v>2366</v>
      </c>
      <c r="BJ909" t="s">
        <v>2365</v>
      </c>
      <c r="BK909" t="s">
        <v>2365</v>
      </c>
      <c r="BL909" t="s">
        <v>2365</v>
      </c>
      <c r="BM909" t="s">
        <v>2365</v>
      </c>
      <c r="BO909">
        <v>1</v>
      </c>
      <c r="BP909">
        <v>11</v>
      </c>
      <c r="BQ909" t="s">
        <v>2369</v>
      </c>
      <c r="BR909" t="s">
        <v>1487</v>
      </c>
      <c r="BU909">
        <v>0</v>
      </c>
      <c r="BV909">
        <v>0</v>
      </c>
      <c r="BW909">
        <v>0</v>
      </c>
      <c r="BX909">
        <v>0</v>
      </c>
      <c r="BY909">
        <v>0</v>
      </c>
      <c r="BZ909">
        <v>0</v>
      </c>
      <c r="CA909">
        <v>0</v>
      </c>
      <c r="CB909">
        <v>0</v>
      </c>
      <c r="CC909">
        <v>0</v>
      </c>
      <c r="CD909">
        <v>0</v>
      </c>
      <c r="CE909">
        <v>0</v>
      </c>
      <c r="CF909">
        <v>0</v>
      </c>
      <c r="CG909">
        <v>0</v>
      </c>
      <c r="CH909">
        <v>0</v>
      </c>
      <c r="CI909">
        <v>0</v>
      </c>
      <c r="CJ909">
        <v>0</v>
      </c>
      <c r="CK909">
        <v>0</v>
      </c>
      <c r="CL909">
        <v>0</v>
      </c>
      <c r="CM909">
        <v>0</v>
      </c>
      <c r="CR909" t="s">
        <v>2324</v>
      </c>
      <c r="CS909" s="1369" t="str">
        <f>INDEX([8]Sheet1!$H:$H,MATCH(CR:CR,[8]Sheet1!$AU:$AU,0))</f>
        <v>Finance</v>
      </c>
    </row>
    <row r="910" spans="1:97" x14ac:dyDescent="0.2">
      <c r="A910" t="s">
        <v>3698</v>
      </c>
      <c r="B910">
        <v>963</v>
      </c>
      <c r="C910" t="s">
        <v>3698</v>
      </c>
      <c r="D910">
        <v>41694</v>
      </c>
      <c r="E910" t="s">
        <v>3699</v>
      </c>
      <c r="F910" t="s">
        <v>2364</v>
      </c>
      <c r="G910" t="s">
        <v>2364</v>
      </c>
      <c r="H910" t="s">
        <v>2365</v>
      </c>
      <c r="I910" t="s">
        <v>2365</v>
      </c>
      <c r="J910" t="s">
        <v>2365</v>
      </c>
      <c r="K910" t="s">
        <v>2365</v>
      </c>
      <c r="L910">
        <v>1200</v>
      </c>
      <c r="M910" t="s">
        <v>1480</v>
      </c>
      <c r="N910">
        <v>1204</v>
      </c>
      <c r="O910" t="s">
        <v>1487</v>
      </c>
      <c r="P910" t="s">
        <v>2366</v>
      </c>
      <c r="Q910" t="s">
        <v>2364</v>
      </c>
      <c r="R910" t="s">
        <v>2364</v>
      </c>
      <c r="S910" t="s">
        <v>553</v>
      </c>
      <c r="T910" t="s">
        <v>2175</v>
      </c>
      <c r="U910">
        <v>140</v>
      </c>
      <c r="V910" t="s">
        <v>693</v>
      </c>
      <c r="W910">
        <v>140</v>
      </c>
      <c r="X910" t="s">
        <v>693</v>
      </c>
      <c r="Y910" t="s">
        <v>2365</v>
      </c>
      <c r="Z910" t="s">
        <v>2365</v>
      </c>
      <c r="AA910" t="s">
        <v>2365</v>
      </c>
      <c r="AB910" t="s">
        <v>2365</v>
      </c>
      <c r="AC910" s="813" t="s">
        <v>2365</v>
      </c>
      <c r="AD910" s="813" t="s">
        <v>2365</v>
      </c>
      <c r="AE910" s="813" t="s">
        <v>2365</v>
      </c>
      <c r="AF910" t="s">
        <v>2365</v>
      </c>
      <c r="AG910" t="s">
        <v>2365</v>
      </c>
      <c r="AH910" t="s">
        <v>2365</v>
      </c>
      <c r="AI910" t="s">
        <v>2365</v>
      </c>
      <c r="AJ910" t="s">
        <v>2365</v>
      </c>
      <c r="AK910" t="s">
        <v>2366</v>
      </c>
      <c r="AL910" t="s">
        <v>2366</v>
      </c>
      <c r="AM910" t="s">
        <v>2366</v>
      </c>
      <c r="AN910" t="s">
        <v>2366</v>
      </c>
      <c r="AR910" t="s">
        <v>2365</v>
      </c>
      <c r="AS910" t="s">
        <v>2365</v>
      </c>
      <c r="AT910" t="s">
        <v>2365</v>
      </c>
      <c r="AU910" t="s">
        <v>2365</v>
      </c>
      <c r="AV910" t="s">
        <v>2365</v>
      </c>
      <c r="AW910" t="s">
        <v>2365</v>
      </c>
      <c r="AX910" t="s">
        <v>2365</v>
      </c>
      <c r="AY910" t="s">
        <v>2365</v>
      </c>
      <c r="AZ910" t="s">
        <v>2365</v>
      </c>
      <c r="BA910" t="s">
        <v>2365</v>
      </c>
      <c r="BB910" t="s">
        <v>2365</v>
      </c>
      <c r="BC910" t="s">
        <v>2365</v>
      </c>
      <c r="BD910" t="s">
        <v>2366</v>
      </c>
      <c r="BE910" t="s">
        <v>2365</v>
      </c>
      <c r="BF910" t="s">
        <v>2365</v>
      </c>
      <c r="BG910" t="s">
        <v>2365</v>
      </c>
      <c r="BH910" t="s">
        <v>2365</v>
      </c>
      <c r="BI910" t="s">
        <v>2366</v>
      </c>
      <c r="BJ910" t="s">
        <v>2365</v>
      </c>
      <c r="BK910" t="s">
        <v>2365</v>
      </c>
      <c r="BL910" t="s">
        <v>2365</v>
      </c>
      <c r="BM910" t="s">
        <v>2365</v>
      </c>
      <c r="BO910">
        <v>1</v>
      </c>
      <c r="BP910">
        <v>11</v>
      </c>
      <c r="BQ910" t="s">
        <v>2369</v>
      </c>
      <c r="BR910" t="s">
        <v>1487</v>
      </c>
      <c r="BU910">
        <v>0</v>
      </c>
      <c r="BV910">
        <v>0</v>
      </c>
      <c r="BW910">
        <v>0</v>
      </c>
      <c r="BX910">
        <v>0</v>
      </c>
      <c r="BY910">
        <v>0</v>
      </c>
      <c r="BZ910">
        <v>0</v>
      </c>
      <c r="CA910">
        <v>0</v>
      </c>
      <c r="CB910">
        <v>0</v>
      </c>
      <c r="CC910">
        <v>0</v>
      </c>
      <c r="CD910">
        <v>0</v>
      </c>
      <c r="CE910">
        <v>0</v>
      </c>
      <c r="CF910">
        <v>0</v>
      </c>
      <c r="CG910">
        <v>0</v>
      </c>
      <c r="CH910">
        <v>0</v>
      </c>
      <c r="CI910">
        <v>0</v>
      </c>
      <c r="CJ910">
        <v>0</v>
      </c>
      <c r="CK910">
        <v>0</v>
      </c>
      <c r="CL910">
        <v>0</v>
      </c>
      <c r="CM910">
        <v>0</v>
      </c>
      <c r="CR910" t="s">
        <v>2340</v>
      </c>
      <c r="CS910" s="1369" t="str">
        <f>INDEX([8]Sheet1!$H:$H,MATCH(CR:CR,[8]Sheet1!$AU:$AU,0))</f>
        <v>Disaster Management</v>
      </c>
    </row>
    <row r="911" spans="1:97" x14ac:dyDescent="0.2">
      <c r="A911" t="s">
        <v>3700</v>
      </c>
      <c r="B911">
        <v>964</v>
      </c>
      <c r="C911" t="s">
        <v>3700</v>
      </c>
      <c r="D911">
        <v>41695</v>
      </c>
      <c r="E911" t="s">
        <v>3701</v>
      </c>
      <c r="F911" t="s">
        <v>2364</v>
      </c>
      <c r="G911" t="s">
        <v>2364</v>
      </c>
      <c r="H911" t="s">
        <v>2365</v>
      </c>
      <c r="I911" t="s">
        <v>2365</v>
      </c>
      <c r="J911" t="s">
        <v>2365</v>
      </c>
      <c r="K911" t="s">
        <v>2365</v>
      </c>
      <c r="L911">
        <v>1200</v>
      </c>
      <c r="M911" t="s">
        <v>1480</v>
      </c>
      <c r="N911">
        <v>1204</v>
      </c>
      <c r="O911" t="s">
        <v>1487</v>
      </c>
      <c r="P911" t="s">
        <v>2366</v>
      </c>
      <c r="Q911" t="s">
        <v>2364</v>
      </c>
      <c r="R911" t="s">
        <v>2364</v>
      </c>
      <c r="S911" t="s">
        <v>553</v>
      </c>
      <c r="T911" t="s">
        <v>2175</v>
      </c>
      <c r="U911" t="s">
        <v>2366</v>
      </c>
      <c r="V911" t="s">
        <v>2366</v>
      </c>
      <c r="W911" t="s">
        <v>2366</v>
      </c>
      <c r="X911" t="s">
        <v>2366</v>
      </c>
      <c r="Y911" t="s">
        <v>2365</v>
      </c>
      <c r="Z911" t="s">
        <v>2365</v>
      </c>
      <c r="AA911" t="s">
        <v>2365</v>
      </c>
      <c r="AB911" t="s">
        <v>2365</v>
      </c>
      <c r="AC911" s="813" t="s">
        <v>2365</v>
      </c>
      <c r="AD911" s="813" t="s">
        <v>2365</v>
      </c>
      <c r="AE911" s="813" t="s">
        <v>2365</v>
      </c>
      <c r="AF911" t="s">
        <v>2365</v>
      </c>
      <c r="AG911" t="s">
        <v>2365</v>
      </c>
      <c r="AH911" t="s">
        <v>2365</v>
      </c>
      <c r="AI911" t="s">
        <v>2365</v>
      </c>
      <c r="AJ911" t="s">
        <v>2365</v>
      </c>
      <c r="AK911">
        <v>146</v>
      </c>
      <c r="AL911" t="s">
        <v>1199</v>
      </c>
      <c r="AM911">
        <v>146</v>
      </c>
      <c r="AN911" t="s">
        <v>1199</v>
      </c>
      <c r="AR911" t="s">
        <v>2365</v>
      </c>
      <c r="AS911" t="s">
        <v>2365</v>
      </c>
      <c r="AT911" t="s">
        <v>2365</v>
      </c>
      <c r="AU911" t="s">
        <v>2365</v>
      </c>
      <c r="AV911" t="s">
        <v>2365</v>
      </c>
      <c r="AW911" t="s">
        <v>2365</v>
      </c>
      <c r="AX911" t="s">
        <v>2365</v>
      </c>
      <c r="AY911" t="s">
        <v>2365</v>
      </c>
      <c r="AZ911" t="s">
        <v>2365</v>
      </c>
      <c r="BA911" t="s">
        <v>2365</v>
      </c>
      <c r="BB911" t="s">
        <v>2365</v>
      </c>
      <c r="BC911" t="s">
        <v>2365</v>
      </c>
      <c r="BD911" t="s">
        <v>2366</v>
      </c>
      <c r="BE911" t="s">
        <v>2365</v>
      </c>
      <c r="BF911" t="s">
        <v>2365</v>
      </c>
      <c r="BG911" t="s">
        <v>2365</v>
      </c>
      <c r="BH911" t="s">
        <v>2365</v>
      </c>
      <c r="BI911" t="s">
        <v>2366</v>
      </c>
      <c r="BJ911" t="s">
        <v>2365</v>
      </c>
      <c r="BK911" t="s">
        <v>2365</v>
      </c>
      <c r="BL911" t="s">
        <v>2365</v>
      </c>
      <c r="BM911" t="s">
        <v>2365</v>
      </c>
      <c r="BO911">
        <v>1</v>
      </c>
      <c r="BP911">
        <v>11</v>
      </c>
      <c r="BQ911" t="s">
        <v>2369</v>
      </c>
      <c r="BR911" t="s">
        <v>1487</v>
      </c>
      <c r="BU911">
        <v>0</v>
      </c>
      <c r="BV911">
        <v>0</v>
      </c>
      <c r="BW911">
        <v>0</v>
      </c>
      <c r="BX911">
        <v>0</v>
      </c>
      <c r="BY911">
        <v>0</v>
      </c>
      <c r="BZ911">
        <v>0</v>
      </c>
      <c r="CA911">
        <v>0</v>
      </c>
      <c r="CB911">
        <v>0</v>
      </c>
      <c r="CC911">
        <v>0</v>
      </c>
      <c r="CD911">
        <v>0</v>
      </c>
      <c r="CE911">
        <v>0</v>
      </c>
      <c r="CF911">
        <v>0</v>
      </c>
      <c r="CG911">
        <v>0</v>
      </c>
      <c r="CH911">
        <v>0</v>
      </c>
      <c r="CI911">
        <v>0</v>
      </c>
      <c r="CJ911">
        <v>0</v>
      </c>
      <c r="CK911">
        <v>0</v>
      </c>
      <c r="CL911">
        <v>0</v>
      </c>
      <c r="CM911">
        <v>0</v>
      </c>
      <c r="CR911" t="s">
        <v>2340</v>
      </c>
      <c r="CS911" s="1369" t="str">
        <f>INDEX([8]Sheet1!$H:$H,MATCH(CR:CR,[8]Sheet1!$AU:$AU,0))</f>
        <v>Disaster Management</v>
      </c>
    </row>
    <row r="912" spans="1:97" x14ac:dyDescent="0.2">
      <c r="A912" t="s">
        <v>3702</v>
      </c>
      <c r="B912">
        <v>965</v>
      </c>
      <c r="C912" t="s">
        <v>3702</v>
      </c>
      <c r="D912">
        <v>41696</v>
      </c>
      <c r="E912" t="s">
        <v>3703</v>
      </c>
      <c r="F912" t="s">
        <v>2364</v>
      </c>
      <c r="G912" t="s">
        <v>2364</v>
      </c>
      <c r="H912" t="s">
        <v>2365</v>
      </c>
      <c r="I912" t="s">
        <v>2365</v>
      </c>
      <c r="J912" t="s">
        <v>2365</v>
      </c>
      <c r="K912" t="s">
        <v>2365</v>
      </c>
      <c r="L912">
        <v>1200</v>
      </c>
      <c r="M912" t="s">
        <v>1480</v>
      </c>
      <c r="N912">
        <v>1204</v>
      </c>
      <c r="O912" t="s">
        <v>1487</v>
      </c>
      <c r="P912" t="s">
        <v>2366</v>
      </c>
      <c r="Q912" t="s">
        <v>2364</v>
      </c>
      <c r="R912" t="s">
        <v>2364</v>
      </c>
      <c r="S912" t="s">
        <v>553</v>
      </c>
      <c r="T912" t="s">
        <v>2175</v>
      </c>
      <c r="U912">
        <v>140</v>
      </c>
      <c r="V912" t="s">
        <v>693</v>
      </c>
      <c r="W912">
        <v>140</v>
      </c>
      <c r="X912" t="s">
        <v>693</v>
      </c>
      <c r="Y912" t="s">
        <v>2365</v>
      </c>
      <c r="Z912" t="s">
        <v>2365</v>
      </c>
      <c r="AA912" t="s">
        <v>2365</v>
      </c>
      <c r="AB912" t="s">
        <v>2365</v>
      </c>
      <c r="AC912" s="813" t="s">
        <v>2365</v>
      </c>
      <c r="AD912" s="813" t="s">
        <v>2365</v>
      </c>
      <c r="AE912" s="813" t="s">
        <v>2365</v>
      </c>
      <c r="AF912" t="s">
        <v>2365</v>
      </c>
      <c r="AG912" t="s">
        <v>2365</v>
      </c>
      <c r="AH912" t="s">
        <v>2365</v>
      </c>
      <c r="AI912" t="s">
        <v>2365</v>
      </c>
      <c r="AJ912" t="s">
        <v>2365</v>
      </c>
      <c r="AK912" t="s">
        <v>2366</v>
      </c>
      <c r="AL912" t="s">
        <v>2366</v>
      </c>
      <c r="AM912" t="s">
        <v>2366</v>
      </c>
      <c r="AN912" t="s">
        <v>2366</v>
      </c>
      <c r="AR912" t="s">
        <v>2365</v>
      </c>
      <c r="AS912" t="s">
        <v>2365</v>
      </c>
      <c r="AT912" t="s">
        <v>2365</v>
      </c>
      <c r="AU912" t="s">
        <v>2365</v>
      </c>
      <c r="AV912" t="s">
        <v>2365</v>
      </c>
      <c r="AW912" t="s">
        <v>2365</v>
      </c>
      <c r="AX912" t="s">
        <v>2365</v>
      </c>
      <c r="AY912" t="s">
        <v>2365</v>
      </c>
      <c r="AZ912" t="s">
        <v>2365</v>
      </c>
      <c r="BA912" t="s">
        <v>2365</v>
      </c>
      <c r="BB912" t="s">
        <v>2365</v>
      </c>
      <c r="BC912" t="s">
        <v>2365</v>
      </c>
      <c r="BD912" t="s">
        <v>2366</v>
      </c>
      <c r="BE912" t="s">
        <v>2365</v>
      </c>
      <c r="BF912" t="s">
        <v>2365</v>
      </c>
      <c r="BG912" t="s">
        <v>2365</v>
      </c>
      <c r="BH912" t="s">
        <v>2365</v>
      </c>
      <c r="BI912" t="s">
        <v>2366</v>
      </c>
      <c r="BJ912" t="s">
        <v>2365</v>
      </c>
      <c r="BK912" t="s">
        <v>2365</v>
      </c>
      <c r="BL912" t="s">
        <v>2365</v>
      </c>
      <c r="BM912" t="s">
        <v>2365</v>
      </c>
      <c r="BO912">
        <v>1</v>
      </c>
      <c r="BP912">
        <v>11</v>
      </c>
      <c r="BQ912" t="s">
        <v>2369</v>
      </c>
      <c r="BR912" t="s">
        <v>1487</v>
      </c>
      <c r="BU912">
        <v>0</v>
      </c>
      <c r="BV912">
        <v>0</v>
      </c>
      <c r="BW912">
        <v>0</v>
      </c>
      <c r="BX912">
        <v>0</v>
      </c>
      <c r="BY912">
        <v>0</v>
      </c>
      <c r="BZ912">
        <v>0</v>
      </c>
      <c r="CA912">
        <v>0</v>
      </c>
      <c r="CB912">
        <v>0</v>
      </c>
      <c r="CC912">
        <v>0</v>
      </c>
      <c r="CD912">
        <v>0</v>
      </c>
      <c r="CE912">
        <v>0</v>
      </c>
      <c r="CF912">
        <v>0</v>
      </c>
      <c r="CG912">
        <v>0</v>
      </c>
      <c r="CH912">
        <v>0</v>
      </c>
      <c r="CI912">
        <v>0</v>
      </c>
      <c r="CJ912">
        <v>0</v>
      </c>
      <c r="CK912">
        <v>0</v>
      </c>
      <c r="CL912">
        <v>0</v>
      </c>
      <c r="CM912">
        <v>0</v>
      </c>
      <c r="CR912" t="s">
        <v>2343</v>
      </c>
      <c r="CS912" s="1369" t="str">
        <f>INDEX([8]Sheet1!$H:$H,MATCH(CR:CR,[8]Sheet1!$AU:$AU,0))</f>
        <v>Pollution Control</v>
      </c>
    </row>
    <row r="913" spans="1:97" x14ac:dyDescent="0.2">
      <c r="A913" t="s">
        <v>3704</v>
      </c>
      <c r="B913">
        <v>966</v>
      </c>
      <c r="C913" t="s">
        <v>3704</v>
      </c>
      <c r="D913">
        <v>41697</v>
      </c>
      <c r="E913" t="s">
        <v>3705</v>
      </c>
      <c r="F913" t="s">
        <v>2364</v>
      </c>
      <c r="G913" t="s">
        <v>2364</v>
      </c>
      <c r="H913" t="s">
        <v>2365</v>
      </c>
      <c r="I913" t="s">
        <v>2365</v>
      </c>
      <c r="J913" t="s">
        <v>2365</v>
      </c>
      <c r="K913" t="s">
        <v>2365</v>
      </c>
      <c r="L913">
        <v>1200</v>
      </c>
      <c r="M913" t="s">
        <v>1480</v>
      </c>
      <c r="N913">
        <v>1204</v>
      </c>
      <c r="O913" t="s">
        <v>1487</v>
      </c>
      <c r="P913" t="s">
        <v>2366</v>
      </c>
      <c r="Q913" t="s">
        <v>2364</v>
      </c>
      <c r="R913" t="s">
        <v>2364</v>
      </c>
      <c r="S913" t="s">
        <v>553</v>
      </c>
      <c r="T913" t="s">
        <v>2175</v>
      </c>
      <c r="U913" t="s">
        <v>2366</v>
      </c>
      <c r="V913" t="s">
        <v>2366</v>
      </c>
      <c r="W913" t="s">
        <v>2366</v>
      </c>
      <c r="X913" t="s">
        <v>2366</v>
      </c>
      <c r="Y913" t="s">
        <v>2365</v>
      </c>
      <c r="Z913" t="s">
        <v>2365</v>
      </c>
      <c r="AA913" t="s">
        <v>2365</v>
      </c>
      <c r="AB913" t="s">
        <v>2365</v>
      </c>
      <c r="AC913" s="813" t="s">
        <v>2365</v>
      </c>
      <c r="AD913" s="813" t="s">
        <v>2365</v>
      </c>
      <c r="AE913" s="813" t="s">
        <v>2365</v>
      </c>
      <c r="AF913" t="s">
        <v>2365</v>
      </c>
      <c r="AG913" t="s">
        <v>2365</v>
      </c>
      <c r="AH913" t="s">
        <v>2365</v>
      </c>
      <c r="AI913" t="s">
        <v>2365</v>
      </c>
      <c r="AJ913" t="s">
        <v>2365</v>
      </c>
      <c r="AK913">
        <v>146</v>
      </c>
      <c r="AL913" t="s">
        <v>1199</v>
      </c>
      <c r="AM913">
        <v>146</v>
      </c>
      <c r="AN913" t="s">
        <v>1199</v>
      </c>
      <c r="AR913" t="s">
        <v>2365</v>
      </c>
      <c r="AS913" t="s">
        <v>2365</v>
      </c>
      <c r="AT913" t="s">
        <v>2365</v>
      </c>
      <c r="AU913" t="s">
        <v>2365</v>
      </c>
      <c r="AV913" t="s">
        <v>2365</v>
      </c>
      <c r="AW913" t="s">
        <v>2365</v>
      </c>
      <c r="AX913" t="s">
        <v>2365</v>
      </c>
      <c r="AY913" t="s">
        <v>2365</v>
      </c>
      <c r="AZ913" t="s">
        <v>2365</v>
      </c>
      <c r="BA913" t="s">
        <v>2365</v>
      </c>
      <c r="BB913" t="s">
        <v>2365</v>
      </c>
      <c r="BC913" t="s">
        <v>2365</v>
      </c>
      <c r="BD913" t="s">
        <v>2366</v>
      </c>
      <c r="BE913" t="s">
        <v>2365</v>
      </c>
      <c r="BF913" t="s">
        <v>2365</v>
      </c>
      <c r="BG913" t="s">
        <v>2365</v>
      </c>
      <c r="BH913" t="s">
        <v>2365</v>
      </c>
      <c r="BI913" t="s">
        <v>2366</v>
      </c>
      <c r="BJ913" t="s">
        <v>2365</v>
      </c>
      <c r="BK913" t="s">
        <v>2365</v>
      </c>
      <c r="BL913" t="s">
        <v>2365</v>
      </c>
      <c r="BM913" t="s">
        <v>2365</v>
      </c>
      <c r="BO913">
        <v>1</v>
      </c>
      <c r="BP913">
        <v>11</v>
      </c>
      <c r="BQ913" t="s">
        <v>2369</v>
      </c>
      <c r="BR913" t="s">
        <v>1487</v>
      </c>
      <c r="BU913">
        <v>0</v>
      </c>
      <c r="BV913">
        <v>0</v>
      </c>
      <c r="BW913">
        <v>0</v>
      </c>
      <c r="BX913">
        <v>0</v>
      </c>
      <c r="BY913">
        <v>0</v>
      </c>
      <c r="BZ913">
        <v>0</v>
      </c>
      <c r="CA913">
        <v>0</v>
      </c>
      <c r="CB913">
        <v>0</v>
      </c>
      <c r="CC913">
        <v>0</v>
      </c>
      <c r="CD913">
        <v>0</v>
      </c>
      <c r="CE913">
        <v>0</v>
      </c>
      <c r="CF913">
        <v>0</v>
      </c>
      <c r="CG913">
        <v>0</v>
      </c>
      <c r="CH913">
        <v>0</v>
      </c>
      <c r="CI913">
        <v>0</v>
      </c>
      <c r="CJ913">
        <v>0</v>
      </c>
      <c r="CK913">
        <v>0</v>
      </c>
      <c r="CL913">
        <v>0</v>
      </c>
      <c r="CM913">
        <v>0</v>
      </c>
      <c r="CR913" t="s">
        <v>2333</v>
      </c>
      <c r="CS913" s="1369" t="str">
        <f>INDEX([8]Sheet1!$H:$H,MATCH(CR:CR,[8]Sheet1!$AU:$AU,0))</f>
        <v>Municipal Manager, Town Secretary and Chief Executive</v>
      </c>
    </row>
    <row r="914" spans="1:97" x14ac:dyDescent="0.2">
      <c r="A914" t="s">
        <v>3706</v>
      </c>
      <c r="B914">
        <v>967</v>
      </c>
      <c r="C914" t="s">
        <v>3706</v>
      </c>
      <c r="D914">
        <v>41698</v>
      </c>
      <c r="E914" t="s">
        <v>3707</v>
      </c>
      <c r="F914" t="s">
        <v>2364</v>
      </c>
      <c r="G914" t="s">
        <v>2364</v>
      </c>
      <c r="H914" t="s">
        <v>2365</v>
      </c>
      <c r="I914" t="s">
        <v>2365</v>
      </c>
      <c r="J914" t="s">
        <v>2365</v>
      </c>
      <c r="K914" t="s">
        <v>2365</v>
      </c>
      <c r="L914">
        <v>1200</v>
      </c>
      <c r="M914" t="s">
        <v>1480</v>
      </c>
      <c r="N914">
        <v>1204</v>
      </c>
      <c r="O914" t="s">
        <v>1487</v>
      </c>
      <c r="P914" t="s">
        <v>2366</v>
      </c>
      <c r="Q914" t="s">
        <v>2364</v>
      </c>
      <c r="R914" t="s">
        <v>2364</v>
      </c>
      <c r="S914" t="s">
        <v>553</v>
      </c>
      <c r="T914" t="s">
        <v>2175</v>
      </c>
      <c r="U914">
        <v>140</v>
      </c>
      <c r="V914" t="s">
        <v>693</v>
      </c>
      <c r="W914">
        <v>140</v>
      </c>
      <c r="X914" t="s">
        <v>693</v>
      </c>
      <c r="Y914" t="s">
        <v>2365</v>
      </c>
      <c r="Z914" t="s">
        <v>2365</v>
      </c>
      <c r="AA914" t="s">
        <v>2365</v>
      </c>
      <c r="AB914" t="s">
        <v>2365</v>
      </c>
      <c r="AC914" s="813" t="s">
        <v>2365</v>
      </c>
      <c r="AD914" s="813" t="s">
        <v>2365</v>
      </c>
      <c r="AE914" s="813" t="s">
        <v>2365</v>
      </c>
      <c r="AF914" t="s">
        <v>2365</v>
      </c>
      <c r="AG914" t="s">
        <v>2365</v>
      </c>
      <c r="AH914" t="s">
        <v>2365</v>
      </c>
      <c r="AI914" t="s">
        <v>2365</v>
      </c>
      <c r="AJ914" t="s">
        <v>2365</v>
      </c>
      <c r="AK914" t="s">
        <v>2366</v>
      </c>
      <c r="AL914" t="s">
        <v>2366</v>
      </c>
      <c r="AM914" t="s">
        <v>2366</v>
      </c>
      <c r="AN914" t="s">
        <v>2366</v>
      </c>
      <c r="AR914" t="s">
        <v>2365</v>
      </c>
      <c r="AS914" t="s">
        <v>2365</v>
      </c>
      <c r="AT914" t="s">
        <v>2365</v>
      </c>
      <c r="AU914" t="s">
        <v>2365</v>
      </c>
      <c r="AV914" t="s">
        <v>2365</v>
      </c>
      <c r="AW914" t="s">
        <v>2365</v>
      </c>
      <c r="AX914" t="s">
        <v>2365</v>
      </c>
      <c r="AY914" t="s">
        <v>2365</v>
      </c>
      <c r="AZ914" t="s">
        <v>2365</v>
      </c>
      <c r="BA914" t="s">
        <v>2365</v>
      </c>
      <c r="BB914" t="s">
        <v>2365</v>
      </c>
      <c r="BC914" t="s">
        <v>2365</v>
      </c>
      <c r="BD914" t="s">
        <v>2366</v>
      </c>
      <c r="BE914" t="s">
        <v>2365</v>
      </c>
      <c r="BF914" t="s">
        <v>2365</v>
      </c>
      <c r="BG914" t="s">
        <v>2365</v>
      </c>
      <c r="BH914" t="s">
        <v>2365</v>
      </c>
      <c r="BI914" t="s">
        <v>2366</v>
      </c>
      <c r="BJ914" t="s">
        <v>2365</v>
      </c>
      <c r="BK914" t="s">
        <v>2365</v>
      </c>
      <c r="BL914" t="s">
        <v>2365</v>
      </c>
      <c r="BM914" t="s">
        <v>2365</v>
      </c>
      <c r="BO914">
        <v>1</v>
      </c>
      <c r="BP914">
        <v>11</v>
      </c>
      <c r="BQ914" t="s">
        <v>2369</v>
      </c>
      <c r="BR914" t="s">
        <v>1487</v>
      </c>
      <c r="BU914">
        <v>0</v>
      </c>
      <c r="BV914">
        <v>0</v>
      </c>
      <c r="BW914">
        <v>0</v>
      </c>
      <c r="BX914">
        <v>0</v>
      </c>
      <c r="BY914">
        <v>0</v>
      </c>
      <c r="BZ914">
        <v>0</v>
      </c>
      <c r="CA914">
        <v>0</v>
      </c>
      <c r="CB914">
        <v>0</v>
      </c>
      <c r="CC914">
        <v>0</v>
      </c>
      <c r="CD914">
        <v>0</v>
      </c>
      <c r="CE914">
        <v>0</v>
      </c>
      <c r="CF914">
        <v>0</v>
      </c>
      <c r="CG914">
        <v>0</v>
      </c>
      <c r="CH914">
        <v>0</v>
      </c>
      <c r="CI914">
        <v>0</v>
      </c>
      <c r="CJ914">
        <v>0</v>
      </c>
      <c r="CK914">
        <v>0</v>
      </c>
      <c r="CL914">
        <v>0</v>
      </c>
      <c r="CM914">
        <v>0</v>
      </c>
      <c r="CR914" t="s">
        <v>2333</v>
      </c>
      <c r="CS914" s="1369" t="str">
        <f>INDEX([8]Sheet1!$H:$H,MATCH(CR:CR,[8]Sheet1!$AU:$AU,0))</f>
        <v>Municipal Manager, Town Secretary and Chief Executive</v>
      </c>
    </row>
    <row r="915" spans="1:97" x14ac:dyDescent="0.2">
      <c r="A915" t="s">
        <v>3708</v>
      </c>
      <c r="B915">
        <v>968</v>
      </c>
      <c r="C915" t="s">
        <v>3708</v>
      </c>
      <c r="D915">
        <v>41699</v>
      </c>
      <c r="E915" t="s">
        <v>3709</v>
      </c>
      <c r="F915" t="s">
        <v>2364</v>
      </c>
      <c r="G915" t="s">
        <v>2364</v>
      </c>
      <c r="H915" t="s">
        <v>2365</v>
      </c>
      <c r="I915" t="s">
        <v>2365</v>
      </c>
      <c r="J915" t="s">
        <v>2365</v>
      </c>
      <c r="K915" t="s">
        <v>2365</v>
      </c>
      <c r="L915">
        <v>1200</v>
      </c>
      <c r="M915" t="s">
        <v>1480</v>
      </c>
      <c r="N915">
        <v>1204</v>
      </c>
      <c r="O915" t="s">
        <v>1487</v>
      </c>
      <c r="P915" t="s">
        <v>2366</v>
      </c>
      <c r="Q915" t="s">
        <v>2364</v>
      </c>
      <c r="R915" t="s">
        <v>2364</v>
      </c>
      <c r="S915" t="s">
        <v>553</v>
      </c>
      <c r="T915" t="s">
        <v>2175</v>
      </c>
      <c r="U915">
        <v>140</v>
      </c>
      <c r="V915" t="s">
        <v>693</v>
      </c>
      <c r="W915">
        <v>140</v>
      </c>
      <c r="X915" t="s">
        <v>693</v>
      </c>
      <c r="Y915" t="s">
        <v>2365</v>
      </c>
      <c r="Z915" t="s">
        <v>2365</v>
      </c>
      <c r="AA915" t="s">
        <v>2365</v>
      </c>
      <c r="AB915" t="s">
        <v>2365</v>
      </c>
      <c r="AC915" s="813" t="s">
        <v>2365</v>
      </c>
      <c r="AD915" s="813" t="s">
        <v>2365</v>
      </c>
      <c r="AE915" s="813" t="s">
        <v>2365</v>
      </c>
      <c r="AF915" t="s">
        <v>2365</v>
      </c>
      <c r="AG915" t="s">
        <v>2365</v>
      </c>
      <c r="AH915" t="s">
        <v>2365</v>
      </c>
      <c r="AI915" t="s">
        <v>2365</v>
      </c>
      <c r="AJ915" t="s">
        <v>2365</v>
      </c>
      <c r="AK915" t="s">
        <v>2366</v>
      </c>
      <c r="AL915" t="s">
        <v>2366</v>
      </c>
      <c r="AM915" t="s">
        <v>2366</v>
      </c>
      <c r="AN915" t="s">
        <v>2366</v>
      </c>
      <c r="AR915" t="s">
        <v>2365</v>
      </c>
      <c r="AS915" t="s">
        <v>2365</v>
      </c>
      <c r="AT915" t="s">
        <v>2365</v>
      </c>
      <c r="AU915" t="s">
        <v>2365</v>
      </c>
      <c r="AV915" t="s">
        <v>2365</v>
      </c>
      <c r="AW915" t="s">
        <v>2365</v>
      </c>
      <c r="AX915" t="s">
        <v>2365</v>
      </c>
      <c r="AY915" t="s">
        <v>2365</v>
      </c>
      <c r="AZ915" t="s">
        <v>2365</v>
      </c>
      <c r="BA915" t="s">
        <v>2365</v>
      </c>
      <c r="BB915" t="s">
        <v>2365</v>
      </c>
      <c r="BC915" t="s">
        <v>2365</v>
      </c>
      <c r="BD915" t="s">
        <v>2366</v>
      </c>
      <c r="BE915" t="s">
        <v>2365</v>
      </c>
      <c r="BF915" t="s">
        <v>2365</v>
      </c>
      <c r="BG915" t="s">
        <v>2365</v>
      </c>
      <c r="BH915" t="s">
        <v>2365</v>
      </c>
      <c r="BI915" t="s">
        <v>2366</v>
      </c>
      <c r="BJ915" t="s">
        <v>2365</v>
      </c>
      <c r="BK915" t="s">
        <v>2365</v>
      </c>
      <c r="BL915" t="s">
        <v>2365</v>
      </c>
      <c r="BM915" t="s">
        <v>2365</v>
      </c>
      <c r="BO915">
        <v>1</v>
      </c>
      <c r="BP915">
        <v>11</v>
      </c>
      <c r="BQ915" t="s">
        <v>2369</v>
      </c>
      <c r="BR915" t="s">
        <v>1487</v>
      </c>
      <c r="BU915">
        <v>0</v>
      </c>
      <c r="BV915">
        <v>0</v>
      </c>
      <c r="BW915">
        <v>0</v>
      </c>
      <c r="BX915">
        <v>0</v>
      </c>
      <c r="BY915">
        <v>0</v>
      </c>
      <c r="BZ915">
        <v>0</v>
      </c>
      <c r="CA915">
        <v>0</v>
      </c>
      <c r="CB915">
        <v>0</v>
      </c>
      <c r="CC915">
        <v>0</v>
      </c>
      <c r="CD915">
        <v>0</v>
      </c>
      <c r="CE915">
        <v>0</v>
      </c>
      <c r="CF915">
        <v>0</v>
      </c>
      <c r="CG915">
        <v>0</v>
      </c>
      <c r="CH915">
        <v>0</v>
      </c>
      <c r="CI915">
        <v>0</v>
      </c>
      <c r="CJ915">
        <v>0</v>
      </c>
      <c r="CK915">
        <v>0</v>
      </c>
      <c r="CL915">
        <v>0</v>
      </c>
      <c r="CM915">
        <v>0</v>
      </c>
      <c r="CR915" t="s">
        <v>2340</v>
      </c>
      <c r="CS915" s="1369" t="str">
        <f>INDEX([8]Sheet1!$H:$H,MATCH(CR:CR,[8]Sheet1!$AU:$AU,0))</f>
        <v>Disaster Management</v>
      </c>
    </row>
    <row r="916" spans="1:97" x14ac:dyDescent="0.2">
      <c r="A916" t="s">
        <v>3710</v>
      </c>
      <c r="B916">
        <v>969</v>
      </c>
      <c r="C916" t="s">
        <v>3710</v>
      </c>
      <c r="D916">
        <v>41700</v>
      </c>
      <c r="E916" t="s">
        <v>3711</v>
      </c>
      <c r="F916" t="s">
        <v>2364</v>
      </c>
      <c r="G916" t="s">
        <v>2364</v>
      </c>
      <c r="H916" t="s">
        <v>2365</v>
      </c>
      <c r="I916" t="s">
        <v>2365</v>
      </c>
      <c r="J916" t="s">
        <v>2365</v>
      </c>
      <c r="K916" t="s">
        <v>2365</v>
      </c>
      <c r="L916">
        <v>1200</v>
      </c>
      <c r="M916" t="s">
        <v>1480</v>
      </c>
      <c r="N916">
        <v>1204</v>
      </c>
      <c r="O916" t="s">
        <v>1487</v>
      </c>
      <c r="P916" t="s">
        <v>2366</v>
      </c>
      <c r="Q916" t="s">
        <v>2364</v>
      </c>
      <c r="R916" t="s">
        <v>2364</v>
      </c>
      <c r="S916" t="s">
        <v>553</v>
      </c>
      <c r="T916" t="s">
        <v>2175</v>
      </c>
      <c r="U916" t="s">
        <v>2366</v>
      </c>
      <c r="V916" t="s">
        <v>2366</v>
      </c>
      <c r="W916" t="s">
        <v>2366</v>
      </c>
      <c r="X916" t="s">
        <v>2366</v>
      </c>
      <c r="Y916" t="s">
        <v>2365</v>
      </c>
      <c r="Z916" t="s">
        <v>2365</v>
      </c>
      <c r="AA916" t="s">
        <v>2365</v>
      </c>
      <c r="AB916" t="s">
        <v>2365</v>
      </c>
      <c r="AC916" s="813" t="s">
        <v>2365</v>
      </c>
      <c r="AD916" s="813" t="s">
        <v>2365</v>
      </c>
      <c r="AE916" s="813" t="s">
        <v>2365</v>
      </c>
      <c r="AF916" t="s">
        <v>2365</v>
      </c>
      <c r="AG916" t="s">
        <v>2365</v>
      </c>
      <c r="AH916" t="s">
        <v>2365</v>
      </c>
      <c r="AI916" t="s">
        <v>2365</v>
      </c>
      <c r="AJ916" t="s">
        <v>2365</v>
      </c>
      <c r="AK916">
        <v>146</v>
      </c>
      <c r="AL916" t="s">
        <v>1199</v>
      </c>
      <c r="AM916">
        <v>146</v>
      </c>
      <c r="AN916" t="s">
        <v>1199</v>
      </c>
      <c r="AR916" t="s">
        <v>2365</v>
      </c>
      <c r="AS916" t="s">
        <v>2365</v>
      </c>
      <c r="AT916" t="s">
        <v>2365</v>
      </c>
      <c r="AU916" t="s">
        <v>2365</v>
      </c>
      <c r="AV916" t="s">
        <v>2365</v>
      </c>
      <c r="AW916" t="s">
        <v>2365</v>
      </c>
      <c r="AX916" t="s">
        <v>2365</v>
      </c>
      <c r="AY916" t="s">
        <v>2365</v>
      </c>
      <c r="AZ916" t="s">
        <v>2365</v>
      </c>
      <c r="BA916" t="s">
        <v>2365</v>
      </c>
      <c r="BB916" t="s">
        <v>2365</v>
      </c>
      <c r="BC916" t="s">
        <v>2365</v>
      </c>
      <c r="BD916" t="s">
        <v>2366</v>
      </c>
      <c r="BE916" t="s">
        <v>2365</v>
      </c>
      <c r="BF916" t="s">
        <v>2365</v>
      </c>
      <c r="BG916" t="s">
        <v>2365</v>
      </c>
      <c r="BH916" t="s">
        <v>2365</v>
      </c>
      <c r="BI916" t="s">
        <v>2366</v>
      </c>
      <c r="BJ916" t="s">
        <v>2365</v>
      </c>
      <c r="BK916" t="s">
        <v>2365</v>
      </c>
      <c r="BL916" t="s">
        <v>2365</v>
      </c>
      <c r="BM916" t="s">
        <v>2365</v>
      </c>
      <c r="BO916">
        <v>1</v>
      </c>
      <c r="BP916">
        <v>11</v>
      </c>
      <c r="BQ916" t="s">
        <v>2369</v>
      </c>
      <c r="BR916" t="s">
        <v>1487</v>
      </c>
      <c r="BU916">
        <v>0</v>
      </c>
      <c r="BV916">
        <v>0</v>
      </c>
      <c r="BW916">
        <v>0</v>
      </c>
      <c r="BX916">
        <v>0</v>
      </c>
      <c r="BY916">
        <v>0</v>
      </c>
      <c r="BZ916">
        <v>0</v>
      </c>
      <c r="CA916">
        <v>0</v>
      </c>
      <c r="CB916">
        <v>0</v>
      </c>
      <c r="CC916">
        <v>0</v>
      </c>
      <c r="CD916">
        <v>0</v>
      </c>
      <c r="CE916">
        <v>0</v>
      </c>
      <c r="CF916">
        <v>0</v>
      </c>
      <c r="CG916">
        <v>0</v>
      </c>
      <c r="CH916">
        <v>0</v>
      </c>
      <c r="CI916">
        <v>0</v>
      </c>
      <c r="CJ916">
        <v>0</v>
      </c>
      <c r="CK916">
        <v>0</v>
      </c>
      <c r="CL916">
        <v>0</v>
      </c>
      <c r="CM916">
        <v>0</v>
      </c>
      <c r="CR916" t="s">
        <v>2328</v>
      </c>
      <c r="CS916" s="1369" t="str">
        <f>INDEX([8]Sheet1!$H:$H,MATCH(CR:CR,[8]Sheet1!$AU:$AU,0))</f>
        <v>Water Distribution</v>
      </c>
    </row>
    <row r="917" spans="1:97" x14ac:dyDescent="0.2">
      <c r="A917" t="s">
        <v>3712</v>
      </c>
      <c r="B917">
        <v>970</v>
      </c>
      <c r="C917" t="s">
        <v>3712</v>
      </c>
      <c r="D917">
        <v>41701</v>
      </c>
      <c r="E917" t="s">
        <v>3713</v>
      </c>
      <c r="F917" t="s">
        <v>2364</v>
      </c>
      <c r="G917" t="s">
        <v>2364</v>
      </c>
      <c r="H917" t="s">
        <v>2365</v>
      </c>
      <c r="I917" t="s">
        <v>2365</v>
      </c>
      <c r="J917" t="s">
        <v>2365</v>
      </c>
      <c r="K917" t="s">
        <v>2365</v>
      </c>
      <c r="L917">
        <v>1200</v>
      </c>
      <c r="M917" t="s">
        <v>1480</v>
      </c>
      <c r="N917">
        <v>1204</v>
      </c>
      <c r="O917" t="s">
        <v>1487</v>
      </c>
      <c r="P917" t="s">
        <v>2366</v>
      </c>
      <c r="Q917" t="s">
        <v>2364</v>
      </c>
      <c r="R917" t="s">
        <v>2364</v>
      </c>
      <c r="S917" t="s">
        <v>553</v>
      </c>
      <c r="T917" t="s">
        <v>2175</v>
      </c>
      <c r="U917" t="s">
        <v>2366</v>
      </c>
      <c r="V917" t="s">
        <v>2366</v>
      </c>
      <c r="W917" t="s">
        <v>2366</v>
      </c>
      <c r="X917" t="s">
        <v>2366</v>
      </c>
      <c r="Y917" t="s">
        <v>2365</v>
      </c>
      <c r="Z917" t="s">
        <v>2365</v>
      </c>
      <c r="AA917" t="s">
        <v>2365</v>
      </c>
      <c r="AB917" t="s">
        <v>2365</v>
      </c>
      <c r="AC917" s="813" t="s">
        <v>2365</v>
      </c>
      <c r="AD917" s="813" t="s">
        <v>2365</v>
      </c>
      <c r="AE917" s="813" t="s">
        <v>2365</v>
      </c>
      <c r="AF917" t="s">
        <v>2365</v>
      </c>
      <c r="AG917" t="s">
        <v>2365</v>
      </c>
      <c r="AH917" t="s">
        <v>2365</v>
      </c>
      <c r="AI917" t="s">
        <v>2365</v>
      </c>
      <c r="AJ917" t="s">
        <v>2365</v>
      </c>
      <c r="AK917">
        <v>146</v>
      </c>
      <c r="AL917" t="s">
        <v>1199</v>
      </c>
      <c r="AM917">
        <v>146</v>
      </c>
      <c r="AN917" t="s">
        <v>1199</v>
      </c>
      <c r="AR917" t="s">
        <v>2365</v>
      </c>
      <c r="AS917" t="s">
        <v>2365</v>
      </c>
      <c r="AT917" t="s">
        <v>2365</v>
      </c>
      <c r="AU917" t="s">
        <v>2365</v>
      </c>
      <c r="AV917" t="s">
        <v>2365</v>
      </c>
      <c r="AW917" t="s">
        <v>2365</v>
      </c>
      <c r="AX917" t="s">
        <v>2365</v>
      </c>
      <c r="AY917" t="s">
        <v>2365</v>
      </c>
      <c r="AZ917" t="s">
        <v>2365</v>
      </c>
      <c r="BA917" t="s">
        <v>2365</v>
      </c>
      <c r="BB917" t="s">
        <v>2365</v>
      </c>
      <c r="BC917" t="s">
        <v>2365</v>
      </c>
      <c r="BD917" t="s">
        <v>2366</v>
      </c>
      <c r="BE917" t="s">
        <v>2365</v>
      </c>
      <c r="BF917" t="s">
        <v>2365</v>
      </c>
      <c r="BG917" t="s">
        <v>2365</v>
      </c>
      <c r="BH917" t="s">
        <v>2365</v>
      </c>
      <c r="BI917" t="s">
        <v>2366</v>
      </c>
      <c r="BJ917" t="s">
        <v>2365</v>
      </c>
      <c r="BK917" t="s">
        <v>2365</v>
      </c>
      <c r="BL917" t="s">
        <v>2365</v>
      </c>
      <c r="BM917" t="s">
        <v>2365</v>
      </c>
      <c r="BO917">
        <v>1</v>
      </c>
      <c r="BP917">
        <v>11</v>
      </c>
      <c r="BQ917" t="s">
        <v>2369</v>
      </c>
      <c r="BR917" t="s">
        <v>1487</v>
      </c>
      <c r="BU917">
        <v>0</v>
      </c>
      <c r="BV917">
        <v>0</v>
      </c>
      <c r="BW917">
        <v>0</v>
      </c>
      <c r="BX917">
        <v>0</v>
      </c>
      <c r="BY917">
        <v>0</v>
      </c>
      <c r="BZ917">
        <v>0</v>
      </c>
      <c r="CA917">
        <v>0</v>
      </c>
      <c r="CB917">
        <v>0</v>
      </c>
      <c r="CC917">
        <v>0</v>
      </c>
      <c r="CD917">
        <v>0</v>
      </c>
      <c r="CE917">
        <v>0</v>
      </c>
      <c r="CF917">
        <v>0</v>
      </c>
      <c r="CG917">
        <v>0</v>
      </c>
      <c r="CH917">
        <v>0</v>
      </c>
      <c r="CI917">
        <v>0</v>
      </c>
      <c r="CJ917">
        <v>0</v>
      </c>
      <c r="CK917">
        <v>0</v>
      </c>
      <c r="CL917">
        <v>0</v>
      </c>
      <c r="CM917">
        <v>0</v>
      </c>
      <c r="CR917" t="s">
        <v>2330</v>
      </c>
      <c r="CS917" s="1369" t="str">
        <f>INDEX([8]Sheet1!$H:$H,MATCH(CR:CR,[8]Sheet1!$AU:$AU,0))</f>
        <v>Water Treatment</v>
      </c>
    </row>
    <row r="918" spans="1:97" x14ac:dyDescent="0.2">
      <c r="A918" t="s">
        <v>3714</v>
      </c>
      <c r="B918">
        <v>971</v>
      </c>
      <c r="C918" t="s">
        <v>3714</v>
      </c>
      <c r="D918">
        <v>41702</v>
      </c>
      <c r="E918" t="s">
        <v>3715</v>
      </c>
      <c r="F918" t="s">
        <v>2364</v>
      </c>
      <c r="G918" t="s">
        <v>2364</v>
      </c>
      <c r="H918" t="s">
        <v>2365</v>
      </c>
      <c r="I918" t="s">
        <v>2365</v>
      </c>
      <c r="J918" t="s">
        <v>2365</v>
      </c>
      <c r="K918" t="s">
        <v>2365</v>
      </c>
      <c r="L918">
        <v>1200</v>
      </c>
      <c r="M918" t="s">
        <v>1480</v>
      </c>
      <c r="N918">
        <v>1204</v>
      </c>
      <c r="O918" t="s">
        <v>1487</v>
      </c>
      <c r="P918" t="s">
        <v>2366</v>
      </c>
      <c r="Q918" t="s">
        <v>2364</v>
      </c>
      <c r="R918" t="s">
        <v>2364</v>
      </c>
      <c r="S918" t="s">
        <v>553</v>
      </c>
      <c r="T918" t="s">
        <v>2175</v>
      </c>
      <c r="U918">
        <v>140</v>
      </c>
      <c r="V918" t="s">
        <v>693</v>
      </c>
      <c r="W918">
        <v>140</v>
      </c>
      <c r="X918" t="s">
        <v>693</v>
      </c>
      <c r="Y918" t="s">
        <v>2365</v>
      </c>
      <c r="Z918" t="s">
        <v>2365</v>
      </c>
      <c r="AA918" t="s">
        <v>2365</v>
      </c>
      <c r="AB918" t="s">
        <v>2365</v>
      </c>
      <c r="AC918" s="813" t="s">
        <v>2365</v>
      </c>
      <c r="AD918" s="813" t="s">
        <v>2365</v>
      </c>
      <c r="AE918" s="813" t="s">
        <v>2365</v>
      </c>
      <c r="AF918" t="s">
        <v>2365</v>
      </c>
      <c r="AG918" t="s">
        <v>2365</v>
      </c>
      <c r="AH918" t="s">
        <v>2365</v>
      </c>
      <c r="AI918" t="s">
        <v>2365</v>
      </c>
      <c r="AJ918" t="s">
        <v>2365</v>
      </c>
      <c r="AK918" t="s">
        <v>2366</v>
      </c>
      <c r="AL918" t="s">
        <v>2366</v>
      </c>
      <c r="AM918" t="s">
        <v>2366</v>
      </c>
      <c r="AN918" t="s">
        <v>2366</v>
      </c>
      <c r="AR918" t="s">
        <v>2365</v>
      </c>
      <c r="AS918" t="s">
        <v>2365</v>
      </c>
      <c r="AT918" t="s">
        <v>2365</v>
      </c>
      <c r="AU918" t="s">
        <v>2365</v>
      </c>
      <c r="AV918" t="s">
        <v>2365</v>
      </c>
      <c r="AW918" t="s">
        <v>2365</v>
      </c>
      <c r="AX918" t="s">
        <v>2365</v>
      </c>
      <c r="AY918" t="s">
        <v>2365</v>
      </c>
      <c r="AZ918" t="s">
        <v>2365</v>
      </c>
      <c r="BA918" t="s">
        <v>2365</v>
      </c>
      <c r="BB918" t="s">
        <v>2365</v>
      </c>
      <c r="BC918" t="s">
        <v>2365</v>
      </c>
      <c r="BD918" t="s">
        <v>2366</v>
      </c>
      <c r="BE918" t="s">
        <v>2365</v>
      </c>
      <c r="BF918" t="s">
        <v>2365</v>
      </c>
      <c r="BG918" t="s">
        <v>2365</v>
      </c>
      <c r="BH918" t="s">
        <v>2365</v>
      </c>
      <c r="BI918" t="s">
        <v>2366</v>
      </c>
      <c r="BJ918" t="s">
        <v>2365</v>
      </c>
      <c r="BK918" t="s">
        <v>2365</v>
      </c>
      <c r="BL918" t="s">
        <v>2365</v>
      </c>
      <c r="BM918" t="s">
        <v>2365</v>
      </c>
      <c r="BO918">
        <v>1</v>
      </c>
      <c r="BP918">
        <v>11</v>
      </c>
      <c r="BQ918" t="s">
        <v>2369</v>
      </c>
      <c r="BR918" t="s">
        <v>1487</v>
      </c>
      <c r="BU918">
        <v>0</v>
      </c>
      <c r="BV918">
        <v>0</v>
      </c>
      <c r="BW918">
        <v>0</v>
      </c>
      <c r="BX918">
        <v>0</v>
      </c>
      <c r="BY918">
        <v>0</v>
      </c>
      <c r="BZ918">
        <v>0</v>
      </c>
      <c r="CA918">
        <v>0</v>
      </c>
      <c r="CB918">
        <v>0</v>
      </c>
      <c r="CC918">
        <v>0</v>
      </c>
      <c r="CD918">
        <v>0</v>
      </c>
      <c r="CE918">
        <v>0</v>
      </c>
      <c r="CF918">
        <v>0</v>
      </c>
      <c r="CG918">
        <v>0</v>
      </c>
      <c r="CH918">
        <v>0</v>
      </c>
      <c r="CI918">
        <v>0</v>
      </c>
      <c r="CJ918">
        <v>0</v>
      </c>
      <c r="CK918">
        <v>0</v>
      </c>
      <c r="CL918">
        <v>0</v>
      </c>
      <c r="CM918">
        <v>0</v>
      </c>
      <c r="CR918" t="s">
        <v>2328</v>
      </c>
      <c r="CS918" s="1369" t="str">
        <f>INDEX([8]Sheet1!$H:$H,MATCH(CR:CR,[8]Sheet1!$AU:$AU,0))</f>
        <v>Water Distribution</v>
      </c>
    </row>
    <row r="919" spans="1:97" x14ac:dyDescent="0.2">
      <c r="A919" t="s">
        <v>3716</v>
      </c>
      <c r="B919">
        <v>972</v>
      </c>
      <c r="C919" t="s">
        <v>3716</v>
      </c>
      <c r="D919">
        <v>41703</v>
      </c>
      <c r="E919" t="s">
        <v>3717</v>
      </c>
      <c r="F919" t="s">
        <v>2364</v>
      </c>
      <c r="G919" t="s">
        <v>2364</v>
      </c>
      <c r="H919" t="s">
        <v>2365</v>
      </c>
      <c r="I919" t="s">
        <v>2365</v>
      </c>
      <c r="J919" t="s">
        <v>2365</v>
      </c>
      <c r="K919" t="s">
        <v>2365</v>
      </c>
      <c r="L919">
        <v>1200</v>
      </c>
      <c r="M919" t="s">
        <v>1480</v>
      </c>
      <c r="N919">
        <v>1204</v>
      </c>
      <c r="O919" t="s">
        <v>1487</v>
      </c>
      <c r="P919" t="s">
        <v>2366</v>
      </c>
      <c r="Q919" t="s">
        <v>2364</v>
      </c>
      <c r="R919" t="s">
        <v>2364</v>
      </c>
      <c r="S919" t="s">
        <v>553</v>
      </c>
      <c r="T919" t="s">
        <v>2175</v>
      </c>
      <c r="U919">
        <v>140</v>
      </c>
      <c r="V919" t="s">
        <v>693</v>
      </c>
      <c r="W919">
        <v>140</v>
      </c>
      <c r="X919" t="s">
        <v>693</v>
      </c>
      <c r="Y919" t="s">
        <v>2365</v>
      </c>
      <c r="Z919" t="s">
        <v>2365</v>
      </c>
      <c r="AA919" t="s">
        <v>2365</v>
      </c>
      <c r="AB919" t="s">
        <v>2365</v>
      </c>
      <c r="AC919" s="813" t="s">
        <v>2365</v>
      </c>
      <c r="AD919" s="813" t="s">
        <v>2365</v>
      </c>
      <c r="AE919" s="813" t="s">
        <v>2365</v>
      </c>
      <c r="AF919" t="s">
        <v>2365</v>
      </c>
      <c r="AG919" t="s">
        <v>2365</v>
      </c>
      <c r="AH919" t="s">
        <v>2365</v>
      </c>
      <c r="AI919" t="s">
        <v>2365</v>
      </c>
      <c r="AJ919" t="s">
        <v>2365</v>
      </c>
      <c r="AK919">
        <v>147</v>
      </c>
      <c r="AL919" t="s">
        <v>1200</v>
      </c>
      <c r="AM919">
        <v>147</v>
      </c>
      <c r="AN919" t="s">
        <v>1200</v>
      </c>
      <c r="AR919" t="s">
        <v>2365</v>
      </c>
      <c r="AS919" t="s">
        <v>2365</v>
      </c>
      <c r="AT919" t="s">
        <v>2365</v>
      </c>
      <c r="AU919" t="s">
        <v>2365</v>
      </c>
      <c r="AV919" t="s">
        <v>2365</v>
      </c>
      <c r="AW919" t="s">
        <v>2365</v>
      </c>
      <c r="AX919" t="s">
        <v>2365</v>
      </c>
      <c r="AY919" t="s">
        <v>2365</v>
      </c>
      <c r="AZ919" t="s">
        <v>2365</v>
      </c>
      <c r="BA919" t="s">
        <v>2365</v>
      </c>
      <c r="BB919" t="s">
        <v>2365</v>
      </c>
      <c r="BC919" t="s">
        <v>2365</v>
      </c>
      <c r="BD919" t="s">
        <v>2366</v>
      </c>
      <c r="BE919" t="s">
        <v>2365</v>
      </c>
      <c r="BF919" t="s">
        <v>2365</v>
      </c>
      <c r="BG919" t="s">
        <v>2365</v>
      </c>
      <c r="BH919" t="s">
        <v>2365</v>
      </c>
      <c r="BI919" t="s">
        <v>2366</v>
      </c>
      <c r="BJ919" t="s">
        <v>2365</v>
      </c>
      <c r="BK919" t="s">
        <v>2365</v>
      </c>
      <c r="BL919" t="s">
        <v>2365</v>
      </c>
      <c r="BM919" t="s">
        <v>2365</v>
      </c>
      <c r="BO919">
        <v>1</v>
      </c>
      <c r="BP919">
        <v>11</v>
      </c>
      <c r="BQ919" t="s">
        <v>2369</v>
      </c>
      <c r="BR919" t="s">
        <v>1487</v>
      </c>
      <c r="BU919">
        <v>0</v>
      </c>
      <c r="BV919">
        <v>0</v>
      </c>
      <c r="BW919">
        <v>0</v>
      </c>
      <c r="BX919">
        <v>0</v>
      </c>
      <c r="BY919">
        <v>0</v>
      </c>
      <c r="BZ919">
        <v>0</v>
      </c>
      <c r="CA919">
        <v>0</v>
      </c>
      <c r="CB919">
        <v>0</v>
      </c>
      <c r="CC919">
        <v>0</v>
      </c>
      <c r="CD919">
        <v>0</v>
      </c>
      <c r="CE919">
        <v>0</v>
      </c>
      <c r="CF919">
        <v>0</v>
      </c>
      <c r="CG919">
        <v>0</v>
      </c>
      <c r="CH919">
        <v>0</v>
      </c>
      <c r="CI919">
        <v>0</v>
      </c>
      <c r="CJ919">
        <v>0</v>
      </c>
      <c r="CK919">
        <v>0</v>
      </c>
      <c r="CL919">
        <v>0</v>
      </c>
      <c r="CM919">
        <v>0</v>
      </c>
      <c r="CR919" t="s">
        <v>2328</v>
      </c>
      <c r="CS919" s="1369" t="str">
        <f>INDEX([8]Sheet1!$H:$H,MATCH(CR:CR,[8]Sheet1!$AU:$AU,0))</f>
        <v>Water Distribution</v>
      </c>
    </row>
    <row r="920" spans="1:97" x14ac:dyDescent="0.2">
      <c r="A920" t="s">
        <v>3718</v>
      </c>
      <c r="B920">
        <v>973</v>
      </c>
      <c r="C920" t="s">
        <v>3718</v>
      </c>
      <c r="D920">
        <v>41704</v>
      </c>
      <c r="E920" t="s">
        <v>3719</v>
      </c>
      <c r="F920" t="s">
        <v>2364</v>
      </c>
      <c r="G920" t="s">
        <v>2364</v>
      </c>
      <c r="H920" s="1373" t="s">
        <v>2365</v>
      </c>
      <c r="I920" t="s">
        <v>2365</v>
      </c>
      <c r="J920" t="s">
        <v>2365</v>
      </c>
      <c r="K920" t="s">
        <v>2365</v>
      </c>
      <c r="L920" s="1373">
        <v>1200</v>
      </c>
      <c r="M920" t="s">
        <v>1480</v>
      </c>
      <c r="N920">
        <v>1204</v>
      </c>
      <c r="O920" t="s">
        <v>1487</v>
      </c>
      <c r="P920" t="s">
        <v>2366</v>
      </c>
      <c r="Q920" t="s">
        <v>2364</v>
      </c>
      <c r="R920" t="s">
        <v>2364</v>
      </c>
      <c r="S920" t="s">
        <v>553</v>
      </c>
      <c r="T920" t="s">
        <v>2175</v>
      </c>
      <c r="U920" t="s">
        <v>2366</v>
      </c>
      <c r="V920" t="s">
        <v>2366</v>
      </c>
      <c r="W920" t="s">
        <v>2366</v>
      </c>
      <c r="X920" t="s">
        <v>2366</v>
      </c>
      <c r="Y920" t="s">
        <v>2365</v>
      </c>
      <c r="Z920" t="s">
        <v>2365</v>
      </c>
      <c r="AA920" t="s">
        <v>2365</v>
      </c>
      <c r="AB920" t="s">
        <v>2365</v>
      </c>
      <c r="AC920" s="813" t="s">
        <v>2365</v>
      </c>
      <c r="AD920" s="813" t="s">
        <v>2365</v>
      </c>
      <c r="AE920" s="813" t="s">
        <v>2365</v>
      </c>
      <c r="AF920" t="s">
        <v>2365</v>
      </c>
      <c r="AG920" t="s">
        <v>2365</v>
      </c>
      <c r="AH920" t="s">
        <v>2365</v>
      </c>
      <c r="AI920" t="s">
        <v>2365</v>
      </c>
      <c r="AJ920" t="s">
        <v>2365</v>
      </c>
      <c r="AK920">
        <v>146</v>
      </c>
      <c r="AL920" t="s">
        <v>1199</v>
      </c>
      <c r="AM920">
        <v>146</v>
      </c>
      <c r="AN920" t="s">
        <v>1199</v>
      </c>
      <c r="AR920" t="s">
        <v>2365</v>
      </c>
      <c r="AS920" t="s">
        <v>2365</v>
      </c>
      <c r="AT920" t="s">
        <v>2365</v>
      </c>
      <c r="AU920" t="s">
        <v>2365</v>
      </c>
      <c r="AV920" t="s">
        <v>2365</v>
      </c>
      <c r="AW920" t="s">
        <v>2365</v>
      </c>
      <c r="AX920" t="s">
        <v>2365</v>
      </c>
      <c r="AY920" t="s">
        <v>2365</v>
      </c>
      <c r="AZ920" t="s">
        <v>2365</v>
      </c>
      <c r="BA920" t="s">
        <v>2365</v>
      </c>
      <c r="BB920" t="s">
        <v>2365</v>
      </c>
      <c r="BC920" t="s">
        <v>2365</v>
      </c>
      <c r="BD920" t="s">
        <v>2366</v>
      </c>
      <c r="BE920" t="s">
        <v>2365</v>
      </c>
      <c r="BF920" t="s">
        <v>2365</v>
      </c>
      <c r="BG920" t="s">
        <v>2365</v>
      </c>
      <c r="BH920" t="s">
        <v>2365</v>
      </c>
      <c r="BI920" t="s">
        <v>2366</v>
      </c>
      <c r="BJ920" t="s">
        <v>2365</v>
      </c>
      <c r="BK920" t="s">
        <v>2365</v>
      </c>
      <c r="BL920" t="s">
        <v>2365</v>
      </c>
      <c r="BM920" t="s">
        <v>2365</v>
      </c>
      <c r="BO920">
        <v>1</v>
      </c>
      <c r="BP920">
        <v>11</v>
      </c>
      <c r="BQ920" t="s">
        <v>2369</v>
      </c>
      <c r="BR920" t="s">
        <v>1487</v>
      </c>
      <c r="BU920" s="1371">
        <v>0</v>
      </c>
      <c r="BV920" s="1371">
        <v>0</v>
      </c>
      <c r="BW920" s="1371">
        <v>0</v>
      </c>
      <c r="BX920" s="1371">
        <v>0</v>
      </c>
      <c r="BY920" s="1371">
        <v>0</v>
      </c>
      <c r="BZ920">
        <v>0</v>
      </c>
      <c r="CA920">
        <v>0</v>
      </c>
      <c r="CB920">
        <v>0</v>
      </c>
      <c r="CC920">
        <v>0</v>
      </c>
      <c r="CD920">
        <v>0</v>
      </c>
      <c r="CE920">
        <v>0</v>
      </c>
      <c r="CF920">
        <v>0</v>
      </c>
      <c r="CG920">
        <v>0</v>
      </c>
      <c r="CH920">
        <v>0</v>
      </c>
      <c r="CI920">
        <v>0</v>
      </c>
      <c r="CJ920">
        <v>0</v>
      </c>
      <c r="CK920">
        <v>0</v>
      </c>
      <c r="CL920">
        <v>0</v>
      </c>
      <c r="CM920">
        <v>0</v>
      </c>
      <c r="CR920" t="s">
        <v>2328</v>
      </c>
      <c r="CS920" s="1369" t="str">
        <f>INDEX([8]Sheet1!$H:$H,MATCH(CR:CR,[8]Sheet1!$AU:$AU,0))</f>
        <v>Water Distribution</v>
      </c>
    </row>
    <row r="921" spans="1:97" x14ac:dyDescent="0.2">
      <c r="A921" t="s">
        <v>3720</v>
      </c>
      <c r="B921">
        <v>974</v>
      </c>
      <c r="C921" t="s">
        <v>3720</v>
      </c>
      <c r="D921">
        <v>41705</v>
      </c>
      <c r="E921" t="s">
        <v>3721</v>
      </c>
      <c r="F921" t="s">
        <v>2364</v>
      </c>
      <c r="G921" t="s">
        <v>2364</v>
      </c>
      <c r="H921" t="s">
        <v>2365</v>
      </c>
      <c r="I921" t="s">
        <v>2365</v>
      </c>
      <c r="J921" t="s">
        <v>2365</v>
      </c>
      <c r="K921" t="s">
        <v>2365</v>
      </c>
      <c r="L921">
        <v>1200</v>
      </c>
      <c r="M921" t="s">
        <v>1480</v>
      </c>
      <c r="N921">
        <v>1204</v>
      </c>
      <c r="O921" t="s">
        <v>1487</v>
      </c>
      <c r="P921" t="s">
        <v>2366</v>
      </c>
      <c r="Q921" t="s">
        <v>2364</v>
      </c>
      <c r="R921" t="s">
        <v>2364</v>
      </c>
      <c r="S921" t="s">
        <v>553</v>
      </c>
      <c r="T921" t="s">
        <v>2175</v>
      </c>
      <c r="U921" t="s">
        <v>2366</v>
      </c>
      <c r="V921" t="s">
        <v>2366</v>
      </c>
      <c r="W921" t="s">
        <v>2366</v>
      </c>
      <c r="X921" t="s">
        <v>2366</v>
      </c>
      <c r="Y921" t="s">
        <v>2365</v>
      </c>
      <c r="Z921" t="s">
        <v>2365</v>
      </c>
      <c r="AA921" t="s">
        <v>2365</v>
      </c>
      <c r="AB921" t="s">
        <v>2365</v>
      </c>
      <c r="AC921" s="813" t="s">
        <v>2365</v>
      </c>
      <c r="AD921" s="813" t="s">
        <v>2365</v>
      </c>
      <c r="AE921" s="813" t="s">
        <v>2365</v>
      </c>
      <c r="AF921" t="s">
        <v>2365</v>
      </c>
      <c r="AG921" t="s">
        <v>2365</v>
      </c>
      <c r="AH921" t="s">
        <v>2365</v>
      </c>
      <c r="AI921" t="s">
        <v>2365</v>
      </c>
      <c r="AJ921" t="s">
        <v>2365</v>
      </c>
      <c r="AK921">
        <v>146</v>
      </c>
      <c r="AL921" t="s">
        <v>1199</v>
      </c>
      <c r="AM921">
        <v>146</v>
      </c>
      <c r="AN921" t="s">
        <v>1199</v>
      </c>
      <c r="AR921" t="s">
        <v>2365</v>
      </c>
      <c r="AS921" t="s">
        <v>2365</v>
      </c>
      <c r="AT921" t="s">
        <v>2365</v>
      </c>
      <c r="AU921" t="s">
        <v>2365</v>
      </c>
      <c r="AV921" t="s">
        <v>2365</v>
      </c>
      <c r="AW921" t="s">
        <v>2365</v>
      </c>
      <c r="AX921" t="s">
        <v>2365</v>
      </c>
      <c r="AY921" t="s">
        <v>2365</v>
      </c>
      <c r="AZ921" t="s">
        <v>2365</v>
      </c>
      <c r="BA921" t="s">
        <v>2365</v>
      </c>
      <c r="BB921" t="s">
        <v>2365</v>
      </c>
      <c r="BC921" t="s">
        <v>2365</v>
      </c>
      <c r="BD921" t="s">
        <v>2366</v>
      </c>
      <c r="BE921" t="s">
        <v>2365</v>
      </c>
      <c r="BF921" t="s">
        <v>2365</v>
      </c>
      <c r="BG921" t="s">
        <v>2365</v>
      </c>
      <c r="BH921" t="s">
        <v>2365</v>
      </c>
      <c r="BI921" t="s">
        <v>2366</v>
      </c>
      <c r="BJ921" t="s">
        <v>2365</v>
      </c>
      <c r="BK921" t="s">
        <v>2365</v>
      </c>
      <c r="BL921" t="s">
        <v>2365</v>
      </c>
      <c r="BM921" t="s">
        <v>2365</v>
      </c>
      <c r="BO921">
        <v>1</v>
      </c>
      <c r="BP921">
        <v>11</v>
      </c>
      <c r="BQ921" t="s">
        <v>2369</v>
      </c>
      <c r="BR921" t="s">
        <v>1487</v>
      </c>
      <c r="BU921">
        <v>0</v>
      </c>
      <c r="BV921">
        <v>0</v>
      </c>
      <c r="BW921">
        <v>0</v>
      </c>
      <c r="BX921">
        <v>0</v>
      </c>
      <c r="BY921">
        <v>0</v>
      </c>
      <c r="BZ921">
        <v>0</v>
      </c>
      <c r="CA921">
        <v>0</v>
      </c>
      <c r="CB921">
        <v>0</v>
      </c>
      <c r="CC921">
        <v>0</v>
      </c>
      <c r="CD921">
        <v>0</v>
      </c>
      <c r="CE921">
        <v>0</v>
      </c>
      <c r="CF921">
        <v>0</v>
      </c>
      <c r="CG921">
        <v>0</v>
      </c>
      <c r="CH921">
        <v>0</v>
      </c>
      <c r="CI921">
        <v>0</v>
      </c>
      <c r="CJ921">
        <v>0</v>
      </c>
      <c r="CK921">
        <v>0</v>
      </c>
      <c r="CL921">
        <v>0</v>
      </c>
      <c r="CM921">
        <v>0</v>
      </c>
      <c r="CR921" t="s">
        <v>2328</v>
      </c>
      <c r="CS921" s="1369" t="str">
        <f>INDEX([8]Sheet1!$H:$H,MATCH(CR:CR,[8]Sheet1!$AU:$AU,0))</f>
        <v>Water Distribution</v>
      </c>
    </row>
    <row r="922" spans="1:97" x14ac:dyDescent="0.2">
      <c r="A922" t="s">
        <v>3722</v>
      </c>
      <c r="B922">
        <v>975</v>
      </c>
      <c r="C922" t="s">
        <v>3722</v>
      </c>
      <c r="D922">
        <v>41706</v>
      </c>
      <c r="E922" t="s">
        <v>3723</v>
      </c>
      <c r="F922" t="s">
        <v>2364</v>
      </c>
      <c r="G922" t="s">
        <v>2364</v>
      </c>
      <c r="H922" t="s">
        <v>2365</v>
      </c>
      <c r="I922" t="s">
        <v>2365</v>
      </c>
      <c r="J922" t="s">
        <v>2365</v>
      </c>
      <c r="K922" t="s">
        <v>2365</v>
      </c>
      <c r="L922">
        <v>1200</v>
      </c>
      <c r="M922" t="s">
        <v>1480</v>
      </c>
      <c r="N922">
        <v>1204</v>
      </c>
      <c r="O922" t="s">
        <v>1487</v>
      </c>
      <c r="P922" t="s">
        <v>2366</v>
      </c>
      <c r="Q922" t="s">
        <v>2364</v>
      </c>
      <c r="R922" t="s">
        <v>2364</v>
      </c>
      <c r="S922" t="s">
        <v>553</v>
      </c>
      <c r="T922" t="s">
        <v>2175</v>
      </c>
      <c r="U922">
        <v>140</v>
      </c>
      <c r="V922" t="s">
        <v>693</v>
      </c>
      <c r="W922">
        <v>140</v>
      </c>
      <c r="X922" t="s">
        <v>693</v>
      </c>
      <c r="Y922" t="s">
        <v>2365</v>
      </c>
      <c r="Z922" t="s">
        <v>2365</v>
      </c>
      <c r="AA922" t="s">
        <v>2365</v>
      </c>
      <c r="AB922" t="s">
        <v>2365</v>
      </c>
      <c r="AC922" s="813" t="s">
        <v>2365</v>
      </c>
      <c r="AD922" s="813" t="s">
        <v>2365</v>
      </c>
      <c r="AE922" s="813" t="s">
        <v>2365</v>
      </c>
      <c r="AF922" t="s">
        <v>2365</v>
      </c>
      <c r="AG922" t="s">
        <v>2365</v>
      </c>
      <c r="AH922" t="s">
        <v>2365</v>
      </c>
      <c r="AI922" t="s">
        <v>2365</v>
      </c>
      <c r="AJ922" t="s">
        <v>2365</v>
      </c>
      <c r="AK922" t="s">
        <v>2366</v>
      </c>
      <c r="AL922" t="s">
        <v>2366</v>
      </c>
      <c r="AM922" t="s">
        <v>2366</v>
      </c>
      <c r="AN922" t="s">
        <v>2366</v>
      </c>
      <c r="AR922" t="s">
        <v>2365</v>
      </c>
      <c r="AS922" t="s">
        <v>2365</v>
      </c>
      <c r="AT922" t="s">
        <v>2365</v>
      </c>
      <c r="AU922" t="s">
        <v>2365</v>
      </c>
      <c r="AV922" t="s">
        <v>2365</v>
      </c>
      <c r="AW922" t="s">
        <v>2365</v>
      </c>
      <c r="AX922" t="s">
        <v>2365</v>
      </c>
      <c r="AY922" t="s">
        <v>2365</v>
      </c>
      <c r="AZ922" t="s">
        <v>2365</v>
      </c>
      <c r="BA922" t="s">
        <v>2365</v>
      </c>
      <c r="BB922" t="s">
        <v>2365</v>
      </c>
      <c r="BC922" t="s">
        <v>2365</v>
      </c>
      <c r="BD922" t="s">
        <v>2366</v>
      </c>
      <c r="BE922" t="s">
        <v>2365</v>
      </c>
      <c r="BF922" t="s">
        <v>2365</v>
      </c>
      <c r="BG922" t="s">
        <v>2365</v>
      </c>
      <c r="BH922" t="s">
        <v>2365</v>
      </c>
      <c r="BI922" t="s">
        <v>2366</v>
      </c>
      <c r="BJ922" t="s">
        <v>2365</v>
      </c>
      <c r="BK922" t="s">
        <v>2365</v>
      </c>
      <c r="BL922" t="s">
        <v>2365</v>
      </c>
      <c r="BM922" t="s">
        <v>2365</v>
      </c>
      <c r="BO922">
        <v>1</v>
      </c>
      <c r="BP922">
        <v>11</v>
      </c>
      <c r="BQ922" t="s">
        <v>2369</v>
      </c>
      <c r="BR922" t="s">
        <v>1487</v>
      </c>
      <c r="BU922">
        <v>0</v>
      </c>
      <c r="BV922">
        <v>0</v>
      </c>
      <c r="BW922">
        <v>0</v>
      </c>
      <c r="BX922">
        <v>0</v>
      </c>
      <c r="BY922">
        <v>0</v>
      </c>
      <c r="BZ922">
        <v>0</v>
      </c>
      <c r="CA922">
        <v>0</v>
      </c>
      <c r="CB922">
        <v>0</v>
      </c>
      <c r="CC922">
        <v>0</v>
      </c>
      <c r="CD922">
        <v>0</v>
      </c>
      <c r="CE922">
        <v>0</v>
      </c>
      <c r="CF922">
        <v>0</v>
      </c>
      <c r="CG922">
        <v>0</v>
      </c>
      <c r="CH922">
        <v>0</v>
      </c>
      <c r="CI922">
        <v>0</v>
      </c>
      <c r="CJ922">
        <v>0</v>
      </c>
      <c r="CK922">
        <v>0</v>
      </c>
      <c r="CL922">
        <v>0</v>
      </c>
      <c r="CM922">
        <v>0</v>
      </c>
      <c r="CR922" t="s">
        <v>2328</v>
      </c>
      <c r="CS922" s="1369" t="str">
        <f>INDEX([8]Sheet1!$H:$H,MATCH(CR:CR,[8]Sheet1!$AU:$AU,0))</f>
        <v>Water Distribution</v>
      </c>
    </row>
    <row r="923" spans="1:97" x14ac:dyDescent="0.2">
      <c r="A923" t="s">
        <v>3724</v>
      </c>
      <c r="B923">
        <v>976</v>
      </c>
      <c r="C923" t="s">
        <v>3724</v>
      </c>
      <c r="D923">
        <v>41707</v>
      </c>
      <c r="E923" t="s">
        <v>3725</v>
      </c>
      <c r="F923" t="s">
        <v>2364</v>
      </c>
      <c r="G923" t="s">
        <v>2364</v>
      </c>
      <c r="H923" t="s">
        <v>2365</v>
      </c>
      <c r="I923" t="s">
        <v>2365</v>
      </c>
      <c r="J923" t="s">
        <v>2365</v>
      </c>
      <c r="K923" t="s">
        <v>2365</v>
      </c>
      <c r="L923">
        <v>1200</v>
      </c>
      <c r="M923" t="s">
        <v>1480</v>
      </c>
      <c r="N923">
        <v>1204</v>
      </c>
      <c r="O923" t="s">
        <v>1487</v>
      </c>
      <c r="P923" t="s">
        <v>2366</v>
      </c>
      <c r="Q923" t="s">
        <v>2364</v>
      </c>
      <c r="R923" t="s">
        <v>2364</v>
      </c>
      <c r="S923" t="s">
        <v>553</v>
      </c>
      <c r="T923" t="s">
        <v>2175</v>
      </c>
      <c r="U923" t="s">
        <v>2366</v>
      </c>
      <c r="V923" t="s">
        <v>2366</v>
      </c>
      <c r="W923" t="s">
        <v>2366</v>
      </c>
      <c r="X923" t="s">
        <v>2366</v>
      </c>
      <c r="Y923" t="s">
        <v>2365</v>
      </c>
      <c r="Z923" t="s">
        <v>2365</v>
      </c>
      <c r="AA923" t="s">
        <v>2365</v>
      </c>
      <c r="AB923" t="s">
        <v>2365</v>
      </c>
      <c r="AC923" s="813" t="s">
        <v>2365</v>
      </c>
      <c r="AD923" s="813" t="s">
        <v>2365</v>
      </c>
      <c r="AE923" s="813" t="s">
        <v>2365</v>
      </c>
      <c r="AF923" t="s">
        <v>2365</v>
      </c>
      <c r="AG923" t="s">
        <v>2365</v>
      </c>
      <c r="AH923" t="s">
        <v>2365</v>
      </c>
      <c r="AI923" t="s">
        <v>2365</v>
      </c>
      <c r="AJ923" t="s">
        <v>2365</v>
      </c>
      <c r="AK923">
        <v>146</v>
      </c>
      <c r="AL923" t="s">
        <v>1199</v>
      </c>
      <c r="AM923">
        <v>146</v>
      </c>
      <c r="AN923" t="s">
        <v>1199</v>
      </c>
      <c r="AR923" t="s">
        <v>2365</v>
      </c>
      <c r="AS923" t="s">
        <v>2365</v>
      </c>
      <c r="AT923" t="s">
        <v>2365</v>
      </c>
      <c r="AU923" t="s">
        <v>2365</v>
      </c>
      <c r="AV923" t="s">
        <v>2365</v>
      </c>
      <c r="AW923" t="s">
        <v>2365</v>
      </c>
      <c r="AX923" t="s">
        <v>2365</v>
      </c>
      <c r="AY923" t="s">
        <v>2365</v>
      </c>
      <c r="AZ923" t="s">
        <v>2365</v>
      </c>
      <c r="BA923" t="s">
        <v>2365</v>
      </c>
      <c r="BB923" t="s">
        <v>2365</v>
      </c>
      <c r="BC923" t="s">
        <v>2365</v>
      </c>
      <c r="BD923" t="s">
        <v>2366</v>
      </c>
      <c r="BE923" t="s">
        <v>2365</v>
      </c>
      <c r="BF923" t="s">
        <v>2365</v>
      </c>
      <c r="BG923" t="s">
        <v>2365</v>
      </c>
      <c r="BH923" t="s">
        <v>2365</v>
      </c>
      <c r="BI923" t="s">
        <v>2366</v>
      </c>
      <c r="BJ923" t="s">
        <v>2365</v>
      </c>
      <c r="BK923" t="s">
        <v>2365</v>
      </c>
      <c r="BL923" t="s">
        <v>2365</v>
      </c>
      <c r="BM923" t="s">
        <v>2365</v>
      </c>
      <c r="BO923">
        <v>1</v>
      </c>
      <c r="BP923">
        <v>11</v>
      </c>
      <c r="BQ923" t="s">
        <v>2369</v>
      </c>
      <c r="BR923" t="s">
        <v>1487</v>
      </c>
      <c r="BU923">
        <v>0</v>
      </c>
      <c r="BV923">
        <v>0</v>
      </c>
      <c r="BW923">
        <v>0</v>
      </c>
      <c r="BX923">
        <v>0</v>
      </c>
      <c r="BY923">
        <v>0</v>
      </c>
      <c r="BZ923">
        <v>0</v>
      </c>
      <c r="CA923">
        <v>0</v>
      </c>
      <c r="CB923">
        <v>0</v>
      </c>
      <c r="CC923">
        <v>0</v>
      </c>
      <c r="CD923">
        <v>0</v>
      </c>
      <c r="CE923">
        <v>0</v>
      </c>
      <c r="CF923">
        <v>0</v>
      </c>
      <c r="CG923">
        <v>0</v>
      </c>
      <c r="CH923">
        <v>0</v>
      </c>
      <c r="CI923">
        <v>0</v>
      </c>
      <c r="CJ923">
        <v>0</v>
      </c>
      <c r="CK923">
        <v>0</v>
      </c>
      <c r="CL923">
        <v>0</v>
      </c>
      <c r="CM923">
        <v>0</v>
      </c>
      <c r="CR923" t="s">
        <v>2328</v>
      </c>
      <c r="CS923" s="1369" t="str">
        <f>INDEX([8]Sheet1!$H:$H,MATCH(CR:CR,[8]Sheet1!$AU:$AU,0))</f>
        <v>Water Distribution</v>
      </c>
    </row>
    <row r="924" spans="1:97" x14ac:dyDescent="0.2">
      <c r="A924" t="s">
        <v>3726</v>
      </c>
      <c r="B924">
        <v>977</v>
      </c>
      <c r="C924" t="s">
        <v>3726</v>
      </c>
      <c r="D924">
        <v>41708</v>
      </c>
      <c r="E924" t="s">
        <v>3727</v>
      </c>
      <c r="F924" t="s">
        <v>2364</v>
      </c>
      <c r="G924" t="s">
        <v>2364</v>
      </c>
      <c r="H924" t="s">
        <v>2365</v>
      </c>
      <c r="I924" t="s">
        <v>2365</v>
      </c>
      <c r="J924" t="s">
        <v>2365</v>
      </c>
      <c r="K924" t="s">
        <v>2365</v>
      </c>
      <c r="L924">
        <v>1200</v>
      </c>
      <c r="M924" t="s">
        <v>1480</v>
      </c>
      <c r="N924">
        <v>1204</v>
      </c>
      <c r="O924" t="s">
        <v>1487</v>
      </c>
      <c r="P924" t="s">
        <v>2366</v>
      </c>
      <c r="Q924" t="s">
        <v>2364</v>
      </c>
      <c r="R924" t="s">
        <v>2364</v>
      </c>
      <c r="S924" t="s">
        <v>553</v>
      </c>
      <c r="T924" t="s">
        <v>2175</v>
      </c>
      <c r="U924">
        <v>140</v>
      </c>
      <c r="V924" t="s">
        <v>693</v>
      </c>
      <c r="W924">
        <v>140</v>
      </c>
      <c r="X924" t="s">
        <v>693</v>
      </c>
      <c r="Y924" t="s">
        <v>2365</v>
      </c>
      <c r="Z924" t="s">
        <v>2365</v>
      </c>
      <c r="AA924" t="s">
        <v>2365</v>
      </c>
      <c r="AB924" t="s">
        <v>2365</v>
      </c>
      <c r="AC924" s="813" t="s">
        <v>2365</v>
      </c>
      <c r="AD924" s="813" t="s">
        <v>2365</v>
      </c>
      <c r="AE924" s="813" t="s">
        <v>2365</v>
      </c>
      <c r="AF924" t="s">
        <v>2365</v>
      </c>
      <c r="AG924" t="s">
        <v>2365</v>
      </c>
      <c r="AH924" t="s">
        <v>2365</v>
      </c>
      <c r="AI924" t="s">
        <v>2365</v>
      </c>
      <c r="AJ924" t="s">
        <v>2365</v>
      </c>
      <c r="AK924" t="s">
        <v>2366</v>
      </c>
      <c r="AL924" t="s">
        <v>2366</v>
      </c>
      <c r="AM924" t="s">
        <v>2366</v>
      </c>
      <c r="AN924" t="s">
        <v>2366</v>
      </c>
      <c r="AR924" t="s">
        <v>2365</v>
      </c>
      <c r="AS924" t="s">
        <v>2365</v>
      </c>
      <c r="AT924" t="s">
        <v>2365</v>
      </c>
      <c r="AU924" t="s">
        <v>2365</v>
      </c>
      <c r="AV924" t="s">
        <v>2365</v>
      </c>
      <c r="AW924" t="s">
        <v>2365</v>
      </c>
      <c r="AX924" t="s">
        <v>2365</v>
      </c>
      <c r="AY924" t="s">
        <v>2365</v>
      </c>
      <c r="AZ924" t="s">
        <v>2365</v>
      </c>
      <c r="BA924" t="s">
        <v>2365</v>
      </c>
      <c r="BB924" t="s">
        <v>2365</v>
      </c>
      <c r="BC924" t="s">
        <v>2365</v>
      </c>
      <c r="BD924" t="s">
        <v>2366</v>
      </c>
      <c r="BE924" t="s">
        <v>2365</v>
      </c>
      <c r="BF924" t="s">
        <v>2365</v>
      </c>
      <c r="BG924" t="s">
        <v>2365</v>
      </c>
      <c r="BH924" t="s">
        <v>2365</v>
      </c>
      <c r="BI924" t="s">
        <v>2366</v>
      </c>
      <c r="BJ924" t="s">
        <v>2365</v>
      </c>
      <c r="BK924" t="s">
        <v>2365</v>
      </c>
      <c r="BL924" t="s">
        <v>2365</v>
      </c>
      <c r="BM924" t="s">
        <v>2365</v>
      </c>
      <c r="BO924">
        <v>1</v>
      </c>
      <c r="BP924">
        <v>11</v>
      </c>
      <c r="BQ924" t="s">
        <v>2369</v>
      </c>
      <c r="BR924" t="s">
        <v>1487</v>
      </c>
      <c r="BU924">
        <v>0</v>
      </c>
      <c r="BV924">
        <v>0</v>
      </c>
      <c r="BW924">
        <v>0</v>
      </c>
      <c r="BX924">
        <v>0</v>
      </c>
      <c r="BY924">
        <v>0</v>
      </c>
      <c r="BZ924">
        <v>0</v>
      </c>
      <c r="CA924">
        <v>0</v>
      </c>
      <c r="CB924">
        <v>0</v>
      </c>
      <c r="CC924">
        <v>0</v>
      </c>
      <c r="CD924">
        <v>0</v>
      </c>
      <c r="CE924">
        <v>0</v>
      </c>
      <c r="CF924">
        <v>0</v>
      </c>
      <c r="CG924">
        <v>0</v>
      </c>
      <c r="CH924">
        <v>0</v>
      </c>
      <c r="CI924">
        <v>0</v>
      </c>
      <c r="CJ924">
        <v>0</v>
      </c>
      <c r="CK924">
        <v>0</v>
      </c>
      <c r="CL924">
        <v>0</v>
      </c>
      <c r="CM924">
        <v>0</v>
      </c>
      <c r="CR924" t="s">
        <v>2328</v>
      </c>
      <c r="CS924" s="1369" t="str">
        <f>INDEX([8]Sheet1!$H:$H,MATCH(CR:CR,[8]Sheet1!$AU:$AU,0))</f>
        <v>Water Distribution</v>
      </c>
    </row>
    <row r="925" spans="1:97" x14ac:dyDescent="0.2">
      <c r="A925" t="s">
        <v>3728</v>
      </c>
      <c r="B925">
        <v>978</v>
      </c>
      <c r="C925" t="s">
        <v>3728</v>
      </c>
      <c r="D925">
        <v>41709</v>
      </c>
      <c r="E925" t="s">
        <v>3729</v>
      </c>
      <c r="F925" t="s">
        <v>2364</v>
      </c>
      <c r="G925" t="s">
        <v>2364</v>
      </c>
      <c r="H925" t="s">
        <v>2365</v>
      </c>
      <c r="I925" t="s">
        <v>2365</v>
      </c>
      <c r="J925" t="s">
        <v>2365</v>
      </c>
      <c r="K925" t="s">
        <v>2365</v>
      </c>
      <c r="L925">
        <v>1200</v>
      </c>
      <c r="M925" t="s">
        <v>1480</v>
      </c>
      <c r="N925">
        <v>1204</v>
      </c>
      <c r="O925" t="s">
        <v>1487</v>
      </c>
      <c r="P925" t="s">
        <v>2366</v>
      </c>
      <c r="Q925" t="s">
        <v>2364</v>
      </c>
      <c r="R925" t="s">
        <v>2364</v>
      </c>
      <c r="S925" t="s">
        <v>553</v>
      </c>
      <c r="T925" t="s">
        <v>2175</v>
      </c>
      <c r="U925">
        <v>140</v>
      </c>
      <c r="V925" t="s">
        <v>693</v>
      </c>
      <c r="W925">
        <v>140</v>
      </c>
      <c r="X925" t="s">
        <v>693</v>
      </c>
      <c r="Y925" t="s">
        <v>2365</v>
      </c>
      <c r="Z925" t="s">
        <v>2365</v>
      </c>
      <c r="AA925" t="s">
        <v>2365</v>
      </c>
      <c r="AB925" t="s">
        <v>2365</v>
      </c>
      <c r="AC925" s="813" t="s">
        <v>2365</v>
      </c>
      <c r="AD925" s="813" t="s">
        <v>2365</v>
      </c>
      <c r="AE925" s="813" t="s">
        <v>2365</v>
      </c>
      <c r="AF925" t="s">
        <v>2365</v>
      </c>
      <c r="AG925" t="s">
        <v>2365</v>
      </c>
      <c r="AH925" t="s">
        <v>2365</v>
      </c>
      <c r="AI925" t="s">
        <v>2365</v>
      </c>
      <c r="AJ925" t="s">
        <v>2365</v>
      </c>
      <c r="AK925" t="s">
        <v>2366</v>
      </c>
      <c r="AL925" t="s">
        <v>2366</v>
      </c>
      <c r="AM925" t="s">
        <v>2366</v>
      </c>
      <c r="AN925" t="s">
        <v>2366</v>
      </c>
      <c r="AR925" t="s">
        <v>2365</v>
      </c>
      <c r="AS925" t="s">
        <v>2365</v>
      </c>
      <c r="AT925" t="s">
        <v>2365</v>
      </c>
      <c r="AU925" t="s">
        <v>2365</v>
      </c>
      <c r="AV925" t="s">
        <v>2365</v>
      </c>
      <c r="AW925" t="s">
        <v>2365</v>
      </c>
      <c r="AX925" t="s">
        <v>2365</v>
      </c>
      <c r="AY925" t="s">
        <v>2365</v>
      </c>
      <c r="AZ925" t="s">
        <v>2365</v>
      </c>
      <c r="BA925" t="s">
        <v>2365</v>
      </c>
      <c r="BB925" t="s">
        <v>2365</v>
      </c>
      <c r="BC925" t="s">
        <v>2365</v>
      </c>
      <c r="BD925" t="s">
        <v>2366</v>
      </c>
      <c r="BE925" t="s">
        <v>2365</v>
      </c>
      <c r="BF925" t="s">
        <v>2365</v>
      </c>
      <c r="BG925" t="s">
        <v>2365</v>
      </c>
      <c r="BH925" t="s">
        <v>2365</v>
      </c>
      <c r="BI925" t="s">
        <v>2366</v>
      </c>
      <c r="BJ925" t="s">
        <v>2365</v>
      </c>
      <c r="BK925" t="s">
        <v>2365</v>
      </c>
      <c r="BL925" t="s">
        <v>2365</v>
      </c>
      <c r="BM925" t="s">
        <v>2365</v>
      </c>
      <c r="BO925">
        <v>1</v>
      </c>
      <c r="BP925">
        <v>11</v>
      </c>
      <c r="BQ925" t="s">
        <v>2369</v>
      </c>
      <c r="BR925" t="s">
        <v>1487</v>
      </c>
      <c r="BU925">
        <v>0</v>
      </c>
      <c r="BV925">
        <v>0</v>
      </c>
      <c r="BW925">
        <v>0</v>
      </c>
      <c r="BX925">
        <v>0</v>
      </c>
      <c r="BY925">
        <v>0</v>
      </c>
      <c r="BZ925">
        <v>0</v>
      </c>
      <c r="CA925">
        <v>0</v>
      </c>
      <c r="CB925">
        <v>0</v>
      </c>
      <c r="CC925">
        <v>0</v>
      </c>
      <c r="CD925">
        <v>0</v>
      </c>
      <c r="CE925">
        <v>0</v>
      </c>
      <c r="CF925">
        <v>0</v>
      </c>
      <c r="CG925">
        <v>0</v>
      </c>
      <c r="CH925">
        <v>0</v>
      </c>
      <c r="CI925">
        <v>0</v>
      </c>
      <c r="CJ925">
        <v>0</v>
      </c>
      <c r="CK925">
        <v>0</v>
      </c>
      <c r="CL925">
        <v>0</v>
      </c>
      <c r="CM925">
        <v>0</v>
      </c>
      <c r="CR925" t="s">
        <v>2328</v>
      </c>
      <c r="CS925" s="1369" t="str">
        <f>INDEX([8]Sheet1!$H:$H,MATCH(CR:CR,[8]Sheet1!$AU:$AU,0))</f>
        <v>Water Distribution</v>
      </c>
    </row>
    <row r="926" spans="1:97" x14ac:dyDescent="0.2">
      <c r="A926" t="s">
        <v>3730</v>
      </c>
      <c r="B926">
        <v>979</v>
      </c>
      <c r="C926" t="s">
        <v>3730</v>
      </c>
      <c r="D926">
        <v>41710</v>
      </c>
      <c r="E926" t="s">
        <v>3731</v>
      </c>
      <c r="F926" t="s">
        <v>2364</v>
      </c>
      <c r="G926" t="s">
        <v>2364</v>
      </c>
      <c r="H926" t="s">
        <v>2365</v>
      </c>
      <c r="I926" t="s">
        <v>2365</v>
      </c>
      <c r="J926" t="s">
        <v>2365</v>
      </c>
      <c r="K926" t="s">
        <v>2365</v>
      </c>
      <c r="L926">
        <v>1200</v>
      </c>
      <c r="M926" t="s">
        <v>1480</v>
      </c>
      <c r="N926">
        <v>1204</v>
      </c>
      <c r="O926" t="s">
        <v>1487</v>
      </c>
      <c r="P926" t="s">
        <v>2366</v>
      </c>
      <c r="Q926" t="s">
        <v>2364</v>
      </c>
      <c r="R926" t="s">
        <v>2364</v>
      </c>
      <c r="S926" t="s">
        <v>553</v>
      </c>
      <c r="T926" t="s">
        <v>2175</v>
      </c>
      <c r="U926" t="s">
        <v>2366</v>
      </c>
      <c r="V926" t="s">
        <v>2366</v>
      </c>
      <c r="W926" t="s">
        <v>2366</v>
      </c>
      <c r="X926" t="s">
        <v>2366</v>
      </c>
      <c r="Y926" t="s">
        <v>2365</v>
      </c>
      <c r="Z926" t="s">
        <v>2365</v>
      </c>
      <c r="AA926" t="s">
        <v>2365</v>
      </c>
      <c r="AB926" t="s">
        <v>2365</v>
      </c>
      <c r="AC926" s="813" t="s">
        <v>2365</v>
      </c>
      <c r="AD926" s="813" t="s">
        <v>2365</v>
      </c>
      <c r="AE926" s="813" t="s">
        <v>2365</v>
      </c>
      <c r="AF926" t="s">
        <v>2365</v>
      </c>
      <c r="AG926" t="s">
        <v>2365</v>
      </c>
      <c r="AH926" t="s">
        <v>2365</v>
      </c>
      <c r="AI926" t="s">
        <v>2365</v>
      </c>
      <c r="AJ926" t="s">
        <v>2365</v>
      </c>
      <c r="AK926">
        <v>146</v>
      </c>
      <c r="AL926" t="s">
        <v>1199</v>
      </c>
      <c r="AM926">
        <v>146</v>
      </c>
      <c r="AN926" t="s">
        <v>1199</v>
      </c>
      <c r="AR926" t="s">
        <v>2365</v>
      </c>
      <c r="AS926" t="s">
        <v>2365</v>
      </c>
      <c r="AT926" t="s">
        <v>2365</v>
      </c>
      <c r="AU926" t="s">
        <v>2365</v>
      </c>
      <c r="AV926" t="s">
        <v>2365</v>
      </c>
      <c r="AW926" t="s">
        <v>2365</v>
      </c>
      <c r="AX926" t="s">
        <v>2365</v>
      </c>
      <c r="AY926" t="s">
        <v>2365</v>
      </c>
      <c r="AZ926" t="s">
        <v>2365</v>
      </c>
      <c r="BA926" t="s">
        <v>2365</v>
      </c>
      <c r="BB926" t="s">
        <v>2365</v>
      </c>
      <c r="BC926" t="s">
        <v>2365</v>
      </c>
      <c r="BD926" t="s">
        <v>2366</v>
      </c>
      <c r="BE926" t="s">
        <v>2365</v>
      </c>
      <c r="BF926" t="s">
        <v>2365</v>
      </c>
      <c r="BG926" t="s">
        <v>2365</v>
      </c>
      <c r="BH926" t="s">
        <v>2365</v>
      </c>
      <c r="BI926" t="s">
        <v>2366</v>
      </c>
      <c r="BJ926" t="s">
        <v>2365</v>
      </c>
      <c r="BK926" t="s">
        <v>2365</v>
      </c>
      <c r="BL926" t="s">
        <v>2365</v>
      </c>
      <c r="BM926" t="s">
        <v>2365</v>
      </c>
      <c r="BO926">
        <v>1</v>
      </c>
      <c r="BP926">
        <v>11</v>
      </c>
      <c r="BQ926" t="s">
        <v>2369</v>
      </c>
      <c r="BR926" t="s">
        <v>1487</v>
      </c>
      <c r="BU926">
        <v>0</v>
      </c>
      <c r="BV926">
        <v>0</v>
      </c>
      <c r="BW926">
        <v>0</v>
      </c>
      <c r="BX926">
        <v>0</v>
      </c>
      <c r="BY926">
        <v>0</v>
      </c>
      <c r="BZ926">
        <v>0</v>
      </c>
      <c r="CA926">
        <v>0</v>
      </c>
      <c r="CB926">
        <v>0</v>
      </c>
      <c r="CC926">
        <v>0</v>
      </c>
      <c r="CD926">
        <v>0</v>
      </c>
      <c r="CE926">
        <v>0</v>
      </c>
      <c r="CF926">
        <v>0</v>
      </c>
      <c r="CG926">
        <v>0</v>
      </c>
      <c r="CH926">
        <v>0</v>
      </c>
      <c r="CI926">
        <v>0</v>
      </c>
      <c r="CJ926">
        <v>0</v>
      </c>
      <c r="CK926">
        <v>0</v>
      </c>
      <c r="CL926">
        <v>0</v>
      </c>
      <c r="CM926">
        <v>0</v>
      </c>
      <c r="CR926" t="s">
        <v>2328</v>
      </c>
      <c r="CS926" s="1369" t="str">
        <f>INDEX([8]Sheet1!$H:$H,MATCH(CR:CR,[8]Sheet1!$AU:$AU,0))</f>
        <v>Water Distribution</v>
      </c>
    </row>
    <row r="927" spans="1:97" x14ac:dyDescent="0.2">
      <c r="A927" t="s">
        <v>3732</v>
      </c>
      <c r="B927">
        <v>980</v>
      </c>
      <c r="C927" t="s">
        <v>3732</v>
      </c>
      <c r="D927">
        <v>41711</v>
      </c>
      <c r="E927" t="s">
        <v>3733</v>
      </c>
      <c r="F927" t="s">
        <v>2364</v>
      </c>
      <c r="G927" t="s">
        <v>2364</v>
      </c>
      <c r="H927" t="s">
        <v>2365</v>
      </c>
      <c r="I927" t="s">
        <v>2365</v>
      </c>
      <c r="J927" t="s">
        <v>2365</v>
      </c>
      <c r="K927" t="s">
        <v>2365</v>
      </c>
      <c r="L927">
        <v>1200</v>
      </c>
      <c r="M927" t="s">
        <v>1480</v>
      </c>
      <c r="N927">
        <v>1204</v>
      </c>
      <c r="O927" t="s">
        <v>1487</v>
      </c>
      <c r="P927" t="s">
        <v>2366</v>
      </c>
      <c r="Q927" t="s">
        <v>2364</v>
      </c>
      <c r="R927" t="s">
        <v>2364</v>
      </c>
      <c r="S927" t="s">
        <v>553</v>
      </c>
      <c r="T927" t="s">
        <v>2175</v>
      </c>
      <c r="U927" t="s">
        <v>2366</v>
      </c>
      <c r="V927" t="s">
        <v>2366</v>
      </c>
      <c r="W927" t="s">
        <v>2366</v>
      </c>
      <c r="X927" t="s">
        <v>2366</v>
      </c>
      <c r="Y927" t="s">
        <v>2365</v>
      </c>
      <c r="Z927" t="s">
        <v>2365</v>
      </c>
      <c r="AA927" t="s">
        <v>2365</v>
      </c>
      <c r="AB927" t="s">
        <v>2365</v>
      </c>
      <c r="AC927" s="813" t="s">
        <v>2365</v>
      </c>
      <c r="AD927" s="813" t="s">
        <v>2365</v>
      </c>
      <c r="AE927" s="813" t="s">
        <v>2365</v>
      </c>
      <c r="AF927" t="s">
        <v>2365</v>
      </c>
      <c r="AG927" t="s">
        <v>2365</v>
      </c>
      <c r="AH927" t="s">
        <v>2365</v>
      </c>
      <c r="AI927" t="s">
        <v>2365</v>
      </c>
      <c r="AJ927" t="s">
        <v>2365</v>
      </c>
      <c r="AK927">
        <v>146</v>
      </c>
      <c r="AL927" t="s">
        <v>1199</v>
      </c>
      <c r="AM927">
        <v>146</v>
      </c>
      <c r="AN927" t="s">
        <v>1199</v>
      </c>
      <c r="AR927" t="s">
        <v>2365</v>
      </c>
      <c r="AS927" t="s">
        <v>2365</v>
      </c>
      <c r="AT927" t="s">
        <v>2365</v>
      </c>
      <c r="AU927" t="s">
        <v>2365</v>
      </c>
      <c r="AV927" t="s">
        <v>2365</v>
      </c>
      <c r="AW927" t="s">
        <v>2365</v>
      </c>
      <c r="AX927" t="s">
        <v>2365</v>
      </c>
      <c r="AY927" t="s">
        <v>2365</v>
      </c>
      <c r="AZ927" t="s">
        <v>2365</v>
      </c>
      <c r="BA927" t="s">
        <v>2365</v>
      </c>
      <c r="BB927" t="s">
        <v>2365</v>
      </c>
      <c r="BC927" t="s">
        <v>2365</v>
      </c>
      <c r="BD927" t="s">
        <v>2366</v>
      </c>
      <c r="BE927" t="s">
        <v>2365</v>
      </c>
      <c r="BF927" t="s">
        <v>2365</v>
      </c>
      <c r="BG927" t="s">
        <v>2365</v>
      </c>
      <c r="BH927" t="s">
        <v>2365</v>
      </c>
      <c r="BI927" t="s">
        <v>2366</v>
      </c>
      <c r="BJ927" t="s">
        <v>2365</v>
      </c>
      <c r="BK927" t="s">
        <v>2365</v>
      </c>
      <c r="BL927" t="s">
        <v>2365</v>
      </c>
      <c r="BM927" t="s">
        <v>2365</v>
      </c>
      <c r="BO927">
        <v>1</v>
      </c>
      <c r="BP927">
        <v>11</v>
      </c>
      <c r="BQ927" t="s">
        <v>2369</v>
      </c>
      <c r="BR927" t="s">
        <v>1487</v>
      </c>
      <c r="BU927">
        <v>0</v>
      </c>
      <c r="BV927">
        <v>0</v>
      </c>
      <c r="BW927">
        <v>0</v>
      </c>
      <c r="BX927">
        <v>0</v>
      </c>
      <c r="BY927">
        <v>0</v>
      </c>
      <c r="BZ927">
        <v>0</v>
      </c>
      <c r="CA927">
        <v>0</v>
      </c>
      <c r="CB927">
        <v>0</v>
      </c>
      <c r="CC927">
        <v>0</v>
      </c>
      <c r="CD927">
        <v>0</v>
      </c>
      <c r="CE927">
        <v>0</v>
      </c>
      <c r="CF927">
        <v>0</v>
      </c>
      <c r="CG927">
        <v>0</v>
      </c>
      <c r="CH927">
        <v>0</v>
      </c>
      <c r="CI927">
        <v>0</v>
      </c>
      <c r="CJ927">
        <v>0</v>
      </c>
      <c r="CK927">
        <v>0</v>
      </c>
      <c r="CL927">
        <v>0</v>
      </c>
      <c r="CM927">
        <v>0</v>
      </c>
      <c r="CR927" t="s">
        <v>2328</v>
      </c>
      <c r="CS927" s="1369" t="str">
        <f>INDEX([8]Sheet1!$H:$H,MATCH(CR:CR,[8]Sheet1!$AU:$AU,0))</f>
        <v>Water Distribution</v>
      </c>
    </row>
    <row r="928" spans="1:97" x14ac:dyDescent="0.2">
      <c r="A928" t="s">
        <v>3734</v>
      </c>
      <c r="B928">
        <v>981</v>
      </c>
      <c r="C928" t="s">
        <v>3734</v>
      </c>
      <c r="D928">
        <v>41712</v>
      </c>
      <c r="E928" t="s">
        <v>3735</v>
      </c>
      <c r="F928" t="s">
        <v>2364</v>
      </c>
      <c r="G928" t="s">
        <v>2364</v>
      </c>
      <c r="H928" t="s">
        <v>2365</v>
      </c>
      <c r="I928" t="s">
        <v>2365</v>
      </c>
      <c r="J928" t="s">
        <v>2365</v>
      </c>
      <c r="K928" t="s">
        <v>2365</v>
      </c>
      <c r="L928">
        <v>1200</v>
      </c>
      <c r="M928" t="s">
        <v>1480</v>
      </c>
      <c r="N928">
        <v>1204</v>
      </c>
      <c r="O928" t="s">
        <v>1487</v>
      </c>
      <c r="P928" t="s">
        <v>2366</v>
      </c>
      <c r="Q928" t="s">
        <v>2364</v>
      </c>
      <c r="R928" t="s">
        <v>2364</v>
      </c>
      <c r="S928" t="s">
        <v>553</v>
      </c>
      <c r="T928" t="s">
        <v>2175</v>
      </c>
      <c r="U928">
        <v>140</v>
      </c>
      <c r="V928" t="s">
        <v>693</v>
      </c>
      <c r="W928">
        <v>140</v>
      </c>
      <c r="X928" t="s">
        <v>693</v>
      </c>
      <c r="Y928" t="s">
        <v>2365</v>
      </c>
      <c r="Z928" t="s">
        <v>2365</v>
      </c>
      <c r="AA928" t="s">
        <v>2365</v>
      </c>
      <c r="AB928" t="s">
        <v>2365</v>
      </c>
      <c r="AC928" s="813" t="s">
        <v>2365</v>
      </c>
      <c r="AD928" s="813" t="s">
        <v>2365</v>
      </c>
      <c r="AE928" s="813" t="s">
        <v>2365</v>
      </c>
      <c r="AF928" t="s">
        <v>2365</v>
      </c>
      <c r="AG928" t="s">
        <v>2365</v>
      </c>
      <c r="AH928" t="s">
        <v>2365</v>
      </c>
      <c r="AI928" t="s">
        <v>2365</v>
      </c>
      <c r="AJ928" t="s">
        <v>2365</v>
      </c>
      <c r="AK928" t="s">
        <v>2366</v>
      </c>
      <c r="AL928" t="s">
        <v>2366</v>
      </c>
      <c r="AM928" t="s">
        <v>2366</v>
      </c>
      <c r="AN928" t="s">
        <v>2366</v>
      </c>
      <c r="AR928" t="s">
        <v>2365</v>
      </c>
      <c r="AS928" t="s">
        <v>2365</v>
      </c>
      <c r="AT928" t="s">
        <v>2365</v>
      </c>
      <c r="AU928" t="s">
        <v>2365</v>
      </c>
      <c r="AV928" t="s">
        <v>2365</v>
      </c>
      <c r="AW928" t="s">
        <v>2365</v>
      </c>
      <c r="AX928" t="s">
        <v>2365</v>
      </c>
      <c r="AY928" t="s">
        <v>2365</v>
      </c>
      <c r="AZ928" t="s">
        <v>2365</v>
      </c>
      <c r="BA928" t="s">
        <v>2365</v>
      </c>
      <c r="BB928" t="s">
        <v>2365</v>
      </c>
      <c r="BC928" t="s">
        <v>2365</v>
      </c>
      <c r="BD928" t="s">
        <v>2366</v>
      </c>
      <c r="BE928" t="s">
        <v>2365</v>
      </c>
      <c r="BF928" t="s">
        <v>2365</v>
      </c>
      <c r="BG928" t="s">
        <v>2365</v>
      </c>
      <c r="BH928" t="s">
        <v>2365</v>
      </c>
      <c r="BI928" t="s">
        <v>2366</v>
      </c>
      <c r="BJ928" t="s">
        <v>2365</v>
      </c>
      <c r="BK928" t="s">
        <v>2365</v>
      </c>
      <c r="BL928" t="s">
        <v>2365</v>
      </c>
      <c r="BM928" t="s">
        <v>2365</v>
      </c>
      <c r="BO928">
        <v>1</v>
      </c>
      <c r="BP928">
        <v>11</v>
      </c>
      <c r="BQ928" t="s">
        <v>2369</v>
      </c>
      <c r="BR928" t="s">
        <v>1487</v>
      </c>
      <c r="BU928">
        <v>0</v>
      </c>
      <c r="BV928">
        <v>0</v>
      </c>
      <c r="BW928">
        <v>0</v>
      </c>
      <c r="BX928">
        <v>0</v>
      </c>
      <c r="BY928">
        <v>0</v>
      </c>
      <c r="BZ928">
        <v>0</v>
      </c>
      <c r="CA928">
        <v>0</v>
      </c>
      <c r="CB928">
        <v>0</v>
      </c>
      <c r="CC928">
        <v>0</v>
      </c>
      <c r="CD928">
        <v>0</v>
      </c>
      <c r="CE928">
        <v>0</v>
      </c>
      <c r="CF928">
        <v>0</v>
      </c>
      <c r="CG928">
        <v>0</v>
      </c>
      <c r="CH928">
        <v>0</v>
      </c>
      <c r="CI928">
        <v>0</v>
      </c>
      <c r="CJ928">
        <v>0</v>
      </c>
      <c r="CK928">
        <v>0</v>
      </c>
      <c r="CL928">
        <v>0</v>
      </c>
      <c r="CM928">
        <v>0</v>
      </c>
      <c r="CR928" t="s">
        <v>2328</v>
      </c>
      <c r="CS928" s="1369" t="str">
        <f>INDEX([8]Sheet1!$H:$H,MATCH(CR:CR,[8]Sheet1!$AU:$AU,0))</f>
        <v>Water Distribution</v>
      </c>
    </row>
    <row r="929" spans="1:97" x14ac:dyDescent="0.2">
      <c r="A929" t="s">
        <v>3736</v>
      </c>
      <c r="B929">
        <v>982</v>
      </c>
      <c r="C929" t="s">
        <v>3736</v>
      </c>
      <c r="D929">
        <v>41713</v>
      </c>
      <c r="E929" t="s">
        <v>3737</v>
      </c>
      <c r="F929" t="s">
        <v>2364</v>
      </c>
      <c r="G929" t="s">
        <v>2364</v>
      </c>
      <c r="H929" t="s">
        <v>2365</v>
      </c>
      <c r="I929" t="s">
        <v>2365</v>
      </c>
      <c r="J929" t="s">
        <v>2365</v>
      </c>
      <c r="K929" t="s">
        <v>2365</v>
      </c>
      <c r="L929">
        <v>1200</v>
      </c>
      <c r="M929" t="s">
        <v>1480</v>
      </c>
      <c r="N929">
        <v>1204</v>
      </c>
      <c r="O929" t="s">
        <v>1487</v>
      </c>
      <c r="P929" t="s">
        <v>2366</v>
      </c>
      <c r="Q929" t="s">
        <v>2364</v>
      </c>
      <c r="R929" t="s">
        <v>2364</v>
      </c>
      <c r="S929" t="s">
        <v>553</v>
      </c>
      <c r="T929" t="s">
        <v>2175</v>
      </c>
      <c r="U929" t="s">
        <v>2366</v>
      </c>
      <c r="V929" t="s">
        <v>2366</v>
      </c>
      <c r="W929" t="s">
        <v>2366</v>
      </c>
      <c r="X929" t="s">
        <v>2366</v>
      </c>
      <c r="Y929" t="s">
        <v>2365</v>
      </c>
      <c r="Z929" t="s">
        <v>2365</v>
      </c>
      <c r="AA929" t="s">
        <v>2365</v>
      </c>
      <c r="AB929" t="s">
        <v>2365</v>
      </c>
      <c r="AC929" s="813" t="s">
        <v>2365</v>
      </c>
      <c r="AD929" s="813" t="s">
        <v>2365</v>
      </c>
      <c r="AE929" s="813" t="s">
        <v>2365</v>
      </c>
      <c r="AF929" t="s">
        <v>2365</v>
      </c>
      <c r="AG929" t="s">
        <v>2365</v>
      </c>
      <c r="AH929" t="s">
        <v>2365</v>
      </c>
      <c r="AI929" t="s">
        <v>2365</v>
      </c>
      <c r="AJ929" t="s">
        <v>2365</v>
      </c>
      <c r="AK929">
        <v>146</v>
      </c>
      <c r="AL929" t="s">
        <v>1199</v>
      </c>
      <c r="AM929">
        <v>146</v>
      </c>
      <c r="AN929" t="s">
        <v>1199</v>
      </c>
      <c r="AR929" t="s">
        <v>2365</v>
      </c>
      <c r="AS929" t="s">
        <v>2365</v>
      </c>
      <c r="AT929" t="s">
        <v>2365</v>
      </c>
      <c r="AU929" t="s">
        <v>2365</v>
      </c>
      <c r="AV929" t="s">
        <v>2365</v>
      </c>
      <c r="AW929" t="s">
        <v>2365</v>
      </c>
      <c r="AX929" t="s">
        <v>2365</v>
      </c>
      <c r="AY929" t="s">
        <v>2365</v>
      </c>
      <c r="AZ929" t="s">
        <v>2365</v>
      </c>
      <c r="BA929" t="s">
        <v>2365</v>
      </c>
      <c r="BB929" t="s">
        <v>2365</v>
      </c>
      <c r="BC929" t="s">
        <v>2365</v>
      </c>
      <c r="BD929" t="s">
        <v>2366</v>
      </c>
      <c r="BE929" t="s">
        <v>2365</v>
      </c>
      <c r="BF929" t="s">
        <v>2365</v>
      </c>
      <c r="BG929" t="s">
        <v>2365</v>
      </c>
      <c r="BH929" t="s">
        <v>2365</v>
      </c>
      <c r="BI929" t="s">
        <v>2366</v>
      </c>
      <c r="BJ929" t="s">
        <v>2365</v>
      </c>
      <c r="BK929" t="s">
        <v>2365</v>
      </c>
      <c r="BL929" t="s">
        <v>2365</v>
      </c>
      <c r="BM929" t="s">
        <v>2365</v>
      </c>
      <c r="BO929">
        <v>1</v>
      </c>
      <c r="BP929">
        <v>11</v>
      </c>
      <c r="BQ929" t="s">
        <v>2369</v>
      </c>
      <c r="BR929" t="s">
        <v>1487</v>
      </c>
      <c r="BU929">
        <v>0</v>
      </c>
      <c r="BV929">
        <v>0</v>
      </c>
      <c r="BW929">
        <v>0</v>
      </c>
      <c r="BX929">
        <v>0</v>
      </c>
      <c r="BY929">
        <v>0</v>
      </c>
      <c r="BZ929">
        <v>0</v>
      </c>
      <c r="CA929">
        <v>0</v>
      </c>
      <c r="CB929">
        <v>0</v>
      </c>
      <c r="CC929">
        <v>0</v>
      </c>
      <c r="CD929">
        <v>0</v>
      </c>
      <c r="CE929">
        <v>0</v>
      </c>
      <c r="CF929">
        <v>0</v>
      </c>
      <c r="CG929">
        <v>0</v>
      </c>
      <c r="CH929">
        <v>0</v>
      </c>
      <c r="CI929">
        <v>0</v>
      </c>
      <c r="CJ929">
        <v>0</v>
      </c>
      <c r="CK929">
        <v>0</v>
      </c>
      <c r="CL929">
        <v>0</v>
      </c>
      <c r="CM929">
        <v>0</v>
      </c>
      <c r="CR929" t="s">
        <v>2328</v>
      </c>
      <c r="CS929" s="1369" t="str">
        <f>INDEX([8]Sheet1!$H:$H,MATCH(CR:CR,[8]Sheet1!$AU:$AU,0))</f>
        <v>Water Distribution</v>
      </c>
    </row>
    <row r="930" spans="1:97" x14ac:dyDescent="0.2">
      <c r="A930" t="s">
        <v>3738</v>
      </c>
      <c r="B930">
        <v>983</v>
      </c>
      <c r="C930" t="s">
        <v>3738</v>
      </c>
      <c r="D930">
        <v>41714</v>
      </c>
      <c r="E930" t="s">
        <v>3739</v>
      </c>
      <c r="F930" t="s">
        <v>2364</v>
      </c>
      <c r="G930" t="s">
        <v>2364</v>
      </c>
      <c r="H930" t="s">
        <v>2365</v>
      </c>
      <c r="I930" t="s">
        <v>2365</v>
      </c>
      <c r="J930" t="s">
        <v>2365</v>
      </c>
      <c r="K930" t="s">
        <v>2365</v>
      </c>
      <c r="L930">
        <v>1200</v>
      </c>
      <c r="M930" t="s">
        <v>1480</v>
      </c>
      <c r="N930">
        <v>1204</v>
      </c>
      <c r="O930" t="s">
        <v>1487</v>
      </c>
      <c r="P930" t="s">
        <v>2366</v>
      </c>
      <c r="Q930" t="s">
        <v>2364</v>
      </c>
      <c r="R930" t="s">
        <v>2364</v>
      </c>
      <c r="S930" t="s">
        <v>553</v>
      </c>
      <c r="T930" t="s">
        <v>2175</v>
      </c>
      <c r="U930">
        <v>140</v>
      </c>
      <c r="V930" t="s">
        <v>693</v>
      </c>
      <c r="W930">
        <v>140</v>
      </c>
      <c r="X930" t="s">
        <v>693</v>
      </c>
      <c r="Y930" t="s">
        <v>2365</v>
      </c>
      <c r="Z930" t="s">
        <v>2365</v>
      </c>
      <c r="AA930" t="s">
        <v>2365</v>
      </c>
      <c r="AB930" t="s">
        <v>2365</v>
      </c>
      <c r="AC930" s="813" t="s">
        <v>2365</v>
      </c>
      <c r="AD930" s="813" t="s">
        <v>2365</v>
      </c>
      <c r="AE930" s="813" t="s">
        <v>2365</v>
      </c>
      <c r="AF930" t="s">
        <v>2365</v>
      </c>
      <c r="AG930" t="s">
        <v>2365</v>
      </c>
      <c r="AH930" t="s">
        <v>2365</v>
      </c>
      <c r="AI930" t="s">
        <v>2365</v>
      </c>
      <c r="AJ930" t="s">
        <v>2365</v>
      </c>
      <c r="AK930" t="s">
        <v>2366</v>
      </c>
      <c r="AL930" t="s">
        <v>2366</v>
      </c>
      <c r="AM930" t="s">
        <v>2366</v>
      </c>
      <c r="AN930" t="s">
        <v>2366</v>
      </c>
      <c r="AR930" t="s">
        <v>2365</v>
      </c>
      <c r="AS930" t="s">
        <v>2365</v>
      </c>
      <c r="AT930" t="s">
        <v>2365</v>
      </c>
      <c r="AU930" t="s">
        <v>2365</v>
      </c>
      <c r="AV930" t="s">
        <v>2365</v>
      </c>
      <c r="AW930" t="s">
        <v>2365</v>
      </c>
      <c r="AX930" t="s">
        <v>2365</v>
      </c>
      <c r="AY930" t="s">
        <v>2365</v>
      </c>
      <c r="AZ930" t="s">
        <v>2365</v>
      </c>
      <c r="BA930" t="s">
        <v>2365</v>
      </c>
      <c r="BB930" t="s">
        <v>2365</v>
      </c>
      <c r="BC930" t="s">
        <v>2365</v>
      </c>
      <c r="BD930" t="s">
        <v>2366</v>
      </c>
      <c r="BE930" t="s">
        <v>2365</v>
      </c>
      <c r="BF930" t="s">
        <v>2365</v>
      </c>
      <c r="BG930" t="s">
        <v>2365</v>
      </c>
      <c r="BH930" t="s">
        <v>2365</v>
      </c>
      <c r="BI930" t="s">
        <v>2366</v>
      </c>
      <c r="BJ930" t="s">
        <v>2365</v>
      </c>
      <c r="BK930" t="s">
        <v>2365</v>
      </c>
      <c r="BL930" t="s">
        <v>2365</v>
      </c>
      <c r="BM930" t="s">
        <v>2365</v>
      </c>
      <c r="BO930">
        <v>1</v>
      </c>
      <c r="BP930">
        <v>11</v>
      </c>
      <c r="BQ930" t="s">
        <v>2369</v>
      </c>
      <c r="BR930" t="s">
        <v>1487</v>
      </c>
      <c r="BU930">
        <v>0</v>
      </c>
      <c r="BV930">
        <v>0</v>
      </c>
      <c r="BW930">
        <v>0</v>
      </c>
      <c r="BX930">
        <v>0</v>
      </c>
      <c r="BY930">
        <v>0</v>
      </c>
      <c r="BZ930">
        <v>0</v>
      </c>
      <c r="CA930">
        <v>0</v>
      </c>
      <c r="CB930">
        <v>0</v>
      </c>
      <c r="CC930">
        <v>0</v>
      </c>
      <c r="CD930">
        <v>0</v>
      </c>
      <c r="CE930">
        <v>0</v>
      </c>
      <c r="CF930">
        <v>0</v>
      </c>
      <c r="CG930">
        <v>0</v>
      </c>
      <c r="CH930">
        <v>0</v>
      </c>
      <c r="CI930">
        <v>0</v>
      </c>
      <c r="CJ930">
        <v>0</v>
      </c>
      <c r="CK930">
        <v>0</v>
      </c>
      <c r="CL930">
        <v>0</v>
      </c>
      <c r="CM930">
        <v>0</v>
      </c>
      <c r="CR930" t="s">
        <v>2328</v>
      </c>
      <c r="CS930" s="1369" t="str">
        <f>INDEX([8]Sheet1!$H:$H,MATCH(CR:CR,[8]Sheet1!$AU:$AU,0))</f>
        <v>Water Distribution</v>
      </c>
    </row>
    <row r="931" spans="1:97" x14ac:dyDescent="0.2">
      <c r="A931" t="s">
        <v>3740</v>
      </c>
      <c r="B931">
        <v>984</v>
      </c>
      <c r="C931" t="s">
        <v>3740</v>
      </c>
      <c r="D931">
        <v>41715</v>
      </c>
      <c r="E931" t="s">
        <v>3741</v>
      </c>
      <c r="F931" t="s">
        <v>2364</v>
      </c>
      <c r="G931" t="s">
        <v>2364</v>
      </c>
      <c r="H931" t="s">
        <v>2365</v>
      </c>
      <c r="I931" t="s">
        <v>2365</v>
      </c>
      <c r="J931" t="s">
        <v>2365</v>
      </c>
      <c r="K931" t="s">
        <v>2365</v>
      </c>
      <c r="L931">
        <v>1200</v>
      </c>
      <c r="M931" t="s">
        <v>1480</v>
      </c>
      <c r="N931">
        <v>1204</v>
      </c>
      <c r="O931" t="s">
        <v>1487</v>
      </c>
      <c r="P931" t="s">
        <v>2366</v>
      </c>
      <c r="Q931" t="s">
        <v>2364</v>
      </c>
      <c r="R931" t="s">
        <v>2364</v>
      </c>
      <c r="S931" t="s">
        <v>553</v>
      </c>
      <c r="T931" t="s">
        <v>2175</v>
      </c>
      <c r="U931">
        <v>140</v>
      </c>
      <c r="V931" t="s">
        <v>693</v>
      </c>
      <c r="W931">
        <v>140</v>
      </c>
      <c r="X931" t="s">
        <v>693</v>
      </c>
      <c r="Y931" t="s">
        <v>2365</v>
      </c>
      <c r="Z931" t="s">
        <v>2365</v>
      </c>
      <c r="AA931" t="s">
        <v>2365</v>
      </c>
      <c r="AB931" t="s">
        <v>2365</v>
      </c>
      <c r="AC931" s="813" t="s">
        <v>2365</v>
      </c>
      <c r="AD931" s="813" t="s">
        <v>2365</v>
      </c>
      <c r="AE931" s="813" t="s">
        <v>2365</v>
      </c>
      <c r="AF931" t="s">
        <v>2365</v>
      </c>
      <c r="AG931" t="s">
        <v>2365</v>
      </c>
      <c r="AH931" t="s">
        <v>2365</v>
      </c>
      <c r="AI931" t="s">
        <v>2365</v>
      </c>
      <c r="AJ931" t="s">
        <v>2365</v>
      </c>
      <c r="AK931">
        <v>147</v>
      </c>
      <c r="AL931" t="s">
        <v>1200</v>
      </c>
      <c r="AM931">
        <v>147</v>
      </c>
      <c r="AN931" t="s">
        <v>1200</v>
      </c>
      <c r="AR931" t="s">
        <v>2365</v>
      </c>
      <c r="AS931" t="s">
        <v>2365</v>
      </c>
      <c r="AT931" t="s">
        <v>2365</v>
      </c>
      <c r="AU931" t="s">
        <v>2365</v>
      </c>
      <c r="AV931" t="s">
        <v>2365</v>
      </c>
      <c r="AW931" t="s">
        <v>2365</v>
      </c>
      <c r="AX931" t="s">
        <v>2365</v>
      </c>
      <c r="AY931" t="s">
        <v>2365</v>
      </c>
      <c r="AZ931" t="s">
        <v>2365</v>
      </c>
      <c r="BA931" t="s">
        <v>2365</v>
      </c>
      <c r="BB931" t="s">
        <v>2365</v>
      </c>
      <c r="BC931" t="s">
        <v>2365</v>
      </c>
      <c r="BD931" t="s">
        <v>2366</v>
      </c>
      <c r="BE931" t="s">
        <v>2365</v>
      </c>
      <c r="BF931" t="s">
        <v>2365</v>
      </c>
      <c r="BG931" t="s">
        <v>2365</v>
      </c>
      <c r="BH931" t="s">
        <v>2365</v>
      </c>
      <c r="BI931" t="s">
        <v>2366</v>
      </c>
      <c r="BJ931" t="s">
        <v>2365</v>
      </c>
      <c r="BK931" t="s">
        <v>2365</v>
      </c>
      <c r="BL931" t="s">
        <v>2365</v>
      </c>
      <c r="BM931" t="s">
        <v>2365</v>
      </c>
      <c r="BO931">
        <v>1</v>
      </c>
      <c r="BP931">
        <v>11</v>
      </c>
      <c r="BQ931" t="s">
        <v>2369</v>
      </c>
      <c r="BR931" t="s">
        <v>1487</v>
      </c>
      <c r="BU931">
        <v>0</v>
      </c>
      <c r="BV931">
        <v>0</v>
      </c>
      <c r="BW931">
        <v>0</v>
      </c>
      <c r="BX931">
        <v>0</v>
      </c>
      <c r="BY931">
        <v>0</v>
      </c>
      <c r="BZ931">
        <v>0</v>
      </c>
      <c r="CA931">
        <v>0</v>
      </c>
      <c r="CB931">
        <v>0</v>
      </c>
      <c r="CC931">
        <v>0</v>
      </c>
      <c r="CD931">
        <v>0</v>
      </c>
      <c r="CE931">
        <v>0</v>
      </c>
      <c r="CF931">
        <v>0</v>
      </c>
      <c r="CG931">
        <v>0</v>
      </c>
      <c r="CH931">
        <v>0</v>
      </c>
      <c r="CI931">
        <v>0</v>
      </c>
      <c r="CJ931">
        <v>0</v>
      </c>
      <c r="CK931">
        <v>0</v>
      </c>
      <c r="CL931">
        <v>0</v>
      </c>
      <c r="CM931">
        <v>0</v>
      </c>
      <c r="CR931" t="s">
        <v>2328</v>
      </c>
      <c r="CS931" s="1369" t="str">
        <f>INDEX([8]Sheet1!$H:$H,MATCH(CR:CR,[8]Sheet1!$AU:$AU,0))</f>
        <v>Water Distribution</v>
      </c>
    </row>
    <row r="932" spans="1:97" x14ac:dyDescent="0.2">
      <c r="A932" t="s">
        <v>3742</v>
      </c>
      <c r="B932">
        <v>985</v>
      </c>
      <c r="C932" t="s">
        <v>3742</v>
      </c>
      <c r="D932">
        <v>41716</v>
      </c>
      <c r="E932" t="s">
        <v>3743</v>
      </c>
      <c r="F932" t="s">
        <v>2364</v>
      </c>
      <c r="G932" t="s">
        <v>2364</v>
      </c>
      <c r="H932" t="s">
        <v>2365</v>
      </c>
      <c r="I932" t="s">
        <v>2365</v>
      </c>
      <c r="J932" t="s">
        <v>2365</v>
      </c>
      <c r="K932" t="s">
        <v>2365</v>
      </c>
      <c r="L932">
        <v>1200</v>
      </c>
      <c r="M932" t="s">
        <v>1480</v>
      </c>
      <c r="N932">
        <v>1204</v>
      </c>
      <c r="O932" t="s">
        <v>1487</v>
      </c>
      <c r="P932" t="s">
        <v>2366</v>
      </c>
      <c r="Q932" t="s">
        <v>2364</v>
      </c>
      <c r="R932" t="s">
        <v>2364</v>
      </c>
      <c r="S932" t="s">
        <v>553</v>
      </c>
      <c r="T932" t="s">
        <v>2175</v>
      </c>
      <c r="U932" t="s">
        <v>2366</v>
      </c>
      <c r="V932" t="s">
        <v>2366</v>
      </c>
      <c r="W932" t="s">
        <v>2366</v>
      </c>
      <c r="X932" t="s">
        <v>2366</v>
      </c>
      <c r="Y932" t="s">
        <v>2365</v>
      </c>
      <c r="Z932" t="s">
        <v>2365</v>
      </c>
      <c r="AA932" t="s">
        <v>2365</v>
      </c>
      <c r="AB932" t="s">
        <v>2365</v>
      </c>
      <c r="AC932" s="813" t="s">
        <v>2365</v>
      </c>
      <c r="AD932" s="813" t="s">
        <v>2365</v>
      </c>
      <c r="AE932" s="813" t="s">
        <v>2365</v>
      </c>
      <c r="AF932" t="s">
        <v>2365</v>
      </c>
      <c r="AG932" t="s">
        <v>2365</v>
      </c>
      <c r="AH932" t="s">
        <v>2365</v>
      </c>
      <c r="AI932" t="s">
        <v>2365</v>
      </c>
      <c r="AJ932" t="s">
        <v>2365</v>
      </c>
      <c r="AK932">
        <v>146</v>
      </c>
      <c r="AL932" t="s">
        <v>1199</v>
      </c>
      <c r="AM932">
        <v>146</v>
      </c>
      <c r="AN932" t="s">
        <v>1199</v>
      </c>
      <c r="AR932" t="s">
        <v>2365</v>
      </c>
      <c r="AS932" t="s">
        <v>2365</v>
      </c>
      <c r="AT932" t="s">
        <v>2365</v>
      </c>
      <c r="AU932" t="s">
        <v>2365</v>
      </c>
      <c r="AV932" t="s">
        <v>2365</v>
      </c>
      <c r="AW932" t="s">
        <v>2365</v>
      </c>
      <c r="AX932" t="s">
        <v>2365</v>
      </c>
      <c r="AY932" t="s">
        <v>2365</v>
      </c>
      <c r="AZ932" t="s">
        <v>2365</v>
      </c>
      <c r="BA932" t="s">
        <v>2365</v>
      </c>
      <c r="BB932" t="s">
        <v>2365</v>
      </c>
      <c r="BC932" t="s">
        <v>2365</v>
      </c>
      <c r="BD932" t="s">
        <v>2366</v>
      </c>
      <c r="BE932" t="s">
        <v>2365</v>
      </c>
      <c r="BF932" t="s">
        <v>2365</v>
      </c>
      <c r="BG932" t="s">
        <v>2365</v>
      </c>
      <c r="BH932" t="s">
        <v>2365</v>
      </c>
      <c r="BI932" t="s">
        <v>2366</v>
      </c>
      <c r="BJ932" t="s">
        <v>2365</v>
      </c>
      <c r="BK932" t="s">
        <v>2365</v>
      </c>
      <c r="BL932" t="s">
        <v>2365</v>
      </c>
      <c r="BM932" t="s">
        <v>2365</v>
      </c>
      <c r="BO932">
        <v>1</v>
      </c>
      <c r="BP932">
        <v>11</v>
      </c>
      <c r="BQ932" t="s">
        <v>2369</v>
      </c>
      <c r="BR932" t="s">
        <v>1487</v>
      </c>
      <c r="BU932">
        <v>0</v>
      </c>
      <c r="BV932">
        <v>0</v>
      </c>
      <c r="BW932">
        <v>0</v>
      </c>
      <c r="BX932">
        <v>0</v>
      </c>
      <c r="BY932">
        <v>0</v>
      </c>
      <c r="BZ932">
        <v>0</v>
      </c>
      <c r="CA932">
        <v>0</v>
      </c>
      <c r="CB932">
        <v>0</v>
      </c>
      <c r="CC932">
        <v>0</v>
      </c>
      <c r="CD932">
        <v>0</v>
      </c>
      <c r="CE932">
        <v>0</v>
      </c>
      <c r="CF932">
        <v>0</v>
      </c>
      <c r="CG932">
        <v>0</v>
      </c>
      <c r="CH932">
        <v>0</v>
      </c>
      <c r="CI932">
        <v>0</v>
      </c>
      <c r="CJ932">
        <v>0</v>
      </c>
      <c r="CK932">
        <v>0</v>
      </c>
      <c r="CL932">
        <v>0</v>
      </c>
      <c r="CM932">
        <v>0</v>
      </c>
      <c r="CR932" t="s">
        <v>2328</v>
      </c>
      <c r="CS932" s="1369" t="str">
        <f>INDEX([8]Sheet1!$H:$H,MATCH(CR:CR,[8]Sheet1!$AU:$AU,0))</f>
        <v>Water Distribution</v>
      </c>
    </row>
    <row r="933" spans="1:97" x14ac:dyDescent="0.2">
      <c r="A933" t="s">
        <v>3744</v>
      </c>
      <c r="B933">
        <v>986</v>
      </c>
      <c r="C933" t="s">
        <v>3744</v>
      </c>
      <c r="D933">
        <v>41717</v>
      </c>
      <c r="E933" t="s">
        <v>3745</v>
      </c>
      <c r="F933" t="s">
        <v>2364</v>
      </c>
      <c r="G933" t="s">
        <v>2364</v>
      </c>
      <c r="H933" t="s">
        <v>2365</v>
      </c>
      <c r="I933" t="s">
        <v>2365</v>
      </c>
      <c r="J933" t="s">
        <v>2365</v>
      </c>
      <c r="K933" t="s">
        <v>2365</v>
      </c>
      <c r="L933">
        <v>1200</v>
      </c>
      <c r="M933" t="s">
        <v>1480</v>
      </c>
      <c r="N933">
        <v>1204</v>
      </c>
      <c r="O933" t="s">
        <v>1487</v>
      </c>
      <c r="P933" t="s">
        <v>2366</v>
      </c>
      <c r="Q933" t="s">
        <v>2364</v>
      </c>
      <c r="R933" t="s">
        <v>2364</v>
      </c>
      <c r="S933" t="s">
        <v>553</v>
      </c>
      <c r="T933" t="s">
        <v>2175</v>
      </c>
      <c r="U933">
        <v>140</v>
      </c>
      <c r="V933" t="s">
        <v>693</v>
      </c>
      <c r="W933">
        <v>140</v>
      </c>
      <c r="X933" t="s">
        <v>693</v>
      </c>
      <c r="Y933" t="s">
        <v>2365</v>
      </c>
      <c r="Z933" t="s">
        <v>2365</v>
      </c>
      <c r="AA933" t="s">
        <v>2365</v>
      </c>
      <c r="AB933" t="s">
        <v>2365</v>
      </c>
      <c r="AC933" s="813" t="s">
        <v>2365</v>
      </c>
      <c r="AD933" s="813" t="s">
        <v>2365</v>
      </c>
      <c r="AE933" s="813" t="s">
        <v>2365</v>
      </c>
      <c r="AF933" t="s">
        <v>2365</v>
      </c>
      <c r="AG933" t="s">
        <v>2365</v>
      </c>
      <c r="AH933" t="s">
        <v>2365</v>
      </c>
      <c r="AI933" t="s">
        <v>2365</v>
      </c>
      <c r="AJ933" t="s">
        <v>2365</v>
      </c>
      <c r="AK933" t="s">
        <v>2366</v>
      </c>
      <c r="AL933" t="s">
        <v>2366</v>
      </c>
      <c r="AM933" t="s">
        <v>2366</v>
      </c>
      <c r="AN933" t="s">
        <v>2366</v>
      </c>
      <c r="AR933" t="s">
        <v>2365</v>
      </c>
      <c r="AS933" t="s">
        <v>2365</v>
      </c>
      <c r="AT933" t="s">
        <v>2365</v>
      </c>
      <c r="AU933" t="s">
        <v>2365</v>
      </c>
      <c r="AV933" t="s">
        <v>2365</v>
      </c>
      <c r="AW933" t="s">
        <v>2365</v>
      </c>
      <c r="AX933" t="s">
        <v>2365</v>
      </c>
      <c r="AY933" t="s">
        <v>2365</v>
      </c>
      <c r="AZ933" t="s">
        <v>2365</v>
      </c>
      <c r="BA933" t="s">
        <v>2365</v>
      </c>
      <c r="BB933" t="s">
        <v>2365</v>
      </c>
      <c r="BC933" t="s">
        <v>2365</v>
      </c>
      <c r="BD933" t="s">
        <v>2366</v>
      </c>
      <c r="BE933" t="s">
        <v>2365</v>
      </c>
      <c r="BF933" t="s">
        <v>2365</v>
      </c>
      <c r="BG933" t="s">
        <v>2365</v>
      </c>
      <c r="BH933" t="s">
        <v>2365</v>
      </c>
      <c r="BI933" t="s">
        <v>2366</v>
      </c>
      <c r="BJ933" t="s">
        <v>2365</v>
      </c>
      <c r="BK933" t="s">
        <v>2365</v>
      </c>
      <c r="BL933" t="s">
        <v>2365</v>
      </c>
      <c r="BM933" t="s">
        <v>2365</v>
      </c>
      <c r="BO933">
        <v>1</v>
      </c>
      <c r="BP933">
        <v>11</v>
      </c>
      <c r="BQ933" t="s">
        <v>2369</v>
      </c>
      <c r="BR933" t="s">
        <v>1487</v>
      </c>
      <c r="BU933">
        <v>0</v>
      </c>
      <c r="BV933">
        <v>0</v>
      </c>
      <c r="BW933">
        <v>0</v>
      </c>
      <c r="BX933">
        <v>0</v>
      </c>
      <c r="BY933">
        <v>0</v>
      </c>
      <c r="BZ933">
        <v>0</v>
      </c>
      <c r="CA933">
        <v>0</v>
      </c>
      <c r="CB933">
        <v>0</v>
      </c>
      <c r="CC933">
        <v>0</v>
      </c>
      <c r="CD933">
        <v>0</v>
      </c>
      <c r="CE933">
        <v>0</v>
      </c>
      <c r="CF933">
        <v>0</v>
      </c>
      <c r="CG933">
        <v>0</v>
      </c>
      <c r="CH933">
        <v>0</v>
      </c>
      <c r="CI933">
        <v>0</v>
      </c>
      <c r="CJ933">
        <v>0</v>
      </c>
      <c r="CK933">
        <v>0</v>
      </c>
      <c r="CL933">
        <v>0</v>
      </c>
      <c r="CM933">
        <v>0</v>
      </c>
      <c r="CR933" t="s">
        <v>2328</v>
      </c>
      <c r="CS933" s="1369" t="str">
        <f>INDEX([8]Sheet1!$H:$H,MATCH(CR:CR,[8]Sheet1!$AU:$AU,0))</f>
        <v>Water Distribution</v>
      </c>
    </row>
    <row r="934" spans="1:97" x14ac:dyDescent="0.2">
      <c r="A934" t="s">
        <v>3746</v>
      </c>
      <c r="B934">
        <v>987</v>
      </c>
      <c r="C934" t="s">
        <v>3746</v>
      </c>
      <c r="D934">
        <v>41718</v>
      </c>
      <c r="E934" t="s">
        <v>3747</v>
      </c>
      <c r="F934" t="s">
        <v>2364</v>
      </c>
      <c r="G934" t="s">
        <v>2364</v>
      </c>
      <c r="H934" t="s">
        <v>2365</v>
      </c>
      <c r="I934" t="s">
        <v>2365</v>
      </c>
      <c r="J934" t="s">
        <v>2365</v>
      </c>
      <c r="K934" t="s">
        <v>2365</v>
      </c>
      <c r="L934">
        <v>1200</v>
      </c>
      <c r="M934" t="s">
        <v>1480</v>
      </c>
      <c r="N934">
        <v>1204</v>
      </c>
      <c r="O934" t="s">
        <v>1487</v>
      </c>
      <c r="P934" t="s">
        <v>2366</v>
      </c>
      <c r="Q934" t="s">
        <v>2364</v>
      </c>
      <c r="R934" t="s">
        <v>2364</v>
      </c>
      <c r="S934" t="s">
        <v>553</v>
      </c>
      <c r="T934" t="s">
        <v>2175</v>
      </c>
      <c r="U934">
        <v>140</v>
      </c>
      <c r="V934" t="s">
        <v>693</v>
      </c>
      <c r="W934">
        <v>140</v>
      </c>
      <c r="X934" t="s">
        <v>693</v>
      </c>
      <c r="Y934" t="s">
        <v>2365</v>
      </c>
      <c r="Z934" t="s">
        <v>2365</v>
      </c>
      <c r="AA934" t="s">
        <v>2365</v>
      </c>
      <c r="AB934" t="s">
        <v>2365</v>
      </c>
      <c r="AC934" s="813" t="s">
        <v>2365</v>
      </c>
      <c r="AD934" s="813" t="s">
        <v>2365</v>
      </c>
      <c r="AE934" s="813" t="s">
        <v>2365</v>
      </c>
      <c r="AF934" t="s">
        <v>2365</v>
      </c>
      <c r="AG934" t="s">
        <v>2365</v>
      </c>
      <c r="AH934" t="s">
        <v>2365</v>
      </c>
      <c r="AI934" t="s">
        <v>2365</v>
      </c>
      <c r="AJ934" t="s">
        <v>2365</v>
      </c>
      <c r="AK934" t="s">
        <v>2366</v>
      </c>
      <c r="AL934" t="s">
        <v>2366</v>
      </c>
      <c r="AM934" t="s">
        <v>2366</v>
      </c>
      <c r="AN934" t="s">
        <v>2366</v>
      </c>
      <c r="AR934" t="s">
        <v>2365</v>
      </c>
      <c r="AS934" t="s">
        <v>2365</v>
      </c>
      <c r="AT934" t="s">
        <v>2365</v>
      </c>
      <c r="AU934" t="s">
        <v>2365</v>
      </c>
      <c r="AV934" t="s">
        <v>2365</v>
      </c>
      <c r="AW934" t="s">
        <v>2365</v>
      </c>
      <c r="AX934" t="s">
        <v>2365</v>
      </c>
      <c r="AY934" t="s">
        <v>2365</v>
      </c>
      <c r="AZ934" t="s">
        <v>2365</v>
      </c>
      <c r="BA934" t="s">
        <v>2365</v>
      </c>
      <c r="BB934" t="s">
        <v>2365</v>
      </c>
      <c r="BC934" t="s">
        <v>2365</v>
      </c>
      <c r="BD934" t="s">
        <v>2366</v>
      </c>
      <c r="BE934" t="s">
        <v>2365</v>
      </c>
      <c r="BF934" t="s">
        <v>2365</v>
      </c>
      <c r="BG934" t="s">
        <v>2365</v>
      </c>
      <c r="BH934" t="s">
        <v>2365</v>
      </c>
      <c r="BI934" t="s">
        <v>2366</v>
      </c>
      <c r="BJ934" t="s">
        <v>2365</v>
      </c>
      <c r="BK934" t="s">
        <v>2365</v>
      </c>
      <c r="BL934" t="s">
        <v>2365</v>
      </c>
      <c r="BM934" t="s">
        <v>2365</v>
      </c>
      <c r="BO934">
        <v>1</v>
      </c>
      <c r="BP934">
        <v>11</v>
      </c>
      <c r="BQ934" t="s">
        <v>2369</v>
      </c>
      <c r="BR934" t="s">
        <v>1487</v>
      </c>
      <c r="BU934">
        <v>0</v>
      </c>
      <c r="BV934">
        <v>0</v>
      </c>
      <c r="BW934">
        <v>0</v>
      </c>
      <c r="BX934">
        <v>0</v>
      </c>
      <c r="BY934">
        <v>0</v>
      </c>
      <c r="BZ934">
        <v>0</v>
      </c>
      <c r="CA934">
        <v>0</v>
      </c>
      <c r="CB934">
        <v>0</v>
      </c>
      <c r="CC934">
        <v>0</v>
      </c>
      <c r="CD934">
        <v>0</v>
      </c>
      <c r="CE934">
        <v>0</v>
      </c>
      <c r="CF934">
        <v>0</v>
      </c>
      <c r="CG934">
        <v>0</v>
      </c>
      <c r="CH934">
        <v>0</v>
      </c>
      <c r="CI934">
        <v>0</v>
      </c>
      <c r="CJ934">
        <v>0</v>
      </c>
      <c r="CK934">
        <v>0</v>
      </c>
      <c r="CL934">
        <v>0</v>
      </c>
      <c r="CM934">
        <v>0</v>
      </c>
      <c r="CR934" t="s">
        <v>2328</v>
      </c>
      <c r="CS934" s="1369" t="str">
        <f>INDEX([8]Sheet1!$H:$H,MATCH(CR:CR,[8]Sheet1!$AU:$AU,0))</f>
        <v>Water Distribution</v>
      </c>
    </row>
    <row r="935" spans="1:97" x14ac:dyDescent="0.2">
      <c r="A935" t="s">
        <v>3748</v>
      </c>
      <c r="B935">
        <v>988</v>
      </c>
      <c r="C935" t="s">
        <v>3748</v>
      </c>
      <c r="D935">
        <v>41719</v>
      </c>
      <c r="E935" t="s">
        <v>3749</v>
      </c>
      <c r="F935" t="s">
        <v>2364</v>
      </c>
      <c r="G935" t="s">
        <v>2364</v>
      </c>
      <c r="H935" t="s">
        <v>2365</v>
      </c>
      <c r="I935" t="s">
        <v>2365</v>
      </c>
      <c r="J935" t="s">
        <v>2365</v>
      </c>
      <c r="K935" t="s">
        <v>2365</v>
      </c>
      <c r="L935">
        <v>1200</v>
      </c>
      <c r="M935" t="s">
        <v>1480</v>
      </c>
      <c r="N935">
        <v>1204</v>
      </c>
      <c r="O935" t="s">
        <v>1487</v>
      </c>
      <c r="P935" t="s">
        <v>2366</v>
      </c>
      <c r="Q935" t="s">
        <v>2364</v>
      </c>
      <c r="R935" t="s">
        <v>2364</v>
      </c>
      <c r="S935" t="s">
        <v>553</v>
      </c>
      <c r="T935" t="s">
        <v>2175</v>
      </c>
      <c r="U935">
        <v>140</v>
      </c>
      <c r="V935" t="s">
        <v>693</v>
      </c>
      <c r="W935">
        <v>140</v>
      </c>
      <c r="X935" t="s">
        <v>693</v>
      </c>
      <c r="Y935" t="s">
        <v>2365</v>
      </c>
      <c r="Z935" t="s">
        <v>2365</v>
      </c>
      <c r="AA935" t="s">
        <v>2365</v>
      </c>
      <c r="AB935" t="s">
        <v>2365</v>
      </c>
      <c r="AC935" s="813" t="s">
        <v>2365</v>
      </c>
      <c r="AD935" s="813" t="s">
        <v>2365</v>
      </c>
      <c r="AE935" s="813" t="s">
        <v>2365</v>
      </c>
      <c r="AF935" t="s">
        <v>2365</v>
      </c>
      <c r="AG935" t="s">
        <v>2365</v>
      </c>
      <c r="AH935" t="s">
        <v>2365</v>
      </c>
      <c r="AI935" t="s">
        <v>2365</v>
      </c>
      <c r="AJ935" t="s">
        <v>2365</v>
      </c>
      <c r="AK935" t="s">
        <v>2366</v>
      </c>
      <c r="AL935" t="s">
        <v>2366</v>
      </c>
      <c r="AM935" t="s">
        <v>2366</v>
      </c>
      <c r="AN935" t="s">
        <v>2366</v>
      </c>
      <c r="AR935" t="s">
        <v>2365</v>
      </c>
      <c r="AS935" t="s">
        <v>2365</v>
      </c>
      <c r="AT935" t="s">
        <v>2365</v>
      </c>
      <c r="AU935" t="s">
        <v>2365</v>
      </c>
      <c r="AV935" t="s">
        <v>2365</v>
      </c>
      <c r="AW935" t="s">
        <v>2365</v>
      </c>
      <c r="AX935" t="s">
        <v>2365</v>
      </c>
      <c r="AY935" t="s">
        <v>2365</v>
      </c>
      <c r="AZ935" t="s">
        <v>2365</v>
      </c>
      <c r="BA935" t="s">
        <v>2365</v>
      </c>
      <c r="BB935" t="s">
        <v>2365</v>
      </c>
      <c r="BC935" t="s">
        <v>2365</v>
      </c>
      <c r="BD935" t="s">
        <v>2366</v>
      </c>
      <c r="BE935" t="s">
        <v>2365</v>
      </c>
      <c r="BF935" t="s">
        <v>2365</v>
      </c>
      <c r="BG935" t="s">
        <v>2365</v>
      </c>
      <c r="BH935" t="s">
        <v>2365</v>
      </c>
      <c r="BI935" t="s">
        <v>2366</v>
      </c>
      <c r="BJ935" t="s">
        <v>2365</v>
      </c>
      <c r="BK935" t="s">
        <v>2365</v>
      </c>
      <c r="BL935" t="s">
        <v>2365</v>
      </c>
      <c r="BM935" t="s">
        <v>2365</v>
      </c>
      <c r="BO935">
        <v>1</v>
      </c>
      <c r="BP935">
        <v>11</v>
      </c>
      <c r="BQ935" t="s">
        <v>2369</v>
      </c>
      <c r="BR935" t="s">
        <v>1487</v>
      </c>
      <c r="BU935">
        <v>0</v>
      </c>
      <c r="BV935">
        <v>0</v>
      </c>
      <c r="BW935">
        <v>0</v>
      </c>
      <c r="BX935">
        <v>0</v>
      </c>
      <c r="BY935">
        <v>0</v>
      </c>
      <c r="BZ935">
        <v>0</v>
      </c>
      <c r="CA935">
        <v>0</v>
      </c>
      <c r="CB935">
        <v>0</v>
      </c>
      <c r="CC935">
        <v>0</v>
      </c>
      <c r="CD935">
        <v>0</v>
      </c>
      <c r="CE935">
        <v>0</v>
      </c>
      <c r="CF935">
        <v>0</v>
      </c>
      <c r="CG935">
        <v>0</v>
      </c>
      <c r="CH935">
        <v>0</v>
      </c>
      <c r="CI935">
        <v>0</v>
      </c>
      <c r="CJ935">
        <v>0</v>
      </c>
      <c r="CK935">
        <v>0</v>
      </c>
      <c r="CL935">
        <v>0</v>
      </c>
      <c r="CM935">
        <v>0</v>
      </c>
      <c r="CR935" t="s">
        <v>2328</v>
      </c>
      <c r="CS935" s="1369" t="str">
        <f>INDEX([8]Sheet1!$H:$H,MATCH(CR:CR,[8]Sheet1!$AU:$AU,0))</f>
        <v>Water Distribution</v>
      </c>
    </row>
    <row r="936" spans="1:97" x14ac:dyDescent="0.2">
      <c r="A936" t="s">
        <v>3750</v>
      </c>
      <c r="B936">
        <v>989</v>
      </c>
      <c r="C936" t="s">
        <v>3750</v>
      </c>
      <c r="D936">
        <v>41720</v>
      </c>
      <c r="E936" t="s">
        <v>3751</v>
      </c>
      <c r="F936" t="s">
        <v>2364</v>
      </c>
      <c r="G936" t="s">
        <v>2364</v>
      </c>
      <c r="H936" t="s">
        <v>2365</v>
      </c>
      <c r="I936" t="s">
        <v>2365</v>
      </c>
      <c r="J936" t="s">
        <v>2365</v>
      </c>
      <c r="K936" t="s">
        <v>2365</v>
      </c>
      <c r="L936">
        <v>1200</v>
      </c>
      <c r="M936" t="s">
        <v>1480</v>
      </c>
      <c r="N936">
        <v>1204</v>
      </c>
      <c r="O936" t="s">
        <v>1487</v>
      </c>
      <c r="P936" t="s">
        <v>2366</v>
      </c>
      <c r="Q936" t="s">
        <v>2364</v>
      </c>
      <c r="R936" t="s">
        <v>2364</v>
      </c>
      <c r="S936" t="s">
        <v>553</v>
      </c>
      <c r="T936" t="s">
        <v>2175</v>
      </c>
      <c r="U936">
        <v>140</v>
      </c>
      <c r="V936" t="s">
        <v>693</v>
      </c>
      <c r="W936">
        <v>140</v>
      </c>
      <c r="X936" t="s">
        <v>693</v>
      </c>
      <c r="Y936" t="s">
        <v>2365</v>
      </c>
      <c r="Z936" t="s">
        <v>2365</v>
      </c>
      <c r="AA936" t="s">
        <v>2365</v>
      </c>
      <c r="AB936" t="s">
        <v>2365</v>
      </c>
      <c r="AC936" s="813" t="s">
        <v>2365</v>
      </c>
      <c r="AD936" s="813" t="s">
        <v>2365</v>
      </c>
      <c r="AE936" s="813" t="s">
        <v>2365</v>
      </c>
      <c r="AF936" t="s">
        <v>2365</v>
      </c>
      <c r="AG936" t="s">
        <v>2365</v>
      </c>
      <c r="AH936" t="s">
        <v>2365</v>
      </c>
      <c r="AI936" t="s">
        <v>2365</v>
      </c>
      <c r="AJ936" t="s">
        <v>2365</v>
      </c>
      <c r="AK936" t="s">
        <v>2366</v>
      </c>
      <c r="AL936" t="s">
        <v>2366</v>
      </c>
      <c r="AM936" t="s">
        <v>2366</v>
      </c>
      <c r="AN936" t="s">
        <v>2366</v>
      </c>
      <c r="AR936" t="s">
        <v>2365</v>
      </c>
      <c r="AS936" t="s">
        <v>2365</v>
      </c>
      <c r="AT936" t="s">
        <v>2365</v>
      </c>
      <c r="AU936" t="s">
        <v>2365</v>
      </c>
      <c r="AV936" t="s">
        <v>2365</v>
      </c>
      <c r="AW936" t="s">
        <v>2365</v>
      </c>
      <c r="AX936" t="s">
        <v>2365</v>
      </c>
      <c r="AY936" t="s">
        <v>2365</v>
      </c>
      <c r="AZ936" t="s">
        <v>2365</v>
      </c>
      <c r="BA936" t="s">
        <v>2365</v>
      </c>
      <c r="BB936" t="s">
        <v>2365</v>
      </c>
      <c r="BC936" t="s">
        <v>2365</v>
      </c>
      <c r="BD936" t="s">
        <v>2366</v>
      </c>
      <c r="BE936" t="s">
        <v>2365</v>
      </c>
      <c r="BF936" t="s">
        <v>2365</v>
      </c>
      <c r="BG936" t="s">
        <v>2365</v>
      </c>
      <c r="BH936" t="s">
        <v>2365</v>
      </c>
      <c r="BI936" t="s">
        <v>2366</v>
      </c>
      <c r="BJ936" t="s">
        <v>2365</v>
      </c>
      <c r="BK936" t="s">
        <v>2365</v>
      </c>
      <c r="BL936" t="s">
        <v>2365</v>
      </c>
      <c r="BM936" t="s">
        <v>2365</v>
      </c>
      <c r="BO936">
        <v>1</v>
      </c>
      <c r="BP936">
        <v>11</v>
      </c>
      <c r="BQ936" t="s">
        <v>2369</v>
      </c>
      <c r="BR936" t="s">
        <v>1487</v>
      </c>
      <c r="BU936">
        <v>0</v>
      </c>
      <c r="BV936">
        <v>0</v>
      </c>
      <c r="BW936">
        <v>0</v>
      </c>
      <c r="BX936">
        <v>0</v>
      </c>
      <c r="BY936">
        <v>0</v>
      </c>
      <c r="BZ936">
        <v>0</v>
      </c>
      <c r="CA936">
        <v>0</v>
      </c>
      <c r="CB936">
        <v>0</v>
      </c>
      <c r="CC936">
        <v>0</v>
      </c>
      <c r="CD936">
        <v>0</v>
      </c>
      <c r="CE936">
        <v>0</v>
      </c>
      <c r="CF936">
        <v>0</v>
      </c>
      <c r="CG936">
        <v>0</v>
      </c>
      <c r="CH936">
        <v>0</v>
      </c>
      <c r="CI936">
        <v>0</v>
      </c>
      <c r="CJ936">
        <v>0</v>
      </c>
      <c r="CK936">
        <v>0</v>
      </c>
      <c r="CL936">
        <v>0</v>
      </c>
      <c r="CM936">
        <v>0</v>
      </c>
      <c r="CR936" t="s">
        <v>2326</v>
      </c>
      <c r="CS936" s="1369" t="str">
        <f>INDEX([8]Sheet1!$H:$H,MATCH(CR:CR,[8]Sheet1!$AU:$AU,0))</f>
        <v>Supply Chain Management</v>
      </c>
    </row>
    <row r="937" spans="1:97" x14ac:dyDescent="0.2">
      <c r="A937" t="s">
        <v>3752</v>
      </c>
      <c r="B937">
        <v>990</v>
      </c>
      <c r="C937" t="s">
        <v>3752</v>
      </c>
      <c r="D937">
        <v>41721</v>
      </c>
      <c r="E937" t="s">
        <v>3753</v>
      </c>
      <c r="F937" t="s">
        <v>2364</v>
      </c>
      <c r="G937" t="s">
        <v>2364</v>
      </c>
      <c r="H937" t="s">
        <v>2365</v>
      </c>
      <c r="I937" t="s">
        <v>2365</v>
      </c>
      <c r="J937" t="s">
        <v>2365</v>
      </c>
      <c r="K937" t="s">
        <v>2365</v>
      </c>
      <c r="L937">
        <v>1200</v>
      </c>
      <c r="M937" t="s">
        <v>1480</v>
      </c>
      <c r="N937">
        <v>1204</v>
      </c>
      <c r="O937" t="s">
        <v>1487</v>
      </c>
      <c r="P937" t="s">
        <v>2366</v>
      </c>
      <c r="Q937" t="s">
        <v>2364</v>
      </c>
      <c r="R937" t="s">
        <v>2364</v>
      </c>
      <c r="S937" t="s">
        <v>553</v>
      </c>
      <c r="T937" t="s">
        <v>2175</v>
      </c>
      <c r="U937">
        <v>140</v>
      </c>
      <c r="V937" t="s">
        <v>693</v>
      </c>
      <c r="W937">
        <v>140</v>
      </c>
      <c r="X937" t="s">
        <v>693</v>
      </c>
      <c r="Y937" t="s">
        <v>2365</v>
      </c>
      <c r="Z937" t="s">
        <v>2365</v>
      </c>
      <c r="AA937" t="s">
        <v>2365</v>
      </c>
      <c r="AB937" t="s">
        <v>2365</v>
      </c>
      <c r="AC937" s="813" t="s">
        <v>2365</v>
      </c>
      <c r="AD937" s="813" t="s">
        <v>2365</v>
      </c>
      <c r="AE937" s="813" t="s">
        <v>2365</v>
      </c>
      <c r="AF937" t="s">
        <v>2365</v>
      </c>
      <c r="AG937" t="s">
        <v>2365</v>
      </c>
      <c r="AH937" t="s">
        <v>2365</v>
      </c>
      <c r="AI937" t="s">
        <v>2365</v>
      </c>
      <c r="AJ937" t="s">
        <v>2365</v>
      </c>
      <c r="AK937" t="s">
        <v>2366</v>
      </c>
      <c r="AL937" t="s">
        <v>2366</v>
      </c>
      <c r="AM937" t="s">
        <v>2366</v>
      </c>
      <c r="AN937" t="s">
        <v>2366</v>
      </c>
      <c r="AR937" t="s">
        <v>2365</v>
      </c>
      <c r="AS937" t="s">
        <v>2365</v>
      </c>
      <c r="AT937" t="s">
        <v>2365</v>
      </c>
      <c r="AU937" t="s">
        <v>2365</v>
      </c>
      <c r="AV937" t="s">
        <v>2365</v>
      </c>
      <c r="AW937" t="s">
        <v>2365</v>
      </c>
      <c r="AX937" t="s">
        <v>2365</v>
      </c>
      <c r="AY937" t="s">
        <v>2365</v>
      </c>
      <c r="AZ937" t="s">
        <v>2365</v>
      </c>
      <c r="BA937" t="s">
        <v>2365</v>
      </c>
      <c r="BB937" t="s">
        <v>2365</v>
      </c>
      <c r="BC937" t="s">
        <v>2365</v>
      </c>
      <c r="BD937" t="s">
        <v>2366</v>
      </c>
      <c r="BE937" t="s">
        <v>2365</v>
      </c>
      <c r="BF937" t="s">
        <v>2365</v>
      </c>
      <c r="BG937" t="s">
        <v>2365</v>
      </c>
      <c r="BH937" t="s">
        <v>2365</v>
      </c>
      <c r="BI937" t="s">
        <v>2366</v>
      </c>
      <c r="BJ937" t="s">
        <v>2365</v>
      </c>
      <c r="BK937" t="s">
        <v>2365</v>
      </c>
      <c r="BL937" t="s">
        <v>2365</v>
      </c>
      <c r="BM937" t="s">
        <v>2365</v>
      </c>
      <c r="BO937">
        <v>1</v>
      </c>
      <c r="BP937">
        <v>11</v>
      </c>
      <c r="BQ937" t="s">
        <v>2369</v>
      </c>
      <c r="BR937" t="s">
        <v>1487</v>
      </c>
      <c r="BU937">
        <v>0</v>
      </c>
      <c r="BV937">
        <v>0</v>
      </c>
      <c r="BW937">
        <v>0</v>
      </c>
      <c r="BX937">
        <v>0</v>
      </c>
      <c r="BY937">
        <v>0</v>
      </c>
      <c r="BZ937">
        <v>0</v>
      </c>
      <c r="CA937">
        <v>0</v>
      </c>
      <c r="CB937">
        <v>0</v>
      </c>
      <c r="CC937">
        <v>0</v>
      </c>
      <c r="CD937">
        <v>0</v>
      </c>
      <c r="CE937">
        <v>0</v>
      </c>
      <c r="CF937">
        <v>0</v>
      </c>
      <c r="CG937">
        <v>0</v>
      </c>
      <c r="CH937">
        <v>0</v>
      </c>
      <c r="CI937">
        <v>0</v>
      </c>
      <c r="CJ937">
        <v>0</v>
      </c>
      <c r="CK937">
        <v>0</v>
      </c>
      <c r="CL937">
        <v>0</v>
      </c>
      <c r="CM937">
        <v>0</v>
      </c>
      <c r="CR937" t="s">
        <v>2324</v>
      </c>
      <c r="CS937" s="1369" t="str">
        <f>INDEX([8]Sheet1!$H:$H,MATCH(CR:CR,[8]Sheet1!$AU:$AU,0))</f>
        <v>Finance</v>
      </c>
    </row>
    <row r="938" spans="1:97" s="1364" customFormat="1" x14ac:dyDescent="0.2">
      <c r="A938" s="1364" t="s">
        <v>3754</v>
      </c>
      <c r="B938" s="1364">
        <v>991</v>
      </c>
      <c r="C938" s="1364" t="s">
        <v>3754</v>
      </c>
      <c r="D938" s="1364">
        <v>41722</v>
      </c>
      <c r="E938" s="1364" t="s">
        <v>3755</v>
      </c>
      <c r="F938" s="1364" t="s">
        <v>2364</v>
      </c>
      <c r="G938" s="1364" t="s">
        <v>2364</v>
      </c>
      <c r="H938" s="1364" t="s">
        <v>2365</v>
      </c>
      <c r="I938" s="1364" t="s">
        <v>2365</v>
      </c>
      <c r="J938" s="1364" t="s">
        <v>2365</v>
      </c>
      <c r="K938" s="1364" t="s">
        <v>2365</v>
      </c>
      <c r="L938" s="1364">
        <v>1200</v>
      </c>
      <c r="M938" s="1364" t="s">
        <v>1480</v>
      </c>
      <c r="N938" s="1364">
        <v>1204</v>
      </c>
      <c r="O938" s="1364" t="s">
        <v>1487</v>
      </c>
      <c r="P938" s="1364" t="s">
        <v>2366</v>
      </c>
      <c r="Q938" s="1364" t="s">
        <v>2364</v>
      </c>
      <c r="R938" s="1364" t="s">
        <v>2364</v>
      </c>
      <c r="S938" s="1364" t="s">
        <v>553</v>
      </c>
      <c r="T938" s="1364" t="s">
        <v>2175</v>
      </c>
      <c r="U938" s="1364">
        <v>140</v>
      </c>
      <c r="V938" s="1364" t="s">
        <v>693</v>
      </c>
      <c r="W938" s="1364">
        <v>140</v>
      </c>
      <c r="X938" s="1364" t="s">
        <v>693</v>
      </c>
      <c r="Y938" s="1364" t="s">
        <v>2365</v>
      </c>
      <c r="Z938" s="1364" t="s">
        <v>2365</v>
      </c>
      <c r="AA938" s="1364" t="s">
        <v>2365</v>
      </c>
      <c r="AB938" s="1364" t="s">
        <v>2365</v>
      </c>
      <c r="AC938" s="813" t="s">
        <v>2365</v>
      </c>
      <c r="AD938" s="813" t="s">
        <v>2365</v>
      </c>
      <c r="AE938" s="813" t="s">
        <v>2365</v>
      </c>
      <c r="AF938" s="1364" t="s">
        <v>2365</v>
      </c>
      <c r="AG938" s="1364" t="s">
        <v>2365</v>
      </c>
      <c r="AH938" s="1364" t="s">
        <v>2365</v>
      </c>
      <c r="AI938" s="1364" t="s">
        <v>2365</v>
      </c>
      <c r="AJ938" s="1364" t="s">
        <v>2365</v>
      </c>
      <c r="AK938" s="1364">
        <v>147</v>
      </c>
      <c r="AL938" s="1364" t="s">
        <v>1200</v>
      </c>
      <c r="AM938" s="1364">
        <v>147</v>
      </c>
      <c r="AN938" s="1364" t="s">
        <v>1200</v>
      </c>
      <c r="AR938" s="1364" t="s">
        <v>2365</v>
      </c>
      <c r="AS938" s="1364" t="s">
        <v>2365</v>
      </c>
      <c r="AT938" s="1364" t="s">
        <v>2365</v>
      </c>
      <c r="AU938" s="1364" t="s">
        <v>2365</v>
      </c>
      <c r="AV938" s="1364" t="s">
        <v>2365</v>
      </c>
      <c r="AW938" s="1364" t="s">
        <v>2365</v>
      </c>
      <c r="AX938" s="1364" t="s">
        <v>2365</v>
      </c>
      <c r="AY938" s="1364" t="s">
        <v>2365</v>
      </c>
      <c r="AZ938" s="1364" t="s">
        <v>2365</v>
      </c>
      <c r="BA938" s="1364" t="s">
        <v>2365</v>
      </c>
      <c r="BB938" s="1364" t="s">
        <v>2365</v>
      </c>
      <c r="BC938" s="1364" t="s">
        <v>2365</v>
      </c>
      <c r="BD938" s="1364" t="s">
        <v>2366</v>
      </c>
      <c r="BE938" s="1364" t="s">
        <v>2365</v>
      </c>
      <c r="BF938" s="1364" t="s">
        <v>2365</v>
      </c>
      <c r="BG938" s="1364" t="s">
        <v>2365</v>
      </c>
      <c r="BH938" s="1364" t="s">
        <v>2365</v>
      </c>
      <c r="BI938" s="1364" t="s">
        <v>2366</v>
      </c>
      <c r="BJ938" s="1364" t="s">
        <v>2365</v>
      </c>
      <c r="BK938" s="1364" t="s">
        <v>2365</v>
      </c>
      <c r="BL938" s="1364" t="s">
        <v>2365</v>
      </c>
      <c r="BM938" s="1364" t="s">
        <v>2365</v>
      </c>
      <c r="BO938" s="1364">
        <v>1</v>
      </c>
      <c r="BP938" s="1364">
        <v>11</v>
      </c>
      <c r="BQ938" s="1364" t="s">
        <v>2369</v>
      </c>
      <c r="BR938" s="1364" t="s">
        <v>1487</v>
      </c>
      <c r="BU938" s="1364">
        <v>0</v>
      </c>
      <c r="BV938" s="1364">
        <v>0</v>
      </c>
      <c r="BW938" s="1364">
        <v>0</v>
      </c>
      <c r="BX938" s="1364">
        <v>0</v>
      </c>
      <c r="BY938" s="1364">
        <v>0</v>
      </c>
      <c r="BZ938" s="1364">
        <v>0</v>
      </c>
      <c r="CA938" s="1364">
        <v>0</v>
      </c>
      <c r="CB938" s="1364">
        <v>0</v>
      </c>
      <c r="CC938" s="1364">
        <v>0</v>
      </c>
      <c r="CD938" s="1364">
        <v>0</v>
      </c>
      <c r="CE938" s="1364">
        <v>0</v>
      </c>
      <c r="CF938" s="1364">
        <v>0</v>
      </c>
      <c r="CG938" s="1364">
        <v>0</v>
      </c>
      <c r="CH938" s="1364">
        <v>0</v>
      </c>
      <c r="CI938" s="1364">
        <v>0</v>
      </c>
      <c r="CJ938" s="1364">
        <v>0</v>
      </c>
      <c r="CK938" s="1364">
        <v>0</v>
      </c>
      <c r="CL938" s="1364">
        <v>0</v>
      </c>
      <c r="CM938" s="1364">
        <v>0</v>
      </c>
      <c r="CR938" s="1364" t="s">
        <v>2325</v>
      </c>
      <c r="CS938" s="1369" t="str">
        <f>INDEX([8]Sheet1!$H:$H,MATCH(CR:CR,[8]Sheet1!$AU:$AU,0))</f>
        <v>Asset Management</v>
      </c>
    </row>
    <row r="939" spans="1:97" x14ac:dyDescent="0.2">
      <c r="A939" t="s">
        <v>3756</v>
      </c>
      <c r="B939">
        <v>992</v>
      </c>
      <c r="C939" t="s">
        <v>3756</v>
      </c>
      <c r="D939">
        <v>41723</v>
      </c>
      <c r="E939" t="s">
        <v>3757</v>
      </c>
      <c r="F939" t="s">
        <v>2364</v>
      </c>
      <c r="G939" t="s">
        <v>2364</v>
      </c>
      <c r="H939" t="s">
        <v>2365</v>
      </c>
      <c r="I939" t="s">
        <v>2365</v>
      </c>
      <c r="J939" t="s">
        <v>2365</v>
      </c>
      <c r="K939" t="s">
        <v>2365</v>
      </c>
      <c r="L939">
        <v>1200</v>
      </c>
      <c r="M939" t="s">
        <v>1480</v>
      </c>
      <c r="N939">
        <v>1204</v>
      </c>
      <c r="O939" t="s">
        <v>1487</v>
      </c>
      <c r="P939" t="s">
        <v>2366</v>
      </c>
      <c r="Q939" t="s">
        <v>2364</v>
      </c>
      <c r="R939" t="s">
        <v>2364</v>
      </c>
      <c r="S939" t="s">
        <v>553</v>
      </c>
      <c r="T939" t="s">
        <v>2175</v>
      </c>
      <c r="U939">
        <v>140</v>
      </c>
      <c r="V939" t="s">
        <v>693</v>
      </c>
      <c r="W939">
        <v>140</v>
      </c>
      <c r="X939" t="s">
        <v>693</v>
      </c>
      <c r="Y939" t="s">
        <v>2365</v>
      </c>
      <c r="Z939" t="s">
        <v>2365</v>
      </c>
      <c r="AA939" t="s">
        <v>2365</v>
      </c>
      <c r="AB939" t="s">
        <v>2365</v>
      </c>
      <c r="AC939" s="813" t="s">
        <v>2365</v>
      </c>
      <c r="AD939" s="813" t="s">
        <v>2365</v>
      </c>
      <c r="AE939" s="813" t="s">
        <v>2365</v>
      </c>
      <c r="AF939" t="s">
        <v>2365</v>
      </c>
      <c r="AG939" t="s">
        <v>2365</v>
      </c>
      <c r="AH939" t="s">
        <v>2365</v>
      </c>
      <c r="AI939" t="s">
        <v>2365</v>
      </c>
      <c r="AJ939" t="s">
        <v>2365</v>
      </c>
      <c r="AK939" t="s">
        <v>2366</v>
      </c>
      <c r="AL939" t="s">
        <v>2366</v>
      </c>
      <c r="AM939" t="s">
        <v>2366</v>
      </c>
      <c r="AN939" t="s">
        <v>2366</v>
      </c>
      <c r="AR939" t="s">
        <v>2365</v>
      </c>
      <c r="AS939" t="s">
        <v>2365</v>
      </c>
      <c r="AT939" t="s">
        <v>2365</v>
      </c>
      <c r="AU939" t="s">
        <v>2365</v>
      </c>
      <c r="AV939" t="s">
        <v>2365</v>
      </c>
      <c r="AW939" t="s">
        <v>2365</v>
      </c>
      <c r="AX939" t="s">
        <v>2365</v>
      </c>
      <c r="AY939" t="s">
        <v>2365</v>
      </c>
      <c r="AZ939" t="s">
        <v>2365</v>
      </c>
      <c r="BA939" t="s">
        <v>2365</v>
      </c>
      <c r="BB939" t="s">
        <v>2365</v>
      </c>
      <c r="BC939" t="s">
        <v>2365</v>
      </c>
      <c r="BD939" t="s">
        <v>2366</v>
      </c>
      <c r="BE939" t="s">
        <v>2365</v>
      </c>
      <c r="BF939" t="s">
        <v>2365</v>
      </c>
      <c r="BG939" t="s">
        <v>2365</v>
      </c>
      <c r="BH939" t="s">
        <v>2365</v>
      </c>
      <c r="BI939" t="s">
        <v>2366</v>
      </c>
      <c r="BJ939" t="s">
        <v>2365</v>
      </c>
      <c r="BK939" t="s">
        <v>2365</v>
      </c>
      <c r="BL939" t="s">
        <v>2365</v>
      </c>
      <c r="BM939" t="s">
        <v>2365</v>
      </c>
      <c r="BO939">
        <v>1</v>
      </c>
      <c r="BP939">
        <v>11</v>
      </c>
      <c r="BQ939" t="s">
        <v>2369</v>
      </c>
      <c r="BR939" t="s">
        <v>1487</v>
      </c>
      <c r="BU939">
        <v>0</v>
      </c>
      <c r="BV939">
        <v>0</v>
      </c>
      <c r="BW939">
        <v>0</v>
      </c>
      <c r="BX939">
        <v>0</v>
      </c>
      <c r="BY939">
        <v>0</v>
      </c>
      <c r="BZ939">
        <v>0</v>
      </c>
      <c r="CA939">
        <v>0</v>
      </c>
      <c r="CB939">
        <v>0</v>
      </c>
      <c r="CC939">
        <v>0</v>
      </c>
      <c r="CD939">
        <v>0</v>
      </c>
      <c r="CE939">
        <v>0</v>
      </c>
      <c r="CF939">
        <v>0</v>
      </c>
      <c r="CG939">
        <v>0</v>
      </c>
      <c r="CH939">
        <v>0</v>
      </c>
      <c r="CI939">
        <v>0</v>
      </c>
      <c r="CJ939">
        <v>0</v>
      </c>
      <c r="CK939">
        <v>0</v>
      </c>
      <c r="CL939">
        <v>0</v>
      </c>
      <c r="CM939">
        <v>0</v>
      </c>
      <c r="CR939" t="s">
        <v>2326</v>
      </c>
      <c r="CS939" s="1369" t="str">
        <f>INDEX([8]Sheet1!$H:$H,MATCH(CR:CR,[8]Sheet1!$AU:$AU,0))</f>
        <v>Supply Chain Management</v>
      </c>
    </row>
    <row r="940" spans="1:97" x14ac:dyDescent="0.2">
      <c r="A940" t="s">
        <v>3758</v>
      </c>
      <c r="B940">
        <v>993</v>
      </c>
      <c r="C940" t="s">
        <v>3758</v>
      </c>
      <c r="D940">
        <v>41724</v>
      </c>
      <c r="E940" t="s">
        <v>3759</v>
      </c>
      <c r="F940" t="s">
        <v>2364</v>
      </c>
      <c r="G940" t="s">
        <v>2364</v>
      </c>
      <c r="H940" t="s">
        <v>2365</v>
      </c>
      <c r="I940" t="s">
        <v>2365</v>
      </c>
      <c r="J940" t="s">
        <v>2365</v>
      </c>
      <c r="K940" t="s">
        <v>2365</v>
      </c>
      <c r="L940">
        <v>1200</v>
      </c>
      <c r="M940" t="s">
        <v>1480</v>
      </c>
      <c r="N940">
        <v>1204</v>
      </c>
      <c r="O940" t="s">
        <v>1487</v>
      </c>
      <c r="P940" t="s">
        <v>2366</v>
      </c>
      <c r="Q940" t="s">
        <v>2364</v>
      </c>
      <c r="R940" t="s">
        <v>2364</v>
      </c>
      <c r="S940" t="s">
        <v>553</v>
      </c>
      <c r="T940" t="s">
        <v>2175</v>
      </c>
      <c r="U940">
        <v>140</v>
      </c>
      <c r="V940" t="s">
        <v>693</v>
      </c>
      <c r="W940">
        <v>140</v>
      </c>
      <c r="X940" t="s">
        <v>693</v>
      </c>
      <c r="Y940" t="s">
        <v>2365</v>
      </c>
      <c r="Z940" t="s">
        <v>2365</v>
      </c>
      <c r="AA940" t="s">
        <v>2365</v>
      </c>
      <c r="AB940" t="s">
        <v>2365</v>
      </c>
      <c r="AC940" s="813" t="s">
        <v>2365</v>
      </c>
      <c r="AD940" s="813" t="s">
        <v>2365</v>
      </c>
      <c r="AE940" s="813" t="s">
        <v>2365</v>
      </c>
      <c r="AF940" t="s">
        <v>2365</v>
      </c>
      <c r="AG940" t="s">
        <v>2365</v>
      </c>
      <c r="AH940" t="s">
        <v>2365</v>
      </c>
      <c r="AI940" t="s">
        <v>2365</v>
      </c>
      <c r="AJ940" t="s">
        <v>2365</v>
      </c>
      <c r="AK940" t="s">
        <v>2366</v>
      </c>
      <c r="AL940" t="s">
        <v>2366</v>
      </c>
      <c r="AM940" t="s">
        <v>2366</v>
      </c>
      <c r="AN940" t="s">
        <v>2366</v>
      </c>
      <c r="AR940" t="s">
        <v>2365</v>
      </c>
      <c r="AS940" t="s">
        <v>2365</v>
      </c>
      <c r="AT940" t="s">
        <v>2365</v>
      </c>
      <c r="AU940" t="s">
        <v>2365</v>
      </c>
      <c r="AV940" t="s">
        <v>2365</v>
      </c>
      <c r="AW940" t="s">
        <v>2365</v>
      </c>
      <c r="AX940" t="s">
        <v>2365</v>
      </c>
      <c r="AY940" t="s">
        <v>2365</v>
      </c>
      <c r="AZ940" t="s">
        <v>2365</v>
      </c>
      <c r="BA940" t="s">
        <v>2365</v>
      </c>
      <c r="BB940" t="s">
        <v>2365</v>
      </c>
      <c r="BC940" t="s">
        <v>2365</v>
      </c>
      <c r="BD940" t="s">
        <v>2366</v>
      </c>
      <c r="BE940" t="s">
        <v>2365</v>
      </c>
      <c r="BF940" t="s">
        <v>2365</v>
      </c>
      <c r="BG940" t="s">
        <v>2365</v>
      </c>
      <c r="BH940" t="s">
        <v>2365</v>
      </c>
      <c r="BI940" t="s">
        <v>2366</v>
      </c>
      <c r="BJ940" t="s">
        <v>2365</v>
      </c>
      <c r="BK940" t="s">
        <v>2365</v>
      </c>
      <c r="BL940" t="s">
        <v>2365</v>
      </c>
      <c r="BM940" t="s">
        <v>2365</v>
      </c>
      <c r="BO940">
        <v>1</v>
      </c>
      <c r="BP940">
        <v>11</v>
      </c>
      <c r="BQ940" t="s">
        <v>2369</v>
      </c>
      <c r="BR940" t="s">
        <v>1487</v>
      </c>
      <c r="BU940">
        <v>0</v>
      </c>
      <c r="BV940">
        <v>0</v>
      </c>
      <c r="BW940">
        <v>0</v>
      </c>
      <c r="BX940">
        <v>0</v>
      </c>
      <c r="BY940">
        <v>0</v>
      </c>
      <c r="BZ940">
        <v>0</v>
      </c>
      <c r="CA940">
        <v>0</v>
      </c>
      <c r="CB940">
        <v>0</v>
      </c>
      <c r="CC940">
        <v>0</v>
      </c>
      <c r="CD940">
        <v>0</v>
      </c>
      <c r="CE940">
        <v>0</v>
      </c>
      <c r="CF940">
        <v>0</v>
      </c>
      <c r="CG940">
        <v>0</v>
      </c>
      <c r="CH940">
        <v>0</v>
      </c>
      <c r="CI940">
        <v>0</v>
      </c>
      <c r="CJ940">
        <v>0</v>
      </c>
      <c r="CK940">
        <v>0</v>
      </c>
      <c r="CL940">
        <v>0</v>
      </c>
      <c r="CM940">
        <v>0</v>
      </c>
      <c r="CR940" t="s">
        <v>2325</v>
      </c>
      <c r="CS940" s="1369" t="str">
        <f>INDEX([8]Sheet1!$H:$H,MATCH(CR:CR,[8]Sheet1!$AU:$AU,0))</f>
        <v>Asset Management</v>
      </c>
    </row>
    <row r="941" spans="1:97" x14ac:dyDescent="0.2">
      <c r="A941" t="s">
        <v>3760</v>
      </c>
      <c r="B941">
        <v>994</v>
      </c>
      <c r="C941" t="s">
        <v>3760</v>
      </c>
      <c r="D941">
        <v>41725</v>
      </c>
      <c r="E941" t="s">
        <v>3761</v>
      </c>
      <c r="F941" t="s">
        <v>2364</v>
      </c>
      <c r="G941" t="s">
        <v>2364</v>
      </c>
      <c r="H941" t="s">
        <v>2365</v>
      </c>
      <c r="I941" t="s">
        <v>2365</v>
      </c>
      <c r="J941" t="s">
        <v>2365</v>
      </c>
      <c r="K941" t="s">
        <v>2365</v>
      </c>
      <c r="L941">
        <v>1200</v>
      </c>
      <c r="M941" t="s">
        <v>1480</v>
      </c>
      <c r="N941">
        <v>1204</v>
      </c>
      <c r="O941" t="s">
        <v>1487</v>
      </c>
      <c r="P941" t="s">
        <v>2366</v>
      </c>
      <c r="Q941" t="s">
        <v>2364</v>
      </c>
      <c r="R941" t="s">
        <v>2364</v>
      </c>
      <c r="S941" t="s">
        <v>553</v>
      </c>
      <c r="T941" t="s">
        <v>2175</v>
      </c>
      <c r="U941">
        <v>140</v>
      </c>
      <c r="V941" t="s">
        <v>693</v>
      </c>
      <c r="W941">
        <v>140</v>
      </c>
      <c r="X941" t="s">
        <v>693</v>
      </c>
      <c r="Y941" t="s">
        <v>2365</v>
      </c>
      <c r="Z941" t="s">
        <v>2365</v>
      </c>
      <c r="AA941" t="s">
        <v>2365</v>
      </c>
      <c r="AB941" t="s">
        <v>2365</v>
      </c>
      <c r="AC941" s="813" t="s">
        <v>2365</v>
      </c>
      <c r="AD941" s="813" t="s">
        <v>2365</v>
      </c>
      <c r="AE941" s="813" t="s">
        <v>2365</v>
      </c>
      <c r="AF941" t="s">
        <v>2365</v>
      </c>
      <c r="AG941" t="s">
        <v>2365</v>
      </c>
      <c r="AH941" t="s">
        <v>2365</v>
      </c>
      <c r="AI941" t="s">
        <v>2365</v>
      </c>
      <c r="AJ941" t="s">
        <v>2365</v>
      </c>
      <c r="AK941" t="s">
        <v>2366</v>
      </c>
      <c r="AL941" t="s">
        <v>2366</v>
      </c>
      <c r="AM941" t="s">
        <v>2366</v>
      </c>
      <c r="AN941" t="s">
        <v>2366</v>
      </c>
      <c r="AR941" t="s">
        <v>2365</v>
      </c>
      <c r="AS941" t="s">
        <v>2365</v>
      </c>
      <c r="AT941" t="s">
        <v>2365</v>
      </c>
      <c r="AU941" t="s">
        <v>2365</v>
      </c>
      <c r="AV941" t="s">
        <v>2365</v>
      </c>
      <c r="AW941" t="s">
        <v>2365</v>
      </c>
      <c r="AX941" t="s">
        <v>2365</v>
      </c>
      <c r="AY941" t="s">
        <v>2365</v>
      </c>
      <c r="AZ941" t="s">
        <v>2365</v>
      </c>
      <c r="BA941" t="s">
        <v>2365</v>
      </c>
      <c r="BB941" t="s">
        <v>2365</v>
      </c>
      <c r="BC941" t="s">
        <v>2365</v>
      </c>
      <c r="BD941" t="s">
        <v>2366</v>
      </c>
      <c r="BE941" t="s">
        <v>2365</v>
      </c>
      <c r="BF941" t="s">
        <v>2365</v>
      </c>
      <c r="BG941" t="s">
        <v>2365</v>
      </c>
      <c r="BH941" t="s">
        <v>2365</v>
      </c>
      <c r="BI941" t="s">
        <v>2366</v>
      </c>
      <c r="BJ941" t="s">
        <v>2365</v>
      </c>
      <c r="BK941" t="s">
        <v>2365</v>
      </c>
      <c r="BL941" t="s">
        <v>2365</v>
      </c>
      <c r="BM941" t="s">
        <v>2365</v>
      </c>
      <c r="BO941">
        <v>1</v>
      </c>
      <c r="BP941">
        <v>11</v>
      </c>
      <c r="BQ941" t="s">
        <v>2369</v>
      </c>
      <c r="BR941" t="s">
        <v>1487</v>
      </c>
      <c r="BU941">
        <v>0</v>
      </c>
      <c r="BV941">
        <v>0</v>
      </c>
      <c r="BW941">
        <v>0</v>
      </c>
      <c r="BX941">
        <v>0</v>
      </c>
      <c r="BY941">
        <v>0</v>
      </c>
      <c r="BZ941">
        <v>0</v>
      </c>
      <c r="CA941">
        <v>0</v>
      </c>
      <c r="CB941">
        <v>0</v>
      </c>
      <c r="CC941">
        <v>0</v>
      </c>
      <c r="CD941">
        <v>0</v>
      </c>
      <c r="CE941">
        <v>0</v>
      </c>
      <c r="CF941">
        <v>0</v>
      </c>
      <c r="CG941">
        <v>0</v>
      </c>
      <c r="CH941">
        <v>0</v>
      </c>
      <c r="CI941">
        <v>0</v>
      </c>
      <c r="CJ941">
        <v>0</v>
      </c>
      <c r="CK941">
        <v>0</v>
      </c>
      <c r="CL941">
        <v>0</v>
      </c>
      <c r="CM941">
        <v>0</v>
      </c>
      <c r="CR941" t="s">
        <v>2324</v>
      </c>
      <c r="CS941" s="1369" t="str">
        <f>INDEX([8]Sheet1!$H:$H,MATCH(CR:CR,[8]Sheet1!$AU:$AU,0))</f>
        <v>Finance</v>
      </c>
    </row>
    <row r="942" spans="1:97" x14ac:dyDescent="0.2">
      <c r="A942" t="s">
        <v>3762</v>
      </c>
      <c r="B942">
        <v>995</v>
      </c>
      <c r="C942" t="s">
        <v>3762</v>
      </c>
      <c r="D942">
        <v>41726</v>
      </c>
      <c r="E942" t="s">
        <v>3763</v>
      </c>
      <c r="F942" t="s">
        <v>2364</v>
      </c>
      <c r="G942" t="s">
        <v>2364</v>
      </c>
      <c r="H942" s="1373" t="s">
        <v>2365</v>
      </c>
      <c r="I942" t="s">
        <v>2365</v>
      </c>
      <c r="J942" t="s">
        <v>2365</v>
      </c>
      <c r="K942" t="s">
        <v>2365</v>
      </c>
      <c r="L942" s="1373">
        <v>4400</v>
      </c>
      <c r="M942" t="s">
        <v>631</v>
      </c>
      <c r="N942">
        <v>4403</v>
      </c>
      <c r="O942" t="s">
        <v>1557</v>
      </c>
      <c r="P942" t="s">
        <v>2366</v>
      </c>
      <c r="Q942" t="s">
        <v>2364</v>
      </c>
      <c r="R942" t="s">
        <v>2364</v>
      </c>
      <c r="S942" t="s">
        <v>553</v>
      </c>
      <c r="T942" t="s">
        <v>2175</v>
      </c>
      <c r="U942">
        <v>140</v>
      </c>
      <c r="V942" t="s">
        <v>693</v>
      </c>
      <c r="W942">
        <v>140</v>
      </c>
      <c r="X942" t="s">
        <v>693</v>
      </c>
      <c r="Y942" t="s">
        <v>2365</v>
      </c>
      <c r="Z942" t="s">
        <v>2365</v>
      </c>
      <c r="AA942" t="s">
        <v>2365</v>
      </c>
      <c r="AB942" t="s">
        <v>2365</v>
      </c>
      <c r="AC942" s="813" t="s">
        <v>2365</v>
      </c>
      <c r="AD942" s="813" t="s">
        <v>2365</v>
      </c>
      <c r="AE942" s="813" t="s">
        <v>2365</v>
      </c>
      <c r="AF942" t="s">
        <v>2365</v>
      </c>
      <c r="AG942" t="s">
        <v>2365</v>
      </c>
      <c r="AH942" t="s">
        <v>2365</v>
      </c>
      <c r="AI942" t="s">
        <v>2365</v>
      </c>
      <c r="AJ942" t="s">
        <v>2365</v>
      </c>
      <c r="AK942" t="s">
        <v>2366</v>
      </c>
      <c r="AL942" t="s">
        <v>2366</v>
      </c>
      <c r="AM942" t="s">
        <v>2366</v>
      </c>
      <c r="AN942" t="s">
        <v>2366</v>
      </c>
      <c r="AR942" t="s">
        <v>2365</v>
      </c>
      <c r="AS942" t="s">
        <v>2365</v>
      </c>
      <c r="AT942" t="s">
        <v>2365</v>
      </c>
      <c r="AU942" t="s">
        <v>2365</v>
      </c>
      <c r="AV942" t="s">
        <v>2365</v>
      </c>
      <c r="AW942" t="s">
        <v>2365</v>
      </c>
      <c r="AX942" t="s">
        <v>2365</v>
      </c>
      <c r="AY942" t="s">
        <v>2365</v>
      </c>
      <c r="AZ942" t="s">
        <v>2365</v>
      </c>
      <c r="BA942" t="s">
        <v>2365</v>
      </c>
      <c r="BB942" t="s">
        <v>2365</v>
      </c>
      <c r="BC942" t="s">
        <v>2365</v>
      </c>
      <c r="BD942" t="s">
        <v>2366</v>
      </c>
      <c r="BE942" t="s">
        <v>2365</v>
      </c>
      <c r="BF942" t="s">
        <v>2365</v>
      </c>
      <c r="BG942" t="s">
        <v>2365</v>
      </c>
      <c r="BH942" t="s">
        <v>2365</v>
      </c>
      <c r="BI942" t="s">
        <v>2366</v>
      </c>
      <c r="BJ942" t="s">
        <v>2365</v>
      </c>
      <c r="BK942" t="s">
        <v>2365</v>
      </c>
      <c r="BL942" t="s">
        <v>2365</v>
      </c>
      <c r="BM942" t="s">
        <v>2365</v>
      </c>
      <c r="BO942">
        <v>12</v>
      </c>
      <c r="BP942">
        <v>121</v>
      </c>
      <c r="BQ942" t="s">
        <v>1369</v>
      </c>
      <c r="BR942" t="s">
        <v>1557</v>
      </c>
      <c r="BU942" s="1371">
        <v>0</v>
      </c>
      <c r="BV942" s="1371">
        <v>0</v>
      </c>
      <c r="BW942" s="1371">
        <v>0</v>
      </c>
      <c r="BX942" s="1371">
        <v>0</v>
      </c>
      <c r="BY942" s="1371">
        <v>0</v>
      </c>
      <c r="BZ942">
        <v>0</v>
      </c>
      <c r="CA942">
        <v>0</v>
      </c>
      <c r="CB942">
        <v>0</v>
      </c>
      <c r="CC942">
        <v>0</v>
      </c>
      <c r="CD942">
        <v>0</v>
      </c>
      <c r="CE942">
        <v>0</v>
      </c>
      <c r="CF942">
        <v>0</v>
      </c>
      <c r="CG942">
        <v>0</v>
      </c>
      <c r="CH942">
        <v>0</v>
      </c>
      <c r="CI942">
        <v>0</v>
      </c>
      <c r="CJ942">
        <v>0</v>
      </c>
      <c r="CK942">
        <v>0</v>
      </c>
      <c r="CL942">
        <v>0</v>
      </c>
      <c r="CM942">
        <v>0</v>
      </c>
      <c r="CR942" t="s">
        <v>2343</v>
      </c>
      <c r="CS942" s="1369" t="str">
        <f>INDEX([8]Sheet1!$H:$H,MATCH(CR:CR,[8]Sheet1!$AU:$AU,0))</f>
        <v>Pollution Control</v>
      </c>
    </row>
    <row r="943" spans="1:97" x14ac:dyDescent="0.2">
      <c r="A943" t="s">
        <v>3764</v>
      </c>
      <c r="B943">
        <v>996</v>
      </c>
      <c r="C943" t="s">
        <v>3764</v>
      </c>
      <c r="D943">
        <v>41727</v>
      </c>
      <c r="E943" t="s">
        <v>3765</v>
      </c>
      <c r="F943" t="s">
        <v>2364</v>
      </c>
      <c r="G943" t="s">
        <v>2364</v>
      </c>
      <c r="H943" t="s">
        <v>2365</v>
      </c>
      <c r="I943" t="s">
        <v>2365</v>
      </c>
      <c r="J943" t="s">
        <v>2365</v>
      </c>
      <c r="K943" t="s">
        <v>2365</v>
      </c>
      <c r="L943">
        <v>4400</v>
      </c>
      <c r="M943" t="s">
        <v>631</v>
      </c>
      <c r="N943">
        <v>4403</v>
      </c>
      <c r="O943" t="s">
        <v>1557</v>
      </c>
      <c r="P943" t="s">
        <v>2366</v>
      </c>
      <c r="Q943" t="s">
        <v>2364</v>
      </c>
      <c r="R943" t="s">
        <v>2364</v>
      </c>
      <c r="S943" t="s">
        <v>553</v>
      </c>
      <c r="T943" t="s">
        <v>2175</v>
      </c>
      <c r="U943">
        <v>140</v>
      </c>
      <c r="V943" t="s">
        <v>693</v>
      </c>
      <c r="W943">
        <v>140</v>
      </c>
      <c r="X943" t="s">
        <v>693</v>
      </c>
      <c r="Y943" t="s">
        <v>2365</v>
      </c>
      <c r="Z943" t="s">
        <v>2365</v>
      </c>
      <c r="AA943" t="s">
        <v>2365</v>
      </c>
      <c r="AB943" t="s">
        <v>2365</v>
      </c>
      <c r="AC943" s="813" t="s">
        <v>2365</v>
      </c>
      <c r="AD943" s="813" t="s">
        <v>2365</v>
      </c>
      <c r="AE943" s="813" t="s">
        <v>2365</v>
      </c>
      <c r="AF943" t="s">
        <v>2365</v>
      </c>
      <c r="AG943" t="s">
        <v>2365</v>
      </c>
      <c r="AH943" t="s">
        <v>2365</v>
      </c>
      <c r="AI943" t="s">
        <v>2365</v>
      </c>
      <c r="AJ943" t="s">
        <v>2365</v>
      </c>
      <c r="AK943" t="s">
        <v>2366</v>
      </c>
      <c r="AL943" t="s">
        <v>2366</v>
      </c>
      <c r="AM943" t="s">
        <v>2366</v>
      </c>
      <c r="AN943" t="s">
        <v>2366</v>
      </c>
      <c r="AR943" t="s">
        <v>2365</v>
      </c>
      <c r="AS943" t="s">
        <v>2365</v>
      </c>
      <c r="AT943" t="s">
        <v>2365</v>
      </c>
      <c r="AU943" t="s">
        <v>2365</v>
      </c>
      <c r="AV943" t="s">
        <v>2365</v>
      </c>
      <c r="AW943" t="s">
        <v>2365</v>
      </c>
      <c r="AX943" t="s">
        <v>2365</v>
      </c>
      <c r="AY943" t="s">
        <v>2365</v>
      </c>
      <c r="AZ943" t="s">
        <v>2365</v>
      </c>
      <c r="BA943" t="s">
        <v>2365</v>
      </c>
      <c r="BB943" t="s">
        <v>2365</v>
      </c>
      <c r="BC943" t="s">
        <v>2365</v>
      </c>
      <c r="BD943" t="s">
        <v>2366</v>
      </c>
      <c r="BE943" t="s">
        <v>2365</v>
      </c>
      <c r="BF943" t="s">
        <v>2365</v>
      </c>
      <c r="BG943" t="s">
        <v>2365</v>
      </c>
      <c r="BH943" t="s">
        <v>2365</v>
      </c>
      <c r="BI943" t="s">
        <v>2366</v>
      </c>
      <c r="BJ943" t="s">
        <v>2365</v>
      </c>
      <c r="BK943" t="s">
        <v>2365</v>
      </c>
      <c r="BL943" t="s">
        <v>2365</v>
      </c>
      <c r="BM943" t="s">
        <v>2365</v>
      </c>
      <c r="BO943">
        <v>12</v>
      </c>
      <c r="BP943">
        <v>121</v>
      </c>
      <c r="BQ943" t="s">
        <v>1369</v>
      </c>
      <c r="BR943" t="s">
        <v>1557</v>
      </c>
      <c r="BU943">
        <v>574284</v>
      </c>
      <c r="BV943">
        <v>0</v>
      </c>
      <c r="BW943">
        <v>574284</v>
      </c>
      <c r="BX943">
        <v>-574284</v>
      </c>
      <c r="BY943">
        <v>0</v>
      </c>
      <c r="BZ943">
        <v>0</v>
      </c>
      <c r="CA943">
        <v>0</v>
      </c>
      <c r="CB943">
        <v>-38618.57</v>
      </c>
      <c r="CC943">
        <v>-38326.52999999989</v>
      </c>
      <c r="CD943">
        <v>-49147.099999999838</v>
      </c>
      <c r="CE943">
        <v>-60488.989999999852</v>
      </c>
      <c r="CF943">
        <v>-35697.249999999913</v>
      </c>
      <c r="CG943">
        <v>-42388.649999999914</v>
      </c>
      <c r="CH943">
        <v>-58546.139999999818</v>
      </c>
      <c r="CI943">
        <v>-42685.529999999897</v>
      </c>
      <c r="CJ943">
        <v>-541.42999999999995</v>
      </c>
      <c r="CK943">
        <v>0</v>
      </c>
      <c r="CL943">
        <v>0</v>
      </c>
      <c r="CM943">
        <v>0</v>
      </c>
      <c r="CR943" t="s">
        <v>2327</v>
      </c>
      <c r="CS943" s="1369" t="str">
        <f>INDEX([8]Sheet1!$H:$H,MATCH(CR:CR,[8]Sheet1!$AU:$AU,0))</f>
        <v>Education</v>
      </c>
    </row>
    <row r="944" spans="1:97" x14ac:dyDescent="0.2">
      <c r="A944" t="s">
        <v>3766</v>
      </c>
      <c r="B944">
        <v>997</v>
      </c>
      <c r="C944" t="s">
        <v>3766</v>
      </c>
      <c r="D944">
        <v>41728</v>
      </c>
      <c r="E944" t="s">
        <v>3767</v>
      </c>
      <c r="F944" t="s">
        <v>2364</v>
      </c>
      <c r="G944" t="s">
        <v>2364</v>
      </c>
      <c r="H944" t="s">
        <v>2365</v>
      </c>
      <c r="I944" t="s">
        <v>2365</v>
      </c>
      <c r="J944" t="s">
        <v>2365</v>
      </c>
      <c r="K944" t="s">
        <v>2365</v>
      </c>
      <c r="L944">
        <v>4400</v>
      </c>
      <c r="M944" t="s">
        <v>631</v>
      </c>
      <c r="N944">
        <v>4403</v>
      </c>
      <c r="O944" t="s">
        <v>1557</v>
      </c>
      <c r="P944" t="s">
        <v>2366</v>
      </c>
      <c r="Q944" t="s">
        <v>2364</v>
      </c>
      <c r="R944" t="s">
        <v>2364</v>
      </c>
      <c r="S944" t="s">
        <v>553</v>
      </c>
      <c r="T944" t="s">
        <v>2175</v>
      </c>
      <c r="U944">
        <v>140</v>
      </c>
      <c r="V944" t="s">
        <v>693</v>
      </c>
      <c r="W944">
        <v>140</v>
      </c>
      <c r="X944" t="s">
        <v>693</v>
      </c>
      <c r="Y944" t="s">
        <v>2365</v>
      </c>
      <c r="Z944" t="s">
        <v>2365</v>
      </c>
      <c r="AA944" t="s">
        <v>2365</v>
      </c>
      <c r="AB944" t="s">
        <v>2365</v>
      </c>
      <c r="AC944" s="813" t="s">
        <v>2365</v>
      </c>
      <c r="AD944" s="813" t="s">
        <v>2365</v>
      </c>
      <c r="AE944" s="813" t="s">
        <v>2365</v>
      </c>
      <c r="AF944" t="s">
        <v>2365</v>
      </c>
      <c r="AG944" t="s">
        <v>2365</v>
      </c>
      <c r="AH944" t="s">
        <v>2365</v>
      </c>
      <c r="AI944" t="s">
        <v>2365</v>
      </c>
      <c r="AJ944" t="s">
        <v>2365</v>
      </c>
      <c r="AK944">
        <v>147</v>
      </c>
      <c r="AL944" t="s">
        <v>1200</v>
      </c>
      <c r="AM944">
        <v>147</v>
      </c>
      <c r="AN944" t="s">
        <v>1200</v>
      </c>
      <c r="AR944" t="s">
        <v>2365</v>
      </c>
      <c r="AS944" t="s">
        <v>2365</v>
      </c>
      <c r="AT944" t="s">
        <v>2365</v>
      </c>
      <c r="AU944" t="s">
        <v>2365</v>
      </c>
      <c r="AV944" t="s">
        <v>2365</v>
      </c>
      <c r="AW944" t="s">
        <v>2365</v>
      </c>
      <c r="AX944" t="s">
        <v>2365</v>
      </c>
      <c r="AY944" t="s">
        <v>2365</v>
      </c>
      <c r="AZ944" t="s">
        <v>2365</v>
      </c>
      <c r="BA944" t="s">
        <v>2365</v>
      </c>
      <c r="BB944" t="s">
        <v>2365</v>
      </c>
      <c r="BC944" t="s">
        <v>2365</v>
      </c>
      <c r="BD944" t="s">
        <v>2366</v>
      </c>
      <c r="BE944" t="s">
        <v>2365</v>
      </c>
      <c r="BF944" t="s">
        <v>2365</v>
      </c>
      <c r="BG944" t="s">
        <v>2365</v>
      </c>
      <c r="BH944" t="s">
        <v>2365</v>
      </c>
      <c r="BI944" t="s">
        <v>2366</v>
      </c>
      <c r="BJ944" t="s">
        <v>2365</v>
      </c>
      <c r="BK944" t="s">
        <v>2365</v>
      </c>
      <c r="BL944" t="s">
        <v>2365</v>
      </c>
      <c r="BM944" t="s">
        <v>2365</v>
      </c>
      <c r="BO944">
        <v>12</v>
      </c>
      <c r="BP944">
        <v>121</v>
      </c>
      <c r="BQ944" t="s">
        <v>1369</v>
      </c>
      <c r="BR944" t="s">
        <v>1557</v>
      </c>
      <c r="BU944">
        <v>0</v>
      </c>
      <c r="BV944">
        <v>0</v>
      </c>
      <c r="BW944">
        <v>0</v>
      </c>
      <c r="BX944">
        <v>0</v>
      </c>
      <c r="BY944">
        <v>0</v>
      </c>
      <c r="BZ944">
        <v>0</v>
      </c>
      <c r="CA944">
        <v>0</v>
      </c>
      <c r="CB944">
        <v>0</v>
      </c>
      <c r="CC944">
        <v>0</v>
      </c>
      <c r="CD944">
        <v>0</v>
      </c>
      <c r="CE944">
        <v>0</v>
      </c>
      <c r="CF944">
        <v>0</v>
      </c>
      <c r="CG944">
        <v>0</v>
      </c>
      <c r="CH944">
        <v>0</v>
      </c>
      <c r="CI944">
        <v>0</v>
      </c>
      <c r="CJ944">
        <v>0</v>
      </c>
      <c r="CK944">
        <v>0</v>
      </c>
      <c r="CL944">
        <v>0</v>
      </c>
      <c r="CM944">
        <v>0</v>
      </c>
      <c r="CR944" t="s">
        <v>2339</v>
      </c>
      <c r="CS944" s="1369" t="str">
        <f>INDEX([8]Sheet1!$H:$H,MATCH(CR:CR,[8]Sheet1!$AU:$AU,0))</f>
        <v>Nature Conservation</v>
      </c>
    </row>
    <row r="945" spans="1:97" x14ac:dyDescent="0.2">
      <c r="A945" t="s">
        <v>3768</v>
      </c>
      <c r="B945">
        <v>998</v>
      </c>
      <c r="C945" t="s">
        <v>3768</v>
      </c>
      <c r="D945">
        <v>41729</v>
      </c>
      <c r="E945" t="s">
        <v>3769</v>
      </c>
      <c r="F945" t="s">
        <v>2364</v>
      </c>
      <c r="G945" t="s">
        <v>2364</v>
      </c>
      <c r="H945" t="s">
        <v>2365</v>
      </c>
      <c r="I945" t="s">
        <v>2365</v>
      </c>
      <c r="J945" t="s">
        <v>2365</v>
      </c>
      <c r="K945" t="s">
        <v>2365</v>
      </c>
      <c r="L945">
        <v>4400</v>
      </c>
      <c r="M945" t="s">
        <v>631</v>
      </c>
      <c r="N945">
        <v>4403</v>
      </c>
      <c r="O945" t="s">
        <v>1557</v>
      </c>
      <c r="P945" t="s">
        <v>2366</v>
      </c>
      <c r="Q945" t="s">
        <v>2364</v>
      </c>
      <c r="R945" t="s">
        <v>2364</v>
      </c>
      <c r="S945" t="s">
        <v>553</v>
      </c>
      <c r="T945" t="s">
        <v>2175</v>
      </c>
      <c r="U945">
        <v>140</v>
      </c>
      <c r="V945" t="s">
        <v>693</v>
      </c>
      <c r="W945">
        <v>140</v>
      </c>
      <c r="X945" t="s">
        <v>693</v>
      </c>
      <c r="Y945" t="s">
        <v>2365</v>
      </c>
      <c r="Z945" t="s">
        <v>2365</v>
      </c>
      <c r="AA945" t="s">
        <v>2365</v>
      </c>
      <c r="AB945" t="s">
        <v>2365</v>
      </c>
      <c r="AC945" s="813" t="s">
        <v>2365</v>
      </c>
      <c r="AD945" s="813" t="s">
        <v>2365</v>
      </c>
      <c r="AE945" s="813" t="s">
        <v>2365</v>
      </c>
      <c r="AF945" t="s">
        <v>2365</v>
      </c>
      <c r="AG945" t="s">
        <v>2365</v>
      </c>
      <c r="AH945" t="s">
        <v>2365</v>
      </c>
      <c r="AI945" t="s">
        <v>2365</v>
      </c>
      <c r="AJ945" t="s">
        <v>2365</v>
      </c>
      <c r="AK945" t="s">
        <v>2366</v>
      </c>
      <c r="AL945" t="s">
        <v>2366</v>
      </c>
      <c r="AM945" t="s">
        <v>2366</v>
      </c>
      <c r="AN945" t="s">
        <v>2366</v>
      </c>
      <c r="AR945" t="s">
        <v>2365</v>
      </c>
      <c r="AS945" t="s">
        <v>2365</v>
      </c>
      <c r="AT945" t="s">
        <v>2365</v>
      </c>
      <c r="AU945" t="s">
        <v>2365</v>
      </c>
      <c r="AV945" t="s">
        <v>2365</v>
      </c>
      <c r="AW945" t="s">
        <v>2365</v>
      </c>
      <c r="AX945" t="s">
        <v>2365</v>
      </c>
      <c r="AY945" t="s">
        <v>2365</v>
      </c>
      <c r="AZ945" t="s">
        <v>2365</v>
      </c>
      <c r="BA945" t="s">
        <v>2365</v>
      </c>
      <c r="BB945" t="s">
        <v>2365</v>
      </c>
      <c r="BC945" t="s">
        <v>2365</v>
      </c>
      <c r="BD945" t="s">
        <v>2366</v>
      </c>
      <c r="BE945" t="s">
        <v>2365</v>
      </c>
      <c r="BF945" t="s">
        <v>2365</v>
      </c>
      <c r="BG945" t="s">
        <v>2365</v>
      </c>
      <c r="BH945" t="s">
        <v>2365</v>
      </c>
      <c r="BI945" t="s">
        <v>2366</v>
      </c>
      <c r="BJ945" t="s">
        <v>2365</v>
      </c>
      <c r="BK945" t="s">
        <v>2365</v>
      </c>
      <c r="BL945" t="s">
        <v>2365</v>
      </c>
      <c r="BM945" t="s">
        <v>2365</v>
      </c>
      <c r="BO945">
        <v>12</v>
      </c>
      <c r="BP945">
        <v>121</v>
      </c>
      <c r="BQ945" t="s">
        <v>1369</v>
      </c>
      <c r="BR945" t="s">
        <v>1557</v>
      </c>
      <c r="BU945">
        <v>0</v>
      </c>
      <c r="BV945">
        <v>0</v>
      </c>
      <c r="BW945">
        <v>0</v>
      </c>
      <c r="BX945">
        <v>0</v>
      </c>
      <c r="BY945">
        <v>0</v>
      </c>
      <c r="BZ945">
        <v>0</v>
      </c>
      <c r="CA945">
        <v>0</v>
      </c>
      <c r="CB945">
        <v>0</v>
      </c>
      <c r="CC945">
        <v>0</v>
      </c>
      <c r="CD945">
        <v>0</v>
      </c>
      <c r="CE945">
        <v>0</v>
      </c>
      <c r="CF945">
        <v>0</v>
      </c>
      <c r="CG945">
        <v>0</v>
      </c>
      <c r="CH945">
        <v>0</v>
      </c>
      <c r="CI945">
        <v>0</v>
      </c>
      <c r="CJ945">
        <v>0</v>
      </c>
      <c r="CK945">
        <v>0</v>
      </c>
      <c r="CL945">
        <v>0</v>
      </c>
      <c r="CM945">
        <v>0</v>
      </c>
      <c r="CR945" t="s">
        <v>2346</v>
      </c>
      <c r="CS945" s="1369" t="str">
        <f>INDEX([8]Sheet1!$H:$H,MATCH(CR:CR,[8]Sheet1!$AU:$AU,0))</f>
        <v>Community Halls and Facilities</v>
      </c>
    </row>
    <row r="946" spans="1:97" x14ac:dyDescent="0.2">
      <c r="A946" t="s">
        <v>3770</v>
      </c>
      <c r="B946">
        <v>1000</v>
      </c>
      <c r="C946" t="s">
        <v>3770</v>
      </c>
      <c r="D946">
        <v>41731</v>
      </c>
      <c r="E946" t="s">
        <v>3771</v>
      </c>
      <c r="F946" t="s">
        <v>2364</v>
      </c>
      <c r="G946" t="s">
        <v>2364</v>
      </c>
      <c r="H946" t="s">
        <v>2365</v>
      </c>
      <c r="I946" t="s">
        <v>2365</v>
      </c>
      <c r="J946" t="s">
        <v>2365</v>
      </c>
      <c r="K946" t="s">
        <v>2365</v>
      </c>
      <c r="L946">
        <v>4400</v>
      </c>
      <c r="M946" t="s">
        <v>631</v>
      </c>
      <c r="N946">
        <v>4403</v>
      </c>
      <c r="O946" t="s">
        <v>1557</v>
      </c>
      <c r="P946" t="s">
        <v>2366</v>
      </c>
      <c r="Q946" t="s">
        <v>2364</v>
      </c>
      <c r="R946" t="s">
        <v>2364</v>
      </c>
      <c r="S946" t="s">
        <v>553</v>
      </c>
      <c r="T946" t="s">
        <v>2175</v>
      </c>
      <c r="U946" t="s">
        <v>2366</v>
      </c>
      <c r="V946" t="s">
        <v>2366</v>
      </c>
      <c r="W946" t="s">
        <v>2366</v>
      </c>
      <c r="X946" t="s">
        <v>2366</v>
      </c>
      <c r="Y946" t="s">
        <v>2365</v>
      </c>
      <c r="Z946" t="s">
        <v>2365</v>
      </c>
      <c r="AA946" t="s">
        <v>2365</v>
      </c>
      <c r="AB946" t="s">
        <v>2365</v>
      </c>
      <c r="AC946" s="813" t="s">
        <v>2365</v>
      </c>
      <c r="AD946" s="813" t="s">
        <v>2365</v>
      </c>
      <c r="AE946" s="813" t="s">
        <v>2365</v>
      </c>
      <c r="AF946" t="s">
        <v>2365</v>
      </c>
      <c r="AG946" t="s">
        <v>2365</v>
      </c>
      <c r="AH946" t="s">
        <v>2365</v>
      </c>
      <c r="AI946" t="s">
        <v>2365</v>
      </c>
      <c r="AJ946" t="s">
        <v>2365</v>
      </c>
      <c r="AK946">
        <v>146</v>
      </c>
      <c r="AL946" t="s">
        <v>1199</v>
      </c>
      <c r="AM946">
        <v>146</v>
      </c>
      <c r="AN946" t="s">
        <v>1199</v>
      </c>
      <c r="AR946" t="s">
        <v>2365</v>
      </c>
      <c r="AS946" t="s">
        <v>2365</v>
      </c>
      <c r="AT946" t="s">
        <v>2365</v>
      </c>
      <c r="AU946" t="s">
        <v>2365</v>
      </c>
      <c r="AV946" t="s">
        <v>2365</v>
      </c>
      <c r="AW946" t="s">
        <v>2365</v>
      </c>
      <c r="AX946" t="s">
        <v>2365</v>
      </c>
      <c r="AY946" t="s">
        <v>2365</v>
      </c>
      <c r="AZ946" t="s">
        <v>2365</v>
      </c>
      <c r="BA946" t="s">
        <v>2365</v>
      </c>
      <c r="BB946" t="s">
        <v>2365</v>
      </c>
      <c r="BC946" t="s">
        <v>2365</v>
      </c>
      <c r="BD946" t="s">
        <v>2366</v>
      </c>
      <c r="BE946" t="s">
        <v>2365</v>
      </c>
      <c r="BF946" t="s">
        <v>2365</v>
      </c>
      <c r="BG946" t="s">
        <v>2365</v>
      </c>
      <c r="BH946" t="s">
        <v>2365</v>
      </c>
      <c r="BI946" t="s">
        <v>2366</v>
      </c>
      <c r="BJ946" t="s">
        <v>2365</v>
      </c>
      <c r="BK946" t="s">
        <v>2365</v>
      </c>
      <c r="BL946" t="s">
        <v>2365</v>
      </c>
      <c r="BM946" t="s">
        <v>2365</v>
      </c>
      <c r="BO946">
        <v>12</v>
      </c>
      <c r="BP946">
        <v>121</v>
      </c>
      <c r="BQ946" t="s">
        <v>1369</v>
      </c>
      <c r="BR946" t="s">
        <v>1557</v>
      </c>
      <c r="BU946">
        <v>0</v>
      </c>
      <c r="BV946">
        <v>0</v>
      </c>
      <c r="BW946">
        <v>0</v>
      </c>
      <c r="BX946">
        <v>0</v>
      </c>
      <c r="BY946">
        <v>0</v>
      </c>
      <c r="BZ946">
        <v>0</v>
      </c>
      <c r="CA946">
        <v>0</v>
      </c>
      <c r="CB946">
        <v>0</v>
      </c>
      <c r="CC946">
        <v>0</v>
      </c>
      <c r="CD946">
        <v>0</v>
      </c>
      <c r="CE946">
        <v>0</v>
      </c>
      <c r="CF946">
        <v>0</v>
      </c>
      <c r="CG946">
        <v>0</v>
      </c>
      <c r="CH946">
        <v>0</v>
      </c>
      <c r="CI946">
        <v>0</v>
      </c>
      <c r="CJ946">
        <v>0</v>
      </c>
      <c r="CK946">
        <v>0</v>
      </c>
      <c r="CL946">
        <v>0</v>
      </c>
      <c r="CM946">
        <v>0</v>
      </c>
      <c r="CR946" t="s">
        <v>2340</v>
      </c>
      <c r="CS946" s="1369" t="str">
        <f>INDEX([8]Sheet1!$H:$H,MATCH(CR:CR,[8]Sheet1!$AU:$AU,0))</f>
        <v>Disaster Management</v>
      </c>
    </row>
    <row r="947" spans="1:97" x14ac:dyDescent="0.2">
      <c r="A947" t="s">
        <v>3772</v>
      </c>
      <c r="B947">
        <v>1001</v>
      </c>
      <c r="C947" t="s">
        <v>3772</v>
      </c>
      <c r="D947">
        <v>41732</v>
      </c>
      <c r="E947" t="s">
        <v>3773</v>
      </c>
      <c r="F947" t="s">
        <v>2364</v>
      </c>
      <c r="G947" t="s">
        <v>2364</v>
      </c>
      <c r="H947" t="s">
        <v>2365</v>
      </c>
      <c r="I947" t="s">
        <v>2365</v>
      </c>
      <c r="J947" t="s">
        <v>2365</v>
      </c>
      <c r="K947" t="s">
        <v>2365</v>
      </c>
      <c r="L947">
        <v>4400</v>
      </c>
      <c r="M947" t="s">
        <v>631</v>
      </c>
      <c r="N947">
        <v>4403</v>
      </c>
      <c r="O947" t="s">
        <v>1557</v>
      </c>
      <c r="P947" t="s">
        <v>2366</v>
      </c>
      <c r="Q947" t="s">
        <v>2364</v>
      </c>
      <c r="R947" t="s">
        <v>2364</v>
      </c>
      <c r="S947" t="s">
        <v>553</v>
      </c>
      <c r="T947" t="s">
        <v>2175</v>
      </c>
      <c r="U947" t="s">
        <v>2366</v>
      </c>
      <c r="V947" t="s">
        <v>2366</v>
      </c>
      <c r="W947" t="s">
        <v>2366</v>
      </c>
      <c r="X947" t="s">
        <v>2366</v>
      </c>
      <c r="Y947" t="s">
        <v>2365</v>
      </c>
      <c r="Z947" t="s">
        <v>2365</v>
      </c>
      <c r="AA947" t="s">
        <v>2365</v>
      </c>
      <c r="AB947" t="s">
        <v>2365</v>
      </c>
      <c r="AC947" s="813" t="s">
        <v>2365</v>
      </c>
      <c r="AD947" s="813" t="s">
        <v>2365</v>
      </c>
      <c r="AE947" s="813" t="s">
        <v>2365</v>
      </c>
      <c r="AF947" t="s">
        <v>2365</v>
      </c>
      <c r="AG947" t="s">
        <v>2365</v>
      </c>
      <c r="AH947" t="s">
        <v>2365</v>
      </c>
      <c r="AI947" t="s">
        <v>2365</v>
      </c>
      <c r="AJ947" t="s">
        <v>2365</v>
      </c>
      <c r="AK947">
        <v>146</v>
      </c>
      <c r="AL947" t="s">
        <v>1199</v>
      </c>
      <c r="AM947">
        <v>146</v>
      </c>
      <c r="AN947" t="s">
        <v>1199</v>
      </c>
      <c r="AR947" t="s">
        <v>2365</v>
      </c>
      <c r="AS947" t="s">
        <v>2365</v>
      </c>
      <c r="AT947" t="s">
        <v>2365</v>
      </c>
      <c r="AU947" t="s">
        <v>2365</v>
      </c>
      <c r="AV947" t="s">
        <v>2365</v>
      </c>
      <c r="AW947" t="s">
        <v>2365</v>
      </c>
      <c r="AX947" t="s">
        <v>2365</v>
      </c>
      <c r="AY947" t="s">
        <v>2365</v>
      </c>
      <c r="AZ947" t="s">
        <v>2365</v>
      </c>
      <c r="BA947" t="s">
        <v>2365</v>
      </c>
      <c r="BB947" t="s">
        <v>2365</v>
      </c>
      <c r="BC947" t="s">
        <v>2365</v>
      </c>
      <c r="BD947" t="s">
        <v>2366</v>
      </c>
      <c r="BE947" t="s">
        <v>2365</v>
      </c>
      <c r="BF947" t="s">
        <v>2365</v>
      </c>
      <c r="BG947" t="s">
        <v>2365</v>
      </c>
      <c r="BH947" t="s">
        <v>2365</v>
      </c>
      <c r="BI947" t="s">
        <v>2366</v>
      </c>
      <c r="BJ947" t="s">
        <v>2365</v>
      </c>
      <c r="BK947" t="s">
        <v>2365</v>
      </c>
      <c r="BL947" t="s">
        <v>2365</v>
      </c>
      <c r="BM947" t="s">
        <v>2365</v>
      </c>
      <c r="BO947">
        <v>12</v>
      </c>
      <c r="BP947">
        <v>121</v>
      </c>
      <c r="BQ947" t="s">
        <v>1369</v>
      </c>
      <c r="BR947" t="s">
        <v>1557</v>
      </c>
      <c r="BU947">
        <v>0</v>
      </c>
      <c r="BV947">
        <v>0</v>
      </c>
      <c r="BW947">
        <v>0</v>
      </c>
      <c r="BX947">
        <v>0</v>
      </c>
      <c r="BY947">
        <v>0</v>
      </c>
      <c r="BZ947">
        <v>0</v>
      </c>
      <c r="CA947">
        <v>0</v>
      </c>
      <c r="CB947">
        <v>0</v>
      </c>
      <c r="CC947">
        <v>0</v>
      </c>
      <c r="CD947">
        <v>0</v>
      </c>
      <c r="CE947">
        <v>0</v>
      </c>
      <c r="CF947">
        <v>0</v>
      </c>
      <c r="CG947">
        <v>0</v>
      </c>
      <c r="CH947">
        <v>0</v>
      </c>
      <c r="CI947">
        <v>0</v>
      </c>
      <c r="CJ947">
        <v>0</v>
      </c>
      <c r="CK947">
        <v>0</v>
      </c>
      <c r="CL947">
        <v>0</v>
      </c>
      <c r="CM947">
        <v>0</v>
      </c>
      <c r="CR947" t="s">
        <v>2340</v>
      </c>
      <c r="CS947" s="1369" t="str">
        <f>INDEX([8]Sheet1!$H:$H,MATCH(CR:CR,[8]Sheet1!$AU:$AU,0))</f>
        <v>Disaster Management</v>
      </c>
    </row>
    <row r="948" spans="1:97" x14ac:dyDescent="0.2">
      <c r="A948" t="s">
        <v>3774</v>
      </c>
      <c r="B948">
        <v>1002</v>
      </c>
      <c r="C948" t="s">
        <v>3774</v>
      </c>
      <c r="D948">
        <v>41733</v>
      </c>
      <c r="E948" t="s">
        <v>3775</v>
      </c>
      <c r="F948" t="s">
        <v>2364</v>
      </c>
      <c r="G948" t="s">
        <v>2364</v>
      </c>
      <c r="H948" t="s">
        <v>2365</v>
      </c>
      <c r="I948" t="s">
        <v>2365</v>
      </c>
      <c r="J948" t="s">
        <v>2365</v>
      </c>
      <c r="K948" t="s">
        <v>2365</v>
      </c>
      <c r="L948">
        <v>4400</v>
      </c>
      <c r="M948" t="s">
        <v>631</v>
      </c>
      <c r="N948">
        <v>4403</v>
      </c>
      <c r="O948" t="s">
        <v>1557</v>
      </c>
      <c r="P948" t="s">
        <v>2366</v>
      </c>
      <c r="Q948" t="s">
        <v>2364</v>
      </c>
      <c r="R948" t="s">
        <v>2364</v>
      </c>
      <c r="S948" t="s">
        <v>553</v>
      </c>
      <c r="T948" t="s">
        <v>2175</v>
      </c>
      <c r="U948">
        <v>140</v>
      </c>
      <c r="V948" t="s">
        <v>693</v>
      </c>
      <c r="W948">
        <v>140</v>
      </c>
      <c r="X948" t="s">
        <v>693</v>
      </c>
      <c r="Y948" t="s">
        <v>2365</v>
      </c>
      <c r="Z948" t="s">
        <v>2365</v>
      </c>
      <c r="AA948" t="s">
        <v>2365</v>
      </c>
      <c r="AB948" t="s">
        <v>2365</v>
      </c>
      <c r="AC948" s="813" t="s">
        <v>2365</v>
      </c>
      <c r="AD948" s="813" t="s">
        <v>2365</v>
      </c>
      <c r="AE948" s="813" t="s">
        <v>2365</v>
      </c>
      <c r="AF948" t="s">
        <v>2365</v>
      </c>
      <c r="AG948" t="s">
        <v>2365</v>
      </c>
      <c r="AH948" t="s">
        <v>2365</v>
      </c>
      <c r="AI948" t="s">
        <v>2365</v>
      </c>
      <c r="AJ948" t="s">
        <v>2365</v>
      </c>
      <c r="AK948" t="s">
        <v>2366</v>
      </c>
      <c r="AL948" t="s">
        <v>2366</v>
      </c>
      <c r="AM948" t="s">
        <v>2366</v>
      </c>
      <c r="AN948" t="s">
        <v>2366</v>
      </c>
      <c r="AR948" t="s">
        <v>2365</v>
      </c>
      <c r="AS948" t="s">
        <v>2365</v>
      </c>
      <c r="AT948" t="s">
        <v>2365</v>
      </c>
      <c r="AU948" t="s">
        <v>2365</v>
      </c>
      <c r="AV948" t="s">
        <v>2365</v>
      </c>
      <c r="AW948" t="s">
        <v>2365</v>
      </c>
      <c r="AX948" t="s">
        <v>2365</v>
      </c>
      <c r="AY948" t="s">
        <v>2365</v>
      </c>
      <c r="AZ948" t="s">
        <v>2365</v>
      </c>
      <c r="BA948" t="s">
        <v>2365</v>
      </c>
      <c r="BB948" t="s">
        <v>2365</v>
      </c>
      <c r="BC948" t="s">
        <v>2365</v>
      </c>
      <c r="BD948" t="s">
        <v>2366</v>
      </c>
      <c r="BE948" t="s">
        <v>2365</v>
      </c>
      <c r="BF948" t="s">
        <v>2365</v>
      </c>
      <c r="BG948" t="s">
        <v>2365</v>
      </c>
      <c r="BH948" t="s">
        <v>2365</v>
      </c>
      <c r="BI948" t="s">
        <v>2366</v>
      </c>
      <c r="BJ948" t="s">
        <v>2365</v>
      </c>
      <c r="BK948" t="s">
        <v>2365</v>
      </c>
      <c r="BL948" t="s">
        <v>2365</v>
      </c>
      <c r="BM948" t="s">
        <v>2365</v>
      </c>
      <c r="BO948">
        <v>12</v>
      </c>
      <c r="BP948">
        <v>121</v>
      </c>
      <c r="BQ948" t="s">
        <v>1369</v>
      </c>
      <c r="BR948" t="s">
        <v>1557</v>
      </c>
      <c r="BU948">
        <v>0</v>
      </c>
      <c r="BV948">
        <v>0</v>
      </c>
      <c r="BW948">
        <v>0</v>
      </c>
      <c r="BX948">
        <v>0</v>
      </c>
      <c r="BY948">
        <v>0</v>
      </c>
      <c r="BZ948">
        <v>0</v>
      </c>
      <c r="CA948">
        <v>0</v>
      </c>
      <c r="CB948">
        <v>0</v>
      </c>
      <c r="CC948">
        <v>0</v>
      </c>
      <c r="CD948">
        <v>0</v>
      </c>
      <c r="CE948">
        <v>0</v>
      </c>
      <c r="CF948">
        <v>0</v>
      </c>
      <c r="CG948">
        <v>0</v>
      </c>
      <c r="CH948">
        <v>0</v>
      </c>
      <c r="CI948">
        <v>0</v>
      </c>
      <c r="CJ948">
        <v>0</v>
      </c>
      <c r="CK948">
        <v>0</v>
      </c>
      <c r="CL948">
        <v>0</v>
      </c>
      <c r="CM948">
        <v>0</v>
      </c>
      <c r="CR948" t="s">
        <v>2339</v>
      </c>
      <c r="CS948" s="1369" t="str">
        <f>INDEX([8]Sheet1!$H:$H,MATCH(CR:CR,[8]Sheet1!$AU:$AU,0))</f>
        <v>Nature Conservation</v>
      </c>
    </row>
    <row r="949" spans="1:97" x14ac:dyDescent="0.2">
      <c r="A949" t="s">
        <v>3776</v>
      </c>
      <c r="B949">
        <v>1003</v>
      </c>
      <c r="C949" t="s">
        <v>3776</v>
      </c>
      <c r="D949">
        <v>41734</v>
      </c>
      <c r="E949" t="s">
        <v>3777</v>
      </c>
      <c r="F949" t="s">
        <v>2364</v>
      </c>
      <c r="G949" t="s">
        <v>2364</v>
      </c>
      <c r="H949" t="s">
        <v>2365</v>
      </c>
      <c r="I949" t="s">
        <v>2365</v>
      </c>
      <c r="J949" t="s">
        <v>2365</v>
      </c>
      <c r="K949" t="s">
        <v>2365</v>
      </c>
      <c r="L949">
        <v>4400</v>
      </c>
      <c r="M949" t="s">
        <v>631</v>
      </c>
      <c r="N949">
        <v>4403</v>
      </c>
      <c r="O949" t="s">
        <v>1557</v>
      </c>
      <c r="P949" t="s">
        <v>2366</v>
      </c>
      <c r="Q949" t="s">
        <v>2364</v>
      </c>
      <c r="R949" t="s">
        <v>2364</v>
      </c>
      <c r="S949" t="s">
        <v>553</v>
      </c>
      <c r="T949" t="s">
        <v>2367</v>
      </c>
      <c r="U949">
        <v>350</v>
      </c>
      <c r="V949" t="s">
        <v>3778</v>
      </c>
      <c r="W949">
        <v>350</v>
      </c>
      <c r="X949" t="s">
        <v>710</v>
      </c>
      <c r="Y949" t="s">
        <v>2365</v>
      </c>
      <c r="Z949" t="s">
        <v>2365</v>
      </c>
      <c r="AA949" t="s">
        <v>2365</v>
      </c>
      <c r="AB949" t="s">
        <v>2365</v>
      </c>
      <c r="AC949" s="813" t="s">
        <v>2365</v>
      </c>
      <c r="AD949" s="813" t="s">
        <v>2365</v>
      </c>
      <c r="AE949" s="813" t="s">
        <v>2365</v>
      </c>
      <c r="AF949" t="s">
        <v>2365</v>
      </c>
      <c r="AG949" t="s">
        <v>2365</v>
      </c>
      <c r="AH949" t="s">
        <v>2365</v>
      </c>
      <c r="AI949" t="s">
        <v>2365</v>
      </c>
      <c r="AJ949" t="s">
        <v>2365</v>
      </c>
      <c r="AK949" t="s">
        <v>2365</v>
      </c>
      <c r="AL949" t="s">
        <v>2365</v>
      </c>
      <c r="AM949" t="s">
        <v>2365</v>
      </c>
      <c r="AN949" t="s">
        <v>2365</v>
      </c>
      <c r="AR949" t="s">
        <v>2365</v>
      </c>
      <c r="AS949" t="s">
        <v>2365</v>
      </c>
      <c r="AT949" t="s">
        <v>2365</v>
      </c>
      <c r="AU949" t="s">
        <v>2365</v>
      </c>
      <c r="AV949" t="s">
        <v>2365</v>
      </c>
      <c r="AW949" t="s">
        <v>2365</v>
      </c>
      <c r="AX949" t="s">
        <v>2365</v>
      </c>
      <c r="AY949" t="s">
        <v>2365</v>
      </c>
      <c r="AZ949" t="s">
        <v>2365</v>
      </c>
      <c r="BA949" t="s">
        <v>2365</v>
      </c>
      <c r="BB949" t="s">
        <v>2365</v>
      </c>
      <c r="BC949" t="s">
        <v>2365</v>
      </c>
      <c r="BD949" t="s">
        <v>2366</v>
      </c>
      <c r="BE949" t="s">
        <v>2365</v>
      </c>
      <c r="BF949" t="s">
        <v>2365</v>
      </c>
      <c r="BG949" t="s">
        <v>2365</v>
      </c>
      <c r="BH949" t="s">
        <v>2365</v>
      </c>
      <c r="BI949" t="s">
        <v>2366</v>
      </c>
      <c r="BJ949" t="s">
        <v>2365</v>
      </c>
      <c r="BK949" t="s">
        <v>2365</v>
      </c>
      <c r="BL949" t="s">
        <v>2365</v>
      </c>
      <c r="BM949" t="s">
        <v>2365</v>
      </c>
      <c r="BO949">
        <v>12</v>
      </c>
      <c r="BP949">
        <v>121</v>
      </c>
      <c r="BQ949" t="s">
        <v>1369</v>
      </c>
      <c r="BR949" t="s">
        <v>1557</v>
      </c>
      <c r="BU949">
        <v>0</v>
      </c>
      <c r="BV949">
        <v>0</v>
      </c>
      <c r="BW949">
        <v>0</v>
      </c>
      <c r="BX949">
        <v>0</v>
      </c>
      <c r="BY949">
        <v>0</v>
      </c>
      <c r="BZ949">
        <v>0</v>
      </c>
      <c r="CA949">
        <v>0</v>
      </c>
      <c r="CB949">
        <v>0</v>
      </c>
      <c r="CC949">
        <v>0</v>
      </c>
      <c r="CD949">
        <v>0</v>
      </c>
      <c r="CE949">
        <v>0</v>
      </c>
      <c r="CF949">
        <v>0</v>
      </c>
      <c r="CG949">
        <v>0</v>
      </c>
      <c r="CH949">
        <v>0</v>
      </c>
      <c r="CI949">
        <v>0</v>
      </c>
      <c r="CJ949">
        <v>0</v>
      </c>
      <c r="CK949">
        <v>0</v>
      </c>
      <c r="CL949">
        <v>0</v>
      </c>
      <c r="CM949">
        <v>0</v>
      </c>
      <c r="CR949" t="s">
        <v>2343</v>
      </c>
      <c r="CS949" s="1369" t="str">
        <f>INDEX([8]Sheet1!$H:$H,MATCH(CR:CR,[8]Sheet1!$AU:$AU,0))</f>
        <v>Pollution Control</v>
      </c>
    </row>
    <row r="950" spans="1:97" x14ac:dyDescent="0.2">
      <c r="A950" t="s">
        <v>3779</v>
      </c>
      <c r="B950">
        <v>1004</v>
      </c>
      <c r="C950" t="s">
        <v>3779</v>
      </c>
      <c r="D950">
        <v>41735</v>
      </c>
      <c r="E950" t="s">
        <v>3780</v>
      </c>
      <c r="F950" t="s">
        <v>2364</v>
      </c>
      <c r="G950" t="s">
        <v>2364</v>
      </c>
      <c r="H950" t="s">
        <v>2365</v>
      </c>
      <c r="I950" t="s">
        <v>2365</v>
      </c>
      <c r="J950" t="s">
        <v>2365</v>
      </c>
      <c r="K950" t="s">
        <v>2365</v>
      </c>
      <c r="L950">
        <v>1200</v>
      </c>
      <c r="M950" t="s">
        <v>1480</v>
      </c>
      <c r="N950">
        <v>1204</v>
      </c>
      <c r="O950" t="s">
        <v>1487</v>
      </c>
      <c r="P950" t="s">
        <v>2366</v>
      </c>
      <c r="Q950" t="s">
        <v>2364</v>
      </c>
      <c r="R950" t="s">
        <v>2364</v>
      </c>
      <c r="S950" t="s">
        <v>553</v>
      </c>
      <c r="T950" t="s">
        <v>2175</v>
      </c>
      <c r="U950">
        <v>120</v>
      </c>
      <c r="V950" t="s">
        <v>691</v>
      </c>
      <c r="W950">
        <v>120</v>
      </c>
      <c r="X950" t="s">
        <v>691</v>
      </c>
      <c r="Y950" t="s">
        <v>2365</v>
      </c>
      <c r="Z950" t="s">
        <v>2365</v>
      </c>
      <c r="AA950" t="s">
        <v>2365</v>
      </c>
      <c r="AB950" t="s">
        <v>2365</v>
      </c>
      <c r="AC950" s="813" t="s">
        <v>2365</v>
      </c>
      <c r="AD950" s="813" t="s">
        <v>2365</v>
      </c>
      <c r="AE950" s="813" t="s">
        <v>2365</v>
      </c>
      <c r="AF950" t="s">
        <v>2365</v>
      </c>
      <c r="AG950" t="s">
        <v>2365</v>
      </c>
      <c r="AH950" t="s">
        <v>2365</v>
      </c>
      <c r="AI950" t="s">
        <v>2365</v>
      </c>
      <c r="AJ950" t="s">
        <v>2365</v>
      </c>
      <c r="AK950" t="s">
        <v>2365</v>
      </c>
      <c r="AL950" t="s">
        <v>2365</v>
      </c>
      <c r="AM950" t="s">
        <v>2365</v>
      </c>
      <c r="AN950" t="s">
        <v>2365</v>
      </c>
      <c r="AR950" t="s">
        <v>2365</v>
      </c>
      <c r="AS950" t="s">
        <v>2365</v>
      </c>
      <c r="AT950" t="s">
        <v>2365</v>
      </c>
      <c r="AU950" t="s">
        <v>2365</v>
      </c>
      <c r="AV950" t="s">
        <v>2365</v>
      </c>
      <c r="AW950" t="s">
        <v>2365</v>
      </c>
      <c r="AX950" t="s">
        <v>2365</v>
      </c>
      <c r="AY950" t="s">
        <v>2365</v>
      </c>
      <c r="AZ950" t="s">
        <v>2365</v>
      </c>
      <c r="BA950" t="s">
        <v>2365</v>
      </c>
      <c r="BB950" t="s">
        <v>2365</v>
      </c>
      <c r="BC950" t="s">
        <v>2365</v>
      </c>
      <c r="BD950" t="s">
        <v>2366</v>
      </c>
      <c r="BE950" t="s">
        <v>2365</v>
      </c>
      <c r="BF950" t="s">
        <v>2365</v>
      </c>
      <c r="BG950" t="s">
        <v>2365</v>
      </c>
      <c r="BH950" t="s">
        <v>2365</v>
      </c>
      <c r="BI950" t="s">
        <v>2366</v>
      </c>
      <c r="BJ950" t="s">
        <v>2365</v>
      </c>
      <c r="BK950" t="s">
        <v>2365</v>
      </c>
      <c r="BL950" t="s">
        <v>2365</v>
      </c>
      <c r="BM950" t="s">
        <v>2365</v>
      </c>
      <c r="BO950">
        <v>1</v>
      </c>
      <c r="BP950">
        <v>11</v>
      </c>
      <c r="BQ950" t="s">
        <v>2369</v>
      </c>
      <c r="BR950" t="s">
        <v>1487</v>
      </c>
      <c r="BU950">
        <v>0</v>
      </c>
      <c r="BV950">
        <v>0</v>
      </c>
      <c r="BW950">
        <v>0</v>
      </c>
      <c r="BX950">
        <v>0</v>
      </c>
      <c r="BY950">
        <v>0</v>
      </c>
      <c r="BZ950">
        <v>0</v>
      </c>
      <c r="CA950">
        <v>0</v>
      </c>
      <c r="CB950">
        <v>0</v>
      </c>
      <c r="CC950">
        <v>-2823.9</v>
      </c>
      <c r="CD950">
        <v>2823.9</v>
      </c>
      <c r="CE950">
        <v>-2902.9500000000003</v>
      </c>
      <c r="CF950">
        <v>2902.95</v>
      </c>
      <c r="CG950">
        <v>0</v>
      </c>
      <c r="CH950">
        <v>-2.0500000000001819</v>
      </c>
      <c r="CI950">
        <v>-2979.1</v>
      </c>
      <c r="CJ950">
        <v>0</v>
      </c>
      <c r="CK950">
        <v>0</v>
      </c>
      <c r="CL950">
        <v>0</v>
      </c>
      <c r="CM950">
        <v>0</v>
      </c>
      <c r="CR950" t="s">
        <v>2320</v>
      </c>
      <c r="CS950" s="1369" t="str">
        <f>INDEX([8]Sheet1!$H:$H,MATCH(CR:CR,[8]Sheet1!$AU:$AU,0))</f>
        <v>Administrative and Corporate Support</v>
      </c>
    </row>
    <row r="951" spans="1:97" x14ac:dyDescent="0.2">
      <c r="A951" t="s">
        <v>3781</v>
      </c>
      <c r="B951">
        <v>1005</v>
      </c>
      <c r="C951" t="s">
        <v>3781</v>
      </c>
      <c r="D951">
        <v>41736</v>
      </c>
      <c r="E951" t="s">
        <v>3782</v>
      </c>
      <c r="F951" t="s">
        <v>2364</v>
      </c>
      <c r="G951" t="s">
        <v>2364</v>
      </c>
      <c r="H951" t="s">
        <v>2365</v>
      </c>
      <c r="I951" t="s">
        <v>2365</v>
      </c>
      <c r="J951" t="s">
        <v>2365</v>
      </c>
      <c r="K951" t="s">
        <v>2365</v>
      </c>
      <c r="L951">
        <v>1200</v>
      </c>
      <c r="M951" t="s">
        <v>1480</v>
      </c>
      <c r="N951">
        <v>1204</v>
      </c>
      <c r="O951" t="s">
        <v>1487</v>
      </c>
      <c r="P951" t="s">
        <v>2366</v>
      </c>
      <c r="Q951" t="s">
        <v>2364</v>
      </c>
      <c r="R951" t="s">
        <v>2364</v>
      </c>
      <c r="S951" t="s">
        <v>553</v>
      </c>
      <c r="T951" t="s">
        <v>2175</v>
      </c>
      <c r="U951">
        <v>120</v>
      </c>
      <c r="V951" t="s">
        <v>691</v>
      </c>
      <c r="W951">
        <v>120</v>
      </c>
      <c r="X951" t="s">
        <v>691</v>
      </c>
      <c r="Y951" t="s">
        <v>2365</v>
      </c>
      <c r="Z951" t="s">
        <v>2365</v>
      </c>
      <c r="AA951" t="s">
        <v>2365</v>
      </c>
      <c r="AB951" t="s">
        <v>2365</v>
      </c>
      <c r="AC951" s="813" t="s">
        <v>2365</v>
      </c>
      <c r="AD951" s="813" t="s">
        <v>2365</v>
      </c>
      <c r="AE951" s="813" t="s">
        <v>2365</v>
      </c>
      <c r="AF951" t="s">
        <v>2365</v>
      </c>
      <c r="AG951" t="s">
        <v>2365</v>
      </c>
      <c r="AH951" t="s">
        <v>2365</v>
      </c>
      <c r="AI951" t="s">
        <v>2365</v>
      </c>
      <c r="AJ951" t="s">
        <v>2365</v>
      </c>
      <c r="AK951" t="s">
        <v>2365</v>
      </c>
      <c r="AL951" t="s">
        <v>2365</v>
      </c>
      <c r="AM951" t="s">
        <v>2365</v>
      </c>
      <c r="AN951" t="s">
        <v>2365</v>
      </c>
      <c r="AR951" t="s">
        <v>2365</v>
      </c>
      <c r="AS951" t="s">
        <v>2365</v>
      </c>
      <c r="AT951" t="s">
        <v>2365</v>
      </c>
      <c r="AU951" t="s">
        <v>2365</v>
      </c>
      <c r="AV951" t="s">
        <v>2365</v>
      </c>
      <c r="AW951" t="s">
        <v>2365</v>
      </c>
      <c r="AX951" t="s">
        <v>2365</v>
      </c>
      <c r="AY951" t="s">
        <v>2365</v>
      </c>
      <c r="AZ951" t="s">
        <v>2365</v>
      </c>
      <c r="BA951" t="s">
        <v>2365</v>
      </c>
      <c r="BB951" t="s">
        <v>2365</v>
      </c>
      <c r="BC951" t="s">
        <v>2365</v>
      </c>
      <c r="BD951" t="s">
        <v>2366</v>
      </c>
      <c r="BE951" t="s">
        <v>2365</v>
      </c>
      <c r="BF951" t="s">
        <v>2365</v>
      </c>
      <c r="BG951" t="s">
        <v>2365</v>
      </c>
      <c r="BH951" t="s">
        <v>2365</v>
      </c>
      <c r="BI951" t="s">
        <v>2366</v>
      </c>
      <c r="BJ951" t="s">
        <v>2365</v>
      </c>
      <c r="BK951" t="s">
        <v>2365</v>
      </c>
      <c r="BL951" t="s">
        <v>2365</v>
      </c>
      <c r="BM951" t="s">
        <v>2365</v>
      </c>
      <c r="BO951">
        <v>1</v>
      </c>
      <c r="BP951">
        <v>11</v>
      </c>
      <c r="BQ951" t="s">
        <v>2369</v>
      </c>
      <c r="BR951" t="s">
        <v>1487</v>
      </c>
      <c r="BU951">
        <v>0</v>
      </c>
      <c r="BV951">
        <v>0</v>
      </c>
      <c r="BW951">
        <v>0</v>
      </c>
      <c r="BX951">
        <v>0</v>
      </c>
      <c r="BY951">
        <v>0</v>
      </c>
      <c r="BZ951">
        <v>0</v>
      </c>
      <c r="CA951">
        <v>0</v>
      </c>
      <c r="CB951">
        <v>70087.840000000026</v>
      </c>
      <c r="CC951">
        <v>-105192.85000000003</v>
      </c>
      <c r="CD951">
        <v>-891.35999999992782</v>
      </c>
      <c r="CE951">
        <v>-482737.01</v>
      </c>
      <c r="CF951">
        <v>360987.63000000018</v>
      </c>
      <c r="CG951">
        <v>6307.9000000000233</v>
      </c>
      <c r="CH951">
        <v>-172149.19999999998</v>
      </c>
      <c r="CI951">
        <v>-42869.480000000098</v>
      </c>
      <c r="CJ951">
        <v>178450.9</v>
      </c>
      <c r="CK951">
        <v>0</v>
      </c>
      <c r="CL951">
        <v>0</v>
      </c>
      <c r="CM951">
        <v>0</v>
      </c>
      <c r="CR951" t="s">
        <v>2322</v>
      </c>
      <c r="CS951" s="1369" t="str">
        <f>INDEX([8]Sheet1!$H:$H,MATCH(CR:CR,[8]Sheet1!$AU:$AU,0))</f>
        <v>Human Resources</v>
      </c>
    </row>
    <row r="952" spans="1:97" x14ac:dyDescent="0.2">
      <c r="A952" t="s">
        <v>3783</v>
      </c>
      <c r="B952">
        <v>1006</v>
      </c>
      <c r="C952" t="s">
        <v>3783</v>
      </c>
      <c r="D952">
        <v>41737</v>
      </c>
      <c r="E952" t="s">
        <v>3784</v>
      </c>
      <c r="F952" t="s">
        <v>2364</v>
      </c>
      <c r="G952" t="s">
        <v>2364</v>
      </c>
      <c r="H952" t="s">
        <v>2365</v>
      </c>
      <c r="I952" t="s">
        <v>2365</v>
      </c>
      <c r="J952" t="s">
        <v>2365</v>
      </c>
      <c r="K952" t="s">
        <v>2365</v>
      </c>
      <c r="L952">
        <v>1200</v>
      </c>
      <c r="M952" t="s">
        <v>1480</v>
      </c>
      <c r="N952">
        <v>1204</v>
      </c>
      <c r="O952" t="s">
        <v>1487</v>
      </c>
      <c r="P952" t="s">
        <v>2366</v>
      </c>
      <c r="Q952" t="s">
        <v>2364</v>
      </c>
      <c r="R952" t="s">
        <v>2364</v>
      </c>
      <c r="S952" t="s">
        <v>553</v>
      </c>
      <c r="T952" t="s">
        <v>2367</v>
      </c>
      <c r="U952">
        <v>360</v>
      </c>
      <c r="V952" t="s">
        <v>2368</v>
      </c>
      <c r="W952">
        <v>360</v>
      </c>
      <c r="X952" t="s">
        <v>711</v>
      </c>
      <c r="Y952" t="s">
        <v>2365</v>
      </c>
      <c r="Z952" t="s">
        <v>2365</v>
      </c>
      <c r="AA952" t="s">
        <v>2365</v>
      </c>
      <c r="AB952" t="s">
        <v>2365</v>
      </c>
      <c r="AC952" s="813" t="s">
        <v>2365</v>
      </c>
      <c r="AD952" s="813" t="s">
        <v>2365</v>
      </c>
      <c r="AE952" s="813" t="s">
        <v>2365</v>
      </c>
      <c r="AF952" t="s">
        <v>2365</v>
      </c>
      <c r="AG952" t="s">
        <v>2365</v>
      </c>
      <c r="AH952" t="s">
        <v>2365</v>
      </c>
      <c r="AI952" t="s">
        <v>2365</v>
      </c>
      <c r="AJ952" t="s">
        <v>2365</v>
      </c>
      <c r="AK952">
        <v>361</v>
      </c>
      <c r="AL952" t="s">
        <v>1804</v>
      </c>
      <c r="AM952">
        <v>361</v>
      </c>
      <c r="AN952" t="s">
        <v>1804</v>
      </c>
      <c r="AR952" t="s">
        <v>2365</v>
      </c>
      <c r="AS952" t="s">
        <v>2365</v>
      </c>
      <c r="AT952" t="s">
        <v>2365</v>
      </c>
      <c r="AU952" t="s">
        <v>2365</v>
      </c>
      <c r="AV952" t="s">
        <v>2365</v>
      </c>
      <c r="AW952" t="s">
        <v>2365</v>
      </c>
      <c r="AX952" t="s">
        <v>2365</v>
      </c>
      <c r="AY952" t="s">
        <v>2365</v>
      </c>
      <c r="AZ952" t="s">
        <v>2365</v>
      </c>
      <c r="BA952" t="s">
        <v>2365</v>
      </c>
      <c r="BB952" t="s">
        <v>2365</v>
      </c>
      <c r="BC952" t="s">
        <v>2365</v>
      </c>
      <c r="BD952" t="s">
        <v>2366</v>
      </c>
      <c r="BE952" t="s">
        <v>2365</v>
      </c>
      <c r="BF952" t="s">
        <v>2365</v>
      </c>
      <c r="BG952" t="s">
        <v>2365</v>
      </c>
      <c r="BH952" t="s">
        <v>2365</v>
      </c>
      <c r="BI952" t="s">
        <v>2366</v>
      </c>
      <c r="BJ952" t="s">
        <v>2365</v>
      </c>
      <c r="BK952" t="s">
        <v>2365</v>
      </c>
      <c r="BL952" t="s">
        <v>2365</v>
      </c>
      <c r="BM952" t="s">
        <v>2365</v>
      </c>
      <c r="BO952">
        <v>1</v>
      </c>
      <c r="BP952">
        <v>11</v>
      </c>
      <c r="BQ952" t="s">
        <v>2369</v>
      </c>
      <c r="BR952" t="s">
        <v>1487</v>
      </c>
      <c r="BU952">
        <v>0</v>
      </c>
      <c r="BV952">
        <v>0</v>
      </c>
      <c r="BW952">
        <v>0</v>
      </c>
      <c r="BX952">
        <v>0</v>
      </c>
      <c r="BY952">
        <v>0</v>
      </c>
      <c r="BZ952">
        <v>0</v>
      </c>
      <c r="CA952">
        <v>0</v>
      </c>
      <c r="CB952">
        <v>-17706.150000000001</v>
      </c>
      <c r="CC952">
        <v>-2609.41</v>
      </c>
      <c r="CD952">
        <v>0</v>
      </c>
      <c r="CE952">
        <v>17356.14</v>
      </c>
      <c r="CF952">
        <v>-11165.210000000003</v>
      </c>
      <c r="CG952">
        <v>-6365.5699999999988</v>
      </c>
      <c r="CH952">
        <v>6365.57</v>
      </c>
      <c r="CI952">
        <v>-1000</v>
      </c>
      <c r="CJ952">
        <v>0</v>
      </c>
      <c r="CK952">
        <v>0</v>
      </c>
      <c r="CL952">
        <v>0</v>
      </c>
      <c r="CM952">
        <v>0</v>
      </c>
      <c r="CR952" t="s">
        <v>2321</v>
      </c>
      <c r="CS952" s="1369" t="str">
        <f>INDEX([8]Sheet1!$H:$H,MATCH(CR:CR,[8]Sheet1!$AU:$AU,0))</f>
        <v>Marketing, Customer Relations, Publicity and Media Co-ordination</v>
      </c>
    </row>
    <row r="953" spans="1:97" x14ac:dyDescent="0.2">
      <c r="A953" t="s">
        <v>3785</v>
      </c>
      <c r="B953">
        <v>1007</v>
      </c>
      <c r="C953" t="s">
        <v>3785</v>
      </c>
      <c r="D953">
        <v>41738</v>
      </c>
      <c r="E953" t="s">
        <v>3786</v>
      </c>
      <c r="F953" t="s">
        <v>2364</v>
      </c>
      <c r="G953" t="s">
        <v>2364</v>
      </c>
      <c r="H953" t="s">
        <v>2365</v>
      </c>
      <c r="I953" t="s">
        <v>2365</v>
      </c>
      <c r="J953" t="s">
        <v>2365</v>
      </c>
      <c r="K953" t="s">
        <v>2365</v>
      </c>
      <c r="L953">
        <v>1200</v>
      </c>
      <c r="M953" t="s">
        <v>1480</v>
      </c>
      <c r="N953">
        <v>1204</v>
      </c>
      <c r="O953" t="s">
        <v>1487</v>
      </c>
      <c r="P953" t="s">
        <v>2366</v>
      </c>
      <c r="Q953" t="s">
        <v>2364</v>
      </c>
      <c r="R953" t="s">
        <v>2364</v>
      </c>
      <c r="S953" t="s">
        <v>553</v>
      </c>
      <c r="T953" t="s">
        <v>2175</v>
      </c>
      <c r="U953">
        <v>170</v>
      </c>
      <c r="V953" t="s">
        <v>696</v>
      </c>
      <c r="W953">
        <v>170</v>
      </c>
      <c r="X953" t="s">
        <v>696</v>
      </c>
      <c r="Y953" t="s">
        <v>2365</v>
      </c>
      <c r="Z953" t="s">
        <v>2365</v>
      </c>
      <c r="AA953" t="s">
        <v>2365</v>
      </c>
      <c r="AB953" t="s">
        <v>2365</v>
      </c>
      <c r="AC953" s="813" t="s">
        <v>2365</v>
      </c>
      <c r="AD953" s="813" t="s">
        <v>2365</v>
      </c>
      <c r="AE953" s="813" t="s">
        <v>2365</v>
      </c>
      <c r="AF953" t="s">
        <v>2365</v>
      </c>
      <c r="AG953" t="s">
        <v>2365</v>
      </c>
      <c r="AH953" t="s">
        <v>2365</v>
      </c>
      <c r="AI953" t="s">
        <v>2365</v>
      </c>
      <c r="AJ953" t="s">
        <v>2365</v>
      </c>
      <c r="AK953" t="s">
        <v>2365</v>
      </c>
      <c r="AL953" t="s">
        <v>2365</v>
      </c>
      <c r="AM953" t="s">
        <v>2365</v>
      </c>
      <c r="AN953" t="s">
        <v>2365</v>
      </c>
      <c r="AR953" t="s">
        <v>2365</v>
      </c>
      <c r="AS953" t="s">
        <v>2365</v>
      </c>
      <c r="AT953" t="s">
        <v>2365</v>
      </c>
      <c r="AU953" t="s">
        <v>2365</v>
      </c>
      <c r="AV953" t="s">
        <v>2365</v>
      </c>
      <c r="AW953" t="s">
        <v>2365</v>
      </c>
      <c r="AX953" t="s">
        <v>2365</v>
      </c>
      <c r="AY953" t="s">
        <v>2365</v>
      </c>
      <c r="AZ953" t="s">
        <v>2365</v>
      </c>
      <c r="BA953" t="s">
        <v>2365</v>
      </c>
      <c r="BB953" t="s">
        <v>2365</v>
      </c>
      <c r="BC953" t="s">
        <v>2365</v>
      </c>
      <c r="BD953" t="s">
        <v>2366</v>
      </c>
      <c r="BE953" t="s">
        <v>2365</v>
      </c>
      <c r="BF953" t="s">
        <v>2365</v>
      </c>
      <c r="BG953" t="s">
        <v>2365</v>
      </c>
      <c r="BH953" t="s">
        <v>2365</v>
      </c>
      <c r="BI953" t="s">
        <v>2366</v>
      </c>
      <c r="BJ953" t="s">
        <v>2365</v>
      </c>
      <c r="BK953" t="s">
        <v>2365</v>
      </c>
      <c r="BL953" t="s">
        <v>2365</v>
      </c>
      <c r="BM953" t="s">
        <v>2365</v>
      </c>
      <c r="BO953">
        <v>1</v>
      </c>
      <c r="BP953">
        <v>11</v>
      </c>
      <c r="BQ953" t="s">
        <v>2369</v>
      </c>
      <c r="BR953" t="s">
        <v>1487</v>
      </c>
      <c r="BU953">
        <v>0</v>
      </c>
      <c r="BV953">
        <v>0</v>
      </c>
      <c r="BW953">
        <v>0</v>
      </c>
      <c r="BX953">
        <v>0</v>
      </c>
      <c r="BY953">
        <v>0</v>
      </c>
      <c r="BZ953">
        <v>0</v>
      </c>
      <c r="CA953">
        <v>0</v>
      </c>
      <c r="CB953">
        <v>0</v>
      </c>
      <c r="CC953">
        <v>0</v>
      </c>
      <c r="CD953">
        <v>0</v>
      </c>
      <c r="CE953">
        <v>0</v>
      </c>
      <c r="CF953">
        <v>0</v>
      </c>
      <c r="CG953">
        <v>0</v>
      </c>
      <c r="CH953">
        <v>0</v>
      </c>
      <c r="CI953">
        <v>0</v>
      </c>
      <c r="CJ953">
        <v>0</v>
      </c>
      <c r="CK953">
        <v>0</v>
      </c>
      <c r="CL953">
        <v>0</v>
      </c>
      <c r="CM953">
        <v>0</v>
      </c>
      <c r="CR953" t="s">
        <v>2320</v>
      </c>
      <c r="CS953" s="1369" t="str">
        <f>INDEX([8]Sheet1!$H:$H,MATCH(CR:CR,[8]Sheet1!$AU:$AU,0))</f>
        <v>Administrative and Corporate Support</v>
      </c>
    </row>
    <row r="954" spans="1:97" x14ac:dyDescent="0.2">
      <c r="A954" t="s">
        <v>3787</v>
      </c>
      <c r="B954">
        <v>1008</v>
      </c>
      <c r="C954" t="s">
        <v>3787</v>
      </c>
      <c r="D954">
        <v>41739</v>
      </c>
      <c r="E954" t="s">
        <v>2405</v>
      </c>
      <c r="F954" t="s">
        <v>2364</v>
      </c>
      <c r="G954" t="s">
        <v>2364</v>
      </c>
      <c r="H954" t="s">
        <v>2365</v>
      </c>
      <c r="I954" t="s">
        <v>2365</v>
      </c>
      <c r="J954" t="s">
        <v>2365</v>
      </c>
      <c r="K954" t="s">
        <v>2365</v>
      </c>
      <c r="L954">
        <v>1200</v>
      </c>
      <c r="M954" t="s">
        <v>1480</v>
      </c>
      <c r="N954">
        <v>1204</v>
      </c>
      <c r="O954" t="s">
        <v>1487</v>
      </c>
      <c r="P954" t="s">
        <v>2366</v>
      </c>
      <c r="Q954" t="s">
        <v>2364</v>
      </c>
      <c r="R954" t="s">
        <v>2364</v>
      </c>
      <c r="S954" t="s">
        <v>553</v>
      </c>
      <c r="T954" t="s">
        <v>2175</v>
      </c>
      <c r="U954">
        <v>120</v>
      </c>
      <c r="V954" t="s">
        <v>691</v>
      </c>
      <c r="W954">
        <v>120</v>
      </c>
      <c r="X954" t="s">
        <v>691</v>
      </c>
      <c r="Y954" t="s">
        <v>2365</v>
      </c>
      <c r="Z954" t="s">
        <v>2365</v>
      </c>
      <c r="AA954" t="s">
        <v>2365</v>
      </c>
      <c r="AB954" t="s">
        <v>2365</v>
      </c>
      <c r="AC954" s="813" t="s">
        <v>2365</v>
      </c>
      <c r="AD954" s="813" t="s">
        <v>2365</v>
      </c>
      <c r="AE954" s="813" t="s">
        <v>2365</v>
      </c>
      <c r="AF954" t="s">
        <v>2365</v>
      </c>
      <c r="AG954" t="s">
        <v>2365</v>
      </c>
      <c r="AH954" t="s">
        <v>2365</v>
      </c>
      <c r="AI954" t="s">
        <v>2365</v>
      </c>
      <c r="AJ954" t="s">
        <v>2365</v>
      </c>
      <c r="AK954" t="s">
        <v>2365</v>
      </c>
      <c r="AL954" t="s">
        <v>2365</v>
      </c>
      <c r="AM954" t="s">
        <v>2365</v>
      </c>
      <c r="AN954" t="s">
        <v>2365</v>
      </c>
      <c r="AQ954" t="s">
        <v>553</v>
      </c>
      <c r="AR954" t="s">
        <v>2365</v>
      </c>
      <c r="AS954" t="s">
        <v>2365</v>
      </c>
      <c r="AT954" t="s">
        <v>2365</v>
      </c>
      <c r="AU954" t="s">
        <v>2365</v>
      </c>
      <c r="AV954" t="s">
        <v>2365</v>
      </c>
      <c r="AW954" t="s">
        <v>2365</v>
      </c>
      <c r="AX954" t="s">
        <v>2365</v>
      </c>
      <c r="AY954" t="s">
        <v>2365</v>
      </c>
      <c r="AZ954" t="s">
        <v>2365</v>
      </c>
      <c r="BA954" t="s">
        <v>2365</v>
      </c>
      <c r="BB954" t="s">
        <v>2365</v>
      </c>
      <c r="BC954" t="s">
        <v>2365</v>
      </c>
      <c r="BD954" t="s">
        <v>2366</v>
      </c>
      <c r="BE954" t="s">
        <v>2365</v>
      </c>
      <c r="BF954" t="s">
        <v>2365</v>
      </c>
      <c r="BG954" t="s">
        <v>2365</v>
      </c>
      <c r="BH954" t="s">
        <v>2365</v>
      </c>
      <c r="BI954" t="s">
        <v>2366</v>
      </c>
      <c r="BJ954" t="s">
        <v>2365</v>
      </c>
      <c r="BK954" t="s">
        <v>2365</v>
      </c>
      <c r="BL954" t="s">
        <v>2365</v>
      </c>
      <c r="BM954" t="s">
        <v>2365</v>
      </c>
      <c r="BO954">
        <v>1</v>
      </c>
      <c r="BP954">
        <v>11</v>
      </c>
      <c r="BQ954" t="s">
        <v>2369</v>
      </c>
      <c r="BR954" t="s">
        <v>1487</v>
      </c>
      <c r="BU954">
        <v>0</v>
      </c>
      <c r="BV954">
        <v>0</v>
      </c>
      <c r="BW954">
        <v>0</v>
      </c>
      <c r="BX954">
        <v>0</v>
      </c>
      <c r="BY954">
        <v>0</v>
      </c>
      <c r="BZ954">
        <v>0</v>
      </c>
      <c r="CA954">
        <v>0</v>
      </c>
      <c r="CB954">
        <v>0</v>
      </c>
      <c r="CC954">
        <v>0</v>
      </c>
      <c r="CD954">
        <v>0</v>
      </c>
      <c r="CE954">
        <v>0</v>
      </c>
      <c r="CF954">
        <v>0</v>
      </c>
      <c r="CG954">
        <v>0</v>
      </c>
      <c r="CH954">
        <v>0</v>
      </c>
      <c r="CI954">
        <v>0</v>
      </c>
      <c r="CJ954">
        <v>0</v>
      </c>
      <c r="CK954">
        <v>0</v>
      </c>
      <c r="CL954">
        <v>0</v>
      </c>
      <c r="CM954">
        <v>0</v>
      </c>
      <c r="CR954" t="s">
        <v>2323</v>
      </c>
      <c r="CS954" s="1369" t="str">
        <f>INDEX([8]Sheet1!$H:$H,MATCH(CR:CR,[8]Sheet1!$AU:$AU,0))</f>
        <v>Information Technology</v>
      </c>
    </row>
    <row r="955" spans="1:97" x14ac:dyDescent="0.2">
      <c r="A955" t="s">
        <v>3788</v>
      </c>
      <c r="B955">
        <v>1009</v>
      </c>
      <c r="C955" t="s">
        <v>3788</v>
      </c>
      <c r="D955">
        <v>41740</v>
      </c>
      <c r="E955" t="s">
        <v>3789</v>
      </c>
      <c r="F955" t="s">
        <v>2364</v>
      </c>
      <c r="G955" t="s">
        <v>2364</v>
      </c>
      <c r="H955" t="s">
        <v>2365</v>
      </c>
      <c r="I955" t="s">
        <v>2365</v>
      </c>
      <c r="J955" t="s">
        <v>2365</v>
      </c>
      <c r="K955" t="s">
        <v>2365</v>
      </c>
      <c r="L955">
        <v>1200</v>
      </c>
      <c r="M955" t="s">
        <v>1480</v>
      </c>
      <c r="N955">
        <v>1204</v>
      </c>
      <c r="O955" t="s">
        <v>1487</v>
      </c>
      <c r="P955" t="s">
        <v>2366</v>
      </c>
      <c r="Q955" t="s">
        <v>2364</v>
      </c>
      <c r="R955" t="s">
        <v>2364</v>
      </c>
      <c r="S955" t="s">
        <v>553</v>
      </c>
      <c r="T955" t="s">
        <v>2175</v>
      </c>
      <c r="U955">
        <v>170</v>
      </c>
      <c r="V955" t="s">
        <v>696</v>
      </c>
      <c r="W955">
        <v>170</v>
      </c>
      <c r="X955" t="s">
        <v>696</v>
      </c>
      <c r="Y955" t="s">
        <v>2365</v>
      </c>
      <c r="Z955" t="s">
        <v>2365</v>
      </c>
      <c r="AA955" t="s">
        <v>2365</v>
      </c>
      <c r="AB955" t="s">
        <v>2365</v>
      </c>
      <c r="AC955" s="813" t="s">
        <v>2365</v>
      </c>
      <c r="AD955" s="813" t="s">
        <v>2365</v>
      </c>
      <c r="AE955" s="813" t="s">
        <v>2365</v>
      </c>
      <c r="AF955" t="s">
        <v>2365</v>
      </c>
      <c r="AG955" t="s">
        <v>2365</v>
      </c>
      <c r="AH955" t="s">
        <v>2365</v>
      </c>
      <c r="AI955" t="s">
        <v>2365</v>
      </c>
      <c r="AJ955" t="s">
        <v>2365</v>
      </c>
      <c r="AK955" t="s">
        <v>2365</v>
      </c>
      <c r="AL955" t="s">
        <v>2365</v>
      </c>
      <c r="AM955" t="s">
        <v>2365</v>
      </c>
      <c r="AN955" t="s">
        <v>2365</v>
      </c>
      <c r="AR955" t="s">
        <v>2365</v>
      </c>
      <c r="AS955" t="s">
        <v>2365</v>
      </c>
      <c r="AT955" t="s">
        <v>2365</v>
      </c>
      <c r="AU955" t="s">
        <v>2365</v>
      </c>
      <c r="AV955" t="s">
        <v>2365</v>
      </c>
      <c r="AW955" t="s">
        <v>2365</v>
      </c>
      <c r="AX955" t="s">
        <v>2365</v>
      </c>
      <c r="AY955" t="s">
        <v>2365</v>
      </c>
      <c r="AZ955" t="s">
        <v>2365</v>
      </c>
      <c r="BA955" t="s">
        <v>2365</v>
      </c>
      <c r="BB955" t="s">
        <v>2365</v>
      </c>
      <c r="BC955" t="s">
        <v>2365</v>
      </c>
      <c r="BD955" t="s">
        <v>2366</v>
      </c>
      <c r="BE955" t="s">
        <v>2365</v>
      </c>
      <c r="BF955" t="s">
        <v>2365</v>
      </c>
      <c r="BG955" t="s">
        <v>2365</v>
      </c>
      <c r="BH955" t="s">
        <v>2365</v>
      </c>
      <c r="BI955" t="s">
        <v>2366</v>
      </c>
      <c r="BJ955" t="s">
        <v>2365</v>
      </c>
      <c r="BK955" t="s">
        <v>2365</v>
      </c>
      <c r="BL955" t="s">
        <v>2365</v>
      </c>
      <c r="BM955" t="s">
        <v>2365</v>
      </c>
      <c r="BO955">
        <v>1</v>
      </c>
      <c r="BP955">
        <v>11</v>
      </c>
      <c r="BQ955" t="s">
        <v>2369</v>
      </c>
      <c r="BR955" t="s">
        <v>1487</v>
      </c>
      <c r="BU955">
        <v>0</v>
      </c>
      <c r="BV955">
        <v>0</v>
      </c>
      <c r="BW955">
        <v>0</v>
      </c>
      <c r="BX955">
        <v>0</v>
      </c>
      <c r="BY955">
        <v>0</v>
      </c>
      <c r="BZ955">
        <v>0</v>
      </c>
      <c r="CA955">
        <v>0</v>
      </c>
      <c r="CB955">
        <v>0</v>
      </c>
      <c r="CC955">
        <v>0</v>
      </c>
      <c r="CD955">
        <v>0</v>
      </c>
      <c r="CE955">
        <v>0</v>
      </c>
      <c r="CF955">
        <v>0</v>
      </c>
      <c r="CG955">
        <v>0</v>
      </c>
      <c r="CH955">
        <v>0</v>
      </c>
      <c r="CI955">
        <v>0</v>
      </c>
      <c r="CJ955">
        <v>0</v>
      </c>
      <c r="CK955">
        <v>0</v>
      </c>
      <c r="CL955">
        <v>0</v>
      </c>
      <c r="CM955">
        <v>0</v>
      </c>
      <c r="CR955" t="s">
        <v>2322</v>
      </c>
      <c r="CS955" s="1369" t="str">
        <f>INDEX([8]Sheet1!$H:$H,MATCH(CR:CR,[8]Sheet1!$AU:$AU,0))</f>
        <v>Human Resources</v>
      </c>
    </row>
    <row r="956" spans="1:97" x14ac:dyDescent="0.2">
      <c r="A956" t="s">
        <v>3790</v>
      </c>
      <c r="B956">
        <v>1010</v>
      </c>
      <c r="C956" t="s">
        <v>3790</v>
      </c>
      <c r="D956">
        <v>41741</v>
      </c>
      <c r="E956" t="s">
        <v>3791</v>
      </c>
      <c r="F956" t="s">
        <v>2364</v>
      </c>
      <c r="G956" t="s">
        <v>2364</v>
      </c>
      <c r="H956" t="s">
        <v>2365</v>
      </c>
      <c r="I956" t="s">
        <v>2365</v>
      </c>
      <c r="J956" t="s">
        <v>2365</v>
      </c>
      <c r="K956" t="s">
        <v>2365</v>
      </c>
      <c r="L956">
        <v>1200</v>
      </c>
      <c r="M956" t="s">
        <v>1480</v>
      </c>
      <c r="N956">
        <v>1204</v>
      </c>
      <c r="O956" t="s">
        <v>1487</v>
      </c>
      <c r="P956" t="s">
        <v>2366</v>
      </c>
      <c r="Q956" t="s">
        <v>2364</v>
      </c>
      <c r="R956" t="s">
        <v>2364</v>
      </c>
      <c r="S956" t="s">
        <v>553</v>
      </c>
      <c r="T956" t="s">
        <v>2175</v>
      </c>
      <c r="U956">
        <v>170</v>
      </c>
      <c r="V956" t="s">
        <v>696</v>
      </c>
      <c r="W956">
        <v>170</v>
      </c>
      <c r="X956" t="s">
        <v>696</v>
      </c>
      <c r="Y956" t="s">
        <v>2365</v>
      </c>
      <c r="Z956" t="s">
        <v>2365</v>
      </c>
      <c r="AA956" t="s">
        <v>2365</v>
      </c>
      <c r="AB956" t="s">
        <v>2365</v>
      </c>
      <c r="AC956" s="813" t="s">
        <v>2365</v>
      </c>
      <c r="AD956" s="813" t="s">
        <v>2365</v>
      </c>
      <c r="AE956" s="813" t="s">
        <v>2365</v>
      </c>
      <c r="AF956" t="s">
        <v>2365</v>
      </c>
      <c r="AG956" t="s">
        <v>2365</v>
      </c>
      <c r="AH956" t="s">
        <v>2365</v>
      </c>
      <c r="AI956" t="s">
        <v>2365</v>
      </c>
      <c r="AJ956" t="s">
        <v>2365</v>
      </c>
      <c r="AK956" t="s">
        <v>2365</v>
      </c>
      <c r="AL956" t="s">
        <v>2365</v>
      </c>
      <c r="AM956" t="s">
        <v>2365</v>
      </c>
      <c r="AN956" t="s">
        <v>2365</v>
      </c>
      <c r="AR956" t="s">
        <v>2365</v>
      </c>
      <c r="AS956" t="s">
        <v>2365</v>
      </c>
      <c r="AT956" t="s">
        <v>2365</v>
      </c>
      <c r="AU956" t="s">
        <v>2365</v>
      </c>
      <c r="AV956" t="s">
        <v>2365</v>
      </c>
      <c r="AW956" t="s">
        <v>2365</v>
      </c>
      <c r="AX956" t="s">
        <v>2365</v>
      </c>
      <c r="AY956" t="s">
        <v>2365</v>
      </c>
      <c r="AZ956" t="s">
        <v>2365</v>
      </c>
      <c r="BA956" t="s">
        <v>2365</v>
      </c>
      <c r="BB956" t="s">
        <v>2365</v>
      </c>
      <c r="BC956" t="s">
        <v>2365</v>
      </c>
      <c r="BD956" t="s">
        <v>2366</v>
      </c>
      <c r="BE956" t="s">
        <v>2365</v>
      </c>
      <c r="BF956" t="s">
        <v>2365</v>
      </c>
      <c r="BG956" t="s">
        <v>2365</v>
      </c>
      <c r="BH956" t="s">
        <v>2365</v>
      </c>
      <c r="BI956" t="s">
        <v>2366</v>
      </c>
      <c r="BJ956" t="s">
        <v>2365</v>
      </c>
      <c r="BK956" t="s">
        <v>2365</v>
      </c>
      <c r="BL956" t="s">
        <v>2365</v>
      </c>
      <c r="BM956" t="s">
        <v>2365</v>
      </c>
      <c r="BO956">
        <v>1</v>
      </c>
      <c r="BP956">
        <v>11</v>
      </c>
      <c r="BQ956" t="s">
        <v>2369</v>
      </c>
      <c r="BR956" t="s">
        <v>1487</v>
      </c>
      <c r="BU956">
        <v>0</v>
      </c>
      <c r="BV956">
        <v>0</v>
      </c>
      <c r="BW956">
        <v>0</v>
      </c>
      <c r="BX956">
        <v>0</v>
      </c>
      <c r="BY956">
        <v>0</v>
      </c>
      <c r="BZ956">
        <v>0</v>
      </c>
      <c r="CA956">
        <v>0</v>
      </c>
      <c r="CB956">
        <v>0</v>
      </c>
      <c r="CC956">
        <v>0</v>
      </c>
      <c r="CD956">
        <v>0</v>
      </c>
      <c r="CE956">
        <v>0</v>
      </c>
      <c r="CF956">
        <v>0</v>
      </c>
      <c r="CG956">
        <v>0</v>
      </c>
      <c r="CH956">
        <v>0</v>
      </c>
      <c r="CI956">
        <v>0</v>
      </c>
      <c r="CJ956">
        <v>0</v>
      </c>
      <c r="CK956">
        <v>0</v>
      </c>
      <c r="CL956">
        <v>0</v>
      </c>
      <c r="CM956">
        <v>0</v>
      </c>
      <c r="CR956" t="s">
        <v>2321</v>
      </c>
      <c r="CS956" s="1369" t="str">
        <f>INDEX([8]Sheet1!$H:$H,MATCH(CR:CR,[8]Sheet1!$AU:$AU,0))</f>
        <v>Marketing, Customer Relations, Publicity and Media Co-ordination</v>
      </c>
    </row>
    <row r="957" spans="1:97" x14ac:dyDescent="0.2">
      <c r="A957" t="s">
        <v>3792</v>
      </c>
      <c r="B957">
        <v>1012</v>
      </c>
      <c r="C957" t="s">
        <v>3792</v>
      </c>
      <c r="D957">
        <v>41743</v>
      </c>
      <c r="E957" t="s">
        <v>3793</v>
      </c>
      <c r="F957" t="s">
        <v>2364</v>
      </c>
      <c r="G957" t="s">
        <v>2364</v>
      </c>
      <c r="H957" t="s">
        <v>2365</v>
      </c>
      <c r="I957" t="s">
        <v>2365</v>
      </c>
      <c r="J957" t="s">
        <v>2365</v>
      </c>
      <c r="K957" t="s">
        <v>2365</v>
      </c>
      <c r="L957">
        <v>1200</v>
      </c>
      <c r="M957" t="s">
        <v>1480</v>
      </c>
      <c r="N957">
        <v>1204</v>
      </c>
      <c r="O957" t="s">
        <v>1487</v>
      </c>
      <c r="P957" t="s">
        <v>2366</v>
      </c>
      <c r="Q957" t="s">
        <v>2364</v>
      </c>
      <c r="R957" t="s">
        <v>2364</v>
      </c>
      <c r="S957" t="s">
        <v>553</v>
      </c>
      <c r="T957" t="s">
        <v>2367</v>
      </c>
      <c r="U957">
        <v>360</v>
      </c>
      <c r="V957" t="s">
        <v>2368</v>
      </c>
      <c r="W957">
        <v>360</v>
      </c>
      <c r="X957" t="s">
        <v>711</v>
      </c>
      <c r="Y957" t="s">
        <v>2365</v>
      </c>
      <c r="Z957" t="s">
        <v>2365</v>
      </c>
      <c r="AA957" t="s">
        <v>2365</v>
      </c>
      <c r="AB957" t="s">
        <v>2365</v>
      </c>
      <c r="AC957" s="813" t="s">
        <v>2365</v>
      </c>
      <c r="AD957" s="813" t="s">
        <v>2365</v>
      </c>
      <c r="AE957" s="813" t="s">
        <v>2365</v>
      </c>
      <c r="AF957" t="s">
        <v>2365</v>
      </c>
      <c r="AG957" t="s">
        <v>2365</v>
      </c>
      <c r="AH957" t="s">
        <v>2365</v>
      </c>
      <c r="AI957" t="s">
        <v>2365</v>
      </c>
      <c r="AJ957" t="s">
        <v>2365</v>
      </c>
      <c r="AK957">
        <v>364</v>
      </c>
      <c r="AL957" t="s">
        <v>1209</v>
      </c>
      <c r="AM957">
        <v>364</v>
      </c>
      <c r="AN957" t="s">
        <v>1209</v>
      </c>
      <c r="AR957" t="s">
        <v>2365</v>
      </c>
      <c r="AS957" t="s">
        <v>2365</v>
      </c>
      <c r="AT957" t="s">
        <v>2365</v>
      </c>
      <c r="AU957" t="s">
        <v>2365</v>
      </c>
      <c r="AV957" t="s">
        <v>2365</v>
      </c>
      <c r="AW957" t="s">
        <v>2365</v>
      </c>
      <c r="AX957" t="s">
        <v>2365</v>
      </c>
      <c r="AY957" t="s">
        <v>2365</v>
      </c>
      <c r="AZ957" t="s">
        <v>2365</v>
      </c>
      <c r="BA957" t="s">
        <v>2365</v>
      </c>
      <c r="BB957" t="s">
        <v>2365</v>
      </c>
      <c r="BC957" t="s">
        <v>2365</v>
      </c>
      <c r="BD957" t="s">
        <v>2366</v>
      </c>
      <c r="BE957" t="s">
        <v>2365</v>
      </c>
      <c r="BF957" t="s">
        <v>2365</v>
      </c>
      <c r="BG957" t="s">
        <v>2365</v>
      </c>
      <c r="BH957" t="s">
        <v>2365</v>
      </c>
      <c r="BI957" t="s">
        <v>2366</v>
      </c>
      <c r="BJ957" t="s">
        <v>2365</v>
      </c>
      <c r="BK957" t="s">
        <v>2365</v>
      </c>
      <c r="BL957" t="s">
        <v>2365</v>
      </c>
      <c r="BM957" t="s">
        <v>2365</v>
      </c>
      <c r="BO957">
        <v>1</v>
      </c>
      <c r="BP957">
        <v>11</v>
      </c>
      <c r="BQ957" t="s">
        <v>2369</v>
      </c>
      <c r="BR957" t="s">
        <v>1487</v>
      </c>
      <c r="BU957">
        <v>0</v>
      </c>
      <c r="BV957">
        <v>0</v>
      </c>
      <c r="BW957">
        <v>0</v>
      </c>
      <c r="BX957">
        <v>0</v>
      </c>
      <c r="BY957">
        <v>0</v>
      </c>
      <c r="BZ957">
        <v>0</v>
      </c>
      <c r="CA957">
        <v>0</v>
      </c>
      <c r="CB957">
        <v>0</v>
      </c>
      <c r="CC957">
        <v>0</v>
      </c>
      <c r="CD957">
        <v>0</v>
      </c>
      <c r="CE957">
        <v>0</v>
      </c>
      <c r="CF957">
        <v>0</v>
      </c>
      <c r="CG957">
        <v>0</v>
      </c>
      <c r="CH957">
        <v>0</v>
      </c>
      <c r="CI957">
        <v>0</v>
      </c>
      <c r="CJ957">
        <v>0</v>
      </c>
      <c r="CK957">
        <v>0</v>
      </c>
      <c r="CL957">
        <v>0</v>
      </c>
      <c r="CM957">
        <v>0</v>
      </c>
      <c r="CR957" t="s">
        <v>2323</v>
      </c>
      <c r="CS957" s="1369" t="str">
        <f>INDEX([8]Sheet1!$H:$H,MATCH(CR:CR,[8]Sheet1!$AU:$AU,0))</f>
        <v>Information Technology</v>
      </c>
    </row>
    <row r="958" spans="1:97" x14ac:dyDescent="0.2">
      <c r="A958" t="s">
        <v>3794</v>
      </c>
      <c r="B958">
        <v>1013</v>
      </c>
      <c r="C958" t="s">
        <v>3794</v>
      </c>
      <c r="D958">
        <v>41744</v>
      </c>
      <c r="E958" t="s">
        <v>3795</v>
      </c>
      <c r="F958">
        <v>3000</v>
      </c>
      <c r="G958" t="s">
        <v>3796</v>
      </c>
      <c r="H958">
        <v>3000</v>
      </c>
      <c r="I958" t="s">
        <v>3796</v>
      </c>
      <c r="J958">
        <v>2904</v>
      </c>
      <c r="K958" t="s">
        <v>1432</v>
      </c>
      <c r="L958">
        <v>1200</v>
      </c>
      <c r="M958" t="s">
        <v>1480</v>
      </c>
      <c r="N958">
        <v>1204</v>
      </c>
      <c r="O958" t="s">
        <v>1487</v>
      </c>
      <c r="P958" t="s">
        <v>2366</v>
      </c>
      <c r="Q958" t="s">
        <v>2364</v>
      </c>
      <c r="R958" t="s">
        <v>2364</v>
      </c>
      <c r="S958" t="s">
        <v>553</v>
      </c>
      <c r="T958" t="s">
        <v>1812</v>
      </c>
      <c r="U958" t="s">
        <v>2365</v>
      </c>
      <c r="V958" t="s">
        <v>2365</v>
      </c>
      <c r="W958" t="s">
        <v>2365</v>
      </c>
      <c r="X958" t="s">
        <v>2365</v>
      </c>
      <c r="Y958" t="s">
        <v>2365</v>
      </c>
      <c r="Z958" t="s">
        <v>2365</v>
      </c>
      <c r="AA958" t="s">
        <v>2365</v>
      </c>
      <c r="AB958" t="s">
        <v>2365</v>
      </c>
      <c r="AC958" s="813" t="s">
        <v>2365</v>
      </c>
      <c r="AD958" s="813" t="s">
        <v>2365</v>
      </c>
      <c r="AE958" s="813" t="s">
        <v>2365</v>
      </c>
      <c r="AF958" t="s">
        <v>2365</v>
      </c>
      <c r="AG958" t="s">
        <v>2365</v>
      </c>
      <c r="AH958" t="s">
        <v>2365</v>
      </c>
      <c r="AI958" t="s">
        <v>2365</v>
      </c>
      <c r="AJ958" t="s">
        <v>2365</v>
      </c>
      <c r="AK958" t="s">
        <v>2365</v>
      </c>
      <c r="AL958" t="s">
        <v>2365</v>
      </c>
      <c r="AM958" t="s">
        <v>2365</v>
      </c>
      <c r="AN958" t="s">
        <v>2365</v>
      </c>
      <c r="AR958" t="s">
        <v>2365</v>
      </c>
      <c r="AS958" t="s">
        <v>2365</v>
      </c>
      <c r="AT958" t="s">
        <v>2365</v>
      </c>
      <c r="AU958" t="s">
        <v>2365</v>
      </c>
      <c r="AV958" t="s">
        <v>2365</v>
      </c>
      <c r="AW958" t="s">
        <v>2365</v>
      </c>
      <c r="AX958" t="s">
        <v>2365</v>
      </c>
      <c r="AY958" t="s">
        <v>2365</v>
      </c>
      <c r="AZ958" t="s">
        <v>2365</v>
      </c>
      <c r="BA958" t="s">
        <v>2365</v>
      </c>
      <c r="BB958" t="s">
        <v>2365</v>
      </c>
      <c r="BC958" t="s">
        <v>2365</v>
      </c>
      <c r="BD958" t="s">
        <v>2366</v>
      </c>
      <c r="BE958" t="s">
        <v>2365</v>
      </c>
      <c r="BF958" t="s">
        <v>2365</v>
      </c>
      <c r="BG958" t="s">
        <v>2365</v>
      </c>
      <c r="BH958" t="s">
        <v>2365</v>
      </c>
      <c r="BI958" t="s">
        <v>2366</v>
      </c>
      <c r="BJ958" t="s">
        <v>2365</v>
      </c>
      <c r="BK958" t="s">
        <v>2365</v>
      </c>
      <c r="BL958" t="s">
        <v>2365</v>
      </c>
      <c r="BM958" t="s">
        <v>2365</v>
      </c>
      <c r="BO958">
        <v>1</v>
      </c>
      <c r="BP958">
        <v>11</v>
      </c>
      <c r="BQ958" t="s">
        <v>2369</v>
      </c>
      <c r="BR958" t="s">
        <v>1487</v>
      </c>
      <c r="BU958">
        <v>0</v>
      </c>
      <c r="BV958">
        <v>0</v>
      </c>
      <c r="BW958">
        <v>0</v>
      </c>
      <c r="BX958">
        <v>0</v>
      </c>
      <c r="BY958">
        <v>0</v>
      </c>
      <c r="BZ958">
        <v>0</v>
      </c>
      <c r="CA958">
        <v>0</v>
      </c>
      <c r="CB958">
        <v>0</v>
      </c>
      <c r="CC958">
        <v>0</v>
      </c>
      <c r="CD958">
        <v>0</v>
      </c>
      <c r="CE958">
        <v>0</v>
      </c>
      <c r="CF958">
        <v>0</v>
      </c>
      <c r="CG958">
        <v>0</v>
      </c>
      <c r="CH958">
        <v>0</v>
      </c>
      <c r="CI958">
        <v>0</v>
      </c>
      <c r="CJ958">
        <v>0</v>
      </c>
      <c r="CK958">
        <v>0</v>
      </c>
      <c r="CL958">
        <v>0</v>
      </c>
      <c r="CM958">
        <v>0</v>
      </c>
      <c r="CR958" t="s">
        <v>2344</v>
      </c>
      <c r="CS958" s="1369" t="str">
        <f>INDEX([8]Sheet1!$H:$H,MATCH(CR:CR,[8]Sheet1!$AU:$AU,0))</f>
        <v>Legal Services</v>
      </c>
    </row>
    <row r="959" spans="1:97" x14ac:dyDescent="0.2">
      <c r="A959" t="s">
        <v>3797</v>
      </c>
      <c r="B959">
        <v>1014</v>
      </c>
      <c r="C959" t="s">
        <v>3797</v>
      </c>
      <c r="D959">
        <v>41745</v>
      </c>
      <c r="E959" t="s">
        <v>3786</v>
      </c>
      <c r="F959" t="s">
        <v>2364</v>
      </c>
      <c r="G959" t="s">
        <v>2364</v>
      </c>
      <c r="H959" t="s">
        <v>2365</v>
      </c>
      <c r="I959" t="s">
        <v>2365</v>
      </c>
      <c r="J959" t="s">
        <v>2365</v>
      </c>
      <c r="K959" t="s">
        <v>2365</v>
      </c>
      <c r="L959">
        <v>1200</v>
      </c>
      <c r="M959" t="s">
        <v>1480</v>
      </c>
      <c r="N959">
        <v>1204</v>
      </c>
      <c r="O959" t="s">
        <v>1487</v>
      </c>
      <c r="P959" t="s">
        <v>2366</v>
      </c>
      <c r="Q959" t="s">
        <v>2364</v>
      </c>
      <c r="R959" t="s">
        <v>2364</v>
      </c>
      <c r="S959" t="s">
        <v>553</v>
      </c>
      <c r="T959" t="s">
        <v>2175</v>
      </c>
      <c r="U959">
        <v>170</v>
      </c>
      <c r="V959" t="s">
        <v>696</v>
      </c>
      <c r="W959">
        <v>170</v>
      </c>
      <c r="X959" t="s">
        <v>696</v>
      </c>
      <c r="Y959" t="s">
        <v>2365</v>
      </c>
      <c r="Z959" t="s">
        <v>2365</v>
      </c>
      <c r="AA959" t="s">
        <v>2365</v>
      </c>
      <c r="AB959" t="s">
        <v>2365</v>
      </c>
      <c r="AC959" s="813" t="s">
        <v>2365</v>
      </c>
      <c r="AD959" s="813" t="s">
        <v>2365</v>
      </c>
      <c r="AE959" s="813" t="s">
        <v>2365</v>
      </c>
      <c r="AF959" t="s">
        <v>2365</v>
      </c>
      <c r="AG959" t="s">
        <v>2365</v>
      </c>
      <c r="AH959" t="s">
        <v>2365</v>
      </c>
      <c r="AI959" t="s">
        <v>2365</v>
      </c>
      <c r="AJ959" t="s">
        <v>2365</v>
      </c>
      <c r="AK959" t="s">
        <v>2365</v>
      </c>
      <c r="AL959" t="s">
        <v>2365</v>
      </c>
      <c r="AM959" t="s">
        <v>2365</v>
      </c>
      <c r="AN959" t="s">
        <v>2365</v>
      </c>
      <c r="AR959" t="s">
        <v>2365</v>
      </c>
      <c r="AS959" t="s">
        <v>2365</v>
      </c>
      <c r="AT959" t="s">
        <v>2365</v>
      </c>
      <c r="AU959" t="s">
        <v>2365</v>
      </c>
      <c r="AV959" t="s">
        <v>2365</v>
      </c>
      <c r="AW959" t="s">
        <v>2365</v>
      </c>
      <c r="AX959" t="s">
        <v>2365</v>
      </c>
      <c r="AY959" t="s">
        <v>2365</v>
      </c>
      <c r="AZ959" t="s">
        <v>2365</v>
      </c>
      <c r="BA959" t="s">
        <v>2365</v>
      </c>
      <c r="BB959" t="s">
        <v>2365</v>
      </c>
      <c r="BC959" t="s">
        <v>2365</v>
      </c>
      <c r="BD959" t="s">
        <v>2366</v>
      </c>
      <c r="BE959" t="s">
        <v>2365</v>
      </c>
      <c r="BF959" t="s">
        <v>2365</v>
      </c>
      <c r="BG959" t="s">
        <v>2365</v>
      </c>
      <c r="BH959" t="s">
        <v>2365</v>
      </c>
      <c r="BI959" t="s">
        <v>2366</v>
      </c>
      <c r="BJ959" t="s">
        <v>2365</v>
      </c>
      <c r="BK959" t="s">
        <v>2365</v>
      </c>
      <c r="BL959" t="s">
        <v>2365</v>
      </c>
      <c r="BM959" t="s">
        <v>2365</v>
      </c>
      <c r="BO959">
        <v>1</v>
      </c>
      <c r="BP959">
        <v>11</v>
      </c>
      <c r="BQ959" t="s">
        <v>2369</v>
      </c>
      <c r="BR959" t="s">
        <v>1487</v>
      </c>
      <c r="BU959">
        <v>0</v>
      </c>
      <c r="BV959">
        <v>0</v>
      </c>
      <c r="BW959">
        <v>0</v>
      </c>
      <c r="BX959">
        <v>0</v>
      </c>
      <c r="BY959">
        <v>0</v>
      </c>
      <c r="BZ959">
        <v>0</v>
      </c>
      <c r="CA959">
        <v>0</v>
      </c>
      <c r="CB959">
        <v>0</v>
      </c>
      <c r="CC959">
        <v>0</v>
      </c>
      <c r="CD959">
        <v>440300</v>
      </c>
      <c r="CE959">
        <v>0</v>
      </c>
      <c r="CF959">
        <v>0</v>
      </c>
      <c r="CG959">
        <v>0</v>
      </c>
      <c r="CH959">
        <v>0</v>
      </c>
      <c r="CI959">
        <v>0</v>
      </c>
      <c r="CJ959">
        <v>0</v>
      </c>
      <c r="CK959">
        <v>0</v>
      </c>
      <c r="CL959">
        <v>0</v>
      </c>
      <c r="CM959">
        <v>0</v>
      </c>
      <c r="CR959" t="s">
        <v>2333</v>
      </c>
      <c r="CS959" s="1369" t="str">
        <f>INDEX([8]Sheet1!$H:$H,MATCH(CR:CR,[8]Sheet1!$AU:$AU,0))</f>
        <v>Municipal Manager, Town Secretary and Chief Executive</v>
      </c>
    </row>
    <row r="960" spans="1:97" x14ac:dyDescent="0.2">
      <c r="A960" t="s">
        <v>3798</v>
      </c>
      <c r="B960">
        <v>1015</v>
      </c>
      <c r="C960" t="s">
        <v>3798</v>
      </c>
      <c r="D960">
        <v>30238</v>
      </c>
      <c r="E960" t="s">
        <v>3669</v>
      </c>
      <c r="F960" t="s">
        <v>2364</v>
      </c>
      <c r="G960" t="s">
        <v>2364</v>
      </c>
      <c r="H960" t="s">
        <v>2365</v>
      </c>
      <c r="I960" t="s">
        <v>2365</v>
      </c>
      <c r="J960" t="s">
        <v>2365</v>
      </c>
      <c r="K960" t="s">
        <v>2365</v>
      </c>
      <c r="L960">
        <v>1200</v>
      </c>
      <c r="M960" t="s">
        <v>1480</v>
      </c>
      <c r="N960">
        <v>1204</v>
      </c>
      <c r="O960" t="s">
        <v>1487</v>
      </c>
      <c r="P960" t="s">
        <v>2366</v>
      </c>
      <c r="Q960" t="s">
        <v>2364</v>
      </c>
      <c r="R960" t="s">
        <v>2364</v>
      </c>
      <c r="S960" t="s">
        <v>553</v>
      </c>
      <c r="T960" t="s">
        <v>2175</v>
      </c>
      <c r="U960" t="s">
        <v>2366</v>
      </c>
      <c r="V960" t="s">
        <v>2366</v>
      </c>
      <c r="W960" t="s">
        <v>2366</v>
      </c>
      <c r="X960" t="s">
        <v>2366</v>
      </c>
      <c r="Y960" t="s">
        <v>2365</v>
      </c>
      <c r="Z960" t="s">
        <v>2365</v>
      </c>
      <c r="AA960" t="s">
        <v>2365</v>
      </c>
      <c r="AB960" t="s">
        <v>2365</v>
      </c>
      <c r="AC960" s="813" t="s">
        <v>2365</v>
      </c>
      <c r="AD960" s="813" t="s">
        <v>2365</v>
      </c>
      <c r="AE960" s="813" t="s">
        <v>2365</v>
      </c>
      <c r="AF960" t="s">
        <v>2365</v>
      </c>
      <c r="AG960" t="s">
        <v>2365</v>
      </c>
      <c r="AH960" t="s">
        <v>2365</v>
      </c>
      <c r="AI960" t="s">
        <v>2365</v>
      </c>
      <c r="AJ960" t="s">
        <v>2365</v>
      </c>
      <c r="AK960">
        <v>145</v>
      </c>
      <c r="AL960" t="s">
        <v>1198</v>
      </c>
      <c r="AM960">
        <v>145</v>
      </c>
      <c r="AN960" t="s">
        <v>1198</v>
      </c>
      <c r="AR960" t="s">
        <v>2365</v>
      </c>
      <c r="AS960" t="s">
        <v>2365</v>
      </c>
      <c r="AT960" t="s">
        <v>2365</v>
      </c>
      <c r="AU960" t="s">
        <v>2365</v>
      </c>
      <c r="AV960" t="s">
        <v>2365</v>
      </c>
      <c r="AW960" t="s">
        <v>2365</v>
      </c>
      <c r="AX960" t="s">
        <v>2365</v>
      </c>
      <c r="AY960" t="s">
        <v>2365</v>
      </c>
      <c r="AZ960" t="s">
        <v>2365</v>
      </c>
      <c r="BA960" t="s">
        <v>2365</v>
      </c>
      <c r="BB960" t="s">
        <v>2365</v>
      </c>
      <c r="BC960" t="s">
        <v>2365</v>
      </c>
      <c r="BD960" t="s">
        <v>2366</v>
      </c>
      <c r="BE960" t="s">
        <v>2365</v>
      </c>
      <c r="BF960" t="s">
        <v>2365</v>
      </c>
      <c r="BG960" t="s">
        <v>2365</v>
      </c>
      <c r="BH960" t="s">
        <v>2365</v>
      </c>
      <c r="BI960" t="s">
        <v>2366</v>
      </c>
      <c r="BJ960" t="s">
        <v>2365</v>
      </c>
      <c r="BK960" t="s">
        <v>2365</v>
      </c>
      <c r="BL960" t="s">
        <v>2365</v>
      </c>
      <c r="BM960" t="s">
        <v>2365</v>
      </c>
      <c r="BO960">
        <v>1</v>
      </c>
      <c r="BP960">
        <v>11</v>
      </c>
      <c r="BQ960" t="s">
        <v>2369</v>
      </c>
      <c r="BR960" t="s">
        <v>1487</v>
      </c>
      <c r="BU960">
        <v>0</v>
      </c>
      <c r="BV960">
        <v>0</v>
      </c>
      <c r="BW960">
        <v>0</v>
      </c>
      <c r="BX960">
        <v>0</v>
      </c>
      <c r="BY960">
        <v>0</v>
      </c>
      <c r="BZ960">
        <v>0</v>
      </c>
      <c r="CA960">
        <v>0</v>
      </c>
      <c r="CB960">
        <v>0</v>
      </c>
      <c r="CC960">
        <v>0</v>
      </c>
      <c r="CD960">
        <v>0</v>
      </c>
      <c r="CE960">
        <v>0</v>
      </c>
      <c r="CF960">
        <v>0</v>
      </c>
      <c r="CG960">
        <v>0</v>
      </c>
      <c r="CH960">
        <v>0</v>
      </c>
      <c r="CI960">
        <v>0</v>
      </c>
      <c r="CJ960">
        <v>0</v>
      </c>
      <c r="CK960">
        <v>0</v>
      </c>
      <c r="CL960">
        <v>0</v>
      </c>
      <c r="CM960">
        <v>0</v>
      </c>
      <c r="CR960" t="s">
        <v>2344</v>
      </c>
      <c r="CS960" s="1369" t="str">
        <f>INDEX([8]Sheet1!$H:$H,MATCH(CR:CR,[8]Sheet1!$AU:$AU,0))</f>
        <v>Legal Services</v>
      </c>
    </row>
    <row r="961" spans="1:97" x14ac:dyDescent="0.2">
      <c r="A961" t="s">
        <v>3799</v>
      </c>
      <c r="B961">
        <v>1016</v>
      </c>
      <c r="C961" t="s">
        <v>3799</v>
      </c>
      <c r="D961">
        <v>30239</v>
      </c>
      <c r="E961" t="s">
        <v>3675</v>
      </c>
      <c r="F961" t="s">
        <v>2364</v>
      </c>
      <c r="G961" t="s">
        <v>2364</v>
      </c>
      <c r="H961" t="s">
        <v>2365</v>
      </c>
      <c r="I961" t="s">
        <v>2365</v>
      </c>
      <c r="J961" t="s">
        <v>2365</v>
      </c>
      <c r="K961" t="s">
        <v>2365</v>
      </c>
      <c r="L961">
        <v>1200</v>
      </c>
      <c r="M961" t="s">
        <v>1480</v>
      </c>
      <c r="N961">
        <v>1204</v>
      </c>
      <c r="O961" t="s">
        <v>1487</v>
      </c>
      <c r="P961" t="s">
        <v>2366</v>
      </c>
      <c r="Q961" t="s">
        <v>2364</v>
      </c>
      <c r="R961" t="s">
        <v>2364</v>
      </c>
      <c r="S961" t="s">
        <v>553</v>
      </c>
      <c r="T961" t="s">
        <v>2175</v>
      </c>
      <c r="U961" t="s">
        <v>2366</v>
      </c>
      <c r="V961" t="s">
        <v>2366</v>
      </c>
      <c r="W961" t="s">
        <v>2366</v>
      </c>
      <c r="X961" t="s">
        <v>2366</v>
      </c>
      <c r="Y961" t="s">
        <v>2365</v>
      </c>
      <c r="Z961" t="s">
        <v>2365</v>
      </c>
      <c r="AA961" t="s">
        <v>2365</v>
      </c>
      <c r="AB961" t="s">
        <v>2365</v>
      </c>
      <c r="AC961" s="813" t="s">
        <v>2365</v>
      </c>
      <c r="AD961" s="813" t="s">
        <v>2365</v>
      </c>
      <c r="AE961" s="813" t="s">
        <v>2365</v>
      </c>
      <c r="AF961" t="s">
        <v>2365</v>
      </c>
      <c r="AG961" t="s">
        <v>2365</v>
      </c>
      <c r="AH961" t="s">
        <v>2365</v>
      </c>
      <c r="AI961" t="s">
        <v>2365</v>
      </c>
      <c r="AJ961" t="s">
        <v>2365</v>
      </c>
      <c r="AK961">
        <v>146</v>
      </c>
      <c r="AL961" t="s">
        <v>1199</v>
      </c>
      <c r="AM961">
        <v>146</v>
      </c>
      <c r="AN961" t="s">
        <v>1199</v>
      </c>
      <c r="AR961" t="s">
        <v>2365</v>
      </c>
      <c r="AS961" t="s">
        <v>2365</v>
      </c>
      <c r="AT961" t="s">
        <v>2365</v>
      </c>
      <c r="AU961" t="s">
        <v>2365</v>
      </c>
      <c r="AV961" t="s">
        <v>2365</v>
      </c>
      <c r="AW961" t="s">
        <v>2365</v>
      </c>
      <c r="AX961" t="s">
        <v>2365</v>
      </c>
      <c r="AY961" t="s">
        <v>2365</v>
      </c>
      <c r="AZ961" t="s">
        <v>2365</v>
      </c>
      <c r="BA961" t="s">
        <v>2365</v>
      </c>
      <c r="BB961" t="s">
        <v>2365</v>
      </c>
      <c r="BC961" t="s">
        <v>2365</v>
      </c>
      <c r="BD961" t="s">
        <v>2366</v>
      </c>
      <c r="BE961" t="s">
        <v>2365</v>
      </c>
      <c r="BF961" t="s">
        <v>2365</v>
      </c>
      <c r="BG961" t="s">
        <v>2365</v>
      </c>
      <c r="BH961" t="s">
        <v>2365</v>
      </c>
      <c r="BI961" t="s">
        <v>2366</v>
      </c>
      <c r="BJ961" t="s">
        <v>2365</v>
      </c>
      <c r="BK961" t="s">
        <v>2365</v>
      </c>
      <c r="BL961" t="s">
        <v>2365</v>
      </c>
      <c r="BM961" t="s">
        <v>2365</v>
      </c>
      <c r="BO961">
        <v>1</v>
      </c>
      <c r="BP961">
        <v>11</v>
      </c>
      <c r="BQ961" t="s">
        <v>2369</v>
      </c>
      <c r="BR961" t="s">
        <v>1487</v>
      </c>
      <c r="BU961">
        <v>0</v>
      </c>
      <c r="BV961">
        <v>0</v>
      </c>
      <c r="BW961">
        <v>0</v>
      </c>
      <c r="BX961">
        <v>0</v>
      </c>
      <c r="BY961" s="1371">
        <v>0</v>
      </c>
      <c r="BZ961" s="1371">
        <v>0</v>
      </c>
      <c r="CA961">
        <v>0</v>
      </c>
      <c r="CB961">
        <v>0</v>
      </c>
      <c r="CC961">
        <v>0</v>
      </c>
      <c r="CD961">
        <v>0</v>
      </c>
      <c r="CE961">
        <v>0</v>
      </c>
      <c r="CF961">
        <v>0</v>
      </c>
      <c r="CG961">
        <v>0</v>
      </c>
      <c r="CH961">
        <v>0</v>
      </c>
      <c r="CI961">
        <v>0</v>
      </c>
      <c r="CJ961">
        <v>0</v>
      </c>
      <c r="CK961">
        <v>0</v>
      </c>
      <c r="CL961">
        <v>0</v>
      </c>
      <c r="CM961">
        <v>0</v>
      </c>
      <c r="CR961" t="s">
        <v>2334</v>
      </c>
      <c r="CS961" s="1369" t="str">
        <f>INDEX([8]Sheet1!$H:$H,MATCH(CR:CR,[8]Sheet1!$AU:$AU,0))</f>
        <v>Governance Function</v>
      </c>
    </row>
    <row r="962" spans="1:97" x14ac:dyDescent="0.2">
      <c r="A962" t="s">
        <v>3800</v>
      </c>
      <c r="B962">
        <v>1017</v>
      </c>
      <c r="C962" t="s">
        <v>3800</v>
      </c>
      <c r="D962">
        <v>30240</v>
      </c>
      <c r="E962" t="s">
        <v>3433</v>
      </c>
      <c r="F962" t="s">
        <v>2364</v>
      </c>
      <c r="G962" t="s">
        <v>2364</v>
      </c>
      <c r="H962" t="s">
        <v>2365</v>
      </c>
      <c r="I962" t="s">
        <v>2365</v>
      </c>
      <c r="J962" t="s">
        <v>2365</v>
      </c>
      <c r="K962" t="s">
        <v>2365</v>
      </c>
      <c r="L962">
        <v>1200</v>
      </c>
      <c r="M962" t="s">
        <v>1480</v>
      </c>
      <c r="N962">
        <v>1204</v>
      </c>
      <c r="O962" t="s">
        <v>1487</v>
      </c>
      <c r="P962" t="s">
        <v>2366</v>
      </c>
      <c r="Q962" t="s">
        <v>2364</v>
      </c>
      <c r="R962" t="s">
        <v>2364</v>
      </c>
      <c r="S962" t="s">
        <v>553</v>
      </c>
      <c r="T962" t="s">
        <v>2175</v>
      </c>
      <c r="U962">
        <v>140</v>
      </c>
      <c r="V962" t="s">
        <v>693</v>
      </c>
      <c r="W962">
        <v>140</v>
      </c>
      <c r="X962" t="s">
        <v>693</v>
      </c>
      <c r="Y962" t="s">
        <v>2365</v>
      </c>
      <c r="Z962" t="s">
        <v>2365</v>
      </c>
      <c r="AA962" t="s">
        <v>2365</v>
      </c>
      <c r="AB962" t="s">
        <v>2365</v>
      </c>
      <c r="AC962" s="813" t="s">
        <v>2365</v>
      </c>
      <c r="AD962" s="813" t="s">
        <v>2365</v>
      </c>
      <c r="AE962" s="813" t="s">
        <v>2365</v>
      </c>
      <c r="AF962" t="s">
        <v>2365</v>
      </c>
      <c r="AG962" t="s">
        <v>2365</v>
      </c>
      <c r="AH962" t="s">
        <v>2365</v>
      </c>
      <c r="AI962" t="s">
        <v>2365</v>
      </c>
      <c r="AJ962" t="s">
        <v>2365</v>
      </c>
      <c r="AK962" t="s">
        <v>2366</v>
      </c>
      <c r="AL962" t="s">
        <v>2366</v>
      </c>
      <c r="AM962" t="s">
        <v>2366</v>
      </c>
      <c r="AN962" t="s">
        <v>2366</v>
      </c>
      <c r="AR962" t="s">
        <v>2365</v>
      </c>
      <c r="AS962" t="s">
        <v>2365</v>
      </c>
      <c r="AT962" t="s">
        <v>2365</v>
      </c>
      <c r="AU962" t="s">
        <v>2365</v>
      </c>
      <c r="AV962" t="s">
        <v>2365</v>
      </c>
      <c r="AW962" t="s">
        <v>2365</v>
      </c>
      <c r="AX962" t="s">
        <v>2365</v>
      </c>
      <c r="AY962" t="s">
        <v>2365</v>
      </c>
      <c r="AZ962" t="s">
        <v>2365</v>
      </c>
      <c r="BA962" t="s">
        <v>2365</v>
      </c>
      <c r="BB962" t="s">
        <v>2365</v>
      </c>
      <c r="BC962" t="s">
        <v>2365</v>
      </c>
      <c r="BD962" t="s">
        <v>2366</v>
      </c>
      <c r="BE962" t="s">
        <v>2365</v>
      </c>
      <c r="BF962" t="s">
        <v>2365</v>
      </c>
      <c r="BG962" t="s">
        <v>2365</v>
      </c>
      <c r="BH962" t="s">
        <v>2365</v>
      </c>
      <c r="BI962" t="s">
        <v>2366</v>
      </c>
      <c r="BJ962" t="s">
        <v>2365</v>
      </c>
      <c r="BK962" t="s">
        <v>2365</v>
      </c>
      <c r="BL962" t="s">
        <v>2365</v>
      </c>
      <c r="BM962" t="s">
        <v>2365</v>
      </c>
      <c r="BO962">
        <v>1</v>
      </c>
      <c r="BP962">
        <v>11</v>
      </c>
      <c r="BQ962" t="s">
        <v>2369</v>
      </c>
      <c r="BR962" t="s">
        <v>1487</v>
      </c>
      <c r="BU962">
        <v>0</v>
      </c>
      <c r="BV962">
        <v>0</v>
      </c>
      <c r="BW962">
        <v>0</v>
      </c>
      <c r="BX962">
        <v>0</v>
      </c>
      <c r="BY962">
        <v>0</v>
      </c>
      <c r="BZ962">
        <v>0</v>
      </c>
      <c r="CA962">
        <v>0</v>
      </c>
      <c r="CB962">
        <v>0</v>
      </c>
      <c r="CC962">
        <v>0</v>
      </c>
      <c r="CD962">
        <v>0</v>
      </c>
      <c r="CE962">
        <v>0</v>
      </c>
      <c r="CF962">
        <v>0</v>
      </c>
      <c r="CG962">
        <v>0</v>
      </c>
      <c r="CH962">
        <v>0</v>
      </c>
      <c r="CI962">
        <v>0</v>
      </c>
      <c r="CJ962">
        <v>0</v>
      </c>
      <c r="CK962">
        <v>0</v>
      </c>
      <c r="CL962">
        <v>0</v>
      </c>
      <c r="CM962">
        <v>0</v>
      </c>
      <c r="CR962" t="s">
        <v>2334</v>
      </c>
      <c r="CS962" s="1369" t="str">
        <f>INDEX([8]Sheet1!$H:$H,MATCH(CR:CR,[8]Sheet1!$AU:$AU,0))</f>
        <v>Governance Function</v>
      </c>
    </row>
    <row r="963" spans="1:97" x14ac:dyDescent="0.2">
      <c r="A963" t="s">
        <v>3801</v>
      </c>
      <c r="B963">
        <v>1019</v>
      </c>
      <c r="C963" t="s">
        <v>3801</v>
      </c>
      <c r="D963">
        <v>30242</v>
      </c>
      <c r="E963" t="s">
        <v>3441</v>
      </c>
      <c r="F963" t="s">
        <v>2364</v>
      </c>
      <c r="G963" t="s">
        <v>2364</v>
      </c>
      <c r="H963" t="s">
        <v>2365</v>
      </c>
      <c r="I963" t="s">
        <v>2365</v>
      </c>
      <c r="J963" t="s">
        <v>2365</v>
      </c>
      <c r="K963" t="s">
        <v>2365</v>
      </c>
      <c r="L963">
        <v>1200</v>
      </c>
      <c r="M963" t="s">
        <v>1480</v>
      </c>
      <c r="N963">
        <v>1204</v>
      </c>
      <c r="O963" t="s">
        <v>1487</v>
      </c>
      <c r="P963" t="s">
        <v>2366</v>
      </c>
      <c r="Q963" t="s">
        <v>2364</v>
      </c>
      <c r="R963" t="s">
        <v>2364</v>
      </c>
      <c r="S963" t="s">
        <v>553</v>
      </c>
      <c r="T963" t="s">
        <v>2175</v>
      </c>
      <c r="U963">
        <v>140</v>
      </c>
      <c r="V963" t="s">
        <v>693</v>
      </c>
      <c r="W963">
        <v>140</v>
      </c>
      <c r="X963" t="s">
        <v>693</v>
      </c>
      <c r="Y963" t="s">
        <v>2365</v>
      </c>
      <c r="Z963" t="s">
        <v>2365</v>
      </c>
      <c r="AA963" t="s">
        <v>2365</v>
      </c>
      <c r="AB963" t="s">
        <v>2365</v>
      </c>
      <c r="AC963" s="813" t="s">
        <v>2365</v>
      </c>
      <c r="AD963" s="813" t="s">
        <v>2365</v>
      </c>
      <c r="AE963" s="813" t="s">
        <v>2365</v>
      </c>
      <c r="AF963" t="s">
        <v>2365</v>
      </c>
      <c r="AG963" t="s">
        <v>2365</v>
      </c>
      <c r="AH963" t="s">
        <v>2365</v>
      </c>
      <c r="AI963" t="s">
        <v>2365</v>
      </c>
      <c r="AJ963" t="s">
        <v>2365</v>
      </c>
      <c r="AK963">
        <v>147</v>
      </c>
      <c r="AL963" t="s">
        <v>1200</v>
      </c>
      <c r="AM963">
        <v>147</v>
      </c>
      <c r="AN963" t="s">
        <v>1200</v>
      </c>
      <c r="AR963" t="s">
        <v>2365</v>
      </c>
      <c r="AS963" t="s">
        <v>2365</v>
      </c>
      <c r="AT963" t="s">
        <v>2365</v>
      </c>
      <c r="AU963" t="s">
        <v>2365</v>
      </c>
      <c r="AV963" t="s">
        <v>2365</v>
      </c>
      <c r="AW963" t="s">
        <v>2365</v>
      </c>
      <c r="AX963" t="s">
        <v>2365</v>
      </c>
      <c r="AY963" t="s">
        <v>2365</v>
      </c>
      <c r="AZ963" t="s">
        <v>2365</v>
      </c>
      <c r="BA963" t="s">
        <v>2365</v>
      </c>
      <c r="BB963" t="s">
        <v>2365</v>
      </c>
      <c r="BC963" t="s">
        <v>2365</v>
      </c>
      <c r="BD963" t="s">
        <v>2366</v>
      </c>
      <c r="BE963" t="s">
        <v>2365</v>
      </c>
      <c r="BF963" t="s">
        <v>2365</v>
      </c>
      <c r="BG963" t="s">
        <v>2365</v>
      </c>
      <c r="BH963" t="s">
        <v>2365</v>
      </c>
      <c r="BI963" t="s">
        <v>2366</v>
      </c>
      <c r="BJ963" t="s">
        <v>2365</v>
      </c>
      <c r="BK963" t="s">
        <v>2365</v>
      </c>
      <c r="BL963" t="s">
        <v>2365</v>
      </c>
      <c r="BM963" t="s">
        <v>2365</v>
      </c>
      <c r="BO963">
        <v>1</v>
      </c>
      <c r="BP963">
        <v>11</v>
      </c>
      <c r="BQ963" t="s">
        <v>2369</v>
      </c>
      <c r="BR963" t="s">
        <v>1487</v>
      </c>
      <c r="BU963">
        <v>0</v>
      </c>
      <c r="BV963">
        <v>0</v>
      </c>
      <c r="BW963">
        <v>0</v>
      </c>
      <c r="BX963">
        <v>0</v>
      </c>
      <c r="BY963">
        <v>0</v>
      </c>
      <c r="BZ963">
        <v>0</v>
      </c>
      <c r="CA963">
        <v>0</v>
      </c>
      <c r="CB963">
        <v>0</v>
      </c>
      <c r="CC963">
        <v>0</v>
      </c>
      <c r="CD963">
        <v>0</v>
      </c>
      <c r="CE963">
        <v>0</v>
      </c>
      <c r="CF963">
        <v>0</v>
      </c>
      <c r="CG963">
        <v>0</v>
      </c>
      <c r="CH963">
        <v>0</v>
      </c>
      <c r="CI963">
        <v>0</v>
      </c>
      <c r="CJ963">
        <v>0</v>
      </c>
      <c r="CK963">
        <v>0</v>
      </c>
      <c r="CL963">
        <v>0</v>
      </c>
      <c r="CM963">
        <v>0</v>
      </c>
      <c r="CR963" t="s">
        <v>2333</v>
      </c>
      <c r="CS963" s="1369" t="str">
        <f>INDEX([8]Sheet1!$H:$H,MATCH(CR:CR,[8]Sheet1!$AU:$AU,0))</f>
        <v>Municipal Manager, Town Secretary and Chief Executive</v>
      </c>
    </row>
    <row r="964" spans="1:97" x14ac:dyDescent="0.2">
      <c r="A964" t="s">
        <v>3802</v>
      </c>
      <c r="B964">
        <v>1020</v>
      </c>
      <c r="C964" t="s">
        <v>3802</v>
      </c>
      <c r="D964">
        <v>30243</v>
      </c>
      <c r="E964" t="s">
        <v>3445</v>
      </c>
      <c r="F964" t="s">
        <v>2364</v>
      </c>
      <c r="G964" t="s">
        <v>2364</v>
      </c>
      <c r="H964" t="s">
        <v>2365</v>
      </c>
      <c r="I964" t="s">
        <v>2365</v>
      </c>
      <c r="J964" t="s">
        <v>2365</v>
      </c>
      <c r="K964" t="s">
        <v>2365</v>
      </c>
      <c r="L964">
        <v>1200</v>
      </c>
      <c r="M964" t="s">
        <v>1480</v>
      </c>
      <c r="N964">
        <v>1204</v>
      </c>
      <c r="O964" t="s">
        <v>1487</v>
      </c>
      <c r="P964" t="s">
        <v>2366</v>
      </c>
      <c r="Q964" t="s">
        <v>2364</v>
      </c>
      <c r="R964" t="s">
        <v>2364</v>
      </c>
      <c r="S964" t="s">
        <v>553</v>
      </c>
      <c r="T964" t="s">
        <v>2175</v>
      </c>
      <c r="U964">
        <v>140</v>
      </c>
      <c r="V964" t="s">
        <v>693</v>
      </c>
      <c r="W964">
        <v>140</v>
      </c>
      <c r="X964" t="s">
        <v>693</v>
      </c>
      <c r="Y964" t="s">
        <v>2365</v>
      </c>
      <c r="Z964" t="s">
        <v>2365</v>
      </c>
      <c r="AA964" t="s">
        <v>2365</v>
      </c>
      <c r="AB964" t="s">
        <v>2365</v>
      </c>
      <c r="AC964" s="813" t="s">
        <v>2365</v>
      </c>
      <c r="AD964" s="813" t="s">
        <v>2365</v>
      </c>
      <c r="AE964" s="813" t="s">
        <v>2365</v>
      </c>
      <c r="AF964" t="s">
        <v>2365</v>
      </c>
      <c r="AG964" t="s">
        <v>2365</v>
      </c>
      <c r="AH964" t="s">
        <v>2365</v>
      </c>
      <c r="AI964" t="s">
        <v>2365</v>
      </c>
      <c r="AJ964" t="s">
        <v>2365</v>
      </c>
      <c r="AK964" t="s">
        <v>2366</v>
      </c>
      <c r="AL964" t="s">
        <v>2366</v>
      </c>
      <c r="AM964" t="s">
        <v>2366</v>
      </c>
      <c r="AN964" t="s">
        <v>2366</v>
      </c>
      <c r="AR964" t="s">
        <v>2365</v>
      </c>
      <c r="AS964" t="s">
        <v>2365</v>
      </c>
      <c r="AT964" t="s">
        <v>2365</v>
      </c>
      <c r="AU964" t="s">
        <v>2365</v>
      </c>
      <c r="AV964" t="s">
        <v>2365</v>
      </c>
      <c r="AW964" t="s">
        <v>2365</v>
      </c>
      <c r="AX964" t="s">
        <v>2365</v>
      </c>
      <c r="AY964" t="s">
        <v>2365</v>
      </c>
      <c r="AZ964" t="s">
        <v>2365</v>
      </c>
      <c r="BA964" t="s">
        <v>2365</v>
      </c>
      <c r="BB964" t="s">
        <v>2365</v>
      </c>
      <c r="BC964" t="s">
        <v>2365</v>
      </c>
      <c r="BD964" t="s">
        <v>2366</v>
      </c>
      <c r="BE964" t="s">
        <v>2365</v>
      </c>
      <c r="BF964" t="s">
        <v>2365</v>
      </c>
      <c r="BG964" t="s">
        <v>2365</v>
      </c>
      <c r="BH964" t="s">
        <v>2365</v>
      </c>
      <c r="BI964" t="s">
        <v>2366</v>
      </c>
      <c r="BJ964" t="s">
        <v>2365</v>
      </c>
      <c r="BK964" t="s">
        <v>2365</v>
      </c>
      <c r="BL964" t="s">
        <v>2365</v>
      </c>
      <c r="BM964" t="s">
        <v>2365</v>
      </c>
      <c r="BO964">
        <v>1</v>
      </c>
      <c r="BP964">
        <v>11</v>
      </c>
      <c r="BQ964" t="s">
        <v>2369</v>
      </c>
      <c r="BR964" t="s">
        <v>1487</v>
      </c>
      <c r="BU964">
        <v>0</v>
      </c>
      <c r="BV964">
        <v>0</v>
      </c>
      <c r="BW964">
        <v>0</v>
      </c>
      <c r="BX964">
        <v>0</v>
      </c>
      <c r="BY964" s="1371">
        <v>0</v>
      </c>
      <c r="BZ964" s="1371">
        <v>0</v>
      </c>
      <c r="CA964">
        <v>0</v>
      </c>
      <c r="CB964">
        <v>0</v>
      </c>
      <c r="CC964">
        <v>0</v>
      </c>
      <c r="CD964">
        <v>0</v>
      </c>
      <c r="CE964">
        <v>0</v>
      </c>
      <c r="CF964">
        <v>0</v>
      </c>
      <c r="CG964">
        <v>0</v>
      </c>
      <c r="CH964">
        <v>0</v>
      </c>
      <c r="CI964">
        <v>0</v>
      </c>
      <c r="CJ964">
        <v>0</v>
      </c>
      <c r="CK964">
        <v>0</v>
      </c>
      <c r="CL964">
        <v>0</v>
      </c>
      <c r="CM964">
        <v>0</v>
      </c>
      <c r="CR964" t="s">
        <v>2337</v>
      </c>
      <c r="CS964" s="1369" t="str">
        <f>INDEX([8]Sheet1!$H:$H,MATCH(CR:CR,[8]Sheet1!$AU:$AU,0))</f>
        <v>Corporate Wide Strategic Planning (IDPs, LEDs)</v>
      </c>
    </row>
    <row r="965" spans="1:97" x14ac:dyDescent="0.2">
      <c r="A965" t="s">
        <v>3803</v>
      </c>
      <c r="B965">
        <v>1022</v>
      </c>
      <c r="C965" t="s">
        <v>3803</v>
      </c>
      <c r="D965">
        <v>30245</v>
      </c>
      <c r="E965" t="s">
        <v>3449</v>
      </c>
      <c r="F965" t="s">
        <v>2364</v>
      </c>
      <c r="G965" t="s">
        <v>2364</v>
      </c>
      <c r="H965" t="s">
        <v>2365</v>
      </c>
      <c r="I965" t="s">
        <v>2365</v>
      </c>
      <c r="J965" t="s">
        <v>2365</v>
      </c>
      <c r="K965" t="s">
        <v>2365</v>
      </c>
      <c r="L965">
        <v>1200</v>
      </c>
      <c r="M965" t="s">
        <v>1480</v>
      </c>
      <c r="N965">
        <v>1204</v>
      </c>
      <c r="O965" t="s">
        <v>1487</v>
      </c>
      <c r="P965" t="s">
        <v>2366</v>
      </c>
      <c r="Q965" t="s">
        <v>2364</v>
      </c>
      <c r="R965" t="s">
        <v>2364</v>
      </c>
      <c r="S965" t="s">
        <v>553</v>
      </c>
      <c r="T965" t="s">
        <v>2175</v>
      </c>
      <c r="U965">
        <v>140</v>
      </c>
      <c r="V965" t="s">
        <v>693</v>
      </c>
      <c r="W965">
        <v>140</v>
      </c>
      <c r="X965" t="s">
        <v>693</v>
      </c>
      <c r="Y965" t="s">
        <v>2365</v>
      </c>
      <c r="Z965" t="s">
        <v>2365</v>
      </c>
      <c r="AA965" t="s">
        <v>2365</v>
      </c>
      <c r="AB965" t="s">
        <v>2365</v>
      </c>
      <c r="AC965" s="813" t="s">
        <v>2365</v>
      </c>
      <c r="AD965" s="813" t="s">
        <v>2365</v>
      </c>
      <c r="AE965" s="813" t="s">
        <v>2365</v>
      </c>
      <c r="AF965" t="s">
        <v>2365</v>
      </c>
      <c r="AG965" t="s">
        <v>2365</v>
      </c>
      <c r="AH965" t="s">
        <v>2365</v>
      </c>
      <c r="AI965" t="s">
        <v>2365</v>
      </c>
      <c r="AJ965" t="s">
        <v>2365</v>
      </c>
      <c r="AK965" t="s">
        <v>2366</v>
      </c>
      <c r="AL965" t="s">
        <v>2366</v>
      </c>
      <c r="AM965" t="s">
        <v>2366</v>
      </c>
      <c r="AN965" t="s">
        <v>2366</v>
      </c>
      <c r="AR965" t="s">
        <v>2365</v>
      </c>
      <c r="AS965" t="s">
        <v>2365</v>
      </c>
      <c r="AT965" t="s">
        <v>2365</v>
      </c>
      <c r="AU965" t="s">
        <v>2365</v>
      </c>
      <c r="AV965" t="s">
        <v>2365</v>
      </c>
      <c r="AW965" t="s">
        <v>2365</v>
      </c>
      <c r="AX965" t="s">
        <v>2365</v>
      </c>
      <c r="AY965" t="s">
        <v>2365</v>
      </c>
      <c r="AZ965" t="s">
        <v>2365</v>
      </c>
      <c r="BA965" t="s">
        <v>2365</v>
      </c>
      <c r="BB965" t="s">
        <v>2365</v>
      </c>
      <c r="BC965" t="s">
        <v>2365</v>
      </c>
      <c r="BD965" t="s">
        <v>2366</v>
      </c>
      <c r="BE965" t="s">
        <v>2365</v>
      </c>
      <c r="BF965" t="s">
        <v>2365</v>
      </c>
      <c r="BG965" t="s">
        <v>2365</v>
      </c>
      <c r="BH965" t="s">
        <v>2365</v>
      </c>
      <c r="BI965" t="s">
        <v>2366</v>
      </c>
      <c r="BJ965" t="s">
        <v>2365</v>
      </c>
      <c r="BK965" t="s">
        <v>2365</v>
      </c>
      <c r="BL965" t="s">
        <v>2365</v>
      </c>
      <c r="BM965" t="s">
        <v>2365</v>
      </c>
      <c r="BO965">
        <v>1</v>
      </c>
      <c r="BP965">
        <v>11</v>
      </c>
      <c r="BQ965" t="s">
        <v>2369</v>
      </c>
      <c r="BR965" t="s">
        <v>1487</v>
      </c>
      <c r="BU965">
        <v>0</v>
      </c>
      <c r="BV965">
        <v>0</v>
      </c>
      <c r="BW965">
        <v>0</v>
      </c>
      <c r="BX965">
        <v>0</v>
      </c>
      <c r="BY965" s="1371">
        <v>0</v>
      </c>
      <c r="BZ965" s="1371">
        <v>0</v>
      </c>
      <c r="CA965">
        <v>0</v>
      </c>
      <c r="CB965">
        <v>0</v>
      </c>
      <c r="CC965">
        <v>0</v>
      </c>
      <c r="CD965">
        <v>0</v>
      </c>
      <c r="CE965">
        <v>0</v>
      </c>
      <c r="CF965">
        <v>0</v>
      </c>
      <c r="CG965">
        <v>0</v>
      </c>
      <c r="CH965">
        <v>0</v>
      </c>
      <c r="CI965">
        <v>0</v>
      </c>
      <c r="CJ965">
        <v>0</v>
      </c>
      <c r="CK965">
        <v>0</v>
      </c>
      <c r="CL965">
        <v>0</v>
      </c>
      <c r="CM965">
        <v>0</v>
      </c>
      <c r="CR965" t="s">
        <v>2338</v>
      </c>
      <c r="CS965" s="1369" t="str">
        <f>INDEX([8]Sheet1!$H:$H,MATCH(CR:CR,[8]Sheet1!$AU:$AU,0))</f>
        <v>Town Planning, Building Regulations and Enforcement, and City Engineer</v>
      </c>
    </row>
    <row r="966" spans="1:97" x14ac:dyDescent="0.2">
      <c r="A966" t="s">
        <v>3804</v>
      </c>
      <c r="B966">
        <v>1023</v>
      </c>
      <c r="C966" t="s">
        <v>3804</v>
      </c>
      <c r="D966">
        <v>30246</v>
      </c>
      <c r="E966" t="s">
        <v>3677</v>
      </c>
      <c r="F966" t="s">
        <v>2364</v>
      </c>
      <c r="G966" t="s">
        <v>2364</v>
      </c>
      <c r="H966" t="s">
        <v>2365</v>
      </c>
      <c r="I966" t="s">
        <v>2365</v>
      </c>
      <c r="J966" t="s">
        <v>2365</v>
      </c>
      <c r="K966" t="s">
        <v>2365</v>
      </c>
      <c r="L966">
        <v>1200</v>
      </c>
      <c r="M966" t="s">
        <v>1480</v>
      </c>
      <c r="N966">
        <v>1204</v>
      </c>
      <c r="O966" t="s">
        <v>1487</v>
      </c>
      <c r="P966" t="s">
        <v>2366</v>
      </c>
      <c r="Q966" t="s">
        <v>2364</v>
      </c>
      <c r="R966" t="s">
        <v>2364</v>
      </c>
      <c r="S966" t="s">
        <v>553</v>
      </c>
      <c r="T966" t="s">
        <v>2175</v>
      </c>
      <c r="U966" t="s">
        <v>2366</v>
      </c>
      <c r="V966" t="s">
        <v>2366</v>
      </c>
      <c r="W966" t="s">
        <v>2366</v>
      </c>
      <c r="X966" t="s">
        <v>2366</v>
      </c>
      <c r="Y966" t="s">
        <v>2365</v>
      </c>
      <c r="Z966" t="s">
        <v>2365</v>
      </c>
      <c r="AA966" t="s">
        <v>2365</v>
      </c>
      <c r="AB966" t="s">
        <v>2365</v>
      </c>
      <c r="AC966" s="813" t="s">
        <v>2365</v>
      </c>
      <c r="AD966" s="813" t="s">
        <v>2365</v>
      </c>
      <c r="AE966" s="813" t="s">
        <v>2365</v>
      </c>
      <c r="AF966" t="s">
        <v>2365</v>
      </c>
      <c r="AG966" t="s">
        <v>2365</v>
      </c>
      <c r="AH966" t="s">
        <v>2365</v>
      </c>
      <c r="AI966" t="s">
        <v>2365</v>
      </c>
      <c r="AJ966" t="s">
        <v>2365</v>
      </c>
      <c r="AK966">
        <v>146</v>
      </c>
      <c r="AL966" t="s">
        <v>1199</v>
      </c>
      <c r="AM966">
        <v>146</v>
      </c>
      <c r="AN966" t="s">
        <v>1199</v>
      </c>
      <c r="AR966" t="s">
        <v>2365</v>
      </c>
      <c r="AS966" t="s">
        <v>2365</v>
      </c>
      <c r="AT966" t="s">
        <v>2365</v>
      </c>
      <c r="AU966" t="s">
        <v>2365</v>
      </c>
      <c r="AV966" t="s">
        <v>2365</v>
      </c>
      <c r="AW966" t="s">
        <v>2365</v>
      </c>
      <c r="AX966" t="s">
        <v>2365</v>
      </c>
      <c r="AY966" t="s">
        <v>2365</v>
      </c>
      <c r="AZ966" t="s">
        <v>2365</v>
      </c>
      <c r="BA966" t="s">
        <v>2365</v>
      </c>
      <c r="BB966" t="s">
        <v>2365</v>
      </c>
      <c r="BC966" t="s">
        <v>2365</v>
      </c>
      <c r="BD966" t="s">
        <v>2366</v>
      </c>
      <c r="BE966" t="s">
        <v>2365</v>
      </c>
      <c r="BF966" t="s">
        <v>2365</v>
      </c>
      <c r="BG966" t="s">
        <v>2365</v>
      </c>
      <c r="BH966" t="s">
        <v>2365</v>
      </c>
      <c r="BI966" t="s">
        <v>2366</v>
      </c>
      <c r="BJ966" t="s">
        <v>2365</v>
      </c>
      <c r="BK966" t="s">
        <v>2365</v>
      </c>
      <c r="BL966" t="s">
        <v>2365</v>
      </c>
      <c r="BM966" t="s">
        <v>2365</v>
      </c>
      <c r="BO966">
        <v>1</v>
      </c>
      <c r="BP966">
        <v>11</v>
      </c>
      <c r="BQ966" t="s">
        <v>2369</v>
      </c>
      <c r="BR966" t="s">
        <v>1487</v>
      </c>
      <c r="BU966">
        <v>2754504</v>
      </c>
      <c r="BV966">
        <v>0</v>
      </c>
      <c r="BW966">
        <v>2754504</v>
      </c>
      <c r="BX966">
        <v>-2754504</v>
      </c>
      <c r="BY966">
        <v>0</v>
      </c>
      <c r="BZ966">
        <v>0</v>
      </c>
      <c r="CA966">
        <v>0</v>
      </c>
      <c r="CB966">
        <v>0</v>
      </c>
      <c r="CC966">
        <v>0</v>
      </c>
      <c r="CD966">
        <v>0</v>
      </c>
      <c r="CE966">
        <v>0</v>
      </c>
      <c r="CF966">
        <v>0</v>
      </c>
      <c r="CG966">
        <v>0</v>
      </c>
      <c r="CH966">
        <v>0</v>
      </c>
      <c r="CI966">
        <v>0</v>
      </c>
      <c r="CJ966">
        <v>0</v>
      </c>
      <c r="CK966">
        <v>0</v>
      </c>
      <c r="CL966">
        <v>0</v>
      </c>
      <c r="CM966">
        <v>0</v>
      </c>
      <c r="CR966" t="s">
        <v>2337</v>
      </c>
      <c r="CS966" s="1369" t="str">
        <f>INDEX([8]Sheet1!$H:$H,MATCH(CR:CR,[8]Sheet1!$AU:$AU,0))</f>
        <v>Corporate Wide Strategic Planning (IDPs, LEDs)</v>
      </c>
    </row>
    <row r="967" spans="1:97" x14ac:dyDescent="0.2">
      <c r="A967" t="s">
        <v>3805</v>
      </c>
      <c r="B967">
        <v>1024</v>
      </c>
      <c r="C967" t="s">
        <v>3805</v>
      </c>
      <c r="D967">
        <v>30247</v>
      </c>
      <c r="E967" t="s">
        <v>3681</v>
      </c>
      <c r="F967" t="s">
        <v>2364</v>
      </c>
      <c r="G967" t="s">
        <v>2364</v>
      </c>
      <c r="H967" t="s">
        <v>2365</v>
      </c>
      <c r="I967" t="s">
        <v>2365</v>
      </c>
      <c r="J967" t="s">
        <v>2365</v>
      </c>
      <c r="K967" t="s">
        <v>2365</v>
      </c>
      <c r="L967">
        <v>1200</v>
      </c>
      <c r="M967" t="s">
        <v>1480</v>
      </c>
      <c r="N967">
        <v>1204</v>
      </c>
      <c r="O967" t="s">
        <v>1487</v>
      </c>
      <c r="P967" t="s">
        <v>2366</v>
      </c>
      <c r="Q967" t="s">
        <v>2364</v>
      </c>
      <c r="R967" t="s">
        <v>2364</v>
      </c>
      <c r="S967" t="s">
        <v>553</v>
      </c>
      <c r="T967" t="s">
        <v>2175</v>
      </c>
      <c r="U967" t="s">
        <v>2366</v>
      </c>
      <c r="V967" t="s">
        <v>2366</v>
      </c>
      <c r="W967" t="s">
        <v>2366</v>
      </c>
      <c r="X967" t="s">
        <v>2366</v>
      </c>
      <c r="Y967" t="s">
        <v>2365</v>
      </c>
      <c r="Z967" t="s">
        <v>2365</v>
      </c>
      <c r="AA967" t="s">
        <v>2365</v>
      </c>
      <c r="AB967" t="s">
        <v>2365</v>
      </c>
      <c r="AC967" s="813" t="s">
        <v>2365</v>
      </c>
      <c r="AD967" s="813" t="s">
        <v>2365</v>
      </c>
      <c r="AE967" s="813" t="s">
        <v>2365</v>
      </c>
      <c r="AF967" t="s">
        <v>2365</v>
      </c>
      <c r="AG967" t="s">
        <v>2365</v>
      </c>
      <c r="AH967" t="s">
        <v>2365</v>
      </c>
      <c r="AI967" t="s">
        <v>2365</v>
      </c>
      <c r="AJ967" t="s">
        <v>2365</v>
      </c>
      <c r="AK967">
        <v>146</v>
      </c>
      <c r="AL967" t="s">
        <v>1199</v>
      </c>
      <c r="AM967">
        <v>146</v>
      </c>
      <c r="AN967" t="s">
        <v>1199</v>
      </c>
      <c r="AR967" t="s">
        <v>2365</v>
      </c>
      <c r="AS967" t="s">
        <v>2365</v>
      </c>
      <c r="AT967" t="s">
        <v>2365</v>
      </c>
      <c r="AU967" t="s">
        <v>2365</v>
      </c>
      <c r="AV967" t="s">
        <v>2365</v>
      </c>
      <c r="AW967" t="s">
        <v>2365</v>
      </c>
      <c r="AX967" t="s">
        <v>2365</v>
      </c>
      <c r="AY967" t="s">
        <v>2365</v>
      </c>
      <c r="AZ967" t="s">
        <v>2365</v>
      </c>
      <c r="BA967" t="s">
        <v>2365</v>
      </c>
      <c r="BB967" t="s">
        <v>2365</v>
      </c>
      <c r="BC967" t="s">
        <v>2365</v>
      </c>
      <c r="BD967" t="s">
        <v>2366</v>
      </c>
      <c r="BE967" t="s">
        <v>2365</v>
      </c>
      <c r="BF967" t="s">
        <v>2365</v>
      </c>
      <c r="BG967" t="s">
        <v>2365</v>
      </c>
      <c r="BH967" t="s">
        <v>2365</v>
      </c>
      <c r="BI967" t="s">
        <v>2366</v>
      </c>
      <c r="BJ967" t="s">
        <v>2365</v>
      </c>
      <c r="BK967" t="s">
        <v>2365</v>
      </c>
      <c r="BL967" t="s">
        <v>2365</v>
      </c>
      <c r="BM967" t="s">
        <v>2365</v>
      </c>
      <c r="BO967">
        <v>1</v>
      </c>
      <c r="BP967">
        <v>11</v>
      </c>
      <c r="BQ967" t="s">
        <v>2369</v>
      </c>
      <c r="BR967" t="s">
        <v>1487</v>
      </c>
      <c r="BU967">
        <v>0</v>
      </c>
      <c r="BV967">
        <v>0</v>
      </c>
      <c r="BW967">
        <v>0</v>
      </c>
      <c r="BX967">
        <v>0</v>
      </c>
      <c r="BY967" s="1371">
        <v>0</v>
      </c>
      <c r="BZ967" s="1371">
        <v>0</v>
      </c>
      <c r="CA967">
        <v>0</v>
      </c>
      <c r="CB967">
        <v>0</v>
      </c>
      <c r="CC967">
        <v>0</v>
      </c>
      <c r="CD967">
        <v>0</v>
      </c>
      <c r="CE967">
        <v>0</v>
      </c>
      <c r="CF967">
        <v>0</v>
      </c>
      <c r="CG967">
        <v>0</v>
      </c>
      <c r="CH967">
        <v>0</v>
      </c>
      <c r="CI967">
        <v>0</v>
      </c>
      <c r="CJ967">
        <v>0</v>
      </c>
      <c r="CK967">
        <v>0</v>
      </c>
      <c r="CL967">
        <v>0</v>
      </c>
      <c r="CM967">
        <v>0</v>
      </c>
      <c r="CR967" t="s">
        <v>2335</v>
      </c>
      <c r="CS967" s="1369" t="str">
        <f>INDEX([8]Sheet1!$H:$H,MATCH(CR:CR,[8]Sheet1!$AU:$AU,0))</f>
        <v>Economic Development/Planning</v>
      </c>
    </row>
    <row r="968" spans="1:97" x14ac:dyDescent="0.2">
      <c r="A968" t="s">
        <v>3806</v>
      </c>
      <c r="B968">
        <v>1026</v>
      </c>
      <c r="C968" t="s">
        <v>3806</v>
      </c>
      <c r="D968">
        <v>30249</v>
      </c>
      <c r="E968" t="s">
        <v>3459</v>
      </c>
      <c r="F968" t="s">
        <v>2364</v>
      </c>
      <c r="G968" t="s">
        <v>2364</v>
      </c>
      <c r="H968" t="s">
        <v>2365</v>
      </c>
      <c r="I968" t="s">
        <v>2365</v>
      </c>
      <c r="J968" t="s">
        <v>2365</v>
      </c>
      <c r="K968" t="s">
        <v>2365</v>
      </c>
      <c r="L968">
        <v>1200</v>
      </c>
      <c r="M968" t="s">
        <v>1480</v>
      </c>
      <c r="N968">
        <v>1204</v>
      </c>
      <c r="O968" t="s">
        <v>1487</v>
      </c>
      <c r="P968" t="s">
        <v>2366</v>
      </c>
      <c r="Q968" t="s">
        <v>2364</v>
      </c>
      <c r="R968" t="s">
        <v>2364</v>
      </c>
      <c r="S968" t="s">
        <v>553</v>
      </c>
      <c r="T968" t="s">
        <v>2175</v>
      </c>
      <c r="U968">
        <v>140</v>
      </c>
      <c r="V968" t="s">
        <v>693</v>
      </c>
      <c r="W968">
        <v>140</v>
      </c>
      <c r="X968" t="s">
        <v>693</v>
      </c>
      <c r="Y968" t="s">
        <v>2365</v>
      </c>
      <c r="Z968" t="s">
        <v>2365</v>
      </c>
      <c r="AA968" t="s">
        <v>2365</v>
      </c>
      <c r="AB968" t="s">
        <v>2365</v>
      </c>
      <c r="AC968" s="813" t="s">
        <v>2365</v>
      </c>
      <c r="AD968" s="813" t="s">
        <v>2365</v>
      </c>
      <c r="AE968" s="813" t="s">
        <v>2365</v>
      </c>
      <c r="AF968" t="s">
        <v>2365</v>
      </c>
      <c r="AG968" t="s">
        <v>2365</v>
      </c>
      <c r="AH968" t="s">
        <v>2365</v>
      </c>
      <c r="AI968" t="s">
        <v>2365</v>
      </c>
      <c r="AJ968" t="s">
        <v>2365</v>
      </c>
      <c r="AK968" t="s">
        <v>2366</v>
      </c>
      <c r="AL968" t="s">
        <v>2366</v>
      </c>
      <c r="AM968" t="s">
        <v>2366</v>
      </c>
      <c r="AN968" t="s">
        <v>2366</v>
      </c>
      <c r="AR968" t="s">
        <v>2365</v>
      </c>
      <c r="AS968" t="s">
        <v>2365</v>
      </c>
      <c r="AT968" t="s">
        <v>2365</v>
      </c>
      <c r="AU968" t="s">
        <v>2365</v>
      </c>
      <c r="AV968" t="s">
        <v>2365</v>
      </c>
      <c r="AW968" t="s">
        <v>2365</v>
      </c>
      <c r="AX968" t="s">
        <v>2365</v>
      </c>
      <c r="AY968" t="s">
        <v>2365</v>
      </c>
      <c r="AZ968" t="s">
        <v>2365</v>
      </c>
      <c r="BA968" t="s">
        <v>2365</v>
      </c>
      <c r="BB968" t="s">
        <v>2365</v>
      </c>
      <c r="BC968" t="s">
        <v>2365</v>
      </c>
      <c r="BD968" t="s">
        <v>2366</v>
      </c>
      <c r="BE968" t="s">
        <v>2365</v>
      </c>
      <c r="BF968" t="s">
        <v>2365</v>
      </c>
      <c r="BG968" t="s">
        <v>2365</v>
      </c>
      <c r="BH968" t="s">
        <v>2365</v>
      </c>
      <c r="BI968" t="s">
        <v>2366</v>
      </c>
      <c r="BJ968" t="s">
        <v>2365</v>
      </c>
      <c r="BK968" t="s">
        <v>2365</v>
      </c>
      <c r="BL968" t="s">
        <v>2365</v>
      </c>
      <c r="BM968" t="s">
        <v>2365</v>
      </c>
      <c r="BO968">
        <v>1</v>
      </c>
      <c r="BP968">
        <v>11</v>
      </c>
      <c r="BQ968" t="s">
        <v>2369</v>
      </c>
      <c r="BR968" t="s">
        <v>1487</v>
      </c>
      <c r="BU968">
        <v>0</v>
      </c>
      <c r="BV968">
        <v>0</v>
      </c>
      <c r="BW968">
        <v>0</v>
      </c>
      <c r="BX968">
        <v>0</v>
      </c>
      <c r="BY968">
        <v>0</v>
      </c>
      <c r="BZ968">
        <v>0</v>
      </c>
      <c r="CA968">
        <v>0</v>
      </c>
      <c r="CB968">
        <v>0</v>
      </c>
      <c r="CC968">
        <v>0</v>
      </c>
      <c r="CD968">
        <v>0</v>
      </c>
      <c r="CE968">
        <v>0</v>
      </c>
      <c r="CF968">
        <v>0</v>
      </c>
      <c r="CG968">
        <v>0</v>
      </c>
      <c r="CH968">
        <v>0</v>
      </c>
      <c r="CI968">
        <v>0</v>
      </c>
      <c r="CJ968">
        <v>0</v>
      </c>
      <c r="CK968">
        <v>0</v>
      </c>
      <c r="CL968">
        <v>0</v>
      </c>
      <c r="CM968">
        <v>0</v>
      </c>
      <c r="CR968" t="s">
        <v>2347</v>
      </c>
      <c r="CS968" s="1369" t="str">
        <f>INDEX([8]Sheet1!$H:$H,MATCH(CR:CR,[8]Sheet1!$AU:$AU,0))</f>
        <v>Central City Improvement District</v>
      </c>
    </row>
    <row r="969" spans="1:97" x14ac:dyDescent="0.2">
      <c r="A969" t="s">
        <v>3807</v>
      </c>
      <c r="B969">
        <v>1027</v>
      </c>
      <c r="C969" t="s">
        <v>3807</v>
      </c>
      <c r="D969">
        <v>30250</v>
      </c>
      <c r="E969" t="s">
        <v>3463</v>
      </c>
      <c r="F969" t="s">
        <v>2364</v>
      </c>
      <c r="G969" t="s">
        <v>2364</v>
      </c>
      <c r="H969" t="s">
        <v>2365</v>
      </c>
      <c r="I969" t="s">
        <v>2365</v>
      </c>
      <c r="J969" t="s">
        <v>2365</v>
      </c>
      <c r="K969" t="s">
        <v>2365</v>
      </c>
      <c r="L969">
        <v>1200</v>
      </c>
      <c r="M969" t="s">
        <v>1480</v>
      </c>
      <c r="N969">
        <v>1204</v>
      </c>
      <c r="O969" t="s">
        <v>1487</v>
      </c>
      <c r="P969" t="s">
        <v>2366</v>
      </c>
      <c r="Q969" t="s">
        <v>2364</v>
      </c>
      <c r="R969" t="s">
        <v>2364</v>
      </c>
      <c r="S969" t="s">
        <v>553</v>
      </c>
      <c r="T969" t="s">
        <v>2175</v>
      </c>
      <c r="U969">
        <v>140</v>
      </c>
      <c r="V969" t="s">
        <v>693</v>
      </c>
      <c r="W969">
        <v>140</v>
      </c>
      <c r="X969" t="s">
        <v>693</v>
      </c>
      <c r="Y969" t="s">
        <v>2365</v>
      </c>
      <c r="Z969" t="s">
        <v>2365</v>
      </c>
      <c r="AA969" t="s">
        <v>2365</v>
      </c>
      <c r="AB969" t="s">
        <v>2365</v>
      </c>
      <c r="AC969" s="813" t="s">
        <v>2365</v>
      </c>
      <c r="AD969" s="813" t="s">
        <v>2365</v>
      </c>
      <c r="AE969" s="813" t="s">
        <v>2365</v>
      </c>
      <c r="AF969" t="s">
        <v>2365</v>
      </c>
      <c r="AG969" t="s">
        <v>2365</v>
      </c>
      <c r="AH969" t="s">
        <v>2365</v>
      </c>
      <c r="AI969" t="s">
        <v>2365</v>
      </c>
      <c r="AJ969" t="s">
        <v>2365</v>
      </c>
      <c r="AK969">
        <v>147</v>
      </c>
      <c r="AL969" t="s">
        <v>1200</v>
      </c>
      <c r="AM969">
        <v>147</v>
      </c>
      <c r="AN969" t="s">
        <v>1200</v>
      </c>
      <c r="AR969" t="s">
        <v>2365</v>
      </c>
      <c r="AS969" t="s">
        <v>2365</v>
      </c>
      <c r="AT969" t="s">
        <v>2365</v>
      </c>
      <c r="AU969" t="s">
        <v>2365</v>
      </c>
      <c r="AV969" t="s">
        <v>2365</v>
      </c>
      <c r="AW969" t="s">
        <v>2365</v>
      </c>
      <c r="AX969" t="s">
        <v>2365</v>
      </c>
      <c r="AY969" t="s">
        <v>2365</v>
      </c>
      <c r="AZ969" t="s">
        <v>2365</v>
      </c>
      <c r="BA969" t="s">
        <v>2365</v>
      </c>
      <c r="BB969" t="s">
        <v>2365</v>
      </c>
      <c r="BC969" t="s">
        <v>2365</v>
      </c>
      <c r="BD969" t="s">
        <v>2366</v>
      </c>
      <c r="BE969" t="s">
        <v>2365</v>
      </c>
      <c r="BF969" t="s">
        <v>2365</v>
      </c>
      <c r="BG969" t="s">
        <v>2365</v>
      </c>
      <c r="BH969" t="s">
        <v>2365</v>
      </c>
      <c r="BI969" t="s">
        <v>2366</v>
      </c>
      <c r="BJ969" t="s">
        <v>2365</v>
      </c>
      <c r="BK969" t="s">
        <v>2365</v>
      </c>
      <c r="BL969" t="s">
        <v>2365</v>
      </c>
      <c r="BM969" t="s">
        <v>2365</v>
      </c>
      <c r="BO969">
        <v>1</v>
      </c>
      <c r="BP969">
        <v>11</v>
      </c>
      <c r="BQ969" t="s">
        <v>2369</v>
      </c>
      <c r="BR969" t="s">
        <v>1487</v>
      </c>
      <c r="BU969">
        <v>0</v>
      </c>
      <c r="BV969">
        <v>0</v>
      </c>
      <c r="BW969">
        <v>0</v>
      </c>
      <c r="BX969">
        <v>0</v>
      </c>
      <c r="BY969">
        <v>0</v>
      </c>
      <c r="BZ969">
        <v>0</v>
      </c>
      <c r="CA969">
        <v>0</v>
      </c>
      <c r="CB969">
        <v>0</v>
      </c>
      <c r="CC969">
        <v>0</v>
      </c>
      <c r="CD969">
        <v>0</v>
      </c>
      <c r="CE969">
        <v>0</v>
      </c>
      <c r="CF969">
        <v>0</v>
      </c>
      <c r="CG969">
        <v>0</v>
      </c>
      <c r="CH969">
        <v>0</v>
      </c>
      <c r="CI969">
        <v>0</v>
      </c>
      <c r="CJ969">
        <v>0</v>
      </c>
      <c r="CK969">
        <v>0</v>
      </c>
      <c r="CL969">
        <v>0</v>
      </c>
      <c r="CM969">
        <v>0</v>
      </c>
      <c r="CR969" t="s">
        <v>2347</v>
      </c>
      <c r="CS969" s="1369" t="str">
        <f>INDEX([8]Sheet1!$H:$H,MATCH(CR:CR,[8]Sheet1!$AU:$AU,0))</f>
        <v>Central City Improvement District</v>
      </c>
    </row>
    <row r="970" spans="1:97" x14ac:dyDescent="0.2">
      <c r="A970" t="s">
        <v>3808</v>
      </c>
      <c r="B970">
        <v>1028</v>
      </c>
      <c r="C970" t="s">
        <v>3808</v>
      </c>
      <c r="D970">
        <v>30251</v>
      </c>
      <c r="E970" t="s">
        <v>3467</v>
      </c>
      <c r="F970" t="s">
        <v>2364</v>
      </c>
      <c r="G970" t="s">
        <v>2364</v>
      </c>
      <c r="H970" t="s">
        <v>2365</v>
      </c>
      <c r="I970" t="s">
        <v>2365</v>
      </c>
      <c r="J970" t="s">
        <v>2365</v>
      </c>
      <c r="K970" t="s">
        <v>2365</v>
      </c>
      <c r="L970">
        <v>1200</v>
      </c>
      <c r="M970" t="s">
        <v>1480</v>
      </c>
      <c r="N970">
        <v>1204</v>
      </c>
      <c r="O970" t="s">
        <v>1487</v>
      </c>
      <c r="P970" t="s">
        <v>2366</v>
      </c>
      <c r="Q970" t="s">
        <v>2364</v>
      </c>
      <c r="R970" t="s">
        <v>2364</v>
      </c>
      <c r="S970" t="s">
        <v>553</v>
      </c>
      <c r="T970" t="s">
        <v>2175</v>
      </c>
      <c r="U970">
        <v>140</v>
      </c>
      <c r="V970" t="s">
        <v>693</v>
      </c>
      <c r="W970">
        <v>140</v>
      </c>
      <c r="X970" t="s">
        <v>693</v>
      </c>
      <c r="Y970" t="s">
        <v>2365</v>
      </c>
      <c r="Z970" t="s">
        <v>2365</v>
      </c>
      <c r="AA970" t="s">
        <v>2365</v>
      </c>
      <c r="AB970" t="s">
        <v>2365</v>
      </c>
      <c r="AC970" s="813" t="s">
        <v>2365</v>
      </c>
      <c r="AD970" s="813" t="s">
        <v>2365</v>
      </c>
      <c r="AE970" s="813" t="s">
        <v>2365</v>
      </c>
      <c r="AF970" t="s">
        <v>2365</v>
      </c>
      <c r="AG970" t="s">
        <v>2365</v>
      </c>
      <c r="AH970" t="s">
        <v>2365</v>
      </c>
      <c r="AI970" t="s">
        <v>2365</v>
      </c>
      <c r="AJ970" t="s">
        <v>2365</v>
      </c>
      <c r="AK970" t="s">
        <v>2366</v>
      </c>
      <c r="AL970" t="s">
        <v>2366</v>
      </c>
      <c r="AM970" t="s">
        <v>2366</v>
      </c>
      <c r="AN970" t="s">
        <v>2366</v>
      </c>
      <c r="AR970" t="s">
        <v>2365</v>
      </c>
      <c r="AS970" t="s">
        <v>2365</v>
      </c>
      <c r="AT970" t="s">
        <v>2365</v>
      </c>
      <c r="AU970" t="s">
        <v>2365</v>
      </c>
      <c r="AV970" t="s">
        <v>2365</v>
      </c>
      <c r="AW970" t="s">
        <v>2365</v>
      </c>
      <c r="AX970" t="s">
        <v>2365</v>
      </c>
      <c r="AY970" t="s">
        <v>2365</v>
      </c>
      <c r="AZ970" t="s">
        <v>2365</v>
      </c>
      <c r="BA970" t="s">
        <v>2365</v>
      </c>
      <c r="BB970" t="s">
        <v>2365</v>
      </c>
      <c r="BC970" t="s">
        <v>2365</v>
      </c>
      <c r="BD970" t="s">
        <v>2366</v>
      </c>
      <c r="BE970" t="s">
        <v>2365</v>
      </c>
      <c r="BF970" t="s">
        <v>2365</v>
      </c>
      <c r="BG970" t="s">
        <v>2365</v>
      </c>
      <c r="BH970" t="s">
        <v>2365</v>
      </c>
      <c r="BI970" t="s">
        <v>2366</v>
      </c>
      <c r="BJ970" t="s">
        <v>2365</v>
      </c>
      <c r="BK970" t="s">
        <v>2365</v>
      </c>
      <c r="BL970" t="s">
        <v>2365</v>
      </c>
      <c r="BM970" t="s">
        <v>2365</v>
      </c>
      <c r="BO970">
        <v>1</v>
      </c>
      <c r="BP970">
        <v>11</v>
      </c>
      <c r="BQ970" t="s">
        <v>2369</v>
      </c>
      <c r="BR970" t="s">
        <v>1487</v>
      </c>
      <c r="BU970">
        <v>0</v>
      </c>
      <c r="BV970">
        <v>0</v>
      </c>
      <c r="BW970">
        <v>0</v>
      </c>
      <c r="BX970">
        <v>0</v>
      </c>
      <c r="BY970" s="1371">
        <v>0</v>
      </c>
      <c r="BZ970" s="1371">
        <v>0</v>
      </c>
      <c r="CA970">
        <v>0</v>
      </c>
      <c r="CB970">
        <v>0</v>
      </c>
      <c r="CC970">
        <v>0</v>
      </c>
      <c r="CD970">
        <v>0</v>
      </c>
      <c r="CE970">
        <v>0</v>
      </c>
      <c r="CF970">
        <v>0</v>
      </c>
      <c r="CG970">
        <v>0</v>
      </c>
      <c r="CH970">
        <v>0</v>
      </c>
      <c r="CI970">
        <v>0</v>
      </c>
      <c r="CJ970">
        <v>0</v>
      </c>
      <c r="CK970">
        <v>0</v>
      </c>
      <c r="CL970">
        <v>0</v>
      </c>
      <c r="CM970">
        <v>0</v>
      </c>
      <c r="CR970" t="s">
        <v>2335</v>
      </c>
      <c r="CS970" s="1369" t="str">
        <f>INDEX([8]Sheet1!$H:$H,MATCH(CR:CR,[8]Sheet1!$AU:$AU,0))</f>
        <v>Economic Development/Planning</v>
      </c>
    </row>
    <row r="971" spans="1:97" x14ac:dyDescent="0.2">
      <c r="A971" t="s">
        <v>3809</v>
      </c>
      <c r="B971">
        <v>1030</v>
      </c>
      <c r="C971" t="s">
        <v>3809</v>
      </c>
      <c r="D971">
        <v>30253</v>
      </c>
      <c r="E971" t="s">
        <v>3475</v>
      </c>
      <c r="F971" t="s">
        <v>2364</v>
      </c>
      <c r="G971" t="s">
        <v>2364</v>
      </c>
      <c r="H971" t="s">
        <v>2365</v>
      </c>
      <c r="I971" t="s">
        <v>2365</v>
      </c>
      <c r="J971" t="s">
        <v>2365</v>
      </c>
      <c r="K971" t="s">
        <v>2365</v>
      </c>
      <c r="L971">
        <v>1200</v>
      </c>
      <c r="M971" t="s">
        <v>1480</v>
      </c>
      <c r="N971">
        <v>1204</v>
      </c>
      <c r="O971" t="s">
        <v>1487</v>
      </c>
      <c r="P971" t="s">
        <v>2366</v>
      </c>
      <c r="Q971" t="s">
        <v>2364</v>
      </c>
      <c r="R971" t="s">
        <v>2364</v>
      </c>
      <c r="S971" t="s">
        <v>553</v>
      </c>
      <c r="T971" t="s">
        <v>2175</v>
      </c>
      <c r="U971">
        <v>140</v>
      </c>
      <c r="V971" t="s">
        <v>693</v>
      </c>
      <c r="W971">
        <v>140</v>
      </c>
      <c r="X971" t="s">
        <v>693</v>
      </c>
      <c r="Y971" t="s">
        <v>2365</v>
      </c>
      <c r="Z971" t="s">
        <v>2365</v>
      </c>
      <c r="AA971" t="s">
        <v>2365</v>
      </c>
      <c r="AB971" t="s">
        <v>2365</v>
      </c>
      <c r="AC971" s="813" t="s">
        <v>2365</v>
      </c>
      <c r="AD971" s="813" t="s">
        <v>2365</v>
      </c>
      <c r="AE971" s="813" t="s">
        <v>2365</v>
      </c>
      <c r="AF971" t="s">
        <v>2365</v>
      </c>
      <c r="AG971" t="s">
        <v>2365</v>
      </c>
      <c r="AH971" t="s">
        <v>2365</v>
      </c>
      <c r="AI971" t="s">
        <v>2365</v>
      </c>
      <c r="AJ971" t="s">
        <v>2365</v>
      </c>
      <c r="AK971" t="s">
        <v>2366</v>
      </c>
      <c r="AL971" t="s">
        <v>2366</v>
      </c>
      <c r="AM971" t="s">
        <v>2366</v>
      </c>
      <c r="AN971" t="s">
        <v>2366</v>
      </c>
      <c r="AR971" t="s">
        <v>2365</v>
      </c>
      <c r="AS971" t="s">
        <v>2365</v>
      </c>
      <c r="AT971" t="s">
        <v>2365</v>
      </c>
      <c r="AU971" t="s">
        <v>2365</v>
      </c>
      <c r="AV971" t="s">
        <v>2365</v>
      </c>
      <c r="AW971" t="s">
        <v>2365</v>
      </c>
      <c r="AX971" t="s">
        <v>2365</v>
      </c>
      <c r="AY971" t="s">
        <v>2365</v>
      </c>
      <c r="AZ971" t="s">
        <v>2365</v>
      </c>
      <c r="BA971" t="s">
        <v>2365</v>
      </c>
      <c r="BB971" t="s">
        <v>2365</v>
      </c>
      <c r="BC971" t="s">
        <v>2365</v>
      </c>
      <c r="BD971" t="s">
        <v>2366</v>
      </c>
      <c r="BE971" t="s">
        <v>2365</v>
      </c>
      <c r="BF971" t="s">
        <v>2365</v>
      </c>
      <c r="BG971" t="s">
        <v>2365</v>
      </c>
      <c r="BH971" t="s">
        <v>2365</v>
      </c>
      <c r="BI971" t="s">
        <v>2366</v>
      </c>
      <c r="BJ971" t="s">
        <v>2365</v>
      </c>
      <c r="BK971" t="s">
        <v>2365</v>
      </c>
      <c r="BL971" t="s">
        <v>2365</v>
      </c>
      <c r="BM971" t="s">
        <v>2365</v>
      </c>
      <c r="BO971">
        <v>1</v>
      </c>
      <c r="BP971">
        <v>11</v>
      </c>
      <c r="BQ971" t="s">
        <v>2369</v>
      </c>
      <c r="BR971" t="s">
        <v>1487</v>
      </c>
      <c r="BU971">
        <v>0</v>
      </c>
      <c r="BV971">
        <v>0</v>
      </c>
      <c r="BW971">
        <v>0</v>
      </c>
      <c r="BX971">
        <v>0</v>
      </c>
      <c r="BY971">
        <v>0</v>
      </c>
      <c r="BZ971">
        <v>0</v>
      </c>
      <c r="CA971">
        <v>0</v>
      </c>
      <c r="CB971">
        <v>0</v>
      </c>
      <c r="CC971">
        <v>0</v>
      </c>
      <c r="CD971">
        <v>0</v>
      </c>
      <c r="CE971">
        <v>0</v>
      </c>
      <c r="CF971">
        <v>0</v>
      </c>
      <c r="CG971">
        <v>0</v>
      </c>
      <c r="CH971">
        <v>0</v>
      </c>
      <c r="CI971">
        <v>0</v>
      </c>
      <c r="CJ971">
        <v>0</v>
      </c>
      <c r="CK971">
        <v>0</v>
      </c>
      <c r="CL971">
        <v>0</v>
      </c>
      <c r="CM971">
        <v>0</v>
      </c>
      <c r="CR971" t="s">
        <v>2338</v>
      </c>
      <c r="CS971" s="1369" t="str">
        <f>INDEX([8]Sheet1!$H:$H,MATCH(CR:CR,[8]Sheet1!$AU:$AU,0))</f>
        <v>Town Planning, Building Regulations and Enforcement, and City Engineer</v>
      </c>
    </row>
    <row r="972" spans="1:97" x14ac:dyDescent="0.2">
      <c r="A972" t="s">
        <v>3810</v>
      </c>
      <c r="B972">
        <v>1031</v>
      </c>
      <c r="C972" t="s">
        <v>3810</v>
      </c>
      <c r="D972">
        <v>30254</v>
      </c>
      <c r="E972" t="s">
        <v>3659</v>
      </c>
      <c r="F972" t="s">
        <v>2364</v>
      </c>
      <c r="G972" t="s">
        <v>2364</v>
      </c>
      <c r="H972" t="s">
        <v>2365</v>
      </c>
      <c r="I972" t="s">
        <v>2365</v>
      </c>
      <c r="J972" t="s">
        <v>2365</v>
      </c>
      <c r="K972" t="s">
        <v>2365</v>
      </c>
      <c r="L972">
        <v>1200</v>
      </c>
      <c r="M972" t="s">
        <v>1480</v>
      </c>
      <c r="N972">
        <v>1204</v>
      </c>
      <c r="O972" t="s">
        <v>1487</v>
      </c>
      <c r="P972" t="s">
        <v>2366</v>
      </c>
      <c r="Q972" t="s">
        <v>2364</v>
      </c>
      <c r="R972" t="s">
        <v>2364</v>
      </c>
      <c r="S972" t="s">
        <v>553</v>
      </c>
      <c r="T972" t="s">
        <v>2175</v>
      </c>
      <c r="U972" t="s">
        <v>2366</v>
      </c>
      <c r="V972" t="s">
        <v>2366</v>
      </c>
      <c r="W972" t="s">
        <v>2366</v>
      </c>
      <c r="X972" t="s">
        <v>2366</v>
      </c>
      <c r="Y972" t="s">
        <v>2365</v>
      </c>
      <c r="Z972" t="s">
        <v>2365</v>
      </c>
      <c r="AA972" t="s">
        <v>2365</v>
      </c>
      <c r="AB972" t="s">
        <v>2365</v>
      </c>
      <c r="AC972" s="813" t="s">
        <v>2365</v>
      </c>
      <c r="AD972" s="813" t="s">
        <v>2365</v>
      </c>
      <c r="AE972" s="813" t="s">
        <v>2365</v>
      </c>
      <c r="AF972" t="s">
        <v>2365</v>
      </c>
      <c r="AG972" t="s">
        <v>2365</v>
      </c>
      <c r="AH972" t="s">
        <v>2365</v>
      </c>
      <c r="AI972" t="s">
        <v>2365</v>
      </c>
      <c r="AJ972" t="s">
        <v>2365</v>
      </c>
      <c r="AK972">
        <v>146</v>
      </c>
      <c r="AL972" t="s">
        <v>1199</v>
      </c>
      <c r="AM972">
        <v>146</v>
      </c>
      <c r="AN972" t="s">
        <v>1199</v>
      </c>
      <c r="AR972" t="s">
        <v>2365</v>
      </c>
      <c r="AS972" t="s">
        <v>2365</v>
      </c>
      <c r="AT972" t="s">
        <v>2365</v>
      </c>
      <c r="AU972" t="s">
        <v>2365</v>
      </c>
      <c r="AV972" t="s">
        <v>2365</v>
      </c>
      <c r="AW972" t="s">
        <v>2365</v>
      </c>
      <c r="AX972" t="s">
        <v>2365</v>
      </c>
      <c r="AY972" t="s">
        <v>2365</v>
      </c>
      <c r="AZ972" t="s">
        <v>2365</v>
      </c>
      <c r="BA972" t="s">
        <v>2365</v>
      </c>
      <c r="BB972" t="s">
        <v>2365</v>
      </c>
      <c r="BC972" t="s">
        <v>2365</v>
      </c>
      <c r="BD972" t="s">
        <v>2366</v>
      </c>
      <c r="BE972" t="s">
        <v>2365</v>
      </c>
      <c r="BF972" t="s">
        <v>2365</v>
      </c>
      <c r="BG972" t="s">
        <v>2365</v>
      </c>
      <c r="BH972" t="s">
        <v>2365</v>
      </c>
      <c r="BI972" t="s">
        <v>2366</v>
      </c>
      <c r="BJ972" t="s">
        <v>2365</v>
      </c>
      <c r="BK972" t="s">
        <v>2365</v>
      </c>
      <c r="BL972" t="s">
        <v>2365</v>
      </c>
      <c r="BM972" t="s">
        <v>2365</v>
      </c>
      <c r="BO972">
        <v>1</v>
      </c>
      <c r="BP972">
        <v>11</v>
      </c>
      <c r="BQ972" t="s">
        <v>2369</v>
      </c>
      <c r="BR972" t="s">
        <v>1487</v>
      </c>
      <c r="BU972">
        <v>0</v>
      </c>
      <c r="BV972">
        <v>0</v>
      </c>
      <c r="BW972">
        <v>0</v>
      </c>
      <c r="BX972">
        <v>0</v>
      </c>
      <c r="BY972">
        <v>0</v>
      </c>
      <c r="BZ972">
        <v>0</v>
      </c>
      <c r="CA972">
        <v>0</v>
      </c>
      <c r="CB972">
        <v>0</v>
      </c>
      <c r="CC972">
        <v>0</v>
      </c>
      <c r="CD972">
        <v>0</v>
      </c>
      <c r="CE972">
        <v>0</v>
      </c>
      <c r="CF972">
        <v>0</v>
      </c>
      <c r="CG972">
        <v>0</v>
      </c>
      <c r="CH972">
        <v>0</v>
      </c>
      <c r="CI972">
        <v>0</v>
      </c>
      <c r="CJ972">
        <v>0</v>
      </c>
      <c r="CK972">
        <v>0</v>
      </c>
      <c r="CL972">
        <v>0</v>
      </c>
      <c r="CM972">
        <v>0</v>
      </c>
      <c r="CR972" t="s">
        <v>2328</v>
      </c>
      <c r="CS972" s="1369" t="str">
        <f>INDEX([8]Sheet1!$H:$H,MATCH(CR:CR,[8]Sheet1!$AU:$AU,0))</f>
        <v>Water Distribution</v>
      </c>
    </row>
    <row r="973" spans="1:97" x14ac:dyDescent="0.2">
      <c r="A973" t="s">
        <v>3811</v>
      </c>
      <c r="B973">
        <v>1032</v>
      </c>
      <c r="C973" t="s">
        <v>3811</v>
      </c>
      <c r="D973">
        <v>30255</v>
      </c>
      <c r="E973" t="s">
        <v>3663</v>
      </c>
      <c r="F973" t="s">
        <v>2364</v>
      </c>
      <c r="G973" t="s">
        <v>2364</v>
      </c>
      <c r="H973" t="s">
        <v>2365</v>
      </c>
      <c r="I973" t="s">
        <v>2365</v>
      </c>
      <c r="J973" t="s">
        <v>2365</v>
      </c>
      <c r="K973" t="s">
        <v>2365</v>
      </c>
      <c r="L973">
        <v>1200</v>
      </c>
      <c r="M973" t="s">
        <v>1480</v>
      </c>
      <c r="N973">
        <v>1204</v>
      </c>
      <c r="O973" t="s">
        <v>1487</v>
      </c>
      <c r="P973" t="s">
        <v>2366</v>
      </c>
      <c r="Q973" t="s">
        <v>2364</v>
      </c>
      <c r="R973" t="s">
        <v>2364</v>
      </c>
      <c r="S973" t="s">
        <v>553</v>
      </c>
      <c r="T973" t="s">
        <v>2175</v>
      </c>
      <c r="U973" t="s">
        <v>2366</v>
      </c>
      <c r="V973" t="s">
        <v>2366</v>
      </c>
      <c r="W973" t="s">
        <v>2366</v>
      </c>
      <c r="X973" t="s">
        <v>2366</v>
      </c>
      <c r="Y973" t="s">
        <v>2365</v>
      </c>
      <c r="Z973" t="s">
        <v>2365</v>
      </c>
      <c r="AA973" t="s">
        <v>2365</v>
      </c>
      <c r="AB973" t="s">
        <v>2365</v>
      </c>
      <c r="AC973" s="813" t="s">
        <v>2365</v>
      </c>
      <c r="AD973" s="813" t="s">
        <v>2365</v>
      </c>
      <c r="AE973" s="813" t="s">
        <v>2365</v>
      </c>
      <c r="AF973" t="s">
        <v>2365</v>
      </c>
      <c r="AG973" t="s">
        <v>2365</v>
      </c>
      <c r="AH973" t="s">
        <v>2365</v>
      </c>
      <c r="AI973" t="s">
        <v>2365</v>
      </c>
      <c r="AJ973" t="s">
        <v>2365</v>
      </c>
      <c r="AK973">
        <v>146</v>
      </c>
      <c r="AL973" t="s">
        <v>1199</v>
      </c>
      <c r="AM973">
        <v>146</v>
      </c>
      <c r="AN973" t="s">
        <v>1199</v>
      </c>
      <c r="AR973" t="s">
        <v>2365</v>
      </c>
      <c r="AS973" t="s">
        <v>2365</v>
      </c>
      <c r="AT973" t="s">
        <v>2365</v>
      </c>
      <c r="AU973" t="s">
        <v>2365</v>
      </c>
      <c r="AV973" t="s">
        <v>2365</v>
      </c>
      <c r="AW973" t="s">
        <v>2365</v>
      </c>
      <c r="AX973" t="s">
        <v>2365</v>
      </c>
      <c r="AY973" t="s">
        <v>2365</v>
      </c>
      <c r="AZ973" t="s">
        <v>2365</v>
      </c>
      <c r="BA973" t="s">
        <v>2365</v>
      </c>
      <c r="BB973" t="s">
        <v>2365</v>
      </c>
      <c r="BC973" t="s">
        <v>2365</v>
      </c>
      <c r="BD973" t="s">
        <v>2366</v>
      </c>
      <c r="BE973" t="s">
        <v>2365</v>
      </c>
      <c r="BF973" t="s">
        <v>2365</v>
      </c>
      <c r="BG973" t="s">
        <v>2365</v>
      </c>
      <c r="BH973" t="s">
        <v>2365</v>
      </c>
      <c r="BI973" t="s">
        <v>2366</v>
      </c>
      <c r="BJ973" t="s">
        <v>2365</v>
      </c>
      <c r="BK973" t="s">
        <v>2365</v>
      </c>
      <c r="BL973" t="s">
        <v>2365</v>
      </c>
      <c r="BM973" t="s">
        <v>2365</v>
      </c>
      <c r="BO973">
        <v>1</v>
      </c>
      <c r="BP973">
        <v>11</v>
      </c>
      <c r="BQ973" t="s">
        <v>2369</v>
      </c>
      <c r="BR973" t="s">
        <v>1487</v>
      </c>
      <c r="BU973">
        <v>0</v>
      </c>
      <c r="BV973">
        <v>0</v>
      </c>
      <c r="BW973">
        <v>0</v>
      </c>
      <c r="BX973">
        <v>0</v>
      </c>
      <c r="BY973" s="1371">
        <v>0</v>
      </c>
      <c r="BZ973" s="1371">
        <v>0</v>
      </c>
      <c r="CA973">
        <v>0</v>
      </c>
      <c r="CB973">
        <v>0</v>
      </c>
      <c r="CC973">
        <v>0</v>
      </c>
      <c r="CD973">
        <v>0</v>
      </c>
      <c r="CE973">
        <v>0</v>
      </c>
      <c r="CF973">
        <v>0</v>
      </c>
      <c r="CG973">
        <v>0</v>
      </c>
      <c r="CH973">
        <v>0</v>
      </c>
      <c r="CI973">
        <v>0</v>
      </c>
      <c r="CJ973">
        <v>0</v>
      </c>
      <c r="CK973">
        <v>0</v>
      </c>
      <c r="CL973">
        <v>0</v>
      </c>
      <c r="CM973">
        <v>0</v>
      </c>
      <c r="CR973" t="s">
        <v>2330</v>
      </c>
      <c r="CS973" s="1369" t="str">
        <f>INDEX([8]Sheet1!$H:$H,MATCH(CR:CR,[8]Sheet1!$AU:$AU,0))</f>
        <v>Water Treatment</v>
      </c>
    </row>
    <row r="974" spans="1:97" x14ac:dyDescent="0.2">
      <c r="A974" t="s">
        <v>3812</v>
      </c>
      <c r="B974">
        <v>1033</v>
      </c>
      <c r="C974" t="s">
        <v>3812</v>
      </c>
      <c r="D974">
        <v>30256</v>
      </c>
      <c r="E974" t="s">
        <v>3709</v>
      </c>
      <c r="F974" t="s">
        <v>2364</v>
      </c>
      <c r="G974" t="s">
        <v>2364</v>
      </c>
      <c r="H974" t="s">
        <v>2365</v>
      </c>
      <c r="I974" t="s">
        <v>2365</v>
      </c>
      <c r="J974" t="s">
        <v>2365</v>
      </c>
      <c r="K974" t="s">
        <v>2365</v>
      </c>
      <c r="L974">
        <v>1200</v>
      </c>
      <c r="M974" t="s">
        <v>1480</v>
      </c>
      <c r="N974">
        <v>1204</v>
      </c>
      <c r="O974" t="s">
        <v>1487</v>
      </c>
      <c r="P974" t="s">
        <v>2366</v>
      </c>
      <c r="Q974" t="s">
        <v>2364</v>
      </c>
      <c r="R974" t="s">
        <v>2364</v>
      </c>
      <c r="S974" t="s">
        <v>553</v>
      </c>
      <c r="T974" t="s">
        <v>2175</v>
      </c>
      <c r="U974">
        <v>140</v>
      </c>
      <c r="V974" t="s">
        <v>693</v>
      </c>
      <c r="W974">
        <v>140</v>
      </c>
      <c r="X974" t="s">
        <v>693</v>
      </c>
      <c r="Y974" t="s">
        <v>2365</v>
      </c>
      <c r="Z974" t="s">
        <v>2365</v>
      </c>
      <c r="AA974" t="s">
        <v>2365</v>
      </c>
      <c r="AB974" t="s">
        <v>2365</v>
      </c>
      <c r="AC974" s="813" t="s">
        <v>2365</v>
      </c>
      <c r="AD974" s="813" t="s">
        <v>2365</v>
      </c>
      <c r="AE974" s="813" t="s">
        <v>2365</v>
      </c>
      <c r="AF974" t="s">
        <v>2365</v>
      </c>
      <c r="AG974" t="s">
        <v>2365</v>
      </c>
      <c r="AH974" t="s">
        <v>2365</v>
      </c>
      <c r="AI974" t="s">
        <v>2365</v>
      </c>
      <c r="AJ974" t="s">
        <v>2365</v>
      </c>
      <c r="AK974" t="s">
        <v>2366</v>
      </c>
      <c r="AL974" t="s">
        <v>2366</v>
      </c>
      <c r="AM974" t="s">
        <v>2366</v>
      </c>
      <c r="AN974" t="s">
        <v>2366</v>
      </c>
      <c r="AR974" t="s">
        <v>2365</v>
      </c>
      <c r="AS974" t="s">
        <v>2365</v>
      </c>
      <c r="AT974" t="s">
        <v>2365</v>
      </c>
      <c r="AU974" t="s">
        <v>2365</v>
      </c>
      <c r="AV974" t="s">
        <v>2365</v>
      </c>
      <c r="AW974" t="s">
        <v>2365</v>
      </c>
      <c r="AX974" t="s">
        <v>2365</v>
      </c>
      <c r="AY974" t="s">
        <v>2365</v>
      </c>
      <c r="AZ974" t="s">
        <v>2365</v>
      </c>
      <c r="BA974" t="s">
        <v>2365</v>
      </c>
      <c r="BB974" t="s">
        <v>2365</v>
      </c>
      <c r="BC974" t="s">
        <v>2365</v>
      </c>
      <c r="BD974" t="s">
        <v>2366</v>
      </c>
      <c r="BE974" t="s">
        <v>2365</v>
      </c>
      <c r="BF974" t="s">
        <v>2365</v>
      </c>
      <c r="BG974" t="s">
        <v>2365</v>
      </c>
      <c r="BH974" t="s">
        <v>2365</v>
      </c>
      <c r="BI974" t="s">
        <v>2366</v>
      </c>
      <c r="BJ974" t="s">
        <v>2365</v>
      </c>
      <c r="BK974" t="s">
        <v>2365</v>
      </c>
      <c r="BL974" t="s">
        <v>2365</v>
      </c>
      <c r="BM974" t="s">
        <v>2365</v>
      </c>
      <c r="BO974">
        <v>1</v>
      </c>
      <c r="BP974">
        <v>11</v>
      </c>
      <c r="BQ974" t="s">
        <v>2369</v>
      </c>
      <c r="BR974" t="s">
        <v>1487</v>
      </c>
      <c r="BU974">
        <v>0</v>
      </c>
      <c r="BV974">
        <v>0</v>
      </c>
      <c r="BW974">
        <v>0</v>
      </c>
      <c r="BX974">
        <v>0</v>
      </c>
      <c r="BY974">
        <v>0</v>
      </c>
      <c r="BZ974">
        <v>0</v>
      </c>
      <c r="CA974">
        <v>0</v>
      </c>
      <c r="CB974">
        <v>0</v>
      </c>
      <c r="CC974">
        <v>0</v>
      </c>
      <c r="CD974">
        <v>0</v>
      </c>
      <c r="CE974">
        <v>0</v>
      </c>
      <c r="CF974">
        <v>0</v>
      </c>
      <c r="CG974">
        <v>0</v>
      </c>
      <c r="CH974">
        <v>0</v>
      </c>
      <c r="CI974">
        <v>0</v>
      </c>
      <c r="CJ974">
        <v>0</v>
      </c>
      <c r="CK974">
        <v>0</v>
      </c>
      <c r="CL974">
        <v>0</v>
      </c>
      <c r="CM974">
        <v>0</v>
      </c>
      <c r="CR974" t="s">
        <v>2331</v>
      </c>
      <c r="CS974" s="1369" t="str">
        <f>INDEX([8]Sheet1!$H:$H,MATCH(CR:CR,[8]Sheet1!$AU:$AU,0))</f>
        <v>Waste Water Treatment</v>
      </c>
    </row>
    <row r="975" spans="1:97" x14ac:dyDescent="0.2">
      <c r="A975" t="s">
        <v>3813</v>
      </c>
      <c r="B975">
        <v>1035</v>
      </c>
      <c r="C975" t="s">
        <v>3813</v>
      </c>
      <c r="D975">
        <v>30258</v>
      </c>
      <c r="E975" t="s">
        <v>3717</v>
      </c>
      <c r="F975" t="s">
        <v>2364</v>
      </c>
      <c r="G975" t="s">
        <v>2364</v>
      </c>
      <c r="H975" t="s">
        <v>2365</v>
      </c>
      <c r="I975" t="s">
        <v>2365</v>
      </c>
      <c r="J975" t="s">
        <v>2365</v>
      </c>
      <c r="K975" t="s">
        <v>2365</v>
      </c>
      <c r="L975">
        <v>1200</v>
      </c>
      <c r="M975" t="s">
        <v>1480</v>
      </c>
      <c r="N975">
        <v>1204</v>
      </c>
      <c r="O975" t="s">
        <v>1487</v>
      </c>
      <c r="P975" t="s">
        <v>2366</v>
      </c>
      <c r="Q975" t="s">
        <v>2364</v>
      </c>
      <c r="R975" t="s">
        <v>2364</v>
      </c>
      <c r="S975" t="s">
        <v>553</v>
      </c>
      <c r="T975" t="s">
        <v>2175</v>
      </c>
      <c r="U975">
        <v>140</v>
      </c>
      <c r="V975" t="s">
        <v>693</v>
      </c>
      <c r="W975">
        <v>140</v>
      </c>
      <c r="X975" t="s">
        <v>693</v>
      </c>
      <c r="Y975" t="s">
        <v>2365</v>
      </c>
      <c r="Z975" t="s">
        <v>2365</v>
      </c>
      <c r="AA975" t="s">
        <v>2365</v>
      </c>
      <c r="AB975" t="s">
        <v>2365</v>
      </c>
      <c r="AC975" s="813" t="s">
        <v>2365</v>
      </c>
      <c r="AD975" s="813" t="s">
        <v>2365</v>
      </c>
      <c r="AE975" s="813" t="s">
        <v>2365</v>
      </c>
      <c r="AF975" t="s">
        <v>2365</v>
      </c>
      <c r="AG975" t="s">
        <v>2365</v>
      </c>
      <c r="AH975" t="s">
        <v>2365</v>
      </c>
      <c r="AI975" t="s">
        <v>2365</v>
      </c>
      <c r="AJ975" t="s">
        <v>2365</v>
      </c>
      <c r="AK975">
        <v>147</v>
      </c>
      <c r="AL975" t="s">
        <v>1200</v>
      </c>
      <c r="AM975">
        <v>147</v>
      </c>
      <c r="AN975" t="s">
        <v>1200</v>
      </c>
      <c r="AR975" t="s">
        <v>2365</v>
      </c>
      <c r="AS975" t="s">
        <v>2365</v>
      </c>
      <c r="AT975" t="s">
        <v>2365</v>
      </c>
      <c r="AU975" t="s">
        <v>2365</v>
      </c>
      <c r="AV975" t="s">
        <v>2365</v>
      </c>
      <c r="AW975" t="s">
        <v>2365</v>
      </c>
      <c r="AX975" t="s">
        <v>2365</v>
      </c>
      <c r="AY975" t="s">
        <v>2365</v>
      </c>
      <c r="AZ975" t="s">
        <v>2365</v>
      </c>
      <c r="BA975" t="s">
        <v>2365</v>
      </c>
      <c r="BB975" t="s">
        <v>2365</v>
      </c>
      <c r="BC975" t="s">
        <v>2365</v>
      </c>
      <c r="BD975" t="s">
        <v>2366</v>
      </c>
      <c r="BE975" t="s">
        <v>2365</v>
      </c>
      <c r="BF975" t="s">
        <v>2365</v>
      </c>
      <c r="BG975" t="s">
        <v>2365</v>
      </c>
      <c r="BH975" t="s">
        <v>2365</v>
      </c>
      <c r="BI975" t="s">
        <v>2366</v>
      </c>
      <c r="BJ975" t="s">
        <v>2365</v>
      </c>
      <c r="BK975" t="s">
        <v>2365</v>
      </c>
      <c r="BL975" t="s">
        <v>2365</v>
      </c>
      <c r="BM975" t="s">
        <v>2365</v>
      </c>
      <c r="BO975">
        <v>1</v>
      </c>
      <c r="BP975">
        <v>11</v>
      </c>
      <c r="BQ975" t="s">
        <v>2369</v>
      </c>
      <c r="BR975" t="s">
        <v>1487</v>
      </c>
      <c r="BU975">
        <v>0</v>
      </c>
      <c r="BV975">
        <v>0</v>
      </c>
      <c r="BW975">
        <v>0</v>
      </c>
      <c r="BX975">
        <v>0</v>
      </c>
      <c r="BY975" s="1371">
        <v>0</v>
      </c>
      <c r="BZ975" s="1371">
        <v>0</v>
      </c>
      <c r="CA975">
        <v>0</v>
      </c>
      <c r="CB975">
        <v>0</v>
      </c>
      <c r="CC975">
        <v>0</v>
      </c>
      <c r="CD975">
        <v>0</v>
      </c>
      <c r="CE975">
        <v>0</v>
      </c>
      <c r="CF975">
        <v>0</v>
      </c>
      <c r="CG975">
        <v>0</v>
      </c>
      <c r="CH975">
        <v>0</v>
      </c>
      <c r="CI975">
        <v>0</v>
      </c>
      <c r="CJ975">
        <v>0</v>
      </c>
      <c r="CK975">
        <v>0</v>
      </c>
      <c r="CL975">
        <v>0</v>
      </c>
      <c r="CM975">
        <v>0</v>
      </c>
      <c r="CR975" t="s">
        <v>2331</v>
      </c>
      <c r="CS975" s="1369" t="str">
        <f>INDEX([8]Sheet1!$H:$H,MATCH(CR:CR,[8]Sheet1!$AU:$AU,0))</f>
        <v>Waste Water Treatment</v>
      </c>
    </row>
    <row r="976" spans="1:97" x14ac:dyDescent="0.2">
      <c r="A976" t="s">
        <v>3814</v>
      </c>
      <c r="B976">
        <v>1036</v>
      </c>
      <c r="C976" t="s">
        <v>3814</v>
      </c>
      <c r="D976">
        <v>30259</v>
      </c>
      <c r="E976" t="s">
        <v>3723</v>
      </c>
      <c r="F976" t="s">
        <v>2364</v>
      </c>
      <c r="G976" t="s">
        <v>2364</v>
      </c>
      <c r="H976" t="s">
        <v>2365</v>
      </c>
      <c r="I976" t="s">
        <v>2365</v>
      </c>
      <c r="J976" t="s">
        <v>2365</v>
      </c>
      <c r="K976" t="s">
        <v>2365</v>
      </c>
      <c r="L976">
        <v>1200</v>
      </c>
      <c r="M976" t="s">
        <v>1480</v>
      </c>
      <c r="N976">
        <v>1204</v>
      </c>
      <c r="O976" t="s">
        <v>1487</v>
      </c>
      <c r="P976" t="s">
        <v>2366</v>
      </c>
      <c r="Q976" t="s">
        <v>2364</v>
      </c>
      <c r="R976" t="s">
        <v>2364</v>
      </c>
      <c r="S976" t="s">
        <v>553</v>
      </c>
      <c r="T976" t="s">
        <v>2175</v>
      </c>
      <c r="U976">
        <v>140</v>
      </c>
      <c r="V976" t="s">
        <v>693</v>
      </c>
      <c r="W976">
        <v>140</v>
      </c>
      <c r="X976" t="s">
        <v>693</v>
      </c>
      <c r="Y976" t="s">
        <v>2365</v>
      </c>
      <c r="Z976" t="s">
        <v>2365</v>
      </c>
      <c r="AA976" t="s">
        <v>2365</v>
      </c>
      <c r="AB976" t="s">
        <v>2365</v>
      </c>
      <c r="AC976" s="813" t="s">
        <v>2365</v>
      </c>
      <c r="AD976" s="813" t="s">
        <v>2365</v>
      </c>
      <c r="AE976" s="813" t="s">
        <v>2365</v>
      </c>
      <c r="AF976" t="s">
        <v>2365</v>
      </c>
      <c r="AG976" t="s">
        <v>2365</v>
      </c>
      <c r="AH976" t="s">
        <v>2365</v>
      </c>
      <c r="AI976" t="s">
        <v>2365</v>
      </c>
      <c r="AJ976" t="s">
        <v>2365</v>
      </c>
      <c r="AK976" t="s">
        <v>2366</v>
      </c>
      <c r="AL976" t="s">
        <v>2366</v>
      </c>
      <c r="AM976" t="s">
        <v>2366</v>
      </c>
      <c r="AN976" t="s">
        <v>2366</v>
      </c>
      <c r="AR976" t="s">
        <v>2365</v>
      </c>
      <c r="AS976" t="s">
        <v>2365</v>
      </c>
      <c r="AT976" t="s">
        <v>2365</v>
      </c>
      <c r="AU976" t="s">
        <v>2365</v>
      </c>
      <c r="AV976" t="s">
        <v>2365</v>
      </c>
      <c r="AW976" t="s">
        <v>2365</v>
      </c>
      <c r="AX976" t="s">
        <v>2365</v>
      </c>
      <c r="AY976" t="s">
        <v>2365</v>
      </c>
      <c r="AZ976" t="s">
        <v>2365</v>
      </c>
      <c r="BA976" t="s">
        <v>2365</v>
      </c>
      <c r="BB976" t="s">
        <v>2365</v>
      </c>
      <c r="BC976" t="s">
        <v>2365</v>
      </c>
      <c r="BD976" t="s">
        <v>2366</v>
      </c>
      <c r="BE976" t="s">
        <v>2365</v>
      </c>
      <c r="BF976" t="s">
        <v>2365</v>
      </c>
      <c r="BG976" t="s">
        <v>2365</v>
      </c>
      <c r="BH976" t="s">
        <v>2365</v>
      </c>
      <c r="BI976" t="s">
        <v>2366</v>
      </c>
      <c r="BJ976" t="s">
        <v>2365</v>
      </c>
      <c r="BK976" t="s">
        <v>2365</v>
      </c>
      <c r="BL976" t="s">
        <v>2365</v>
      </c>
      <c r="BM976" t="s">
        <v>2365</v>
      </c>
      <c r="BO976">
        <v>1</v>
      </c>
      <c r="BP976">
        <v>11</v>
      </c>
      <c r="BQ976" t="s">
        <v>2369</v>
      </c>
      <c r="BR976" t="s">
        <v>1487</v>
      </c>
      <c r="BU976">
        <v>0</v>
      </c>
      <c r="BV976">
        <v>0</v>
      </c>
      <c r="BW976">
        <v>0</v>
      </c>
      <c r="BX976">
        <v>0</v>
      </c>
      <c r="BY976">
        <v>0</v>
      </c>
      <c r="BZ976">
        <v>0</v>
      </c>
      <c r="CA976">
        <v>0</v>
      </c>
      <c r="CB976">
        <v>0</v>
      </c>
      <c r="CC976">
        <v>0</v>
      </c>
      <c r="CD976">
        <v>0</v>
      </c>
      <c r="CE976">
        <v>0</v>
      </c>
      <c r="CF976">
        <v>0</v>
      </c>
      <c r="CG976">
        <v>0</v>
      </c>
      <c r="CH976">
        <v>0</v>
      </c>
      <c r="CI976">
        <v>0</v>
      </c>
      <c r="CJ976">
        <v>0</v>
      </c>
      <c r="CK976">
        <v>0</v>
      </c>
      <c r="CL976">
        <v>0</v>
      </c>
      <c r="CM976">
        <v>0</v>
      </c>
      <c r="CR976" t="s">
        <v>2330</v>
      </c>
      <c r="CS976" s="1369" t="str">
        <f>INDEX([8]Sheet1!$H:$H,MATCH(CR:CR,[8]Sheet1!$AU:$AU,0))</f>
        <v>Water Treatment</v>
      </c>
    </row>
    <row r="977" spans="1:97" x14ac:dyDescent="0.2">
      <c r="A977" t="s">
        <v>3815</v>
      </c>
      <c r="B977">
        <v>1038</v>
      </c>
      <c r="C977" t="s">
        <v>3815</v>
      </c>
      <c r="D977">
        <v>30261</v>
      </c>
      <c r="E977" t="s">
        <v>3729</v>
      </c>
      <c r="F977" t="s">
        <v>2364</v>
      </c>
      <c r="G977" t="s">
        <v>2364</v>
      </c>
      <c r="H977" t="s">
        <v>2365</v>
      </c>
      <c r="I977" t="s">
        <v>2365</v>
      </c>
      <c r="J977" t="s">
        <v>2365</v>
      </c>
      <c r="K977" t="s">
        <v>2365</v>
      </c>
      <c r="L977">
        <v>1200</v>
      </c>
      <c r="M977" t="s">
        <v>1480</v>
      </c>
      <c r="N977">
        <v>1204</v>
      </c>
      <c r="O977" t="s">
        <v>1487</v>
      </c>
      <c r="P977" t="s">
        <v>2366</v>
      </c>
      <c r="Q977" t="s">
        <v>2364</v>
      </c>
      <c r="R977" t="s">
        <v>2364</v>
      </c>
      <c r="S977" t="s">
        <v>553</v>
      </c>
      <c r="T977" t="s">
        <v>2175</v>
      </c>
      <c r="U977">
        <v>140</v>
      </c>
      <c r="V977" t="s">
        <v>693</v>
      </c>
      <c r="W977">
        <v>140</v>
      </c>
      <c r="X977" t="s">
        <v>693</v>
      </c>
      <c r="Y977" t="s">
        <v>2365</v>
      </c>
      <c r="Z977" t="s">
        <v>2365</v>
      </c>
      <c r="AA977" t="s">
        <v>2365</v>
      </c>
      <c r="AB977" t="s">
        <v>2365</v>
      </c>
      <c r="AC977" s="813" t="s">
        <v>2365</v>
      </c>
      <c r="AD977" s="813" t="s">
        <v>2365</v>
      </c>
      <c r="AE977" s="813" t="s">
        <v>2365</v>
      </c>
      <c r="AF977" t="s">
        <v>2365</v>
      </c>
      <c r="AG977" t="s">
        <v>2365</v>
      </c>
      <c r="AH977" t="s">
        <v>2365</v>
      </c>
      <c r="AI977" t="s">
        <v>2365</v>
      </c>
      <c r="AJ977" t="s">
        <v>2365</v>
      </c>
      <c r="AK977" t="s">
        <v>2366</v>
      </c>
      <c r="AL977" t="s">
        <v>2366</v>
      </c>
      <c r="AM977" t="s">
        <v>2366</v>
      </c>
      <c r="AN977" t="s">
        <v>2366</v>
      </c>
      <c r="AR977" t="s">
        <v>2365</v>
      </c>
      <c r="AS977" t="s">
        <v>2365</v>
      </c>
      <c r="AT977" t="s">
        <v>2365</v>
      </c>
      <c r="AU977" t="s">
        <v>2365</v>
      </c>
      <c r="AV977" t="s">
        <v>2365</v>
      </c>
      <c r="AW977" t="s">
        <v>2365</v>
      </c>
      <c r="AX977" t="s">
        <v>2365</v>
      </c>
      <c r="AY977" t="s">
        <v>2365</v>
      </c>
      <c r="AZ977" t="s">
        <v>2365</v>
      </c>
      <c r="BA977" t="s">
        <v>2365</v>
      </c>
      <c r="BB977" t="s">
        <v>2365</v>
      </c>
      <c r="BC977" t="s">
        <v>2365</v>
      </c>
      <c r="BD977" t="s">
        <v>2366</v>
      </c>
      <c r="BE977" t="s">
        <v>2365</v>
      </c>
      <c r="BF977" t="s">
        <v>2365</v>
      </c>
      <c r="BG977" t="s">
        <v>2365</v>
      </c>
      <c r="BH977" t="s">
        <v>2365</v>
      </c>
      <c r="BI977" t="s">
        <v>2366</v>
      </c>
      <c r="BJ977" t="s">
        <v>2365</v>
      </c>
      <c r="BK977" t="s">
        <v>2365</v>
      </c>
      <c r="BL977" t="s">
        <v>2365</v>
      </c>
      <c r="BM977" t="s">
        <v>2365</v>
      </c>
      <c r="BO977">
        <v>1</v>
      </c>
      <c r="BP977">
        <v>11</v>
      </c>
      <c r="BQ977" t="s">
        <v>2369</v>
      </c>
      <c r="BR977" t="s">
        <v>1487</v>
      </c>
      <c r="BU977">
        <v>0</v>
      </c>
      <c r="BV977">
        <v>0</v>
      </c>
      <c r="BW977">
        <v>0</v>
      </c>
      <c r="BX977">
        <v>0</v>
      </c>
      <c r="BY977" s="1371">
        <v>0</v>
      </c>
      <c r="BZ977" s="1371">
        <v>0</v>
      </c>
      <c r="CA977">
        <v>0</v>
      </c>
      <c r="CB977">
        <v>0</v>
      </c>
      <c r="CC977">
        <v>0</v>
      </c>
      <c r="CD977">
        <v>0</v>
      </c>
      <c r="CE977">
        <v>0</v>
      </c>
      <c r="CF977">
        <v>0</v>
      </c>
      <c r="CG977">
        <v>0</v>
      </c>
      <c r="CH977">
        <v>0</v>
      </c>
      <c r="CI977">
        <v>0</v>
      </c>
      <c r="CJ977">
        <v>0</v>
      </c>
      <c r="CK977">
        <v>0</v>
      </c>
      <c r="CL977">
        <v>0</v>
      </c>
      <c r="CM977">
        <v>0</v>
      </c>
      <c r="CR977" t="s">
        <v>2332</v>
      </c>
      <c r="CS977" s="1369" t="str">
        <f>INDEX([8]Sheet1!$H:$H,MATCH(CR:CR,[8]Sheet1!$AU:$AU,0))</f>
        <v>Water Storage</v>
      </c>
    </row>
    <row r="978" spans="1:97" x14ac:dyDescent="0.2">
      <c r="A978" t="s">
        <v>3816</v>
      </c>
      <c r="B978">
        <v>1039</v>
      </c>
      <c r="C978" t="s">
        <v>3816</v>
      </c>
      <c r="D978">
        <v>30262</v>
      </c>
      <c r="E978" t="s">
        <v>3649</v>
      </c>
      <c r="F978" t="s">
        <v>2364</v>
      </c>
      <c r="G978" t="s">
        <v>2364</v>
      </c>
      <c r="H978" t="s">
        <v>2365</v>
      </c>
      <c r="I978" t="s">
        <v>2365</v>
      </c>
      <c r="J978" t="s">
        <v>2365</v>
      </c>
      <c r="K978" t="s">
        <v>2365</v>
      </c>
      <c r="L978">
        <v>1200</v>
      </c>
      <c r="M978" t="s">
        <v>1480</v>
      </c>
      <c r="N978">
        <v>1204</v>
      </c>
      <c r="O978" t="s">
        <v>1487</v>
      </c>
      <c r="P978" t="s">
        <v>2366</v>
      </c>
      <c r="Q978" t="s">
        <v>2364</v>
      </c>
      <c r="R978" t="s">
        <v>2364</v>
      </c>
      <c r="S978" t="s">
        <v>553</v>
      </c>
      <c r="T978" t="s">
        <v>2175</v>
      </c>
      <c r="U978" t="s">
        <v>2366</v>
      </c>
      <c r="V978" t="s">
        <v>2366</v>
      </c>
      <c r="W978" t="s">
        <v>2366</v>
      </c>
      <c r="X978" t="s">
        <v>2366</v>
      </c>
      <c r="Y978" t="s">
        <v>2365</v>
      </c>
      <c r="Z978" t="s">
        <v>2365</v>
      </c>
      <c r="AA978" t="s">
        <v>2365</v>
      </c>
      <c r="AB978" t="s">
        <v>2365</v>
      </c>
      <c r="AC978" s="813" t="s">
        <v>2365</v>
      </c>
      <c r="AD978" s="813" t="s">
        <v>2365</v>
      </c>
      <c r="AE978" s="813" t="s">
        <v>2365</v>
      </c>
      <c r="AF978" t="s">
        <v>2365</v>
      </c>
      <c r="AG978" t="s">
        <v>2365</v>
      </c>
      <c r="AH978" t="s">
        <v>2365</v>
      </c>
      <c r="AI978" t="s">
        <v>2365</v>
      </c>
      <c r="AJ978" t="s">
        <v>2365</v>
      </c>
      <c r="AK978">
        <v>146</v>
      </c>
      <c r="AL978" t="s">
        <v>1199</v>
      </c>
      <c r="AM978">
        <v>146</v>
      </c>
      <c r="AN978" t="s">
        <v>1199</v>
      </c>
      <c r="AR978" t="s">
        <v>2365</v>
      </c>
      <c r="AS978" t="s">
        <v>2365</v>
      </c>
      <c r="AT978" t="s">
        <v>2365</v>
      </c>
      <c r="AU978" t="s">
        <v>2365</v>
      </c>
      <c r="AV978" t="s">
        <v>2365</v>
      </c>
      <c r="AW978" t="s">
        <v>2365</v>
      </c>
      <c r="AX978" t="s">
        <v>2365</v>
      </c>
      <c r="AY978" t="s">
        <v>2365</v>
      </c>
      <c r="AZ978" t="s">
        <v>2365</v>
      </c>
      <c r="BA978" t="s">
        <v>2365</v>
      </c>
      <c r="BB978" t="s">
        <v>2365</v>
      </c>
      <c r="BC978" t="s">
        <v>2365</v>
      </c>
      <c r="BD978" t="s">
        <v>2366</v>
      </c>
      <c r="BE978" t="s">
        <v>2365</v>
      </c>
      <c r="BF978" t="s">
        <v>2365</v>
      </c>
      <c r="BG978" t="s">
        <v>2365</v>
      </c>
      <c r="BH978" t="s">
        <v>2365</v>
      </c>
      <c r="BI978" t="s">
        <v>2366</v>
      </c>
      <c r="BJ978" t="s">
        <v>2365</v>
      </c>
      <c r="BK978" t="s">
        <v>2365</v>
      </c>
      <c r="BL978" t="s">
        <v>2365</v>
      </c>
      <c r="BM978" t="s">
        <v>2365</v>
      </c>
      <c r="BO978">
        <v>1</v>
      </c>
      <c r="BP978">
        <v>11</v>
      </c>
      <c r="BQ978" t="s">
        <v>2369</v>
      </c>
      <c r="BR978" t="s">
        <v>1487</v>
      </c>
      <c r="BU978">
        <v>0</v>
      </c>
      <c r="BV978">
        <v>0</v>
      </c>
      <c r="BW978">
        <v>0</v>
      </c>
      <c r="BX978">
        <v>0</v>
      </c>
      <c r="BY978">
        <v>0</v>
      </c>
      <c r="BZ978">
        <v>0</v>
      </c>
      <c r="CA978">
        <v>0</v>
      </c>
      <c r="CB978">
        <v>0</v>
      </c>
      <c r="CC978">
        <v>0</v>
      </c>
      <c r="CD978">
        <v>0</v>
      </c>
      <c r="CE978">
        <v>0</v>
      </c>
      <c r="CF978">
        <v>0</v>
      </c>
      <c r="CG978">
        <v>0</v>
      </c>
      <c r="CH978">
        <v>0</v>
      </c>
      <c r="CI978">
        <v>0</v>
      </c>
      <c r="CJ978">
        <v>0</v>
      </c>
      <c r="CK978">
        <v>0</v>
      </c>
      <c r="CL978">
        <v>0</v>
      </c>
      <c r="CM978">
        <v>0</v>
      </c>
      <c r="CR978" t="s">
        <v>2332</v>
      </c>
      <c r="CS978" s="1369" t="str">
        <f>INDEX([8]Sheet1!$H:$H,MATCH(CR:CR,[8]Sheet1!$AU:$AU,0))</f>
        <v>Water Storage</v>
      </c>
    </row>
    <row r="979" spans="1:97" x14ac:dyDescent="0.2">
      <c r="A979" t="s">
        <v>3817</v>
      </c>
      <c r="B979">
        <v>1040</v>
      </c>
      <c r="C979" t="s">
        <v>3817</v>
      </c>
      <c r="D979">
        <v>30263</v>
      </c>
      <c r="E979" t="s">
        <v>3653</v>
      </c>
      <c r="F979" t="s">
        <v>2364</v>
      </c>
      <c r="G979" t="s">
        <v>2364</v>
      </c>
      <c r="H979" t="s">
        <v>2365</v>
      </c>
      <c r="I979" t="s">
        <v>2365</v>
      </c>
      <c r="J979" t="s">
        <v>2365</v>
      </c>
      <c r="K979" t="s">
        <v>2365</v>
      </c>
      <c r="L979">
        <v>1200</v>
      </c>
      <c r="M979" t="s">
        <v>1480</v>
      </c>
      <c r="N979">
        <v>1204</v>
      </c>
      <c r="O979" t="s">
        <v>1487</v>
      </c>
      <c r="P979" t="s">
        <v>2366</v>
      </c>
      <c r="Q979" t="s">
        <v>2364</v>
      </c>
      <c r="R979" t="s">
        <v>2364</v>
      </c>
      <c r="S979" t="s">
        <v>553</v>
      </c>
      <c r="T979" t="s">
        <v>2175</v>
      </c>
      <c r="U979" t="s">
        <v>2366</v>
      </c>
      <c r="V979" t="s">
        <v>2366</v>
      </c>
      <c r="W979" t="s">
        <v>2366</v>
      </c>
      <c r="X979" t="s">
        <v>2366</v>
      </c>
      <c r="Y979" t="s">
        <v>2365</v>
      </c>
      <c r="Z979" t="s">
        <v>2365</v>
      </c>
      <c r="AA979" t="s">
        <v>2365</v>
      </c>
      <c r="AB979" t="s">
        <v>2365</v>
      </c>
      <c r="AC979" s="813" t="s">
        <v>2365</v>
      </c>
      <c r="AD979" s="813" t="s">
        <v>2365</v>
      </c>
      <c r="AE979" s="813" t="s">
        <v>2365</v>
      </c>
      <c r="AF979" t="s">
        <v>2365</v>
      </c>
      <c r="AG979" t="s">
        <v>2365</v>
      </c>
      <c r="AH979" t="s">
        <v>2365</v>
      </c>
      <c r="AI979" t="s">
        <v>2365</v>
      </c>
      <c r="AJ979" t="s">
        <v>2365</v>
      </c>
      <c r="AK979">
        <v>146</v>
      </c>
      <c r="AL979" t="s">
        <v>1199</v>
      </c>
      <c r="AM979">
        <v>146</v>
      </c>
      <c r="AN979" t="s">
        <v>1199</v>
      </c>
      <c r="AR979" t="s">
        <v>2365</v>
      </c>
      <c r="AS979" t="s">
        <v>2365</v>
      </c>
      <c r="AT979" t="s">
        <v>2365</v>
      </c>
      <c r="AU979" t="s">
        <v>2365</v>
      </c>
      <c r="AV979" t="s">
        <v>2365</v>
      </c>
      <c r="AW979" t="s">
        <v>2365</v>
      </c>
      <c r="AX979" t="s">
        <v>2365</v>
      </c>
      <c r="AY979" t="s">
        <v>2365</v>
      </c>
      <c r="AZ979" t="s">
        <v>2365</v>
      </c>
      <c r="BA979" t="s">
        <v>2365</v>
      </c>
      <c r="BB979" t="s">
        <v>2365</v>
      </c>
      <c r="BC979" t="s">
        <v>2365</v>
      </c>
      <c r="BD979" t="s">
        <v>2366</v>
      </c>
      <c r="BE979" t="s">
        <v>2365</v>
      </c>
      <c r="BF979" t="s">
        <v>2365</v>
      </c>
      <c r="BG979" t="s">
        <v>2365</v>
      </c>
      <c r="BH979" t="s">
        <v>2365</v>
      </c>
      <c r="BI979" t="s">
        <v>2366</v>
      </c>
      <c r="BJ979" t="s">
        <v>2365</v>
      </c>
      <c r="BK979" t="s">
        <v>2365</v>
      </c>
      <c r="BL979" t="s">
        <v>2365</v>
      </c>
      <c r="BM979" t="s">
        <v>2365</v>
      </c>
      <c r="BO979">
        <v>1</v>
      </c>
      <c r="BP979">
        <v>11</v>
      </c>
      <c r="BQ979" t="s">
        <v>2369</v>
      </c>
      <c r="BR979" t="s">
        <v>1487</v>
      </c>
      <c r="BU979">
        <v>0</v>
      </c>
      <c r="BV979">
        <v>0</v>
      </c>
      <c r="BW979">
        <v>0</v>
      </c>
      <c r="BX979">
        <v>0</v>
      </c>
      <c r="BY979" s="1371">
        <v>0</v>
      </c>
      <c r="BZ979" s="1371">
        <v>0</v>
      </c>
      <c r="CA979">
        <v>0</v>
      </c>
      <c r="CB979">
        <v>0</v>
      </c>
      <c r="CC979">
        <v>0</v>
      </c>
      <c r="CD979">
        <v>0</v>
      </c>
      <c r="CE979">
        <v>0</v>
      </c>
      <c r="CF979">
        <v>0</v>
      </c>
      <c r="CG979">
        <v>0</v>
      </c>
      <c r="CH979">
        <v>0</v>
      </c>
      <c r="CI979">
        <v>0</v>
      </c>
      <c r="CJ979">
        <v>0</v>
      </c>
      <c r="CK979">
        <v>0</v>
      </c>
      <c r="CL979">
        <v>0</v>
      </c>
      <c r="CM979">
        <v>0</v>
      </c>
      <c r="CR979" t="s">
        <v>2328</v>
      </c>
      <c r="CS979" s="1369" t="str">
        <f>INDEX([8]Sheet1!$H:$H,MATCH(CR:CR,[8]Sheet1!$AU:$AU,0))</f>
        <v>Water Distribution</v>
      </c>
    </row>
    <row r="980" spans="1:97" x14ac:dyDescent="0.2">
      <c r="A980" t="s">
        <v>3818</v>
      </c>
      <c r="B980">
        <v>1041</v>
      </c>
      <c r="C980" t="s">
        <v>3818</v>
      </c>
      <c r="D980">
        <v>30264</v>
      </c>
      <c r="E980" t="s">
        <v>3687</v>
      </c>
      <c r="F980" t="s">
        <v>2364</v>
      </c>
      <c r="G980" t="s">
        <v>2364</v>
      </c>
      <c r="H980" t="s">
        <v>2365</v>
      </c>
      <c r="I980" t="s">
        <v>2365</v>
      </c>
      <c r="J980" t="s">
        <v>2365</v>
      </c>
      <c r="K980" t="s">
        <v>2365</v>
      </c>
      <c r="L980">
        <v>1200</v>
      </c>
      <c r="M980" t="s">
        <v>1480</v>
      </c>
      <c r="N980">
        <v>1204</v>
      </c>
      <c r="O980" t="s">
        <v>1487</v>
      </c>
      <c r="P980" t="s">
        <v>2366</v>
      </c>
      <c r="Q980" t="s">
        <v>2364</v>
      </c>
      <c r="R980" t="s">
        <v>2364</v>
      </c>
      <c r="S980" t="s">
        <v>553</v>
      </c>
      <c r="T980" t="s">
        <v>2175</v>
      </c>
      <c r="U980">
        <v>140</v>
      </c>
      <c r="V980" t="s">
        <v>693</v>
      </c>
      <c r="W980">
        <v>140</v>
      </c>
      <c r="X980" t="s">
        <v>693</v>
      </c>
      <c r="Y980" t="s">
        <v>2365</v>
      </c>
      <c r="Z980" t="s">
        <v>2365</v>
      </c>
      <c r="AA980" t="s">
        <v>2365</v>
      </c>
      <c r="AB980" t="s">
        <v>2365</v>
      </c>
      <c r="AC980" s="813" t="s">
        <v>2365</v>
      </c>
      <c r="AD980" s="813" t="s">
        <v>2365</v>
      </c>
      <c r="AE980" s="813" t="s">
        <v>2365</v>
      </c>
      <c r="AF980" t="s">
        <v>2365</v>
      </c>
      <c r="AG980" t="s">
        <v>2365</v>
      </c>
      <c r="AH980" t="s">
        <v>2365</v>
      </c>
      <c r="AI980" t="s">
        <v>2365</v>
      </c>
      <c r="AJ980" t="s">
        <v>2365</v>
      </c>
      <c r="AK980" t="s">
        <v>2366</v>
      </c>
      <c r="AL980" t="s">
        <v>2366</v>
      </c>
      <c r="AM980" t="s">
        <v>2366</v>
      </c>
      <c r="AN980" t="s">
        <v>2366</v>
      </c>
      <c r="AR980" t="s">
        <v>2365</v>
      </c>
      <c r="AS980" t="s">
        <v>2365</v>
      </c>
      <c r="AT980" t="s">
        <v>2365</v>
      </c>
      <c r="AU980" t="s">
        <v>2365</v>
      </c>
      <c r="AV980" t="s">
        <v>2365</v>
      </c>
      <c r="AW980" t="s">
        <v>2365</v>
      </c>
      <c r="AX980" t="s">
        <v>2365</v>
      </c>
      <c r="AY980" t="s">
        <v>2365</v>
      </c>
      <c r="AZ980" t="s">
        <v>2365</v>
      </c>
      <c r="BA980" t="s">
        <v>2365</v>
      </c>
      <c r="BB980" t="s">
        <v>2365</v>
      </c>
      <c r="BC980" t="s">
        <v>2365</v>
      </c>
      <c r="BD980" t="s">
        <v>2366</v>
      </c>
      <c r="BE980" t="s">
        <v>2365</v>
      </c>
      <c r="BF980" t="s">
        <v>2365</v>
      </c>
      <c r="BG980" t="s">
        <v>2365</v>
      </c>
      <c r="BH980" t="s">
        <v>2365</v>
      </c>
      <c r="BI980" t="s">
        <v>2366</v>
      </c>
      <c r="BJ980" t="s">
        <v>2365</v>
      </c>
      <c r="BK980" t="s">
        <v>2365</v>
      </c>
      <c r="BL980" t="s">
        <v>2365</v>
      </c>
      <c r="BM980" t="s">
        <v>2365</v>
      </c>
      <c r="BO980">
        <v>1</v>
      </c>
      <c r="BP980">
        <v>11</v>
      </c>
      <c r="BQ980" t="s">
        <v>2369</v>
      </c>
      <c r="BR980" t="s">
        <v>1487</v>
      </c>
      <c r="BU980">
        <v>0</v>
      </c>
      <c r="BV980">
        <v>0</v>
      </c>
      <c r="BW980">
        <v>0</v>
      </c>
      <c r="BX980">
        <v>0</v>
      </c>
      <c r="BY980" s="1371">
        <v>0</v>
      </c>
      <c r="BZ980" s="1371">
        <v>0</v>
      </c>
      <c r="CA980">
        <v>0</v>
      </c>
      <c r="CB980">
        <v>0</v>
      </c>
      <c r="CC980">
        <v>0</v>
      </c>
      <c r="CD980">
        <v>0</v>
      </c>
      <c r="CE980">
        <v>0</v>
      </c>
      <c r="CF980">
        <v>0</v>
      </c>
      <c r="CG980">
        <v>0</v>
      </c>
      <c r="CH980">
        <v>0</v>
      </c>
      <c r="CI980">
        <v>0</v>
      </c>
      <c r="CJ980">
        <v>0</v>
      </c>
      <c r="CK980">
        <v>0</v>
      </c>
      <c r="CL980">
        <v>0</v>
      </c>
      <c r="CM980">
        <v>0</v>
      </c>
      <c r="CR980" t="s">
        <v>2327</v>
      </c>
      <c r="CS980" s="1369" t="str">
        <f>INDEX([8]Sheet1!$H:$H,MATCH(CR:CR,[8]Sheet1!$AU:$AU,0))</f>
        <v>Education</v>
      </c>
    </row>
    <row r="981" spans="1:97" x14ac:dyDescent="0.2">
      <c r="A981" t="s">
        <v>3819</v>
      </c>
      <c r="B981">
        <v>1042</v>
      </c>
      <c r="C981" t="s">
        <v>3819</v>
      </c>
      <c r="D981">
        <v>30265</v>
      </c>
      <c r="E981" t="s">
        <v>3691</v>
      </c>
      <c r="F981" t="s">
        <v>2364</v>
      </c>
      <c r="G981" t="s">
        <v>2364</v>
      </c>
      <c r="H981" t="s">
        <v>2365</v>
      </c>
      <c r="I981" t="s">
        <v>2365</v>
      </c>
      <c r="J981" t="s">
        <v>2365</v>
      </c>
      <c r="K981" t="s">
        <v>2365</v>
      </c>
      <c r="L981">
        <v>1200</v>
      </c>
      <c r="M981" t="s">
        <v>1480</v>
      </c>
      <c r="N981">
        <v>1204</v>
      </c>
      <c r="O981" t="s">
        <v>1487</v>
      </c>
      <c r="P981" t="s">
        <v>2366</v>
      </c>
      <c r="Q981" t="s">
        <v>2364</v>
      </c>
      <c r="R981" t="s">
        <v>2364</v>
      </c>
      <c r="S981" t="s">
        <v>553</v>
      </c>
      <c r="T981" t="s">
        <v>2175</v>
      </c>
      <c r="U981">
        <v>140</v>
      </c>
      <c r="V981" t="s">
        <v>693</v>
      </c>
      <c r="W981">
        <v>140</v>
      </c>
      <c r="X981" t="s">
        <v>693</v>
      </c>
      <c r="Y981" t="s">
        <v>2365</v>
      </c>
      <c r="Z981" t="s">
        <v>2365</v>
      </c>
      <c r="AA981" t="s">
        <v>2365</v>
      </c>
      <c r="AB981" t="s">
        <v>2365</v>
      </c>
      <c r="AC981" s="813" t="s">
        <v>2365</v>
      </c>
      <c r="AD981" s="813" t="s">
        <v>2365</v>
      </c>
      <c r="AE981" s="813" t="s">
        <v>2365</v>
      </c>
      <c r="AF981" t="s">
        <v>2365</v>
      </c>
      <c r="AG981" t="s">
        <v>2365</v>
      </c>
      <c r="AH981" t="s">
        <v>2365</v>
      </c>
      <c r="AI981" t="s">
        <v>2365</v>
      </c>
      <c r="AJ981" t="s">
        <v>2365</v>
      </c>
      <c r="AK981" t="s">
        <v>2366</v>
      </c>
      <c r="AL981" t="s">
        <v>2366</v>
      </c>
      <c r="AM981" t="s">
        <v>2366</v>
      </c>
      <c r="AN981" t="s">
        <v>2366</v>
      </c>
      <c r="AR981" t="s">
        <v>2365</v>
      </c>
      <c r="AS981" t="s">
        <v>2365</v>
      </c>
      <c r="AT981" t="s">
        <v>2365</v>
      </c>
      <c r="AU981" t="s">
        <v>2365</v>
      </c>
      <c r="AV981" t="s">
        <v>2365</v>
      </c>
      <c r="AW981" t="s">
        <v>2365</v>
      </c>
      <c r="AX981" t="s">
        <v>2365</v>
      </c>
      <c r="AY981" t="s">
        <v>2365</v>
      </c>
      <c r="AZ981" t="s">
        <v>2365</v>
      </c>
      <c r="BA981" t="s">
        <v>2365</v>
      </c>
      <c r="BB981" t="s">
        <v>2365</v>
      </c>
      <c r="BC981" t="s">
        <v>2365</v>
      </c>
      <c r="BD981" t="s">
        <v>2366</v>
      </c>
      <c r="BE981" t="s">
        <v>2365</v>
      </c>
      <c r="BF981" t="s">
        <v>2365</v>
      </c>
      <c r="BG981" t="s">
        <v>2365</v>
      </c>
      <c r="BH981" t="s">
        <v>2365</v>
      </c>
      <c r="BI981" t="s">
        <v>2366</v>
      </c>
      <c r="BJ981" t="s">
        <v>2365</v>
      </c>
      <c r="BK981" t="s">
        <v>2365</v>
      </c>
      <c r="BL981" t="s">
        <v>2365</v>
      </c>
      <c r="BM981" t="s">
        <v>2365</v>
      </c>
      <c r="BO981">
        <v>1</v>
      </c>
      <c r="BP981">
        <v>11</v>
      </c>
      <c r="BQ981" t="s">
        <v>2369</v>
      </c>
      <c r="BR981" t="s">
        <v>1487</v>
      </c>
      <c r="BU981">
        <v>0</v>
      </c>
      <c r="BV981">
        <v>0</v>
      </c>
      <c r="BW981">
        <v>0</v>
      </c>
      <c r="BX981">
        <v>0</v>
      </c>
      <c r="BY981" s="1371">
        <v>0</v>
      </c>
      <c r="BZ981" s="1371">
        <v>0</v>
      </c>
      <c r="CA981">
        <v>0</v>
      </c>
      <c r="CB981">
        <v>0</v>
      </c>
      <c r="CC981">
        <v>0</v>
      </c>
      <c r="CD981">
        <v>0</v>
      </c>
      <c r="CE981">
        <v>0</v>
      </c>
      <c r="CF981">
        <v>0</v>
      </c>
      <c r="CG981">
        <v>0</v>
      </c>
      <c r="CH981">
        <v>0</v>
      </c>
      <c r="CI981">
        <v>0</v>
      </c>
      <c r="CJ981">
        <v>0</v>
      </c>
      <c r="CK981">
        <v>0</v>
      </c>
      <c r="CL981">
        <v>0</v>
      </c>
      <c r="CM981">
        <v>0</v>
      </c>
      <c r="CR981" t="s">
        <v>2327</v>
      </c>
      <c r="CS981" s="1369" t="str">
        <f>INDEX([8]Sheet1!$H:$H,MATCH(CR:CR,[8]Sheet1!$AU:$AU,0))</f>
        <v>Education</v>
      </c>
    </row>
    <row r="982" spans="1:97" x14ac:dyDescent="0.2">
      <c r="A982" t="s">
        <v>3820</v>
      </c>
      <c r="B982">
        <v>1043</v>
      </c>
      <c r="C982" t="s">
        <v>3820</v>
      </c>
      <c r="D982">
        <v>30266</v>
      </c>
      <c r="E982" t="s">
        <v>3695</v>
      </c>
      <c r="F982" t="s">
        <v>2364</v>
      </c>
      <c r="G982" t="s">
        <v>2364</v>
      </c>
      <c r="H982" t="s">
        <v>2365</v>
      </c>
      <c r="I982" t="s">
        <v>2365</v>
      </c>
      <c r="J982" t="s">
        <v>2365</v>
      </c>
      <c r="K982" t="s">
        <v>2365</v>
      </c>
      <c r="L982">
        <v>1200</v>
      </c>
      <c r="M982" t="s">
        <v>1480</v>
      </c>
      <c r="N982">
        <v>1204</v>
      </c>
      <c r="O982" t="s">
        <v>1487</v>
      </c>
      <c r="P982" t="s">
        <v>2366</v>
      </c>
      <c r="Q982" t="s">
        <v>2364</v>
      </c>
      <c r="R982" t="s">
        <v>2364</v>
      </c>
      <c r="S982" t="s">
        <v>553</v>
      </c>
      <c r="T982" t="s">
        <v>2175</v>
      </c>
      <c r="U982">
        <v>140</v>
      </c>
      <c r="V982" t="s">
        <v>693</v>
      </c>
      <c r="W982">
        <v>140</v>
      </c>
      <c r="X982" t="s">
        <v>693</v>
      </c>
      <c r="Y982" t="s">
        <v>2365</v>
      </c>
      <c r="Z982" t="s">
        <v>2365</v>
      </c>
      <c r="AA982" t="s">
        <v>2365</v>
      </c>
      <c r="AB982" t="s">
        <v>2365</v>
      </c>
      <c r="AC982" s="813" t="s">
        <v>2365</v>
      </c>
      <c r="AD982" s="813" t="s">
        <v>2365</v>
      </c>
      <c r="AE982" s="813" t="s">
        <v>2365</v>
      </c>
      <c r="AF982" t="s">
        <v>2365</v>
      </c>
      <c r="AG982" t="s">
        <v>2365</v>
      </c>
      <c r="AH982" t="s">
        <v>2365</v>
      </c>
      <c r="AI982" t="s">
        <v>2365</v>
      </c>
      <c r="AJ982" t="s">
        <v>2365</v>
      </c>
      <c r="AK982">
        <v>147</v>
      </c>
      <c r="AL982" t="s">
        <v>1200</v>
      </c>
      <c r="AM982">
        <v>147</v>
      </c>
      <c r="AN982" t="s">
        <v>1200</v>
      </c>
      <c r="AR982" t="s">
        <v>2365</v>
      </c>
      <c r="AS982" t="s">
        <v>2365</v>
      </c>
      <c r="AT982" t="s">
        <v>2365</v>
      </c>
      <c r="AU982" t="s">
        <v>2365</v>
      </c>
      <c r="AV982" t="s">
        <v>2365</v>
      </c>
      <c r="AW982" t="s">
        <v>2365</v>
      </c>
      <c r="AX982" t="s">
        <v>2365</v>
      </c>
      <c r="AY982" t="s">
        <v>2365</v>
      </c>
      <c r="AZ982" t="s">
        <v>2365</v>
      </c>
      <c r="BA982" t="s">
        <v>2365</v>
      </c>
      <c r="BB982" t="s">
        <v>2365</v>
      </c>
      <c r="BC982" t="s">
        <v>2365</v>
      </c>
      <c r="BD982" t="s">
        <v>2366</v>
      </c>
      <c r="BE982" t="s">
        <v>2365</v>
      </c>
      <c r="BF982" t="s">
        <v>2365</v>
      </c>
      <c r="BG982" t="s">
        <v>2365</v>
      </c>
      <c r="BH982" t="s">
        <v>2365</v>
      </c>
      <c r="BI982" t="s">
        <v>2366</v>
      </c>
      <c r="BJ982" t="s">
        <v>2365</v>
      </c>
      <c r="BK982" t="s">
        <v>2365</v>
      </c>
      <c r="BL982" t="s">
        <v>2365</v>
      </c>
      <c r="BM982" t="s">
        <v>2365</v>
      </c>
      <c r="BO982">
        <v>1</v>
      </c>
      <c r="BP982">
        <v>11</v>
      </c>
      <c r="BQ982" t="s">
        <v>2369</v>
      </c>
      <c r="BR982" t="s">
        <v>1487</v>
      </c>
      <c r="BU982">
        <v>0</v>
      </c>
      <c r="BV982">
        <v>0</v>
      </c>
      <c r="BW982">
        <v>0</v>
      </c>
      <c r="BX982">
        <v>0</v>
      </c>
      <c r="BY982">
        <v>0</v>
      </c>
      <c r="BZ982">
        <v>0</v>
      </c>
      <c r="CA982">
        <v>0</v>
      </c>
      <c r="CB982">
        <v>0</v>
      </c>
      <c r="CC982">
        <v>0</v>
      </c>
      <c r="CD982">
        <v>0</v>
      </c>
      <c r="CE982">
        <v>0</v>
      </c>
      <c r="CF982">
        <v>0</v>
      </c>
      <c r="CG982">
        <v>0</v>
      </c>
      <c r="CH982">
        <v>0</v>
      </c>
      <c r="CI982">
        <v>0</v>
      </c>
      <c r="CJ982">
        <v>0</v>
      </c>
      <c r="CK982">
        <v>0</v>
      </c>
      <c r="CL982">
        <v>0</v>
      </c>
      <c r="CM982">
        <v>0</v>
      </c>
      <c r="CR982" t="s">
        <v>2327</v>
      </c>
      <c r="CS982" s="1369" t="str">
        <f>INDEX([8]Sheet1!$H:$H,MATCH(CR:CR,[8]Sheet1!$AU:$AU,0))</f>
        <v>Education</v>
      </c>
    </row>
    <row r="983" spans="1:97" x14ac:dyDescent="0.2">
      <c r="A983" t="s">
        <v>3821</v>
      </c>
      <c r="B983">
        <v>1044</v>
      </c>
      <c r="C983" t="s">
        <v>3821</v>
      </c>
      <c r="D983">
        <v>30267</v>
      </c>
      <c r="E983" t="s">
        <v>3699</v>
      </c>
      <c r="F983" t="s">
        <v>2364</v>
      </c>
      <c r="G983" t="s">
        <v>2364</v>
      </c>
      <c r="H983" t="s">
        <v>2365</v>
      </c>
      <c r="I983" t="s">
        <v>2365</v>
      </c>
      <c r="J983" t="s">
        <v>2365</v>
      </c>
      <c r="K983" t="s">
        <v>2365</v>
      </c>
      <c r="L983">
        <v>1200</v>
      </c>
      <c r="M983" t="s">
        <v>1480</v>
      </c>
      <c r="N983">
        <v>1204</v>
      </c>
      <c r="O983" t="s">
        <v>1487</v>
      </c>
      <c r="P983" t="s">
        <v>2366</v>
      </c>
      <c r="Q983" t="s">
        <v>2364</v>
      </c>
      <c r="R983" t="s">
        <v>2364</v>
      </c>
      <c r="S983" t="s">
        <v>553</v>
      </c>
      <c r="T983" t="s">
        <v>2175</v>
      </c>
      <c r="U983">
        <v>140</v>
      </c>
      <c r="V983" t="s">
        <v>693</v>
      </c>
      <c r="W983">
        <v>140</v>
      </c>
      <c r="X983" t="s">
        <v>693</v>
      </c>
      <c r="Y983" t="s">
        <v>2365</v>
      </c>
      <c r="Z983" t="s">
        <v>2365</v>
      </c>
      <c r="AA983" t="s">
        <v>2365</v>
      </c>
      <c r="AB983" t="s">
        <v>2365</v>
      </c>
      <c r="AC983" s="813" t="s">
        <v>2365</v>
      </c>
      <c r="AD983" s="813" t="s">
        <v>2365</v>
      </c>
      <c r="AE983" s="813" t="s">
        <v>2365</v>
      </c>
      <c r="AF983" t="s">
        <v>2365</v>
      </c>
      <c r="AG983" t="s">
        <v>2365</v>
      </c>
      <c r="AH983" t="s">
        <v>2365</v>
      </c>
      <c r="AI983" t="s">
        <v>2365</v>
      </c>
      <c r="AJ983" t="s">
        <v>2365</v>
      </c>
      <c r="AK983" t="s">
        <v>2366</v>
      </c>
      <c r="AL983" t="s">
        <v>2366</v>
      </c>
      <c r="AM983" t="s">
        <v>2366</v>
      </c>
      <c r="AN983" t="s">
        <v>2366</v>
      </c>
      <c r="AR983" t="s">
        <v>2365</v>
      </c>
      <c r="AS983" t="s">
        <v>2365</v>
      </c>
      <c r="AT983" t="s">
        <v>2365</v>
      </c>
      <c r="AU983" t="s">
        <v>2365</v>
      </c>
      <c r="AV983" t="s">
        <v>2365</v>
      </c>
      <c r="AW983" t="s">
        <v>2365</v>
      </c>
      <c r="AX983" t="s">
        <v>2365</v>
      </c>
      <c r="AY983" t="s">
        <v>2365</v>
      </c>
      <c r="AZ983" t="s">
        <v>2365</v>
      </c>
      <c r="BA983" t="s">
        <v>2365</v>
      </c>
      <c r="BB983" t="s">
        <v>2365</v>
      </c>
      <c r="BC983" t="s">
        <v>2365</v>
      </c>
      <c r="BD983" t="s">
        <v>2366</v>
      </c>
      <c r="BE983" t="s">
        <v>2365</v>
      </c>
      <c r="BF983" t="s">
        <v>2365</v>
      </c>
      <c r="BG983" t="s">
        <v>2365</v>
      </c>
      <c r="BH983" t="s">
        <v>2365</v>
      </c>
      <c r="BI983" t="s">
        <v>2366</v>
      </c>
      <c r="BJ983" t="s">
        <v>2365</v>
      </c>
      <c r="BK983" t="s">
        <v>2365</v>
      </c>
      <c r="BL983" t="s">
        <v>2365</v>
      </c>
      <c r="BM983" t="s">
        <v>2365</v>
      </c>
      <c r="BO983">
        <v>1</v>
      </c>
      <c r="BP983">
        <v>11</v>
      </c>
      <c r="BQ983" t="s">
        <v>2369</v>
      </c>
      <c r="BR983" t="s">
        <v>1487</v>
      </c>
      <c r="BU983">
        <v>0</v>
      </c>
      <c r="BV983">
        <v>0</v>
      </c>
      <c r="BW983">
        <v>0</v>
      </c>
      <c r="BX983">
        <v>0</v>
      </c>
      <c r="BY983" s="1371">
        <v>0</v>
      </c>
      <c r="BZ983" s="1371">
        <v>0</v>
      </c>
      <c r="CA983">
        <v>0</v>
      </c>
      <c r="CB983">
        <v>0</v>
      </c>
      <c r="CC983">
        <v>0</v>
      </c>
      <c r="CD983">
        <v>0</v>
      </c>
      <c r="CE983">
        <v>0</v>
      </c>
      <c r="CF983">
        <v>0</v>
      </c>
      <c r="CG983">
        <v>0</v>
      </c>
      <c r="CH983">
        <v>0</v>
      </c>
      <c r="CI983">
        <v>0</v>
      </c>
      <c r="CJ983">
        <v>0</v>
      </c>
      <c r="CK983">
        <v>0</v>
      </c>
      <c r="CL983">
        <v>0</v>
      </c>
      <c r="CM983">
        <v>0</v>
      </c>
      <c r="CR983" t="s">
        <v>2327</v>
      </c>
      <c r="CS983" s="1369" t="str">
        <f>INDEX([8]Sheet1!$H:$H,MATCH(CR:CR,[8]Sheet1!$AU:$AU,0))</f>
        <v>Education</v>
      </c>
    </row>
    <row r="984" spans="1:97" x14ac:dyDescent="0.2">
      <c r="A984" t="s">
        <v>3822</v>
      </c>
      <c r="B984">
        <v>1045</v>
      </c>
      <c r="C984" t="s">
        <v>3822</v>
      </c>
      <c r="D984">
        <v>30268</v>
      </c>
      <c r="E984" t="s">
        <v>3703</v>
      </c>
      <c r="F984" t="s">
        <v>2364</v>
      </c>
      <c r="G984" t="s">
        <v>2364</v>
      </c>
      <c r="H984" t="s">
        <v>2365</v>
      </c>
      <c r="I984" t="s">
        <v>2365</v>
      </c>
      <c r="J984" t="s">
        <v>2365</v>
      </c>
      <c r="K984" t="s">
        <v>2365</v>
      </c>
      <c r="L984">
        <v>1200</v>
      </c>
      <c r="M984" t="s">
        <v>1480</v>
      </c>
      <c r="N984">
        <v>1204</v>
      </c>
      <c r="O984" t="s">
        <v>1487</v>
      </c>
      <c r="P984" t="s">
        <v>2366</v>
      </c>
      <c r="Q984" t="s">
        <v>2364</v>
      </c>
      <c r="R984" t="s">
        <v>2364</v>
      </c>
      <c r="S984" t="s">
        <v>553</v>
      </c>
      <c r="T984" t="s">
        <v>2175</v>
      </c>
      <c r="U984">
        <v>140</v>
      </c>
      <c r="V984" t="s">
        <v>693</v>
      </c>
      <c r="W984">
        <v>140</v>
      </c>
      <c r="X984" t="s">
        <v>693</v>
      </c>
      <c r="Y984" t="s">
        <v>2365</v>
      </c>
      <c r="Z984" t="s">
        <v>2365</v>
      </c>
      <c r="AA984" t="s">
        <v>2365</v>
      </c>
      <c r="AB984" t="s">
        <v>2365</v>
      </c>
      <c r="AC984" s="813" t="s">
        <v>2365</v>
      </c>
      <c r="AD984" s="813" t="s">
        <v>2365</v>
      </c>
      <c r="AE984" s="813" t="s">
        <v>2365</v>
      </c>
      <c r="AF984" t="s">
        <v>2365</v>
      </c>
      <c r="AG984" t="s">
        <v>2365</v>
      </c>
      <c r="AH984" t="s">
        <v>2365</v>
      </c>
      <c r="AI984" t="s">
        <v>2365</v>
      </c>
      <c r="AJ984" t="s">
        <v>2365</v>
      </c>
      <c r="AK984" t="s">
        <v>2366</v>
      </c>
      <c r="AL984" t="s">
        <v>2366</v>
      </c>
      <c r="AM984" t="s">
        <v>2366</v>
      </c>
      <c r="AN984" t="s">
        <v>2366</v>
      </c>
      <c r="AR984" t="s">
        <v>2365</v>
      </c>
      <c r="AS984" t="s">
        <v>2365</v>
      </c>
      <c r="AT984" t="s">
        <v>2365</v>
      </c>
      <c r="AU984" t="s">
        <v>2365</v>
      </c>
      <c r="AV984" t="s">
        <v>2365</v>
      </c>
      <c r="AW984" t="s">
        <v>2365</v>
      </c>
      <c r="AX984" t="s">
        <v>2365</v>
      </c>
      <c r="AY984" t="s">
        <v>2365</v>
      </c>
      <c r="AZ984" t="s">
        <v>2365</v>
      </c>
      <c r="BA984" t="s">
        <v>2365</v>
      </c>
      <c r="BB984" t="s">
        <v>2365</v>
      </c>
      <c r="BC984" t="s">
        <v>2365</v>
      </c>
      <c r="BD984" t="s">
        <v>2366</v>
      </c>
      <c r="BE984" t="s">
        <v>2365</v>
      </c>
      <c r="BF984" t="s">
        <v>2365</v>
      </c>
      <c r="BG984" t="s">
        <v>2365</v>
      </c>
      <c r="BH984" t="s">
        <v>2365</v>
      </c>
      <c r="BI984" t="s">
        <v>2366</v>
      </c>
      <c r="BJ984" t="s">
        <v>2365</v>
      </c>
      <c r="BK984" t="s">
        <v>2365</v>
      </c>
      <c r="BL984" t="s">
        <v>2365</v>
      </c>
      <c r="BM984" t="s">
        <v>2365</v>
      </c>
      <c r="BO984">
        <v>1</v>
      </c>
      <c r="BP984">
        <v>11</v>
      </c>
      <c r="BQ984" t="s">
        <v>2369</v>
      </c>
      <c r="BR984" t="s">
        <v>1487</v>
      </c>
      <c r="BU984">
        <v>0</v>
      </c>
      <c r="BV984">
        <v>0</v>
      </c>
      <c r="BW984">
        <v>0</v>
      </c>
      <c r="BX984">
        <v>0</v>
      </c>
      <c r="BY984" s="1371">
        <v>0</v>
      </c>
      <c r="BZ984" s="1371">
        <v>0</v>
      </c>
      <c r="CA984">
        <v>0</v>
      </c>
      <c r="CB984">
        <v>0</v>
      </c>
      <c r="CC984">
        <v>0</v>
      </c>
      <c r="CD984">
        <v>0</v>
      </c>
      <c r="CE984">
        <v>0</v>
      </c>
      <c r="CF984">
        <v>0</v>
      </c>
      <c r="CG984">
        <v>0</v>
      </c>
      <c r="CH984">
        <v>0</v>
      </c>
      <c r="CI984">
        <v>0</v>
      </c>
      <c r="CJ984">
        <v>0</v>
      </c>
      <c r="CK984">
        <v>0</v>
      </c>
      <c r="CL984">
        <v>0</v>
      </c>
      <c r="CM984">
        <v>0</v>
      </c>
      <c r="CR984" t="s">
        <v>2327</v>
      </c>
      <c r="CS984" s="1369" t="str">
        <f>INDEX([8]Sheet1!$H:$H,MATCH(CR:CR,[8]Sheet1!$AU:$AU,0))</f>
        <v>Education</v>
      </c>
    </row>
    <row r="985" spans="1:97" x14ac:dyDescent="0.2">
      <c r="A985" t="s">
        <v>3823</v>
      </c>
      <c r="B985">
        <v>1046</v>
      </c>
      <c r="C985" t="s">
        <v>3823</v>
      </c>
      <c r="D985">
        <v>30269</v>
      </c>
      <c r="E985" t="s">
        <v>3707</v>
      </c>
      <c r="F985" t="s">
        <v>2364</v>
      </c>
      <c r="G985" t="s">
        <v>2364</v>
      </c>
      <c r="H985" t="s">
        <v>2365</v>
      </c>
      <c r="I985" t="s">
        <v>2365</v>
      </c>
      <c r="J985" t="s">
        <v>2365</v>
      </c>
      <c r="K985" t="s">
        <v>2365</v>
      </c>
      <c r="L985">
        <v>1200</v>
      </c>
      <c r="M985" t="s">
        <v>1480</v>
      </c>
      <c r="N985">
        <v>1204</v>
      </c>
      <c r="O985" t="s">
        <v>1487</v>
      </c>
      <c r="P985" t="s">
        <v>2366</v>
      </c>
      <c r="Q985" t="s">
        <v>2364</v>
      </c>
      <c r="R985" t="s">
        <v>2364</v>
      </c>
      <c r="S985" t="s">
        <v>553</v>
      </c>
      <c r="T985" t="s">
        <v>2175</v>
      </c>
      <c r="U985">
        <v>140</v>
      </c>
      <c r="V985" t="s">
        <v>693</v>
      </c>
      <c r="W985">
        <v>140</v>
      </c>
      <c r="X985" t="s">
        <v>693</v>
      </c>
      <c r="Y985" t="s">
        <v>2365</v>
      </c>
      <c r="Z985" t="s">
        <v>2365</v>
      </c>
      <c r="AA985" t="s">
        <v>2365</v>
      </c>
      <c r="AB985" t="s">
        <v>2365</v>
      </c>
      <c r="AC985" s="813" t="s">
        <v>2365</v>
      </c>
      <c r="AD985" s="813" t="s">
        <v>2365</v>
      </c>
      <c r="AE985" s="813" t="s">
        <v>2365</v>
      </c>
      <c r="AF985" t="s">
        <v>2365</v>
      </c>
      <c r="AG985" t="s">
        <v>2365</v>
      </c>
      <c r="AH985" t="s">
        <v>2365</v>
      </c>
      <c r="AI985" t="s">
        <v>2365</v>
      </c>
      <c r="AJ985" t="s">
        <v>2365</v>
      </c>
      <c r="AK985" t="s">
        <v>2366</v>
      </c>
      <c r="AL985" t="s">
        <v>2366</v>
      </c>
      <c r="AM985" t="s">
        <v>2366</v>
      </c>
      <c r="AN985" t="s">
        <v>2366</v>
      </c>
      <c r="AR985" t="s">
        <v>2365</v>
      </c>
      <c r="AS985" t="s">
        <v>2365</v>
      </c>
      <c r="AT985" t="s">
        <v>2365</v>
      </c>
      <c r="AU985" t="s">
        <v>2365</v>
      </c>
      <c r="AV985" t="s">
        <v>2365</v>
      </c>
      <c r="AW985" t="s">
        <v>2365</v>
      </c>
      <c r="AX985" t="s">
        <v>2365</v>
      </c>
      <c r="AY985" t="s">
        <v>2365</v>
      </c>
      <c r="AZ985" t="s">
        <v>2365</v>
      </c>
      <c r="BA985" t="s">
        <v>2365</v>
      </c>
      <c r="BB985" t="s">
        <v>2365</v>
      </c>
      <c r="BC985" t="s">
        <v>2365</v>
      </c>
      <c r="BD985" t="s">
        <v>2366</v>
      </c>
      <c r="BE985" t="s">
        <v>2365</v>
      </c>
      <c r="BF985" t="s">
        <v>2365</v>
      </c>
      <c r="BG985" t="s">
        <v>2365</v>
      </c>
      <c r="BH985" t="s">
        <v>2365</v>
      </c>
      <c r="BI985" t="s">
        <v>2366</v>
      </c>
      <c r="BJ985" t="s">
        <v>2365</v>
      </c>
      <c r="BK985" t="s">
        <v>2365</v>
      </c>
      <c r="BL985" t="s">
        <v>2365</v>
      </c>
      <c r="BM985" t="s">
        <v>2365</v>
      </c>
      <c r="BO985">
        <v>1</v>
      </c>
      <c r="BP985">
        <v>11</v>
      </c>
      <c r="BQ985" t="s">
        <v>2369</v>
      </c>
      <c r="BR985" t="s">
        <v>1487</v>
      </c>
      <c r="BU985">
        <v>0</v>
      </c>
      <c r="BV985">
        <v>0</v>
      </c>
      <c r="BW985">
        <v>0</v>
      </c>
      <c r="BX985">
        <v>0</v>
      </c>
      <c r="BY985">
        <v>0</v>
      </c>
      <c r="BZ985">
        <v>0</v>
      </c>
      <c r="CA985">
        <v>0</v>
      </c>
      <c r="CB985">
        <v>0</v>
      </c>
      <c r="CC985">
        <v>0</v>
      </c>
      <c r="CD985">
        <v>0</v>
      </c>
      <c r="CE985">
        <v>0</v>
      </c>
      <c r="CF985">
        <v>0</v>
      </c>
      <c r="CG985">
        <v>0</v>
      </c>
      <c r="CH985">
        <v>0</v>
      </c>
      <c r="CI985">
        <v>0</v>
      </c>
      <c r="CJ985">
        <v>0</v>
      </c>
      <c r="CK985">
        <v>0</v>
      </c>
      <c r="CL985">
        <v>0</v>
      </c>
      <c r="CM985">
        <v>0</v>
      </c>
      <c r="CR985" t="s">
        <v>2327</v>
      </c>
      <c r="CS985" s="1369" t="str">
        <f>INDEX([8]Sheet1!$H:$H,MATCH(CR:CR,[8]Sheet1!$AU:$AU,0))</f>
        <v>Education</v>
      </c>
    </row>
    <row r="986" spans="1:97" x14ac:dyDescent="0.2">
      <c r="A986" t="s">
        <v>3824</v>
      </c>
      <c r="B986">
        <v>1047</v>
      </c>
      <c r="C986" t="s">
        <v>3824</v>
      </c>
      <c r="D986">
        <v>30270</v>
      </c>
      <c r="E986" t="s">
        <v>3825</v>
      </c>
      <c r="F986" t="s">
        <v>2364</v>
      </c>
      <c r="G986" t="s">
        <v>2364</v>
      </c>
      <c r="H986" t="s">
        <v>2365</v>
      </c>
      <c r="I986" t="s">
        <v>2365</v>
      </c>
      <c r="J986" t="s">
        <v>2365</v>
      </c>
      <c r="K986" t="s">
        <v>2365</v>
      </c>
      <c r="L986">
        <v>1200</v>
      </c>
      <c r="M986" t="s">
        <v>1480</v>
      </c>
      <c r="N986">
        <v>1204</v>
      </c>
      <c r="O986" t="s">
        <v>1487</v>
      </c>
      <c r="P986" t="s">
        <v>2366</v>
      </c>
      <c r="Q986" t="s">
        <v>2364</v>
      </c>
      <c r="R986" t="s">
        <v>2364</v>
      </c>
      <c r="S986" t="s">
        <v>553</v>
      </c>
      <c r="T986" t="s">
        <v>2175</v>
      </c>
      <c r="U986" t="s">
        <v>2366</v>
      </c>
      <c r="V986" t="s">
        <v>2366</v>
      </c>
      <c r="W986" t="s">
        <v>2366</v>
      </c>
      <c r="X986" t="s">
        <v>2366</v>
      </c>
      <c r="Y986" t="s">
        <v>2365</v>
      </c>
      <c r="Z986" t="s">
        <v>2365</v>
      </c>
      <c r="AA986" t="s">
        <v>2365</v>
      </c>
      <c r="AB986" t="s">
        <v>2365</v>
      </c>
      <c r="AC986" s="813" t="s">
        <v>2365</v>
      </c>
      <c r="AD986" s="813" t="s">
        <v>2365</v>
      </c>
      <c r="AE986" s="813" t="s">
        <v>2365</v>
      </c>
      <c r="AF986" t="s">
        <v>2365</v>
      </c>
      <c r="AG986" t="s">
        <v>2365</v>
      </c>
      <c r="AH986" t="s">
        <v>2365</v>
      </c>
      <c r="AI986" t="s">
        <v>2365</v>
      </c>
      <c r="AJ986" t="s">
        <v>2365</v>
      </c>
      <c r="AK986">
        <v>146</v>
      </c>
      <c r="AL986" t="s">
        <v>1199</v>
      </c>
      <c r="AM986">
        <v>146</v>
      </c>
      <c r="AN986" t="s">
        <v>1199</v>
      </c>
      <c r="AR986" t="s">
        <v>2365</v>
      </c>
      <c r="AS986" t="s">
        <v>2365</v>
      </c>
      <c r="AT986" t="s">
        <v>2365</v>
      </c>
      <c r="AU986" t="s">
        <v>2365</v>
      </c>
      <c r="AV986" t="s">
        <v>2365</v>
      </c>
      <c r="AW986" t="s">
        <v>2365</v>
      </c>
      <c r="AX986" t="s">
        <v>2365</v>
      </c>
      <c r="AY986" t="s">
        <v>2365</v>
      </c>
      <c r="AZ986" t="s">
        <v>2365</v>
      </c>
      <c r="BA986" t="s">
        <v>2365</v>
      </c>
      <c r="BB986" t="s">
        <v>2365</v>
      </c>
      <c r="BC986" t="s">
        <v>2365</v>
      </c>
      <c r="BD986" t="s">
        <v>2366</v>
      </c>
      <c r="BE986" t="s">
        <v>2365</v>
      </c>
      <c r="BF986" t="s">
        <v>2365</v>
      </c>
      <c r="BG986" t="s">
        <v>2365</v>
      </c>
      <c r="BH986" t="s">
        <v>2365</v>
      </c>
      <c r="BI986" t="s">
        <v>2366</v>
      </c>
      <c r="BJ986" t="s">
        <v>2365</v>
      </c>
      <c r="BK986" t="s">
        <v>2365</v>
      </c>
      <c r="BL986" t="s">
        <v>2365</v>
      </c>
      <c r="BM986" t="s">
        <v>2365</v>
      </c>
      <c r="BO986">
        <v>1</v>
      </c>
      <c r="BP986">
        <v>11</v>
      </c>
      <c r="BQ986" t="s">
        <v>2369</v>
      </c>
      <c r="BR986" t="s">
        <v>1487</v>
      </c>
      <c r="BU986">
        <v>0</v>
      </c>
      <c r="BV986">
        <v>0</v>
      </c>
      <c r="BW986">
        <v>0</v>
      </c>
      <c r="BX986">
        <v>0</v>
      </c>
      <c r="BY986">
        <v>0</v>
      </c>
      <c r="BZ986">
        <v>0</v>
      </c>
      <c r="CA986">
        <v>0</v>
      </c>
      <c r="CB986">
        <v>0</v>
      </c>
      <c r="CC986">
        <v>0</v>
      </c>
      <c r="CD986">
        <v>0</v>
      </c>
      <c r="CE986">
        <v>0</v>
      </c>
      <c r="CF986">
        <v>0</v>
      </c>
      <c r="CG986">
        <v>0</v>
      </c>
      <c r="CH986">
        <v>0</v>
      </c>
      <c r="CI986">
        <v>0</v>
      </c>
      <c r="CJ986">
        <v>0</v>
      </c>
      <c r="CK986">
        <v>0</v>
      </c>
      <c r="CL986">
        <v>0</v>
      </c>
      <c r="CM986">
        <v>0</v>
      </c>
      <c r="CR986" t="s">
        <v>2327</v>
      </c>
      <c r="CS986" s="1369" t="str">
        <f>INDEX([8]Sheet1!$H:$H,MATCH(CR:CR,[8]Sheet1!$AU:$AU,0))</f>
        <v>Education</v>
      </c>
    </row>
    <row r="987" spans="1:97" x14ac:dyDescent="0.2">
      <c r="A987" t="s">
        <v>3826</v>
      </c>
      <c r="B987">
        <v>1048</v>
      </c>
      <c r="C987" t="s">
        <v>3826</v>
      </c>
      <c r="D987">
        <v>30271</v>
      </c>
      <c r="E987" t="s">
        <v>3827</v>
      </c>
      <c r="F987" t="s">
        <v>2364</v>
      </c>
      <c r="G987" t="s">
        <v>2364</v>
      </c>
      <c r="H987" t="s">
        <v>2365</v>
      </c>
      <c r="I987" t="s">
        <v>2365</v>
      </c>
      <c r="J987" t="s">
        <v>2365</v>
      </c>
      <c r="K987" t="s">
        <v>2365</v>
      </c>
      <c r="L987">
        <v>1200</v>
      </c>
      <c r="M987" t="s">
        <v>1480</v>
      </c>
      <c r="N987">
        <v>1204</v>
      </c>
      <c r="O987" t="s">
        <v>1487</v>
      </c>
      <c r="P987" t="s">
        <v>2366</v>
      </c>
      <c r="Q987" t="s">
        <v>2364</v>
      </c>
      <c r="R987" t="s">
        <v>2364</v>
      </c>
      <c r="S987" t="s">
        <v>553</v>
      </c>
      <c r="T987" t="s">
        <v>2175</v>
      </c>
      <c r="U987" t="s">
        <v>2366</v>
      </c>
      <c r="V987" t="s">
        <v>2366</v>
      </c>
      <c r="W987" t="s">
        <v>2366</v>
      </c>
      <c r="X987" t="s">
        <v>2366</v>
      </c>
      <c r="Y987" t="s">
        <v>2365</v>
      </c>
      <c r="Z987" t="s">
        <v>2365</v>
      </c>
      <c r="AA987" t="s">
        <v>2365</v>
      </c>
      <c r="AB987" t="s">
        <v>2365</v>
      </c>
      <c r="AC987" s="813" t="s">
        <v>2365</v>
      </c>
      <c r="AD987" s="813" t="s">
        <v>2365</v>
      </c>
      <c r="AE987" s="813" t="s">
        <v>2365</v>
      </c>
      <c r="AF987" t="s">
        <v>2365</v>
      </c>
      <c r="AG987" t="s">
        <v>2365</v>
      </c>
      <c r="AH987" t="s">
        <v>2365</v>
      </c>
      <c r="AI987" t="s">
        <v>2365</v>
      </c>
      <c r="AJ987" t="s">
        <v>2365</v>
      </c>
      <c r="AK987">
        <v>146</v>
      </c>
      <c r="AL987" t="s">
        <v>1199</v>
      </c>
      <c r="AM987">
        <v>146</v>
      </c>
      <c r="AN987" t="s">
        <v>1199</v>
      </c>
      <c r="AR987" t="s">
        <v>2365</v>
      </c>
      <c r="AS987" t="s">
        <v>2365</v>
      </c>
      <c r="AT987" t="s">
        <v>2365</v>
      </c>
      <c r="AU987" t="s">
        <v>2365</v>
      </c>
      <c r="AV987" t="s">
        <v>2365</v>
      </c>
      <c r="AW987" t="s">
        <v>2365</v>
      </c>
      <c r="AX987" t="s">
        <v>2365</v>
      </c>
      <c r="AY987" t="s">
        <v>2365</v>
      </c>
      <c r="AZ987" t="s">
        <v>2365</v>
      </c>
      <c r="BA987" t="s">
        <v>2365</v>
      </c>
      <c r="BB987" t="s">
        <v>2365</v>
      </c>
      <c r="BC987" t="s">
        <v>2365</v>
      </c>
      <c r="BD987" t="s">
        <v>2366</v>
      </c>
      <c r="BE987" t="s">
        <v>2365</v>
      </c>
      <c r="BF987" t="s">
        <v>2365</v>
      </c>
      <c r="BG987" t="s">
        <v>2365</v>
      </c>
      <c r="BH987" t="s">
        <v>2365</v>
      </c>
      <c r="BI987" t="s">
        <v>2366</v>
      </c>
      <c r="BJ987" t="s">
        <v>2365</v>
      </c>
      <c r="BK987" t="s">
        <v>2365</v>
      </c>
      <c r="BL987" t="s">
        <v>2365</v>
      </c>
      <c r="BM987" t="s">
        <v>2365</v>
      </c>
      <c r="BO987">
        <v>1</v>
      </c>
      <c r="BP987">
        <v>11</v>
      </c>
      <c r="BQ987" t="s">
        <v>2369</v>
      </c>
      <c r="BR987" t="s">
        <v>1487</v>
      </c>
      <c r="BU987">
        <v>0</v>
      </c>
      <c r="BV987">
        <v>0</v>
      </c>
      <c r="BW987">
        <v>0</v>
      </c>
      <c r="BX987">
        <v>0</v>
      </c>
      <c r="BY987">
        <v>0</v>
      </c>
      <c r="BZ987">
        <v>0</v>
      </c>
      <c r="CA987">
        <v>0</v>
      </c>
      <c r="CB987">
        <v>0</v>
      </c>
      <c r="CC987">
        <v>0</v>
      </c>
      <c r="CD987">
        <v>0</v>
      </c>
      <c r="CE987">
        <v>0</v>
      </c>
      <c r="CF987">
        <v>0</v>
      </c>
      <c r="CG987">
        <v>0</v>
      </c>
      <c r="CH987">
        <v>0</v>
      </c>
      <c r="CI987">
        <v>0</v>
      </c>
      <c r="CJ987">
        <v>0</v>
      </c>
      <c r="CK987">
        <v>0</v>
      </c>
      <c r="CL987">
        <v>0</v>
      </c>
      <c r="CM987">
        <v>0</v>
      </c>
      <c r="CR987" t="s">
        <v>2327</v>
      </c>
      <c r="CS987" s="1369" t="str">
        <f>INDEX([8]Sheet1!$H:$H,MATCH(CR:CR,[8]Sheet1!$AU:$AU,0))</f>
        <v>Education</v>
      </c>
    </row>
    <row r="988" spans="1:97" x14ac:dyDescent="0.2">
      <c r="A988" t="s">
        <v>3828</v>
      </c>
      <c r="B988">
        <v>1049</v>
      </c>
      <c r="C988" t="s">
        <v>3828</v>
      </c>
      <c r="D988">
        <v>30272</v>
      </c>
      <c r="E988" t="s">
        <v>3829</v>
      </c>
      <c r="F988" t="s">
        <v>2364</v>
      </c>
      <c r="G988" t="s">
        <v>2364</v>
      </c>
      <c r="H988" t="s">
        <v>2365</v>
      </c>
      <c r="I988" t="s">
        <v>2365</v>
      </c>
      <c r="J988" t="s">
        <v>2365</v>
      </c>
      <c r="K988" t="s">
        <v>2365</v>
      </c>
      <c r="L988">
        <v>1200</v>
      </c>
      <c r="M988" t="s">
        <v>1480</v>
      </c>
      <c r="N988">
        <v>1204</v>
      </c>
      <c r="O988" t="s">
        <v>1487</v>
      </c>
      <c r="P988" t="s">
        <v>2366</v>
      </c>
      <c r="Q988" t="s">
        <v>2364</v>
      </c>
      <c r="R988" t="s">
        <v>2364</v>
      </c>
      <c r="S988" t="s">
        <v>553</v>
      </c>
      <c r="T988" t="s">
        <v>2175</v>
      </c>
      <c r="U988">
        <v>140</v>
      </c>
      <c r="V988" t="s">
        <v>693</v>
      </c>
      <c r="W988">
        <v>140</v>
      </c>
      <c r="X988" t="s">
        <v>693</v>
      </c>
      <c r="Y988" t="s">
        <v>2365</v>
      </c>
      <c r="Z988" t="s">
        <v>2365</v>
      </c>
      <c r="AA988" t="s">
        <v>2365</v>
      </c>
      <c r="AB988" t="s">
        <v>2365</v>
      </c>
      <c r="AC988" s="813" t="s">
        <v>2365</v>
      </c>
      <c r="AD988" s="813" t="s">
        <v>2365</v>
      </c>
      <c r="AE988" s="813" t="s">
        <v>2365</v>
      </c>
      <c r="AF988" t="s">
        <v>2365</v>
      </c>
      <c r="AG988" t="s">
        <v>2365</v>
      </c>
      <c r="AH988" t="s">
        <v>2365</v>
      </c>
      <c r="AI988" t="s">
        <v>2365</v>
      </c>
      <c r="AJ988" t="s">
        <v>2365</v>
      </c>
      <c r="AK988" t="s">
        <v>2366</v>
      </c>
      <c r="AL988" t="s">
        <v>2366</v>
      </c>
      <c r="AM988" t="s">
        <v>2366</v>
      </c>
      <c r="AN988" t="s">
        <v>2366</v>
      </c>
      <c r="AR988" t="s">
        <v>2365</v>
      </c>
      <c r="AS988" t="s">
        <v>2365</v>
      </c>
      <c r="AT988" t="s">
        <v>2365</v>
      </c>
      <c r="AU988" t="s">
        <v>2365</v>
      </c>
      <c r="AV988" t="s">
        <v>2365</v>
      </c>
      <c r="AW988" t="s">
        <v>2365</v>
      </c>
      <c r="AX988" t="s">
        <v>2365</v>
      </c>
      <c r="AY988" t="s">
        <v>2365</v>
      </c>
      <c r="AZ988" t="s">
        <v>2365</v>
      </c>
      <c r="BA988" t="s">
        <v>2365</v>
      </c>
      <c r="BB988" t="s">
        <v>2365</v>
      </c>
      <c r="BC988" t="s">
        <v>2365</v>
      </c>
      <c r="BD988" t="s">
        <v>2366</v>
      </c>
      <c r="BE988" t="s">
        <v>2365</v>
      </c>
      <c r="BF988" t="s">
        <v>2365</v>
      </c>
      <c r="BG988" t="s">
        <v>2365</v>
      </c>
      <c r="BH988" t="s">
        <v>2365</v>
      </c>
      <c r="BI988" t="s">
        <v>2366</v>
      </c>
      <c r="BJ988" t="s">
        <v>2365</v>
      </c>
      <c r="BK988" t="s">
        <v>2365</v>
      </c>
      <c r="BL988" t="s">
        <v>2365</v>
      </c>
      <c r="BM988" t="s">
        <v>2365</v>
      </c>
      <c r="BO988">
        <v>1</v>
      </c>
      <c r="BP988">
        <v>11</v>
      </c>
      <c r="BQ988" t="s">
        <v>2369</v>
      </c>
      <c r="BR988" t="s">
        <v>1487</v>
      </c>
      <c r="BU988">
        <v>0</v>
      </c>
      <c r="BV988">
        <v>0</v>
      </c>
      <c r="BW988">
        <v>0</v>
      </c>
      <c r="BX988">
        <v>0</v>
      </c>
      <c r="BY988">
        <v>0</v>
      </c>
      <c r="BZ988">
        <v>0</v>
      </c>
      <c r="CA988">
        <v>0</v>
      </c>
      <c r="CB988">
        <v>0</v>
      </c>
      <c r="CC988">
        <v>0</v>
      </c>
      <c r="CD988">
        <v>0</v>
      </c>
      <c r="CE988">
        <v>0</v>
      </c>
      <c r="CF988">
        <v>0</v>
      </c>
      <c r="CG988">
        <v>0</v>
      </c>
      <c r="CH988">
        <v>0</v>
      </c>
      <c r="CI988">
        <v>0</v>
      </c>
      <c r="CJ988">
        <v>0</v>
      </c>
      <c r="CK988">
        <v>0</v>
      </c>
      <c r="CL988">
        <v>0</v>
      </c>
      <c r="CM988">
        <v>0</v>
      </c>
      <c r="CR988" t="s">
        <v>2340</v>
      </c>
      <c r="CS988" s="1369" t="str">
        <f>INDEX([8]Sheet1!$H:$H,MATCH(CR:CR,[8]Sheet1!$AU:$AU,0))</f>
        <v>Disaster Management</v>
      </c>
    </row>
    <row r="989" spans="1:97" x14ac:dyDescent="0.2">
      <c r="A989" t="s">
        <v>3830</v>
      </c>
      <c r="B989">
        <v>1050</v>
      </c>
      <c r="C989" t="s">
        <v>3830</v>
      </c>
      <c r="D989">
        <v>30273</v>
      </c>
      <c r="E989" t="s">
        <v>3831</v>
      </c>
      <c r="F989" t="s">
        <v>2364</v>
      </c>
      <c r="G989" t="s">
        <v>2364</v>
      </c>
      <c r="H989" t="s">
        <v>2365</v>
      </c>
      <c r="I989" t="s">
        <v>2365</v>
      </c>
      <c r="J989" t="s">
        <v>2365</v>
      </c>
      <c r="K989" t="s">
        <v>2365</v>
      </c>
      <c r="L989">
        <v>1200</v>
      </c>
      <c r="M989" t="s">
        <v>1480</v>
      </c>
      <c r="N989">
        <v>1204</v>
      </c>
      <c r="O989" t="s">
        <v>1487</v>
      </c>
      <c r="P989" t="s">
        <v>2366</v>
      </c>
      <c r="Q989" t="s">
        <v>2364</v>
      </c>
      <c r="R989" t="s">
        <v>2364</v>
      </c>
      <c r="S989" t="s">
        <v>553</v>
      </c>
      <c r="T989" t="s">
        <v>2175</v>
      </c>
      <c r="U989">
        <v>140</v>
      </c>
      <c r="V989" t="s">
        <v>693</v>
      </c>
      <c r="W989">
        <v>140</v>
      </c>
      <c r="X989" t="s">
        <v>693</v>
      </c>
      <c r="Y989" t="s">
        <v>2365</v>
      </c>
      <c r="Z989" t="s">
        <v>2365</v>
      </c>
      <c r="AA989" t="s">
        <v>2365</v>
      </c>
      <c r="AB989" t="s">
        <v>2365</v>
      </c>
      <c r="AC989" s="813" t="s">
        <v>2365</v>
      </c>
      <c r="AD989" s="813" t="s">
        <v>2365</v>
      </c>
      <c r="AE989" s="813" t="s">
        <v>2365</v>
      </c>
      <c r="AF989" t="s">
        <v>2365</v>
      </c>
      <c r="AG989" t="s">
        <v>2365</v>
      </c>
      <c r="AH989" t="s">
        <v>2365</v>
      </c>
      <c r="AI989" t="s">
        <v>2365</v>
      </c>
      <c r="AJ989" t="s">
        <v>2365</v>
      </c>
      <c r="AK989" t="s">
        <v>2366</v>
      </c>
      <c r="AL989" t="s">
        <v>2366</v>
      </c>
      <c r="AM989" t="s">
        <v>2366</v>
      </c>
      <c r="AN989" t="s">
        <v>2366</v>
      </c>
      <c r="AR989" t="s">
        <v>2365</v>
      </c>
      <c r="AS989" t="s">
        <v>2365</v>
      </c>
      <c r="AT989" t="s">
        <v>2365</v>
      </c>
      <c r="AU989" t="s">
        <v>2365</v>
      </c>
      <c r="AV989" t="s">
        <v>2365</v>
      </c>
      <c r="AW989" t="s">
        <v>2365</v>
      </c>
      <c r="AX989" t="s">
        <v>2365</v>
      </c>
      <c r="AY989" t="s">
        <v>2365</v>
      </c>
      <c r="AZ989" t="s">
        <v>2365</v>
      </c>
      <c r="BA989" t="s">
        <v>2365</v>
      </c>
      <c r="BB989" t="s">
        <v>2365</v>
      </c>
      <c r="BC989" t="s">
        <v>2365</v>
      </c>
      <c r="BD989" t="s">
        <v>2366</v>
      </c>
      <c r="BE989" t="s">
        <v>2365</v>
      </c>
      <c r="BF989" t="s">
        <v>2365</v>
      </c>
      <c r="BG989" t="s">
        <v>2365</v>
      </c>
      <c r="BH989" t="s">
        <v>2365</v>
      </c>
      <c r="BI989" t="s">
        <v>2366</v>
      </c>
      <c r="BJ989" t="s">
        <v>2365</v>
      </c>
      <c r="BK989" t="s">
        <v>2365</v>
      </c>
      <c r="BL989" t="s">
        <v>2365</v>
      </c>
      <c r="BM989" t="s">
        <v>2365</v>
      </c>
      <c r="BO989">
        <v>1</v>
      </c>
      <c r="BP989">
        <v>11</v>
      </c>
      <c r="BQ989" t="s">
        <v>2369</v>
      </c>
      <c r="BR989" t="s">
        <v>1487</v>
      </c>
      <c r="BU989">
        <v>0</v>
      </c>
      <c r="BV989">
        <v>0</v>
      </c>
      <c r="BW989">
        <v>0</v>
      </c>
      <c r="BX989">
        <v>0</v>
      </c>
      <c r="BY989" s="1371">
        <v>0</v>
      </c>
      <c r="BZ989" s="1371">
        <v>0</v>
      </c>
      <c r="CA989">
        <v>0</v>
      </c>
      <c r="CB989">
        <v>0</v>
      </c>
      <c r="CC989">
        <v>0</v>
      </c>
      <c r="CD989">
        <v>0</v>
      </c>
      <c r="CE989">
        <v>0</v>
      </c>
      <c r="CF989">
        <v>0</v>
      </c>
      <c r="CG989">
        <v>0</v>
      </c>
      <c r="CH989">
        <v>0</v>
      </c>
      <c r="CI989">
        <v>0</v>
      </c>
      <c r="CJ989">
        <v>0</v>
      </c>
      <c r="CK989">
        <v>0</v>
      </c>
      <c r="CL989">
        <v>0</v>
      </c>
      <c r="CM989">
        <v>0</v>
      </c>
      <c r="CR989" t="s">
        <v>2327</v>
      </c>
      <c r="CS989" s="1369" t="str">
        <f>INDEX([8]Sheet1!$H:$H,MATCH(CR:CR,[8]Sheet1!$AU:$AU,0))</f>
        <v>Education</v>
      </c>
    </row>
    <row r="990" spans="1:97" x14ac:dyDescent="0.2">
      <c r="A990" t="s">
        <v>3832</v>
      </c>
      <c r="B990">
        <v>1051</v>
      </c>
      <c r="C990" t="s">
        <v>3832</v>
      </c>
      <c r="D990">
        <v>30274</v>
      </c>
      <c r="E990" t="s">
        <v>3833</v>
      </c>
      <c r="F990" t="s">
        <v>2364</v>
      </c>
      <c r="G990" t="s">
        <v>2364</v>
      </c>
      <c r="H990" t="s">
        <v>2365</v>
      </c>
      <c r="I990" t="s">
        <v>2365</v>
      </c>
      <c r="J990" t="s">
        <v>2365</v>
      </c>
      <c r="K990" t="s">
        <v>2365</v>
      </c>
      <c r="L990">
        <v>1200</v>
      </c>
      <c r="M990" t="s">
        <v>1480</v>
      </c>
      <c r="N990">
        <v>1204</v>
      </c>
      <c r="O990" t="s">
        <v>1487</v>
      </c>
      <c r="P990" t="s">
        <v>2366</v>
      </c>
      <c r="Q990" t="s">
        <v>2364</v>
      </c>
      <c r="R990" t="s">
        <v>2364</v>
      </c>
      <c r="S990" t="s">
        <v>553</v>
      </c>
      <c r="T990" t="s">
        <v>2175</v>
      </c>
      <c r="U990">
        <v>140</v>
      </c>
      <c r="V990" t="s">
        <v>693</v>
      </c>
      <c r="W990">
        <v>140</v>
      </c>
      <c r="X990" t="s">
        <v>693</v>
      </c>
      <c r="Y990" t="s">
        <v>2365</v>
      </c>
      <c r="Z990" t="s">
        <v>2365</v>
      </c>
      <c r="AA990" t="s">
        <v>2365</v>
      </c>
      <c r="AB990" t="s">
        <v>2365</v>
      </c>
      <c r="AC990" s="813" t="s">
        <v>2365</v>
      </c>
      <c r="AD990" s="813" t="s">
        <v>2365</v>
      </c>
      <c r="AE990" s="813" t="s">
        <v>2365</v>
      </c>
      <c r="AF990" t="s">
        <v>2365</v>
      </c>
      <c r="AG990" t="s">
        <v>2365</v>
      </c>
      <c r="AH990" t="s">
        <v>2365</v>
      </c>
      <c r="AI990" t="s">
        <v>2365</v>
      </c>
      <c r="AJ990" t="s">
        <v>2365</v>
      </c>
      <c r="AK990">
        <v>147</v>
      </c>
      <c r="AL990" t="s">
        <v>1200</v>
      </c>
      <c r="AM990">
        <v>147</v>
      </c>
      <c r="AN990" t="s">
        <v>1200</v>
      </c>
      <c r="AR990" t="s">
        <v>2365</v>
      </c>
      <c r="AS990" t="s">
        <v>2365</v>
      </c>
      <c r="AT990" t="s">
        <v>2365</v>
      </c>
      <c r="AU990" t="s">
        <v>2365</v>
      </c>
      <c r="AV990" t="s">
        <v>2365</v>
      </c>
      <c r="AW990" t="s">
        <v>2365</v>
      </c>
      <c r="AX990" t="s">
        <v>2365</v>
      </c>
      <c r="AY990" t="s">
        <v>2365</v>
      </c>
      <c r="AZ990" t="s">
        <v>2365</v>
      </c>
      <c r="BA990" t="s">
        <v>2365</v>
      </c>
      <c r="BB990" t="s">
        <v>2365</v>
      </c>
      <c r="BC990" t="s">
        <v>2365</v>
      </c>
      <c r="BD990" t="s">
        <v>2366</v>
      </c>
      <c r="BE990" t="s">
        <v>2365</v>
      </c>
      <c r="BF990" t="s">
        <v>2365</v>
      </c>
      <c r="BG990" t="s">
        <v>2365</v>
      </c>
      <c r="BH990" t="s">
        <v>2365</v>
      </c>
      <c r="BI990" t="s">
        <v>2366</v>
      </c>
      <c r="BJ990" t="s">
        <v>2365</v>
      </c>
      <c r="BK990" t="s">
        <v>2365</v>
      </c>
      <c r="BL990" t="s">
        <v>2365</v>
      </c>
      <c r="BM990" t="s">
        <v>2365</v>
      </c>
      <c r="BO990">
        <v>1</v>
      </c>
      <c r="BP990">
        <v>11</v>
      </c>
      <c r="BQ990" t="s">
        <v>2369</v>
      </c>
      <c r="BR990" t="s">
        <v>1487</v>
      </c>
      <c r="BU990">
        <v>0</v>
      </c>
      <c r="BV990">
        <v>0</v>
      </c>
      <c r="BW990">
        <v>0</v>
      </c>
      <c r="BX990">
        <v>0</v>
      </c>
      <c r="BY990" s="1371">
        <v>0</v>
      </c>
      <c r="BZ990" s="1371">
        <v>0</v>
      </c>
      <c r="CA990">
        <v>0</v>
      </c>
      <c r="CB990">
        <v>0</v>
      </c>
      <c r="CC990">
        <v>0</v>
      </c>
      <c r="CD990">
        <v>0</v>
      </c>
      <c r="CE990">
        <v>0</v>
      </c>
      <c r="CF990">
        <v>0</v>
      </c>
      <c r="CG990">
        <v>0</v>
      </c>
      <c r="CH990">
        <v>0</v>
      </c>
      <c r="CI990">
        <v>0</v>
      </c>
      <c r="CJ990">
        <v>0</v>
      </c>
      <c r="CK990">
        <v>0</v>
      </c>
      <c r="CL990">
        <v>0</v>
      </c>
      <c r="CM990">
        <v>0</v>
      </c>
      <c r="CR990" t="s">
        <v>2340</v>
      </c>
      <c r="CS990" s="1369" t="str">
        <f>INDEX([8]Sheet1!$H:$H,MATCH(CR:CR,[8]Sheet1!$AU:$AU,0))</f>
        <v>Disaster Management</v>
      </c>
    </row>
    <row r="991" spans="1:97" x14ac:dyDescent="0.2">
      <c r="A991" t="s">
        <v>3834</v>
      </c>
      <c r="B991">
        <v>1052</v>
      </c>
      <c r="C991" t="s">
        <v>3834</v>
      </c>
      <c r="D991">
        <v>30275</v>
      </c>
      <c r="E991" t="s">
        <v>3835</v>
      </c>
      <c r="F991" t="s">
        <v>2364</v>
      </c>
      <c r="G991" t="s">
        <v>2364</v>
      </c>
      <c r="H991" t="s">
        <v>2365</v>
      </c>
      <c r="I991" t="s">
        <v>2365</v>
      </c>
      <c r="J991" t="s">
        <v>2365</v>
      </c>
      <c r="K991" t="s">
        <v>2365</v>
      </c>
      <c r="L991">
        <v>1200</v>
      </c>
      <c r="M991" t="s">
        <v>1480</v>
      </c>
      <c r="N991">
        <v>1204</v>
      </c>
      <c r="O991" t="s">
        <v>1487</v>
      </c>
      <c r="P991" t="s">
        <v>2366</v>
      </c>
      <c r="Q991" t="s">
        <v>2364</v>
      </c>
      <c r="R991" t="s">
        <v>2364</v>
      </c>
      <c r="S991" t="s">
        <v>553</v>
      </c>
      <c r="T991" t="s">
        <v>2175</v>
      </c>
      <c r="U991">
        <v>140</v>
      </c>
      <c r="V991" t="s">
        <v>693</v>
      </c>
      <c r="W991">
        <v>140</v>
      </c>
      <c r="X991" t="s">
        <v>693</v>
      </c>
      <c r="Y991" t="s">
        <v>2365</v>
      </c>
      <c r="Z991" t="s">
        <v>2365</v>
      </c>
      <c r="AA991" t="s">
        <v>2365</v>
      </c>
      <c r="AB991" t="s">
        <v>2365</v>
      </c>
      <c r="AC991" s="813" t="s">
        <v>2365</v>
      </c>
      <c r="AD991" s="813" t="s">
        <v>2365</v>
      </c>
      <c r="AE991" s="813" t="s">
        <v>2365</v>
      </c>
      <c r="AF991" t="s">
        <v>2365</v>
      </c>
      <c r="AG991" t="s">
        <v>2365</v>
      </c>
      <c r="AH991" t="s">
        <v>2365</v>
      </c>
      <c r="AI991" t="s">
        <v>2365</v>
      </c>
      <c r="AJ991" t="s">
        <v>2365</v>
      </c>
      <c r="AK991" t="s">
        <v>2366</v>
      </c>
      <c r="AL991" t="s">
        <v>2366</v>
      </c>
      <c r="AM991" t="s">
        <v>2366</v>
      </c>
      <c r="AN991" t="s">
        <v>2366</v>
      </c>
      <c r="AR991" t="s">
        <v>2365</v>
      </c>
      <c r="AS991" t="s">
        <v>2365</v>
      </c>
      <c r="AT991" t="s">
        <v>2365</v>
      </c>
      <c r="AU991" t="s">
        <v>2365</v>
      </c>
      <c r="AV991" t="s">
        <v>2365</v>
      </c>
      <c r="AW991" t="s">
        <v>2365</v>
      </c>
      <c r="AX991" t="s">
        <v>2365</v>
      </c>
      <c r="AY991" t="s">
        <v>2365</v>
      </c>
      <c r="AZ991" t="s">
        <v>2365</v>
      </c>
      <c r="BA991" t="s">
        <v>2365</v>
      </c>
      <c r="BB991" t="s">
        <v>2365</v>
      </c>
      <c r="BC991" t="s">
        <v>2365</v>
      </c>
      <c r="BD991" t="s">
        <v>2366</v>
      </c>
      <c r="BE991" t="s">
        <v>2365</v>
      </c>
      <c r="BF991" t="s">
        <v>2365</v>
      </c>
      <c r="BG991" t="s">
        <v>2365</v>
      </c>
      <c r="BH991" t="s">
        <v>2365</v>
      </c>
      <c r="BI991" t="s">
        <v>2366</v>
      </c>
      <c r="BJ991" t="s">
        <v>2365</v>
      </c>
      <c r="BK991" t="s">
        <v>2365</v>
      </c>
      <c r="BL991" t="s">
        <v>2365</v>
      </c>
      <c r="BM991" t="s">
        <v>2365</v>
      </c>
      <c r="BO991">
        <v>1</v>
      </c>
      <c r="BP991">
        <v>11</v>
      </c>
      <c r="BQ991" t="s">
        <v>2369</v>
      </c>
      <c r="BR991" t="s">
        <v>1487</v>
      </c>
      <c r="BU991">
        <v>0</v>
      </c>
      <c r="BV991">
        <v>0</v>
      </c>
      <c r="BW991">
        <v>0</v>
      </c>
      <c r="BX991">
        <v>0</v>
      </c>
      <c r="BY991" s="1371">
        <v>0</v>
      </c>
      <c r="BZ991" s="1371">
        <v>0</v>
      </c>
      <c r="CA991">
        <v>0</v>
      </c>
      <c r="CB991">
        <v>0</v>
      </c>
      <c r="CC991">
        <v>0</v>
      </c>
      <c r="CD991">
        <v>0</v>
      </c>
      <c r="CE991">
        <v>0</v>
      </c>
      <c r="CF991">
        <v>0</v>
      </c>
      <c r="CG991">
        <v>0</v>
      </c>
      <c r="CH991">
        <v>0</v>
      </c>
      <c r="CI991">
        <v>0</v>
      </c>
      <c r="CJ991">
        <v>0</v>
      </c>
      <c r="CK991">
        <v>0</v>
      </c>
      <c r="CL991">
        <v>0</v>
      </c>
      <c r="CM991">
        <v>0</v>
      </c>
      <c r="CR991" t="s">
        <v>2348</v>
      </c>
      <c r="CS991" s="1369" t="str">
        <f>INDEX([8]Sheet1!$H:$H,MATCH(CR:CR,[8]Sheet1!$AU:$AU,0))</f>
        <v>Community Halls and Facilities</v>
      </c>
    </row>
    <row r="992" spans="1:97" x14ac:dyDescent="0.2">
      <c r="A992" t="s">
        <v>3836</v>
      </c>
      <c r="B992">
        <v>1053</v>
      </c>
      <c r="C992" t="s">
        <v>3836</v>
      </c>
      <c r="D992">
        <v>30276</v>
      </c>
      <c r="E992" t="s">
        <v>3837</v>
      </c>
      <c r="F992" t="s">
        <v>2364</v>
      </c>
      <c r="G992" t="s">
        <v>2364</v>
      </c>
      <c r="H992" t="s">
        <v>2365</v>
      </c>
      <c r="I992" t="s">
        <v>2365</v>
      </c>
      <c r="J992" t="s">
        <v>2365</v>
      </c>
      <c r="K992" t="s">
        <v>2365</v>
      </c>
      <c r="L992">
        <v>1200</v>
      </c>
      <c r="M992" t="s">
        <v>1480</v>
      </c>
      <c r="N992">
        <v>1204</v>
      </c>
      <c r="O992" t="s">
        <v>1487</v>
      </c>
      <c r="P992" t="s">
        <v>2366</v>
      </c>
      <c r="Q992" t="s">
        <v>2364</v>
      </c>
      <c r="R992" t="s">
        <v>2364</v>
      </c>
      <c r="S992" t="s">
        <v>553</v>
      </c>
      <c r="T992" t="s">
        <v>2175</v>
      </c>
      <c r="U992">
        <v>140</v>
      </c>
      <c r="V992" t="s">
        <v>693</v>
      </c>
      <c r="W992">
        <v>140</v>
      </c>
      <c r="X992" t="s">
        <v>693</v>
      </c>
      <c r="Y992" t="s">
        <v>2365</v>
      </c>
      <c r="Z992" t="s">
        <v>2365</v>
      </c>
      <c r="AA992" t="s">
        <v>2365</v>
      </c>
      <c r="AB992" t="s">
        <v>2365</v>
      </c>
      <c r="AC992" s="813" t="s">
        <v>2365</v>
      </c>
      <c r="AD992" s="813" t="s">
        <v>2365</v>
      </c>
      <c r="AE992" s="813" t="s">
        <v>2365</v>
      </c>
      <c r="AF992" t="s">
        <v>2365</v>
      </c>
      <c r="AG992" t="s">
        <v>2365</v>
      </c>
      <c r="AH992" t="s">
        <v>2365</v>
      </c>
      <c r="AI992" t="s">
        <v>2365</v>
      </c>
      <c r="AJ992" t="s">
        <v>2365</v>
      </c>
      <c r="AK992" t="s">
        <v>2366</v>
      </c>
      <c r="AL992" t="s">
        <v>2366</v>
      </c>
      <c r="AM992" t="s">
        <v>2366</v>
      </c>
      <c r="AN992" t="s">
        <v>2366</v>
      </c>
      <c r="AR992" t="s">
        <v>2365</v>
      </c>
      <c r="AS992" t="s">
        <v>2365</v>
      </c>
      <c r="AT992" t="s">
        <v>2365</v>
      </c>
      <c r="AU992" t="s">
        <v>2365</v>
      </c>
      <c r="AV992" t="s">
        <v>2365</v>
      </c>
      <c r="AW992" t="s">
        <v>2365</v>
      </c>
      <c r="AX992" t="s">
        <v>2365</v>
      </c>
      <c r="AY992" t="s">
        <v>2365</v>
      </c>
      <c r="AZ992" t="s">
        <v>2365</v>
      </c>
      <c r="BA992" t="s">
        <v>2365</v>
      </c>
      <c r="BB992" t="s">
        <v>2365</v>
      </c>
      <c r="BC992" t="s">
        <v>2365</v>
      </c>
      <c r="BD992" t="s">
        <v>2366</v>
      </c>
      <c r="BE992" t="s">
        <v>2365</v>
      </c>
      <c r="BF992" t="s">
        <v>2365</v>
      </c>
      <c r="BG992" t="s">
        <v>2365</v>
      </c>
      <c r="BH992" t="s">
        <v>2365</v>
      </c>
      <c r="BI992" t="s">
        <v>2366</v>
      </c>
      <c r="BJ992" t="s">
        <v>2365</v>
      </c>
      <c r="BK992" t="s">
        <v>2365</v>
      </c>
      <c r="BL992" t="s">
        <v>2365</v>
      </c>
      <c r="BM992" t="s">
        <v>2365</v>
      </c>
      <c r="BO992">
        <v>1</v>
      </c>
      <c r="BP992">
        <v>11</v>
      </c>
      <c r="BQ992" t="s">
        <v>2369</v>
      </c>
      <c r="BR992" t="s">
        <v>1487</v>
      </c>
      <c r="BU992">
        <v>0</v>
      </c>
      <c r="BV992">
        <v>0</v>
      </c>
      <c r="BW992">
        <v>0</v>
      </c>
      <c r="BX992">
        <v>0</v>
      </c>
      <c r="BY992" s="1371">
        <v>0</v>
      </c>
      <c r="BZ992" s="1371">
        <v>0</v>
      </c>
      <c r="CA992">
        <v>0</v>
      </c>
      <c r="CB992">
        <v>0</v>
      </c>
      <c r="CC992">
        <v>0</v>
      </c>
      <c r="CD992">
        <v>0</v>
      </c>
      <c r="CE992">
        <v>0</v>
      </c>
      <c r="CF992">
        <v>0</v>
      </c>
      <c r="CG992">
        <v>0</v>
      </c>
      <c r="CH992">
        <v>0</v>
      </c>
      <c r="CI992">
        <v>0</v>
      </c>
      <c r="CJ992">
        <v>0</v>
      </c>
      <c r="CK992">
        <v>0</v>
      </c>
      <c r="CL992">
        <v>0</v>
      </c>
      <c r="CM992">
        <v>0</v>
      </c>
      <c r="CR992" t="s">
        <v>2327</v>
      </c>
      <c r="CS992" s="1369" t="str">
        <f>INDEX([8]Sheet1!$H:$H,MATCH(CR:CR,[8]Sheet1!$AU:$AU,0))</f>
        <v>Education</v>
      </c>
    </row>
    <row r="993" spans="1:97" x14ac:dyDescent="0.2">
      <c r="A993" t="s">
        <v>3838</v>
      </c>
      <c r="B993">
        <v>1054</v>
      </c>
      <c r="C993" t="s">
        <v>3838</v>
      </c>
      <c r="D993">
        <v>30277</v>
      </c>
      <c r="E993" t="s">
        <v>3839</v>
      </c>
      <c r="F993" t="s">
        <v>2364</v>
      </c>
      <c r="G993" t="s">
        <v>2364</v>
      </c>
      <c r="H993" t="s">
        <v>2365</v>
      </c>
      <c r="I993" t="s">
        <v>2365</v>
      </c>
      <c r="J993" t="s">
        <v>2365</v>
      </c>
      <c r="K993" t="s">
        <v>2365</v>
      </c>
      <c r="L993">
        <v>1200</v>
      </c>
      <c r="M993" t="s">
        <v>1480</v>
      </c>
      <c r="N993">
        <v>1204</v>
      </c>
      <c r="O993" t="s">
        <v>1487</v>
      </c>
      <c r="P993" t="s">
        <v>2366</v>
      </c>
      <c r="Q993" t="s">
        <v>2364</v>
      </c>
      <c r="R993" t="s">
        <v>2364</v>
      </c>
      <c r="S993" t="s">
        <v>553</v>
      </c>
      <c r="T993" t="s">
        <v>2175</v>
      </c>
      <c r="U993">
        <v>140</v>
      </c>
      <c r="V993" t="s">
        <v>693</v>
      </c>
      <c r="W993">
        <v>140</v>
      </c>
      <c r="X993" t="s">
        <v>693</v>
      </c>
      <c r="Y993" t="s">
        <v>2365</v>
      </c>
      <c r="Z993" t="s">
        <v>2365</v>
      </c>
      <c r="AA993" t="s">
        <v>2365</v>
      </c>
      <c r="AB993" t="s">
        <v>2365</v>
      </c>
      <c r="AC993" s="813" t="s">
        <v>2365</v>
      </c>
      <c r="AD993" s="813" t="s">
        <v>2365</v>
      </c>
      <c r="AE993" s="813" t="s">
        <v>2365</v>
      </c>
      <c r="AF993" t="s">
        <v>2365</v>
      </c>
      <c r="AG993" t="s">
        <v>2365</v>
      </c>
      <c r="AH993" t="s">
        <v>2365</v>
      </c>
      <c r="AI993" t="s">
        <v>2365</v>
      </c>
      <c r="AJ993" t="s">
        <v>2365</v>
      </c>
      <c r="AK993" t="s">
        <v>2366</v>
      </c>
      <c r="AL993" t="s">
        <v>2366</v>
      </c>
      <c r="AM993" t="s">
        <v>2366</v>
      </c>
      <c r="AN993" t="s">
        <v>2366</v>
      </c>
      <c r="AR993" t="s">
        <v>2365</v>
      </c>
      <c r="AS993" t="s">
        <v>2365</v>
      </c>
      <c r="AT993" t="s">
        <v>2365</v>
      </c>
      <c r="AU993" t="s">
        <v>2365</v>
      </c>
      <c r="AV993" t="s">
        <v>2365</v>
      </c>
      <c r="AW993" t="s">
        <v>2365</v>
      </c>
      <c r="AX993" t="s">
        <v>2365</v>
      </c>
      <c r="AY993" t="s">
        <v>2365</v>
      </c>
      <c r="AZ993" t="s">
        <v>2365</v>
      </c>
      <c r="BA993" t="s">
        <v>2365</v>
      </c>
      <c r="BB993" t="s">
        <v>2365</v>
      </c>
      <c r="BC993" t="s">
        <v>2365</v>
      </c>
      <c r="BD993" t="s">
        <v>2366</v>
      </c>
      <c r="BE993" t="s">
        <v>2365</v>
      </c>
      <c r="BF993" t="s">
        <v>2365</v>
      </c>
      <c r="BG993" t="s">
        <v>2365</v>
      </c>
      <c r="BH993" t="s">
        <v>2365</v>
      </c>
      <c r="BI993" t="s">
        <v>2366</v>
      </c>
      <c r="BJ993" t="s">
        <v>2365</v>
      </c>
      <c r="BK993" t="s">
        <v>2365</v>
      </c>
      <c r="BL993" t="s">
        <v>2365</v>
      </c>
      <c r="BM993" t="s">
        <v>2365</v>
      </c>
      <c r="BO993">
        <v>1</v>
      </c>
      <c r="BP993">
        <v>11</v>
      </c>
      <c r="BQ993" t="s">
        <v>2369</v>
      </c>
      <c r="BR993" t="s">
        <v>1487</v>
      </c>
      <c r="BU993">
        <v>0</v>
      </c>
      <c r="BV993">
        <v>0</v>
      </c>
      <c r="BW993">
        <v>0</v>
      </c>
      <c r="BX993">
        <v>0</v>
      </c>
      <c r="BY993" s="1371">
        <v>0</v>
      </c>
      <c r="BZ993" s="1371">
        <v>0</v>
      </c>
      <c r="CA993">
        <v>0</v>
      </c>
      <c r="CB993">
        <v>0</v>
      </c>
      <c r="CC993">
        <v>0</v>
      </c>
      <c r="CD993">
        <v>0</v>
      </c>
      <c r="CE993">
        <v>0</v>
      </c>
      <c r="CF993">
        <v>0</v>
      </c>
      <c r="CG993">
        <v>0</v>
      </c>
      <c r="CH993">
        <v>0</v>
      </c>
      <c r="CI993">
        <v>0</v>
      </c>
      <c r="CJ993">
        <v>0</v>
      </c>
      <c r="CK993">
        <v>0</v>
      </c>
      <c r="CL993">
        <v>0</v>
      </c>
      <c r="CM993">
        <v>0</v>
      </c>
      <c r="CR993" t="s">
        <v>2327</v>
      </c>
      <c r="CS993" s="1369" t="str">
        <f>INDEX([8]Sheet1!$H:$H,MATCH(CR:CR,[8]Sheet1!$AU:$AU,0))</f>
        <v>Education</v>
      </c>
    </row>
    <row r="994" spans="1:97" x14ac:dyDescent="0.2">
      <c r="A994" t="s">
        <v>3840</v>
      </c>
      <c r="B994">
        <v>1055</v>
      </c>
      <c r="C994" t="s">
        <v>3840</v>
      </c>
      <c r="D994">
        <v>30278</v>
      </c>
      <c r="E994" t="s">
        <v>3841</v>
      </c>
      <c r="F994" t="s">
        <v>2364</v>
      </c>
      <c r="G994" t="s">
        <v>2364</v>
      </c>
      <c r="H994" t="s">
        <v>2365</v>
      </c>
      <c r="I994" t="s">
        <v>2365</v>
      </c>
      <c r="J994" t="s">
        <v>2365</v>
      </c>
      <c r="K994" t="s">
        <v>2365</v>
      </c>
      <c r="L994">
        <v>1200</v>
      </c>
      <c r="M994" t="s">
        <v>1480</v>
      </c>
      <c r="N994">
        <v>1204</v>
      </c>
      <c r="O994" t="s">
        <v>1487</v>
      </c>
      <c r="P994" t="s">
        <v>2366</v>
      </c>
      <c r="Q994" t="s">
        <v>2364</v>
      </c>
      <c r="R994" t="s">
        <v>2364</v>
      </c>
      <c r="S994" t="s">
        <v>553</v>
      </c>
      <c r="T994" t="s">
        <v>2175</v>
      </c>
      <c r="U994" t="s">
        <v>2366</v>
      </c>
      <c r="V994" t="s">
        <v>2366</v>
      </c>
      <c r="W994" t="s">
        <v>2366</v>
      </c>
      <c r="X994" t="s">
        <v>2366</v>
      </c>
      <c r="Y994" t="s">
        <v>2365</v>
      </c>
      <c r="Z994" t="s">
        <v>2365</v>
      </c>
      <c r="AA994" t="s">
        <v>2365</v>
      </c>
      <c r="AB994" t="s">
        <v>2365</v>
      </c>
      <c r="AC994" s="813" t="s">
        <v>2365</v>
      </c>
      <c r="AD994" s="813" t="s">
        <v>2365</v>
      </c>
      <c r="AE994" s="813" t="s">
        <v>2365</v>
      </c>
      <c r="AF994" t="s">
        <v>2365</v>
      </c>
      <c r="AG994" t="s">
        <v>2365</v>
      </c>
      <c r="AH994" t="s">
        <v>2365</v>
      </c>
      <c r="AI994" t="s">
        <v>2365</v>
      </c>
      <c r="AJ994" t="s">
        <v>2365</v>
      </c>
      <c r="AK994">
        <v>146</v>
      </c>
      <c r="AL994" t="s">
        <v>1199</v>
      </c>
      <c r="AM994">
        <v>146</v>
      </c>
      <c r="AN994" t="s">
        <v>1199</v>
      </c>
      <c r="AR994" t="s">
        <v>2365</v>
      </c>
      <c r="AS994" t="s">
        <v>2365</v>
      </c>
      <c r="AT994" t="s">
        <v>2365</v>
      </c>
      <c r="AU994" t="s">
        <v>2365</v>
      </c>
      <c r="AV994" t="s">
        <v>2365</v>
      </c>
      <c r="AW994" t="s">
        <v>2365</v>
      </c>
      <c r="AX994" t="s">
        <v>2365</v>
      </c>
      <c r="AY994" t="s">
        <v>2365</v>
      </c>
      <c r="AZ994" t="s">
        <v>2365</v>
      </c>
      <c r="BA994" t="s">
        <v>2365</v>
      </c>
      <c r="BB994" t="s">
        <v>2365</v>
      </c>
      <c r="BC994" t="s">
        <v>2365</v>
      </c>
      <c r="BD994" t="s">
        <v>2366</v>
      </c>
      <c r="BE994" t="s">
        <v>2365</v>
      </c>
      <c r="BF994" t="s">
        <v>2365</v>
      </c>
      <c r="BG994" t="s">
        <v>2365</v>
      </c>
      <c r="BH994" t="s">
        <v>2365</v>
      </c>
      <c r="BI994" t="s">
        <v>2366</v>
      </c>
      <c r="BJ994" t="s">
        <v>2365</v>
      </c>
      <c r="BK994" t="s">
        <v>2365</v>
      </c>
      <c r="BL994" t="s">
        <v>2365</v>
      </c>
      <c r="BM994" t="s">
        <v>2365</v>
      </c>
      <c r="BO994">
        <v>1</v>
      </c>
      <c r="BP994">
        <v>11</v>
      </c>
      <c r="BQ994" t="s">
        <v>2369</v>
      </c>
      <c r="BR994" t="s">
        <v>1487</v>
      </c>
      <c r="BU994">
        <v>0</v>
      </c>
      <c r="BV994">
        <v>0</v>
      </c>
      <c r="BW994">
        <v>0</v>
      </c>
      <c r="BX994">
        <v>0</v>
      </c>
      <c r="BY994">
        <v>0</v>
      </c>
      <c r="BZ994">
        <v>0</v>
      </c>
      <c r="CA994">
        <v>0</v>
      </c>
      <c r="CB994">
        <v>0</v>
      </c>
      <c r="CC994">
        <v>0</v>
      </c>
      <c r="CD994">
        <v>0</v>
      </c>
      <c r="CE994">
        <v>0</v>
      </c>
      <c r="CF994">
        <v>0</v>
      </c>
      <c r="CG994">
        <v>0</v>
      </c>
      <c r="CH994">
        <v>0</v>
      </c>
      <c r="CI994">
        <v>0</v>
      </c>
      <c r="CJ994">
        <v>0</v>
      </c>
      <c r="CK994">
        <v>0</v>
      </c>
      <c r="CL994">
        <v>0</v>
      </c>
      <c r="CM994">
        <v>0</v>
      </c>
      <c r="CR994" t="s">
        <v>2328</v>
      </c>
      <c r="CS994" s="1369" t="str">
        <f>INDEX([8]Sheet1!$H:$H,MATCH(CR:CR,[8]Sheet1!$AU:$AU,0))</f>
        <v>Water Distribution</v>
      </c>
    </row>
    <row r="995" spans="1:97" x14ac:dyDescent="0.2">
      <c r="A995" t="s">
        <v>3842</v>
      </c>
      <c r="B995">
        <v>1056</v>
      </c>
      <c r="C995" t="s">
        <v>3842</v>
      </c>
      <c r="D995">
        <v>30279</v>
      </c>
      <c r="E995" t="s">
        <v>3843</v>
      </c>
      <c r="F995" t="s">
        <v>2364</v>
      </c>
      <c r="G995" t="s">
        <v>2364</v>
      </c>
      <c r="H995" t="s">
        <v>2365</v>
      </c>
      <c r="I995" t="s">
        <v>2365</v>
      </c>
      <c r="J995" t="s">
        <v>2365</v>
      </c>
      <c r="K995" t="s">
        <v>2365</v>
      </c>
      <c r="L995">
        <v>1200</v>
      </c>
      <c r="M995" t="s">
        <v>1480</v>
      </c>
      <c r="N995">
        <v>1204</v>
      </c>
      <c r="O995" t="s">
        <v>1487</v>
      </c>
      <c r="P995" t="s">
        <v>2366</v>
      </c>
      <c r="Q995" t="s">
        <v>2364</v>
      </c>
      <c r="R995" t="s">
        <v>2364</v>
      </c>
      <c r="S995" t="s">
        <v>553</v>
      </c>
      <c r="T995" t="s">
        <v>2175</v>
      </c>
      <c r="U995" t="s">
        <v>2366</v>
      </c>
      <c r="V995" t="s">
        <v>2366</v>
      </c>
      <c r="W995" t="s">
        <v>2366</v>
      </c>
      <c r="X995" t="s">
        <v>2366</v>
      </c>
      <c r="Y995" t="s">
        <v>2365</v>
      </c>
      <c r="Z995" t="s">
        <v>2365</v>
      </c>
      <c r="AA995" t="s">
        <v>2365</v>
      </c>
      <c r="AB995" t="s">
        <v>2365</v>
      </c>
      <c r="AC995" s="813" t="s">
        <v>2365</v>
      </c>
      <c r="AD995" s="813" t="s">
        <v>2365</v>
      </c>
      <c r="AE995" s="813" t="s">
        <v>2365</v>
      </c>
      <c r="AF995" t="s">
        <v>2365</v>
      </c>
      <c r="AG995" t="s">
        <v>2365</v>
      </c>
      <c r="AH995" t="s">
        <v>2365</v>
      </c>
      <c r="AI995" t="s">
        <v>2365</v>
      </c>
      <c r="AJ995" t="s">
        <v>2365</v>
      </c>
      <c r="AK995">
        <v>146</v>
      </c>
      <c r="AL995" t="s">
        <v>1199</v>
      </c>
      <c r="AM995">
        <v>146</v>
      </c>
      <c r="AN995" t="s">
        <v>1199</v>
      </c>
      <c r="AR995" t="s">
        <v>2365</v>
      </c>
      <c r="AS995" t="s">
        <v>2365</v>
      </c>
      <c r="AT995" t="s">
        <v>2365</v>
      </c>
      <c r="AU995" t="s">
        <v>2365</v>
      </c>
      <c r="AV995" t="s">
        <v>2365</v>
      </c>
      <c r="AW995" t="s">
        <v>2365</v>
      </c>
      <c r="AX995" t="s">
        <v>2365</v>
      </c>
      <c r="AY995" t="s">
        <v>2365</v>
      </c>
      <c r="AZ995" t="s">
        <v>2365</v>
      </c>
      <c r="BA995" t="s">
        <v>2365</v>
      </c>
      <c r="BB995" t="s">
        <v>2365</v>
      </c>
      <c r="BC995" t="s">
        <v>2365</v>
      </c>
      <c r="BD995" t="s">
        <v>2366</v>
      </c>
      <c r="BE995" t="s">
        <v>2365</v>
      </c>
      <c r="BF995" t="s">
        <v>2365</v>
      </c>
      <c r="BG995" t="s">
        <v>2365</v>
      </c>
      <c r="BH995" t="s">
        <v>2365</v>
      </c>
      <c r="BI995" t="s">
        <v>2366</v>
      </c>
      <c r="BJ995" t="s">
        <v>2365</v>
      </c>
      <c r="BK995" t="s">
        <v>2365</v>
      </c>
      <c r="BL995" t="s">
        <v>2365</v>
      </c>
      <c r="BM995" t="s">
        <v>2365</v>
      </c>
      <c r="BO995">
        <v>1</v>
      </c>
      <c r="BP995">
        <v>11</v>
      </c>
      <c r="BQ995" t="s">
        <v>2369</v>
      </c>
      <c r="BR995" t="s">
        <v>1487</v>
      </c>
      <c r="BU995">
        <v>0</v>
      </c>
      <c r="BV995">
        <v>0</v>
      </c>
      <c r="BW995">
        <v>0</v>
      </c>
      <c r="BX995">
        <v>0</v>
      </c>
      <c r="BY995" s="1371">
        <v>0</v>
      </c>
      <c r="BZ995" s="1371">
        <v>0</v>
      </c>
      <c r="CA995">
        <v>0</v>
      </c>
      <c r="CB995">
        <v>0</v>
      </c>
      <c r="CC995">
        <v>0</v>
      </c>
      <c r="CD995">
        <v>0</v>
      </c>
      <c r="CE995">
        <v>0</v>
      </c>
      <c r="CF995">
        <v>0</v>
      </c>
      <c r="CG995">
        <v>0</v>
      </c>
      <c r="CH995">
        <v>0</v>
      </c>
      <c r="CI995">
        <v>0</v>
      </c>
      <c r="CJ995">
        <v>0</v>
      </c>
      <c r="CK995">
        <v>0</v>
      </c>
      <c r="CL995">
        <v>0</v>
      </c>
      <c r="CM995">
        <v>0</v>
      </c>
      <c r="CR995" t="s">
        <v>2328</v>
      </c>
      <c r="CS995" s="1369" t="str">
        <f>INDEX([8]Sheet1!$H:$H,MATCH(CR:CR,[8]Sheet1!$AU:$AU,0))</f>
        <v>Water Distribution</v>
      </c>
    </row>
    <row r="996" spans="1:97" x14ac:dyDescent="0.2">
      <c r="A996" t="s">
        <v>3844</v>
      </c>
      <c r="B996">
        <v>1057</v>
      </c>
      <c r="C996" t="s">
        <v>3844</v>
      </c>
      <c r="D996">
        <v>30280</v>
      </c>
      <c r="E996" t="s">
        <v>3845</v>
      </c>
      <c r="F996" t="s">
        <v>2364</v>
      </c>
      <c r="G996" t="s">
        <v>2364</v>
      </c>
      <c r="H996" t="s">
        <v>2365</v>
      </c>
      <c r="I996" t="s">
        <v>2365</v>
      </c>
      <c r="J996" t="s">
        <v>2365</v>
      </c>
      <c r="K996" t="s">
        <v>2365</v>
      </c>
      <c r="L996">
        <v>1200</v>
      </c>
      <c r="M996" t="s">
        <v>1480</v>
      </c>
      <c r="N996">
        <v>1204</v>
      </c>
      <c r="O996" t="s">
        <v>1487</v>
      </c>
      <c r="P996" t="s">
        <v>2366</v>
      </c>
      <c r="Q996" t="s">
        <v>2364</v>
      </c>
      <c r="R996" t="s">
        <v>2364</v>
      </c>
      <c r="S996" t="s">
        <v>553</v>
      </c>
      <c r="T996" t="s">
        <v>2175</v>
      </c>
      <c r="U996">
        <v>140</v>
      </c>
      <c r="V996" t="s">
        <v>693</v>
      </c>
      <c r="W996">
        <v>140</v>
      </c>
      <c r="X996" t="s">
        <v>693</v>
      </c>
      <c r="Y996" t="s">
        <v>2365</v>
      </c>
      <c r="Z996" t="s">
        <v>2365</v>
      </c>
      <c r="AA996" t="s">
        <v>2365</v>
      </c>
      <c r="AB996" t="s">
        <v>2365</v>
      </c>
      <c r="AC996" s="813" t="s">
        <v>2365</v>
      </c>
      <c r="AD996" s="813" t="s">
        <v>2365</v>
      </c>
      <c r="AE996" s="813" t="s">
        <v>2365</v>
      </c>
      <c r="AF996" t="s">
        <v>2365</v>
      </c>
      <c r="AG996" t="s">
        <v>2365</v>
      </c>
      <c r="AH996" t="s">
        <v>2365</v>
      </c>
      <c r="AI996" t="s">
        <v>2365</v>
      </c>
      <c r="AJ996" t="s">
        <v>2365</v>
      </c>
      <c r="AK996" t="s">
        <v>2366</v>
      </c>
      <c r="AL996" t="s">
        <v>2366</v>
      </c>
      <c r="AM996" t="s">
        <v>2366</v>
      </c>
      <c r="AN996" t="s">
        <v>2366</v>
      </c>
      <c r="AR996" t="s">
        <v>2365</v>
      </c>
      <c r="AS996" t="s">
        <v>2365</v>
      </c>
      <c r="AT996" t="s">
        <v>2365</v>
      </c>
      <c r="AU996" t="s">
        <v>2365</v>
      </c>
      <c r="AV996" t="s">
        <v>2365</v>
      </c>
      <c r="AW996" t="s">
        <v>2365</v>
      </c>
      <c r="AX996" t="s">
        <v>2365</v>
      </c>
      <c r="AY996" t="s">
        <v>2365</v>
      </c>
      <c r="AZ996" t="s">
        <v>2365</v>
      </c>
      <c r="BA996" t="s">
        <v>2365</v>
      </c>
      <c r="BB996" t="s">
        <v>2365</v>
      </c>
      <c r="BC996" t="s">
        <v>2365</v>
      </c>
      <c r="BD996" t="s">
        <v>2366</v>
      </c>
      <c r="BE996" t="s">
        <v>2365</v>
      </c>
      <c r="BF996" t="s">
        <v>2365</v>
      </c>
      <c r="BG996" t="s">
        <v>2365</v>
      </c>
      <c r="BH996" t="s">
        <v>2365</v>
      </c>
      <c r="BI996" t="s">
        <v>2366</v>
      </c>
      <c r="BJ996" t="s">
        <v>2365</v>
      </c>
      <c r="BK996" t="s">
        <v>2365</v>
      </c>
      <c r="BL996" t="s">
        <v>2365</v>
      </c>
      <c r="BM996" t="s">
        <v>2365</v>
      </c>
      <c r="BO996">
        <v>1</v>
      </c>
      <c r="BP996">
        <v>11</v>
      </c>
      <c r="BQ996" t="s">
        <v>2369</v>
      </c>
      <c r="BR996" t="s">
        <v>1487</v>
      </c>
      <c r="BU996">
        <v>0</v>
      </c>
      <c r="BV996">
        <v>0</v>
      </c>
      <c r="BW996">
        <v>0</v>
      </c>
      <c r="BX996">
        <v>0</v>
      </c>
      <c r="BY996" s="1371">
        <v>0</v>
      </c>
      <c r="BZ996" s="1371">
        <v>0</v>
      </c>
      <c r="CA996">
        <v>0</v>
      </c>
      <c r="CB996">
        <v>0</v>
      </c>
      <c r="CC996">
        <v>0</v>
      </c>
      <c r="CD996">
        <v>0</v>
      </c>
      <c r="CE996">
        <v>0</v>
      </c>
      <c r="CF996">
        <v>0</v>
      </c>
      <c r="CG996">
        <v>0</v>
      </c>
      <c r="CH996">
        <v>0</v>
      </c>
      <c r="CI996">
        <v>0</v>
      </c>
      <c r="CJ996">
        <v>0</v>
      </c>
      <c r="CK996">
        <v>0</v>
      </c>
      <c r="CL996">
        <v>0</v>
      </c>
      <c r="CM996">
        <v>0</v>
      </c>
      <c r="CR996" t="s">
        <v>2329</v>
      </c>
      <c r="CS996" s="1369" t="str">
        <f>INDEX([8]Sheet1!$H:$H,MATCH(CR:CR,[8]Sheet1!$AU:$AU,0))</f>
        <v>Sewerage</v>
      </c>
    </row>
    <row r="997" spans="1:97" x14ac:dyDescent="0.2">
      <c r="A997" t="s">
        <v>3846</v>
      </c>
      <c r="B997">
        <v>1058</v>
      </c>
      <c r="C997" t="s">
        <v>3846</v>
      </c>
      <c r="D997">
        <v>30281</v>
      </c>
      <c r="E997" t="s">
        <v>3847</v>
      </c>
      <c r="F997" t="s">
        <v>2364</v>
      </c>
      <c r="G997" t="s">
        <v>2364</v>
      </c>
      <c r="H997" s="1373" t="s">
        <v>2365</v>
      </c>
      <c r="I997" t="s">
        <v>2365</v>
      </c>
      <c r="J997" t="s">
        <v>2365</v>
      </c>
      <c r="K997" t="s">
        <v>2365</v>
      </c>
      <c r="L997" s="1373">
        <v>1200</v>
      </c>
      <c r="M997" t="s">
        <v>1480</v>
      </c>
      <c r="N997">
        <v>1204</v>
      </c>
      <c r="O997" t="s">
        <v>1487</v>
      </c>
      <c r="P997" t="s">
        <v>2366</v>
      </c>
      <c r="Q997" t="s">
        <v>2364</v>
      </c>
      <c r="R997" t="s">
        <v>2364</v>
      </c>
      <c r="S997" t="s">
        <v>553</v>
      </c>
      <c r="T997" t="s">
        <v>2175</v>
      </c>
      <c r="U997">
        <v>140</v>
      </c>
      <c r="V997" t="s">
        <v>693</v>
      </c>
      <c r="W997">
        <v>140</v>
      </c>
      <c r="X997" t="s">
        <v>693</v>
      </c>
      <c r="Y997" t="s">
        <v>2365</v>
      </c>
      <c r="Z997" t="s">
        <v>2365</v>
      </c>
      <c r="AA997" t="s">
        <v>2365</v>
      </c>
      <c r="AB997" t="s">
        <v>2365</v>
      </c>
      <c r="AC997" s="813" t="s">
        <v>2365</v>
      </c>
      <c r="AD997" s="813" t="s">
        <v>2365</v>
      </c>
      <c r="AE997" s="813" t="s">
        <v>2365</v>
      </c>
      <c r="AF997" t="s">
        <v>2365</v>
      </c>
      <c r="AG997" t="s">
        <v>2365</v>
      </c>
      <c r="AH997" t="s">
        <v>2365</v>
      </c>
      <c r="AI997" t="s">
        <v>2365</v>
      </c>
      <c r="AJ997" t="s">
        <v>2365</v>
      </c>
      <c r="AK997" t="s">
        <v>2366</v>
      </c>
      <c r="AL997" t="s">
        <v>2366</v>
      </c>
      <c r="AM997" t="s">
        <v>2366</v>
      </c>
      <c r="AN997" t="s">
        <v>2366</v>
      </c>
      <c r="AR997" t="s">
        <v>2365</v>
      </c>
      <c r="AS997" t="s">
        <v>2365</v>
      </c>
      <c r="AT997" t="s">
        <v>2365</v>
      </c>
      <c r="AU997" t="s">
        <v>2365</v>
      </c>
      <c r="AV997" t="s">
        <v>2365</v>
      </c>
      <c r="AW997" t="s">
        <v>2365</v>
      </c>
      <c r="AX997" t="s">
        <v>2365</v>
      </c>
      <c r="AY997" t="s">
        <v>2365</v>
      </c>
      <c r="AZ997" t="s">
        <v>2365</v>
      </c>
      <c r="BA997" t="s">
        <v>2365</v>
      </c>
      <c r="BB997" t="s">
        <v>2365</v>
      </c>
      <c r="BC997" t="s">
        <v>2365</v>
      </c>
      <c r="BD997" t="s">
        <v>2366</v>
      </c>
      <c r="BE997" t="s">
        <v>2365</v>
      </c>
      <c r="BF997" t="s">
        <v>2365</v>
      </c>
      <c r="BG997" t="s">
        <v>2365</v>
      </c>
      <c r="BH997" t="s">
        <v>2365</v>
      </c>
      <c r="BI997" t="s">
        <v>2366</v>
      </c>
      <c r="BJ997" t="s">
        <v>2365</v>
      </c>
      <c r="BK997" t="s">
        <v>2365</v>
      </c>
      <c r="BL997" t="s">
        <v>2365</v>
      </c>
      <c r="BM997" t="s">
        <v>2365</v>
      </c>
      <c r="BO997">
        <v>1</v>
      </c>
      <c r="BP997">
        <v>11</v>
      </c>
      <c r="BQ997" t="s">
        <v>2369</v>
      </c>
      <c r="BR997" t="s">
        <v>1487</v>
      </c>
      <c r="BU997" s="1371">
        <v>0</v>
      </c>
      <c r="BV997" s="1371">
        <v>0</v>
      </c>
      <c r="BW997" s="1371">
        <v>0</v>
      </c>
      <c r="BX997" s="1371">
        <v>0</v>
      </c>
      <c r="BY997" s="1371">
        <v>0</v>
      </c>
      <c r="BZ997">
        <v>0</v>
      </c>
      <c r="CA997">
        <v>0</v>
      </c>
      <c r="CB997">
        <v>0</v>
      </c>
      <c r="CC997">
        <v>0</v>
      </c>
      <c r="CD997">
        <v>0</v>
      </c>
      <c r="CE997">
        <v>0</v>
      </c>
      <c r="CF997">
        <v>0</v>
      </c>
      <c r="CG997">
        <v>0</v>
      </c>
      <c r="CH997">
        <v>0</v>
      </c>
      <c r="CI997">
        <v>0</v>
      </c>
      <c r="CJ997">
        <v>0</v>
      </c>
      <c r="CK997">
        <v>0</v>
      </c>
      <c r="CL997">
        <v>0</v>
      </c>
      <c r="CM997">
        <v>0</v>
      </c>
      <c r="CR997" t="s">
        <v>2328</v>
      </c>
      <c r="CS997" s="1369" t="str">
        <f>INDEX([8]Sheet1!$H:$H,MATCH(CR:CR,[8]Sheet1!$AU:$AU,0))</f>
        <v>Water Distribution</v>
      </c>
    </row>
    <row r="998" spans="1:97" x14ac:dyDescent="0.2">
      <c r="A998" t="s">
        <v>3848</v>
      </c>
      <c r="B998">
        <v>1059</v>
      </c>
      <c r="C998" t="s">
        <v>3848</v>
      </c>
      <c r="D998">
        <v>30282</v>
      </c>
      <c r="E998" t="s">
        <v>3849</v>
      </c>
      <c r="F998" t="s">
        <v>2364</v>
      </c>
      <c r="G998" t="s">
        <v>2364</v>
      </c>
      <c r="H998" s="1373" t="s">
        <v>2365</v>
      </c>
      <c r="I998" t="s">
        <v>2365</v>
      </c>
      <c r="J998" t="s">
        <v>2365</v>
      </c>
      <c r="K998" t="s">
        <v>2365</v>
      </c>
      <c r="L998" s="1373">
        <v>1200</v>
      </c>
      <c r="M998" t="s">
        <v>1480</v>
      </c>
      <c r="N998">
        <v>1204</v>
      </c>
      <c r="O998" t="s">
        <v>1487</v>
      </c>
      <c r="P998" t="s">
        <v>2366</v>
      </c>
      <c r="Q998" t="s">
        <v>2364</v>
      </c>
      <c r="R998" t="s">
        <v>2364</v>
      </c>
      <c r="S998" t="s">
        <v>553</v>
      </c>
      <c r="T998" t="s">
        <v>2175</v>
      </c>
      <c r="U998">
        <v>140</v>
      </c>
      <c r="V998" t="s">
        <v>693</v>
      </c>
      <c r="W998">
        <v>140</v>
      </c>
      <c r="X998" t="s">
        <v>693</v>
      </c>
      <c r="Y998" t="s">
        <v>2365</v>
      </c>
      <c r="Z998" t="s">
        <v>2365</v>
      </c>
      <c r="AA998" t="s">
        <v>2365</v>
      </c>
      <c r="AB998" t="s">
        <v>2365</v>
      </c>
      <c r="AC998" s="813" t="s">
        <v>2365</v>
      </c>
      <c r="AD998" s="813" t="s">
        <v>2365</v>
      </c>
      <c r="AE998" s="813" t="s">
        <v>2365</v>
      </c>
      <c r="AF998" t="s">
        <v>2365</v>
      </c>
      <c r="AG998" t="s">
        <v>2365</v>
      </c>
      <c r="AH998" t="s">
        <v>2365</v>
      </c>
      <c r="AI998" t="s">
        <v>2365</v>
      </c>
      <c r="AJ998" t="s">
        <v>2365</v>
      </c>
      <c r="AK998">
        <v>147</v>
      </c>
      <c r="AL998" t="s">
        <v>1200</v>
      </c>
      <c r="AM998">
        <v>147</v>
      </c>
      <c r="AN998" t="s">
        <v>1200</v>
      </c>
      <c r="AR998" t="s">
        <v>2365</v>
      </c>
      <c r="AS998" t="s">
        <v>2365</v>
      </c>
      <c r="AT998" t="s">
        <v>2365</v>
      </c>
      <c r="AU998" t="s">
        <v>2365</v>
      </c>
      <c r="AV998" t="s">
        <v>2365</v>
      </c>
      <c r="AW998" t="s">
        <v>2365</v>
      </c>
      <c r="AX998" t="s">
        <v>2365</v>
      </c>
      <c r="AY998" t="s">
        <v>2365</v>
      </c>
      <c r="AZ998" t="s">
        <v>2365</v>
      </c>
      <c r="BA998" t="s">
        <v>2365</v>
      </c>
      <c r="BB998" t="s">
        <v>2365</v>
      </c>
      <c r="BC998" t="s">
        <v>2365</v>
      </c>
      <c r="BD998" t="s">
        <v>2366</v>
      </c>
      <c r="BE998" t="s">
        <v>2365</v>
      </c>
      <c r="BF998" t="s">
        <v>2365</v>
      </c>
      <c r="BG998" t="s">
        <v>2365</v>
      </c>
      <c r="BH998" t="s">
        <v>2365</v>
      </c>
      <c r="BI998" t="s">
        <v>2366</v>
      </c>
      <c r="BJ998" t="s">
        <v>2365</v>
      </c>
      <c r="BK998" t="s">
        <v>2365</v>
      </c>
      <c r="BL998" t="s">
        <v>2365</v>
      </c>
      <c r="BM998" t="s">
        <v>2365</v>
      </c>
      <c r="BO998">
        <v>1</v>
      </c>
      <c r="BP998">
        <v>11</v>
      </c>
      <c r="BQ998" t="s">
        <v>2369</v>
      </c>
      <c r="BR998" t="s">
        <v>1487</v>
      </c>
      <c r="BU998" s="1371">
        <v>0</v>
      </c>
      <c r="BV998" s="1371">
        <v>0</v>
      </c>
      <c r="BW998" s="1371">
        <v>0</v>
      </c>
      <c r="BX998" s="1371">
        <v>0</v>
      </c>
      <c r="BY998" s="1371">
        <v>0</v>
      </c>
      <c r="BZ998" s="1371">
        <v>0</v>
      </c>
      <c r="CA998">
        <v>0</v>
      </c>
      <c r="CB998">
        <v>0</v>
      </c>
      <c r="CC998">
        <v>0</v>
      </c>
      <c r="CD998">
        <v>0</v>
      </c>
      <c r="CE998">
        <v>0</v>
      </c>
      <c r="CF998">
        <v>0</v>
      </c>
      <c r="CG998">
        <v>0</v>
      </c>
      <c r="CH998">
        <v>0</v>
      </c>
      <c r="CI998">
        <v>0</v>
      </c>
      <c r="CJ998">
        <v>0</v>
      </c>
      <c r="CK998">
        <v>0</v>
      </c>
      <c r="CL998">
        <v>0</v>
      </c>
      <c r="CM998">
        <v>0</v>
      </c>
      <c r="CR998" t="s">
        <v>2329</v>
      </c>
      <c r="CS998" s="1369" t="str">
        <f>INDEX([8]Sheet1!$H:$H,MATCH(CR:CR,[8]Sheet1!$AU:$AU,0))</f>
        <v>Sewerage</v>
      </c>
    </row>
    <row r="999" spans="1:97" x14ac:dyDescent="0.2">
      <c r="A999" t="s">
        <v>3850</v>
      </c>
      <c r="B999">
        <v>1060</v>
      </c>
      <c r="C999" t="s">
        <v>3850</v>
      </c>
      <c r="D999">
        <v>30283</v>
      </c>
      <c r="E999" t="s">
        <v>3851</v>
      </c>
      <c r="F999" t="s">
        <v>2364</v>
      </c>
      <c r="G999" t="s">
        <v>2364</v>
      </c>
      <c r="H999" t="s">
        <v>2365</v>
      </c>
      <c r="I999" t="s">
        <v>2365</v>
      </c>
      <c r="J999" t="s">
        <v>2365</v>
      </c>
      <c r="K999" t="s">
        <v>2365</v>
      </c>
      <c r="L999">
        <v>1200</v>
      </c>
      <c r="M999" t="s">
        <v>1480</v>
      </c>
      <c r="N999">
        <v>1204</v>
      </c>
      <c r="O999" t="s">
        <v>1487</v>
      </c>
      <c r="P999" t="s">
        <v>2366</v>
      </c>
      <c r="Q999" t="s">
        <v>2364</v>
      </c>
      <c r="R999" t="s">
        <v>2364</v>
      </c>
      <c r="S999" t="s">
        <v>553</v>
      </c>
      <c r="T999" t="s">
        <v>2175</v>
      </c>
      <c r="U999">
        <v>140</v>
      </c>
      <c r="V999" t="s">
        <v>693</v>
      </c>
      <c r="W999">
        <v>140</v>
      </c>
      <c r="X999" t="s">
        <v>693</v>
      </c>
      <c r="Y999" t="s">
        <v>2365</v>
      </c>
      <c r="Z999" t="s">
        <v>2365</v>
      </c>
      <c r="AA999" t="s">
        <v>2365</v>
      </c>
      <c r="AB999" t="s">
        <v>2365</v>
      </c>
      <c r="AC999" s="813" t="s">
        <v>2365</v>
      </c>
      <c r="AD999" s="813" t="s">
        <v>2365</v>
      </c>
      <c r="AE999" s="813" t="s">
        <v>2365</v>
      </c>
      <c r="AF999" t="s">
        <v>2365</v>
      </c>
      <c r="AG999" t="s">
        <v>2365</v>
      </c>
      <c r="AH999" t="s">
        <v>2365</v>
      </c>
      <c r="AI999" t="s">
        <v>2365</v>
      </c>
      <c r="AJ999" t="s">
        <v>2365</v>
      </c>
      <c r="AK999" t="s">
        <v>2366</v>
      </c>
      <c r="AL999" t="s">
        <v>2366</v>
      </c>
      <c r="AM999" t="s">
        <v>2366</v>
      </c>
      <c r="AN999" t="s">
        <v>2366</v>
      </c>
      <c r="AR999" t="s">
        <v>2365</v>
      </c>
      <c r="AS999" t="s">
        <v>2365</v>
      </c>
      <c r="AT999" t="s">
        <v>2365</v>
      </c>
      <c r="AU999" t="s">
        <v>2365</v>
      </c>
      <c r="AV999" t="s">
        <v>2365</v>
      </c>
      <c r="AW999" t="s">
        <v>2365</v>
      </c>
      <c r="AX999" t="s">
        <v>2365</v>
      </c>
      <c r="AY999" t="s">
        <v>2365</v>
      </c>
      <c r="AZ999" t="s">
        <v>2365</v>
      </c>
      <c r="BA999" t="s">
        <v>2365</v>
      </c>
      <c r="BB999" t="s">
        <v>2365</v>
      </c>
      <c r="BC999" t="s">
        <v>2365</v>
      </c>
      <c r="BD999" t="s">
        <v>2366</v>
      </c>
      <c r="BE999" t="s">
        <v>2365</v>
      </c>
      <c r="BF999" t="s">
        <v>2365</v>
      </c>
      <c r="BG999" t="s">
        <v>2365</v>
      </c>
      <c r="BH999" t="s">
        <v>2365</v>
      </c>
      <c r="BI999" t="s">
        <v>2366</v>
      </c>
      <c r="BJ999" t="s">
        <v>2365</v>
      </c>
      <c r="BK999" t="s">
        <v>2365</v>
      </c>
      <c r="BL999" t="s">
        <v>2365</v>
      </c>
      <c r="BM999" t="s">
        <v>2365</v>
      </c>
      <c r="BO999">
        <v>1</v>
      </c>
      <c r="BP999">
        <v>11</v>
      </c>
      <c r="BQ999" t="s">
        <v>2369</v>
      </c>
      <c r="BR999" t="s">
        <v>1487</v>
      </c>
      <c r="BU999">
        <v>0</v>
      </c>
      <c r="BV999">
        <v>0</v>
      </c>
      <c r="BW999">
        <v>0</v>
      </c>
      <c r="BX999">
        <v>0</v>
      </c>
      <c r="BY999" s="1371">
        <v>0</v>
      </c>
      <c r="BZ999" s="1371">
        <v>0</v>
      </c>
      <c r="CA999">
        <v>0</v>
      </c>
      <c r="CB999">
        <v>0</v>
      </c>
      <c r="CC999">
        <v>0</v>
      </c>
      <c r="CD999">
        <v>0</v>
      </c>
      <c r="CE999">
        <v>0</v>
      </c>
      <c r="CF999">
        <v>0</v>
      </c>
      <c r="CG999">
        <v>0</v>
      </c>
      <c r="CH999">
        <v>0</v>
      </c>
      <c r="CI999">
        <v>0</v>
      </c>
      <c r="CJ999">
        <v>0</v>
      </c>
      <c r="CK999">
        <v>0</v>
      </c>
      <c r="CL999">
        <v>0</v>
      </c>
      <c r="CM999">
        <v>0</v>
      </c>
      <c r="CR999" t="s">
        <v>2329</v>
      </c>
      <c r="CS999" s="1369" t="str">
        <f>INDEX([8]Sheet1!$H:$H,MATCH(CR:CR,[8]Sheet1!$AU:$AU,0))</f>
        <v>Sewerage</v>
      </c>
    </row>
    <row r="1000" spans="1:97" x14ac:dyDescent="0.2">
      <c r="A1000" t="s">
        <v>3852</v>
      </c>
      <c r="B1000">
        <v>1061</v>
      </c>
      <c r="C1000" t="s">
        <v>3852</v>
      </c>
      <c r="D1000">
        <v>30284</v>
      </c>
      <c r="E1000" t="s">
        <v>3853</v>
      </c>
      <c r="F1000" t="s">
        <v>2364</v>
      </c>
      <c r="G1000" t="s">
        <v>2364</v>
      </c>
      <c r="H1000" t="s">
        <v>2365</v>
      </c>
      <c r="I1000" t="s">
        <v>2365</v>
      </c>
      <c r="J1000" t="s">
        <v>2365</v>
      </c>
      <c r="K1000" t="s">
        <v>2365</v>
      </c>
      <c r="L1000">
        <v>1200</v>
      </c>
      <c r="M1000" t="s">
        <v>1480</v>
      </c>
      <c r="N1000">
        <v>1204</v>
      </c>
      <c r="O1000" t="s">
        <v>1487</v>
      </c>
      <c r="P1000" t="s">
        <v>2366</v>
      </c>
      <c r="Q1000" t="s">
        <v>2364</v>
      </c>
      <c r="R1000" t="s">
        <v>2364</v>
      </c>
      <c r="S1000" t="s">
        <v>553</v>
      </c>
      <c r="T1000" t="s">
        <v>2175</v>
      </c>
      <c r="U1000">
        <v>140</v>
      </c>
      <c r="V1000" t="s">
        <v>693</v>
      </c>
      <c r="W1000">
        <v>140</v>
      </c>
      <c r="X1000" t="s">
        <v>693</v>
      </c>
      <c r="Y1000" t="s">
        <v>2365</v>
      </c>
      <c r="Z1000" t="s">
        <v>2365</v>
      </c>
      <c r="AA1000" t="s">
        <v>2365</v>
      </c>
      <c r="AB1000" t="s">
        <v>2365</v>
      </c>
      <c r="AC1000" s="813" t="s">
        <v>2365</v>
      </c>
      <c r="AD1000" s="813" t="s">
        <v>2365</v>
      </c>
      <c r="AE1000" s="813" t="s">
        <v>2365</v>
      </c>
      <c r="AF1000" t="s">
        <v>2365</v>
      </c>
      <c r="AG1000" t="s">
        <v>2365</v>
      </c>
      <c r="AH1000" t="s">
        <v>2365</v>
      </c>
      <c r="AI1000" t="s">
        <v>2365</v>
      </c>
      <c r="AJ1000" t="s">
        <v>2365</v>
      </c>
      <c r="AK1000" t="s">
        <v>2366</v>
      </c>
      <c r="AL1000" t="s">
        <v>2366</v>
      </c>
      <c r="AM1000" t="s">
        <v>2366</v>
      </c>
      <c r="AN1000" t="s">
        <v>2366</v>
      </c>
      <c r="AR1000" t="s">
        <v>2365</v>
      </c>
      <c r="AS1000" t="s">
        <v>2365</v>
      </c>
      <c r="AT1000" t="s">
        <v>2365</v>
      </c>
      <c r="AU1000" t="s">
        <v>2365</v>
      </c>
      <c r="AV1000" t="s">
        <v>2365</v>
      </c>
      <c r="AW1000" t="s">
        <v>2365</v>
      </c>
      <c r="AX1000" t="s">
        <v>2365</v>
      </c>
      <c r="AY1000" t="s">
        <v>2365</v>
      </c>
      <c r="AZ1000" t="s">
        <v>2365</v>
      </c>
      <c r="BA1000" t="s">
        <v>2365</v>
      </c>
      <c r="BB1000" t="s">
        <v>2365</v>
      </c>
      <c r="BC1000" t="s">
        <v>2365</v>
      </c>
      <c r="BD1000" t="s">
        <v>2366</v>
      </c>
      <c r="BE1000" t="s">
        <v>2365</v>
      </c>
      <c r="BF1000" t="s">
        <v>2365</v>
      </c>
      <c r="BG1000" t="s">
        <v>2365</v>
      </c>
      <c r="BH1000" t="s">
        <v>2365</v>
      </c>
      <c r="BI1000" t="s">
        <v>2366</v>
      </c>
      <c r="BJ1000" t="s">
        <v>2365</v>
      </c>
      <c r="BK1000" t="s">
        <v>2365</v>
      </c>
      <c r="BL1000" t="s">
        <v>2365</v>
      </c>
      <c r="BM1000" t="s">
        <v>2365</v>
      </c>
      <c r="BO1000">
        <v>1</v>
      </c>
      <c r="BP1000">
        <v>11</v>
      </c>
      <c r="BQ1000" t="s">
        <v>2369</v>
      </c>
      <c r="BR1000" t="s">
        <v>1487</v>
      </c>
      <c r="BU1000">
        <v>0</v>
      </c>
      <c r="BV1000">
        <v>0</v>
      </c>
      <c r="BW1000">
        <v>0</v>
      </c>
      <c r="BX1000">
        <v>0</v>
      </c>
      <c r="BY1000">
        <v>0</v>
      </c>
      <c r="BZ1000">
        <v>0</v>
      </c>
      <c r="CA1000">
        <v>0</v>
      </c>
      <c r="CB1000">
        <v>0</v>
      </c>
      <c r="CC1000">
        <v>0</v>
      </c>
      <c r="CD1000">
        <v>0</v>
      </c>
      <c r="CE1000">
        <v>0</v>
      </c>
      <c r="CF1000">
        <v>0</v>
      </c>
      <c r="CG1000">
        <v>0</v>
      </c>
      <c r="CH1000">
        <v>0</v>
      </c>
      <c r="CI1000">
        <v>0</v>
      </c>
      <c r="CJ1000">
        <v>0</v>
      </c>
      <c r="CK1000">
        <v>0</v>
      </c>
      <c r="CL1000">
        <v>0</v>
      </c>
      <c r="CM1000">
        <v>0</v>
      </c>
      <c r="CR1000" t="s">
        <v>2329</v>
      </c>
      <c r="CS1000" s="1369" t="str">
        <f>INDEX([8]Sheet1!$H:$H,MATCH(CR:CR,[8]Sheet1!$AU:$AU,0))</f>
        <v>Sewerage</v>
      </c>
    </row>
    <row r="1001" spans="1:97" x14ac:dyDescent="0.2">
      <c r="A1001" t="s">
        <v>3854</v>
      </c>
      <c r="B1001">
        <v>1062</v>
      </c>
      <c r="C1001" t="s">
        <v>3854</v>
      </c>
      <c r="D1001">
        <v>30285</v>
      </c>
      <c r="E1001" t="s">
        <v>3855</v>
      </c>
      <c r="F1001" t="s">
        <v>2364</v>
      </c>
      <c r="G1001" t="s">
        <v>2364</v>
      </c>
      <c r="H1001" t="s">
        <v>2365</v>
      </c>
      <c r="I1001" t="s">
        <v>2365</v>
      </c>
      <c r="J1001" t="s">
        <v>2365</v>
      </c>
      <c r="K1001" t="s">
        <v>2365</v>
      </c>
      <c r="L1001">
        <v>1200</v>
      </c>
      <c r="M1001" t="s">
        <v>1480</v>
      </c>
      <c r="N1001">
        <v>1204</v>
      </c>
      <c r="O1001" t="s">
        <v>1487</v>
      </c>
      <c r="P1001" t="s">
        <v>2366</v>
      </c>
      <c r="Q1001" t="s">
        <v>2364</v>
      </c>
      <c r="R1001" t="s">
        <v>2364</v>
      </c>
      <c r="S1001" t="s">
        <v>553</v>
      </c>
      <c r="T1001" t="s">
        <v>2175</v>
      </c>
      <c r="U1001">
        <v>140</v>
      </c>
      <c r="V1001" t="s">
        <v>693</v>
      </c>
      <c r="W1001">
        <v>140</v>
      </c>
      <c r="X1001" t="s">
        <v>693</v>
      </c>
      <c r="Y1001" t="s">
        <v>2365</v>
      </c>
      <c r="Z1001" t="s">
        <v>2365</v>
      </c>
      <c r="AA1001" t="s">
        <v>2365</v>
      </c>
      <c r="AB1001" t="s">
        <v>2365</v>
      </c>
      <c r="AC1001" s="813" t="s">
        <v>2365</v>
      </c>
      <c r="AD1001" s="813" t="s">
        <v>2365</v>
      </c>
      <c r="AE1001" s="813" t="s">
        <v>2365</v>
      </c>
      <c r="AF1001" t="s">
        <v>2365</v>
      </c>
      <c r="AG1001" t="s">
        <v>2365</v>
      </c>
      <c r="AH1001" t="s">
        <v>2365</v>
      </c>
      <c r="AI1001" t="s">
        <v>2365</v>
      </c>
      <c r="AJ1001" t="s">
        <v>2365</v>
      </c>
      <c r="AK1001" t="s">
        <v>2366</v>
      </c>
      <c r="AL1001" t="s">
        <v>2366</v>
      </c>
      <c r="AM1001" t="s">
        <v>2366</v>
      </c>
      <c r="AN1001" t="s">
        <v>2366</v>
      </c>
      <c r="AR1001" t="s">
        <v>2365</v>
      </c>
      <c r="AS1001" t="s">
        <v>2365</v>
      </c>
      <c r="AT1001" t="s">
        <v>2365</v>
      </c>
      <c r="AU1001" t="s">
        <v>2365</v>
      </c>
      <c r="AV1001" t="s">
        <v>2365</v>
      </c>
      <c r="AW1001" t="s">
        <v>2365</v>
      </c>
      <c r="AX1001" t="s">
        <v>2365</v>
      </c>
      <c r="AY1001" t="s">
        <v>2365</v>
      </c>
      <c r="AZ1001" t="s">
        <v>2365</v>
      </c>
      <c r="BA1001" t="s">
        <v>2365</v>
      </c>
      <c r="BB1001" t="s">
        <v>2365</v>
      </c>
      <c r="BC1001" t="s">
        <v>2365</v>
      </c>
      <c r="BD1001" t="s">
        <v>2366</v>
      </c>
      <c r="BE1001" t="s">
        <v>2365</v>
      </c>
      <c r="BF1001" t="s">
        <v>2365</v>
      </c>
      <c r="BG1001" t="s">
        <v>2365</v>
      </c>
      <c r="BH1001" t="s">
        <v>2365</v>
      </c>
      <c r="BI1001" t="s">
        <v>2366</v>
      </c>
      <c r="BJ1001" t="s">
        <v>2365</v>
      </c>
      <c r="BK1001" t="s">
        <v>2365</v>
      </c>
      <c r="BL1001" t="s">
        <v>2365</v>
      </c>
      <c r="BM1001" t="s">
        <v>2365</v>
      </c>
      <c r="BO1001">
        <v>1</v>
      </c>
      <c r="BP1001">
        <v>11</v>
      </c>
      <c r="BQ1001" t="s">
        <v>2369</v>
      </c>
      <c r="BR1001" t="s">
        <v>1487</v>
      </c>
      <c r="BU1001">
        <v>0</v>
      </c>
      <c r="BV1001">
        <v>0</v>
      </c>
      <c r="BW1001">
        <v>0</v>
      </c>
      <c r="BX1001">
        <v>0</v>
      </c>
      <c r="BY1001" s="1371">
        <v>0</v>
      </c>
      <c r="BZ1001" s="1371">
        <v>0</v>
      </c>
      <c r="CA1001">
        <v>0</v>
      </c>
      <c r="CB1001">
        <v>0</v>
      </c>
      <c r="CC1001">
        <v>0</v>
      </c>
      <c r="CD1001">
        <v>0</v>
      </c>
      <c r="CE1001">
        <v>0</v>
      </c>
      <c r="CF1001">
        <v>0</v>
      </c>
      <c r="CG1001">
        <v>0</v>
      </c>
      <c r="CH1001">
        <v>0</v>
      </c>
      <c r="CI1001">
        <v>0</v>
      </c>
      <c r="CJ1001">
        <v>0</v>
      </c>
      <c r="CK1001">
        <v>0</v>
      </c>
      <c r="CL1001">
        <v>0</v>
      </c>
      <c r="CM1001">
        <v>0</v>
      </c>
      <c r="CR1001" t="s">
        <v>2328</v>
      </c>
      <c r="CS1001" s="1369" t="str">
        <f>INDEX([8]Sheet1!$H:$H,MATCH(CR:CR,[8]Sheet1!$AU:$AU,0))</f>
        <v>Water Distribution</v>
      </c>
    </row>
    <row r="1002" spans="1:97" x14ac:dyDescent="0.2">
      <c r="A1002" t="s">
        <v>3856</v>
      </c>
      <c r="B1002">
        <v>1063</v>
      </c>
      <c r="C1002" t="s">
        <v>3856</v>
      </c>
      <c r="D1002">
        <v>30286</v>
      </c>
      <c r="E1002" t="s">
        <v>3857</v>
      </c>
      <c r="F1002" t="s">
        <v>2364</v>
      </c>
      <c r="G1002" t="s">
        <v>2364</v>
      </c>
      <c r="H1002" t="s">
        <v>2365</v>
      </c>
      <c r="I1002" t="s">
        <v>2365</v>
      </c>
      <c r="J1002" t="s">
        <v>2365</v>
      </c>
      <c r="K1002" t="s">
        <v>2365</v>
      </c>
      <c r="L1002">
        <v>1200</v>
      </c>
      <c r="M1002" t="s">
        <v>1480</v>
      </c>
      <c r="N1002">
        <v>1204</v>
      </c>
      <c r="O1002" t="s">
        <v>1487</v>
      </c>
      <c r="P1002" t="s">
        <v>2366</v>
      </c>
      <c r="Q1002" t="s">
        <v>2364</v>
      </c>
      <c r="R1002" t="s">
        <v>2364</v>
      </c>
      <c r="S1002" t="s">
        <v>553</v>
      </c>
      <c r="T1002" t="s">
        <v>2175</v>
      </c>
      <c r="U1002" t="s">
        <v>2366</v>
      </c>
      <c r="V1002" t="s">
        <v>2366</v>
      </c>
      <c r="W1002" t="s">
        <v>2366</v>
      </c>
      <c r="X1002" t="s">
        <v>2366</v>
      </c>
      <c r="Y1002" t="s">
        <v>2365</v>
      </c>
      <c r="Z1002" t="s">
        <v>2365</v>
      </c>
      <c r="AA1002" t="s">
        <v>2365</v>
      </c>
      <c r="AB1002" t="s">
        <v>2365</v>
      </c>
      <c r="AC1002" s="813" t="s">
        <v>2365</v>
      </c>
      <c r="AD1002" s="813" t="s">
        <v>2365</v>
      </c>
      <c r="AE1002" s="813" t="s">
        <v>2365</v>
      </c>
      <c r="AF1002" t="s">
        <v>2365</v>
      </c>
      <c r="AG1002" t="s">
        <v>2365</v>
      </c>
      <c r="AH1002" t="s">
        <v>2365</v>
      </c>
      <c r="AI1002" t="s">
        <v>2365</v>
      </c>
      <c r="AJ1002" t="s">
        <v>2365</v>
      </c>
      <c r="AK1002">
        <v>146</v>
      </c>
      <c r="AL1002" t="s">
        <v>1199</v>
      </c>
      <c r="AM1002">
        <v>146</v>
      </c>
      <c r="AN1002" t="s">
        <v>1199</v>
      </c>
      <c r="AR1002" t="s">
        <v>2365</v>
      </c>
      <c r="AS1002" t="s">
        <v>2365</v>
      </c>
      <c r="AT1002" t="s">
        <v>2365</v>
      </c>
      <c r="AU1002" t="s">
        <v>2365</v>
      </c>
      <c r="AV1002" t="s">
        <v>2365</v>
      </c>
      <c r="AW1002" t="s">
        <v>2365</v>
      </c>
      <c r="AX1002" t="s">
        <v>2365</v>
      </c>
      <c r="AY1002" t="s">
        <v>2365</v>
      </c>
      <c r="AZ1002" t="s">
        <v>2365</v>
      </c>
      <c r="BA1002" t="s">
        <v>2365</v>
      </c>
      <c r="BB1002" t="s">
        <v>2365</v>
      </c>
      <c r="BC1002" t="s">
        <v>2365</v>
      </c>
      <c r="BD1002" t="s">
        <v>2366</v>
      </c>
      <c r="BE1002" t="s">
        <v>2365</v>
      </c>
      <c r="BF1002" t="s">
        <v>2365</v>
      </c>
      <c r="BG1002" t="s">
        <v>2365</v>
      </c>
      <c r="BH1002" t="s">
        <v>2365</v>
      </c>
      <c r="BI1002" t="s">
        <v>2366</v>
      </c>
      <c r="BJ1002" t="s">
        <v>2365</v>
      </c>
      <c r="BK1002" t="s">
        <v>2365</v>
      </c>
      <c r="BL1002" t="s">
        <v>2365</v>
      </c>
      <c r="BM1002" t="s">
        <v>2365</v>
      </c>
      <c r="BO1002">
        <v>1</v>
      </c>
      <c r="BP1002">
        <v>11</v>
      </c>
      <c r="BQ1002" t="s">
        <v>2369</v>
      </c>
      <c r="BR1002" t="s">
        <v>1487</v>
      </c>
      <c r="BU1002">
        <v>0</v>
      </c>
      <c r="BV1002">
        <v>0</v>
      </c>
      <c r="BW1002">
        <v>0</v>
      </c>
      <c r="BX1002">
        <v>0</v>
      </c>
      <c r="BY1002">
        <v>0</v>
      </c>
      <c r="BZ1002">
        <v>0</v>
      </c>
      <c r="CA1002">
        <v>0</v>
      </c>
      <c r="CB1002">
        <v>0</v>
      </c>
      <c r="CC1002">
        <v>0</v>
      </c>
      <c r="CD1002">
        <v>0</v>
      </c>
      <c r="CE1002">
        <v>0</v>
      </c>
      <c r="CF1002">
        <v>0</v>
      </c>
      <c r="CG1002">
        <v>0</v>
      </c>
      <c r="CH1002">
        <v>0</v>
      </c>
      <c r="CI1002">
        <v>0</v>
      </c>
      <c r="CJ1002">
        <v>0</v>
      </c>
      <c r="CK1002">
        <v>0</v>
      </c>
      <c r="CL1002">
        <v>0</v>
      </c>
      <c r="CM1002">
        <v>0</v>
      </c>
      <c r="CR1002" t="s">
        <v>2328</v>
      </c>
      <c r="CS1002" s="1369" t="str">
        <f>INDEX([8]Sheet1!$H:$H,MATCH(CR:CR,[8]Sheet1!$AU:$AU,0))</f>
        <v>Water Distribution</v>
      </c>
    </row>
    <row r="1003" spans="1:97" x14ac:dyDescent="0.2">
      <c r="A1003" t="s">
        <v>3858</v>
      </c>
      <c r="B1003">
        <v>1064</v>
      </c>
      <c r="C1003" t="s">
        <v>3858</v>
      </c>
      <c r="D1003">
        <v>30287</v>
      </c>
      <c r="E1003" t="s">
        <v>3859</v>
      </c>
      <c r="F1003" t="s">
        <v>2364</v>
      </c>
      <c r="G1003" t="s">
        <v>2364</v>
      </c>
      <c r="H1003" t="s">
        <v>2365</v>
      </c>
      <c r="I1003" t="s">
        <v>2365</v>
      </c>
      <c r="J1003" t="s">
        <v>2365</v>
      </c>
      <c r="K1003" t="s">
        <v>2365</v>
      </c>
      <c r="L1003">
        <v>1200</v>
      </c>
      <c r="M1003" t="s">
        <v>1480</v>
      </c>
      <c r="N1003">
        <v>1204</v>
      </c>
      <c r="O1003" t="s">
        <v>1487</v>
      </c>
      <c r="P1003" t="s">
        <v>2366</v>
      </c>
      <c r="Q1003" t="s">
        <v>2364</v>
      </c>
      <c r="R1003" t="s">
        <v>2364</v>
      </c>
      <c r="S1003" t="s">
        <v>553</v>
      </c>
      <c r="T1003" t="s">
        <v>2175</v>
      </c>
      <c r="U1003" t="s">
        <v>2366</v>
      </c>
      <c r="V1003" t="s">
        <v>2366</v>
      </c>
      <c r="W1003" t="s">
        <v>2366</v>
      </c>
      <c r="X1003" t="s">
        <v>2366</v>
      </c>
      <c r="Y1003" t="s">
        <v>2365</v>
      </c>
      <c r="Z1003" t="s">
        <v>2365</v>
      </c>
      <c r="AA1003" t="s">
        <v>2365</v>
      </c>
      <c r="AB1003" t="s">
        <v>2365</v>
      </c>
      <c r="AC1003" s="813" t="s">
        <v>2365</v>
      </c>
      <c r="AD1003" s="813" t="s">
        <v>2365</v>
      </c>
      <c r="AE1003" s="813" t="s">
        <v>2365</v>
      </c>
      <c r="AF1003" t="s">
        <v>2365</v>
      </c>
      <c r="AG1003" t="s">
        <v>2365</v>
      </c>
      <c r="AH1003" t="s">
        <v>2365</v>
      </c>
      <c r="AI1003" t="s">
        <v>2365</v>
      </c>
      <c r="AJ1003" t="s">
        <v>2365</v>
      </c>
      <c r="AK1003">
        <v>146</v>
      </c>
      <c r="AL1003" t="s">
        <v>1199</v>
      </c>
      <c r="AM1003">
        <v>146</v>
      </c>
      <c r="AN1003" t="s">
        <v>1199</v>
      </c>
      <c r="AR1003" t="s">
        <v>2365</v>
      </c>
      <c r="AS1003" t="s">
        <v>2365</v>
      </c>
      <c r="AT1003" t="s">
        <v>2365</v>
      </c>
      <c r="AU1003" t="s">
        <v>2365</v>
      </c>
      <c r="AV1003" t="s">
        <v>2365</v>
      </c>
      <c r="AW1003" t="s">
        <v>2365</v>
      </c>
      <c r="AX1003" t="s">
        <v>2365</v>
      </c>
      <c r="AY1003" t="s">
        <v>2365</v>
      </c>
      <c r="AZ1003" t="s">
        <v>2365</v>
      </c>
      <c r="BA1003" t="s">
        <v>2365</v>
      </c>
      <c r="BB1003" t="s">
        <v>2365</v>
      </c>
      <c r="BC1003" t="s">
        <v>2365</v>
      </c>
      <c r="BD1003" t="s">
        <v>2366</v>
      </c>
      <c r="BE1003" t="s">
        <v>2365</v>
      </c>
      <c r="BF1003" t="s">
        <v>2365</v>
      </c>
      <c r="BG1003" t="s">
        <v>2365</v>
      </c>
      <c r="BH1003" t="s">
        <v>2365</v>
      </c>
      <c r="BI1003" t="s">
        <v>2366</v>
      </c>
      <c r="BJ1003" t="s">
        <v>2365</v>
      </c>
      <c r="BK1003" t="s">
        <v>2365</v>
      </c>
      <c r="BL1003" t="s">
        <v>2365</v>
      </c>
      <c r="BM1003" t="s">
        <v>2365</v>
      </c>
      <c r="BO1003">
        <v>1</v>
      </c>
      <c r="BP1003">
        <v>11</v>
      </c>
      <c r="BQ1003" t="s">
        <v>2369</v>
      </c>
      <c r="BR1003" t="s">
        <v>1487</v>
      </c>
      <c r="BU1003">
        <v>0</v>
      </c>
      <c r="BV1003">
        <v>0</v>
      </c>
      <c r="BW1003">
        <v>0</v>
      </c>
      <c r="BX1003">
        <v>0</v>
      </c>
      <c r="BY1003" s="1371">
        <v>0</v>
      </c>
      <c r="BZ1003" s="1371">
        <v>0</v>
      </c>
      <c r="CA1003">
        <v>0</v>
      </c>
      <c r="CB1003">
        <v>0</v>
      </c>
      <c r="CC1003">
        <v>0</v>
      </c>
      <c r="CD1003">
        <v>0</v>
      </c>
      <c r="CE1003">
        <v>0</v>
      </c>
      <c r="CF1003">
        <v>0</v>
      </c>
      <c r="CG1003">
        <v>0</v>
      </c>
      <c r="CH1003">
        <v>0</v>
      </c>
      <c r="CI1003">
        <v>0</v>
      </c>
      <c r="CJ1003">
        <v>0</v>
      </c>
      <c r="CK1003">
        <v>0</v>
      </c>
      <c r="CL1003">
        <v>0</v>
      </c>
      <c r="CM1003">
        <v>0</v>
      </c>
      <c r="CR1003" t="s">
        <v>2328</v>
      </c>
      <c r="CS1003" s="1369" t="str">
        <f>INDEX([8]Sheet1!$H:$H,MATCH(CR:CR,[8]Sheet1!$AU:$AU,0))</f>
        <v>Water Distribution</v>
      </c>
    </row>
    <row r="1004" spans="1:97" x14ac:dyDescent="0.2">
      <c r="A1004" t="s">
        <v>3860</v>
      </c>
      <c r="B1004">
        <v>1065</v>
      </c>
      <c r="C1004" t="s">
        <v>3860</v>
      </c>
      <c r="D1004">
        <v>30288</v>
      </c>
      <c r="E1004" t="s">
        <v>3861</v>
      </c>
      <c r="F1004" t="s">
        <v>2364</v>
      </c>
      <c r="G1004" t="s">
        <v>2364</v>
      </c>
      <c r="H1004" t="s">
        <v>2365</v>
      </c>
      <c r="I1004" t="s">
        <v>2365</v>
      </c>
      <c r="J1004" t="s">
        <v>2365</v>
      </c>
      <c r="K1004" t="s">
        <v>2365</v>
      </c>
      <c r="L1004">
        <v>1200</v>
      </c>
      <c r="M1004" t="s">
        <v>1480</v>
      </c>
      <c r="N1004">
        <v>1204</v>
      </c>
      <c r="O1004" t="s">
        <v>1487</v>
      </c>
      <c r="P1004" t="s">
        <v>2366</v>
      </c>
      <c r="Q1004" t="s">
        <v>2364</v>
      </c>
      <c r="R1004" t="s">
        <v>2364</v>
      </c>
      <c r="S1004" t="s">
        <v>553</v>
      </c>
      <c r="T1004" t="s">
        <v>2175</v>
      </c>
      <c r="U1004">
        <v>140</v>
      </c>
      <c r="V1004" t="s">
        <v>693</v>
      </c>
      <c r="W1004">
        <v>140</v>
      </c>
      <c r="X1004" t="s">
        <v>693</v>
      </c>
      <c r="Y1004" t="s">
        <v>2365</v>
      </c>
      <c r="Z1004" t="s">
        <v>2365</v>
      </c>
      <c r="AA1004" t="s">
        <v>2365</v>
      </c>
      <c r="AB1004" t="s">
        <v>2365</v>
      </c>
      <c r="AC1004" s="813" t="s">
        <v>2365</v>
      </c>
      <c r="AD1004" s="813" t="s">
        <v>2365</v>
      </c>
      <c r="AE1004" s="813" t="s">
        <v>2365</v>
      </c>
      <c r="AF1004" t="s">
        <v>2365</v>
      </c>
      <c r="AG1004" t="s">
        <v>2365</v>
      </c>
      <c r="AH1004" t="s">
        <v>2365</v>
      </c>
      <c r="AI1004" t="s">
        <v>2365</v>
      </c>
      <c r="AJ1004" t="s">
        <v>2365</v>
      </c>
      <c r="AK1004" t="s">
        <v>2366</v>
      </c>
      <c r="AL1004" t="s">
        <v>2366</v>
      </c>
      <c r="AM1004" t="s">
        <v>2366</v>
      </c>
      <c r="AN1004" t="s">
        <v>2366</v>
      </c>
      <c r="AR1004" t="s">
        <v>2365</v>
      </c>
      <c r="AS1004" t="s">
        <v>2365</v>
      </c>
      <c r="AT1004" t="s">
        <v>2365</v>
      </c>
      <c r="AU1004" t="s">
        <v>2365</v>
      </c>
      <c r="AV1004" t="s">
        <v>2365</v>
      </c>
      <c r="AW1004" t="s">
        <v>2365</v>
      </c>
      <c r="AX1004" t="s">
        <v>2365</v>
      </c>
      <c r="AY1004" t="s">
        <v>2365</v>
      </c>
      <c r="AZ1004" t="s">
        <v>2365</v>
      </c>
      <c r="BA1004" t="s">
        <v>2365</v>
      </c>
      <c r="BB1004" t="s">
        <v>2365</v>
      </c>
      <c r="BC1004" t="s">
        <v>2365</v>
      </c>
      <c r="BD1004" t="s">
        <v>2366</v>
      </c>
      <c r="BE1004" t="s">
        <v>2365</v>
      </c>
      <c r="BF1004" t="s">
        <v>2365</v>
      </c>
      <c r="BG1004" t="s">
        <v>2365</v>
      </c>
      <c r="BH1004" t="s">
        <v>2365</v>
      </c>
      <c r="BI1004" t="s">
        <v>2366</v>
      </c>
      <c r="BJ1004" t="s">
        <v>2365</v>
      </c>
      <c r="BK1004" t="s">
        <v>2365</v>
      </c>
      <c r="BL1004" t="s">
        <v>2365</v>
      </c>
      <c r="BM1004" t="s">
        <v>2365</v>
      </c>
      <c r="BO1004">
        <v>1</v>
      </c>
      <c r="BP1004">
        <v>11</v>
      </c>
      <c r="BQ1004" t="s">
        <v>2369</v>
      </c>
      <c r="BR1004" t="s">
        <v>1487</v>
      </c>
      <c r="BU1004">
        <v>0</v>
      </c>
      <c r="BV1004">
        <v>0</v>
      </c>
      <c r="BW1004">
        <v>0</v>
      </c>
      <c r="BX1004">
        <v>0</v>
      </c>
      <c r="BY1004">
        <v>0</v>
      </c>
      <c r="BZ1004">
        <v>0</v>
      </c>
      <c r="CA1004">
        <v>0</v>
      </c>
      <c r="CB1004">
        <v>0</v>
      </c>
      <c r="CC1004">
        <v>0</v>
      </c>
      <c r="CD1004">
        <v>0</v>
      </c>
      <c r="CE1004">
        <v>0</v>
      </c>
      <c r="CF1004">
        <v>0</v>
      </c>
      <c r="CG1004">
        <v>0</v>
      </c>
      <c r="CH1004">
        <v>0</v>
      </c>
      <c r="CI1004">
        <v>0</v>
      </c>
      <c r="CJ1004">
        <v>0</v>
      </c>
      <c r="CK1004">
        <v>0</v>
      </c>
      <c r="CL1004">
        <v>0</v>
      </c>
      <c r="CM1004">
        <v>0</v>
      </c>
      <c r="CR1004" t="s">
        <v>2334</v>
      </c>
      <c r="CS1004" s="1369" t="str">
        <f>INDEX([8]Sheet1!$H:$H,MATCH(CR:CR,[8]Sheet1!$AU:$AU,0))</f>
        <v>Governance Function</v>
      </c>
    </row>
    <row r="1005" spans="1:97" x14ac:dyDescent="0.2">
      <c r="A1005" t="s">
        <v>3862</v>
      </c>
      <c r="B1005">
        <v>1066</v>
      </c>
      <c r="C1005" t="s">
        <v>3862</v>
      </c>
      <c r="D1005">
        <v>30289</v>
      </c>
      <c r="E1005" t="s">
        <v>3863</v>
      </c>
      <c r="F1005" t="s">
        <v>2364</v>
      </c>
      <c r="G1005" t="s">
        <v>2364</v>
      </c>
      <c r="H1005" t="s">
        <v>2365</v>
      </c>
      <c r="I1005" t="s">
        <v>2365</v>
      </c>
      <c r="J1005" t="s">
        <v>2365</v>
      </c>
      <c r="K1005" t="s">
        <v>2365</v>
      </c>
      <c r="L1005">
        <v>1200</v>
      </c>
      <c r="M1005" t="s">
        <v>1480</v>
      </c>
      <c r="N1005">
        <v>1204</v>
      </c>
      <c r="O1005" t="s">
        <v>1487</v>
      </c>
      <c r="P1005" t="s">
        <v>2366</v>
      </c>
      <c r="Q1005" t="s">
        <v>2364</v>
      </c>
      <c r="R1005" t="s">
        <v>2364</v>
      </c>
      <c r="S1005" t="s">
        <v>553</v>
      </c>
      <c r="T1005" t="s">
        <v>2175</v>
      </c>
      <c r="U1005">
        <v>140</v>
      </c>
      <c r="V1005" t="s">
        <v>693</v>
      </c>
      <c r="W1005">
        <v>140</v>
      </c>
      <c r="X1005" t="s">
        <v>693</v>
      </c>
      <c r="Y1005" t="s">
        <v>2365</v>
      </c>
      <c r="Z1005" t="s">
        <v>2365</v>
      </c>
      <c r="AA1005" t="s">
        <v>2365</v>
      </c>
      <c r="AB1005" t="s">
        <v>2365</v>
      </c>
      <c r="AC1005" s="813" t="s">
        <v>2365</v>
      </c>
      <c r="AD1005" s="813" t="s">
        <v>2365</v>
      </c>
      <c r="AE1005" s="813" t="s">
        <v>2365</v>
      </c>
      <c r="AF1005" t="s">
        <v>2365</v>
      </c>
      <c r="AG1005" t="s">
        <v>2365</v>
      </c>
      <c r="AH1005" t="s">
        <v>2365</v>
      </c>
      <c r="AI1005" t="s">
        <v>2365</v>
      </c>
      <c r="AJ1005" t="s">
        <v>2365</v>
      </c>
      <c r="AK1005" t="s">
        <v>2366</v>
      </c>
      <c r="AL1005" t="s">
        <v>2366</v>
      </c>
      <c r="AM1005" t="s">
        <v>2366</v>
      </c>
      <c r="AN1005" t="s">
        <v>2366</v>
      </c>
      <c r="AR1005" t="s">
        <v>2365</v>
      </c>
      <c r="AS1005" t="s">
        <v>2365</v>
      </c>
      <c r="AT1005" t="s">
        <v>2365</v>
      </c>
      <c r="AU1005" t="s">
        <v>2365</v>
      </c>
      <c r="AV1005" t="s">
        <v>2365</v>
      </c>
      <c r="AW1005" t="s">
        <v>2365</v>
      </c>
      <c r="AX1005" t="s">
        <v>2365</v>
      </c>
      <c r="AY1005" t="s">
        <v>2365</v>
      </c>
      <c r="AZ1005" t="s">
        <v>2365</v>
      </c>
      <c r="BA1005" t="s">
        <v>2365</v>
      </c>
      <c r="BB1005" t="s">
        <v>2365</v>
      </c>
      <c r="BC1005" t="s">
        <v>2365</v>
      </c>
      <c r="BD1005" t="s">
        <v>2366</v>
      </c>
      <c r="BE1005" t="s">
        <v>2365</v>
      </c>
      <c r="BF1005" t="s">
        <v>2365</v>
      </c>
      <c r="BG1005" t="s">
        <v>2365</v>
      </c>
      <c r="BH1005" t="s">
        <v>2365</v>
      </c>
      <c r="BI1005" t="s">
        <v>2366</v>
      </c>
      <c r="BJ1005" t="s">
        <v>2365</v>
      </c>
      <c r="BK1005" t="s">
        <v>2365</v>
      </c>
      <c r="BL1005" t="s">
        <v>2365</v>
      </c>
      <c r="BM1005" t="s">
        <v>2365</v>
      </c>
      <c r="BO1005">
        <v>1</v>
      </c>
      <c r="BP1005">
        <v>11</v>
      </c>
      <c r="BQ1005" t="s">
        <v>2369</v>
      </c>
      <c r="BR1005" t="s">
        <v>1487</v>
      </c>
      <c r="BU1005">
        <v>0</v>
      </c>
      <c r="BV1005">
        <v>0</v>
      </c>
      <c r="BW1005">
        <v>0</v>
      </c>
      <c r="BX1005">
        <v>0</v>
      </c>
      <c r="BY1005" s="1371">
        <v>0</v>
      </c>
      <c r="BZ1005" s="1371">
        <v>0</v>
      </c>
      <c r="CA1005">
        <v>0</v>
      </c>
      <c r="CB1005">
        <v>0</v>
      </c>
      <c r="CC1005">
        <v>0</v>
      </c>
      <c r="CD1005">
        <v>0</v>
      </c>
      <c r="CE1005">
        <v>0</v>
      </c>
      <c r="CF1005">
        <v>0</v>
      </c>
      <c r="CG1005">
        <v>0</v>
      </c>
      <c r="CH1005">
        <v>0</v>
      </c>
      <c r="CI1005">
        <v>0</v>
      </c>
      <c r="CJ1005">
        <v>0</v>
      </c>
      <c r="CK1005">
        <v>0</v>
      </c>
      <c r="CL1005">
        <v>0</v>
      </c>
      <c r="CM1005">
        <v>0</v>
      </c>
      <c r="CR1005" t="s">
        <v>2334</v>
      </c>
      <c r="CS1005" s="1369" t="str">
        <f>INDEX([8]Sheet1!$H:$H,MATCH(CR:CR,[8]Sheet1!$AU:$AU,0))</f>
        <v>Governance Function</v>
      </c>
    </row>
    <row r="1006" spans="1:97" x14ac:dyDescent="0.2">
      <c r="A1006" t="s">
        <v>3864</v>
      </c>
      <c r="B1006">
        <v>1067</v>
      </c>
      <c r="C1006" t="s">
        <v>3864</v>
      </c>
      <c r="D1006">
        <v>30290</v>
      </c>
      <c r="E1006" t="s">
        <v>3865</v>
      </c>
      <c r="F1006" t="s">
        <v>2364</v>
      </c>
      <c r="G1006" t="s">
        <v>2364</v>
      </c>
      <c r="H1006" t="s">
        <v>2365</v>
      </c>
      <c r="I1006" t="s">
        <v>2365</v>
      </c>
      <c r="J1006" t="s">
        <v>2365</v>
      </c>
      <c r="K1006" t="s">
        <v>2365</v>
      </c>
      <c r="L1006">
        <v>1200</v>
      </c>
      <c r="M1006" t="s">
        <v>1480</v>
      </c>
      <c r="N1006">
        <v>1204</v>
      </c>
      <c r="O1006" t="s">
        <v>1487</v>
      </c>
      <c r="P1006" t="s">
        <v>2366</v>
      </c>
      <c r="Q1006" t="s">
        <v>2364</v>
      </c>
      <c r="R1006" t="s">
        <v>2364</v>
      </c>
      <c r="S1006" t="s">
        <v>553</v>
      </c>
      <c r="T1006" t="s">
        <v>2175</v>
      </c>
      <c r="U1006">
        <v>140</v>
      </c>
      <c r="V1006" t="s">
        <v>693</v>
      </c>
      <c r="W1006">
        <v>140</v>
      </c>
      <c r="X1006" t="s">
        <v>693</v>
      </c>
      <c r="Y1006" t="s">
        <v>2365</v>
      </c>
      <c r="Z1006" t="s">
        <v>2365</v>
      </c>
      <c r="AA1006" t="s">
        <v>2365</v>
      </c>
      <c r="AB1006" t="s">
        <v>2365</v>
      </c>
      <c r="AC1006" s="813" t="s">
        <v>2365</v>
      </c>
      <c r="AD1006" s="813" t="s">
        <v>2365</v>
      </c>
      <c r="AE1006" s="813" t="s">
        <v>2365</v>
      </c>
      <c r="AF1006" t="s">
        <v>2365</v>
      </c>
      <c r="AG1006" t="s">
        <v>2365</v>
      </c>
      <c r="AH1006" t="s">
        <v>2365</v>
      </c>
      <c r="AI1006" t="s">
        <v>2365</v>
      </c>
      <c r="AJ1006" t="s">
        <v>2365</v>
      </c>
      <c r="AK1006">
        <v>147</v>
      </c>
      <c r="AL1006" t="s">
        <v>1200</v>
      </c>
      <c r="AM1006">
        <v>147</v>
      </c>
      <c r="AN1006" t="s">
        <v>1200</v>
      </c>
      <c r="AR1006" t="s">
        <v>2365</v>
      </c>
      <c r="AS1006" t="s">
        <v>2365</v>
      </c>
      <c r="AT1006" t="s">
        <v>2365</v>
      </c>
      <c r="AU1006" t="s">
        <v>2365</v>
      </c>
      <c r="AV1006" t="s">
        <v>2365</v>
      </c>
      <c r="AW1006" t="s">
        <v>2365</v>
      </c>
      <c r="AX1006" t="s">
        <v>2365</v>
      </c>
      <c r="AY1006" t="s">
        <v>2365</v>
      </c>
      <c r="AZ1006" t="s">
        <v>2365</v>
      </c>
      <c r="BA1006" t="s">
        <v>2365</v>
      </c>
      <c r="BB1006" t="s">
        <v>2365</v>
      </c>
      <c r="BC1006" t="s">
        <v>2365</v>
      </c>
      <c r="BD1006" t="s">
        <v>2366</v>
      </c>
      <c r="BE1006" t="s">
        <v>2365</v>
      </c>
      <c r="BF1006" t="s">
        <v>2365</v>
      </c>
      <c r="BG1006" t="s">
        <v>2365</v>
      </c>
      <c r="BH1006" t="s">
        <v>2365</v>
      </c>
      <c r="BI1006" t="s">
        <v>2366</v>
      </c>
      <c r="BJ1006" t="s">
        <v>2365</v>
      </c>
      <c r="BK1006" t="s">
        <v>2365</v>
      </c>
      <c r="BL1006" t="s">
        <v>2365</v>
      </c>
      <c r="BM1006" t="s">
        <v>2365</v>
      </c>
      <c r="BO1006">
        <v>1</v>
      </c>
      <c r="BP1006">
        <v>11</v>
      </c>
      <c r="BQ1006" t="s">
        <v>2369</v>
      </c>
      <c r="BR1006" t="s">
        <v>1487</v>
      </c>
      <c r="BU1006">
        <v>0</v>
      </c>
      <c r="BV1006">
        <v>0</v>
      </c>
      <c r="BW1006">
        <v>0</v>
      </c>
      <c r="BX1006">
        <v>0</v>
      </c>
      <c r="BY1006">
        <v>0</v>
      </c>
      <c r="BZ1006">
        <v>0</v>
      </c>
      <c r="CA1006">
        <v>0</v>
      </c>
      <c r="CB1006">
        <v>0</v>
      </c>
      <c r="CC1006">
        <v>0</v>
      </c>
      <c r="CD1006">
        <v>0</v>
      </c>
      <c r="CE1006">
        <v>0</v>
      </c>
      <c r="CF1006">
        <v>0</v>
      </c>
      <c r="CG1006">
        <v>0</v>
      </c>
      <c r="CH1006">
        <v>0</v>
      </c>
      <c r="CI1006">
        <v>0</v>
      </c>
      <c r="CJ1006">
        <v>0</v>
      </c>
      <c r="CK1006">
        <v>0</v>
      </c>
      <c r="CL1006">
        <v>0</v>
      </c>
      <c r="CM1006">
        <v>0</v>
      </c>
      <c r="CR1006" t="s">
        <v>2319</v>
      </c>
      <c r="CS1006" s="1369" t="str">
        <f>INDEX([8]Sheet1!$H:$H,MATCH(CR:CR,[8]Sheet1!$AU:$AU,0))</f>
        <v>Mayor and Council</v>
      </c>
    </row>
    <row r="1007" spans="1:97" x14ac:dyDescent="0.2">
      <c r="A1007" t="s">
        <v>3866</v>
      </c>
      <c r="B1007">
        <v>1068</v>
      </c>
      <c r="C1007" t="s">
        <v>3866</v>
      </c>
      <c r="D1007">
        <v>30291</v>
      </c>
      <c r="E1007" t="s">
        <v>3867</v>
      </c>
      <c r="F1007" t="s">
        <v>2364</v>
      </c>
      <c r="G1007" t="s">
        <v>2364</v>
      </c>
      <c r="H1007" t="s">
        <v>2365</v>
      </c>
      <c r="I1007" t="s">
        <v>2365</v>
      </c>
      <c r="J1007" t="s">
        <v>2365</v>
      </c>
      <c r="K1007" t="s">
        <v>2365</v>
      </c>
      <c r="L1007">
        <v>1200</v>
      </c>
      <c r="M1007" t="s">
        <v>1480</v>
      </c>
      <c r="N1007">
        <v>1204</v>
      </c>
      <c r="O1007" t="s">
        <v>1487</v>
      </c>
      <c r="P1007" t="s">
        <v>2366</v>
      </c>
      <c r="Q1007" t="s">
        <v>2364</v>
      </c>
      <c r="R1007" t="s">
        <v>2364</v>
      </c>
      <c r="S1007" t="s">
        <v>553</v>
      </c>
      <c r="T1007" t="s">
        <v>2175</v>
      </c>
      <c r="U1007">
        <v>140</v>
      </c>
      <c r="V1007" t="s">
        <v>693</v>
      </c>
      <c r="W1007">
        <v>140</v>
      </c>
      <c r="X1007" t="s">
        <v>693</v>
      </c>
      <c r="Y1007" t="s">
        <v>2365</v>
      </c>
      <c r="Z1007" t="s">
        <v>2365</v>
      </c>
      <c r="AA1007" t="s">
        <v>2365</v>
      </c>
      <c r="AB1007" t="s">
        <v>2365</v>
      </c>
      <c r="AC1007" s="813" t="s">
        <v>2365</v>
      </c>
      <c r="AD1007" s="813" t="s">
        <v>2365</v>
      </c>
      <c r="AE1007" s="813" t="s">
        <v>2365</v>
      </c>
      <c r="AF1007" t="s">
        <v>2365</v>
      </c>
      <c r="AG1007" t="s">
        <v>2365</v>
      </c>
      <c r="AH1007" t="s">
        <v>2365</v>
      </c>
      <c r="AI1007" t="s">
        <v>2365</v>
      </c>
      <c r="AJ1007" t="s">
        <v>2365</v>
      </c>
      <c r="AK1007" t="s">
        <v>2366</v>
      </c>
      <c r="AL1007" t="s">
        <v>2366</v>
      </c>
      <c r="AM1007" t="s">
        <v>2366</v>
      </c>
      <c r="AN1007" t="s">
        <v>2366</v>
      </c>
      <c r="AR1007" t="s">
        <v>2365</v>
      </c>
      <c r="AS1007" t="s">
        <v>2365</v>
      </c>
      <c r="AT1007" t="s">
        <v>2365</v>
      </c>
      <c r="AU1007" t="s">
        <v>2365</v>
      </c>
      <c r="AV1007" t="s">
        <v>2365</v>
      </c>
      <c r="AW1007" t="s">
        <v>2365</v>
      </c>
      <c r="AX1007" t="s">
        <v>2365</v>
      </c>
      <c r="AY1007" t="s">
        <v>2365</v>
      </c>
      <c r="AZ1007" t="s">
        <v>2365</v>
      </c>
      <c r="BA1007" t="s">
        <v>2365</v>
      </c>
      <c r="BB1007" t="s">
        <v>2365</v>
      </c>
      <c r="BC1007" t="s">
        <v>2365</v>
      </c>
      <c r="BD1007" t="s">
        <v>2366</v>
      </c>
      <c r="BE1007" t="s">
        <v>2365</v>
      </c>
      <c r="BF1007" t="s">
        <v>2365</v>
      </c>
      <c r="BG1007" t="s">
        <v>2365</v>
      </c>
      <c r="BH1007" t="s">
        <v>2365</v>
      </c>
      <c r="BI1007" t="s">
        <v>2366</v>
      </c>
      <c r="BJ1007" t="s">
        <v>2365</v>
      </c>
      <c r="BK1007" t="s">
        <v>2365</v>
      </c>
      <c r="BL1007" t="s">
        <v>2365</v>
      </c>
      <c r="BM1007" t="s">
        <v>2365</v>
      </c>
      <c r="BO1007">
        <v>1</v>
      </c>
      <c r="BP1007">
        <v>11</v>
      </c>
      <c r="BQ1007" t="s">
        <v>2369</v>
      </c>
      <c r="BR1007" t="s">
        <v>1487</v>
      </c>
      <c r="BU1007">
        <v>0</v>
      </c>
      <c r="BV1007">
        <v>0</v>
      </c>
      <c r="BW1007">
        <v>0</v>
      </c>
      <c r="BX1007">
        <v>0</v>
      </c>
      <c r="BY1007" s="1371">
        <v>0</v>
      </c>
      <c r="BZ1007" s="1371">
        <v>0</v>
      </c>
      <c r="CA1007">
        <v>0</v>
      </c>
      <c r="CB1007">
        <v>0</v>
      </c>
      <c r="CC1007">
        <v>0</v>
      </c>
      <c r="CD1007">
        <v>0</v>
      </c>
      <c r="CE1007">
        <v>0</v>
      </c>
      <c r="CF1007">
        <v>0</v>
      </c>
      <c r="CG1007">
        <v>0</v>
      </c>
      <c r="CH1007">
        <v>0</v>
      </c>
      <c r="CI1007">
        <v>0</v>
      </c>
      <c r="CJ1007">
        <v>0</v>
      </c>
      <c r="CK1007">
        <v>0</v>
      </c>
      <c r="CL1007">
        <v>0</v>
      </c>
      <c r="CM1007">
        <v>0</v>
      </c>
      <c r="CR1007" t="s">
        <v>2324</v>
      </c>
      <c r="CS1007" s="1369" t="str">
        <f>INDEX([8]Sheet1!$H:$H,MATCH(CR:CR,[8]Sheet1!$AU:$AU,0))</f>
        <v>Finance</v>
      </c>
    </row>
    <row r="1008" spans="1:97" x14ac:dyDescent="0.2">
      <c r="A1008" t="s">
        <v>3868</v>
      </c>
      <c r="B1008">
        <v>1069</v>
      </c>
      <c r="C1008" t="s">
        <v>3868</v>
      </c>
      <c r="D1008">
        <v>30292</v>
      </c>
      <c r="E1008" t="s">
        <v>3869</v>
      </c>
      <c r="F1008" t="s">
        <v>2364</v>
      </c>
      <c r="G1008" t="s">
        <v>2364</v>
      </c>
      <c r="H1008" t="s">
        <v>2365</v>
      </c>
      <c r="I1008" t="s">
        <v>2365</v>
      </c>
      <c r="J1008" t="s">
        <v>2365</v>
      </c>
      <c r="K1008" t="s">
        <v>2365</v>
      </c>
      <c r="L1008">
        <v>1200</v>
      </c>
      <c r="M1008" t="s">
        <v>1480</v>
      </c>
      <c r="N1008">
        <v>1204</v>
      </c>
      <c r="O1008" t="s">
        <v>1487</v>
      </c>
      <c r="P1008" t="s">
        <v>2366</v>
      </c>
      <c r="Q1008" t="s">
        <v>2364</v>
      </c>
      <c r="R1008" t="s">
        <v>2364</v>
      </c>
      <c r="S1008" t="s">
        <v>553</v>
      </c>
      <c r="T1008" t="s">
        <v>2175</v>
      </c>
      <c r="U1008">
        <v>140</v>
      </c>
      <c r="V1008" t="s">
        <v>693</v>
      </c>
      <c r="W1008">
        <v>140</v>
      </c>
      <c r="X1008" t="s">
        <v>693</v>
      </c>
      <c r="Y1008" t="s">
        <v>2365</v>
      </c>
      <c r="Z1008" t="s">
        <v>2365</v>
      </c>
      <c r="AA1008" t="s">
        <v>2365</v>
      </c>
      <c r="AB1008" t="s">
        <v>2365</v>
      </c>
      <c r="AC1008" s="813" t="s">
        <v>2365</v>
      </c>
      <c r="AD1008" s="813" t="s">
        <v>2365</v>
      </c>
      <c r="AE1008" s="813" t="s">
        <v>2365</v>
      </c>
      <c r="AF1008" t="s">
        <v>2365</v>
      </c>
      <c r="AG1008" t="s">
        <v>2365</v>
      </c>
      <c r="AH1008" t="s">
        <v>2365</v>
      </c>
      <c r="AI1008" t="s">
        <v>2365</v>
      </c>
      <c r="AJ1008" t="s">
        <v>2365</v>
      </c>
      <c r="AK1008" t="s">
        <v>2366</v>
      </c>
      <c r="AL1008" t="s">
        <v>2366</v>
      </c>
      <c r="AM1008" t="s">
        <v>2366</v>
      </c>
      <c r="AN1008" t="s">
        <v>2366</v>
      </c>
      <c r="AR1008" t="s">
        <v>2365</v>
      </c>
      <c r="AS1008" t="s">
        <v>2365</v>
      </c>
      <c r="AT1008" t="s">
        <v>2365</v>
      </c>
      <c r="AU1008" t="s">
        <v>2365</v>
      </c>
      <c r="AV1008" t="s">
        <v>2365</v>
      </c>
      <c r="AW1008" t="s">
        <v>2365</v>
      </c>
      <c r="AX1008" t="s">
        <v>2365</v>
      </c>
      <c r="AY1008" t="s">
        <v>2365</v>
      </c>
      <c r="AZ1008" t="s">
        <v>2365</v>
      </c>
      <c r="BA1008" t="s">
        <v>2365</v>
      </c>
      <c r="BB1008" t="s">
        <v>2365</v>
      </c>
      <c r="BC1008" t="s">
        <v>2365</v>
      </c>
      <c r="BD1008" t="s">
        <v>2366</v>
      </c>
      <c r="BE1008" t="s">
        <v>2365</v>
      </c>
      <c r="BF1008" t="s">
        <v>2365</v>
      </c>
      <c r="BG1008" t="s">
        <v>2365</v>
      </c>
      <c r="BH1008" t="s">
        <v>2365</v>
      </c>
      <c r="BI1008" t="s">
        <v>2366</v>
      </c>
      <c r="BJ1008" t="s">
        <v>2365</v>
      </c>
      <c r="BK1008" t="s">
        <v>2365</v>
      </c>
      <c r="BL1008" t="s">
        <v>2365</v>
      </c>
      <c r="BM1008" t="s">
        <v>2365</v>
      </c>
      <c r="BO1008">
        <v>1</v>
      </c>
      <c r="BP1008">
        <v>11</v>
      </c>
      <c r="BQ1008" t="s">
        <v>2369</v>
      </c>
      <c r="BR1008" t="s">
        <v>1487</v>
      </c>
      <c r="BU1008">
        <v>0</v>
      </c>
      <c r="BV1008">
        <v>0</v>
      </c>
      <c r="BW1008">
        <v>0</v>
      </c>
      <c r="BX1008">
        <v>0</v>
      </c>
      <c r="BY1008" s="1371">
        <v>0</v>
      </c>
      <c r="BZ1008" s="1371">
        <v>0</v>
      </c>
      <c r="CA1008">
        <v>0</v>
      </c>
      <c r="CB1008">
        <v>0</v>
      </c>
      <c r="CC1008">
        <v>0</v>
      </c>
      <c r="CD1008">
        <v>0</v>
      </c>
      <c r="CE1008">
        <v>0</v>
      </c>
      <c r="CF1008">
        <v>0</v>
      </c>
      <c r="CG1008">
        <v>0</v>
      </c>
      <c r="CH1008">
        <v>0</v>
      </c>
      <c r="CI1008">
        <v>0</v>
      </c>
      <c r="CJ1008">
        <v>0</v>
      </c>
      <c r="CK1008">
        <v>0</v>
      </c>
      <c r="CL1008">
        <v>0</v>
      </c>
      <c r="CM1008">
        <v>0</v>
      </c>
      <c r="CR1008" t="s">
        <v>2324</v>
      </c>
      <c r="CS1008" s="1369" t="str">
        <f>INDEX([8]Sheet1!$H:$H,MATCH(CR:CR,[8]Sheet1!$AU:$AU,0))</f>
        <v>Finance</v>
      </c>
    </row>
    <row r="1009" spans="1:97" x14ac:dyDescent="0.2">
      <c r="A1009" t="s">
        <v>3870</v>
      </c>
      <c r="B1009">
        <v>1070</v>
      </c>
      <c r="C1009" t="s">
        <v>3870</v>
      </c>
      <c r="D1009">
        <v>30293</v>
      </c>
      <c r="E1009" t="s">
        <v>3871</v>
      </c>
      <c r="F1009" t="s">
        <v>2364</v>
      </c>
      <c r="G1009" t="s">
        <v>2364</v>
      </c>
      <c r="H1009" t="s">
        <v>2365</v>
      </c>
      <c r="I1009" t="s">
        <v>2365</v>
      </c>
      <c r="J1009" t="s">
        <v>2365</v>
      </c>
      <c r="K1009" t="s">
        <v>2365</v>
      </c>
      <c r="L1009">
        <v>1200</v>
      </c>
      <c r="M1009" t="s">
        <v>1480</v>
      </c>
      <c r="N1009">
        <v>1204</v>
      </c>
      <c r="O1009" t="s">
        <v>1487</v>
      </c>
      <c r="P1009" t="s">
        <v>2366</v>
      </c>
      <c r="Q1009" t="s">
        <v>2364</v>
      </c>
      <c r="R1009" t="s">
        <v>2364</v>
      </c>
      <c r="S1009" t="s">
        <v>553</v>
      </c>
      <c r="T1009" t="s">
        <v>2175</v>
      </c>
      <c r="U1009">
        <v>140</v>
      </c>
      <c r="V1009" t="s">
        <v>693</v>
      </c>
      <c r="W1009">
        <v>140</v>
      </c>
      <c r="X1009" t="s">
        <v>693</v>
      </c>
      <c r="Y1009" t="s">
        <v>2365</v>
      </c>
      <c r="Z1009" t="s">
        <v>2365</v>
      </c>
      <c r="AA1009" t="s">
        <v>2365</v>
      </c>
      <c r="AB1009" t="s">
        <v>2365</v>
      </c>
      <c r="AC1009" s="813" t="s">
        <v>2365</v>
      </c>
      <c r="AD1009" s="813" t="s">
        <v>2365</v>
      </c>
      <c r="AE1009" s="813" t="s">
        <v>2365</v>
      </c>
      <c r="AF1009" t="s">
        <v>2365</v>
      </c>
      <c r="AG1009" t="s">
        <v>2365</v>
      </c>
      <c r="AH1009" t="s">
        <v>2365</v>
      </c>
      <c r="AI1009" t="s">
        <v>2365</v>
      </c>
      <c r="AJ1009" t="s">
        <v>2365</v>
      </c>
      <c r="AK1009" t="s">
        <v>2366</v>
      </c>
      <c r="AL1009" t="s">
        <v>2366</v>
      </c>
      <c r="AM1009" t="s">
        <v>2366</v>
      </c>
      <c r="AN1009" t="s">
        <v>2366</v>
      </c>
      <c r="AR1009" t="s">
        <v>2365</v>
      </c>
      <c r="AS1009" t="s">
        <v>2365</v>
      </c>
      <c r="AT1009" t="s">
        <v>2365</v>
      </c>
      <c r="AU1009" t="s">
        <v>2365</v>
      </c>
      <c r="AV1009" t="s">
        <v>2365</v>
      </c>
      <c r="AW1009" t="s">
        <v>2365</v>
      </c>
      <c r="AX1009" t="s">
        <v>2365</v>
      </c>
      <c r="AY1009" t="s">
        <v>2365</v>
      </c>
      <c r="AZ1009" t="s">
        <v>2365</v>
      </c>
      <c r="BA1009" t="s">
        <v>2365</v>
      </c>
      <c r="BB1009" t="s">
        <v>2365</v>
      </c>
      <c r="BC1009" t="s">
        <v>2365</v>
      </c>
      <c r="BD1009" t="s">
        <v>2366</v>
      </c>
      <c r="BE1009" t="s">
        <v>2365</v>
      </c>
      <c r="BF1009" t="s">
        <v>2365</v>
      </c>
      <c r="BG1009" t="s">
        <v>2365</v>
      </c>
      <c r="BH1009" t="s">
        <v>2365</v>
      </c>
      <c r="BI1009" t="s">
        <v>2366</v>
      </c>
      <c r="BJ1009" t="s">
        <v>2365</v>
      </c>
      <c r="BK1009" t="s">
        <v>2365</v>
      </c>
      <c r="BL1009" t="s">
        <v>2365</v>
      </c>
      <c r="BM1009" t="s">
        <v>2365</v>
      </c>
      <c r="BO1009">
        <v>1</v>
      </c>
      <c r="BP1009">
        <v>11</v>
      </c>
      <c r="BQ1009" t="s">
        <v>2369</v>
      </c>
      <c r="BR1009" t="s">
        <v>1487</v>
      </c>
      <c r="BU1009">
        <v>0</v>
      </c>
      <c r="BV1009">
        <v>0</v>
      </c>
      <c r="BW1009">
        <v>0</v>
      </c>
      <c r="BX1009">
        <v>0</v>
      </c>
      <c r="BY1009">
        <v>0</v>
      </c>
      <c r="BZ1009">
        <v>0</v>
      </c>
      <c r="CA1009">
        <v>0</v>
      </c>
      <c r="CB1009">
        <v>0</v>
      </c>
      <c r="CC1009">
        <v>0</v>
      </c>
      <c r="CD1009">
        <v>0</v>
      </c>
      <c r="CE1009">
        <v>0</v>
      </c>
      <c r="CF1009">
        <v>0</v>
      </c>
      <c r="CG1009">
        <v>0</v>
      </c>
      <c r="CH1009">
        <v>0</v>
      </c>
      <c r="CI1009">
        <v>0</v>
      </c>
      <c r="CJ1009">
        <v>0</v>
      </c>
      <c r="CK1009">
        <v>0</v>
      </c>
      <c r="CL1009">
        <v>0</v>
      </c>
      <c r="CM1009">
        <v>0</v>
      </c>
      <c r="CR1009" t="s">
        <v>2324</v>
      </c>
      <c r="CS1009" s="1369" t="str">
        <f>INDEX([8]Sheet1!$H:$H,MATCH(CR:CR,[8]Sheet1!$AU:$AU,0))</f>
        <v>Finance</v>
      </c>
    </row>
    <row r="1010" spans="1:97" x14ac:dyDescent="0.2">
      <c r="A1010" t="s">
        <v>3872</v>
      </c>
      <c r="B1010">
        <v>1071</v>
      </c>
      <c r="C1010" t="s">
        <v>3872</v>
      </c>
      <c r="D1010">
        <v>30294</v>
      </c>
      <c r="E1010" t="s">
        <v>3873</v>
      </c>
      <c r="F1010" t="s">
        <v>2364</v>
      </c>
      <c r="G1010" t="s">
        <v>2364</v>
      </c>
      <c r="H1010" t="s">
        <v>2365</v>
      </c>
      <c r="I1010" t="s">
        <v>2365</v>
      </c>
      <c r="J1010" t="s">
        <v>2365</v>
      </c>
      <c r="K1010" t="s">
        <v>2365</v>
      </c>
      <c r="L1010">
        <v>1200</v>
      </c>
      <c r="M1010" t="s">
        <v>1480</v>
      </c>
      <c r="N1010">
        <v>1204</v>
      </c>
      <c r="O1010" t="s">
        <v>1487</v>
      </c>
      <c r="P1010" t="s">
        <v>2366</v>
      </c>
      <c r="Q1010" t="s">
        <v>2364</v>
      </c>
      <c r="R1010" t="s">
        <v>2364</v>
      </c>
      <c r="S1010" t="s">
        <v>553</v>
      </c>
      <c r="T1010" t="s">
        <v>2175</v>
      </c>
      <c r="U1010" t="s">
        <v>2366</v>
      </c>
      <c r="V1010" t="s">
        <v>2366</v>
      </c>
      <c r="W1010" t="s">
        <v>2366</v>
      </c>
      <c r="X1010" t="s">
        <v>2366</v>
      </c>
      <c r="Y1010" t="s">
        <v>2365</v>
      </c>
      <c r="Z1010" t="s">
        <v>2365</v>
      </c>
      <c r="AA1010" t="s">
        <v>2365</v>
      </c>
      <c r="AB1010" t="s">
        <v>2365</v>
      </c>
      <c r="AC1010" s="813" t="s">
        <v>2365</v>
      </c>
      <c r="AD1010" s="813" t="s">
        <v>2365</v>
      </c>
      <c r="AE1010" s="813" t="s">
        <v>2365</v>
      </c>
      <c r="AF1010" t="s">
        <v>2365</v>
      </c>
      <c r="AG1010" t="s">
        <v>2365</v>
      </c>
      <c r="AH1010" t="s">
        <v>2365</v>
      </c>
      <c r="AI1010" t="s">
        <v>2365</v>
      </c>
      <c r="AJ1010" t="s">
        <v>2365</v>
      </c>
      <c r="AK1010">
        <v>146</v>
      </c>
      <c r="AL1010" t="s">
        <v>1199</v>
      </c>
      <c r="AM1010">
        <v>146</v>
      </c>
      <c r="AN1010" t="s">
        <v>1199</v>
      </c>
      <c r="AR1010" t="s">
        <v>2365</v>
      </c>
      <c r="AS1010" t="s">
        <v>2365</v>
      </c>
      <c r="AT1010" t="s">
        <v>2365</v>
      </c>
      <c r="AU1010" t="s">
        <v>2365</v>
      </c>
      <c r="AV1010" t="s">
        <v>2365</v>
      </c>
      <c r="AW1010" t="s">
        <v>2365</v>
      </c>
      <c r="AX1010" t="s">
        <v>2365</v>
      </c>
      <c r="AY1010" t="s">
        <v>2365</v>
      </c>
      <c r="AZ1010" t="s">
        <v>2365</v>
      </c>
      <c r="BA1010" t="s">
        <v>2365</v>
      </c>
      <c r="BB1010" t="s">
        <v>2365</v>
      </c>
      <c r="BC1010" t="s">
        <v>2365</v>
      </c>
      <c r="BD1010" t="s">
        <v>2366</v>
      </c>
      <c r="BE1010" t="s">
        <v>2365</v>
      </c>
      <c r="BF1010" t="s">
        <v>2365</v>
      </c>
      <c r="BG1010" t="s">
        <v>2365</v>
      </c>
      <c r="BH1010" t="s">
        <v>2365</v>
      </c>
      <c r="BI1010" t="s">
        <v>2366</v>
      </c>
      <c r="BJ1010" t="s">
        <v>2365</v>
      </c>
      <c r="BK1010" t="s">
        <v>2365</v>
      </c>
      <c r="BL1010" t="s">
        <v>2365</v>
      </c>
      <c r="BM1010" t="s">
        <v>2365</v>
      </c>
      <c r="BO1010">
        <v>1</v>
      </c>
      <c r="BP1010">
        <v>11</v>
      </c>
      <c r="BQ1010" t="s">
        <v>2369</v>
      </c>
      <c r="BR1010" t="s">
        <v>1487</v>
      </c>
      <c r="BU1010">
        <v>0</v>
      </c>
      <c r="BV1010">
        <v>0</v>
      </c>
      <c r="BW1010">
        <v>0</v>
      </c>
      <c r="BX1010">
        <v>0</v>
      </c>
      <c r="BY1010">
        <v>0</v>
      </c>
      <c r="BZ1010">
        <v>0</v>
      </c>
      <c r="CA1010">
        <v>0</v>
      </c>
      <c r="CB1010">
        <v>0</v>
      </c>
      <c r="CC1010">
        <v>0</v>
      </c>
      <c r="CD1010">
        <v>0</v>
      </c>
      <c r="CE1010">
        <v>0</v>
      </c>
      <c r="CF1010">
        <v>0</v>
      </c>
      <c r="CG1010">
        <v>0</v>
      </c>
      <c r="CH1010">
        <v>0</v>
      </c>
      <c r="CI1010">
        <v>0</v>
      </c>
      <c r="CJ1010">
        <v>0</v>
      </c>
      <c r="CK1010">
        <v>0</v>
      </c>
      <c r="CL1010">
        <v>0</v>
      </c>
      <c r="CM1010">
        <v>0</v>
      </c>
      <c r="CR1010" t="s">
        <v>2328</v>
      </c>
      <c r="CS1010" s="1369" t="str">
        <f>INDEX([8]Sheet1!$H:$H,MATCH(CR:CR,[8]Sheet1!$AU:$AU,0))</f>
        <v>Water Distribution</v>
      </c>
    </row>
    <row r="1011" spans="1:97" x14ac:dyDescent="0.2">
      <c r="A1011" t="s">
        <v>3874</v>
      </c>
      <c r="B1011">
        <v>1072</v>
      </c>
      <c r="C1011" t="s">
        <v>3874</v>
      </c>
      <c r="D1011">
        <v>30295</v>
      </c>
      <c r="E1011" t="s">
        <v>3875</v>
      </c>
      <c r="F1011" t="s">
        <v>2364</v>
      </c>
      <c r="G1011" t="s">
        <v>2364</v>
      </c>
      <c r="H1011" t="s">
        <v>2365</v>
      </c>
      <c r="I1011" t="s">
        <v>2365</v>
      </c>
      <c r="J1011" t="s">
        <v>2365</v>
      </c>
      <c r="K1011" t="s">
        <v>2365</v>
      </c>
      <c r="L1011">
        <v>1200</v>
      </c>
      <c r="M1011" t="s">
        <v>1480</v>
      </c>
      <c r="N1011">
        <v>1204</v>
      </c>
      <c r="O1011" t="s">
        <v>1487</v>
      </c>
      <c r="P1011" t="s">
        <v>2366</v>
      </c>
      <c r="Q1011" t="s">
        <v>2364</v>
      </c>
      <c r="R1011" t="s">
        <v>2364</v>
      </c>
      <c r="S1011" t="s">
        <v>553</v>
      </c>
      <c r="T1011" t="s">
        <v>2175</v>
      </c>
      <c r="U1011" t="s">
        <v>2366</v>
      </c>
      <c r="V1011" t="s">
        <v>2366</v>
      </c>
      <c r="W1011" t="s">
        <v>2366</v>
      </c>
      <c r="X1011" t="s">
        <v>2366</v>
      </c>
      <c r="Y1011" t="s">
        <v>2365</v>
      </c>
      <c r="Z1011" t="s">
        <v>2365</v>
      </c>
      <c r="AA1011" t="s">
        <v>2365</v>
      </c>
      <c r="AB1011" t="s">
        <v>2365</v>
      </c>
      <c r="AC1011" s="813" t="s">
        <v>2365</v>
      </c>
      <c r="AD1011" s="813" t="s">
        <v>2365</v>
      </c>
      <c r="AE1011" s="813" t="s">
        <v>2365</v>
      </c>
      <c r="AF1011" t="s">
        <v>2365</v>
      </c>
      <c r="AG1011" t="s">
        <v>2365</v>
      </c>
      <c r="AH1011" t="s">
        <v>2365</v>
      </c>
      <c r="AI1011" t="s">
        <v>2365</v>
      </c>
      <c r="AJ1011" t="s">
        <v>2365</v>
      </c>
      <c r="AK1011">
        <v>146</v>
      </c>
      <c r="AL1011" t="s">
        <v>1199</v>
      </c>
      <c r="AM1011">
        <v>146</v>
      </c>
      <c r="AN1011" t="s">
        <v>1199</v>
      </c>
      <c r="AR1011" t="s">
        <v>2365</v>
      </c>
      <c r="AS1011" t="s">
        <v>2365</v>
      </c>
      <c r="AT1011" t="s">
        <v>2365</v>
      </c>
      <c r="AU1011" t="s">
        <v>2365</v>
      </c>
      <c r="AV1011" t="s">
        <v>2365</v>
      </c>
      <c r="AW1011" t="s">
        <v>2365</v>
      </c>
      <c r="AX1011" t="s">
        <v>2365</v>
      </c>
      <c r="AY1011" t="s">
        <v>2365</v>
      </c>
      <c r="AZ1011" t="s">
        <v>2365</v>
      </c>
      <c r="BA1011" t="s">
        <v>2365</v>
      </c>
      <c r="BB1011" t="s">
        <v>2365</v>
      </c>
      <c r="BC1011" t="s">
        <v>2365</v>
      </c>
      <c r="BD1011" t="s">
        <v>2366</v>
      </c>
      <c r="BE1011" t="s">
        <v>2365</v>
      </c>
      <c r="BF1011" t="s">
        <v>2365</v>
      </c>
      <c r="BG1011" t="s">
        <v>2365</v>
      </c>
      <c r="BH1011" t="s">
        <v>2365</v>
      </c>
      <c r="BI1011" t="s">
        <v>2366</v>
      </c>
      <c r="BJ1011" t="s">
        <v>2365</v>
      </c>
      <c r="BK1011" t="s">
        <v>2365</v>
      </c>
      <c r="BL1011" t="s">
        <v>2365</v>
      </c>
      <c r="BM1011" t="s">
        <v>2365</v>
      </c>
      <c r="BO1011">
        <v>1</v>
      </c>
      <c r="BP1011">
        <v>11</v>
      </c>
      <c r="BQ1011" t="s">
        <v>2369</v>
      </c>
      <c r="BR1011" t="s">
        <v>1487</v>
      </c>
      <c r="BU1011">
        <v>0</v>
      </c>
      <c r="BV1011">
        <v>0</v>
      </c>
      <c r="BW1011">
        <v>0</v>
      </c>
      <c r="BX1011">
        <v>0</v>
      </c>
      <c r="BY1011" s="1371">
        <v>0</v>
      </c>
      <c r="BZ1011" s="1371">
        <v>0</v>
      </c>
      <c r="CA1011">
        <v>0</v>
      </c>
      <c r="CB1011">
        <v>0</v>
      </c>
      <c r="CC1011">
        <v>0</v>
      </c>
      <c r="CD1011">
        <v>0</v>
      </c>
      <c r="CE1011">
        <v>0</v>
      </c>
      <c r="CF1011">
        <v>0</v>
      </c>
      <c r="CG1011">
        <v>0</v>
      </c>
      <c r="CH1011">
        <v>0</v>
      </c>
      <c r="CI1011">
        <v>0</v>
      </c>
      <c r="CJ1011">
        <v>0</v>
      </c>
      <c r="CK1011">
        <v>0</v>
      </c>
      <c r="CL1011">
        <v>0</v>
      </c>
      <c r="CM1011">
        <v>0</v>
      </c>
      <c r="CR1011" t="s">
        <v>2324</v>
      </c>
      <c r="CS1011" s="1369" t="str">
        <f>INDEX([8]Sheet1!$H:$H,MATCH(CR:CR,[8]Sheet1!$AU:$AU,0))</f>
        <v>Finance</v>
      </c>
    </row>
    <row r="1012" spans="1:97" x14ac:dyDescent="0.2">
      <c r="A1012" t="s">
        <v>3876</v>
      </c>
      <c r="B1012">
        <v>1073</v>
      </c>
      <c r="C1012" t="s">
        <v>3876</v>
      </c>
      <c r="D1012">
        <v>30296</v>
      </c>
      <c r="E1012" t="s">
        <v>3877</v>
      </c>
      <c r="F1012" t="s">
        <v>2364</v>
      </c>
      <c r="G1012" t="s">
        <v>2364</v>
      </c>
      <c r="H1012" t="s">
        <v>2365</v>
      </c>
      <c r="I1012" t="s">
        <v>2365</v>
      </c>
      <c r="J1012" t="s">
        <v>2365</v>
      </c>
      <c r="K1012" t="s">
        <v>2365</v>
      </c>
      <c r="L1012">
        <v>1200</v>
      </c>
      <c r="M1012" t="s">
        <v>1480</v>
      </c>
      <c r="N1012">
        <v>1204</v>
      </c>
      <c r="O1012" t="s">
        <v>1487</v>
      </c>
      <c r="P1012" t="s">
        <v>2366</v>
      </c>
      <c r="Q1012" t="s">
        <v>2364</v>
      </c>
      <c r="R1012" t="s">
        <v>2364</v>
      </c>
      <c r="S1012" t="s">
        <v>553</v>
      </c>
      <c r="T1012" t="s">
        <v>2175</v>
      </c>
      <c r="U1012">
        <v>140</v>
      </c>
      <c r="V1012" t="s">
        <v>693</v>
      </c>
      <c r="W1012">
        <v>140</v>
      </c>
      <c r="X1012" t="s">
        <v>693</v>
      </c>
      <c r="Y1012" t="s">
        <v>2365</v>
      </c>
      <c r="Z1012" t="s">
        <v>2365</v>
      </c>
      <c r="AA1012" t="s">
        <v>2365</v>
      </c>
      <c r="AB1012" t="s">
        <v>2365</v>
      </c>
      <c r="AC1012" s="813" t="s">
        <v>2365</v>
      </c>
      <c r="AD1012" s="813" t="s">
        <v>2365</v>
      </c>
      <c r="AE1012" s="813" t="s">
        <v>2365</v>
      </c>
      <c r="AF1012" t="s">
        <v>2365</v>
      </c>
      <c r="AG1012" t="s">
        <v>2365</v>
      </c>
      <c r="AH1012" t="s">
        <v>2365</v>
      </c>
      <c r="AI1012" t="s">
        <v>2365</v>
      </c>
      <c r="AJ1012" t="s">
        <v>2365</v>
      </c>
      <c r="AK1012" t="s">
        <v>2366</v>
      </c>
      <c r="AL1012" t="s">
        <v>2366</v>
      </c>
      <c r="AM1012" t="s">
        <v>2366</v>
      </c>
      <c r="AN1012" t="s">
        <v>2366</v>
      </c>
      <c r="AR1012" t="s">
        <v>2365</v>
      </c>
      <c r="AS1012" t="s">
        <v>2365</v>
      </c>
      <c r="AT1012" t="s">
        <v>2365</v>
      </c>
      <c r="AU1012" t="s">
        <v>2365</v>
      </c>
      <c r="AV1012" t="s">
        <v>2365</v>
      </c>
      <c r="AW1012" t="s">
        <v>2365</v>
      </c>
      <c r="AX1012" t="s">
        <v>2365</v>
      </c>
      <c r="AY1012" t="s">
        <v>2365</v>
      </c>
      <c r="AZ1012" t="s">
        <v>2365</v>
      </c>
      <c r="BA1012" t="s">
        <v>2365</v>
      </c>
      <c r="BB1012" t="s">
        <v>2365</v>
      </c>
      <c r="BC1012" t="s">
        <v>2365</v>
      </c>
      <c r="BD1012" t="s">
        <v>2366</v>
      </c>
      <c r="BE1012" t="s">
        <v>2365</v>
      </c>
      <c r="BF1012" t="s">
        <v>2365</v>
      </c>
      <c r="BG1012" t="s">
        <v>2365</v>
      </c>
      <c r="BH1012" t="s">
        <v>2365</v>
      </c>
      <c r="BI1012" t="s">
        <v>2366</v>
      </c>
      <c r="BJ1012" t="s">
        <v>2365</v>
      </c>
      <c r="BK1012" t="s">
        <v>2365</v>
      </c>
      <c r="BL1012" t="s">
        <v>2365</v>
      </c>
      <c r="BM1012" t="s">
        <v>2365</v>
      </c>
      <c r="BO1012">
        <v>1</v>
      </c>
      <c r="BP1012">
        <v>11</v>
      </c>
      <c r="BQ1012" t="s">
        <v>2369</v>
      </c>
      <c r="BR1012" t="s">
        <v>1487</v>
      </c>
      <c r="BU1012">
        <v>0</v>
      </c>
      <c r="BV1012">
        <v>0</v>
      </c>
      <c r="BW1012">
        <v>0</v>
      </c>
      <c r="BX1012">
        <v>0</v>
      </c>
      <c r="BY1012" s="1371">
        <v>0</v>
      </c>
      <c r="BZ1012" s="1371">
        <v>0</v>
      </c>
      <c r="CA1012">
        <v>0</v>
      </c>
      <c r="CB1012">
        <v>0</v>
      </c>
      <c r="CC1012">
        <v>0</v>
      </c>
      <c r="CD1012">
        <v>0</v>
      </c>
      <c r="CE1012">
        <v>0</v>
      </c>
      <c r="CF1012">
        <v>0</v>
      </c>
      <c r="CG1012">
        <v>0</v>
      </c>
      <c r="CH1012">
        <v>0</v>
      </c>
      <c r="CI1012">
        <v>0</v>
      </c>
      <c r="CJ1012">
        <v>0</v>
      </c>
      <c r="CK1012">
        <v>0</v>
      </c>
      <c r="CL1012">
        <v>0</v>
      </c>
      <c r="CM1012">
        <v>0</v>
      </c>
      <c r="CR1012" t="s">
        <v>2324</v>
      </c>
      <c r="CS1012" s="1369" t="str">
        <f>INDEX([8]Sheet1!$H:$H,MATCH(CR:CR,[8]Sheet1!$AU:$AU,0))</f>
        <v>Finance</v>
      </c>
    </row>
    <row r="1013" spans="1:97" x14ac:dyDescent="0.2">
      <c r="A1013" t="s">
        <v>3878</v>
      </c>
      <c r="B1013">
        <v>1074</v>
      </c>
      <c r="C1013" t="s">
        <v>3878</v>
      </c>
      <c r="D1013">
        <v>30297</v>
      </c>
      <c r="E1013" t="s">
        <v>3879</v>
      </c>
      <c r="F1013" t="s">
        <v>2364</v>
      </c>
      <c r="G1013" t="s">
        <v>2364</v>
      </c>
      <c r="H1013" t="s">
        <v>2365</v>
      </c>
      <c r="I1013" t="s">
        <v>2365</v>
      </c>
      <c r="J1013" t="s">
        <v>2365</v>
      </c>
      <c r="K1013" t="s">
        <v>2365</v>
      </c>
      <c r="L1013">
        <v>1200</v>
      </c>
      <c r="M1013" t="s">
        <v>1480</v>
      </c>
      <c r="N1013">
        <v>1204</v>
      </c>
      <c r="O1013" t="s">
        <v>1487</v>
      </c>
      <c r="P1013" t="s">
        <v>2366</v>
      </c>
      <c r="Q1013" t="s">
        <v>2364</v>
      </c>
      <c r="R1013" t="s">
        <v>2364</v>
      </c>
      <c r="S1013" t="s">
        <v>553</v>
      </c>
      <c r="T1013" t="s">
        <v>2175</v>
      </c>
      <c r="U1013">
        <v>140</v>
      </c>
      <c r="V1013" t="s">
        <v>693</v>
      </c>
      <c r="W1013">
        <v>140</v>
      </c>
      <c r="X1013" t="s">
        <v>693</v>
      </c>
      <c r="Y1013" t="s">
        <v>2365</v>
      </c>
      <c r="Z1013" t="s">
        <v>2365</v>
      </c>
      <c r="AA1013" t="s">
        <v>2365</v>
      </c>
      <c r="AB1013" t="s">
        <v>2365</v>
      </c>
      <c r="AC1013" s="813" t="s">
        <v>2365</v>
      </c>
      <c r="AD1013" s="813" t="s">
        <v>2365</v>
      </c>
      <c r="AE1013" s="813" t="s">
        <v>2365</v>
      </c>
      <c r="AF1013" t="s">
        <v>2365</v>
      </c>
      <c r="AG1013" t="s">
        <v>2365</v>
      </c>
      <c r="AH1013" t="s">
        <v>2365</v>
      </c>
      <c r="AI1013" t="s">
        <v>2365</v>
      </c>
      <c r="AJ1013" t="s">
        <v>2365</v>
      </c>
      <c r="AK1013" t="s">
        <v>2366</v>
      </c>
      <c r="AL1013" t="s">
        <v>2366</v>
      </c>
      <c r="AM1013" t="s">
        <v>2366</v>
      </c>
      <c r="AN1013" t="s">
        <v>2366</v>
      </c>
      <c r="AR1013" t="s">
        <v>2365</v>
      </c>
      <c r="AS1013" t="s">
        <v>2365</v>
      </c>
      <c r="AT1013" t="s">
        <v>2365</v>
      </c>
      <c r="AU1013" t="s">
        <v>2365</v>
      </c>
      <c r="AV1013" t="s">
        <v>2365</v>
      </c>
      <c r="AW1013" t="s">
        <v>2365</v>
      </c>
      <c r="AX1013" t="s">
        <v>2365</v>
      </c>
      <c r="AY1013" t="s">
        <v>2365</v>
      </c>
      <c r="AZ1013" t="s">
        <v>2365</v>
      </c>
      <c r="BA1013" t="s">
        <v>2365</v>
      </c>
      <c r="BB1013" t="s">
        <v>2365</v>
      </c>
      <c r="BC1013" t="s">
        <v>2365</v>
      </c>
      <c r="BD1013" t="s">
        <v>2366</v>
      </c>
      <c r="BE1013" t="s">
        <v>2365</v>
      </c>
      <c r="BF1013" t="s">
        <v>2365</v>
      </c>
      <c r="BG1013" t="s">
        <v>2365</v>
      </c>
      <c r="BH1013" t="s">
        <v>2365</v>
      </c>
      <c r="BI1013" t="s">
        <v>2366</v>
      </c>
      <c r="BJ1013" t="s">
        <v>2365</v>
      </c>
      <c r="BK1013" t="s">
        <v>2365</v>
      </c>
      <c r="BL1013" t="s">
        <v>2365</v>
      </c>
      <c r="BM1013" t="s">
        <v>2365</v>
      </c>
      <c r="BO1013">
        <v>1</v>
      </c>
      <c r="BP1013">
        <v>11</v>
      </c>
      <c r="BQ1013" t="s">
        <v>2369</v>
      </c>
      <c r="BR1013" t="s">
        <v>1487</v>
      </c>
      <c r="BU1013">
        <v>0</v>
      </c>
      <c r="BV1013">
        <v>0</v>
      </c>
      <c r="BW1013">
        <v>0</v>
      </c>
      <c r="BX1013">
        <v>0</v>
      </c>
      <c r="BY1013" s="1371">
        <v>0</v>
      </c>
      <c r="BZ1013" s="1371">
        <v>0</v>
      </c>
      <c r="CA1013">
        <v>0</v>
      </c>
      <c r="CB1013">
        <v>0</v>
      </c>
      <c r="CC1013">
        <v>0</v>
      </c>
      <c r="CD1013">
        <v>0</v>
      </c>
      <c r="CE1013">
        <v>0</v>
      </c>
      <c r="CF1013">
        <v>0</v>
      </c>
      <c r="CG1013">
        <v>0</v>
      </c>
      <c r="CH1013">
        <v>0</v>
      </c>
      <c r="CI1013">
        <v>0</v>
      </c>
      <c r="CJ1013">
        <v>0</v>
      </c>
      <c r="CK1013">
        <v>0</v>
      </c>
      <c r="CL1013">
        <v>0</v>
      </c>
      <c r="CM1013">
        <v>0</v>
      </c>
      <c r="CR1013" t="s">
        <v>2324</v>
      </c>
      <c r="CS1013" s="1369" t="str">
        <f>INDEX([8]Sheet1!$H:$H,MATCH(CR:CR,[8]Sheet1!$AU:$AU,0))</f>
        <v>Finance</v>
      </c>
    </row>
    <row r="1014" spans="1:97" x14ac:dyDescent="0.2">
      <c r="A1014" t="s">
        <v>3880</v>
      </c>
      <c r="B1014">
        <v>1075</v>
      </c>
      <c r="C1014" t="s">
        <v>3880</v>
      </c>
      <c r="D1014">
        <v>30298</v>
      </c>
      <c r="E1014" t="s">
        <v>3881</v>
      </c>
      <c r="F1014" t="s">
        <v>2364</v>
      </c>
      <c r="G1014" t="s">
        <v>2364</v>
      </c>
      <c r="H1014" s="1373" t="s">
        <v>2365</v>
      </c>
      <c r="I1014" t="s">
        <v>2365</v>
      </c>
      <c r="J1014" t="s">
        <v>2365</v>
      </c>
      <c r="K1014" t="s">
        <v>2365</v>
      </c>
      <c r="L1014" s="1373">
        <v>1200</v>
      </c>
      <c r="M1014" t="s">
        <v>1480</v>
      </c>
      <c r="N1014">
        <v>1204</v>
      </c>
      <c r="O1014" t="s">
        <v>1487</v>
      </c>
      <c r="P1014" t="s">
        <v>2366</v>
      </c>
      <c r="Q1014" t="s">
        <v>2364</v>
      </c>
      <c r="R1014" t="s">
        <v>2364</v>
      </c>
      <c r="S1014" t="s">
        <v>553</v>
      </c>
      <c r="T1014" t="s">
        <v>2175</v>
      </c>
      <c r="U1014">
        <v>140</v>
      </c>
      <c r="V1014" t="s">
        <v>693</v>
      </c>
      <c r="W1014">
        <v>140</v>
      </c>
      <c r="X1014" t="s">
        <v>693</v>
      </c>
      <c r="Y1014" t="s">
        <v>2365</v>
      </c>
      <c r="Z1014" t="s">
        <v>2365</v>
      </c>
      <c r="AA1014" t="s">
        <v>2365</v>
      </c>
      <c r="AB1014" t="s">
        <v>2365</v>
      </c>
      <c r="AC1014" s="813" t="s">
        <v>2365</v>
      </c>
      <c r="AD1014" s="813" t="s">
        <v>2365</v>
      </c>
      <c r="AE1014" s="813" t="s">
        <v>2365</v>
      </c>
      <c r="AF1014" t="s">
        <v>2365</v>
      </c>
      <c r="AG1014" t="s">
        <v>2365</v>
      </c>
      <c r="AH1014" t="s">
        <v>2365</v>
      </c>
      <c r="AI1014" t="s">
        <v>2365</v>
      </c>
      <c r="AJ1014" t="s">
        <v>2365</v>
      </c>
      <c r="AK1014">
        <v>147</v>
      </c>
      <c r="AL1014" t="s">
        <v>1200</v>
      </c>
      <c r="AM1014">
        <v>147</v>
      </c>
      <c r="AN1014" t="s">
        <v>1200</v>
      </c>
      <c r="AR1014" t="s">
        <v>2365</v>
      </c>
      <c r="AS1014" t="s">
        <v>2365</v>
      </c>
      <c r="AT1014" t="s">
        <v>2365</v>
      </c>
      <c r="AU1014" t="s">
        <v>2365</v>
      </c>
      <c r="AV1014" t="s">
        <v>2365</v>
      </c>
      <c r="AW1014" t="s">
        <v>2365</v>
      </c>
      <c r="AX1014" t="s">
        <v>2365</v>
      </c>
      <c r="AY1014" t="s">
        <v>2365</v>
      </c>
      <c r="AZ1014" t="s">
        <v>2365</v>
      </c>
      <c r="BA1014" t="s">
        <v>2365</v>
      </c>
      <c r="BB1014" t="s">
        <v>2365</v>
      </c>
      <c r="BC1014" t="s">
        <v>2365</v>
      </c>
      <c r="BD1014" t="s">
        <v>2366</v>
      </c>
      <c r="BE1014" t="s">
        <v>2365</v>
      </c>
      <c r="BF1014" t="s">
        <v>2365</v>
      </c>
      <c r="BG1014" t="s">
        <v>2365</v>
      </c>
      <c r="BH1014" t="s">
        <v>2365</v>
      </c>
      <c r="BI1014" t="s">
        <v>2366</v>
      </c>
      <c r="BJ1014" t="s">
        <v>2365</v>
      </c>
      <c r="BK1014" t="s">
        <v>2365</v>
      </c>
      <c r="BL1014" t="s">
        <v>2365</v>
      </c>
      <c r="BM1014" t="s">
        <v>2365</v>
      </c>
      <c r="BO1014">
        <v>1</v>
      </c>
      <c r="BP1014">
        <v>11</v>
      </c>
      <c r="BQ1014" t="s">
        <v>2369</v>
      </c>
      <c r="BR1014" t="s">
        <v>1487</v>
      </c>
      <c r="BU1014" s="1371">
        <v>0</v>
      </c>
      <c r="BV1014" s="1371">
        <v>0</v>
      </c>
      <c r="BW1014" s="1371">
        <v>0</v>
      </c>
      <c r="BX1014" s="1371">
        <v>0</v>
      </c>
      <c r="BY1014" s="1371">
        <v>0</v>
      </c>
      <c r="BZ1014" s="1371">
        <v>0</v>
      </c>
      <c r="CA1014">
        <v>0</v>
      </c>
      <c r="CB1014">
        <v>0</v>
      </c>
      <c r="CC1014">
        <v>0</v>
      </c>
      <c r="CD1014">
        <v>0</v>
      </c>
      <c r="CE1014">
        <v>0</v>
      </c>
      <c r="CF1014">
        <v>0</v>
      </c>
      <c r="CG1014">
        <v>0</v>
      </c>
      <c r="CH1014">
        <v>0</v>
      </c>
      <c r="CI1014">
        <v>0</v>
      </c>
      <c r="CJ1014">
        <v>0</v>
      </c>
      <c r="CK1014">
        <v>0</v>
      </c>
      <c r="CL1014">
        <v>0</v>
      </c>
      <c r="CM1014">
        <v>0</v>
      </c>
      <c r="CR1014" t="s">
        <v>2324</v>
      </c>
      <c r="CS1014" s="1369" t="str">
        <f>INDEX([8]Sheet1!$H:$H,MATCH(CR:CR,[8]Sheet1!$AU:$AU,0))</f>
        <v>Finance</v>
      </c>
    </row>
    <row r="1015" spans="1:97" x14ac:dyDescent="0.2">
      <c r="A1015" t="s">
        <v>3882</v>
      </c>
      <c r="B1015">
        <v>1076</v>
      </c>
      <c r="C1015" t="s">
        <v>3882</v>
      </c>
      <c r="D1015">
        <v>30299</v>
      </c>
      <c r="E1015" t="s">
        <v>3883</v>
      </c>
      <c r="F1015" t="s">
        <v>2364</v>
      </c>
      <c r="G1015" t="s">
        <v>2364</v>
      </c>
      <c r="H1015" t="s">
        <v>2365</v>
      </c>
      <c r="I1015" t="s">
        <v>2365</v>
      </c>
      <c r="J1015" t="s">
        <v>2365</v>
      </c>
      <c r="K1015" t="s">
        <v>2365</v>
      </c>
      <c r="L1015">
        <v>1200</v>
      </c>
      <c r="M1015" t="s">
        <v>1480</v>
      </c>
      <c r="N1015">
        <v>1204</v>
      </c>
      <c r="O1015" t="s">
        <v>1487</v>
      </c>
      <c r="P1015" t="s">
        <v>2366</v>
      </c>
      <c r="Q1015" t="s">
        <v>2364</v>
      </c>
      <c r="R1015" t="s">
        <v>2364</v>
      </c>
      <c r="S1015" t="s">
        <v>553</v>
      </c>
      <c r="T1015" t="s">
        <v>2175</v>
      </c>
      <c r="U1015">
        <v>140</v>
      </c>
      <c r="V1015" t="s">
        <v>693</v>
      </c>
      <c r="W1015">
        <v>140</v>
      </c>
      <c r="X1015" t="s">
        <v>693</v>
      </c>
      <c r="Y1015" t="s">
        <v>2365</v>
      </c>
      <c r="Z1015" t="s">
        <v>2365</v>
      </c>
      <c r="AA1015" t="s">
        <v>2365</v>
      </c>
      <c r="AB1015" t="s">
        <v>2365</v>
      </c>
      <c r="AC1015" s="813" t="s">
        <v>2365</v>
      </c>
      <c r="AD1015" s="813" t="s">
        <v>2365</v>
      </c>
      <c r="AE1015" s="813" t="s">
        <v>2365</v>
      </c>
      <c r="AF1015" t="s">
        <v>2365</v>
      </c>
      <c r="AG1015" t="s">
        <v>2365</v>
      </c>
      <c r="AH1015" t="s">
        <v>2365</v>
      </c>
      <c r="AI1015" t="s">
        <v>2365</v>
      </c>
      <c r="AJ1015" t="s">
        <v>2365</v>
      </c>
      <c r="AK1015" t="s">
        <v>2366</v>
      </c>
      <c r="AL1015" t="s">
        <v>2366</v>
      </c>
      <c r="AM1015" t="s">
        <v>2366</v>
      </c>
      <c r="AN1015" t="s">
        <v>2366</v>
      </c>
      <c r="AR1015" t="s">
        <v>2365</v>
      </c>
      <c r="AS1015" t="s">
        <v>2365</v>
      </c>
      <c r="AT1015" t="s">
        <v>2365</v>
      </c>
      <c r="AU1015" t="s">
        <v>2365</v>
      </c>
      <c r="AV1015" t="s">
        <v>2365</v>
      </c>
      <c r="AW1015" t="s">
        <v>2365</v>
      </c>
      <c r="AX1015" t="s">
        <v>2365</v>
      </c>
      <c r="AY1015" t="s">
        <v>2365</v>
      </c>
      <c r="AZ1015" t="s">
        <v>2365</v>
      </c>
      <c r="BA1015" t="s">
        <v>2365</v>
      </c>
      <c r="BB1015" t="s">
        <v>2365</v>
      </c>
      <c r="BC1015" t="s">
        <v>2365</v>
      </c>
      <c r="BD1015" t="s">
        <v>2366</v>
      </c>
      <c r="BE1015" t="s">
        <v>2365</v>
      </c>
      <c r="BF1015" t="s">
        <v>2365</v>
      </c>
      <c r="BG1015" t="s">
        <v>2365</v>
      </c>
      <c r="BH1015" t="s">
        <v>2365</v>
      </c>
      <c r="BI1015" t="s">
        <v>2366</v>
      </c>
      <c r="BJ1015" t="s">
        <v>2365</v>
      </c>
      <c r="BK1015" t="s">
        <v>2365</v>
      </c>
      <c r="BL1015" t="s">
        <v>2365</v>
      </c>
      <c r="BM1015" t="s">
        <v>2365</v>
      </c>
      <c r="BO1015">
        <v>1</v>
      </c>
      <c r="BP1015">
        <v>11</v>
      </c>
      <c r="BQ1015" t="s">
        <v>2369</v>
      </c>
      <c r="BR1015" t="s">
        <v>1487</v>
      </c>
      <c r="BU1015">
        <v>0</v>
      </c>
      <c r="BV1015">
        <v>0</v>
      </c>
      <c r="BW1015">
        <v>0</v>
      </c>
      <c r="BX1015">
        <v>0</v>
      </c>
      <c r="BY1015">
        <v>0</v>
      </c>
      <c r="BZ1015">
        <v>0</v>
      </c>
      <c r="CA1015">
        <v>0</v>
      </c>
      <c r="CB1015">
        <v>0</v>
      </c>
      <c r="CC1015">
        <v>0</v>
      </c>
      <c r="CD1015">
        <v>0</v>
      </c>
      <c r="CE1015">
        <v>0</v>
      </c>
      <c r="CF1015">
        <v>0</v>
      </c>
      <c r="CG1015">
        <v>0</v>
      </c>
      <c r="CH1015">
        <v>0</v>
      </c>
      <c r="CI1015">
        <v>0</v>
      </c>
      <c r="CJ1015">
        <v>0</v>
      </c>
      <c r="CK1015">
        <v>0</v>
      </c>
      <c r="CL1015">
        <v>0</v>
      </c>
      <c r="CM1015">
        <v>0</v>
      </c>
      <c r="CR1015" t="s">
        <v>2324</v>
      </c>
      <c r="CS1015" s="1369" t="str">
        <f>INDEX([8]Sheet1!$H:$H,MATCH(CR:CR,[8]Sheet1!$AU:$AU,0))</f>
        <v>Finance</v>
      </c>
    </row>
    <row r="1016" spans="1:97" x14ac:dyDescent="0.2">
      <c r="A1016" t="s">
        <v>3884</v>
      </c>
      <c r="B1016">
        <v>1077</v>
      </c>
      <c r="C1016" t="s">
        <v>3884</v>
      </c>
      <c r="D1016">
        <v>30300</v>
      </c>
      <c r="E1016" t="s">
        <v>3885</v>
      </c>
      <c r="F1016" t="s">
        <v>2364</v>
      </c>
      <c r="G1016" t="s">
        <v>2364</v>
      </c>
      <c r="H1016" t="s">
        <v>2365</v>
      </c>
      <c r="I1016" t="s">
        <v>2365</v>
      </c>
      <c r="J1016" t="s">
        <v>2365</v>
      </c>
      <c r="K1016" t="s">
        <v>2365</v>
      </c>
      <c r="L1016">
        <v>1200</v>
      </c>
      <c r="M1016" t="s">
        <v>1480</v>
      </c>
      <c r="N1016">
        <v>1204</v>
      </c>
      <c r="O1016" t="s">
        <v>1487</v>
      </c>
      <c r="P1016" t="s">
        <v>2366</v>
      </c>
      <c r="Q1016" t="s">
        <v>2364</v>
      </c>
      <c r="R1016" t="s">
        <v>2364</v>
      </c>
      <c r="S1016" t="s">
        <v>553</v>
      </c>
      <c r="T1016" t="s">
        <v>2175</v>
      </c>
      <c r="U1016">
        <v>140</v>
      </c>
      <c r="V1016" t="s">
        <v>693</v>
      </c>
      <c r="W1016">
        <v>140</v>
      </c>
      <c r="X1016" t="s">
        <v>693</v>
      </c>
      <c r="Y1016" t="s">
        <v>2365</v>
      </c>
      <c r="Z1016" t="s">
        <v>2365</v>
      </c>
      <c r="AA1016" t="s">
        <v>2365</v>
      </c>
      <c r="AB1016" t="s">
        <v>2365</v>
      </c>
      <c r="AC1016" s="813" t="s">
        <v>2365</v>
      </c>
      <c r="AD1016" s="813" t="s">
        <v>2365</v>
      </c>
      <c r="AE1016" s="813" t="s">
        <v>2365</v>
      </c>
      <c r="AF1016" t="s">
        <v>2365</v>
      </c>
      <c r="AG1016" t="s">
        <v>2365</v>
      </c>
      <c r="AH1016" t="s">
        <v>2365</v>
      </c>
      <c r="AI1016" t="s">
        <v>2365</v>
      </c>
      <c r="AJ1016" t="s">
        <v>2365</v>
      </c>
      <c r="AK1016" t="s">
        <v>2366</v>
      </c>
      <c r="AL1016" t="s">
        <v>2366</v>
      </c>
      <c r="AM1016" t="s">
        <v>2366</v>
      </c>
      <c r="AN1016" t="s">
        <v>2366</v>
      </c>
      <c r="AR1016" t="s">
        <v>2365</v>
      </c>
      <c r="AS1016" t="s">
        <v>2365</v>
      </c>
      <c r="AT1016" t="s">
        <v>2365</v>
      </c>
      <c r="AU1016" t="s">
        <v>2365</v>
      </c>
      <c r="AV1016" t="s">
        <v>2365</v>
      </c>
      <c r="AW1016" t="s">
        <v>2365</v>
      </c>
      <c r="AX1016" t="s">
        <v>2365</v>
      </c>
      <c r="AY1016" t="s">
        <v>2365</v>
      </c>
      <c r="AZ1016" t="s">
        <v>2365</v>
      </c>
      <c r="BA1016" t="s">
        <v>2365</v>
      </c>
      <c r="BB1016" t="s">
        <v>2365</v>
      </c>
      <c r="BC1016" t="s">
        <v>2365</v>
      </c>
      <c r="BD1016" t="s">
        <v>2366</v>
      </c>
      <c r="BE1016" t="s">
        <v>2365</v>
      </c>
      <c r="BF1016" t="s">
        <v>2365</v>
      </c>
      <c r="BG1016" t="s">
        <v>2365</v>
      </c>
      <c r="BH1016" t="s">
        <v>2365</v>
      </c>
      <c r="BI1016" t="s">
        <v>2366</v>
      </c>
      <c r="BJ1016" t="s">
        <v>2365</v>
      </c>
      <c r="BK1016" t="s">
        <v>2365</v>
      </c>
      <c r="BL1016" t="s">
        <v>2365</v>
      </c>
      <c r="BM1016" t="s">
        <v>2365</v>
      </c>
      <c r="BO1016">
        <v>1</v>
      </c>
      <c r="BP1016">
        <v>11</v>
      </c>
      <c r="BQ1016" t="s">
        <v>2369</v>
      </c>
      <c r="BR1016" t="s">
        <v>1487</v>
      </c>
      <c r="BU1016">
        <v>0</v>
      </c>
      <c r="BV1016">
        <v>0</v>
      </c>
      <c r="BW1016">
        <v>0</v>
      </c>
      <c r="BX1016">
        <v>0</v>
      </c>
      <c r="BY1016">
        <v>0</v>
      </c>
      <c r="BZ1016">
        <v>0</v>
      </c>
      <c r="CA1016">
        <v>0</v>
      </c>
      <c r="CB1016">
        <v>0</v>
      </c>
      <c r="CC1016">
        <v>0</v>
      </c>
      <c r="CD1016">
        <v>0</v>
      </c>
      <c r="CE1016">
        <v>0</v>
      </c>
      <c r="CF1016">
        <v>0</v>
      </c>
      <c r="CG1016">
        <v>0</v>
      </c>
      <c r="CH1016">
        <v>0</v>
      </c>
      <c r="CI1016">
        <v>0</v>
      </c>
      <c r="CJ1016">
        <v>0</v>
      </c>
      <c r="CK1016">
        <v>0</v>
      </c>
      <c r="CL1016">
        <v>0</v>
      </c>
      <c r="CM1016">
        <v>0</v>
      </c>
      <c r="CR1016" t="s">
        <v>2324</v>
      </c>
      <c r="CS1016" s="1369" t="str">
        <f>INDEX([8]Sheet1!$H:$H,MATCH(CR:CR,[8]Sheet1!$AU:$AU,0))</f>
        <v>Finance</v>
      </c>
    </row>
    <row r="1017" spans="1:97" x14ac:dyDescent="0.2">
      <c r="A1017" t="s">
        <v>3886</v>
      </c>
      <c r="B1017">
        <v>1078</v>
      </c>
      <c r="C1017" t="s">
        <v>3886</v>
      </c>
      <c r="D1017">
        <v>30301</v>
      </c>
      <c r="E1017" t="s">
        <v>3887</v>
      </c>
      <c r="F1017" t="s">
        <v>2364</v>
      </c>
      <c r="G1017" t="s">
        <v>2364</v>
      </c>
      <c r="H1017" t="s">
        <v>2365</v>
      </c>
      <c r="I1017" t="s">
        <v>2365</v>
      </c>
      <c r="J1017" t="s">
        <v>2365</v>
      </c>
      <c r="K1017" t="s">
        <v>2365</v>
      </c>
      <c r="L1017">
        <v>1200</v>
      </c>
      <c r="M1017" t="s">
        <v>1480</v>
      </c>
      <c r="N1017">
        <v>1204</v>
      </c>
      <c r="O1017" t="s">
        <v>1487</v>
      </c>
      <c r="P1017" t="s">
        <v>2366</v>
      </c>
      <c r="Q1017" t="s">
        <v>2364</v>
      </c>
      <c r="R1017" t="s">
        <v>2364</v>
      </c>
      <c r="S1017" t="s">
        <v>553</v>
      </c>
      <c r="T1017" t="s">
        <v>2175</v>
      </c>
      <c r="U1017">
        <v>140</v>
      </c>
      <c r="V1017" t="s">
        <v>693</v>
      </c>
      <c r="W1017">
        <v>140</v>
      </c>
      <c r="X1017" t="s">
        <v>693</v>
      </c>
      <c r="Y1017" t="s">
        <v>2365</v>
      </c>
      <c r="Z1017" t="s">
        <v>2365</v>
      </c>
      <c r="AA1017" t="s">
        <v>2365</v>
      </c>
      <c r="AB1017" t="s">
        <v>2365</v>
      </c>
      <c r="AC1017" s="813" t="s">
        <v>2365</v>
      </c>
      <c r="AD1017" s="813" t="s">
        <v>2365</v>
      </c>
      <c r="AE1017" s="813" t="s">
        <v>2365</v>
      </c>
      <c r="AF1017" t="s">
        <v>2365</v>
      </c>
      <c r="AG1017" t="s">
        <v>2365</v>
      </c>
      <c r="AH1017" t="s">
        <v>2365</v>
      </c>
      <c r="AI1017" t="s">
        <v>2365</v>
      </c>
      <c r="AJ1017" t="s">
        <v>2365</v>
      </c>
      <c r="AK1017" t="s">
        <v>2366</v>
      </c>
      <c r="AL1017" t="s">
        <v>2366</v>
      </c>
      <c r="AM1017" t="s">
        <v>2366</v>
      </c>
      <c r="AN1017" t="s">
        <v>2366</v>
      </c>
      <c r="AR1017" t="s">
        <v>2365</v>
      </c>
      <c r="AS1017" t="s">
        <v>2365</v>
      </c>
      <c r="AT1017" t="s">
        <v>2365</v>
      </c>
      <c r="AU1017" t="s">
        <v>2365</v>
      </c>
      <c r="AV1017" t="s">
        <v>2365</v>
      </c>
      <c r="AW1017" t="s">
        <v>2365</v>
      </c>
      <c r="AX1017" t="s">
        <v>2365</v>
      </c>
      <c r="AY1017" t="s">
        <v>2365</v>
      </c>
      <c r="AZ1017" t="s">
        <v>2365</v>
      </c>
      <c r="BA1017" t="s">
        <v>2365</v>
      </c>
      <c r="BB1017" t="s">
        <v>2365</v>
      </c>
      <c r="BC1017" t="s">
        <v>2365</v>
      </c>
      <c r="BD1017" t="s">
        <v>2366</v>
      </c>
      <c r="BE1017" t="s">
        <v>2365</v>
      </c>
      <c r="BF1017" t="s">
        <v>2365</v>
      </c>
      <c r="BG1017" t="s">
        <v>2365</v>
      </c>
      <c r="BH1017" t="s">
        <v>2365</v>
      </c>
      <c r="BI1017" t="s">
        <v>2366</v>
      </c>
      <c r="BJ1017" t="s">
        <v>2365</v>
      </c>
      <c r="BK1017" t="s">
        <v>2365</v>
      </c>
      <c r="BL1017" t="s">
        <v>2365</v>
      </c>
      <c r="BM1017" t="s">
        <v>2365</v>
      </c>
      <c r="BO1017">
        <v>1</v>
      </c>
      <c r="BP1017">
        <v>11</v>
      </c>
      <c r="BQ1017" t="s">
        <v>2369</v>
      </c>
      <c r="BR1017" t="s">
        <v>1487</v>
      </c>
      <c r="BU1017">
        <v>0</v>
      </c>
      <c r="BV1017">
        <v>0</v>
      </c>
      <c r="BW1017">
        <v>0</v>
      </c>
      <c r="BX1017">
        <v>0</v>
      </c>
      <c r="BY1017">
        <v>0</v>
      </c>
      <c r="BZ1017">
        <v>0</v>
      </c>
      <c r="CA1017">
        <v>0</v>
      </c>
      <c r="CB1017">
        <v>0</v>
      </c>
      <c r="CC1017">
        <v>0</v>
      </c>
      <c r="CD1017">
        <v>0</v>
      </c>
      <c r="CE1017">
        <v>0</v>
      </c>
      <c r="CF1017">
        <v>0</v>
      </c>
      <c r="CG1017">
        <v>0</v>
      </c>
      <c r="CH1017">
        <v>0</v>
      </c>
      <c r="CI1017">
        <v>0</v>
      </c>
      <c r="CJ1017">
        <v>0</v>
      </c>
      <c r="CK1017">
        <v>0</v>
      </c>
      <c r="CL1017">
        <v>0</v>
      </c>
      <c r="CM1017">
        <v>0</v>
      </c>
      <c r="CR1017" t="s">
        <v>2324</v>
      </c>
      <c r="CS1017" s="1369" t="str">
        <f>INDEX([8]Sheet1!$H:$H,MATCH(CR:CR,[8]Sheet1!$AU:$AU,0))</f>
        <v>Finance</v>
      </c>
    </row>
    <row r="1018" spans="1:97" x14ac:dyDescent="0.2">
      <c r="A1018" t="s">
        <v>3888</v>
      </c>
      <c r="B1018">
        <v>1079</v>
      </c>
      <c r="C1018" t="s">
        <v>3888</v>
      </c>
      <c r="D1018">
        <v>30302</v>
      </c>
      <c r="E1018" t="s">
        <v>3873</v>
      </c>
      <c r="F1018" t="s">
        <v>2364</v>
      </c>
      <c r="G1018" t="s">
        <v>2364</v>
      </c>
      <c r="H1018" t="s">
        <v>2365</v>
      </c>
      <c r="I1018" t="s">
        <v>2365</v>
      </c>
      <c r="J1018" t="s">
        <v>2365</v>
      </c>
      <c r="K1018" t="s">
        <v>2365</v>
      </c>
      <c r="L1018">
        <v>1200</v>
      </c>
      <c r="M1018" t="s">
        <v>1480</v>
      </c>
      <c r="N1018">
        <v>1204</v>
      </c>
      <c r="O1018" t="s">
        <v>1487</v>
      </c>
      <c r="P1018" t="s">
        <v>2366</v>
      </c>
      <c r="Q1018" t="s">
        <v>2364</v>
      </c>
      <c r="R1018" t="s">
        <v>2364</v>
      </c>
      <c r="S1018" t="s">
        <v>553</v>
      </c>
      <c r="T1018" t="s">
        <v>2175</v>
      </c>
      <c r="U1018" t="s">
        <v>2366</v>
      </c>
      <c r="V1018" t="s">
        <v>2366</v>
      </c>
      <c r="W1018" t="s">
        <v>2366</v>
      </c>
      <c r="X1018" t="s">
        <v>2366</v>
      </c>
      <c r="Y1018" t="s">
        <v>2365</v>
      </c>
      <c r="Z1018" t="s">
        <v>2365</v>
      </c>
      <c r="AA1018" t="s">
        <v>2365</v>
      </c>
      <c r="AB1018" t="s">
        <v>2365</v>
      </c>
      <c r="AC1018" s="813" t="s">
        <v>2365</v>
      </c>
      <c r="AD1018" s="813" t="s">
        <v>2365</v>
      </c>
      <c r="AE1018" s="813" t="s">
        <v>2365</v>
      </c>
      <c r="AF1018" t="s">
        <v>2365</v>
      </c>
      <c r="AG1018" t="s">
        <v>2365</v>
      </c>
      <c r="AH1018" t="s">
        <v>2365</v>
      </c>
      <c r="AI1018" t="s">
        <v>2365</v>
      </c>
      <c r="AJ1018" t="s">
        <v>2365</v>
      </c>
      <c r="AK1018">
        <v>146</v>
      </c>
      <c r="AL1018" t="s">
        <v>1199</v>
      </c>
      <c r="AM1018">
        <v>146</v>
      </c>
      <c r="AN1018" t="s">
        <v>1199</v>
      </c>
      <c r="AR1018" t="s">
        <v>2365</v>
      </c>
      <c r="AS1018" t="s">
        <v>2365</v>
      </c>
      <c r="AT1018" t="s">
        <v>2365</v>
      </c>
      <c r="AU1018" t="s">
        <v>2365</v>
      </c>
      <c r="AV1018" t="s">
        <v>2365</v>
      </c>
      <c r="AW1018" t="s">
        <v>2365</v>
      </c>
      <c r="AX1018" t="s">
        <v>2365</v>
      </c>
      <c r="AY1018" t="s">
        <v>2365</v>
      </c>
      <c r="AZ1018" t="s">
        <v>2365</v>
      </c>
      <c r="BA1018" t="s">
        <v>2365</v>
      </c>
      <c r="BB1018" t="s">
        <v>2365</v>
      </c>
      <c r="BC1018" t="s">
        <v>2365</v>
      </c>
      <c r="BD1018" t="s">
        <v>2366</v>
      </c>
      <c r="BE1018" t="s">
        <v>2365</v>
      </c>
      <c r="BF1018" t="s">
        <v>2365</v>
      </c>
      <c r="BG1018" t="s">
        <v>2365</v>
      </c>
      <c r="BH1018" t="s">
        <v>2365</v>
      </c>
      <c r="BI1018" t="s">
        <v>2366</v>
      </c>
      <c r="BJ1018" t="s">
        <v>2365</v>
      </c>
      <c r="BK1018" t="s">
        <v>2365</v>
      </c>
      <c r="BL1018" t="s">
        <v>2365</v>
      </c>
      <c r="BM1018" t="s">
        <v>2365</v>
      </c>
      <c r="BO1018">
        <v>1</v>
      </c>
      <c r="BP1018">
        <v>11</v>
      </c>
      <c r="BQ1018" t="s">
        <v>2369</v>
      </c>
      <c r="BR1018" t="s">
        <v>1487</v>
      </c>
      <c r="BU1018">
        <v>0</v>
      </c>
      <c r="BV1018">
        <v>0</v>
      </c>
      <c r="BW1018">
        <v>0</v>
      </c>
      <c r="BX1018">
        <v>0</v>
      </c>
      <c r="BY1018" s="1371">
        <v>0</v>
      </c>
      <c r="BZ1018" s="1371">
        <v>0</v>
      </c>
      <c r="CA1018">
        <v>0</v>
      </c>
      <c r="CB1018">
        <v>0</v>
      </c>
      <c r="CC1018">
        <v>0</v>
      </c>
      <c r="CD1018">
        <v>0</v>
      </c>
      <c r="CE1018">
        <v>0</v>
      </c>
      <c r="CF1018">
        <v>0</v>
      </c>
      <c r="CG1018">
        <v>0</v>
      </c>
      <c r="CH1018">
        <v>0</v>
      </c>
      <c r="CI1018">
        <v>0</v>
      </c>
      <c r="CJ1018">
        <v>0</v>
      </c>
      <c r="CK1018">
        <v>0</v>
      </c>
      <c r="CL1018">
        <v>0</v>
      </c>
      <c r="CM1018">
        <v>0</v>
      </c>
      <c r="CR1018" t="s">
        <v>2324</v>
      </c>
      <c r="CS1018" s="1369" t="str">
        <f>INDEX([8]Sheet1!$H:$H,MATCH(CR:CR,[8]Sheet1!$AU:$AU,0))</f>
        <v>Finance</v>
      </c>
    </row>
    <row r="1019" spans="1:97" x14ac:dyDescent="0.2">
      <c r="A1019" t="s">
        <v>3889</v>
      </c>
      <c r="B1019">
        <v>1080</v>
      </c>
      <c r="C1019" t="s">
        <v>3889</v>
      </c>
      <c r="D1019">
        <v>30303</v>
      </c>
      <c r="E1019" t="s">
        <v>3875</v>
      </c>
      <c r="F1019" t="s">
        <v>2364</v>
      </c>
      <c r="G1019" t="s">
        <v>2364</v>
      </c>
      <c r="H1019" t="s">
        <v>2365</v>
      </c>
      <c r="I1019" t="s">
        <v>2365</v>
      </c>
      <c r="J1019" t="s">
        <v>2365</v>
      </c>
      <c r="K1019" t="s">
        <v>2365</v>
      </c>
      <c r="L1019">
        <v>1200</v>
      </c>
      <c r="M1019" t="s">
        <v>1480</v>
      </c>
      <c r="N1019">
        <v>1204</v>
      </c>
      <c r="O1019" t="s">
        <v>1487</v>
      </c>
      <c r="P1019" t="s">
        <v>2366</v>
      </c>
      <c r="Q1019" t="s">
        <v>2364</v>
      </c>
      <c r="R1019" t="s">
        <v>2364</v>
      </c>
      <c r="S1019" t="s">
        <v>553</v>
      </c>
      <c r="T1019" t="s">
        <v>2175</v>
      </c>
      <c r="U1019" t="s">
        <v>2366</v>
      </c>
      <c r="V1019" t="s">
        <v>2366</v>
      </c>
      <c r="W1019" t="s">
        <v>2366</v>
      </c>
      <c r="X1019" t="s">
        <v>2366</v>
      </c>
      <c r="Y1019" t="s">
        <v>2365</v>
      </c>
      <c r="Z1019" t="s">
        <v>2365</v>
      </c>
      <c r="AA1019" t="s">
        <v>2365</v>
      </c>
      <c r="AB1019" t="s">
        <v>2365</v>
      </c>
      <c r="AC1019" s="813" t="s">
        <v>2365</v>
      </c>
      <c r="AD1019" s="813" t="s">
        <v>2365</v>
      </c>
      <c r="AE1019" s="813" t="s">
        <v>2365</v>
      </c>
      <c r="AF1019" t="s">
        <v>2365</v>
      </c>
      <c r="AG1019" t="s">
        <v>2365</v>
      </c>
      <c r="AH1019" t="s">
        <v>2365</v>
      </c>
      <c r="AI1019" t="s">
        <v>2365</v>
      </c>
      <c r="AJ1019" t="s">
        <v>2365</v>
      </c>
      <c r="AK1019">
        <v>146</v>
      </c>
      <c r="AL1019" t="s">
        <v>1199</v>
      </c>
      <c r="AM1019">
        <v>146</v>
      </c>
      <c r="AN1019" t="s">
        <v>1199</v>
      </c>
      <c r="AR1019" t="s">
        <v>2365</v>
      </c>
      <c r="AS1019" t="s">
        <v>2365</v>
      </c>
      <c r="AT1019" t="s">
        <v>2365</v>
      </c>
      <c r="AU1019" t="s">
        <v>2365</v>
      </c>
      <c r="AV1019" t="s">
        <v>2365</v>
      </c>
      <c r="AW1019" t="s">
        <v>2365</v>
      </c>
      <c r="AX1019" t="s">
        <v>2365</v>
      </c>
      <c r="AY1019" t="s">
        <v>2365</v>
      </c>
      <c r="AZ1019" t="s">
        <v>2365</v>
      </c>
      <c r="BA1019" t="s">
        <v>2365</v>
      </c>
      <c r="BB1019" t="s">
        <v>2365</v>
      </c>
      <c r="BC1019" t="s">
        <v>2365</v>
      </c>
      <c r="BD1019" t="s">
        <v>2366</v>
      </c>
      <c r="BE1019" t="s">
        <v>2365</v>
      </c>
      <c r="BF1019" t="s">
        <v>2365</v>
      </c>
      <c r="BG1019" t="s">
        <v>2365</v>
      </c>
      <c r="BH1019" t="s">
        <v>2365</v>
      </c>
      <c r="BI1019" t="s">
        <v>2366</v>
      </c>
      <c r="BJ1019" t="s">
        <v>2365</v>
      </c>
      <c r="BK1019" t="s">
        <v>2365</v>
      </c>
      <c r="BL1019" t="s">
        <v>2365</v>
      </c>
      <c r="BM1019" t="s">
        <v>2365</v>
      </c>
      <c r="BO1019">
        <v>1</v>
      </c>
      <c r="BP1019">
        <v>11</v>
      </c>
      <c r="BQ1019" t="s">
        <v>2369</v>
      </c>
      <c r="BR1019" t="s">
        <v>1487</v>
      </c>
      <c r="BU1019">
        <v>0</v>
      </c>
      <c r="BV1019">
        <v>0</v>
      </c>
      <c r="BW1019">
        <v>0</v>
      </c>
      <c r="BX1019">
        <v>0</v>
      </c>
      <c r="BY1019">
        <v>0</v>
      </c>
      <c r="BZ1019">
        <v>0</v>
      </c>
      <c r="CA1019">
        <v>0</v>
      </c>
      <c r="CB1019">
        <v>0</v>
      </c>
      <c r="CC1019">
        <v>0</v>
      </c>
      <c r="CD1019">
        <v>0</v>
      </c>
      <c r="CE1019">
        <v>0</v>
      </c>
      <c r="CF1019">
        <v>0</v>
      </c>
      <c r="CG1019">
        <v>0</v>
      </c>
      <c r="CH1019">
        <v>0</v>
      </c>
      <c r="CI1019">
        <v>0</v>
      </c>
      <c r="CJ1019">
        <v>0</v>
      </c>
      <c r="CK1019">
        <v>0</v>
      </c>
      <c r="CL1019">
        <v>0</v>
      </c>
      <c r="CM1019">
        <v>0</v>
      </c>
      <c r="CR1019" t="s">
        <v>2324</v>
      </c>
      <c r="CS1019" s="1369" t="str">
        <f>INDEX([8]Sheet1!$H:$H,MATCH(CR:CR,[8]Sheet1!$AU:$AU,0))</f>
        <v>Finance</v>
      </c>
    </row>
    <row r="1020" spans="1:97" x14ac:dyDescent="0.2">
      <c r="A1020" t="s">
        <v>3890</v>
      </c>
      <c r="B1020">
        <v>1081</v>
      </c>
      <c r="C1020" t="s">
        <v>3890</v>
      </c>
      <c r="D1020">
        <v>30304</v>
      </c>
      <c r="E1020" t="s">
        <v>3877</v>
      </c>
      <c r="F1020" t="s">
        <v>2364</v>
      </c>
      <c r="G1020" t="s">
        <v>2364</v>
      </c>
      <c r="H1020" t="s">
        <v>2365</v>
      </c>
      <c r="I1020" t="s">
        <v>2365</v>
      </c>
      <c r="J1020" t="s">
        <v>2365</v>
      </c>
      <c r="K1020" t="s">
        <v>2365</v>
      </c>
      <c r="L1020">
        <v>1200</v>
      </c>
      <c r="M1020" t="s">
        <v>1480</v>
      </c>
      <c r="N1020">
        <v>1204</v>
      </c>
      <c r="O1020" t="s">
        <v>1487</v>
      </c>
      <c r="P1020" t="s">
        <v>2366</v>
      </c>
      <c r="Q1020" t="s">
        <v>2364</v>
      </c>
      <c r="R1020" t="s">
        <v>2364</v>
      </c>
      <c r="S1020" t="s">
        <v>553</v>
      </c>
      <c r="T1020" t="s">
        <v>2175</v>
      </c>
      <c r="U1020">
        <v>140</v>
      </c>
      <c r="V1020" t="s">
        <v>693</v>
      </c>
      <c r="W1020">
        <v>140</v>
      </c>
      <c r="X1020" t="s">
        <v>693</v>
      </c>
      <c r="Y1020" t="s">
        <v>2365</v>
      </c>
      <c r="Z1020" t="s">
        <v>2365</v>
      </c>
      <c r="AA1020" t="s">
        <v>2365</v>
      </c>
      <c r="AB1020" t="s">
        <v>2365</v>
      </c>
      <c r="AC1020" s="813" t="s">
        <v>2365</v>
      </c>
      <c r="AD1020" s="813" t="s">
        <v>2365</v>
      </c>
      <c r="AE1020" s="813" t="s">
        <v>2365</v>
      </c>
      <c r="AF1020" t="s">
        <v>2365</v>
      </c>
      <c r="AG1020" t="s">
        <v>2365</v>
      </c>
      <c r="AH1020" t="s">
        <v>2365</v>
      </c>
      <c r="AI1020" t="s">
        <v>2365</v>
      </c>
      <c r="AJ1020" t="s">
        <v>2365</v>
      </c>
      <c r="AK1020" t="s">
        <v>2366</v>
      </c>
      <c r="AL1020" t="s">
        <v>2366</v>
      </c>
      <c r="AM1020" t="s">
        <v>2366</v>
      </c>
      <c r="AN1020" t="s">
        <v>2366</v>
      </c>
      <c r="AR1020" t="s">
        <v>2365</v>
      </c>
      <c r="AS1020" t="s">
        <v>2365</v>
      </c>
      <c r="AT1020" t="s">
        <v>2365</v>
      </c>
      <c r="AU1020" t="s">
        <v>2365</v>
      </c>
      <c r="AV1020" t="s">
        <v>2365</v>
      </c>
      <c r="AW1020" t="s">
        <v>2365</v>
      </c>
      <c r="AX1020" t="s">
        <v>2365</v>
      </c>
      <c r="AY1020" t="s">
        <v>2365</v>
      </c>
      <c r="AZ1020" t="s">
        <v>2365</v>
      </c>
      <c r="BA1020" t="s">
        <v>2365</v>
      </c>
      <c r="BB1020" t="s">
        <v>2365</v>
      </c>
      <c r="BC1020" t="s">
        <v>2365</v>
      </c>
      <c r="BD1020" t="s">
        <v>2366</v>
      </c>
      <c r="BE1020" t="s">
        <v>2365</v>
      </c>
      <c r="BF1020" t="s">
        <v>2365</v>
      </c>
      <c r="BG1020" t="s">
        <v>2365</v>
      </c>
      <c r="BH1020" t="s">
        <v>2365</v>
      </c>
      <c r="BI1020" t="s">
        <v>2366</v>
      </c>
      <c r="BJ1020" t="s">
        <v>2365</v>
      </c>
      <c r="BK1020" t="s">
        <v>2365</v>
      </c>
      <c r="BL1020" t="s">
        <v>2365</v>
      </c>
      <c r="BM1020" t="s">
        <v>2365</v>
      </c>
      <c r="BO1020">
        <v>1</v>
      </c>
      <c r="BP1020">
        <v>11</v>
      </c>
      <c r="BQ1020" t="s">
        <v>2369</v>
      </c>
      <c r="BR1020" t="s">
        <v>1487</v>
      </c>
      <c r="BU1020">
        <v>0</v>
      </c>
      <c r="BV1020">
        <v>0</v>
      </c>
      <c r="BW1020">
        <v>0</v>
      </c>
      <c r="BX1020">
        <v>0</v>
      </c>
      <c r="BY1020">
        <v>0</v>
      </c>
      <c r="BZ1020">
        <v>0</v>
      </c>
      <c r="CA1020">
        <v>0</v>
      </c>
      <c r="CB1020">
        <v>0</v>
      </c>
      <c r="CC1020">
        <v>0</v>
      </c>
      <c r="CD1020">
        <v>0</v>
      </c>
      <c r="CE1020">
        <v>0</v>
      </c>
      <c r="CF1020">
        <v>0</v>
      </c>
      <c r="CG1020">
        <v>0</v>
      </c>
      <c r="CH1020">
        <v>0</v>
      </c>
      <c r="CI1020">
        <v>0</v>
      </c>
      <c r="CJ1020">
        <v>0</v>
      </c>
      <c r="CK1020">
        <v>0</v>
      </c>
      <c r="CL1020">
        <v>0</v>
      </c>
      <c r="CM1020">
        <v>0</v>
      </c>
      <c r="CR1020" t="s">
        <v>2324</v>
      </c>
      <c r="CS1020" s="1369" t="str">
        <f>INDEX([8]Sheet1!$H:$H,MATCH(CR:CR,[8]Sheet1!$AU:$AU,0))</f>
        <v>Finance</v>
      </c>
    </row>
    <row r="1021" spans="1:97" x14ac:dyDescent="0.2">
      <c r="A1021" t="s">
        <v>3891</v>
      </c>
      <c r="B1021">
        <v>1082</v>
      </c>
      <c r="C1021" t="s">
        <v>3891</v>
      </c>
      <c r="D1021">
        <v>30305</v>
      </c>
      <c r="E1021" t="s">
        <v>3879</v>
      </c>
      <c r="F1021" t="s">
        <v>2364</v>
      </c>
      <c r="G1021" t="s">
        <v>2364</v>
      </c>
      <c r="H1021" t="s">
        <v>2365</v>
      </c>
      <c r="I1021" t="s">
        <v>2365</v>
      </c>
      <c r="J1021" t="s">
        <v>2365</v>
      </c>
      <c r="K1021" t="s">
        <v>2365</v>
      </c>
      <c r="L1021">
        <v>1200</v>
      </c>
      <c r="M1021" t="s">
        <v>1480</v>
      </c>
      <c r="N1021">
        <v>1204</v>
      </c>
      <c r="O1021" t="s">
        <v>1487</v>
      </c>
      <c r="P1021" t="s">
        <v>2366</v>
      </c>
      <c r="Q1021" t="s">
        <v>2364</v>
      </c>
      <c r="R1021" t="s">
        <v>2364</v>
      </c>
      <c r="S1021" t="s">
        <v>553</v>
      </c>
      <c r="T1021" t="s">
        <v>2175</v>
      </c>
      <c r="U1021">
        <v>140</v>
      </c>
      <c r="V1021" t="s">
        <v>693</v>
      </c>
      <c r="W1021">
        <v>140</v>
      </c>
      <c r="X1021" t="s">
        <v>693</v>
      </c>
      <c r="Y1021" t="s">
        <v>2365</v>
      </c>
      <c r="Z1021" t="s">
        <v>2365</v>
      </c>
      <c r="AA1021" t="s">
        <v>2365</v>
      </c>
      <c r="AB1021" t="s">
        <v>2365</v>
      </c>
      <c r="AC1021" s="813" t="s">
        <v>2365</v>
      </c>
      <c r="AD1021" s="813" t="s">
        <v>2365</v>
      </c>
      <c r="AE1021" s="813" t="s">
        <v>2365</v>
      </c>
      <c r="AF1021" t="s">
        <v>2365</v>
      </c>
      <c r="AG1021" t="s">
        <v>2365</v>
      </c>
      <c r="AH1021" t="s">
        <v>2365</v>
      </c>
      <c r="AI1021" t="s">
        <v>2365</v>
      </c>
      <c r="AJ1021" t="s">
        <v>2365</v>
      </c>
      <c r="AK1021" t="s">
        <v>2366</v>
      </c>
      <c r="AL1021" t="s">
        <v>2366</v>
      </c>
      <c r="AM1021" t="s">
        <v>2366</v>
      </c>
      <c r="AN1021" t="s">
        <v>2366</v>
      </c>
      <c r="AR1021" t="s">
        <v>2365</v>
      </c>
      <c r="AS1021" t="s">
        <v>2365</v>
      </c>
      <c r="AT1021" t="s">
        <v>2365</v>
      </c>
      <c r="AU1021" t="s">
        <v>2365</v>
      </c>
      <c r="AV1021" t="s">
        <v>2365</v>
      </c>
      <c r="AW1021" t="s">
        <v>2365</v>
      </c>
      <c r="AX1021" t="s">
        <v>2365</v>
      </c>
      <c r="AY1021" t="s">
        <v>2365</v>
      </c>
      <c r="AZ1021" t="s">
        <v>2365</v>
      </c>
      <c r="BA1021" t="s">
        <v>2365</v>
      </c>
      <c r="BB1021" t="s">
        <v>2365</v>
      </c>
      <c r="BC1021" t="s">
        <v>2365</v>
      </c>
      <c r="BD1021" t="s">
        <v>2366</v>
      </c>
      <c r="BE1021" t="s">
        <v>2365</v>
      </c>
      <c r="BF1021" t="s">
        <v>2365</v>
      </c>
      <c r="BG1021" t="s">
        <v>2365</v>
      </c>
      <c r="BH1021" t="s">
        <v>2365</v>
      </c>
      <c r="BI1021" t="s">
        <v>2366</v>
      </c>
      <c r="BJ1021" t="s">
        <v>2365</v>
      </c>
      <c r="BK1021" t="s">
        <v>2365</v>
      </c>
      <c r="BL1021" t="s">
        <v>2365</v>
      </c>
      <c r="BM1021" t="s">
        <v>2365</v>
      </c>
      <c r="BO1021">
        <v>1</v>
      </c>
      <c r="BP1021">
        <v>11</v>
      </c>
      <c r="BQ1021" t="s">
        <v>2369</v>
      </c>
      <c r="BR1021" t="s">
        <v>1487</v>
      </c>
      <c r="BU1021">
        <v>0</v>
      </c>
      <c r="BV1021">
        <v>0</v>
      </c>
      <c r="BW1021">
        <v>0</v>
      </c>
      <c r="BX1021">
        <v>0</v>
      </c>
      <c r="BY1021" s="1371">
        <v>0</v>
      </c>
      <c r="BZ1021" s="1371">
        <v>0</v>
      </c>
      <c r="CA1021">
        <v>0</v>
      </c>
      <c r="CB1021">
        <v>0</v>
      </c>
      <c r="CC1021">
        <v>0</v>
      </c>
      <c r="CD1021">
        <v>0</v>
      </c>
      <c r="CE1021">
        <v>0</v>
      </c>
      <c r="CF1021">
        <v>0</v>
      </c>
      <c r="CG1021">
        <v>0</v>
      </c>
      <c r="CH1021">
        <v>0</v>
      </c>
      <c r="CI1021">
        <v>0</v>
      </c>
      <c r="CJ1021">
        <v>0</v>
      </c>
      <c r="CK1021">
        <v>0</v>
      </c>
      <c r="CL1021">
        <v>0</v>
      </c>
      <c r="CM1021">
        <v>0</v>
      </c>
      <c r="CR1021" t="s">
        <v>2324</v>
      </c>
      <c r="CS1021" s="1369" t="str">
        <f>INDEX([8]Sheet1!$H:$H,MATCH(CR:CR,[8]Sheet1!$AU:$AU,0))</f>
        <v>Finance</v>
      </c>
    </row>
    <row r="1022" spans="1:97" x14ac:dyDescent="0.2">
      <c r="A1022" t="s">
        <v>3892</v>
      </c>
      <c r="B1022">
        <v>1083</v>
      </c>
      <c r="C1022" t="s">
        <v>3892</v>
      </c>
      <c r="D1022">
        <v>30306</v>
      </c>
      <c r="E1022" t="s">
        <v>3881</v>
      </c>
      <c r="F1022" t="s">
        <v>2364</v>
      </c>
      <c r="G1022" t="s">
        <v>2364</v>
      </c>
      <c r="H1022" t="s">
        <v>2365</v>
      </c>
      <c r="I1022" t="s">
        <v>2365</v>
      </c>
      <c r="J1022" t="s">
        <v>2365</v>
      </c>
      <c r="K1022" t="s">
        <v>2365</v>
      </c>
      <c r="L1022">
        <v>1200</v>
      </c>
      <c r="M1022" t="s">
        <v>1480</v>
      </c>
      <c r="N1022">
        <v>1204</v>
      </c>
      <c r="O1022" t="s">
        <v>1487</v>
      </c>
      <c r="P1022" t="s">
        <v>2366</v>
      </c>
      <c r="Q1022" t="s">
        <v>2364</v>
      </c>
      <c r="R1022" t="s">
        <v>2364</v>
      </c>
      <c r="S1022" t="s">
        <v>553</v>
      </c>
      <c r="T1022" t="s">
        <v>2175</v>
      </c>
      <c r="U1022">
        <v>140</v>
      </c>
      <c r="V1022" t="s">
        <v>693</v>
      </c>
      <c r="W1022">
        <v>140</v>
      </c>
      <c r="X1022" t="s">
        <v>693</v>
      </c>
      <c r="Y1022" t="s">
        <v>2365</v>
      </c>
      <c r="Z1022" t="s">
        <v>2365</v>
      </c>
      <c r="AA1022" t="s">
        <v>2365</v>
      </c>
      <c r="AB1022" t="s">
        <v>2365</v>
      </c>
      <c r="AC1022" s="813" t="s">
        <v>2365</v>
      </c>
      <c r="AD1022" s="813" t="s">
        <v>2365</v>
      </c>
      <c r="AE1022" s="813" t="s">
        <v>2365</v>
      </c>
      <c r="AF1022" t="s">
        <v>2365</v>
      </c>
      <c r="AG1022" t="s">
        <v>2365</v>
      </c>
      <c r="AH1022" t="s">
        <v>2365</v>
      </c>
      <c r="AI1022" t="s">
        <v>2365</v>
      </c>
      <c r="AJ1022" t="s">
        <v>2365</v>
      </c>
      <c r="AK1022">
        <v>147</v>
      </c>
      <c r="AL1022" t="s">
        <v>1200</v>
      </c>
      <c r="AM1022">
        <v>147</v>
      </c>
      <c r="AN1022" t="s">
        <v>1200</v>
      </c>
      <c r="AR1022" t="s">
        <v>2365</v>
      </c>
      <c r="AS1022" t="s">
        <v>2365</v>
      </c>
      <c r="AT1022" t="s">
        <v>2365</v>
      </c>
      <c r="AU1022" t="s">
        <v>2365</v>
      </c>
      <c r="AV1022" t="s">
        <v>2365</v>
      </c>
      <c r="AW1022" t="s">
        <v>2365</v>
      </c>
      <c r="AX1022" t="s">
        <v>2365</v>
      </c>
      <c r="AY1022" t="s">
        <v>2365</v>
      </c>
      <c r="AZ1022" t="s">
        <v>2365</v>
      </c>
      <c r="BA1022" t="s">
        <v>2365</v>
      </c>
      <c r="BB1022" t="s">
        <v>2365</v>
      </c>
      <c r="BC1022" t="s">
        <v>2365</v>
      </c>
      <c r="BD1022" t="s">
        <v>2366</v>
      </c>
      <c r="BE1022" t="s">
        <v>2365</v>
      </c>
      <c r="BF1022" t="s">
        <v>2365</v>
      </c>
      <c r="BG1022" t="s">
        <v>2365</v>
      </c>
      <c r="BH1022" t="s">
        <v>2365</v>
      </c>
      <c r="BI1022" t="s">
        <v>2366</v>
      </c>
      <c r="BJ1022" t="s">
        <v>2365</v>
      </c>
      <c r="BK1022" t="s">
        <v>2365</v>
      </c>
      <c r="BL1022" t="s">
        <v>2365</v>
      </c>
      <c r="BM1022" t="s">
        <v>2365</v>
      </c>
      <c r="BO1022">
        <v>1</v>
      </c>
      <c r="BP1022">
        <v>11</v>
      </c>
      <c r="BQ1022" t="s">
        <v>2369</v>
      </c>
      <c r="BR1022" t="s">
        <v>1487</v>
      </c>
      <c r="BU1022">
        <v>0</v>
      </c>
      <c r="BV1022">
        <v>0</v>
      </c>
      <c r="BW1022">
        <v>0</v>
      </c>
      <c r="BX1022">
        <v>0</v>
      </c>
      <c r="BY1022" s="1371">
        <v>0</v>
      </c>
      <c r="BZ1022" s="1371">
        <v>0</v>
      </c>
      <c r="CA1022">
        <v>0</v>
      </c>
      <c r="CB1022">
        <v>0</v>
      </c>
      <c r="CC1022">
        <v>0</v>
      </c>
      <c r="CD1022">
        <v>0</v>
      </c>
      <c r="CE1022">
        <v>0</v>
      </c>
      <c r="CF1022">
        <v>0</v>
      </c>
      <c r="CG1022">
        <v>0</v>
      </c>
      <c r="CH1022">
        <v>0</v>
      </c>
      <c r="CI1022">
        <v>0</v>
      </c>
      <c r="CJ1022">
        <v>0</v>
      </c>
      <c r="CK1022">
        <v>0</v>
      </c>
      <c r="CL1022">
        <v>0</v>
      </c>
      <c r="CM1022">
        <v>0</v>
      </c>
      <c r="CR1022" t="s">
        <v>2324</v>
      </c>
      <c r="CS1022" s="1369" t="str">
        <f>INDEX([8]Sheet1!$H:$H,MATCH(CR:CR,[8]Sheet1!$AU:$AU,0))</f>
        <v>Finance</v>
      </c>
    </row>
    <row r="1023" spans="1:97" x14ac:dyDescent="0.2">
      <c r="A1023" t="s">
        <v>3893</v>
      </c>
      <c r="B1023">
        <v>1084</v>
      </c>
      <c r="C1023" t="s">
        <v>3893</v>
      </c>
      <c r="D1023">
        <v>30307</v>
      </c>
      <c r="E1023" t="s">
        <v>3883</v>
      </c>
      <c r="F1023" t="s">
        <v>2364</v>
      </c>
      <c r="G1023" t="s">
        <v>2364</v>
      </c>
      <c r="H1023" s="1373" t="s">
        <v>2365</v>
      </c>
      <c r="I1023" t="s">
        <v>2365</v>
      </c>
      <c r="J1023" t="s">
        <v>2365</v>
      </c>
      <c r="K1023" t="s">
        <v>2365</v>
      </c>
      <c r="L1023" s="1373">
        <v>1200</v>
      </c>
      <c r="M1023" t="s">
        <v>1480</v>
      </c>
      <c r="N1023">
        <v>1204</v>
      </c>
      <c r="O1023" t="s">
        <v>1487</v>
      </c>
      <c r="P1023" t="s">
        <v>2366</v>
      </c>
      <c r="Q1023" t="s">
        <v>2364</v>
      </c>
      <c r="R1023" t="s">
        <v>2364</v>
      </c>
      <c r="S1023" t="s">
        <v>553</v>
      </c>
      <c r="T1023" t="s">
        <v>2175</v>
      </c>
      <c r="U1023">
        <v>140</v>
      </c>
      <c r="V1023" t="s">
        <v>693</v>
      </c>
      <c r="W1023">
        <v>140</v>
      </c>
      <c r="X1023" t="s">
        <v>693</v>
      </c>
      <c r="Y1023" t="s">
        <v>2365</v>
      </c>
      <c r="Z1023" t="s">
        <v>2365</v>
      </c>
      <c r="AA1023" t="s">
        <v>2365</v>
      </c>
      <c r="AB1023" t="s">
        <v>2365</v>
      </c>
      <c r="AC1023" s="813" t="s">
        <v>2365</v>
      </c>
      <c r="AD1023" s="813" t="s">
        <v>2365</v>
      </c>
      <c r="AE1023" s="813" t="s">
        <v>2365</v>
      </c>
      <c r="AF1023" t="s">
        <v>2365</v>
      </c>
      <c r="AG1023" t="s">
        <v>2365</v>
      </c>
      <c r="AH1023" t="s">
        <v>2365</v>
      </c>
      <c r="AI1023" t="s">
        <v>2365</v>
      </c>
      <c r="AJ1023" t="s">
        <v>2365</v>
      </c>
      <c r="AK1023" t="s">
        <v>2366</v>
      </c>
      <c r="AL1023" t="s">
        <v>2366</v>
      </c>
      <c r="AM1023" t="s">
        <v>2366</v>
      </c>
      <c r="AN1023" t="s">
        <v>2366</v>
      </c>
      <c r="AR1023" t="s">
        <v>2365</v>
      </c>
      <c r="AS1023" t="s">
        <v>2365</v>
      </c>
      <c r="AT1023" t="s">
        <v>2365</v>
      </c>
      <c r="AU1023" t="s">
        <v>2365</v>
      </c>
      <c r="AV1023" t="s">
        <v>2365</v>
      </c>
      <c r="AW1023" t="s">
        <v>2365</v>
      </c>
      <c r="AX1023" t="s">
        <v>2365</v>
      </c>
      <c r="AY1023" t="s">
        <v>2365</v>
      </c>
      <c r="AZ1023" t="s">
        <v>2365</v>
      </c>
      <c r="BA1023" t="s">
        <v>2365</v>
      </c>
      <c r="BB1023" t="s">
        <v>2365</v>
      </c>
      <c r="BC1023" t="s">
        <v>2365</v>
      </c>
      <c r="BD1023" t="s">
        <v>2366</v>
      </c>
      <c r="BE1023" t="s">
        <v>2365</v>
      </c>
      <c r="BF1023" t="s">
        <v>2365</v>
      </c>
      <c r="BG1023" t="s">
        <v>2365</v>
      </c>
      <c r="BH1023" t="s">
        <v>2365</v>
      </c>
      <c r="BI1023" t="s">
        <v>2366</v>
      </c>
      <c r="BJ1023" t="s">
        <v>2365</v>
      </c>
      <c r="BK1023" t="s">
        <v>2365</v>
      </c>
      <c r="BL1023" t="s">
        <v>2365</v>
      </c>
      <c r="BM1023" t="s">
        <v>2365</v>
      </c>
      <c r="BO1023">
        <v>1</v>
      </c>
      <c r="BP1023">
        <v>11</v>
      </c>
      <c r="BQ1023" t="s">
        <v>2369</v>
      </c>
      <c r="BR1023" t="s">
        <v>1487</v>
      </c>
      <c r="BU1023" s="1371">
        <v>0</v>
      </c>
      <c r="BV1023" s="1371">
        <v>0</v>
      </c>
      <c r="BW1023" s="1371">
        <v>0</v>
      </c>
      <c r="BX1023" s="1371">
        <v>0</v>
      </c>
      <c r="BY1023" s="1371">
        <v>0</v>
      </c>
      <c r="BZ1023">
        <v>0</v>
      </c>
      <c r="CA1023">
        <v>0</v>
      </c>
      <c r="CB1023">
        <v>0</v>
      </c>
      <c r="CC1023">
        <v>0</v>
      </c>
      <c r="CD1023">
        <v>0</v>
      </c>
      <c r="CE1023">
        <v>0</v>
      </c>
      <c r="CF1023">
        <v>0</v>
      </c>
      <c r="CG1023">
        <v>0</v>
      </c>
      <c r="CH1023">
        <v>0</v>
      </c>
      <c r="CI1023">
        <v>0</v>
      </c>
      <c r="CJ1023">
        <v>0</v>
      </c>
      <c r="CK1023">
        <v>0</v>
      </c>
      <c r="CL1023">
        <v>0</v>
      </c>
      <c r="CM1023">
        <v>0</v>
      </c>
      <c r="CR1023" t="s">
        <v>2324</v>
      </c>
      <c r="CS1023" s="1369" t="str">
        <f>INDEX([8]Sheet1!$H:$H,MATCH(CR:CR,[8]Sheet1!$AU:$AU,0))</f>
        <v>Finance</v>
      </c>
    </row>
    <row r="1024" spans="1:97" x14ac:dyDescent="0.2">
      <c r="A1024" t="s">
        <v>3894</v>
      </c>
      <c r="B1024">
        <v>1085</v>
      </c>
      <c r="C1024" t="s">
        <v>3894</v>
      </c>
      <c r="D1024">
        <v>30308</v>
      </c>
      <c r="E1024" t="s">
        <v>3885</v>
      </c>
      <c r="F1024" t="s">
        <v>2364</v>
      </c>
      <c r="G1024" t="s">
        <v>2364</v>
      </c>
      <c r="H1024" s="1373" t="s">
        <v>2365</v>
      </c>
      <c r="I1024" t="s">
        <v>2365</v>
      </c>
      <c r="J1024" t="s">
        <v>2365</v>
      </c>
      <c r="K1024" t="s">
        <v>2365</v>
      </c>
      <c r="L1024" s="1373">
        <v>1200</v>
      </c>
      <c r="M1024" t="s">
        <v>1480</v>
      </c>
      <c r="N1024">
        <v>1204</v>
      </c>
      <c r="O1024" t="s">
        <v>1487</v>
      </c>
      <c r="P1024" t="s">
        <v>2366</v>
      </c>
      <c r="Q1024" t="s">
        <v>2364</v>
      </c>
      <c r="R1024" t="s">
        <v>2364</v>
      </c>
      <c r="S1024" t="s">
        <v>553</v>
      </c>
      <c r="T1024" t="s">
        <v>2175</v>
      </c>
      <c r="U1024">
        <v>140</v>
      </c>
      <c r="V1024" t="s">
        <v>693</v>
      </c>
      <c r="W1024">
        <v>140</v>
      </c>
      <c r="X1024" t="s">
        <v>693</v>
      </c>
      <c r="Y1024" t="s">
        <v>2365</v>
      </c>
      <c r="Z1024" t="s">
        <v>2365</v>
      </c>
      <c r="AA1024" t="s">
        <v>2365</v>
      </c>
      <c r="AB1024" t="s">
        <v>2365</v>
      </c>
      <c r="AC1024" s="813" t="s">
        <v>2365</v>
      </c>
      <c r="AD1024" s="813" t="s">
        <v>2365</v>
      </c>
      <c r="AE1024" s="813" t="s">
        <v>2365</v>
      </c>
      <c r="AF1024" t="s">
        <v>2365</v>
      </c>
      <c r="AG1024" t="s">
        <v>2365</v>
      </c>
      <c r="AH1024" t="s">
        <v>2365</v>
      </c>
      <c r="AI1024" t="s">
        <v>2365</v>
      </c>
      <c r="AJ1024" t="s">
        <v>2365</v>
      </c>
      <c r="AK1024" t="s">
        <v>2366</v>
      </c>
      <c r="AL1024" t="s">
        <v>2366</v>
      </c>
      <c r="AM1024" t="s">
        <v>2366</v>
      </c>
      <c r="AN1024" t="s">
        <v>2366</v>
      </c>
      <c r="AR1024" t="s">
        <v>2365</v>
      </c>
      <c r="AS1024" t="s">
        <v>2365</v>
      </c>
      <c r="AT1024" t="s">
        <v>2365</v>
      </c>
      <c r="AU1024" t="s">
        <v>2365</v>
      </c>
      <c r="AV1024" t="s">
        <v>2365</v>
      </c>
      <c r="AW1024" t="s">
        <v>2365</v>
      </c>
      <c r="AX1024" t="s">
        <v>2365</v>
      </c>
      <c r="AY1024" t="s">
        <v>2365</v>
      </c>
      <c r="AZ1024" t="s">
        <v>2365</v>
      </c>
      <c r="BA1024" t="s">
        <v>2365</v>
      </c>
      <c r="BB1024" t="s">
        <v>2365</v>
      </c>
      <c r="BC1024" t="s">
        <v>2365</v>
      </c>
      <c r="BD1024" t="s">
        <v>2366</v>
      </c>
      <c r="BE1024" t="s">
        <v>2365</v>
      </c>
      <c r="BF1024" t="s">
        <v>2365</v>
      </c>
      <c r="BG1024" t="s">
        <v>2365</v>
      </c>
      <c r="BH1024" t="s">
        <v>2365</v>
      </c>
      <c r="BI1024" t="s">
        <v>2366</v>
      </c>
      <c r="BJ1024" t="s">
        <v>2365</v>
      </c>
      <c r="BK1024" t="s">
        <v>2365</v>
      </c>
      <c r="BL1024" t="s">
        <v>2365</v>
      </c>
      <c r="BM1024" t="s">
        <v>2365</v>
      </c>
      <c r="BO1024">
        <v>1</v>
      </c>
      <c r="BP1024">
        <v>11</v>
      </c>
      <c r="BQ1024" t="s">
        <v>2369</v>
      </c>
      <c r="BR1024" t="s">
        <v>1487</v>
      </c>
      <c r="BU1024" s="1371">
        <v>0</v>
      </c>
      <c r="BV1024" s="1371">
        <v>0</v>
      </c>
      <c r="BW1024" s="1371">
        <v>0</v>
      </c>
      <c r="BX1024" s="1371">
        <v>0</v>
      </c>
      <c r="BY1024" s="1371">
        <v>0</v>
      </c>
      <c r="BZ1024" s="1371">
        <v>0</v>
      </c>
      <c r="CA1024">
        <v>0</v>
      </c>
      <c r="CB1024">
        <v>0</v>
      </c>
      <c r="CC1024">
        <v>0</v>
      </c>
      <c r="CD1024">
        <v>0</v>
      </c>
      <c r="CE1024">
        <v>0</v>
      </c>
      <c r="CF1024">
        <v>0</v>
      </c>
      <c r="CG1024">
        <v>0</v>
      </c>
      <c r="CH1024">
        <v>0</v>
      </c>
      <c r="CI1024">
        <v>0</v>
      </c>
      <c r="CJ1024">
        <v>0</v>
      </c>
      <c r="CK1024">
        <v>0</v>
      </c>
      <c r="CL1024">
        <v>0</v>
      </c>
      <c r="CM1024">
        <v>0</v>
      </c>
      <c r="CR1024" t="s">
        <v>2324</v>
      </c>
      <c r="CS1024" s="1369" t="str">
        <f>INDEX([8]Sheet1!$H:$H,MATCH(CR:CR,[8]Sheet1!$AU:$AU,0))</f>
        <v>Finance</v>
      </c>
    </row>
    <row r="1025" spans="1:97" x14ac:dyDescent="0.2">
      <c r="A1025" t="s">
        <v>3895</v>
      </c>
      <c r="B1025">
        <v>1086</v>
      </c>
      <c r="C1025" t="s">
        <v>3895</v>
      </c>
      <c r="D1025">
        <v>30309</v>
      </c>
      <c r="E1025" t="s">
        <v>3887</v>
      </c>
      <c r="F1025" t="s">
        <v>2364</v>
      </c>
      <c r="G1025" t="s">
        <v>2364</v>
      </c>
      <c r="H1025" t="s">
        <v>2365</v>
      </c>
      <c r="I1025" t="s">
        <v>2365</v>
      </c>
      <c r="J1025" t="s">
        <v>2365</v>
      </c>
      <c r="K1025" t="s">
        <v>2365</v>
      </c>
      <c r="L1025">
        <v>1200</v>
      </c>
      <c r="M1025" t="s">
        <v>1480</v>
      </c>
      <c r="N1025">
        <v>1204</v>
      </c>
      <c r="O1025" t="s">
        <v>1487</v>
      </c>
      <c r="P1025" t="s">
        <v>2366</v>
      </c>
      <c r="Q1025" t="s">
        <v>2364</v>
      </c>
      <c r="R1025" t="s">
        <v>2364</v>
      </c>
      <c r="S1025" t="s">
        <v>553</v>
      </c>
      <c r="T1025" t="s">
        <v>2175</v>
      </c>
      <c r="U1025">
        <v>140</v>
      </c>
      <c r="V1025" t="s">
        <v>693</v>
      </c>
      <c r="W1025">
        <v>140</v>
      </c>
      <c r="X1025" t="s">
        <v>693</v>
      </c>
      <c r="Y1025" t="s">
        <v>2365</v>
      </c>
      <c r="Z1025" t="s">
        <v>2365</v>
      </c>
      <c r="AA1025" t="s">
        <v>2365</v>
      </c>
      <c r="AB1025" t="s">
        <v>2365</v>
      </c>
      <c r="AC1025" s="813" t="s">
        <v>2365</v>
      </c>
      <c r="AD1025" s="813" t="s">
        <v>2365</v>
      </c>
      <c r="AE1025" s="813" t="s">
        <v>2365</v>
      </c>
      <c r="AF1025" t="s">
        <v>2365</v>
      </c>
      <c r="AG1025" t="s">
        <v>2365</v>
      </c>
      <c r="AH1025" t="s">
        <v>2365</v>
      </c>
      <c r="AI1025" t="s">
        <v>2365</v>
      </c>
      <c r="AJ1025" t="s">
        <v>2365</v>
      </c>
      <c r="AK1025" t="s">
        <v>2366</v>
      </c>
      <c r="AL1025" t="s">
        <v>2366</v>
      </c>
      <c r="AM1025" t="s">
        <v>2366</v>
      </c>
      <c r="AN1025" t="s">
        <v>2366</v>
      </c>
      <c r="AR1025" t="s">
        <v>2365</v>
      </c>
      <c r="AS1025" t="s">
        <v>2365</v>
      </c>
      <c r="AT1025" t="s">
        <v>2365</v>
      </c>
      <c r="AU1025" t="s">
        <v>2365</v>
      </c>
      <c r="AV1025" t="s">
        <v>2365</v>
      </c>
      <c r="AW1025" t="s">
        <v>2365</v>
      </c>
      <c r="AX1025" t="s">
        <v>2365</v>
      </c>
      <c r="AY1025" t="s">
        <v>2365</v>
      </c>
      <c r="AZ1025" t="s">
        <v>2365</v>
      </c>
      <c r="BA1025" t="s">
        <v>2365</v>
      </c>
      <c r="BB1025" t="s">
        <v>2365</v>
      </c>
      <c r="BC1025" t="s">
        <v>2365</v>
      </c>
      <c r="BD1025" t="s">
        <v>2366</v>
      </c>
      <c r="BE1025" t="s">
        <v>2365</v>
      </c>
      <c r="BF1025" t="s">
        <v>2365</v>
      </c>
      <c r="BG1025" t="s">
        <v>2365</v>
      </c>
      <c r="BH1025" t="s">
        <v>2365</v>
      </c>
      <c r="BI1025" t="s">
        <v>2366</v>
      </c>
      <c r="BJ1025" t="s">
        <v>2365</v>
      </c>
      <c r="BK1025" t="s">
        <v>2365</v>
      </c>
      <c r="BL1025" t="s">
        <v>2365</v>
      </c>
      <c r="BM1025" t="s">
        <v>2365</v>
      </c>
      <c r="BO1025">
        <v>1</v>
      </c>
      <c r="BP1025">
        <v>11</v>
      </c>
      <c r="BQ1025" t="s">
        <v>2369</v>
      </c>
      <c r="BR1025" t="s">
        <v>1487</v>
      </c>
      <c r="BU1025">
        <v>0</v>
      </c>
      <c r="BV1025">
        <v>0</v>
      </c>
      <c r="BW1025">
        <v>0</v>
      </c>
      <c r="BX1025">
        <v>0</v>
      </c>
      <c r="BY1025" s="1371">
        <v>0</v>
      </c>
      <c r="BZ1025" s="1371">
        <v>0</v>
      </c>
      <c r="CA1025">
        <v>0</v>
      </c>
      <c r="CB1025">
        <v>0</v>
      </c>
      <c r="CC1025">
        <v>0</v>
      </c>
      <c r="CD1025">
        <v>0</v>
      </c>
      <c r="CE1025">
        <v>0</v>
      </c>
      <c r="CF1025">
        <v>0</v>
      </c>
      <c r="CG1025">
        <v>0</v>
      </c>
      <c r="CH1025">
        <v>0</v>
      </c>
      <c r="CI1025">
        <v>0</v>
      </c>
      <c r="CJ1025">
        <v>0</v>
      </c>
      <c r="CK1025">
        <v>0</v>
      </c>
      <c r="CL1025">
        <v>0</v>
      </c>
      <c r="CM1025">
        <v>0</v>
      </c>
      <c r="CR1025" t="s">
        <v>2324</v>
      </c>
      <c r="CS1025" s="1369" t="str">
        <f>INDEX([8]Sheet1!$H:$H,MATCH(CR:CR,[8]Sheet1!$AU:$AU,0))</f>
        <v>Finance</v>
      </c>
    </row>
    <row r="1026" spans="1:97" x14ac:dyDescent="0.2">
      <c r="A1026" t="s">
        <v>3896</v>
      </c>
      <c r="B1026">
        <v>1087</v>
      </c>
      <c r="C1026" t="s">
        <v>3896</v>
      </c>
      <c r="D1026">
        <v>30310</v>
      </c>
      <c r="E1026" t="s">
        <v>3489</v>
      </c>
      <c r="F1026" t="s">
        <v>2364</v>
      </c>
      <c r="G1026" t="s">
        <v>2364</v>
      </c>
      <c r="H1026" t="s">
        <v>2365</v>
      </c>
      <c r="I1026" t="s">
        <v>2365</v>
      </c>
      <c r="J1026" t="s">
        <v>2365</v>
      </c>
      <c r="K1026" t="s">
        <v>2365</v>
      </c>
      <c r="L1026">
        <v>1200</v>
      </c>
      <c r="M1026" t="s">
        <v>1480</v>
      </c>
      <c r="N1026">
        <v>1204</v>
      </c>
      <c r="O1026" t="s">
        <v>1487</v>
      </c>
      <c r="P1026" t="s">
        <v>2366</v>
      </c>
      <c r="Q1026" t="s">
        <v>2364</v>
      </c>
      <c r="R1026" t="s">
        <v>2364</v>
      </c>
      <c r="S1026" t="s">
        <v>553</v>
      </c>
      <c r="T1026" t="s">
        <v>2175</v>
      </c>
      <c r="U1026" t="s">
        <v>2366</v>
      </c>
      <c r="V1026" t="s">
        <v>2366</v>
      </c>
      <c r="W1026" t="s">
        <v>2366</v>
      </c>
      <c r="X1026" t="s">
        <v>2366</v>
      </c>
      <c r="Y1026" t="s">
        <v>2365</v>
      </c>
      <c r="Z1026" t="s">
        <v>2365</v>
      </c>
      <c r="AA1026" t="s">
        <v>2365</v>
      </c>
      <c r="AB1026" t="s">
        <v>2365</v>
      </c>
      <c r="AC1026" s="813" t="s">
        <v>2365</v>
      </c>
      <c r="AD1026" s="813" t="s">
        <v>2365</v>
      </c>
      <c r="AE1026" s="813" t="s">
        <v>2365</v>
      </c>
      <c r="AF1026" t="s">
        <v>2365</v>
      </c>
      <c r="AG1026" t="s">
        <v>2365</v>
      </c>
      <c r="AH1026" t="s">
        <v>2365</v>
      </c>
      <c r="AI1026" t="s">
        <v>2365</v>
      </c>
      <c r="AJ1026" t="s">
        <v>2365</v>
      </c>
      <c r="AK1026">
        <v>146</v>
      </c>
      <c r="AL1026" t="s">
        <v>1199</v>
      </c>
      <c r="AM1026">
        <v>146</v>
      </c>
      <c r="AN1026" t="s">
        <v>1199</v>
      </c>
      <c r="AR1026" t="s">
        <v>2365</v>
      </c>
      <c r="AS1026" t="s">
        <v>2365</v>
      </c>
      <c r="AT1026" t="s">
        <v>2365</v>
      </c>
      <c r="AU1026" t="s">
        <v>2365</v>
      </c>
      <c r="AV1026" t="s">
        <v>2365</v>
      </c>
      <c r="AW1026" t="s">
        <v>2365</v>
      </c>
      <c r="AX1026" t="s">
        <v>2365</v>
      </c>
      <c r="AY1026" t="s">
        <v>2365</v>
      </c>
      <c r="AZ1026" t="s">
        <v>2365</v>
      </c>
      <c r="BA1026" t="s">
        <v>2365</v>
      </c>
      <c r="BB1026" t="s">
        <v>2365</v>
      </c>
      <c r="BC1026" t="s">
        <v>2365</v>
      </c>
      <c r="BD1026" t="s">
        <v>2366</v>
      </c>
      <c r="BE1026" t="s">
        <v>2365</v>
      </c>
      <c r="BF1026" t="s">
        <v>2365</v>
      </c>
      <c r="BG1026" t="s">
        <v>2365</v>
      </c>
      <c r="BH1026" t="s">
        <v>2365</v>
      </c>
      <c r="BI1026" t="s">
        <v>2366</v>
      </c>
      <c r="BJ1026" t="s">
        <v>2365</v>
      </c>
      <c r="BK1026" t="s">
        <v>2365</v>
      </c>
      <c r="BL1026" t="s">
        <v>2365</v>
      </c>
      <c r="BM1026" t="s">
        <v>2365</v>
      </c>
      <c r="BO1026">
        <v>1</v>
      </c>
      <c r="BP1026">
        <v>11</v>
      </c>
      <c r="BQ1026" t="s">
        <v>2369</v>
      </c>
      <c r="BR1026" t="s">
        <v>1487</v>
      </c>
      <c r="BU1026">
        <v>0</v>
      </c>
      <c r="BV1026">
        <v>0</v>
      </c>
      <c r="BW1026">
        <v>0</v>
      </c>
      <c r="BX1026">
        <v>0</v>
      </c>
      <c r="BY1026" s="1371">
        <v>0</v>
      </c>
      <c r="BZ1026" s="1371">
        <v>0</v>
      </c>
      <c r="CA1026">
        <v>0</v>
      </c>
      <c r="CB1026">
        <v>0</v>
      </c>
      <c r="CC1026">
        <v>0</v>
      </c>
      <c r="CD1026">
        <v>0</v>
      </c>
      <c r="CE1026">
        <v>0</v>
      </c>
      <c r="CF1026">
        <v>0</v>
      </c>
      <c r="CG1026">
        <v>0</v>
      </c>
      <c r="CH1026">
        <v>0</v>
      </c>
      <c r="CI1026">
        <v>0</v>
      </c>
      <c r="CJ1026">
        <v>0</v>
      </c>
      <c r="CK1026">
        <v>0</v>
      </c>
      <c r="CL1026">
        <v>0</v>
      </c>
      <c r="CM1026">
        <v>0</v>
      </c>
      <c r="CR1026" t="s">
        <v>2324</v>
      </c>
      <c r="CS1026" s="1369" t="str">
        <f>INDEX([8]Sheet1!$H:$H,MATCH(CR:CR,[8]Sheet1!$AU:$AU,0))</f>
        <v>Finance</v>
      </c>
    </row>
    <row r="1027" spans="1:97" x14ac:dyDescent="0.2">
      <c r="A1027" t="s">
        <v>3897</v>
      </c>
      <c r="B1027">
        <v>1088</v>
      </c>
      <c r="C1027" t="s">
        <v>3897</v>
      </c>
      <c r="D1027">
        <v>30311</v>
      </c>
      <c r="E1027" t="s">
        <v>3493</v>
      </c>
      <c r="F1027" t="s">
        <v>2364</v>
      </c>
      <c r="G1027" t="s">
        <v>2364</v>
      </c>
      <c r="H1027" t="s">
        <v>2365</v>
      </c>
      <c r="I1027" t="s">
        <v>2365</v>
      </c>
      <c r="J1027" t="s">
        <v>2365</v>
      </c>
      <c r="K1027" t="s">
        <v>2365</v>
      </c>
      <c r="L1027">
        <v>1200</v>
      </c>
      <c r="M1027" t="s">
        <v>1480</v>
      </c>
      <c r="N1027">
        <v>1204</v>
      </c>
      <c r="O1027" t="s">
        <v>1487</v>
      </c>
      <c r="P1027" t="s">
        <v>2366</v>
      </c>
      <c r="Q1027" t="s">
        <v>2364</v>
      </c>
      <c r="R1027" t="s">
        <v>2364</v>
      </c>
      <c r="S1027" t="s">
        <v>553</v>
      </c>
      <c r="T1027" t="s">
        <v>2175</v>
      </c>
      <c r="U1027" t="s">
        <v>2366</v>
      </c>
      <c r="V1027" t="s">
        <v>2366</v>
      </c>
      <c r="W1027" t="s">
        <v>2366</v>
      </c>
      <c r="X1027" t="s">
        <v>2366</v>
      </c>
      <c r="Y1027" t="s">
        <v>2365</v>
      </c>
      <c r="Z1027" t="s">
        <v>2365</v>
      </c>
      <c r="AA1027" t="s">
        <v>2365</v>
      </c>
      <c r="AB1027" t="s">
        <v>2365</v>
      </c>
      <c r="AC1027" s="813" t="s">
        <v>2365</v>
      </c>
      <c r="AD1027" s="813" t="s">
        <v>2365</v>
      </c>
      <c r="AE1027" s="813" t="s">
        <v>2365</v>
      </c>
      <c r="AF1027" t="s">
        <v>2365</v>
      </c>
      <c r="AG1027" t="s">
        <v>2365</v>
      </c>
      <c r="AH1027" t="s">
        <v>2365</v>
      </c>
      <c r="AI1027" t="s">
        <v>2365</v>
      </c>
      <c r="AJ1027" t="s">
        <v>2365</v>
      </c>
      <c r="AK1027">
        <v>146</v>
      </c>
      <c r="AL1027" t="s">
        <v>1199</v>
      </c>
      <c r="AM1027">
        <v>146</v>
      </c>
      <c r="AN1027" t="s">
        <v>1199</v>
      </c>
      <c r="AR1027" t="s">
        <v>2365</v>
      </c>
      <c r="AS1027" t="s">
        <v>2365</v>
      </c>
      <c r="AT1027" t="s">
        <v>2365</v>
      </c>
      <c r="AU1027" t="s">
        <v>2365</v>
      </c>
      <c r="AV1027" t="s">
        <v>2365</v>
      </c>
      <c r="AW1027" t="s">
        <v>2365</v>
      </c>
      <c r="AX1027" t="s">
        <v>2365</v>
      </c>
      <c r="AY1027" t="s">
        <v>2365</v>
      </c>
      <c r="AZ1027" t="s">
        <v>2365</v>
      </c>
      <c r="BA1027" t="s">
        <v>2365</v>
      </c>
      <c r="BB1027" t="s">
        <v>2365</v>
      </c>
      <c r="BC1027" t="s">
        <v>2365</v>
      </c>
      <c r="BD1027" t="s">
        <v>2366</v>
      </c>
      <c r="BE1027" t="s">
        <v>2365</v>
      </c>
      <c r="BF1027" t="s">
        <v>2365</v>
      </c>
      <c r="BG1027" t="s">
        <v>2365</v>
      </c>
      <c r="BH1027" t="s">
        <v>2365</v>
      </c>
      <c r="BI1027" t="s">
        <v>2366</v>
      </c>
      <c r="BJ1027" t="s">
        <v>2365</v>
      </c>
      <c r="BK1027" t="s">
        <v>2365</v>
      </c>
      <c r="BL1027" t="s">
        <v>2365</v>
      </c>
      <c r="BM1027" t="s">
        <v>2365</v>
      </c>
      <c r="BO1027">
        <v>1</v>
      </c>
      <c r="BP1027">
        <v>11</v>
      </c>
      <c r="BQ1027" t="s">
        <v>2369</v>
      </c>
      <c r="BR1027" t="s">
        <v>1487</v>
      </c>
      <c r="BU1027">
        <v>0</v>
      </c>
      <c r="BV1027">
        <v>0</v>
      </c>
      <c r="BW1027">
        <v>0</v>
      </c>
      <c r="BX1027">
        <v>0</v>
      </c>
      <c r="BY1027">
        <v>0</v>
      </c>
      <c r="BZ1027">
        <v>0</v>
      </c>
      <c r="CA1027">
        <v>0</v>
      </c>
      <c r="CB1027">
        <v>0</v>
      </c>
      <c r="CC1027">
        <v>0</v>
      </c>
      <c r="CD1027">
        <v>0</v>
      </c>
      <c r="CE1027">
        <v>0</v>
      </c>
      <c r="CF1027">
        <v>0</v>
      </c>
      <c r="CG1027">
        <v>0</v>
      </c>
      <c r="CH1027">
        <v>0</v>
      </c>
      <c r="CI1027">
        <v>0</v>
      </c>
      <c r="CJ1027">
        <v>0</v>
      </c>
      <c r="CK1027">
        <v>0</v>
      </c>
      <c r="CL1027">
        <v>0</v>
      </c>
      <c r="CM1027">
        <v>0</v>
      </c>
      <c r="CR1027" t="s">
        <v>2324</v>
      </c>
      <c r="CS1027" s="1369" t="str">
        <f>INDEX([8]Sheet1!$H:$H,MATCH(CR:CR,[8]Sheet1!$AU:$AU,0))</f>
        <v>Finance</v>
      </c>
    </row>
    <row r="1028" spans="1:97" x14ac:dyDescent="0.2">
      <c r="A1028" t="s">
        <v>3898</v>
      </c>
      <c r="B1028">
        <v>1089</v>
      </c>
      <c r="C1028" t="s">
        <v>3898</v>
      </c>
      <c r="D1028">
        <v>30312</v>
      </c>
      <c r="E1028" t="s">
        <v>3479</v>
      </c>
      <c r="F1028" t="s">
        <v>2364</v>
      </c>
      <c r="G1028" t="s">
        <v>2364</v>
      </c>
      <c r="H1028" t="s">
        <v>2365</v>
      </c>
      <c r="I1028" t="s">
        <v>2365</v>
      </c>
      <c r="J1028" t="s">
        <v>2365</v>
      </c>
      <c r="K1028" t="s">
        <v>2365</v>
      </c>
      <c r="L1028">
        <v>1200</v>
      </c>
      <c r="M1028" t="s">
        <v>1480</v>
      </c>
      <c r="N1028">
        <v>1204</v>
      </c>
      <c r="O1028" t="s">
        <v>1487</v>
      </c>
      <c r="P1028" t="s">
        <v>2366</v>
      </c>
      <c r="Q1028" t="s">
        <v>2364</v>
      </c>
      <c r="R1028" t="s">
        <v>2364</v>
      </c>
      <c r="S1028" t="s">
        <v>553</v>
      </c>
      <c r="T1028" t="s">
        <v>2175</v>
      </c>
      <c r="U1028">
        <v>140</v>
      </c>
      <c r="V1028" t="s">
        <v>693</v>
      </c>
      <c r="W1028">
        <v>140</v>
      </c>
      <c r="X1028" t="s">
        <v>693</v>
      </c>
      <c r="Y1028" t="s">
        <v>2365</v>
      </c>
      <c r="Z1028" t="s">
        <v>2365</v>
      </c>
      <c r="AA1028" t="s">
        <v>2365</v>
      </c>
      <c r="AB1028" t="s">
        <v>2365</v>
      </c>
      <c r="AC1028" s="813" t="s">
        <v>2365</v>
      </c>
      <c r="AD1028" s="813" t="s">
        <v>2365</v>
      </c>
      <c r="AE1028" s="813" t="s">
        <v>2365</v>
      </c>
      <c r="AF1028" t="s">
        <v>2365</v>
      </c>
      <c r="AG1028" t="s">
        <v>2365</v>
      </c>
      <c r="AH1028" t="s">
        <v>2365</v>
      </c>
      <c r="AI1028" t="s">
        <v>2365</v>
      </c>
      <c r="AJ1028" t="s">
        <v>2365</v>
      </c>
      <c r="AK1028" t="s">
        <v>2366</v>
      </c>
      <c r="AL1028" t="s">
        <v>2366</v>
      </c>
      <c r="AM1028" t="s">
        <v>2366</v>
      </c>
      <c r="AN1028" t="s">
        <v>2366</v>
      </c>
      <c r="AR1028" t="s">
        <v>2365</v>
      </c>
      <c r="AS1028" t="s">
        <v>2365</v>
      </c>
      <c r="AT1028" t="s">
        <v>2365</v>
      </c>
      <c r="AU1028" t="s">
        <v>2365</v>
      </c>
      <c r="AV1028" t="s">
        <v>2365</v>
      </c>
      <c r="AW1028" t="s">
        <v>2365</v>
      </c>
      <c r="AX1028" t="s">
        <v>2365</v>
      </c>
      <c r="AY1028" t="s">
        <v>2365</v>
      </c>
      <c r="AZ1028" t="s">
        <v>2365</v>
      </c>
      <c r="BA1028" t="s">
        <v>2365</v>
      </c>
      <c r="BB1028" t="s">
        <v>2365</v>
      </c>
      <c r="BC1028" t="s">
        <v>2365</v>
      </c>
      <c r="BD1028" t="s">
        <v>2366</v>
      </c>
      <c r="BE1028" t="s">
        <v>2365</v>
      </c>
      <c r="BF1028" t="s">
        <v>2365</v>
      </c>
      <c r="BG1028" t="s">
        <v>2365</v>
      </c>
      <c r="BH1028" t="s">
        <v>2365</v>
      </c>
      <c r="BI1028" t="s">
        <v>2366</v>
      </c>
      <c r="BJ1028" t="s">
        <v>2365</v>
      </c>
      <c r="BK1028" t="s">
        <v>2365</v>
      </c>
      <c r="BL1028" t="s">
        <v>2365</v>
      </c>
      <c r="BM1028" t="s">
        <v>2365</v>
      </c>
      <c r="BO1028">
        <v>1</v>
      </c>
      <c r="BP1028">
        <v>11</v>
      </c>
      <c r="BQ1028" t="s">
        <v>2369</v>
      </c>
      <c r="BR1028" t="s">
        <v>1487</v>
      </c>
      <c r="BU1028">
        <v>0</v>
      </c>
      <c r="BV1028">
        <v>0</v>
      </c>
      <c r="BW1028">
        <v>0</v>
      </c>
      <c r="BX1028">
        <v>0</v>
      </c>
      <c r="BY1028" s="1371">
        <v>0</v>
      </c>
      <c r="BZ1028" s="1371">
        <v>0</v>
      </c>
      <c r="CA1028">
        <v>0</v>
      </c>
      <c r="CB1028">
        <v>0</v>
      </c>
      <c r="CC1028">
        <v>0</v>
      </c>
      <c r="CD1028">
        <v>0</v>
      </c>
      <c r="CE1028">
        <v>0</v>
      </c>
      <c r="CF1028">
        <v>0</v>
      </c>
      <c r="CG1028">
        <v>0</v>
      </c>
      <c r="CH1028">
        <v>0</v>
      </c>
      <c r="CI1028">
        <v>0</v>
      </c>
      <c r="CJ1028">
        <v>0</v>
      </c>
      <c r="CK1028">
        <v>0</v>
      </c>
      <c r="CL1028">
        <v>0</v>
      </c>
      <c r="CM1028">
        <v>0</v>
      </c>
      <c r="CR1028" t="s">
        <v>2324</v>
      </c>
      <c r="CS1028" s="1369" t="str">
        <f>INDEX([8]Sheet1!$H:$H,MATCH(CR:CR,[8]Sheet1!$AU:$AU,0))</f>
        <v>Finance</v>
      </c>
    </row>
    <row r="1029" spans="1:97" x14ac:dyDescent="0.2">
      <c r="A1029" t="s">
        <v>3899</v>
      </c>
      <c r="B1029">
        <v>1091</v>
      </c>
      <c r="C1029" t="s">
        <v>3899</v>
      </c>
      <c r="D1029">
        <v>30314</v>
      </c>
      <c r="E1029" t="s">
        <v>3487</v>
      </c>
      <c r="F1029" t="s">
        <v>2364</v>
      </c>
      <c r="G1029" t="s">
        <v>2364</v>
      </c>
      <c r="H1029" t="s">
        <v>2365</v>
      </c>
      <c r="I1029" t="s">
        <v>2365</v>
      </c>
      <c r="J1029" t="s">
        <v>2365</v>
      </c>
      <c r="K1029" t="s">
        <v>2365</v>
      </c>
      <c r="L1029">
        <v>1200</v>
      </c>
      <c r="M1029" t="s">
        <v>1480</v>
      </c>
      <c r="N1029">
        <v>1204</v>
      </c>
      <c r="O1029" t="s">
        <v>1487</v>
      </c>
      <c r="P1029" t="s">
        <v>2366</v>
      </c>
      <c r="Q1029" t="s">
        <v>2364</v>
      </c>
      <c r="R1029" t="s">
        <v>2364</v>
      </c>
      <c r="S1029" t="s">
        <v>553</v>
      </c>
      <c r="T1029" t="s">
        <v>2175</v>
      </c>
      <c r="U1029">
        <v>140</v>
      </c>
      <c r="V1029" t="s">
        <v>693</v>
      </c>
      <c r="W1029">
        <v>140</v>
      </c>
      <c r="X1029" t="s">
        <v>693</v>
      </c>
      <c r="Y1029" t="s">
        <v>2365</v>
      </c>
      <c r="Z1029" t="s">
        <v>2365</v>
      </c>
      <c r="AA1029" t="s">
        <v>2365</v>
      </c>
      <c r="AB1029" t="s">
        <v>2365</v>
      </c>
      <c r="AC1029" s="813" t="s">
        <v>2365</v>
      </c>
      <c r="AD1029" s="813" t="s">
        <v>2365</v>
      </c>
      <c r="AE1029" s="813" t="s">
        <v>2365</v>
      </c>
      <c r="AF1029" t="s">
        <v>2365</v>
      </c>
      <c r="AG1029" t="s">
        <v>2365</v>
      </c>
      <c r="AH1029" t="s">
        <v>2365</v>
      </c>
      <c r="AI1029" t="s">
        <v>2365</v>
      </c>
      <c r="AJ1029" t="s">
        <v>2365</v>
      </c>
      <c r="AK1029">
        <v>147</v>
      </c>
      <c r="AL1029" t="s">
        <v>1200</v>
      </c>
      <c r="AM1029">
        <v>147</v>
      </c>
      <c r="AN1029" t="s">
        <v>1200</v>
      </c>
      <c r="AR1029" t="s">
        <v>2365</v>
      </c>
      <c r="AS1029" t="s">
        <v>2365</v>
      </c>
      <c r="AT1029" t="s">
        <v>2365</v>
      </c>
      <c r="AU1029" t="s">
        <v>2365</v>
      </c>
      <c r="AV1029" t="s">
        <v>2365</v>
      </c>
      <c r="AW1029" t="s">
        <v>2365</v>
      </c>
      <c r="AX1029" t="s">
        <v>2365</v>
      </c>
      <c r="AY1029" t="s">
        <v>2365</v>
      </c>
      <c r="AZ1029" t="s">
        <v>2365</v>
      </c>
      <c r="BA1029" t="s">
        <v>2365</v>
      </c>
      <c r="BB1029" t="s">
        <v>2365</v>
      </c>
      <c r="BC1029" t="s">
        <v>2365</v>
      </c>
      <c r="BD1029" t="s">
        <v>2366</v>
      </c>
      <c r="BE1029" t="s">
        <v>2365</v>
      </c>
      <c r="BF1029" t="s">
        <v>2365</v>
      </c>
      <c r="BG1029" t="s">
        <v>2365</v>
      </c>
      <c r="BH1029" t="s">
        <v>2365</v>
      </c>
      <c r="BI1029" t="s">
        <v>2366</v>
      </c>
      <c r="BJ1029" t="s">
        <v>2365</v>
      </c>
      <c r="BK1029" t="s">
        <v>2365</v>
      </c>
      <c r="BL1029" t="s">
        <v>2365</v>
      </c>
      <c r="BM1029" t="s">
        <v>2365</v>
      </c>
      <c r="BO1029">
        <v>1</v>
      </c>
      <c r="BP1029">
        <v>11</v>
      </c>
      <c r="BQ1029" t="s">
        <v>2369</v>
      </c>
      <c r="BR1029" t="s">
        <v>1487</v>
      </c>
      <c r="BU1029">
        <v>0</v>
      </c>
      <c r="BV1029">
        <v>0</v>
      </c>
      <c r="BW1029">
        <v>0</v>
      </c>
      <c r="BX1029">
        <v>0</v>
      </c>
      <c r="BY1029">
        <v>0</v>
      </c>
      <c r="BZ1029">
        <v>0</v>
      </c>
      <c r="CA1029">
        <v>0</v>
      </c>
      <c r="CB1029">
        <v>0</v>
      </c>
      <c r="CC1029">
        <v>0</v>
      </c>
      <c r="CD1029">
        <v>0</v>
      </c>
      <c r="CE1029">
        <v>0</v>
      </c>
      <c r="CF1029">
        <v>0</v>
      </c>
      <c r="CG1029">
        <v>0</v>
      </c>
      <c r="CH1029">
        <v>0</v>
      </c>
      <c r="CI1029">
        <v>0</v>
      </c>
      <c r="CJ1029">
        <v>0</v>
      </c>
      <c r="CK1029">
        <v>0</v>
      </c>
      <c r="CL1029">
        <v>0</v>
      </c>
      <c r="CM1029">
        <v>0</v>
      </c>
      <c r="CR1029" t="s">
        <v>2324</v>
      </c>
      <c r="CS1029" s="1369" t="str">
        <f>INDEX([8]Sheet1!$H:$H,MATCH(CR:CR,[8]Sheet1!$AU:$AU,0))</f>
        <v>Finance</v>
      </c>
    </row>
    <row r="1030" spans="1:97" x14ac:dyDescent="0.2">
      <c r="A1030" t="s">
        <v>3900</v>
      </c>
      <c r="B1030">
        <v>1092</v>
      </c>
      <c r="C1030" t="s">
        <v>3900</v>
      </c>
      <c r="D1030">
        <v>30315</v>
      </c>
      <c r="E1030" t="s">
        <v>3491</v>
      </c>
      <c r="F1030" t="s">
        <v>2364</v>
      </c>
      <c r="G1030" t="s">
        <v>2364</v>
      </c>
      <c r="H1030" t="s">
        <v>2365</v>
      </c>
      <c r="I1030" t="s">
        <v>2365</v>
      </c>
      <c r="J1030" t="s">
        <v>2365</v>
      </c>
      <c r="K1030" t="s">
        <v>2365</v>
      </c>
      <c r="L1030">
        <v>1200</v>
      </c>
      <c r="M1030" t="s">
        <v>1480</v>
      </c>
      <c r="N1030">
        <v>1204</v>
      </c>
      <c r="O1030" t="s">
        <v>1487</v>
      </c>
      <c r="P1030" t="s">
        <v>2366</v>
      </c>
      <c r="Q1030" t="s">
        <v>2364</v>
      </c>
      <c r="R1030" t="s">
        <v>2364</v>
      </c>
      <c r="S1030" t="s">
        <v>553</v>
      </c>
      <c r="T1030" t="s">
        <v>2175</v>
      </c>
      <c r="U1030">
        <v>140</v>
      </c>
      <c r="V1030" t="s">
        <v>693</v>
      </c>
      <c r="W1030">
        <v>140</v>
      </c>
      <c r="X1030" t="s">
        <v>693</v>
      </c>
      <c r="Y1030" t="s">
        <v>2365</v>
      </c>
      <c r="Z1030" t="s">
        <v>2365</v>
      </c>
      <c r="AA1030" t="s">
        <v>2365</v>
      </c>
      <c r="AB1030" t="s">
        <v>2365</v>
      </c>
      <c r="AC1030" s="813" t="s">
        <v>2365</v>
      </c>
      <c r="AD1030" s="813" t="s">
        <v>2365</v>
      </c>
      <c r="AE1030" s="813" t="s">
        <v>2365</v>
      </c>
      <c r="AF1030" t="s">
        <v>2365</v>
      </c>
      <c r="AG1030" t="s">
        <v>2365</v>
      </c>
      <c r="AH1030" t="s">
        <v>2365</v>
      </c>
      <c r="AI1030" t="s">
        <v>2365</v>
      </c>
      <c r="AJ1030" t="s">
        <v>2365</v>
      </c>
      <c r="AK1030" t="s">
        <v>2366</v>
      </c>
      <c r="AL1030" t="s">
        <v>2366</v>
      </c>
      <c r="AM1030" t="s">
        <v>2366</v>
      </c>
      <c r="AN1030" t="s">
        <v>2366</v>
      </c>
      <c r="AR1030" t="s">
        <v>2365</v>
      </c>
      <c r="AS1030" t="s">
        <v>2365</v>
      </c>
      <c r="AT1030" t="s">
        <v>2365</v>
      </c>
      <c r="AU1030" t="s">
        <v>2365</v>
      </c>
      <c r="AV1030" t="s">
        <v>2365</v>
      </c>
      <c r="AW1030" t="s">
        <v>2365</v>
      </c>
      <c r="AX1030" t="s">
        <v>2365</v>
      </c>
      <c r="AY1030" t="s">
        <v>2365</v>
      </c>
      <c r="AZ1030" t="s">
        <v>2365</v>
      </c>
      <c r="BA1030" t="s">
        <v>2365</v>
      </c>
      <c r="BB1030" t="s">
        <v>2365</v>
      </c>
      <c r="BC1030" t="s">
        <v>2365</v>
      </c>
      <c r="BD1030" t="s">
        <v>2366</v>
      </c>
      <c r="BE1030" t="s">
        <v>2365</v>
      </c>
      <c r="BF1030" t="s">
        <v>2365</v>
      </c>
      <c r="BG1030" t="s">
        <v>2365</v>
      </c>
      <c r="BH1030" t="s">
        <v>2365</v>
      </c>
      <c r="BI1030" t="s">
        <v>2366</v>
      </c>
      <c r="BJ1030" t="s">
        <v>2365</v>
      </c>
      <c r="BK1030" t="s">
        <v>2365</v>
      </c>
      <c r="BL1030" t="s">
        <v>2365</v>
      </c>
      <c r="BM1030" t="s">
        <v>2365</v>
      </c>
      <c r="BO1030">
        <v>1</v>
      </c>
      <c r="BP1030">
        <v>11</v>
      </c>
      <c r="BQ1030" t="s">
        <v>2369</v>
      </c>
      <c r="BR1030" t="s">
        <v>1487</v>
      </c>
      <c r="BU1030">
        <v>0</v>
      </c>
      <c r="BV1030">
        <v>0</v>
      </c>
      <c r="BW1030">
        <v>0</v>
      </c>
      <c r="BX1030">
        <v>0</v>
      </c>
      <c r="BY1030" s="1371">
        <v>0</v>
      </c>
      <c r="BZ1030" s="1371">
        <v>0</v>
      </c>
      <c r="CA1030">
        <v>0</v>
      </c>
      <c r="CB1030">
        <v>0</v>
      </c>
      <c r="CC1030">
        <v>0</v>
      </c>
      <c r="CD1030">
        <v>0</v>
      </c>
      <c r="CE1030">
        <v>0</v>
      </c>
      <c r="CF1030">
        <v>0</v>
      </c>
      <c r="CG1030">
        <v>0</v>
      </c>
      <c r="CH1030">
        <v>0</v>
      </c>
      <c r="CI1030">
        <v>0</v>
      </c>
      <c r="CJ1030">
        <v>0</v>
      </c>
      <c r="CK1030">
        <v>0</v>
      </c>
      <c r="CL1030">
        <v>0</v>
      </c>
      <c r="CM1030">
        <v>0</v>
      </c>
      <c r="CR1030" t="s">
        <v>2324</v>
      </c>
      <c r="CS1030" s="1369" t="str">
        <f>INDEX([8]Sheet1!$H:$H,MATCH(CR:CR,[8]Sheet1!$AU:$AU,0))</f>
        <v>Finance</v>
      </c>
    </row>
    <row r="1031" spans="1:97" x14ac:dyDescent="0.2">
      <c r="A1031" t="s">
        <v>3901</v>
      </c>
      <c r="B1031">
        <v>1094</v>
      </c>
      <c r="C1031" t="s">
        <v>3901</v>
      </c>
      <c r="D1031">
        <v>30317</v>
      </c>
      <c r="E1031" t="s">
        <v>3499</v>
      </c>
      <c r="F1031" t="s">
        <v>2364</v>
      </c>
      <c r="G1031" t="s">
        <v>2364</v>
      </c>
      <c r="H1031" t="s">
        <v>2365</v>
      </c>
      <c r="I1031" t="s">
        <v>2365</v>
      </c>
      <c r="J1031" t="s">
        <v>2365</v>
      </c>
      <c r="K1031" t="s">
        <v>2365</v>
      </c>
      <c r="L1031">
        <v>1200</v>
      </c>
      <c r="M1031" t="s">
        <v>1480</v>
      </c>
      <c r="N1031">
        <v>1204</v>
      </c>
      <c r="O1031" t="s">
        <v>1487</v>
      </c>
      <c r="P1031" t="s">
        <v>2366</v>
      </c>
      <c r="Q1031" t="s">
        <v>2364</v>
      </c>
      <c r="R1031" t="s">
        <v>2364</v>
      </c>
      <c r="S1031" t="s">
        <v>553</v>
      </c>
      <c r="T1031" t="s">
        <v>2175</v>
      </c>
      <c r="U1031">
        <v>140</v>
      </c>
      <c r="V1031" t="s">
        <v>693</v>
      </c>
      <c r="W1031">
        <v>140</v>
      </c>
      <c r="X1031" t="s">
        <v>693</v>
      </c>
      <c r="Y1031" t="s">
        <v>2365</v>
      </c>
      <c r="Z1031" t="s">
        <v>2365</v>
      </c>
      <c r="AA1031" t="s">
        <v>2365</v>
      </c>
      <c r="AB1031" t="s">
        <v>2365</v>
      </c>
      <c r="AC1031" s="813" t="s">
        <v>2365</v>
      </c>
      <c r="AD1031" s="813" t="s">
        <v>2365</v>
      </c>
      <c r="AE1031" s="813" t="s">
        <v>2365</v>
      </c>
      <c r="AF1031" t="s">
        <v>2365</v>
      </c>
      <c r="AG1031" t="s">
        <v>2365</v>
      </c>
      <c r="AH1031" t="s">
        <v>2365</v>
      </c>
      <c r="AI1031" t="s">
        <v>2365</v>
      </c>
      <c r="AJ1031" t="s">
        <v>2365</v>
      </c>
      <c r="AK1031" t="s">
        <v>2366</v>
      </c>
      <c r="AL1031" t="s">
        <v>2366</v>
      </c>
      <c r="AM1031" t="s">
        <v>2366</v>
      </c>
      <c r="AN1031" t="s">
        <v>2366</v>
      </c>
      <c r="AR1031" t="s">
        <v>2365</v>
      </c>
      <c r="AS1031" t="s">
        <v>2365</v>
      </c>
      <c r="AT1031" t="s">
        <v>2365</v>
      </c>
      <c r="AU1031" t="s">
        <v>2365</v>
      </c>
      <c r="AV1031" t="s">
        <v>2365</v>
      </c>
      <c r="AW1031" t="s">
        <v>2365</v>
      </c>
      <c r="AX1031" t="s">
        <v>2365</v>
      </c>
      <c r="AY1031" t="s">
        <v>2365</v>
      </c>
      <c r="AZ1031" t="s">
        <v>2365</v>
      </c>
      <c r="BA1031" t="s">
        <v>2365</v>
      </c>
      <c r="BB1031" t="s">
        <v>2365</v>
      </c>
      <c r="BC1031" t="s">
        <v>2365</v>
      </c>
      <c r="BD1031" t="s">
        <v>2366</v>
      </c>
      <c r="BE1031" t="s">
        <v>2365</v>
      </c>
      <c r="BF1031" t="s">
        <v>2365</v>
      </c>
      <c r="BG1031" t="s">
        <v>2365</v>
      </c>
      <c r="BH1031" t="s">
        <v>2365</v>
      </c>
      <c r="BI1031" t="s">
        <v>2366</v>
      </c>
      <c r="BJ1031" t="s">
        <v>2365</v>
      </c>
      <c r="BK1031" t="s">
        <v>2365</v>
      </c>
      <c r="BL1031" t="s">
        <v>2365</v>
      </c>
      <c r="BM1031" t="s">
        <v>2365</v>
      </c>
      <c r="BO1031">
        <v>1</v>
      </c>
      <c r="BP1031">
        <v>11</v>
      </c>
      <c r="BQ1031" t="s">
        <v>2369</v>
      </c>
      <c r="BR1031" t="s">
        <v>1487</v>
      </c>
      <c r="BU1031">
        <v>0</v>
      </c>
      <c r="BV1031">
        <v>0</v>
      </c>
      <c r="BW1031">
        <v>0</v>
      </c>
      <c r="BX1031">
        <v>0</v>
      </c>
      <c r="BY1031" s="1371">
        <v>0</v>
      </c>
      <c r="BZ1031" s="1371">
        <v>0</v>
      </c>
      <c r="CA1031">
        <v>0</v>
      </c>
      <c r="CB1031">
        <v>0</v>
      </c>
      <c r="CC1031">
        <v>0</v>
      </c>
      <c r="CD1031">
        <v>0</v>
      </c>
      <c r="CE1031">
        <v>0</v>
      </c>
      <c r="CF1031">
        <v>0</v>
      </c>
      <c r="CG1031">
        <v>0</v>
      </c>
      <c r="CH1031">
        <v>0</v>
      </c>
      <c r="CI1031">
        <v>0</v>
      </c>
      <c r="CJ1031">
        <v>0</v>
      </c>
      <c r="CK1031">
        <v>0</v>
      </c>
      <c r="CL1031">
        <v>0</v>
      </c>
      <c r="CM1031">
        <v>0</v>
      </c>
      <c r="CR1031" t="s">
        <v>2324</v>
      </c>
      <c r="CS1031" s="1369" t="str">
        <f>INDEX([8]Sheet1!$H:$H,MATCH(CR:CR,[8]Sheet1!$AU:$AU,0))</f>
        <v>Finance</v>
      </c>
    </row>
    <row r="1032" spans="1:97" x14ac:dyDescent="0.2">
      <c r="A1032" t="s">
        <v>3902</v>
      </c>
      <c r="B1032">
        <v>1095</v>
      </c>
      <c r="C1032" t="s">
        <v>3902</v>
      </c>
      <c r="D1032">
        <v>30318</v>
      </c>
      <c r="E1032" t="s">
        <v>3705</v>
      </c>
      <c r="F1032" t="s">
        <v>2364</v>
      </c>
      <c r="G1032" t="s">
        <v>2364</v>
      </c>
      <c r="H1032" t="s">
        <v>2365</v>
      </c>
      <c r="I1032" t="s">
        <v>2365</v>
      </c>
      <c r="J1032" t="s">
        <v>2365</v>
      </c>
      <c r="K1032" t="s">
        <v>2365</v>
      </c>
      <c r="L1032">
        <v>1200</v>
      </c>
      <c r="M1032" t="s">
        <v>1480</v>
      </c>
      <c r="N1032">
        <v>1204</v>
      </c>
      <c r="O1032" t="s">
        <v>1487</v>
      </c>
      <c r="P1032" t="s">
        <v>2366</v>
      </c>
      <c r="Q1032" t="s">
        <v>2364</v>
      </c>
      <c r="R1032" t="s">
        <v>2364</v>
      </c>
      <c r="S1032" t="s">
        <v>553</v>
      </c>
      <c r="T1032" t="s">
        <v>2175</v>
      </c>
      <c r="U1032" t="s">
        <v>2366</v>
      </c>
      <c r="V1032" t="s">
        <v>2366</v>
      </c>
      <c r="W1032" t="s">
        <v>2366</v>
      </c>
      <c r="X1032" t="s">
        <v>2366</v>
      </c>
      <c r="Y1032" t="s">
        <v>2365</v>
      </c>
      <c r="Z1032" t="s">
        <v>2365</v>
      </c>
      <c r="AA1032" t="s">
        <v>2365</v>
      </c>
      <c r="AB1032" t="s">
        <v>2365</v>
      </c>
      <c r="AC1032" s="813" t="s">
        <v>2365</v>
      </c>
      <c r="AD1032" s="813" t="s">
        <v>2365</v>
      </c>
      <c r="AE1032" s="813" t="s">
        <v>2365</v>
      </c>
      <c r="AF1032" t="s">
        <v>2365</v>
      </c>
      <c r="AG1032" t="s">
        <v>2365</v>
      </c>
      <c r="AH1032" t="s">
        <v>2365</v>
      </c>
      <c r="AI1032" t="s">
        <v>2365</v>
      </c>
      <c r="AJ1032" t="s">
        <v>2365</v>
      </c>
      <c r="AK1032">
        <v>146</v>
      </c>
      <c r="AL1032" t="s">
        <v>1199</v>
      </c>
      <c r="AM1032">
        <v>146</v>
      </c>
      <c r="AN1032" t="s">
        <v>1199</v>
      </c>
      <c r="AR1032" t="s">
        <v>2365</v>
      </c>
      <c r="AS1032" t="s">
        <v>2365</v>
      </c>
      <c r="AT1032" t="s">
        <v>2365</v>
      </c>
      <c r="AU1032" t="s">
        <v>2365</v>
      </c>
      <c r="AV1032" t="s">
        <v>2365</v>
      </c>
      <c r="AW1032" t="s">
        <v>2365</v>
      </c>
      <c r="AX1032" t="s">
        <v>2365</v>
      </c>
      <c r="AY1032" t="s">
        <v>2365</v>
      </c>
      <c r="AZ1032" t="s">
        <v>2365</v>
      </c>
      <c r="BA1032" t="s">
        <v>2365</v>
      </c>
      <c r="BB1032" t="s">
        <v>2365</v>
      </c>
      <c r="BC1032" t="s">
        <v>2365</v>
      </c>
      <c r="BD1032" t="s">
        <v>2366</v>
      </c>
      <c r="BE1032" t="s">
        <v>2365</v>
      </c>
      <c r="BF1032" t="s">
        <v>2365</v>
      </c>
      <c r="BG1032" t="s">
        <v>2365</v>
      </c>
      <c r="BH1032" t="s">
        <v>2365</v>
      </c>
      <c r="BI1032" t="s">
        <v>2366</v>
      </c>
      <c r="BJ1032" t="s">
        <v>2365</v>
      </c>
      <c r="BK1032" t="s">
        <v>2365</v>
      </c>
      <c r="BL1032" t="s">
        <v>2365</v>
      </c>
      <c r="BM1032" t="s">
        <v>2365</v>
      </c>
      <c r="BO1032">
        <v>1</v>
      </c>
      <c r="BP1032">
        <v>11</v>
      </c>
      <c r="BQ1032" t="s">
        <v>2369</v>
      </c>
      <c r="BR1032" t="s">
        <v>1487</v>
      </c>
      <c r="BU1032">
        <v>0</v>
      </c>
      <c r="BV1032">
        <v>0</v>
      </c>
      <c r="BW1032">
        <v>0</v>
      </c>
      <c r="BX1032">
        <v>0</v>
      </c>
      <c r="BY1032">
        <v>0</v>
      </c>
      <c r="BZ1032">
        <v>0</v>
      </c>
      <c r="CA1032">
        <v>0</v>
      </c>
      <c r="CB1032">
        <v>0</v>
      </c>
      <c r="CC1032">
        <v>0</v>
      </c>
      <c r="CD1032">
        <v>0</v>
      </c>
      <c r="CE1032">
        <v>0</v>
      </c>
      <c r="CF1032">
        <v>0</v>
      </c>
      <c r="CG1032">
        <v>0</v>
      </c>
      <c r="CH1032">
        <v>0</v>
      </c>
      <c r="CI1032">
        <v>0</v>
      </c>
      <c r="CJ1032">
        <v>0</v>
      </c>
      <c r="CK1032">
        <v>0</v>
      </c>
      <c r="CL1032">
        <v>0</v>
      </c>
      <c r="CM1032">
        <v>0</v>
      </c>
      <c r="CR1032" t="s">
        <v>2324</v>
      </c>
      <c r="CS1032" s="1369" t="str">
        <f>INDEX([8]Sheet1!$H:$H,MATCH(CR:CR,[8]Sheet1!$AU:$AU,0))</f>
        <v>Finance</v>
      </c>
    </row>
    <row r="1033" spans="1:97" x14ac:dyDescent="0.2">
      <c r="A1033" t="s">
        <v>3903</v>
      </c>
      <c r="B1033">
        <v>1096</v>
      </c>
      <c r="C1033" t="s">
        <v>3903</v>
      </c>
      <c r="D1033">
        <v>30319</v>
      </c>
      <c r="E1033" t="s">
        <v>3711</v>
      </c>
      <c r="F1033" t="s">
        <v>2364</v>
      </c>
      <c r="G1033" t="s">
        <v>2364</v>
      </c>
      <c r="H1033" t="s">
        <v>2365</v>
      </c>
      <c r="I1033" t="s">
        <v>2365</v>
      </c>
      <c r="J1033" t="s">
        <v>2365</v>
      </c>
      <c r="K1033" t="s">
        <v>2365</v>
      </c>
      <c r="L1033">
        <v>1200</v>
      </c>
      <c r="M1033" t="s">
        <v>1480</v>
      </c>
      <c r="N1033">
        <v>1204</v>
      </c>
      <c r="O1033" t="s">
        <v>1487</v>
      </c>
      <c r="P1033" t="s">
        <v>2366</v>
      </c>
      <c r="Q1033" t="s">
        <v>2364</v>
      </c>
      <c r="R1033" t="s">
        <v>2364</v>
      </c>
      <c r="S1033" t="s">
        <v>553</v>
      </c>
      <c r="T1033" t="s">
        <v>2175</v>
      </c>
      <c r="U1033" t="s">
        <v>2366</v>
      </c>
      <c r="V1033" t="s">
        <v>2366</v>
      </c>
      <c r="W1033" t="s">
        <v>2366</v>
      </c>
      <c r="X1033" t="s">
        <v>2366</v>
      </c>
      <c r="Y1033" t="s">
        <v>2365</v>
      </c>
      <c r="Z1033" t="s">
        <v>2365</v>
      </c>
      <c r="AA1033" t="s">
        <v>2365</v>
      </c>
      <c r="AB1033" t="s">
        <v>2365</v>
      </c>
      <c r="AC1033" s="813" t="s">
        <v>2365</v>
      </c>
      <c r="AD1033" s="813" t="s">
        <v>2365</v>
      </c>
      <c r="AE1033" s="813" t="s">
        <v>2365</v>
      </c>
      <c r="AF1033" t="s">
        <v>2365</v>
      </c>
      <c r="AG1033" t="s">
        <v>2365</v>
      </c>
      <c r="AH1033" t="s">
        <v>2365</v>
      </c>
      <c r="AI1033" t="s">
        <v>2365</v>
      </c>
      <c r="AJ1033" t="s">
        <v>2365</v>
      </c>
      <c r="AK1033">
        <v>146</v>
      </c>
      <c r="AL1033" t="s">
        <v>1199</v>
      </c>
      <c r="AM1033">
        <v>146</v>
      </c>
      <c r="AN1033" t="s">
        <v>1199</v>
      </c>
      <c r="AR1033" t="s">
        <v>2365</v>
      </c>
      <c r="AS1033" t="s">
        <v>2365</v>
      </c>
      <c r="AT1033" t="s">
        <v>2365</v>
      </c>
      <c r="AU1033" t="s">
        <v>2365</v>
      </c>
      <c r="AV1033" t="s">
        <v>2365</v>
      </c>
      <c r="AW1033" t="s">
        <v>2365</v>
      </c>
      <c r="AX1033" t="s">
        <v>2365</v>
      </c>
      <c r="AY1033" t="s">
        <v>2365</v>
      </c>
      <c r="AZ1033" t="s">
        <v>2365</v>
      </c>
      <c r="BA1033" t="s">
        <v>2365</v>
      </c>
      <c r="BB1033" t="s">
        <v>2365</v>
      </c>
      <c r="BC1033" t="s">
        <v>2365</v>
      </c>
      <c r="BD1033" t="s">
        <v>2366</v>
      </c>
      <c r="BE1033" t="s">
        <v>2365</v>
      </c>
      <c r="BF1033" t="s">
        <v>2365</v>
      </c>
      <c r="BG1033" t="s">
        <v>2365</v>
      </c>
      <c r="BH1033" t="s">
        <v>2365</v>
      </c>
      <c r="BI1033" t="s">
        <v>2366</v>
      </c>
      <c r="BJ1033" t="s">
        <v>2365</v>
      </c>
      <c r="BK1033" t="s">
        <v>2365</v>
      </c>
      <c r="BL1033" t="s">
        <v>2365</v>
      </c>
      <c r="BM1033" t="s">
        <v>2365</v>
      </c>
      <c r="BO1033">
        <v>1</v>
      </c>
      <c r="BP1033">
        <v>11</v>
      </c>
      <c r="BQ1033" t="s">
        <v>2369</v>
      </c>
      <c r="BR1033" t="s">
        <v>1487</v>
      </c>
      <c r="BU1033">
        <v>0</v>
      </c>
      <c r="BV1033">
        <v>0</v>
      </c>
      <c r="BW1033">
        <v>0</v>
      </c>
      <c r="BX1033">
        <v>0</v>
      </c>
      <c r="BY1033">
        <v>0</v>
      </c>
      <c r="BZ1033">
        <v>0</v>
      </c>
      <c r="CA1033">
        <v>0</v>
      </c>
      <c r="CB1033">
        <v>0</v>
      </c>
      <c r="CC1033">
        <v>0</v>
      </c>
      <c r="CD1033">
        <v>0</v>
      </c>
      <c r="CE1033">
        <v>0</v>
      </c>
      <c r="CF1033">
        <v>0</v>
      </c>
      <c r="CG1033">
        <v>0</v>
      </c>
      <c r="CH1033">
        <v>0</v>
      </c>
      <c r="CI1033">
        <v>0</v>
      </c>
      <c r="CJ1033">
        <v>0</v>
      </c>
      <c r="CK1033">
        <v>0</v>
      </c>
      <c r="CL1033">
        <v>0</v>
      </c>
      <c r="CM1033">
        <v>0</v>
      </c>
      <c r="CR1033" t="s">
        <v>2324</v>
      </c>
      <c r="CS1033" s="1369" t="str">
        <f>INDEX([8]Sheet1!$H:$H,MATCH(CR:CR,[8]Sheet1!$AU:$AU,0))</f>
        <v>Finance</v>
      </c>
    </row>
    <row r="1034" spans="1:97" x14ac:dyDescent="0.2">
      <c r="A1034" t="s">
        <v>3904</v>
      </c>
      <c r="B1034">
        <v>1097</v>
      </c>
      <c r="C1034" t="s">
        <v>3904</v>
      </c>
      <c r="D1034">
        <v>30320</v>
      </c>
      <c r="E1034" t="s">
        <v>3465</v>
      </c>
      <c r="F1034" t="s">
        <v>2364</v>
      </c>
      <c r="G1034" t="s">
        <v>2364</v>
      </c>
      <c r="H1034" t="s">
        <v>2365</v>
      </c>
      <c r="I1034" t="s">
        <v>2365</v>
      </c>
      <c r="J1034" t="s">
        <v>2365</v>
      </c>
      <c r="K1034" t="s">
        <v>2365</v>
      </c>
      <c r="L1034">
        <v>1200</v>
      </c>
      <c r="M1034" t="s">
        <v>1480</v>
      </c>
      <c r="N1034">
        <v>1204</v>
      </c>
      <c r="O1034" t="s">
        <v>1487</v>
      </c>
      <c r="P1034" t="s">
        <v>2366</v>
      </c>
      <c r="Q1034" t="s">
        <v>2364</v>
      </c>
      <c r="R1034" t="s">
        <v>2364</v>
      </c>
      <c r="S1034" t="s">
        <v>553</v>
      </c>
      <c r="T1034" t="s">
        <v>2175</v>
      </c>
      <c r="U1034">
        <v>140</v>
      </c>
      <c r="V1034" t="s">
        <v>693</v>
      </c>
      <c r="W1034">
        <v>140</v>
      </c>
      <c r="X1034" t="s">
        <v>693</v>
      </c>
      <c r="Y1034" t="s">
        <v>2365</v>
      </c>
      <c r="Z1034" t="s">
        <v>2365</v>
      </c>
      <c r="AA1034" t="s">
        <v>2365</v>
      </c>
      <c r="AB1034" t="s">
        <v>2365</v>
      </c>
      <c r="AC1034" s="813" t="s">
        <v>2365</v>
      </c>
      <c r="AD1034" s="813" t="s">
        <v>2365</v>
      </c>
      <c r="AE1034" s="813" t="s">
        <v>2365</v>
      </c>
      <c r="AF1034" t="s">
        <v>2365</v>
      </c>
      <c r="AG1034" t="s">
        <v>2365</v>
      </c>
      <c r="AH1034" t="s">
        <v>2365</v>
      </c>
      <c r="AI1034" t="s">
        <v>2365</v>
      </c>
      <c r="AJ1034" t="s">
        <v>2365</v>
      </c>
      <c r="AK1034" t="s">
        <v>2366</v>
      </c>
      <c r="AL1034" t="s">
        <v>2366</v>
      </c>
      <c r="AM1034" t="s">
        <v>2366</v>
      </c>
      <c r="AN1034" t="s">
        <v>2366</v>
      </c>
      <c r="AR1034" t="s">
        <v>2365</v>
      </c>
      <c r="AS1034" t="s">
        <v>2365</v>
      </c>
      <c r="AT1034" t="s">
        <v>2365</v>
      </c>
      <c r="AU1034" t="s">
        <v>2365</v>
      </c>
      <c r="AV1034" t="s">
        <v>2365</v>
      </c>
      <c r="AW1034" t="s">
        <v>2365</v>
      </c>
      <c r="AX1034" t="s">
        <v>2365</v>
      </c>
      <c r="AY1034" t="s">
        <v>2365</v>
      </c>
      <c r="AZ1034" t="s">
        <v>2365</v>
      </c>
      <c r="BA1034" t="s">
        <v>2365</v>
      </c>
      <c r="BB1034" t="s">
        <v>2365</v>
      </c>
      <c r="BC1034" t="s">
        <v>2365</v>
      </c>
      <c r="BD1034" t="s">
        <v>2366</v>
      </c>
      <c r="BE1034" t="s">
        <v>2365</v>
      </c>
      <c r="BF1034" t="s">
        <v>2365</v>
      </c>
      <c r="BG1034" t="s">
        <v>2365</v>
      </c>
      <c r="BH1034" t="s">
        <v>2365</v>
      </c>
      <c r="BI1034" t="s">
        <v>2366</v>
      </c>
      <c r="BJ1034" t="s">
        <v>2365</v>
      </c>
      <c r="BK1034" t="s">
        <v>2365</v>
      </c>
      <c r="BL1034" t="s">
        <v>2365</v>
      </c>
      <c r="BM1034" t="s">
        <v>2365</v>
      </c>
      <c r="BO1034">
        <v>1</v>
      </c>
      <c r="BP1034">
        <v>11</v>
      </c>
      <c r="BQ1034" t="s">
        <v>2369</v>
      </c>
      <c r="BR1034" t="s">
        <v>1487</v>
      </c>
      <c r="BU1034">
        <v>0</v>
      </c>
      <c r="BV1034">
        <v>0</v>
      </c>
      <c r="BW1034">
        <v>0</v>
      </c>
      <c r="BX1034">
        <v>0</v>
      </c>
      <c r="BY1034">
        <v>0</v>
      </c>
      <c r="BZ1034">
        <v>0</v>
      </c>
      <c r="CA1034">
        <v>0</v>
      </c>
      <c r="CB1034">
        <v>0</v>
      </c>
      <c r="CC1034">
        <v>0</v>
      </c>
      <c r="CD1034">
        <v>0</v>
      </c>
      <c r="CE1034">
        <v>0</v>
      </c>
      <c r="CF1034">
        <v>0</v>
      </c>
      <c r="CG1034">
        <v>0</v>
      </c>
      <c r="CH1034">
        <v>0</v>
      </c>
      <c r="CI1034">
        <v>0</v>
      </c>
      <c r="CJ1034">
        <v>0</v>
      </c>
      <c r="CK1034">
        <v>0</v>
      </c>
      <c r="CL1034">
        <v>0</v>
      </c>
      <c r="CM1034">
        <v>0</v>
      </c>
      <c r="CR1034" t="s">
        <v>2324</v>
      </c>
      <c r="CS1034" s="1369" t="str">
        <f>INDEX([8]Sheet1!$H:$H,MATCH(CR:CR,[8]Sheet1!$AU:$AU,0))</f>
        <v>Finance</v>
      </c>
    </row>
    <row r="1035" spans="1:97" x14ac:dyDescent="0.2">
      <c r="A1035" t="s">
        <v>3905</v>
      </c>
      <c r="B1035">
        <v>1098</v>
      </c>
      <c r="C1035" t="s">
        <v>3905</v>
      </c>
      <c r="D1035">
        <v>30321</v>
      </c>
      <c r="E1035" t="s">
        <v>3469</v>
      </c>
      <c r="F1035" t="s">
        <v>2364</v>
      </c>
      <c r="G1035" t="s">
        <v>2364</v>
      </c>
      <c r="H1035" t="s">
        <v>2365</v>
      </c>
      <c r="I1035" t="s">
        <v>2365</v>
      </c>
      <c r="J1035" t="s">
        <v>2365</v>
      </c>
      <c r="K1035" t="s">
        <v>2365</v>
      </c>
      <c r="L1035">
        <v>1200</v>
      </c>
      <c r="M1035" t="s">
        <v>1480</v>
      </c>
      <c r="N1035">
        <v>1204</v>
      </c>
      <c r="O1035" t="s">
        <v>1487</v>
      </c>
      <c r="P1035" t="s">
        <v>2366</v>
      </c>
      <c r="Q1035" t="s">
        <v>2364</v>
      </c>
      <c r="R1035" t="s">
        <v>2364</v>
      </c>
      <c r="S1035" t="s">
        <v>553</v>
      </c>
      <c r="T1035" t="s">
        <v>2175</v>
      </c>
      <c r="U1035">
        <v>140</v>
      </c>
      <c r="V1035" t="s">
        <v>693</v>
      </c>
      <c r="W1035">
        <v>140</v>
      </c>
      <c r="X1035" t="s">
        <v>693</v>
      </c>
      <c r="Y1035" t="s">
        <v>2365</v>
      </c>
      <c r="Z1035" t="s">
        <v>2365</v>
      </c>
      <c r="AA1035" t="s">
        <v>2365</v>
      </c>
      <c r="AB1035" t="s">
        <v>2365</v>
      </c>
      <c r="AC1035" s="813" t="s">
        <v>2365</v>
      </c>
      <c r="AD1035" s="813" t="s">
        <v>2365</v>
      </c>
      <c r="AE1035" s="813" t="s">
        <v>2365</v>
      </c>
      <c r="AF1035" t="s">
        <v>2365</v>
      </c>
      <c r="AG1035" t="s">
        <v>2365</v>
      </c>
      <c r="AH1035" t="s">
        <v>2365</v>
      </c>
      <c r="AI1035" t="s">
        <v>2365</v>
      </c>
      <c r="AJ1035" t="s">
        <v>2365</v>
      </c>
      <c r="AK1035" t="s">
        <v>2366</v>
      </c>
      <c r="AL1035" t="s">
        <v>2366</v>
      </c>
      <c r="AM1035" t="s">
        <v>2366</v>
      </c>
      <c r="AN1035" t="s">
        <v>2366</v>
      </c>
      <c r="AR1035" t="s">
        <v>2365</v>
      </c>
      <c r="AS1035" t="s">
        <v>2365</v>
      </c>
      <c r="AT1035" t="s">
        <v>2365</v>
      </c>
      <c r="AU1035" t="s">
        <v>2365</v>
      </c>
      <c r="AV1035" t="s">
        <v>2365</v>
      </c>
      <c r="AW1035" t="s">
        <v>2365</v>
      </c>
      <c r="AX1035" t="s">
        <v>2365</v>
      </c>
      <c r="AY1035" t="s">
        <v>2365</v>
      </c>
      <c r="AZ1035" t="s">
        <v>2365</v>
      </c>
      <c r="BA1035" t="s">
        <v>2365</v>
      </c>
      <c r="BB1035" t="s">
        <v>2365</v>
      </c>
      <c r="BC1035" t="s">
        <v>2365</v>
      </c>
      <c r="BD1035" t="s">
        <v>2366</v>
      </c>
      <c r="BE1035" t="s">
        <v>2365</v>
      </c>
      <c r="BF1035" t="s">
        <v>2365</v>
      </c>
      <c r="BG1035" t="s">
        <v>2365</v>
      </c>
      <c r="BH1035" t="s">
        <v>2365</v>
      </c>
      <c r="BI1035" t="s">
        <v>2366</v>
      </c>
      <c r="BJ1035" t="s">
        <v>2365</v>
      </c>
      <c r="BK1035" t="s">
        <v>2365</v>
      </c>
      <c r="BL1035" t="s">
        <v>2365</v>
      </c>
      <c r="BM1035" t="s">
        <v>2365</v>
      </c>
      <c r="BO1035">
        <v>1</v>
      </c>
      <c r="BP1035">
        <v>11</v>
      </c>
      <c r="BQ1035" t="s">
        <v>2369</v>
      </c>
      <c r="BR1035" t="s">
        <v>1487</v>
      </c>
      <c r="BU1035">
        <v>0</v>
      </c>
      <c r="BV1035">
        <v>0</v>
      </c>
      <c r="BW1035">
        <v>0</v>
      </c>
      <c r="BX1035">
        <v>0</v>
      </c>
      <c r="BY1035">
        <v>0</v>
      </c>
      <c r="BZ1035">
        <v>0</v>
      </c>
      <c r="CA1035">
        <v>0</v>
      </c>
      <c r="CB1035">
        <v>0</v>
      </c>
      <c r="CC1035">
        <v>0</v>
      </c>
      <c r="CD1035">
        <v>0</v>
      </c>
      <c r="CE1035">
        <v>0</v>
      </c>
      <c r="CF1035">
        <v>0</v>
      </c>
      <c r="CG1035">
        <v>0</v>
      </c>
      <c r="CH1035">
        <v>0</v>
      </c>
      <c r="CI1035">
        <v>0</v>
      </c>
      <c r="CJ1035">
        <v>0</v>
      </c>
      <c r="CK1035">
        <v>0</v>
      </c>
      <c r="CL1035">
        <v>0</v>
      </c>
      <c r="CM1035">
        <v>0</v>
      </c>
      <c r="CR1035" t="s">
        <v>2324</v>
      </c>
      <c r="CS1035" s="1369" t="str">
        <f>INDEX([8]Sheet1!$H:$H,MATCH(CR:CR,[8]Sheet1!$AU:$AU,0))</f>
        <v>Finance</v>
      </c>
    </row>
    <row r="1036" spans="1:97" x14ac:dyDescent="0.2">
      <c r="A1036" t="s">
        <v>3906</v>
      </c>
      <c r="B1036">
        <v>1099</v>
      </c>
      <c r="C1036" t="s">
        <v>3906</v>
      </c>
      <c r="D1036">
        <v>30322</v>
      </c>
      <c r="E1036" t="s">
        <v>3473</v>
      </c>
      <c r="F1036" t="s">
        <v>2364</v>
      </c>
      <c r="G1036" t="s">
        <v>2364</v>
      </c>
      <c r="H1036" t="s">
        <v>2365</v>
      </c>
      <c r="I1036" t="s">
        <v>2365</v>
      </c>
      <c r="J1036" t="s">
        <v>2365</v>
      </c>
      <c r="K1036" t="s">
        <v>2365</v>
      </c>
      <c r="L1036">
        <v>1200</v>
      </c>
      <c r="M1036" t="s">
        <v>1480</v>
      </c>
      <c r="N1036">
        <v>1204</v>
      </c>
      <c r="O1036" t="s">
        <v>1487</v>
      </c>
      <c r="P1036" t="s">
        <v>2366</v>
      </c>
      <c r="Q1036" t="s">
        <v>2364</v>
      </c>
      <c r="R1036" t="s">
        <v>2364</v>
      </c>
      <c r="S1036" t="s">
        <v>553</v>
      </c>
      <c r="T1036" t="s">
        <v>2175</v>
      </c>
      <c r="U1036">
        <v>140</v>
      </c>
      <c r="V1036" t="s">
        <v>693</v>
      </c>
      <c r="W1036">
        <v>140</v>
      </c>
      <c r="X1036" t="s">
        <v>693</v>
      </c>
      <c r="Y1036" t="s">
        <v>2365</v>
      </c>
      <c r="Z1036" t="s">
        <v>2365</v>
      </c>
      <c r="AA1036" t="s">
        <v>2365</v>
      </c>
      <c r="AB1036" t="s">
        <v>2365</v>
      </c>
      <c r="AC1036" s="813" t="s">
        <v>2365</v>
      </c>
      <c r="AD1036" s="813" t="s">
        <v>2365</v>
      </c>
      <c r="AE1036" s="813" t="s">
        <v>2365</v>
      </c>
      <c r="AF1036" t="s">
        <v>2365</v>
      </c>
      <c r="AG1036" t="s">
        <v>2365</v>
      </c>
      <c r="AH1036" t="s">
        <v>2365</v>
      </c>
      <c r="AI1036" t="s">
        <v>2365</v>
      </c>
      <c r="AJ1036" t="s">
        <v>2365</v>
      </c>
      <c r="AK1036">
        <v>147</v>
      </c>
      <c r="AL1036" t="s">
        <v>1200</v>
      </c>
      <c r="AM1036">
        <v>147</v>
      </c>
      <c r="AN1036" t="s">
        <v>1200</v>
      </c>
      <c r="AR1036" t="s">
        <v>2365</v>
      </c>
      <c r="AS1036" t="s">
        <v>2365</v>
      </c>
      <c r="AT1036" t="s">
        <v>2365</v>
      </c>
      <c r="AU1036" t="s">
        <v>2365</v>
      </c>
      <c r="AV1036" t="s">
        <v>2365</v>
      </c>
      <c r="AW1036" t="s">
        <v>2365</v>
      </c>
      <c r="AX1036" t="s">
        <v>2365</v>
      </c>
      <c r="AY1036" t="s">
        <v>2365</v>
      </c>
      <c r="AZ1036" t="s">
        <v>2365</v>
      </c>
      <c r="BA1036" t="s">
        <v>2365</v>
      </c>
      <c r="BB1036" t="s">
        <v>2365</v>
      </c>
      <c r="BC1036" t="s">
        <v>2365</v>
      </c>
      <c r="BD1036" t="s">
        <v>2366</v>
      </c>
      <c r="BE1036" t="s">
        <v>2365</v>
      </c>
      <c r="BF1036" t="s">
        <v>2365</v>
      </c>
      <c r="BG1036" t="s">
        <v>2365</v>
      </c>
      <c r="BH1036" t="s">
        <v>2365</v>
      </c>
      <c r="BI1036" t="s">
        <v>2366</v>
      </c>
      <c r="BJ1036" t="s">
        <v>2365</v>
      </c>
      <c r="BK1036" t="s">
        <v>2365</v>
      </c>
      <c r="BL1036" t="s">
        <v>2365</v>
      </c>
      <c r="BM1036" t="s">
        <v>2365</v>
      </c>
      <c r="BO1036">
        <v>1</v>
      </c>
      <c r="BP1036">
        <v>11</v>
      </c>
      <c r="BQ1036" t="s">
        <v>2369</v>
      </c>
      <c r="BR1036" t="s">
        <v>1487</v>
      </c>
      <c r="BU1036">
        <v>0</v>
      </c>
      <c r="BV1036">
        <v>0</v>
      </c>
      <c r="BW1036">
        <v>0</v>
      </c>
      <c r="BX1036">
        <v>0</v>
      </c>
      <c r="BY1036">
        <v>0</v>
      </c>
      <c r="BZ1036">
        <v>0</v>
      </c>
      <c r="CA1036">
        <v>0</v>
      </c>
      <c r="CB1036">
        <v>0</v>
      </c>
      <c r="CC1036">
        <v>0</v>
      </c>
      <c r="CD1036">
        <v>0</v>
      </c>
      <c r="CE1036">
        <v>0</v>
      </c>
      <c r="CF1036">
        <v>0</v>
      </c>
      <c r="CG1036">
        <v>0</v>
      </c>
      <c r="CH1036">
        <v>0</v>
      </c>
      <c r="CI1036">
        <v>0</v>
      </c>
      <c r="CJ1036">
        <v>0</v>
      </c>
      <c r="CK1036">
        <v>0</v>
      </c>
      <c r="CL1036">
        <v>0</v>
      </c>
      <c r="CM1036">
        <v>0</v>
      </c>
      <c r="CR1036" t="s">
        <v>2324</v>
      </c>
      <c r="CS1036" s="1369" t="str">
        <f>INDEX([8]Sheet1!$H:$H,MATCH(CR:CR,[8]Sheet1!$AU:$AU,0))</f>
        <v>Finance</v>
      </c>
    </row>
    <row r="1037" spans="1:97" x14ac:dyDescent="0.2">
      <c r="A1037" t="s">
        <v>3907</v>
      </c>
      <c r="B1037">
        <v>1100</v>
      </c>
      <c r="C1037" t="s">
        <v>3907</v>
      </c>
      <c r="D1037">
        <v>30323</v>
      </c>
      <c r="E1037" t="s">
        <v>3477</v>
      </c>
      <c r="F1037" t="s">
        <v>2364</v>
      </c>
      <c r="G1037" t="s">
        <v>2364</v>
      </c>
      <c r="H1037" t="s">
        <v>2365</v>
      </c>
      <c r="I1037" t="s">
        <v>2365</v>
      </c>
      <c r="J1037" t="s">
        <v>2365</v>
      </c>
      <c r="K1037" t="s">
        <v>2365</v>
      </c>
      <c r="L1037">
        <v>1200</v>
      </c>
      <c r="M1037" t="s">
        <v>1480</v>
      </c>
      <c r="N1037">
        <v>1204</v>
      </c>
      <c r="O1037" t="s">
        <v>1487</v>
      </c>
      <c r="P1037" t="s">
        <v>2366</v>
      </c>
      <c r="Q1037" t="s">
        <v>2364</v>
      </c>
      <c r="R1037" t="s">
        <v>2364</v>
      </c>
      <c r="S1037" t="s">
        <v>553</v>
      </c>
      <c r="T1037" t="s">
        <v>2175</v>
      </c>
      <c r="U1037">
        <v>140</v>
      </c>
      <c r="V1037" t="s">
        <v>693</v>
      </c>
      <c r="W1037">
        <v>140</v>
      </c>
      <c r="X1037" t="s">
        <v>693</v>
      </c>
      <c r="Y1037" t="s">
        <v>2365</v>
      </c>
      <c r="Z1037" t="s">
        <v>2365</v>
      </c>
      <c r="AA1037" t="s">
        <v>2365</v>
      </c>
      <c r="AB1037" t="s">
        <v>2365</v>
      </c>
      <c r="AC1037" s="813" t="s">
        <v>2365</v>
      </c>
      <c r="AD1037" s="813" t="s">
        <v>2365</v>
      </c>
      <c r="AE1037" s="813" t="s">
        <v>2365</v>
      </c>
      <c r="AF1037" t="s">
        <v>2365</v>
      </c>
      <c r="AG1037" t="s">
        <v>2365</v>
      </c>
      <c r="AH1037" t="s">
        <v>2365</v>
      </c>
      <c r="AI1037" t="s">
        <v>2365</v>
      </c>
      <c r="AJ1037" t="s">
        <v>2365</v>
      </c>
      <c r="AK1037" t="s">
        <v>2366</v>
      </c>
      <c r="AL1037" t="s">
        <v>2366</v>
      </c>
      <c r="AM1037" t="s">
        <v>2366</v>
      </c>
      <c r="AN1037" t="s">
        <v>2366</v>
      </c>
      <c r="AR1037" t="s">
        <v>2365</v>
      </c>
      <c r="AS1037" t="s">
        <v>2365</v>
      </c>
      <c r="AT1037" t="s">
        <v>2365</v>
      </c>
      <c r="AU1037" t="s">
        <v>2365</v>
      </c>
      <c r="AV1037" t="s">
        <v>2365</v>
      </c>
      <c r="AW1037" t="s">
        <v>2365</v>
      </c>
      <c r="AX1037" t="s">
        <v>2365</v>
      </c>
      <c r="AY1037" t="s">
        <v>2365</v>
      </c>
      <c r="AZ1037" t="s">
        <v>2365</v>
      </c>
      <c r="BA1037" t="s">
        <v>2365</v>
      </c>
      <c r="BB1037" t="s">
        <v>2365</v>
      </c>
      <c r="BC1037" t="s">
        <v>2365</v>
      </c>
      <c r="BD1037" t="s">
        <v>2366</v>
      </c>
      <c r="BE1037" t="s">
        <v>2365</v>
      </c>
      <c r="BF1037" t="s">
        <v>2365</v>
      </c>
      <c r="BG1037" t="s">
        <v>2365</v>
      </c>
      <c r="BH1037" t="s">
        <v>2365</v>
      </c>
      <c r="BI1037" t="s">
        <v>2366</v>
      </c>
      <c r="BJ1037" t="s">
        <v>2365</v>
      </c>
      <c r="BK1037" t="s">
        <v>2365</v>
      </c>
      <c r="BL1037" t="s">
        <v>2365</v>
      </c>
      <c r="BM1037" t="s">
        <v>2365</v>
      </c>
      <c r="BO1037">
        <v>1</v>
      </c>
      <c r="BP1037">
        <v>11</v>
      </c>
      <c r="BQ1037" t="s">
        <v>2369</v>
      </c>
      <c r="BR1037" t="s">
        <v>1487</v>
      </c>
      <c r="BU1037">
        <v>0</v>
      </c>
      <c r="BV1037">
        <v>0</v>
      </c>
      <c r="BW1037">
        <v>0</v>
      </c>
      <c r="BX1037">
        <v>0</v>
      </c>
      <c r="BY1037">
        <v>0</v>
      </c>
      <c r="BZ1037">
        <v>0</v>
      </c>
      <c r="CA1037">
        <v>0</v>
      </c>
      <c r="CB1037">
        <v>0</v>
      </c>
      <c r="CC1037">
        <v>0</v>
      </c>
      <c r="CD1037">
        <v>0</v>
      </c>
      <c r="CE1037">
        <v>0</v>
      </c>
      <c r="CF1037">
        <v>0</v>
      </c>
      <c r="CG1037">
        <v>0</v>
      </c>
      <c r="CH1037">
        <v>0</v>
      </c>
      <c r="CI1037">
        <v>0</v>
      </c>
      <c r="CJ1037">
        <v>0</v>
      </c>
      <c r="CK1037">
        <v>0</v>
      </c>
      <c r="CL1037">
        <v>0</v>
      </c>
      <c r="CM1037">
        <v>0</v>
      </c>
      <c r="CR1037" t="s">
        <v>2324</v>
      </c>
      <c r="CS1037" s="1369" t="str">
        <f>INDEX([8]Sheet1!$H:$H,MATCH(CR:CR,[8]Sheet1!$AU:$AU,0))</f>
        <v>Finance</v>
      </c>
    </row>
    <row r="1038" spans="1:97" x14ac:dyDescent="0.2">
      <c r="A1038" t="s">
        <v>3908</v>
      </c>
      <c r="B1038">
        <v>1102</v>
      </c>
      <c r="C1038" t="s">
        <v>3908</v>
      </c>
      <c r="D1038">
        <v>30325</v>
      </c>
      <c r="E1038" t="s">
        <v>3485</v>
      </c>
      <c r="F1038" t="s">
        <v>2364</v>
      </c>
      <c r="G1038" t="s">
        <v>2364</v>
      </c>
      <c r="H1038" t="s">
        <v>2365</v>
      </c>
      <c r="I1038" t="s">
        <v>2365</v>
      </c>
      <c r="J1038" t="s">
        <v>2365</v>
      </c>
      <c r="K1038" t="s">
        <v>2365</v>
      </c>
      <c r="L1038">
        <v>1200</v>
      </c>
      <c r="M1038" t="s">
        <v>1480</v>
      </c>
      <c r="N1038">
        <v>1204</v>
      </c>
      <c r="O1038" t="s">
        <v>1487</v>
      </c>
      <c r="P1038" t="s">
        <v>2366</v>
      </c>
      <c r="Q1038" t="s">
        <v>2364</v>
      </c>
      <c r="R1038" t="s">
        <v>2364</v>
      </c>
      <c r="S1038" t="s">
        <v>553</v>
      </c>
      <c r="T1038" t="s">
        <v>2175</v>
      </c>
      <c r="U1038">
        <v>140</v>
      </c>
      <c r="V1038" t="s">
        <v>693</v>
      </c>
      <c r="W1038">
        <v>140</v>
      </c>
      <c r="X1038" t="s">
        <v>693</v>
      </c>
      <c r="Y1038" t="s">
        <v>2365</v>
      </c>
      <c r="Z1038" t="s">
        <v>2365</v>
      </c>
      <c r="AA1038" t="s">
        <v>2365</v>
      </c>
      <c r="AB1038" t="s">
        <v>2365</v>
      </c>
      <c r="AC1038" s="813" t="s">
        <v>2365</v>
      </c>
      <c r="AD1038" s="813" t="s">
        <v>2365</v>
      </c>
      <c r="AE1038" s="813" t="s">
        <v>2365</v>
      </c>
      <c r="AF1038" t="s">
        <v>2365</v>
      </c>
      <c r="AG1038" t="s">
        <v>2365</v>
      </c>
      <c r="AH1038" t="s">
        <v>2365</v>
      </c>
      <c r="AI1038" t="s">
        <v>2365</v>
      </c>
      <c r="AJ1038" t="s">
        <v>2365</v>
      </c>
      <c r="AK1038" t="s">
        <v>2366</v>
      </c>
      <c r="AL1038" t="s">
        <v>2366</v>
      </c>
      <c r="AM1038" t="s">
        <v>2366</v>
      </c>
      <c r="AN1038" t="s">
        <v>2366</v>
      </c>
      <c r="AR1038" t="s">
        <v>2365</v>
      </c>
      <c r="AS1038" t="s">
        <v>2365</v>
      </c>
      <c r="AT1038" t="s">
        <v>2365</v>
      </c>
      <c r="AU1038" t="s">
        <v>2365</v>
      </c>
      <c r="AV1038" t="s">
        <v>2365</v>
      </c>
      <c r="AW1038" t="s">
        <v>2365</v>
      </c>
      <c r="AX1038" t="s">
        <v>2365</v>
      </c>
      <c r="AY1038" t="s">
        <v>2365</v>
      </c>
      <c r="AZ1038" t="s">
        <v>2365</v>
      </c>
      <c r="BA1038" t="s">
        <v>2365</v>
      </c>
      <c r="BB1038" t="s">
        <v>2365</v>
      </c>
      <c r="BC1038" t="s">
        <v>2365</v>
      </c>
      <c r="BD1038" t="s">
        <v>2366</v>
      </c>
      <c r="BE1038" t="s">
        <v>2365</v>
      </c>
      <c r="BF1038" t="s">
        <v>2365</v>
      </c>
      <c r="BG1038" t="s">
        <v>2365</v>
      </c>
      <c r="BH1038" t="s">
        <v>2365</v>
      </c>
      <c r="BI1038" t="s">
        <v>2366</v>
      </c>
      <c r="BJ1038" t="s">
        <v>2365</v>
      </c>
      <c r="BK1038" t="s">
        <v>2365</v>
      </c>
      <c r="BL1038" t="s">
        <v>2365</v>
      </c>
      <c r="BM1038" t="s">
        <v>2365</v>
      </c>
      <c r="BO1038">
        <v>1</v>
      </c>
      <c r="BP1038">
        <v>11</v>
      </c>
      <c r="BQ1038" t="s">
        <v>2369</v>
      </c>
      <c r="BR1038" t="s">
        <v>1487</v>
      </c>
      <c r="BU1038">
        <v>0</v>
      </c>
      <c r="BV1038">
        <v>0</v>
      </c>
      <c r="BW1038">
        <v>0</v>
      </c>
      <c r="BX1038">
        <v>0</v>
      </c>
      <c r="BY1038">
        <v>0</v>
      </c>
      <c r="BZ1038">
        <v>0</v>
      </c>
      <c r="CA1038">
        <v>0</v>
      </c>
      <c r="CB1038">
        <v>0</v>
      </c>
      <c r="CC1038">
        <v>0</v>
      </c>
      <c r="CD1038">
        <v>0</v>
      </c>
      <c r="CE1038">
        <v>0</v>
      </c>
      <c r="CF1038">
        <v>0</v>
      </c>
      <c r="CG1038">
        <v>0</v>
      </c>
      <c r="CH1038">
        <v>0</v>
      </c>
      <c r="CI1038">
        <v>0</v>
      </c>
      <c r="CJ1038">
        <v>0</v>
      </c>
      <c r="CK1038">
        <v>0</v>
      </c>
      <c r="CL1038">
        <v>0</v>
      </c>
      <c r="CM1038">
        <v>0</v>
      </c>
      <c r="CR1038" t="s">
        <v>2324</v>
      </c>
      <c r="CS1038" s="1369" t="str">
        <f>INDEX([8]Sheet1!$H:$H,MATCH(CR:CR,[8]Sheet1!$AU:$AU,0))</f>
        <v>Finance</v>
      </c>
    </row>
    <row r="1039" spans="1:97" x14ac:dyDescent="0.2">
      <c r="A1039" t="s">
        <v>3909</v>
      </c>
      <c r="B1039">
        <v>1103</v>
      </c>
      <c r="C1039" t="s">
        <v>3909</v>
      </c>
      <c r="D1039">
        <v>30326</v>
      </c>
      <c r="E1039" t="s">
        <v>3697</v>
      </c>
      <c r="F1039" t="s">
        <v>2364</v>
      </c>
      <c r="G1039" t="s">
        <v>2364</v>
      </c>
      <c r="H1039" t="s">
        <v>2365</v>
      </c>
      <c r="I1039" t="s">
        <v>2365</v>
      </c>
      <c r="J1039" t="s">
        <v>2365</v>
      </c>
      <c r="K1039" t="s">
        <v>2365</v>
      </c>
      <c r="L1039">
        <v>1200</v>
      </c>
      <c r="M1039" t="s">
        <v>1480</v>
      </c>
      <c r="N1039">
        <v>1204</v>
      </c>
      <c r="O1039" t="s">
        <v>1487</v>
      </c>
      <c r="P1039" t="s">
        <v>2366</v>
      </c>
      <c r="Q1039" t="s">
        <v>2364</v>
      </c>
      <c r="R1039" t="s">
        <v>2364</v>
      </c>
      <c r="S1039" t="s">
        <v>553</v>
      </c>
      <c r="T1039" t="s">
        <v>2175</v>
      </c>
      <c r="U1039" t="s">
        <v>2366</v>
      </c>
      <c r="V1039" t="s">
        <v>2366</v>
      </c>
      <c r="W1039" t="s">
        <v>2366</v>
      </c>
      <c r="X1039" t="s">
        <v>2366</v>
      </c>
      <c r="Y1039" t="s">
        <v>2365</v>
      </c>
      <c r="Z1039" t="s">
        <v>2365</v>
      </c>
      <c r="AA1039" t="s">
        <v>2365</v>
      </c>
      <c r="AB1039" t="s">
        <v>2365</v>
      </c>
      <c r="AC1039" s="813" t="s">
        <v>2365</v>
      </c>
      <c r="AD1039" s="813" t="s">
        <v>2365</v>
      </c>
      <c r="AE1039" s="813" t="s">
        <v>2365</v>
      </c>
      <c r="AF1039" t="s">
        <v>2365</v>
      </c>
      <c r="AG1039" t="s">
        <v>2365</v>
      </c>
      <c r="AH1039" t="s">
        <v>2365</v>
      </c>
      <c r="AI1039" t="s">
        <v>2365</v>
      </c>
      <c r="AJ1039" t="s">
        <v>2365</v>
      </c>
      <c r="AK1039">
        <v>146</v>
      </c>
      <c r="AL1039" t="s">
        <v>1199</v>
      </c>
      <c r="AM1039">
        <v>146</v>
      </c>
      <c r="AN1039" t="s">
        <v>1199</v>
      </c>
      <c r="AR1039" t="s">
        <v>2365</v>
      </c>
      <c r="AS1039" t="s">
        <v>2365</v>
      </c>
      <c r="AT1039" t="s">
        <v>2365</v>
      </c>
      <c r="AU1039" t="s">
        <v>2365</v>
      </c>
      <c r="AV1039" t="s">
        <v>2365</v>
      </c>
      <c r="AW1039" t="s">
        <v>2365</v>
      </c>
      <c r="AX1039" t="s">
        <v>2365</v>
      </c>
      <c r="AY1039" t="s">
        <v>2365</v>
      </c>
      <c r="AZ1039" t="s">
        <v>2365</v>
      </c>
      <c r="BA1039" t="s">
        <v>2365</v>
      </c>
      <c r="BB1039" t="s">
        <v>2365</v>
      </c>
      <c r="BC1039" t="s">
        <v>2365</v>
      </c>
      <c r="BD1039" t="s">
        <v>2366</v>
      </c>
      <c r="BE1039" t="s">
        <v>2365</v>
      </c>
      <c r="BF1039" t="s">
        <v>2365</v>
      </c>
      <c r="BG1039" t="s">
        <v>2365</v>
      </c>
      <c r="BH1039" t="s">
        <v>2365</v>
      </c>
      <c r="BI1039" t="s">
        <v>2366</v>
      </c>
      <c r="BJ1039" t="s">
        <v>2365</v>
      </c>
      <c r="BK1039" t="s">
        <v>2365</v>
      </c>
      <c r="BL1039" t="s">
        <v>2365</v>
      </c>
      <c r="BM1039" t="s">
        <v>2365</v>
      </c>
      <c r="BO1039">
        <v>1</v>
      </c>
      <c r="BP1039">
        <v>11</v>
      </c>
      <c r="BQ1039" t="s">
        <v>2369</v>
      </c>
      <c r="BR1039" t="s">
        <v>1487</v>
      </c>
      <c r="BU1039">
        <v>0</v>
      </c>
      <c r="BV1039">
        <v>0</v>
      </c>
      <c r="BW1039">
        <v>0</v>
      </c>
      <c r="BX1039">
        <v>0</v>
      </c>
      <c r="BY1039">
        <v>0</v>
      </c>
      <c r="BZ1039">
        <v>0</v>
      </c>
      <c r="CA1039">
        <v>0</v>
      </c>
      <c r="CB1039">
        <v>0</v>
      </c>
      <c r="CC1039">
        <v>0</v>
      </c>
      <c r="CD1039">
        <v>0</v>
      </c>
      <c r="CE1039">
        <v>0</v>
      </c>
      <c r="CF1039">
        <v>0</v>
      </c>
      <c r="CG1039">
        <v>0</v>
      </c>
      <c r="CH1039">
        <v>0</v>
      </c>
      <c r="CI1039">
        <v>0</v>
      </c>
      <c r="CJ1039">
        <v>0</v>
      </c>
      <c r="CK1039">
        <v>0</v>
      </c>
      <c r="CL1039">
        <v>0</v>
      </c>
      <c r="CM1039">
        <v>0</v>
      </c>
      <c r="CR1039" t="s">
        <v>2324</v>
      </c>
      <c r="CS1039" s="1369" t="str">
        <f>INDEX([8]Sheet1!$H:$H,MATCH(CR:CR,[8]Sheet1!$AU:$AU,0))</f>
        <v>Finance</v>
      </c>
    </row>
    <row r="1040" spans="1:97" x14ac:dyDescent="0.2">
      <c r="A1040" t="s">
        <v>3910</v>
      </c>
      <c r="B1040">
        <v>1104</v>
      </c>
      <c r="C1040" t="s">
        <v>3910</v>
      </c>
      <c r="D1040">
        <v>30327</v>
      </c>
      <c r="E1040" t="s">
        <v>3701</v>
      </c>
      <c r="F1040" t="s">
        <v>2364</v>
      </c>
      <c r="G1040" t="s">
        <v>2364</v>
      </c>
      <c r="H1040" t="s">
        <v>2365</v>
      </c>
      <c r="I1040" t="s">
        <v>2365</v>
      </c>
      <c r="J1040" t="s">
        <v>2365</v>
      </c>
      <c r="K1040" t="s">
        <v>2365</v>
      </c>
      <c r="L1040">
        <v>1200</v>
      </c>
      <c r="M1040" t="s">
        <v>1480</v>
      </c>
      <c r="N1040">
        <v>1204</v>
      </c>
      <c r="O1040" t="s">
        <v>1487</v>
      </c>
      <c r="P1040" t="s">
        <v>2366</v>
      </c>
      <c r="Q1040" t="s">
        <v>2364</v>
      </c>
      <c r="R1040" t="s">
        <v>2364</v>
      </c>
      <c r="S1040" t="s">
        <v>553</v>
      </c>
      <c r="T1040" t="s">
        <v>2175</v>
      </c>
      <c r="U1040" t="s">
        <v>2366</v>
      </c>
      <c r="V1040" t="s">
        <v>2366</v>
      </c>
      <c r="W1040" t="s">
        <v>2366</v>
      </c>
      <c r="X1040" t="s">
        <v>2366</v>
      </c>
      <c r="Y1040" t="s">
        <v>2365</v>
      </c>
      <c r="Z1040" t="s">
        <v>2365</v>
      </c>
      <c r="AA1040" t="s">
        <v>2365</v>
      </c>
      <c r="AB1040" t="s">
        <v>2365</v>
      </c>
      <c r="AC1040" s="813" t="s">
        <v>2365</v>
      </c>
      <c r="AD1040" s="813" t="s">
        <v>2365</v>
      </c>
      <c r="AE1040" s="813" t="s">
        <v>2365</v>
      </c>
      <c r="AF1040" t="s">
        <v>2365</v>
      </c>
      <c r="AG1040" t="s">
        <v>2365</v>
      </c>
      <c r="AH1040" t="s">
        <v>2365</v>
      </c>
      <c r="AI1040" t="s">
        <v>2365</v>
      </c>
      <c r="AJ1040" t="s">
        <v>2365</v>
      </c>
      <c r="AK1040">
        <v>146</v>
      </c>
      <c r="AL1040" t="s">
        <v>1199</v>
      </c>
      <c r="AM1040">
        <v>146</v>
      </c>
      <c r="AN1040" t="s">
        <v>1199</v>
      </c>
      <c r="AR1040" t="s">
        <v>2365</v>
      </c>
      <c r="AS1040" t="s">
        <v>2365</v>
      </c>
      <c r="AT1040" t="s">
        <v>2365</v>
      </c>
      <c r="AU1040" t="s">
        <v>2365</v>
      </c>
      <c r="AV1040" t="s">
        <v>2365</v>
      </c>
      <c r="AW1040" t="s">
        <v>2365</v>
      </c>
      <c r="AX1040" t="s">
        <v>2365</v>
      </c>
      <c r="AY1040" t="s">
        <v>2365</v>
      </c>
      <c r="AZ1040" t="s">
        <v>2365</v>
      </c>
      <c r="BA1040" t="s">
        <v>2365</v>
      </c>
      <c r="BB1040" t="s">
        <v>2365</v>
      </c>
      <c r="BC1040" t="s">
        <v>2365</v>
      </c>
      <c r="BD1040" t="s">
        <v>2366</v>
      </c>
      <c r="BE1040" t="s">
        <v>2365</v>
      </c>
      <c r="BF1040" t="s">
        <v>2365</v>
      </c>
      <c r="BG1040" t="s">
        <v>2365</v>
      </c>
      <c r="BH1040" t="s">
        <v>2365</v>
      </c>
      <c r="BI1040" t="s">
        <v>2366</v>
      </c>
      <c r="BJ1040" t="s">
        <v>2365</v>
      </c>
      <c r="BK1040" t="s">
        <v>2365</v>
      </c>
      <c r="BL1040" t="s">
        <v>2365</v>
      </c>
      <c r="BM1040" t="s">
        <v>2365</v>
      </c>
      <c r="BO1040">
        <v>1</v>
      </c>
      <c r="BP1040">
        <v>11</v>
      </c>
      <c r="BQ1040" t="s">
        <v>2369</v>
      </c>
      <c r="BR1040" t="s">
        <v>1487</v>
      </c>
      <c r="BU1040">
        <v>0</v>
      </c>
      <c r="BV1040">
        <v>0</v>
      </c>
      <c r="BW1040">
        <v>0</v>
      </c>
      <c r="BX1040">
        <v>0</v>
      </c>
      <c r="BY1040">
        <v>0</v>
      </c>
      <c r="BZ1040">
        <v>0</v>
      </c>
      <c r="CA1040">
        <v>0</v>
      </c>
      <c r="CB1040">
        <v>0</v>
      </c>
      <c r="CC1040">
        <v>0</v>
      </c>
      <c r="CD1040">
        <v>0</v>
      </c>
      <c r="CE1040">
        <v>0</v>
      </c>
      <c r="CF1040">
        <v>0</v>
      </c>
      <c r="CG1040">
        <v>0</v>
      </c>
      <c r="CH1040">
        <v>0</v>
      </c>
      <c r="CI1040">
        <v>0</v>
      </c>
      <c r="CJ1040">
        <v>0</v>
      </c>
      <c r="CK1040">
        <v>0</v>
      </c>
      <c r="CL1040">
        <v>0</v>
      </c>
      <c r="CM1040">
        <v>0</v>
      </c>
      <c r="CR1040" t="s">
        <v>2324</v>
      </c>
      <c r="CS1040" s="1369" t="str">
        <f>INDEX([8]Sheet1!$H:$H,MATCH(CR:CR,[8]Sheet1!$AU:$AU,0))</f>
        <v>Finance</v>
      </c>
    </row>
    <row r="1041" spans="1:97" x14ac:dyDescent="0.2">
      <c r="A1041" t="s">
        <v>3911</v>
      </c>
      <c r="B1041">
        <v>1105</v>
      </c>
      <c r="C1041" t="s">
        <v>3911</v>
      </c>
      <c r="D1041">
        <v>30328</v>
      </c>
      <c r="E1041" t="s">
        <v>3443</v>
      </c>
      <c r="F1041" t="s">
        <v>2364</v>
      </c>
      <c r="G1041" t="s">
        <v>2364</v>
      </c>
      <c r="H1041" t="s">
        <v>2365</v>
      </c>
      <c r="I1041" t="s">
        <v>2365</v>
      </c>
      <c r="J1041" t="s">
        <v>2365</v>
      </c>
      <c r="K1041" t="s">
        <v>2365</v>
      </c>
      <c r="L1041">
        <v>1200</v>
      </c>
      <c r="M1041" t="s">
        <v>1480</v>
      </c>
      <c r="N1041">
        <v>1204</v>
      </c>
      <c r="O1041" t="s">
        <v>1487</v>
      </c>
      <c r="P1041" t="s">
        <v>2366</v>
      </c>
      <c r="Q1041" t="s">
        <v>2364</v>
      </c>
      <c r="R1041" t="s">
        <v>2364</v>
      </c>
      <c r="S1041" t="s">
        <v>553</v>
      </c>
      <c r="T1041" t="s">
        <v>2175</v>
      </c>
      <c r="U1041">
        <v>140</v>
      </c>
      <c r="V1041" t="s">
        <v>693</v>
      </c>
      <c r="W1041">
        <v>140</v>
      </c>
      <c r="X1041" t="s">
        <v>693</v>
      </c>
      <c r="Y1041" t="s">
        <v>2365</v>
      </c>
      <c r="Z1041" t="s">
        <v>2365</v>
      </c>
      <c r="AA1041" t="s">
        <v>2365</v>
      </c>
      <c r="AB1041" t="s">
        <v>2365</v>
      </c>
      <c r="AC1041" s="813" t="s">
        <v>2365</v>
      </c>
      <c r="AD1041" s="813" t="s">
        <v>2365</v>
      </c>
      <c r="AE1041" s="813" t="s">
        <v>2365</v>
      </c>
      <c r="AF1041" t="s">
        <v>2365</v>
      </c>
      <c r="AG1041" t="s">
        <v>2365</v>
      </c>
      <c r="AH1041" t="s">
        <v>2365</v>
      </c>
      <c r="AI1041" t="s">
        <v>2365</v>
      </c>
      <c r="AJ1041" t="s">
        <v>2365</v>
      </c>
      <c r="AK1041" t="s">
        <v>2366</v>
      </c>
      <c r="AL1041" t="s">
        <v>2366</v>
      </c>
      <c r="AM1041" t="s">
        <v>2366</v>
      </c>
      <c r="AN1041" t="s">
        <v>2366</v>
      </c>
      <c r="AR1041" t="s">
        <v>2365</v>
      </c>
      <c r="AS1041" t="s">
        <v>2365</v>
      </c>
      <c r="AT1041" t="s">
        <v>2365</v>
      </c>
      <c r="AU1041" t="s">
        <v>2365</v>
      </c>
      <c r="AV1041" t="s">
        <v>2365</v>
      </c>
      <c r="AW1041" t="s">
        <v>2365</v>
      </c>
      <c r="AX1041" t="s">
        <v>2365</v>
      </c>
      <c r="AY1041" t="s">
        <v>2365</v>
      </c>
      <c r="AZ1041" t="s">
        <v>2365</v>
      </c>
      <c r="BA1041" t="s">
        <v>2365</v>
      </c>
      <c r="BB1041" t="s">
        <v>2365</v>
      </c>
      <c r="BC1041" t="s">
        <v>2365</v>
      </c>
      <c r="BD1041" t="s">
        <v>2366</v>
      </c>
      <c r="BE1041" t="s">
        <v>2365</v>
      </c>
      <c r="BF1041" t="s">
        <v>2365</v>
      </c>
      <c r="BG1041" t="s">
        <v>2365</v>
      </c>
      <c r="BH1041" t="s">
        <v>2365</v>
      </c>
      <c r="BI1041" t="s">
        <v>2366</v>
      </c>
      <c r="BJ1041" t="s">
        <v>2365</v>
      </c>
      <c r="BK1041" t="s">
        <v>2365</v>
      </c>
      <c r="BL1041" t="s">
        <v>2365</v>
      </c>
      <c r="BM1041" t="s">
        <v>2365</v>
      </c>
      <c r="BO1041">
        <v>1</v>
      </c>
      <c r="BP1041">
        <v>11</v>
      </c>
      <c r="BQ1041" t="s">
        <v>2369</v>
      </c>
      <c r="BR1041" t="s">
        <v>1487</v>
      </c>
      <c r="BU1041">
        <v>0</v>
      </c>
      <c r="BV1041">
        <v>0</v>
      </c>
      <c r="BW1041">
        <v>0</v>
      </c>
      <c r="BX1041">
        <v>0</v>
      </c>
      <c r="BY1041">
        <v>0</v>
      </c>
      <c r="BZ1041">
        <v>0</v>
      </c>
      <c r="CA1041">
        <v>0</v>
      </c>
      <c r="CB1041">
        <v>0</v>
      </c>
      <c r="CC1041">
        <v>0</v>
      </c>
      <c r="CD1041">
        <v>0</v>
      </c>
      <c r="CE1041">
        <v>0</v>
      </c>
      <c r="CF1041">
        <v>0</v>
      </c>
      <c r="CG1041">
        <v>0</v>
      </c>
      <c r="CH1041">
        <v>0</v>
      </c>
      <c r="CI1041">
        <v>0</v>
      </c>
      <c r="CJ1041">
        <v>0</v>
      </c>
      <c r="CK1041">
        <v>0</v>
      </c>
      <c r="CL1041">
        <v>0</v>
      </c>
      <c r="CM1041">
        <v>0</v>
      </c>
      <c r="CR1041" t="s">
        <v>2324</v>
      </c>
      <c r="CS1041" s="1369" t="str">
        <f>INDEX([8]Sheet1!$H:$H,MATCH(CR:CR,[8]Sheet1!$AU:$AU,0))</f>
        <v>Finance</v>
      </c>
    </row>
    <row r="1042" spans="1:97" x14ac:dyDescent="0.2">
      <c r="A1042" t="s">
        <v>3912</v>
      </c>
      <c r="B1042">
        <v>1106</v>
      </c>
      <c r="C1042" t="s">
        <v>3912</v>
      </c>
      <c r="D1042">
        <v>30329</v>
      </c>
      <c r="E1042" t="s">
        <v>3447</v>
      </c>
      <c r="F1042" t="s">
        <v>2364</v>
      </c>
      <c r="G1042" t="s">
        <v>2364</v>
      </c>
      <c r="H1042" s="1373" t="s">
        <v>2365</v>
      </c>
      <c r="I1042" t="s">
        <v>2365</v>
      </c>
      <c r="J1042" t="s">
        <v>2365</v>
      </c>
      <c r="K1042" t="s">
        <v>2365</v>
      </c>
      <c r="L1042" s="1373">
        <v>1200</v>
      </c>
      <c r="M1042" t="s">
        <v>1480</v>
      </c>
      <c r="N1042">
        <v>1204</v>
      </c>
      <c r="O1042" t="s">
        <v>1487</v>
      </c>
      <c r="P1042" t="s">
        <v>2366</v>
      </c>
      <c r="Q1042" t="s">
        <v>2364</v>
      </c>
      <c r="R1042" t="s">
        <v>2364</v>
      </c>
      <c r="S1042" t="s">
        <v>553</v>
      </c>
      <c r="T1042" t="s">
        <v>2175</v>
      </c>
      <c r="U1042">
        <v>140</v>
      </c>
      <c r="V1042" t="s">
        <v>693</v>
      </c>
      <c r="W1042">
        <v>140</v>
      </c>
      <c r="X1042" t="s">
        <v>693</v>
      </c>
      <c r="Y1042" t="s">
        <v>2365</v>
      </c>
      <c r="Z1042" t="s">
        <v>2365</v>
      </c>
      <c r="AA1042" t="s">
        <v>2365</v>
      </c>
      <c r="AB1042" t="s">
        <v>2365</v>
      </c>
      <c r="AC1042" s="813" t="s">
        <v>2365</v>
      </c>
      <c r="AD1042" s="813" t="s">
        <v>2365</v>
      </c>
      <c r="AE1042" s="813" t="s">
        <v>2365</v>
      </c>
      <c r="AF1042" t="s">
        <v>2365</v>
      </c>
      <c r="AG1042" t="s">
        <v>2365</v>
      </c>
      <c r="AH1042" t="s">
        <v>2365</v>
      </c>
      <c r="AI1042" t="s">
        <v>2365</v>
      </c>
      <c r="AJ1042" t="s">
        <v>2365</v>
      </c>
      <c r="AK1042" t="s">
        <v>2366</v>
      </c>
      <c r="AL1042" t="s">
        <v>2366</v>
      </c>
      <c r="AM1042" t="s">
        <v>2366</v>
      </c>
      <c r="AN1042" t="s">
        <v>2366</v>
      </c>
      <c r="AR1042" t="s">
        <v>2365</v>
      </c>
      <c r="AS1042" t="s">
        <v>2365</v>
      </c>
      <c r="AT1042" t="s">
        <v>2365</v>
      </c>
      <c r="AU1042" t="s">
        <v>2365</v>
      </c>
      <c r="AV1042" t="s">
        <v>2365</v>
      </c>
      <c r="AW1042" t="s">
        <v>2365</v>
      </c>
      <c r="AX1042" t="s">
        <v>2365</v>
      </c>
      <c r="AY1042" t="s">
        <v>2365</v>
      </c>
      <c r="AZ1042" t="s">
        <v>2365</v>
      </c>
      <c r="BA1042" t="s">
        <v>2365</v>
      </c>
      <c r="BB1042" t="s">
        <v>2365</v>
      </c>
      <c r="BC1042" t="s">
        <v>2365</v>
      </c>
      <c r="BD1042" t="s">
        <v>2366</v>
      </c>
      <c r="BE1042" t="s">
        <v>2365</v>
      </c>
      <c r="BF1042" t="s">
        <v>2365</v>
      </c>
      <c r="BG1042" t="s">
        <v>2365</v>
      </c>
      <c r="BH1042" t="s">
        <v>2365</v>
      </c>
      <c r="BI1042" t="s">
        <v>2366</v>
      </c>
      <c r="BJ1042" t="s">
        <v>2365</v>
      </c>
      <c r="BK1042" t="s">
        <v>2365</v>
      </c>
      <c r="BL1042" t="s">
        <v>2365</v>
      </c>
      <c r="BM1042" t="s">
        <v>2365</v>
      </c>
      <c r="BO1042">
        <v>1</v>
      </c>
      <c r="BP1042">
        <v>11</v>
      </c>
      <c r="BQ1042" t="s">
        <v>2369</v>
      </c>
      <c r="BR1042" t="s">
        <v>1487</v>
      </c>
      <c r="BU1042" s="1371">
        <v>0</v>
      </c>
      <c r="BV1042" s="1371">
        <v>0</v>
      </c>
      <c r="BW1042" s="1371">
        <v>0</v>
      </c>
      <c r="BX1042" s="1371">
        <v>0</v>
      </c>
      <c r="BY1042" s="1371">
        <v>0</v>
      </c>
      <c r="BZ1042">
        <v>0</v>
      </c>
      <c r="CA1042">
        <v>0</v>
      </c>
      <c r="CB1042">
        <v>0</v>
      </c>
      <c r="CC1042">
        <v>0</v>
      </c>
      <c r="CD1042">
        <v>0</v>
      </c>
      <c r="CE1042">
        <v>0</v>
      </c>
      <c r="CF1042">
        <v>0</v>
      </c>
      <c r="CG1042">
        <v>0</v>
      </c>
      <c r="CH1042">
        <v>0</v>
      </c>
      <c r="CI1042">
        <v>0</v>
      </c>
      <c r="CJ1042">
        <v>0</v>
      </c>
      <c r="CK1042">
        <v>0</v>
      </c>
      <c r="CL1042">
        <v>0</v>
      </c>
      <c r="CM1042">
        <v>0</v>
      </c>
      <c r="CR1042" t="s">
        <v>2324</v>
      </c>
      <c r="CS1042" s="1369" t="str">
        <f>INDEX([8]Sheet1!$H:$H,MATCH(CR:CR,[8]Sheet1!$AU:$AU,0))</f>
        <v>Finance</v>
      </c>
    </row>
    <row r="1043" spans="1:97" x14ac:dyDescent="0.2">
      <c r="A1043" t="s">
        <v>3913</v>
      </c>
      <c r="B1043">
        <v>1107</v>
      </c>
      <c r="C1043" t="s">
        <v>3913</v>
      </c>
      <c r="D1043">
        <v>30330</v>
      </c>
      <c r="E1043" t="s">
        <v>3451</v>
      </c>
      <c r="F1043" t="s">
        <v>2364</v>
      </c>
      <c r="G1043" t="s">
        <v>2364</v>
      </c>
      <c r="H1043" t="s">
        <v>2365</v>
      </c>
      <c r="I1043" t="s">
        <v>2365</v>
      </c>
      <c r="J1043" t="s">
        <v>2365</v>
      </c>
      <c r="K1043" t="s">
        <v>2365</v>
      </c>
      <c r="L1043">
        <v>1200</v>
      </c>
      <c r="M1043" t="s">
        <v>1480</v>
      </c>
      <c r="N1043">
        <v>1204</v>
      </c>
      <c r="O1043" t="s">
        <v>1487</v>
      </c>
      <c r="P1043" t="s">
        <v>2366</v>
      </c>
      <c r="Q1043" t="s">
        <v>2364</v>
      </c>
      <c r="R1043" t="s">
        <v>2364</v>
      </c>
      <c r="S1043" t="s">
        <v>553</v>
      </c>
      <c r="T1043" t="s">
        <v>2175</v>
      </c>
      <c r="U1043">
        <v>140</v>
      </c>
      <c r="V1043" t="s">
        <v>693</v>
      </c>
      <c r="W1043">
        <v>140</v>
      </c>
      <c r="X1043" t="s">
        <v>693</v>
      </c>
      <c r="Y1043" t="s">
        <v>2365</v>
      </c>
      <c r="Z1043" t="s">
        <v>2365</v>
      </c>
      <c r="AA1043" t="s">
        <v>2365</v>
      </c>
      <c r="AB1043" t="s">
        <v>2365</v>
      </c>
      <c r="AC1043" s="813" t="s">
        <v>2365</v>
      </c>
      <c r="AD1043" s="813" t="s">
        <v>2365</v>
      </c>
      <c r="AE1043" s="813" t="s">
        <v>2365</v>
      </c>
      <c r="AF1043" t="s">
        <v>2365</v>
      </c>
      <c r="AG1043" t="s">
        <v>2365</v>
      </c>
      <c r="AH1043" t="s">
        <v>2365</v>
      </c>
      <c r="AI1043" t="s">
        <v>2365</v>
      </c>
      <c r="AJ1043" t="s">
        <v>2365</v>
      </c>
      <c r="AK1043">
        <v>147</v>
      </c>
      <c r="AL1043" t="s">
        <v>1200</v>
      </c>
      <c r="AM1043">
        <v>147</v>
      </c>
      <c r="AN1043" t="s">
        <v>1200</v>
      </c>
      <c r="AR1043" t="s">
        <v>2365</v>
      </c>
      <c r="AS1043" t="s">
        <v>2365</v>
      </c>
      <c r="AT1043" t="s">
        <v>2365</v>
      </c>
      <c r="AU1043" t="s">
        <v>2365</v>
      </c>
      <c r="AV1043" t="s">
        <v>2365</v>
      </c>
      <c r="AW1043" t="s">
        <v>2365</v>
      </c>
      <c r="AX1043" t="s">
        <v>2365</v>
      </c>
      <c r="AY1043" t="s">
        <v>2365</v>
      </c>
      <c r="AZ1043" t="s">
        <v>2365</v>
      </c>
      <c r="BA1043" t="s">
        <v>2365</v>
      </c>
      <c r="BB1043" t="s">
        <v>2365</v>
      </c>
      <c r="BC1043" t="s">
        <v>2365</v>
      </c>
      <c r="BD1043" t="s">
        <v>2366</v>
      </c>
      <c r="BE1043" t="s">
        <v>2365</v>
      </c>
      <c r="BF1043" t="s">
        <v>2365</v>
      </c>
      <c r="BG1043" t="s">
        <v>2365</v>
      </c>
      <c r="BH1043" t="s">
        <v>2365</v>
      </c>
      <c r="BI1043" t="s">
        <v>2366</v>
      </c>
      <c r="BJ1043" t="s">
        <v>2365</v>
      </c>
      <c r="BK1043" t="s">
        <v>2365</v>
      </c>
      <c r="BL1043" t="s">
        <v>2365</v>
      </c>
      <c r="BM1043" t="s">
        <v>2365</v>
      </c>
      <c r="BO1043">
        <v>1</v>
      </c>
      <c r="BP1043">
        <v>11</v>
      </c>
      <c r="BQ1043" t="s">
        <v>2369</v>
      </c>
      <c r="BR1043" t="s">
        <v>1487</v>
      </c>
      <c r="BU1043">
        <v>0</v>
      </c>
      <c r="BV1043">
        <v>0</v>
      </c>
      <c r="BW1043">
        <v>0</v>
      </c>
      <c r="BX1043">
        <v>0</v>
      </c>
      <c r="BY1043">
        <v>0</v>
      </c>
      <c r="BZ1043">
        <v>0</v>
      </c>
      <c r="CA1043">
        <v>0</v>
      </c>
      <c r="CB1043">
        <v>0</v>
      </c>
      <c r="CC1043">
        <v>0</v>
      </c>
      <c r="CD1043">
        <v>0</v>
      </c>
      <c r="CE1043">
        <v>0</v>
      </c>
      <c r="CF1043">
        <v>0</v>
      </c>
      <c r="CG1043">
        <v>0</v>
      </c>
      <c r="CH1043">
        <v>0</v>
      </c>
      <c r="CI1043">
        <v>0</v>
      </c>
      <c r="CJ1043">
        <v>0</v>
      </c>
      <c r="CK1043">
        <v>0</v>
      </c>
      <c r="CL1043">
        <v>0</v>
      </c>
      <c r="CM1043">
        <v>0</v>
      </c>
      <c r="CR1043" t="s">
        <v>2324</v>
      </c>
      <c r="CS1043" s="1369" t="str">
        <f>INDEX([8]Sheet1!$H:$H,MATCH(CR:CR,[8]Sheet1!$AU:$AU,0))</f>
        <v>Finance</v>
      </c>
    </row>
    <row r="1044" spans="1:97" x14ac:dyDescent="0.2">
      <c r="A1044" t="s">
        <v>3914</v>
      </c>
      <c r="B1044">
        <v>1108</v>
      </c>
      <c r="C1044" t="s">
        <v>3914</v>
      </c>
      <c r="D1044">
        <v>30331</v>
      </c>
      <c r="E1044" t="s">
        <v>3453</v>
      </c>
      <c r="F1044" t="s">
        <v>2364</v>
      </c>
      <c r="G1044" t="s">
        <v>2364</v>
      </c>
      <c r="H1044" t="s">
        <v>2365</v>
      </c>
      <c r="I1044" t="s">
        <v>2365</v>
      </c>
      <c r="J1044" t="s">
        <v>2365</v>
      </c>
      <c r="K1044" t="s">
        <v>2365</v>
      </c>
      <c r="L1044">
        <v>1200</v>
      </c>
      <c r="M1044" t="s">
        <v>1480</v>
      </c>
      <c r="N1044">
        <v>1204</v>
      </c>
      <c r="O1044" t="s">
        <v>1487</v>
      </c>
      <c r="P1044" t="s">
        <v>2366</v>
      </c>
      <c r="Q1044" t="s">
        <v>2364</v>
      </c>
      <c r="R1044" t="s">
        <v>2364</v>
      </c>
      <c r="S1044" t="s">
        <v>553</v>
      </c>
      <c r="T1044" t="s">
        <v>2175</v>
      </c>
      <c r="U1044">
        <v>140</v>
      </c>
      <c r="V1044" t="s">
        <v>693</v>
      </c>
      <c r="W1044">
        <v>140</v>
      </c>
      <c r="X1044" t="s">
        <v>693</v>
      </c>
      <c r="Y1044" t="s">
        <v>2365</v>
      </c>
      <c r="Z1044" t="s">
        <v>2365</v>
      </c>
      <c r="AA1044" t="s">
        <v>2365</v>
      </c>
      <c r="AB1044" t="s">
        <v>2365</v>
      </c>
      <c r="AC1044" s="813" t="s">
        <v>2365</v>
      </c>
      <c r="AD1044" s="813" t="s">
        <v>2365</v>
      </c>
      <c r="AE1044" s="813" t="s">
        <v>2365</v>
      </c>
      <c r="AF1044" t="s">
        <v>2365</v>
      </c>
      <c r="AG1044" t="s">
        <v>2365</v>
      </c>
      <c r="AH1044" t="s">
        <v>2365</v>
      </c>
      <c r="AI1044" t="s">
        <v>2365</v>
      </c>
      <c r="AJ1044" t="s">
        <v>2365</v>
      </c>
      <c r="AK1044" t="s">
        <v>2366</v>
      </c>
      <c r="AL1044" t="s">
        <v>2366</v>
      </c>
      <c r="AM1044" t="s">
        <v>2366</v>
      </c>
      <c r="AN1044" t="s">
        <v>2366</v>
      </c>
      <c r="AR1044" t="s">
        <v>2365</v>
      </c>
      <c r="AS1044" t="s">
        <v>2365</v>
      </c>
      <c r="AT1044" t="s">
        <v>2365</v>
      </c>
      <c r="AU1044" t="s">
        <v>2365</v>
      </c>
      <c r="AV1044" t="s">
        <v>2365</v>
      </c>
      <c r="AW1044" t="s">
        <v>2365</v>
      </c>
      <c r="AX1044" t="s">
        <v>2365</v>
      </c>
      <c r="AY1044" t="s">
        <v>2365</v>
      </c>
      <c r="AZ1044" t="s">
        <v>2365</v>
      </c>
      <c r="BA1044" t="s">
        <v>2365</v>
      </c>
      <c r="BB1044" t="s">
        <v>2365</v>
      </c>
      <c r="BC1044" t="s">
        <v>2365</v>
      </c>
      <c r="BD1044" t="s">
        <v>2366</v>
      </c>
      <c r="BE1044" t="s">
        <v>2365</v>
      </c>
      <c r="BF1044" t="s">
        <v>2365</v>
      </c>
      <c r="BG1044" t="s">
        <v>2365</v>
      </c>
      <c r="BH1044" t="s">
        <v>2365</v>
      </c>
      <c r="BI1044" t="s">
        <v>2366</v>
      </c>
      <c r="BJ1044" t="s">
        <v>2365</v>
      </c>
      <c r="BK1044" t="s">
        <v>2365</v>
      </c>
      <c r="BL1044" t="s">
        <v>2365</v>
      </c>
      <c r="BM1044" t="s">
        <v>2365</v>
      </c>
      <c r="BO1044">
        <v>1</v>
      </c>
      <c r="BP1044">
        <v>11</v>
      </c>
      <c r="BQ1044" t="s">
        <v>2369</v>
      </c>
      <c r="BR1044" t="s">
        <v>1487</v>
      </c>
      <c r="BU1044">
        <v>0</v>
      </c>
      <c r="BV1044">
        <v>0</v>
      </c>
      <c r="BW1044">
        <v>0</v>
      </c>
      <c r="BX1044">
        <v>0</v>
      </c>
      <c r="BY1044">
        <v>0</v>
      </c>
      <c r="BZ1044">
        <v>0</v>
      </c>
      <c r="CA1044">
        <v>0</v>
      </c>
      <c r="CB1044">
        <v>0</v>
      </c>
      <c r="CC1044">
        <v>0</v>
      </c>
      <c r="CD1044">
        <v>0</v>
      </c>
      <c r="CE1044">
        <v>0</v>
      </c>
      <c r="CF1044">
        <v>0</v>
      </c>
      <c r="CG1044">
        <v>0</v>
      </c>
      <c r="CH1044">
        <v>0</v>
      </c>
      <c r="CI1044">
        <v>0</v>
      </c>
      <c r="CJ1044">
        <v>0</v>
      </c>
      <c r="CK1044">
        <v>0</v>
      </c>
      <c r="CL1044">
        <v>0</v>
      </c>
      <c r="CM1044">
        <v>0</v>
      </c>
      <c r="CR1044" t="s">
        <v>2324</v>
      </c>
      <c r="CS1044" s="1369" t="str">
        <f>INDEX([8]Sheet1!$H:$H,MATCH(CR:CR,[8]Sheet1!$AU:$AU,0))</f>
        <v>Finance</v>
      </c>
    </row>
    <row r="1045" spans="1:97" x14ac:dyDescent="0.2">
      <c r="A1045" t="s">
        <v>3915</v>
      </c>
      <c r="B1045">
        <v>1109</v>
      </c>
      <c r="C1045" t="s">
        <v>3915</v>
      </c>
      <c r="D1045">
        <v>30332</v>
      </c>
      <c r="E1045" t="s">
        <v>3457</v>
      </c>
      <c r="F1045" t="s">
        <v>2364</v>
      </c>
      <c r="G1045" t="s">
        <v>2364</v>
      </c>
      <c r="H1045" t="s">
        <v>2365</v>
      </c>
      <c r="I1045" t="s">
        <v>2365</v>
      </c>
      <c r="J1045" t="s">
        <v>2365</v>
      </c>
      <c r="K1045" t="s">
        <v>2365</v>
      </c>
      <c r="L1045">
        <v>1200</v>
      </c>
      <c r="M1045" t="s">
        <v>1480</v>
      </c>
      <c r="N1045">
        <v>1204</v>
      </c>
      <c r="O1045" t="s">
        <v>1487</v>
      </c>
      <c r="P1045" t="s">
        <v>2366</v>
      </c>
      <c r="Q1045" t="s">
        <v>2364</v>
      </c>
      <c r="R1045" t="s">
        <v>2364</v>
      </c>
      <c r="S1045" t="s">
        <v>553</v>
      </c>
      <c r="T1045" t="s">
        <v>2175</v>
      </c>
      <c r="U1045">
        <v>140</v>
      </c>
      <c r="V1045" t="s">
        <v>693</v>
      </c>
      <c r="W1045">
        <v>140</v>
      </c>
      <c r="X1045" t="s">
        <v>693</v>
      </c>
      <c r="Y1045" t="s">
        <v>2365</v>
      </c>
      <c r="Z1045" t="s">
        <v>2365</v>
      </c>
      <c r="AA1045" t="s">
        <v>2365</v>
      </c>
      <c r="AB1045" t="s">
        <v>2365</v>
      </c>
      <c r="AC1045" s="813" t="s">
        <v>2365</v>
      </c>
      <c r="AD1045" s="813" t="s">
        <v>2365</v>
      </c>
      <c r="AE1045" s="813" t="s">
        <v>2365</v>
      </c>
      <c r="AF1045" t="s">
        <v>2365</v>
      </c>
      <c r="AG1045" t="s">
        <v>2365</v>
      </c>
      <c r="AH1045" t="s">
        <v>2365</v>
      </c>
      <c r="AI1045" t="s">
        <v>2365</v>
      </c>
      <c r="AJ1045" t="s">
        <v>2365</v>
      </c>
      <c r="AK1045" t="s">
        <v>2366</v>
      </c>
      <c r="AL1045" t="s">
        <v>2366</v>
      </c>
      <c r="AM1045" t="s">
        <v>2366</v>
      </c>
      <c r="AN1045" t="s">
        <v>2366</v>
      </c>
      <c r="AR1045" t="s">
        <v>2365</v>
      </c>
      <c r="AS1045" t="s">
        <v>2365</v>
      </c>
      <c r="AT1045" t="s">
        <v>2365</v>
      </c>
      <c r="AU1045" t="s">
        <v>2365</v>
      </c>
      <c r="AV1045" t="s">
        <v>2365</v>
      </c>
      <c r="AW1045" t="s">
        <v>2365</v>
      </c>
      <c r="AX1045" t="s">
        <v>2365</v>
      </c>
      <c r="AY1045" t="s">
        <v>2365</v>
      </c>
      <c r="AZ1045" t="s">
        <v>2365</v>
      </c>
      <c r="BA1045" t="s">
        <v>2365</v>
      </c>
      <c r="BB1045" t="s">
        <v>2365</v>
      </c>
      <c r="BC1045" t="s">
        <v>2365</v>
      </c>
      <c r="BD1045" t="s">
        <v>2366</v>
      </c>
      <c r="BE1045" t="s">
        <v>2365</v>
      </c>
      <c r="BF1045" t="s">
        <v>2365</v>
      </c>
      <c r="BG1045" t="s">
        <v>2365</v>
      </c>
      <c r="BH1045" t="s">
        <v>2365</v>
      </c>
      <c r="BI1045" t="s">
        <v>2366</v>
      </c>
      <c r="BJ1045" t="s">
        <v>2365</v>
      </c>
      <c r="BK1045" t="s">
        <v>2365</v>
      </c>
      <c r="BL1045" t="s">
        <v>2365</v>
      </c>
      <c r="BM1045" t="s">
        <v>2365</v>
      </c>
      <c r="BO1045">
        <v>1</v>
      </c>
      <c r="BP1045">
        <v>11</v>
      </c>
      <c r="BQ1045" t="s">
        <v>2369</v>
      </c>
      <c r="BR1045" t="s">
        <v>1487</v>
      </c>
      <c r="BU1045">
        <v>0</v>
      </c>
      <c r="BV1045">
        <v>0</v>
      </c>
      <c r="BW1045">
        <v>0</v>
      </c>
      <c r="BX1045">
        <v>0</v>
      </c>
      <c r="BY1045" s="1371">
        <v>0</v>
      </c>
      <c r="BZ1045" s="1371">
        <v>0</v>
      </c>
      <c r="CA1045">
        <v>0</v>
      </c>
      <c r="CB1045">
        <v>0</v>
      </c>
      <c r="CC1045">
        <v>0</v>
      </c>
      <c r="CD1045">
        <v>0</v>
      </c>
      <c r="CE1045">
        <v>0</v>
      </c>
      <c r="CF1045">
        <v>0</v>
      </c>
      <c r="CG1045">
        <v>0</v>
      </c>
      <c r="CH1045">
        <v>0</v>
      </c>
      <c r="CI1045">
        <v>0</v>
      </c>
      <c r="CJ1045">
        <v>0</v>
      </c>
      <c r="CK1045">
        <v>0</v>
      </c>
      <c r="CL1045">
        <v>0</v>
      </c>
      <c r="CM1045">
        <v>0</v>
      </c>
      <c r="CR1045" t="s">
        <v>2324</v>
      </c>
      <c r="CS1045" s="1369" t="str">
        <f>INDEX([8]Sheet1!$H:$H,MATCH(CR:CR,[8]Sheet1!$AU:$AU,0))</f>
        <v>Finance</v>
      </c>
    </row>
    <row r="1046" spans="1:97" x14ac:dyDescent="0.2">
      <c r="A1046" t="s">
        <v>3916</v>
      </c>
      <c r="B1046">
        <v>1110</v>
      </c>
      <c r="C1046" t="s">
        <v>3916</v>
      </c>
      <c r="D1046">
        <v>30333</v>
      </c>
      <c r="E1046" t="s">
        <v>3461</v>
      </c>
      <c r="F1046" t="s">
        <v>2364</v>
      </c>
      <c r="G1046" t="s">
        <v>2364</v>
      </c>
      <c r="H1046" t="s">
        <v>2365</v>
      </c>
      <c r="I1046" t="s">
        <v>2365</v>
      </c>
      <c r="J1046" t="s">
        <v>2365</v>
      </c>
      <c r="K1046" t="s">
        <v>2365</v>
      </c>
      <c r="L1046">
        <v>1200</v>
      </c>
      <c r="M1046" t="s">
        <v>1480</v>
      </c>
      <c r="N1046">
        <v>1204</v>
      </c>
      <c r="O1046" t="s">
        <v>1487</v>
      </c>
      <c r="P1046" t="s">
        <v>2366</v>
      </c>
      <c r="Q1046" t="s">
        <v>2364</v>
      </c>
      <c r="R1046" t="s">
        <v>2364</v>
      </c>
      <c r="S1046" t="s">
        <v>553</v>
      </c>
      <c r="T1046" t="s">
        <v>2175</v>
      </c>
      <c r="U1046">
        <v>140</v>
      </c>
      <c r="V1046" t="s">
        <v>693</v>
      </c>
      <c r="W1046">
        <v>140</v>
      </c>
      <c r="X1046" t="s">
        <v>693</v>
      </c>
      <c r="Y1046" t="s">
        <v>2365</v>
      </c>
      <c r="Z1046" t="s">
        <v>2365</v>
      </c>
      <c r="AA1046" t="s">
        <v>2365</v>
      </c>
      <c r="AB1046" t="s">
        <v>2365</v>
      </c>
      <c r="AC1046" s="813" t="s">
        <v>2365</v>
      </c>
      <c r="AD1046" s="813" t="s">
        <v>2365</v>
      </c>
      <c r="AE1046" s="813" t="s">
        <v>2365</v>
      </c>
      <c r="AF1046" t="s">
        <v>2365</v>
      </c>
      <c r="AG1046" t="s">
        <v>2365</v>
      </c>
      <c r="AH1046" t="s">
        <v>2365</v>
      </c>
      <c r="AI1046" t="s">
        <v>2365</v>
      </c>
      <c r="AJ1046" t="s">
        <v>2365</v>
      </c>
      <c r="AK1046" t="s">
        <v>2366</v>
      </c>
      <c r="AL1046" t="s">
        <v>2366</v>
      </c>
      <c r="AM1046" t="s">
        <v>2366</v>
      </c>
      <c r="AN1046" t="s">
        <v>2366</v>
      </c>
      <c r="AR1046" t="s">
        <v>2365</v>
      </c>
      <c r="AS1046" t="s">
        <v>2365</v>
      </c>
      <c r="AT1046" t="s">
        <v>2365</v>
      </c>
      <c r="AU1046" t="s">
        <v>2365</v>
      </c>
      <c r="AV1046" t="s">
        <v>2365</v>
      </c>
      <c r="AW1046" t="s">
        <v>2365</v>
      </c>
      <c r="AX1046" t="s">
        <v>2365</v>
      </c>
      <c r="AY1046" t="s">
        <v>2365</v>
      </c>
      <c r="AZ1046" t="s">
        <v>2365</v>
      </c>
      <c r="BA1046" t="s">
        <v>2365</v>
      </c>
      <c r="BB1046" t="s">
        <v>2365</v>
      </c>
      <c r="BC1046" t="s">
        <v>2365</v>
      </c>
      <c r="BD1046" t="s">
        <v>2366</v>
      </c>
      <c r="BE1046" t="s">
        <v>2365</v>
      </c>
      <c r="BF1046" t="s">
        <v>2365</v>
      </c>
      <c r="BG1046" t="s">
        <v>2365</v>
      </c>
      <c r="BH1046" t="s">
        <v>2365</v>
      </c>
      <c r="BI1046" t="s">
        <v>2366</v>
      </c>
      <c r="BJ1046" t="s">
        <v>2365</v>
      </c>
      <c r="BK1046" t="s">
        <v>2365</v>
      </c>
      <c r="BL1046" t="s">
        <v>2365</v>
      </c>
      <c r="BM1046" t="s">
        <v>2365</v>
      </c>
      <c r="BO1046">
        <v>1</v>
      </c>
      <c r="BP1046">
        <v>11</v>
      </c>
      <c r="BQ1046" t="s">
        <v>2369</v>
      </c>
      <c r="BR1046" t="s">
        <v>1487</v>
      </c>
      <c r="BU1046">
        <v>0</v>
      </c>
      <c r="BV1046">
        <v>0</v>
      </c>
      <c r="BW1046">
        <v>0</v>
      </c>
      <c r="BX1046">
        <v>0</v>
      </c>
      <c r="BY1046">
        <v>0</v>
      </c>
      <c r="BZ1046">
        <v>0</v>
      </c>
      <c r="CA1046">
        <v>0</v>
      </c>
      <c r="CB1046">
        <v>0</v>
      </c>
      <c r="CC1046">
        <v>0</v>
      </c>
      <c r="CD1046">
        <v>0</v>
      </c>
      <c r="CE1046">
        <v>0</v>
      </c>
      <c r="CF1046">
        <v>0</v>
      </c>
      <c r="CG1046">
        <v>0</v>
      </c>
      <c r="CH1046">
        <v>0</v>
      </c>
      <c r="CI1046">
        <v>0</v>
      </c>
      <c r="CJ1046">
        <v>0</v>
      </c>
      <c r="CK1046">
        <v>0</v>
      </c>
      <c r="CL1046">
        <v>0</v>
      </c>
      <c r="CM1046">
        <v>0</v>
      </c>
      <c r="CR1046" t="s">
        <v>2324</v>
      </c>
      <c r="CS1046" s="1369" t="str">
        <f>INDEX([8]Sheet1!$H:$H,MATCH(CR:CR,[8]Sheet1!$AU:$AU,0))</f>
        <v>Finance</v>
      </c>
    </row>
    <row r="1047" spans="1:97" x14ac:dyDescent="0.2">
      <c r="A1047" t="s">
        <v>3917</v>
      </c>
      <c r="B1047">
        <v>1111</v>
      </c>
      <c r="C1047" t="s">
        <v>3917</v>
      </c>
      <c r="D1047">
        <v>30334</v>
      </c>
      <c r="E1047" t="s">
        <v>3689</v>
      </c>
      <c r="F1047" t="s">
        <v>2364</v>
      </c>
      <c r="G1047" t="s">
        <v>2364</v>
      </c>
      <c r="H1047" t="s">
        <v>2365</v>
      </c>
      <c r="I1047" t="s">
        <v>2365</v>
      </c>
      <c r="J1047" t="s">
        <v>2365</v>
      </c>
      <c r="K1047" t="s">
        <v>2365</v>
      </c>
      <c r="L1047">
        <v>1200</v>
      </c>
      <c r="M1047" t="s">
        <v>1480</v>
      </c>
      <c r="N1047">
        <v>1204</v>
      </c>
      <c r="O1047" t="s">
        <v>1487</v>
      </c>
      <c r="P1047" t="s">
        <v>2366</v>
      </c>
      <c r="Q1047" t="s">
        <v>2364</v>
      </c>
      <c r="R1047" t="s">
        <v>2364</v>
      </c>
      <c r="S1047" t="s">
        <v>553</v>
      </c>
      <c r="T1047" t="s">
        <v>2175</v>
      </c>
      <c r="U1047" t="s">
        <v>2366</v>
      </c>
      <c r="V1047" t="s">
        <v>2366</v>
      </c>
      <c r="W1047" t="s">
        <v>2366</v>
      </c>
      <c r="X1047" t="s">
        <v>2366</v>
      </c>
      <c r="Y1047" t="s">
        <v>2365</v>
      </c>
      <c r="Z1047" t="s">
        <v>2365</v>
      </c>
      <c r="AA1047" t="s">
        <v>2365</v>
      </c>
      <c r="AB1047" t="s">
        <v>2365</v>
      </c>
      <c r="AC1047" s="813" t="s">
        <v>2365</v>
      </c>
      <c r="AD1047" s="813" t="s">
        <v>2365</v>
      </c>
      <c r="AE1047" s="813" t="s">
        <v>2365</v>
      </c>
      <c r="AF1047" t="s">
        <v>2365</v>
      </c>
      <c r="AG1047" t="s">
        <v>2365</v>
      </c>
      <c r="AH1047" t="s">
        <v>2365</v>
      </c>
      <c r="AI1047" t="s">
        <v>2365</v>
      </c>
      <c r="AJ1047" t="s">
        <v>2365</v>
      </c>
      <c r="AK1047">
        <v>146</v>
      </c>
      <c r="AL1047" t="s">
        <v>1199</v>
      </c>
      <c r="AM1047">
        <v>146</v>
      </c>
      <c r="AN1047" t="s">
        <v>1199</v>
      </c>
      <c r="AR1047" t="s">
        <v>2365</v>
      </c>
      <c r="AS1047" t="s">
        <v>2365</v>
      </c>
      <c r="AT1047" t="s">
        <v>2365</v>
      </c>
      <c r="AU1047" t="s">
        <v>2365</v>
      </c>
      <c r="AV1047" t="s">
        <v>2365</v>
      </c>
      <c r="AW1047" t="s">
        <v>2365</v>
      </c>
      <c r="AX1047" t="s">
        <v>2365</v>
      </c>
      <c r="AY1047" t="s">
        <v>2365</v>
      </c>
      <c r="AZ1047" t="s">
        <v>2365</v>
      </c>
      <c r="BA1047" t="s">
        <v>2365</v>
      </c>
      <c r="BB1047" t="s">
        <v>2365</v>
      </c>
      <c r="BC1047" t="s">
        <v>2365</v>
      </c>
      <c r="BD1047" t="s">
        <v>2366</v>
      </c>
      <c r="BE1047" t="s">
        <v>2365</v>
      </c>
      <c r="BF1047" t="s">
        <v>2365</v>
      </c>
      <c r="BG1047" t="s">
        <v>2365</v>
      </c>
      <c r="BH1047" t="s">
        <v>2365</v>
      </c>
      <c r="BI1047" t="s">
        <v>2366</v>
      </c>
      <c r="BJ1047" t="s">
        <v>2365</v>
      </c>
      <c r="BK1047" t="s">
        <v>2365</v>
      </c>
      <c r="BL1047" t="s">
        <v>2365</v>
      </c>
      <c r="BM1047" t="s">
        <v>2365</v>
      </c>
      <c r="BO1047">
        <v>1</v>
      </c>
      <c r="BP1047">
        <v>11</v>
      </c>
      <c r="BQ1047" t="s">
        <v>2369</v>
      </c>
      <c r="BR1047" t="s">
        <v>1487</v>
      </c>
      <c r="BU1047">
        <v>0</v>
      </c>
      <c r="BV1047">
        <v>0</v>
      </c>
      <c r="BW1047">
        <v>0</v>
      </c>
      <c r="BX1047">
        <v>0</v>
      </c>
      <c r="BY1047" s="1371">
        <v>0</v>
      </c>
      <c r="BZ1047" s="1371">
        <v>0</v>
      </c>
      <c r="CA1047">
        <v>0</v>
      </c>
      <c r="CB1047">
        <v>0</v>
      </c>
      <c r="CC1047">
        <v>0</v>
      </c>
      <c r="CD1047">
        <v>0</v>
      </c>
      <c r="CE1047">
        <v>0</v>
      </c>
      <c r="CF1047">
        <v>0</v>
      </c>
      <c r="CG1047">
        <v>0</v>
      </c>
      <c r="CH1047">
        <v>0</v>
      </c>
      <c r="CI1047">
        <v>0</v>
      </c>
      <c r="CJ1047">
        <v>0</v>
      </c>
      <c r="CK1047">
        <v>0</v>
      </c>
      <c r="CL1047">
        <v>0</v>
      </c>
      <c r="CM1047">
        <v>0</v>
      </c>
      <c r="CR1047" t="s">
        <v>2324</v>
      </c>
      <c r="CS1047" s="1369" t="str">
        <f>INDEX([8]Sheet1!$H:$H,MATCH(CR:CR,[8]Sheet1!$AU:$AU,0))</f>
        <v>Finance</v>
      </c>
    </row>
    <row r="1048" spans="1:97" x14ac:dyDescent="0.2">
      <c r="A1048" t="s">
        <v>3918</v>
      </c>
      <c r="B1048">
        <v>1112</v>
      </c>
      <c r="C1048" t="s">
        <v>3918</v>
      </c>
      <c r="D1048">
        <v>30335</v>
      </c>
      <c r="E1048" t="s">
        <v>3693</v>
      </c>
      <c r="F1048" t="s">
        <v>2364</v>
      </c>
      <c r="G1048" t="s">
        <v>2364</v>
      </c>
      <c r="H1048" t="s">
        <v>2365</v>
      </c>
      <c r="I1048" t="s">
        <v>2365</v>
      </c>
      <c r="J1048" t="s">
        <v>2365</v>
      </c>
      <c r="K1048" t="s">
        <v>2365</v>
      </c>
      <c r="L1048">
        <v>1200</v>
      </c>
      <c r="M1048" t="s">
        <v>1480</v>
      </c>
      <c r="N1048">
        <v>1204</v>
      </c>
      <c r="O1048" t="s">
        <v>1487</v>
      </c>
      <c r="P1048" t="s">
        <v>2366</v>
      </c>
      <c r="Q1048" t="s">
        <v>2364</v>
      </c>
      <c r="R1048" t="s">
        <v>2364</v>
      </c>
      <c r="S1048" t="s">
        <v>553</v>
      </c>
      <c r="T1048" t="s">
        <v>2175</v>
      </c>
      <c r="U1048" t="s">
        <v>2366</v>
      </c>
      <c r="V1048" t="s">
        <v>2366</v>
      </c>
      <c r="W1048" t="s">
        <v>2366</v>
      </c>
      <c r="X1048" t="s">
        <v>2366</v>
      </c>
      <c r="Y1048" t="s">
        <v>2365</v>
      </c>
      <c r="Z1048" t="s">
        <v>2365</v>
      </c>
      <c r="AA1048" t="s">
        <v>2365</v>
      </c>
      <c r="AB1048" t="s">
        <v>2365</v>
      </c>
      <c r="AC1048" s="813" t="s">
        <v>2365</v>
      </c>
      <c r="AD1048" s="813" t="s">
        <v>2365</v>
      </c>
      <c r="AE1048" s="813" t="s">
        <v>2365</v>
      </c>
      <c r="AF1048" t="s">
        <v>2365</v>
      </c>
      <c r="AG1048" t="s">
        <v>2365</v>
      </c>
      <c r="AH1048" t="s">
        <v>2365</v>
      </c>
      <c r="AI1048" t="s">
        <v>2365</v>
      </c>
      <c r="AJ1048" t="s">
        <v>2365</v>
      </c>
      <c r="AK1048">
        <v>146</v>
      </c>
      <c r="AL1048" t="s">
        <v>1199</v>
      </c>
      <c r="AM1048">
        <v>146</v>
      </c>
      <c r="AN1048" t="s">
        <v>1199</v>
      </c>
      <c r="AR1048" t="s">
        <v>2365</v>
      </c>
      <c r="AS1048" t="s">
        <v>2365</v>
      </c>
      <c r="AT1048" t="s">
        <v>2365</v>
      </c>
      <c r="AU1048" t="s">
        <v>2365</v>
      </c>
      <c r="AV1048" t="s">
        <v>2365</v>
      </c>
      <c r="AW1048" t="s">
        <v>2365</v>
      </c>
      <c r="AX1048" t="s">
        <v>2365</v>
      </c>
      <c r="AY1048" t="s">
        <v>2365</v>
      </c>
      <c r="AZ1048" t="s">
        <v>2365</v>
      </c>
      <c r="BA1048" t="s">
        <v>2365</v>
      </c>
      <c r="BB1048" t="s">
        <v>2365</v>
      </c>
      <c r="BC1048" t="s">
        <v>2365</v>
      </c>
      <c r="BD1048" t="s">
        <v>2366</v>
      </c>
      <c r="BE1048" t="s">
        <v>2365</v>
      </c>
      <c r="BF1048" t="s">
        <v>2365</v>
      </c>
      <c r="BG1048" t="s">
        <v>2365</v>
      </c>
      <c r="BH1048" t="s">
        <v>2365</v>
      </c>
      <c r="BI1048" t="s">
        <v>2366</v>
      </c>
      <c r="BJ1048" t="s">
        <v>2365</v>
      </c>
      <c r="BK1048" t="s">
        <v>2365</v>
      </c>
      <c r="BL1048" t="s">
        <v>2365</v>
      </c>
      <c r="BM1048" t="s">
        <v>2365</v>
      </c>
      <c r="BO1048">
        <v>1</v>
      </c>
      <c r="BP1048">
        <v>11</v>
      </c>
      <c r="BQ1048" t="s">
        <v>2369</v>
      </c>
      <c r="BR1048" t="s">
        <v>1487</v>
      </c>
      <c r="BU1048">
        <v>0</v>
      </c>
      <c r="BV1048">
        <v>0</v>
      </c>
      <c r="BW1048">
        <v>0</v>
      </c>
      <c r="BX1048">
        <v>0</v>
      </c>
      <c r="BY1048">
        <v>0</v>
      </c>
      <c r="BZ1048">
        <v>0</v>
      </c>
      <c r="CA1048">
        <v>0</v>
      </c>
      <c r="CB1048">
        <v>0</v>
      </c>
      <c r="CC1048">
        <v>0</v>
      </c>
      <c r="CD1048">
        <v>0</v>
      </c>
      <c r="CE1048">
        <v>0</v>
      </c>
      <c r="CF1048">
        <v>0</v>
      </c>
      <c r="CG1048">
        <v>0</v>
      </c>
      <c r="CH1048">
        <v>0</v>
      </c>
      <c r="CI1048">
        <v>0</v>
      </c>
      <c r="CJ1048">
        <v>0</v>
      </c>
      <c r="CK1048">
        <v>0</v>
      </c>
      <c r="CL1048">
        <v>0</v>
      </c>
      <c r="CM1048">
        <v>0</v>
      </c>
      <c r="CR1048" t="s">
        <v>2324</v>
      </c>
      <c r="CS1048" s="1369" t="str">
        <f>INDEX([8]Sheet1!$H:$H,MATCH(CR:CR,[8]Sheet1!$AU:$AU,0))</f>
        <v>Finance</v>
      </c>
    </row>
    <row r="1049" spans="1:97" x14ac:dyDescent="0.2">
      <c r="A1049" t="s">
        <v>3919</v>
      </c>
      <c r="B1049">
        <v>1113</v>
      </c>
      <c r="C1049" t="s">
        <v>3919</v>
      </c>
      <c r="D1049">
        <v>30336</v>
      </c>
      <c r="E1049" t="s">
        <v>3425</v>
      </c>
      <c r="F1049" t="s">
        <v>2364</v>
      </c>
      <c r="G1049" t="s">
        <v>2364</v>
      </c>
      <c r="H1049" t="s">
        <v>2365</v>
      </c>
      <c r="I1049" t="s">
        <v>2365</v>
      </c>
      <c r="J1049" t="s">
        <v>2365</v>
      </c>
      <c r="K1049" t="s">
        <v>2365</v>
      </c>
      <c r="L1049">
        <v>1200</v>
      </c>
      <c r="M1049" t="s">
        <v>1480</v>
      </c>
      <c r="N1049">
        <v>1204</v>
      </c>
      <c r="O1049" t="s">
        <v>1487</v>
      </c>
      <c r="P1049" t="s">
        <v>2366</v>
      </c>
      <c r="Q1049" t="s">
        <v>2364</v>
      </c>
      <c r="R1049" t="s">
        <v>2364</v>
      </c>
      <c r="S1049" t="s">
        <v>553</v>
      </c>
      <c r="T1049" t="s">
        <v>2175</v>
      </c>
      <c r="U1049">
        <v>140</v>
      </c>
      <c r="V1049" t="s">
        <v>693</v>
      </c>
      <c r="W1049">
        <v>140</v>
      </c>
      <c r="X1049" t="s">
        <v>693</v>
      </c>
      <c r="Y1049" t="s">
        <v>2365</v>
      </c>
      <c r="Z1049" t="s">
        <v>2365</v>
      </c>
      <c r="AA1049" t="s">
        <v>2365</v>
      </c>
      <c r="AB1049" t="s">
        <v>2365</v>
      </c>
      <c r="AC1049" s="813" t="s">
        <v>2365</v>
      </c>
      <c r="AD1049" s="813" t="s">
        <v>2365</v>
      </c>
      <c r="AE1049" s="813" t="s">
        <v>2365</v>
      </c>
      <c r="AF1049" t="s">
        <v>2365</v>
      </c>
      <c r="AG1049" t="s">
        <v>2365</v>
      </c>
      <c r="AH1049" t="s">
        <v>2365</v>
      </c>
      <c r="AI1049" t="s">
        <v>2365</v>
      </c>
      <c r="AJ1049" t="s">
        <v>2365</v>
      </c>
      <c r="AK1049" t="s">
        <v>2366</v>
      </c>
      <c r="AL1049" t="s">
        <v>2366</v>
      </c>
      <c r="AM1049" t="s">
        <v>2366</v>
      </c>
      <c r="AN1049" t="s">
        <v>2366</v>
      </c>
      <c r="AR1049" t="s">
        <v>2365</v>
      </c>
      <c r="AS1049" t="s">
        <v>2365</v>
      </c>
      <c r="AT1049" t="s">
        <v>2365</v>
      </c>
      <c r="AU1049" t="s">
        <v>2365</v>
      </c>
      <c r="AV1049" t="s">
        <v>2365</v>
      </c>
      <c r="AW1049" t="s">
        <v>2365</v>
      </c>
      <c r="AX1049" t="s">
        <v>2365</v>
      </c>
      <c r="AY1049" t="s">
        <v>2365</v>
      </c>
      <c r="AZ1049" t="s">
        <v>2365</v>
      </c>
      <c r="BA1049" t="s">
        <v>2365</v>
      </c>
      <c r="BB1049" t="s">
        <v>2365</v>
      </c>
      <c r="BC1049" t="s">
        <v>2365</v>
      </c>
      <c r="BD1049" t="s">
        <v>2366</v>
      </c>
      <c r="BE1049" t="s">
        <v>2365</v>
      </c>
      <c r="BF1049" t="s">
        <v>2365</v>
      </c>
      <c r="BG1049" t="s">
        <v>2365</v>
      </c>
      <c r="BH1049" t="s">
        <v>2365</v>
      </c>
      <c r="BI1049" t="s">
        <v>2366</v>
      </c>
      <c r="BJ1049" t="s">
        <v>2365</v>
      </c>
      <c r="BK1049" t="s">
        <v>2365</v>
      </c>
      <c r="BL1049" t="s">
        <v>2365</v>
      </c>
      <c r="BM1049" t="s">
        <v>2365</v>
      </c>
      <c r="BO1049">
        <v>1</v>
      </c>
      <c r="BP1049">
        <v>11</v>
      </c>
      <c r="BQ1049" t="s">
        <v>2369</v>
      </c>
      <c r="BR1049" t="s">
        <v>1487</v>
      </c>
      <c r="BU1049">
        <v>0</v>
      </c>
      <c r="BV1049">
        <v>0</v>
      </c>
      <c r="BW1049">
        <v>0</v>
      </c>
      <c r="BX1049">
        <v>0</v>
      </c>
      <c r="BY1049">
        <v>0</v>
      </c>
      <c r="BZ1049">
        <v>0</v>
      </c>
      <c r="CA1049">
        <v>0</v>
      </c>
      <c r="CB1049">
        <v>0</v>
      </c>
      <c r="CC1049">
        <v>0</v>
      </c>
      <c r="CD1049">
        <v>0</v>
      </c>
      <c r="CE1049">
        <v>0</v>
      </c>
      <c r="CF1049">
        <v>0</v>
      </c>
      <c r="CG1049">
        <v>0</v>
      </c>
      <c r="CH1049">
        <v>0</v>
      </c>
      <c r="CI1049">
        <v>0</v>
      </c>
      <c r="CJ1049">
        <v>0</v>
      </c>
      <c r="CK1049">
        <v>0</v>
      </c>
      <c r="CL1049">
        <v>0</v>
      </c>
      <c r="CM1049">
        <v>0</v>
      </c>
      <c r="CR1049" t="s">
        <v>2324</v>
      </c>
      <c r="CS1049" s="1369" t="str">
        <f>INDEX([8]Sheet1!$H:$H,MATCH(CR:CR,[8]Sheet1!$AU:$AU,0))</f>
        <v>Finance</v>
      </c>
    </row>
    <row r="1050" spans="1:97" x14ac:dyDescent="0.2">
      <c r="A1050" t="s">
        <v>3920</v>
      </c>
      <c r="B1050">
        <v>1114</v>
      </c>
      <c r="C1050" t="s">
        <v>3920</v>
      </c>
      <c r="D1050">
        <v>30337</v>
      </c>
      <c r="E1050" t="s">
        <v>3427</v>
      </c>
      <c r="F1050" t="s">
        <v>2364</v>
      </c>
      <c r="G1050" t="s">
        <v>2364</v>
      </c>
      <c r="H1050" t="s">
        <v>2365</v>
      </c>
      <c r="I1050" t="s">
        <v>2365</v>
      </c>
      <c r="J1050" t="s">
        <v>2365</v>
      </c>
      <c r="K1050" t="s">
        <v>2365</v>
      </c>
      <c r="L1050">
        <v>1200</v>
      </c>
      <c r="M1050" t="s">
        <v>1480</v>
      </c>
      <c r="N1050">
        <v>1204</v>
      </c>
      <c r="O1050" t="s">
        <v>1487</v>
      </c>
      <c r="P1050" t="s">
        <v>2366</v>
      </c>
      <c r="Q1050" t="s">
        <v>2364</v>
      </c>
      <c r="R1050" t="s">
        <v>2364</v>
      </c>
      <c r="S1050" t="s">
        <v>553</v>
      </c>
      <c r="T1050" t="s">
        <v>2175</v>
      </c>
      <c r="U1050">
        <v>140</v>
      </c>
      <c r="V1050" t="s">
        <v>693</v>
      </c>
      <c r="W1050">
        <v>140</v>
      </c>
      <c r="X1050" t="s">
        <v>693</v>
      </c>
      <c r="Y1050" t="s">
        <v>2365</v>
      </c>
      <c r="Z1050" t="s">
        <v>2365</v>
      </c>
      <c r="AA1050" t="s">
        <v>2365</v>
      </c>
      <c r="AB1050" t="s">
        <v>2365</v>
      </c>
      <c r="AC1050" s="813" t="s">
        <v>2365</v>
      </c>
      <c r="AD1050" s="813" t="s">
        <v>2365</v>
      </c>
      <c r="AE1050" s="813" t="s">
        <v>2365</v>
      </c>
      <c r="AF1050" t="s">
        <v>2365</v>
      </c>
      <c r="AG1050" t="s">
        <v>2365</v>
      </c>
      <c r="AH1050" t="s">
        <v>2365</v>
      </c>
      <c r="AI1050" t="s">
        <v>2365</v>
      </c>
      <c r="AJ1050" t="s">
        <v>2365</v>
      </c>
      <c r="AK1050" t="s">
        <v>2366</v>
      </c>
      <c r="AL1050" t="s">
        <v>2366</v>
      </c>
      <c r="AM1050" t="s">
        <v>2366</v>
      </c>
      <c r="AN1050" t="s">
        <v>2366</v>
      </c>
      <c r="AR1050" t="s">
        <v>2365</v>
      </c>
      <c r="AS1050" t="s">
        <v>2365</v>
      </c>
      <c r="AT1050" t="s">
        <v>2365</v>
      </c>
      <c r="AU1050" t="s">
        <v>2365</v>
      </c>
      <c r="AV1050" t="s">
        <v>2365</v>
      </c>
      <c r="AW1050" t="s">
        <v>2365</v>
      </c>
      <c r="AX1050" t="s">
        <v>2365</v>
      </c>
      <c r="AY1050" t="s">
        <v>2365</v>
      </c>
      <c r="AZ1050" t="s">
        <v>2365</v>
      </c>
      <c r="BA1050" t="s">
        <v>2365</v>
      </c>
      <c r="BB1050" t="s">
        <v>2365</v>
      </c>
      <c r="BC1050" t="s">
        <v>2365</v>
      </c>
      <c r="BD1050" t="s">
        <v>2366</v>
      </c>
      <c r="BE1050" t="s">
        <v>2365</v>
      </c>
      <c r="BF1050" t="s">
        <v>2365</v>
      </c>
      <c r="BG1050" t="s">
        <v>2365</v>
      </c>
      <c r="BH1050" t="s">
        <v>2365</v>
      </c>
      <c r="BI1050" t="s">
        <v>2366</v>
      </c>
      <c r="BJ1050" t="s">
        <v>2365</v>
      </c>
      <c r="BK1050" t="s">
        <v>2365</v>
      </c>
      <c r="BL1050" t="s">
        <v>2365</v>
      </c>
      <c r="BM1050" t="s">
        <v>2365</v>
      </c>
      <c r="BO1050">
        <v>1</v>
      </c>
      <c r="BP1050">
        <v>11</v>
      </c>
      <c r="BQ1050" t="s">
        <v>2369</v>
      </c>
      <c r="BR1050" t="s">
        <v>1487</v>
      </c>
      <c r="BU1050">
        <v>0</v>
      </c>
      <c r="BV1050">
        <v>0</v>
      </c>
      <c r="BW1050">
        <v>0</v>
      </c>
      <c r="BX1050">
        <v>0</v>
      </c>
      <c r="BY1050">
        <v>0</v>
      </c>
      <c r="BZ1050">
        <v>0</v>
      </c>
      <c r="CA1050">
        <v>0</v>
      </c>
      <c r="CB1050">
        <v>0</v>
      </c>
      <c r="CC1050">
        <v>0</v>
      </c>
      <c r="CD1050">
        <v>0</v>
      </c>
      <c r="CE1050">
        <v>0</v>
      </c>
      <c r="CF1050">
        <v>0</v>
      </c>
      <c r="CG1050">
        <v>0</v>
      </c>
      <c r="CH1050">
        <v>0</v>
      </c>
      <c r="CI1050">
        <v>0</v>
      </c>
      <c r="CJ1050">
        <v>0</v>
      </c>
      <c r="CK1050">
        <v>0</v>
      </c>
      <c r="CL1050">
        <v>0</v>
      </c>
      <c r="CM1050">
        <v>0</v>
      </c>
      <c r="CR1050" t="s">
        <v>2324</v>
      </c>
      <c r="CS1050" s="1369" t="str">
        <f>INDEX([8]Sheet1!$H:$H,MATCH(CR:CR,[8]Sheet1!$AU:$AU,0))</f>
        <v>Finance</v>
      </c>
    </row>
    <row r="1051" spans="1:97" x14ac:dyDescent="0.2">
      <c r="A1051" t="s">
        <v>3921</v>
      </c>
      <c r="B1051">
        <v>1115</v>
      </c>
      <c r="C1051" t="s">
        <v>3921</v>
      </c>
      <c r="D1051">
        <v>30338</v>
      </c>
      <c r="E1051" t="s">
        <v>3429</v>
      </c>
      <c r="F1051" t="s">
        <v>2364</v>
      </c>
      <c r="G1051" t="s">
        <v>2364</v>
      </c>
      <c r="H1051" t="s">
        <v>2365</v>
      </c>
      <c r="I1051" t="s">
        <v>2365</v>
      </c>
      <c r="J1051" t="s">
        <v>2365</v>
      </c>
      <c r="K1051" t="s">
        <v>2365</v>
      </c>
      <c r="L1051">
        <v>1200</v>
      </c>
      <c r="M1051" t="s">
        <v>1480</v>
      </c>
      <c r="N1051">
        <v>1204</v>
      </c>
      <c r="O1051" t="s">
        <v>1487</v>
      </c>
      <c r="P1051" t="s">
        <v>2366</v>
      </c>
      <c r="Q1051" t="s">
        <v>2364</v>
      </c>
      <c r="R1051" t="s">
        <v>2364</v>
      </c>
      <c r="S1051" t="s">
        <v>553</v>
      </c>
      <c r="T1051" t="s">
        <v>2175</v>
      </c>
      <c r="U1051">
        <v>140</v>
      </c>
      <c r="V1051" t="s">
        <v>693</v>
      </c>
      <c r="W1051">
        <v>140</v>
      </c>
      <c r="X1051" t="s">
        <v>693</v>
      </c>
      <c r="Y1051" t="s">
        <v>2365</v>
      </c>
      <c r="Z1051" t="s">
        <v>2365</v>
      </c>
      <c r="AA1051" t="s">
        <v>2365</v>
      </c>
      <c r="AB1051" t="s">
        <v>2365</v>
      </c>
      <c r="AC1051" s="813" t="s">
        <v>2365</v>
      </c>
      <c r="AD1051" s="813" t="s">
        <v>2365</v>
      </c>
      <c r="AE1051" s="813" t="s">
        <v>2365</v>
      </c>
      <c r="AF1051" t="s">
        <v>2365</v>
      </c>
      <c r="AG1051" t="s">
        <v>2365</v>
      </c>
      <c r="AH1051" t="s">
        <v>2365</v>
      </c>
      <c r="AI1051" t="s">
        <v>2365</v>
      </c>
      <c r="AJ1051" t="s">
        <v>2365</v>
      </c>
      <c r="AK1051">
        <v>147</v>
      </c>
      <c r="AL1051" t="s">
        <v>1200</v>
      </c>
      <c r="AM1051">
        <v>147</v>
      </c>
      <c r="AN1051" t="s">
        <v>1200</v>
      </c>
      <c r="AR1051" t="s">
        <v>2365</v>
      </c>
      <c r="AS1051" t="s">
        <v>2365</v>
      </c>
      <c r="AT1051" t="s">
        <v>2365</v>
      </c>
      <c r="AU1051" t="s">
        <v>2365</v>
      </c>
      <c r="AV1051" t="s">
        <v>2365</v>
      </c>
      <c r="AW1051" t="s">
        <v>2365</v>
      </c>
      <c r="AX1051" t="s">
        <v>2365</v>
      </c>
      <c r="AY1051" t="s">
        <v>2365</v>
      </c>
      <c r="AZ1051" t="s">
        <v>2365</v>
      </c>
      <c r="BA1051" t="s">
        <v>2365</v>
      </c>
      <c r="BB1051" t="s">
        <v>2365</v>
      </c>
      <c r="BC1051" t="s">
        <v>2365</v>
      </c>
      <c r="BD1051" t="s">
        <v>2366</v>
      </c>
      <c r="BE1051" t="s">
        <v>2365</v>
      </c>
      <c r="BF1051" t="s">
        <v>2365</v>
      </c>
      <c r="BG1051" t="s">
        <v>2365</v>
      </c>
      <c r="BH1051" t="s">
        <v>2365</v>
      </c>
      <c r="BI1051" t="s">
        <v>2366</v>
      </c>
      <c r="BJ1051" t="s">
        <v>2365</v>
      </c>
      <c r="BK1051" t="s">
        <v>2365</v>
      </c>
      <c r="BL1051" t="s">
        <v>2365</v>
      </c>
      <c r="BM1051" t="s">
        <v>2365</v>
      </c>
      <c r="BO1051">
        <v>1</v>
      </c>
      <c r="BP1051">
        <v>11</v>
      </c>
      <c r="BQ1051" t="s">
        <v>2369</v>
      </c>
      <c r="BR1051" t="s">
        <v>1487</v>
      </c>
      <c r="BU1051">
        <v>0</v>
      </c>
      <c r="BV1051">
        <v>0</v>
      </c>
      <c r="BW1051">
        <v>0</v>
      </c>
      <c r="BX1051">
        <v>0</v>
      </c>
      <c r="BY1051" s="1371">
        <v>0</v>
      </c>
      <c r="BZ1051" s="1371">
        <v>0</v>
      </c>
      <c r="CA1051">
        <v>0</v>
      </c>
      <c r="CB1051">
        <v>0</v>
      </c>
      <c r="CC1051">
        <v>0</v>
      </c>
      <c r="CD1051">
        <v>0</v>
      </c>
      <c r="CE1051">
        <v>0</v>
      </c>
      <c r="CF1051">
        <v>0</v>
      </c>
      <c r="CG1051">
        <v>0</v>
      </c>
      <c r="CH1051">
        <v>0</v>
      </c>
      <c r="CI1051">
        <v>0</v>
      </c>
      <c r="CJ1051">
        <v>0</v>
      </c>
      <c r="CK1051">
        <v>0</v>
      </c>
      <c r="CL1051">
        <v>0</v>
      </c>
      <c r="CM1051">
        <v>0</v>
      </c>
      <c r="CR1051" t="s">
        <v>2324</v>
      </c>
      <c r="CS1051" s="1369" t="str">
        <f>INDEX([8]Sheet1!$H:$H,MATCH(CR:CR,[8]Sheet1!$AU:$AU,0))</f>
        <v>Finance</v>
      </c>
    </row>
    <row r="1052" spans="1:97" x14ac:dyDescent="0.2">
      <c r="A1052" t="s">
        <v>3922</v>
      </c>
      <c r="B1052">
        <v>1116</v>
      </c>
      <c r="C1052" t="s">
        <v>3922</v>
      </c>
      <c r="D1052">
        <v>30339</v>
      </c>
      <c r="E1052" t="s">
        <v>3431</v>
      </c>
      <c r="F1052" t="s">
        <v>2364</v>
      </c>
      <c r="G1052" t="s">
        <v>2364</v>
      </c>
      <c r="H1052" t="s">
        <v>2365</v>
      </c>
      <c r="I1052" t="s">
        <v>2365</v>
      </c>
      <c r="J1052" t="s">
        <v>2365</v>
      </c>
      <c r="K1052" t="s">
        <v>2365</v>
      </c>
      <c r="L1052">
        <v>1200</v>
      </c>
      <c r="M1052" t="s">
        <v>1480</v>
      </c>
      <c r="N1052">
        <v>1204</v>
      </c>
      <c r="O1052" t="s">
        <v>1487</v>
      </c>
      <c r="P1052" t="s">
        <v>2366</v>
      </c>
      <c r="Q1052" t="s">
        <v>2364</v>
      </c>
      <c r="R1052" t="s">
        <v>2364</v>
      </c>
      <c r="S1052" t="s">
        <v>553</v>
      </c>
      <c r="T1052" t="s">
        <v>2175</v>
      </c>
      <c r="U1052">
        <v>140</v>
      </c>
      <c r="V1052" t="s">
        <v>693</v>
      </c>
      <c r="W1052">
        <v>140</v>
      </c>
      <c r="X1052" t="s">
        <v>693</v>
      </c>
      <c r="Y1052" t="s">
        <v>2365</v>
      </c>
      <c r="Z1052" t="s">
        <v>2365</v>
      </c>
      <c r="AA1052" t="s">
        <v>2365</v>
      </c>
      <c r="AB1052" t="s">
        <v>2365</v>
      </c>
      <c r="AC1052" s="813" t="s">
        <v>2365</v>
      </c>
      <c r="AD1052" s="813" t="s">
        <v>2365</v>
      </c>
      <c r="AE1052" s="813" t="s">
        <v>2365</v>
      </c>
      <c r="AF1052" t="s">
        <v>2365</v>
      </c>
      <c r="AG1052" t="s">
        <v>2365</v>
      </c>
      <c r="AH1052" t="s">
        <v>2365</v>
      </c>
      <c r="AI1052" t="s">
        <v>2365</v>
      </c>
      <c r="AJ1052" t="s">
        <v>2365</v>
      </c>
      <c r="AK1052" t="s">
        <v>2366</v>
      </c>
      <c r="AL1052" t="s">
        <v>2366</v>
      </c>
      <c r="AM1052" t="s">
        <v>2366</v>
      </c>
      <c r="AN1052" t="s">
        <v>2366</v>
      </c>
      <c r="AR1052" t="s">
        <v>2365</v>
      </c>
      <c r="AS1052" t="s">
        <v>2365</v>
      </c>
      <c r="AT1052" t="s">
        <v>2365</v>
      </c>
      <c r="AU1052" t="s">
        <v>2365</v>
      </c>
      <c r="AV1052" t="s">
        <v>2365</v>
      </c>
      <c r="AW1052" t="s">
        <v>2365</v>
      </c>
      <c r="AX1052" t="s">
        <v>2365</v>
      </c>
      <c r="AY1052" t="s">
        <v>2365</v>
      </c>
      <c r="AZ1052" t="s">
        <v>2365</v>
      </c>
      <c r="BA1052" t="s">
        <v>2365</v>
      </c>
      <c r="BB1052" t="s">
        <v>2365</v>
      </c>
      <c r="BC1052" t="s">
        <v>2365</v>
      </c>
      <c r="BD1052" t="s">
        <v>2366</v>
      </c>
      <c r="BE1052" t="s">
        <v>2365</v>
      </c>
      <c r="BF1052" t="s">
        <v>2365</v>
      </c>
      <c r="BG1052" t="s">
        <v>2365</v>
      </c>
      <c r="BH1052" t="s">
        <v>2365</v>
      </c>
      <c r="BI1052" t="s">
        <v>2366</v>
      </c>
      <c r="BJ1052" t="s">
        <v>2365</v>
      </c>
      <c r="BK1052" t="s">
        <v>2365</v>
      </c>
      <c r="BL1052" t="s">
        <v>2365</v>
      </c>
      <c r="BM1052" t="s">
        <v>2365</v>
      </c>
      <c r="BO1052">
        <v>1</v>
      </c>
      <c r="BP1052">
        <v>11</v>
      </c>
      <c r="BQ1052" t="s">
        <v>2369</v>
      </c>
      <c r="BR1052" t="s">
        <v>1487</v>
      </c>
      <c r="BU1052">
        <v>0</v>
      </c>
      <c r="BV1052">
        <v>0</v>
      </c>
      <c r="BW1052">
        <v>0</v>
      </c>
      <c r="BX1052">
        <v>0</v>
      </c>
      <c r="BY1052" s="1371">
        <v>0</v>
      </c>
      <c r="BZ1052" s="1371">
        <v>0</v>
      </c>
      <c r="CA1052">
        <v>0</v>
      </c>
      <c r="CB1052">
        <v>0</v>
      </c>
      <c r="CC1052">
        <v>0</v>
      </c>
      <c r="CD1052">
        <v>0</v>
      </c>
      <c r="CE1052">
        <v>0</v>
      </c>
      <c r="CF1052">
        <v>0</v>
      </c>
      <c r="CG1052">
        <v>0</v>
      </c>
      <c r="CH1052">
        <v>0</v>
      </c>
      <c r="CI1052">
        <v>0</v>
      </c>
      <c r="CJ1052">
        <v>0</v>
      </c>
      <c r="CK1052">
        <v>0</v>
      </c>
      <c r="CL1052">
        <v>0</v>
      </c>
      <c r="CM1052">
        <v>0</v>
      </c>
      <c r="CR1052" t="s">
        <v>2324</v>
      </c>
      <c r="CS1052" s="1369" t="str">
        <f>INDEX([8]Sheet1!$H:$H,MATCH(CR:CR,[8]Sheet1!$AU:$AU,0))</f>
        <v>Finance</v>
      </c>
    </row>
    <row r="1053" spans="1:97" x14ac:dyDescent="0.2">
      <c r="A1053" t="s">
        <v>3923</v>
      </c>
      <c r="B1053">
        <v>1117</v>
      </c>
      <c r="C1053" t="s">
        <v>3923</v>
      </c>
      <c r="D1053">
        <v>30340</v>
      </c>
      <c r="E1053" t="s">
        <v>3435</v>
      </c>
      <c r="F1053" t="s">
        <v>2364</v>
      </c>
      <c r="G1053" t="s">
        <v>2364</v>
      </c>
      <c r="H1053" t="s">
        <v>2365</v>
      </c>
      <c r="I1053" t="s">
        <v>2365</v>
      </c>
      <c r="J1053" t="s">
        <v>2365</v>
      </c>
      <c r="K1053" t="s">
        <v>2365</v>
      </c>
      <c r="L1053">
        <v>1200</v>
      </c>
      <c r="M1053" t="s">
        <v>1480</v>
      </c>
      <c r="N1053">
        <v>1204</v>
      </c>
      <c r="O1053" t="s">
        <v>1487</v>
      </c>
      <c r="P1053" t="s">
        <v>2366</v>
      </c>
      <c r="Q1053" t="s">
        <v>2364</v>
      </c>
      <c r="R1053" t="s">
        <v>2364</v>
      </c>
      <c r="S1053" t="s">
        <v>553</v>
      </c>
      <c r="T1053" t="s">
        <v>2175</v>
      </c>
      <c r="U1053">
        <v>140</v>
      </c>
      <c r="V1053" t="s">
        <v>693</v>
      </c>
      <c r="W1053">
        <v>140</v>
      </c>
      <c r="X1053" t="s">
        <v>693</v>
      </c>
      <c r="Y1053" t="s">
        <v>2365</v>
      </c>
      <c r="Z1053" t="s">
        <v>2365</v>
      </c>
      <c r="AA1053" t="s">
        <v>2365</v>
      </c>
      <c r="AB1053" t="s">
        <v>2365</v>
      </c>
      <c r="AC1053" s="813" t="s">
        <v>2365</v>
      </c>
      <c r="AD1053" s="813" t="s">
        <v>2365</v>
      </c>
      <c r="AE1053" s="813" t="s">
        <v>2365</v>
      </c>
      <c r="AF1053" t="s">
        <v>2365</v>
      </c>
      <c r="AG1053" t="s">
        <v>2365</v>
      </c>
      <c r="AH1053" t="s">
        <v>2365</v>
      </c>
      <c r="AI1053" t="s">
        <v>2365</v>
      </c>
      <c r="AJ1053" t="s">
        <v>2365</v>
      </c>
      <c r="AK1053" t="s">
        <v>2366</v>
      </c>
      <c r="AL1053" t="s">
        <v>2366</v>
      </c>
      <c r="AM1053" t="s">
        <v>2366</v>
      </c>
      <c r="AN1053" t="s">
        <v>2366</v>
      </c>
      <c r="AR1053" t="s">
        <v>2365</v>
      </c>
      <c r="AS1053" t="s">
        <v>2365</v>
      </c>
      <c r="AT1053" t="s">
        <v>2365</v>
      </c>
      <c r="AU1053" t="s">
        <v>2365</v>
      </c>
      <c r="AV1053" t="s">
        <v>2365</v>
      </c>
      <c r="AW1053" t="s">
        <v>2365</v>
      </c>
      <c r="AX1053" t="s">
        <v>2365</v>
      </c>
      <c r="AY1053" t="s">
        <v>2365</v>
      </c>
      <c r="AZ1053" t="s">
        <v>2365</v>
      </c>
      <c r="BA1053" t="s">
        <v>2365</v>
      </c>
      <c r="BB1053" t="s">
        <v>2365</v>
      </c>
      <c r="BC1053" t="s">
        <v>2365</v>
      </c>
      <c r="BD1053" t="s">
        <v>2366</v>
      </c>
      <c r="BE1053" t="s">
        <v>2365</v>
      </c>
      <c r="BF1053" t="s">
        <v>2365</v>
      </c>
      <c r="BG1053" t="s">
        <v>2365</v>
      </c>
      <c r="BH1053" t="s">
        <v>2365</v>
      </c>
      <c r="BI1053" t="s">
        <v>2366</v>
      </c>
      <c r="BJ1053" t="s">
        <v>2365</v>
      </c>
      <c r="BK1053" t="s">
        <v>2365</v>
      </c>
      <c r="BL1053" t="s">
        <v>2365</v>
      </c>
      <c r="BM1053" t="s">
        <v>2365</v>
      </c>
      <c r="BO1053">
        <v>1</v>
      </c>
      <c r="BP1053">
        <v>11</v>
      </c>
      <c r="BQ1053" t="s">
        <v>2369</v>
      </c>
      <c r="BR1053" t="s">
        <v>1487</v>
      </c>
      <c r="BU1053">
        <v>0</v>
      </c>
      <c r="BV1053">
        <v>0</v>
      </c>
      <c r="BW1053">
        <v>0</v>
      </c>
      <c r="BX1053">
        <v>0</v>
      </c>
      <c r="BY1053">
        <v>0</v>
      </c>
      <c r="BZ1053">
        <v>0</v>
      </c>
      <c r="CA1053">
        <v>0</v>
      </c>
      <c r="CB1053">
        <v>0</v>
      </c>
      <c r="CC1053">
        <v>0</v>
      </c>
      <c r="CD1053">
        <v>0</v>
      </c>
      <c r="CE1053">
        <v>0</v>
      </c>
      <c r="CF1053">
        <v>0</v>
      </c>
      <c r="CG1053">
        <v>0</v>
      </c>
      <c r="CH1053">
        <v>0</v>
      </c>
      <c r="CI1053">
        <v>0</v>
      </c>
      <c r="CJ1053">
        <v>0</v>
      </c>
      <c r="CK1053">
        <v>0</v>
      </c>
      <c r="CL1053">
        <v>0</v>
      </c>
      <c r="CM1053">
        <v>0</v>
      </c>
      <c r="CR1053" t="s">
        <v>2324</v>
      </c>
      <c r="CS1053" s="1369" t="str">
        <f>INDEX([8]Sheet1!$H:$H,MATCH(CR:CR,[8]Sheet1!$AU:$AU,0))</f>
        <v>Finance</v>
      </c>
    </row>
    <row r="1054" spans="1:97" x14ac:dyDescent="0.2">
      <c r="A1054" t="s">
        <v>3924</v>
      </c>
      <c r="B1054">
        <v>1118</v>
      </c>
      <c r="C1054" t="s">
        <v>3924</v>
      </c>
      <c r="D1054">
        <v>30341</v>
      </c>
      <c r="E1054" t="s">
        <v>3439</v>
      </c>
      <c r="F1054" t="s">
        <v>2364</v>
      </c>
      <c r="G1054" t="s">
        <v>2364</v>
      </c>
      <c r="H1054" t="s">
        <v>2365</v>
      </c>
      <c r="I1054" t="s">
        <v>2365</v>
      </c>
      <c r="J1054" t="s">
        <v>2365</v>
      </c>
      <c r="K1054" t="s">
        <v>2365</v>
      </c>
      <c r="L1054">
        <v>1200</v>
      </c>
      <c r="M1054" t="s">
        <v>1480</v>
      </c>
      <c r="N1054">
        <v>1204</v>
      </c>
      <c r="O1054" t="s">
        <v>1487</v>
      </c>
      <c r="P1054" t="s">
        <v>2366</v>
      </c>
      <c r="Q1054" t="s">
        <v>2364</v>
      </c>
      <c r="R1054" t="s">
        <v>2364</v>
      </c>
      <c r="S1054" t="s">
        <v>553</v>
      </c>
      <c r="T1054" t="s">
        <v>2175</v>
      </c>
      <c r="U1054">
        <v>140</v>
      </c>
      <c r="V1054" t="s">
        <v>693</v>
      </c>
      <c r="W1054">
        <v>140</v>
      </c>
      <c r="X1054" t="s">
        <v>693</v>
      </c>
      <c r="Y1054" t="s">
        <v>2365</v>
      </c>
      <c r="Z1054" t="s">
        <v>2365</v>
      </c>
      <c r="AA1054" t="s">
        <v>2365</v>
      </c>
      <c r="AB1054" t="s">
        <v>2365</v>
      </c>
      <c r="AC1054" s="813" t="s">
        <v>2365</v>
      </c>
      <c r="AD1054" s="813" t="s">
        <v>2365</v>
      </c>
      <c r="AE1054" s="813" t="s">
        <v>2365</v>
      </c>
      <c r="AF1054" t="s">
        <v>2365</v>
      </c>
      <c r="AG1054" t="s">
        <v>2365</v>
      </c>
      <c r="AH1054" t="s">
        <v>2365</v>
      </c>
      <c r="AI1054" t="s">
        <v>2365</v>
      </c>
      <c r="AJ1054" t="s">
        <v>2365</v>
      </c>
      <c r="AK1054" t="s">
        <v>2366</v>
      </c>
      <c r="AL1054" t="s">
        <v>2366</v>
      </c>
      <c r="AM1054" t="s">
        <v>2366</v>
      </c>
      <c r="AN1054" t="s">
        <v>2366</v>
      </c>
      <c r="AR1054" t="s">
        <v>2365</v>
      </c>
      <c r="AS1054" t="s">
        <v>2365</v>
      </c>
      <c r="AT1054" t="s">
        <v>2365</v>
      </c>
      <c r="AU1054" t="s">
        <v>2365</v>
      </c>
      <c r="AV1054" t="s">
        <v>2365</v>
      </c>
      <c r="AW1054" t="s">
        <v>2365</v>
      </c>
      <c r="AX1054" t="s">
        <v>2365</v>
      </c>
      <c r="AY1054" t="s">
        <v>2365</v>
      </c>
      <c r="AZ1054" t="s">
        <v>2365</v>
      </c>
      <c r="BA1054" t="s">
        <v>2365</v>
      </c>
      <c r="BB1054" t="s">
        <v>2365</v>
      </c>
      <c r="BC1054" t="s">
        <v>2365</v>
      </c>
      <c r="BD1054" t="s">
        <v>2366</v>
      </c>
      <c r="BE1054" t="s">
        <v>2365</v>
      </c>
      <c r="BF1054" t="s">
        <v>2365</v>
      </c>
      <c r="BG1054" t="s">
        <v>2365</v>
      </c>
      <c r="BH1054" t="s">
        <v>2365</v>
      </c>
      <c r="BI1054" t="s">
        <v>2366</v>
      </c>
      <c r="BJ1054" t="s">
        <v>2365</v>
      </c>
      <c r="BK1054" t="s">
        <v>2365</v>
      </c>
      <c r="BL1054" t="s">
        <v>2365</v>
      </c>
      <c r="BM1054" t="s">
        <v>2365</v>
      </c>
      <c r="BO1054">
        <v>1</v>
      </c>
      <c r="BP1054">
        <v>11</v>
      </c>
      <c r="BQ1054" t="s">
        <v>2369</v>
      </c>
      <c r="BR1054" t="s">
        <v>1487</v>
      </c>
      <c r="BU1054">
        <v>0</v>
      </c>
      <c r="BV1054">
        <v>0</v>
      </c>
      <c r="BW1054">
        <v>0</v>
      </c>
      <c r="BX1054">
        <v>0</v>
      </c>
      <c r="BY1054" s="1371">
        <v>0</v>
      </c>
      <c r="BZ1054" s="1371">
        <v>0</v>
      </c>
      <c r="CA1054">
        <v>0</v>
      </c>
      <c r="CB1054">
        <v>0</v>
      </c>
      <c r="CC1054">
        <v>0</v>
      </c>
      <c r="CD1054">
        <v>0</v>
      </c>
      <c r="CE1054">
        <v>0</v>
      </c>
      <c r="CF1054">
        <v>0</v>
      </c>
      <c r="CG1054">
        <v>0</v>
      </c>
      <c r="CH1054">
        <v>0</v>
      </c>
      <c r="CI1054">
        <v>0</v>
      </c>
      <c r="CJ1054">
        <v>0</v>
      </c>
      <c r="CK1054">
        <v>0</v>
      </c>
      <c r="CL1054">
        <v>0</v>
      </c>
      <c r="CM1054">
        <v>0</v>
      </c>
      <c r="CR1054" t="s">
        <v>2324</v>
      </c>
      <c r="CS1054" s="1369" t="str">
        <f>INDEX([8]Sheet1!$H:$H,MATCH(CR:CR,[8]Sheet1!$AU:$AU,0))</f>
        <v>Finance</v>
      </c>
    </row>
    <row r="1055" spans="1:97" x14ac:dyDescent="0.2">
      <c r="A1055" t="s">
        <v>3925</v>
      </c>
      <c r="B1055">
        <v>1119</v>
      </c>
      <c r="C1055" t="s">
        <v>3925</v>
      </c>
      <c r="D1055">
        <v>30342</v>
      </c>
      <c r="E1055" t="s">
        <v>3683</v>
      </c>
      <c r="F1055" t="s">
        <v>2364</v>
      </c>
      <c r="G1055" t="s">
        <v>2364</v>
      </c>
      <c r="H1055" t="s">
        <v>2365</v>
      </c>
      <c r="I1055" t="s">
        <v>2365</v>
      </c>
      <c r="J1055" t="s">
        <v>2365</v>
      </c>
      <c r="K1055" t="s">
        <v>2365</v>
      </c>
      <c r="L1055">
        <v>1200</v>
      </c>
      <c r="M1055" t="s">
        <v>1480</v>
      </c>
      <c r="N1055">
        <v>1204</v>
      </c>
      <c r="O1055" t="s">
        <v>1487</v>
      </c>
      <c r="P1055" t="s">
        <v>2366</v>
      </c>
      <c r="Q1055" t="s">
        <v>2364</v>
      </c>
      <c r="R1055" t="s">
        <v>2364</v>
      </c>
      <c r="S1055" t="s">
        <v>553</v>
      </c>
      <c r="T1055" t="s">
        <v>2175</v>
      </c>
      <c r="U1055" t="s">
        <v>2366</v>
      </c>
      <c r="V1055" t="s">
        <v>2366</v>
      </c>
      <c r="W1055" t="s">
        <v>2366</v>
      </c>
      <c r="X1055" t="s">
        <v>2366</v>
      </c>
      <c r="Y1055" t="s">
        <v>2365</v>
      </c>
      <c r="Z1055" t="s">
        <v>2365</v>
      </c>
      <c r="AA1055" t="s">
        <v>2365</v>
      </c>
      <c r="AB1055" t="s">
        <v>2365</v>
      </c>
      <c r="AC1055" s="813" t="s">
        <v>2365</v>
      </c>
      <c r="AD1055" s="813" t="s">
        <v>2365</v>
      </c>
      <c r="AE1055" s="813" t="s">
        <v>2365</v>
      </c>
      <c r="AF1055" t="s">
        <v>2365</v>
      </c>
      <c r="AG1055" t="s">
        <v>2365</v>
      </c>
      <c r="AH1055" t="s">
        <v>2365</v>
      </c>
      <c r="AI1055" t="s">
        <v>2365</v>
      </c>
      <c r="AJ1055" t="s">
        <v>2365</v>
      </c>
      <c r="AK1055">
        <v>146</v>
      </c>
      <c r="AL1055" t="s">
        <v>1199</v>
      </c>
      <c r="AM1055">
        <v>146</v>
      </c>
      <c r="AN1055" t="s">
        <v>1199</v>
      </c>
      <c r="AR1055" t="s">
        <v>2365</v>
      </c>
      <c r="AS1055" t="s">
        <v>2365</v>
      </c>
      <c r="AT1055" t="s">
        <v>2365</v>
      </c>
      <c r="AU1055" t="s">
        <v>2365</v>
      </c>
      <c r="AV1055" t="s">
        <v>2365</v>
      </c>
      <c r="AW1055" t="s">
        <v>2365</v>
      </c>
      <c r="AX1055" t="s">
        <v>2365</v>
      </c>
      <c r="AY1055" t="s">
        <v>2365</v>
      </c>
      <c r="AZ1055" t="s">
        <v>2365</v>
      </c>
      <c r="BA1055" t="s">
        <v>2365</v>
      </c>
      <c r="BB1055" t="s">
        <v>2365</v>
      </c>
      <c r="BC1055" t="s">
        <v>2365</v>
      </c>
      <c r="BD1055" t="s">
        <v>2366</v>
      </c>
      <c r="BE1055" t="s">
        <v>2365</v>
      </c>
      <c r="BF1055" t="s">
        <v>2365</v>
      </c>
      <c r="BG1055" t="s">
        <v>2365</v>
      </c>
      <c r="BH1055" t="s">
        <v>2365</v>
      </c>
      <c r="BI1055" t="s">
        <v>2366</v>
      </c>
      <c r="BJ1055" t="s">
        <v>2365</v>
      </c>
      <c r="BK1055" t="s">
        <v>2365</v>
      </c>
      <c r="BL1055" t="s">
        <v>2365</v>
      </c>
      <c r="BM1055" t="s">
        <v>2365</v>
      </c>
      <c r="BO1055">
        <v>1</v>
      </c>
      <c r="BP1055">
        <v>11</v>
      </c>
      <c r="BQ1055" t="s">
        <v>2369</v>
      </c>
      <c r="BR1055" t="s">
        <v>1487</v>
      </c>
      <c r="BU1055">
        <v>0</v>
      </c>
      <c r="BV1055">
        <v>0</v>
      </c>
      <c r="BW1055">
        <v>0</v>
      </c>
      <c r="BX1055">
        <v>0</v>
      </c>
      <c r="BY1055">
        <v>0</v>
      </c>
      <c r="BZ1055">
        <v>0</v>
      </c>
      <c r="CA1055">
        <v>0</v>
      </c>
      <c r="CB1055">
        <v>0</v>
      </c>
      <c r="CC1055">
        <v>0</v>
      </c>
      <c r="CD1055">
        <v>0</v>
      </c>
      <c r="CE1055">
        <v>0</v>
      </c>
      <c r="CF1055">
        <v>0</v>
      </c>
      <c r="CG1055">
        <v>0</v>
      </c>
      <c r="CH1055">
        <v>0</v>
      </c>
      <c r="CI1055">
        <v>0</v>
      </c>
      <c r="CJ1055">
        <v>0</v>
      </c>
      <c r="CK1055">
        <v>0</v>
      </c>
      <c r="CL1055">
        <v>0</v>
      </c>
      <c r="CM1055">
        <v>0</v>
      </c>
      <c r="CR1055" t="s">
        <v>2324</v>
      </c>
      <c r="CS1055" s="1369" t="str">
        <f>INDEX([8]Sheet1!$H:$H,MATCH(CR:CR,[8]Sheet1!$AU:$AU,0))</f>
        <v>Finance</v>
      </c>
    </row>
    <row r="1056" spans="1:97" x14ac:dyDescent="0.2">
      <c r="A1056" t="s">
        <v>3926</v>
      </c>
      <c r="B1056">
        <v>1120</v>
      </c>
      <c r="C1056" t="s">
        <v>3926</v>
      </c>
      <c r="D1056">
        <v>30343</v>
      </c>
      <c r="E1056" t="s">
        <v>3685</v>
      </c>
      <c r="F1056" t="s">
        <v>2364</v>
      </c>
      <c r="G1056" t="s">
        <v>2364</v>
      </c>
      <c r="H1056" t="s">
        <v>2365</v>
      </c>
      <c r="I1056" t="s">
        <v>2365</v>
      </c>
      <c r="J1056" t="s">
        <v>2365</v>
      </c>
      <c r="K1056" t="s">
        <v>2365</v>
      </c>
      <c r="L1056">
        <v>1200</v>
      </c>
      <c r="M1056" t="s">
        <v>1480</v>
      </c>
      <c r="N1056">
        <v>1204</v>
      </c>
      <c r="O1056" t="s">
        <v>1487</v>
      </c>
      <c r="P1056" t="s">
        <v>2366</v>
      </c>
      <c r="Q1056" t="s">
        <v>2364</v>
      </c>
      <c r="R1056" t="s">
        <v>2364</v>
      </c>
      <c r="S1056" t="s">
        <v>553</v>
      </c>
      <c r="T1056" t="s">
        <v>2175</v>
      </c>
      <c r="U1056" t="s">
        <v>2366</v>
      </c>
      <c r="V1056" t="s">
        <v>2366</v>
      </c>
      <c r="W1056" t="s">
        <v>2366</v>
      </c>
      <c r="X1056" t="s">
        <v>2366</v>
      </c>
      <c r="Y1056" t="s">
        <v>2365</v>
      </c>
      <c r="Z1056" t="s">
        <v>2365</v>
      </c>
      <c r="AA1056" t="s">
        <v>2365</v>
      </c>
      <c r="AB1056" t="s">
        <v>2365</v>
      </c>
      <c r="AC1056" s="813" t="s">
        <v>2365</v>
      </c>
      <c r="AD1056" s="813" t="s">
        <v>2365</v>
      </c>
      <c r="AE1056" s="813" t="s">
        <v>2365</v>
      </c>
      <c r="AF1056" t="s">
        <v>2365</v>
      </c>
      <c r="AG1056" t="s">
        <v>2365</v>
      </c>
      <c r="AH1056" t="s">
        <v>2365</v>
      </c>
      <c r="AI1056" t="s">
        <v>2365</v>
      </c>
      <c r="AJ1056" t="s">
        <v>2365</v>
      </c>
      <c r="AK1056">
        <v>146</v>
      </c>
      <c r="AL1056" t="s">
        <v>1199</v>
      </c>
      <c r="AM1056">
        <v>146</v>
      </c>
      <c r="AN1056" t="s">
        <v>1199</v>
      </c>
      <c r="AR1056" t="s">
        <v>2365</v>
      </c>
      <c r="AS1056" t="s">
        <v>2365</v>
      </c>
      <c r="AT1056" t="s">
        <v>2365</v>
      </c>
      <c r="AU1056" t="s">
        <v>2365</v>
      </c>
      <c r="AV1056" t="s">
        <v>2365</v>
      </c>
      <c r="AW1056" t="s">
        <v>2365</v>
      </c>
      <c r="AX1056" t="s">
        <v>2365</v>
      </c>
      <c r="AY1056" t="s">
        <v>2365</v>
      </c>
      <c r="AZ1056" t="s">
        <v>2365</v>
      </c>
      <c r="BA1056" t="s">
        <v>2365</v>
      </c>
      <c r="BB1056" t="s">
        <v>2365</v>
      </c>
      <c r="BC1056" t="s">
        <v>2365</v>
      </c>
      <c r="BD1056" t="s">
        <v>2366</v>
      </c>
      <c r="BE1056" t="s">
        <v>2365</v>
      </c>
      <c r="BF1056" t="s">
        <v>2365</v>
      </c>
      <c r="BG1056" t="s">
        <v>2365</v>
      </c>
      <c r="BH1056" t="s">
        <v>2365</v>
      </c>
      <c r="BI1056" t="s">
        <v>2366</v>
      </c>
      <c r="BJ1056" t="s">
        <v>2365</v>
      </c>
      <c r="BK1056" t="s">
        <v>2365</v>
      </c>
      <c r="BL1056" t="s">
        <v>2365</v>
      </c>
      <c r="BM1056" t="s">
        <v>2365</v>
      </c>
      <c r="BO1056">
        <v>1</v>
      </c>
      <c r="BP1056">
        <v>11</v>
      </c>
      <c r="BQ1056" t="s">
        <v>2369</v>
      </c>
      <c r="BR1056" t="s">
        <v>1487</v>
      </c>
      <c r="BU1056">
        <v>0</v>
      </c>
      <c r="BV1056">
        <v>0</v>
      </c>
      <c r="BW1056">
        <v>0</v>
      </c>
      <c r="BX1056">
        <v>0</v>
      </c>
      <c r="BY1056">
        <v>0</v>
      </c>
      <c r="BZ1056">
        <v>0</v>
      </c>
      <c r="CA1056">
        <v>0</v>
      </c>
      <c r="CB1056">
        <v>0</v>
      </c>
      <c r="CC1056">
        <v>0</v>
      </c>
      <c r="CD1056">
        <v>0</v>
      </c>
      <c r="CE1056">
        <v>0</v>
      </c>
      <c r="CF1056">
        <v>0</v>
      </c>
      <c r="CG1056">
        <v>0</v>
      </c>
      <c r="CH1056">
        <v>0</v>
      </c>
      <c r="CI1056">
        <v>0</v>
      </c>
      <c r="CJ1056">
        <v>0</v>
      </c>
      <c r="CK1056">
        <v>0</v>
      </c>
      <c r="CL1056">
        <v>0</v>
      </c>
      <c r="CM1056">
        <v>0</v>
      </c>
      <c r="CR1056" t="s">
        <v>2324</v>
      </c>
      <c r="CS1056" s="1369" t="str">
        <f>INDEX([8]Sheet1!$H:$H,MATCH(CR:CR,[8]Sheet1!$AU:$AU,0))</f>
        <v>Finance</v>
      </c>
    </row>
    <row r="1057" spans="1:97" x14ac:dyDescent="0.2">
      <c r="A1057" t="s">
        <v>3927</v>
      </c>
      <c r="B1057">
        <v>1121</v>
      </c>
      <c r="C1057" t="s">
        <v>3927</v>
      </c>
      <c r="D1057">
        <v>30344</v>
      </c>
      <c r="E1057" t="s">
        <v>3413</v>
      </c>
      <c r="F1057" t="s">
        <v>2364</v>
      </c>
      <c r="G1057" t="s">
        <v>2364</v>
      </c>
      <c r="H1057" t="s">
        <v>2365</v>
      </c>
      <c r="I1057" t="s">
        <v>2365</v>
      </c>
      <c r="J1057" t="s">
        <v>2365</v>
      </c>
      <c r="K1057" t="s">
        <v>2365</v>
      </c>
      <c r="L1057">
        <v>1200</v>
      </c>
      <c r="M1057" t="s">
        <v>1480</v>
      </c>
      <c r="N1057">
        <v>1204</v>
      </c>
      <c r="O1057" t="s">
        <v>1487</v>
      </c>
      <c r="P1057" t="s">
        <v>2366</v>
      </c>
      <c r="Q1057" t="s">
        <v>2364</v>
      </c>
      <c r="R1057" t="s">
        <v>2364</v>
      </c>
      <c r="S1057" t="s">
        <v>553</v>
      </c>
      <c r="T1057" t="s">
        <v>2175</v>
      </c>
      <c r="U1057">
        <v>140</v>
      </c>
      <c r="V1057" t="s">
        <v>693</v>
      </c>
      <c r="W1057">
        <v>140</v>
      </c>
      <c r="X1057" t="s">
        <v>693</v>
      </c>
      <c r="Y1057" t="s">
        <v>2365</v>
      </c>
      <c r="Z1057" t="s">
        <v>2365</v>
      </c>
      <c r="AA1057" t="s">
        <v>2365</v>
      </c>
      <c r="AB1057" t="s">
        <v>2365</v>
      </c>
      <c r="AC1057" s="813" t="s">
        <v>2365</v>
      </c>
      <c r="AD1057" s="813" t="s">
        <v>2365</v>
      </c>
      <c r="AE1057" s="813" t="s">
        <v>2365</v>
      </c>
      <c r="AF1057" t="s">
        <v>2365</v>
      </c>
      <c r="AG1057" t="s">
        <v>2365</v>
      </c>
      <c r="AH1057" t="s">
        <v>2365</v>
      </c>
      <c r="AI1057" t="s">
        <v>2365</v>
      </c>
      <c r="AJ1057" t="s">
        <v>2365</v>
      </c>
      <c r="AK1057" t="s">
        <v>2366</v>
      </c>
      <c r="AL1057" t="s">
        <v>2366</v>
      </c>
      <c r="AM1057" t="s">
        <v>2366</v>
      </c>
      <c r="AN1057" t="s">
        <v>2366</v>
      </c>
      <c r="AR1057" t="s">
        <v>2365</v>
      </c>
      <c r="AS1057" t="s">
        <v>2365</v>
      </c>
      <c r="AT1057" t="s">
        <v>2365</v>
      </c>
      <c r="AU1057" t="s">
        <v>2365</v>
      </c>
      <c r="AV1057" t="s">
        <v>2365</v>
      </c>
      <c r="AW1057" t="s">
        <v>2365</v>
      </c>
      <c r="AX1057" t="s">
        <v>2365</v>
      </c>
      <c r="AY1057" t="s">
        <v>2365</v>
      </c>
      <c r="AZ1057" t="s">
        <v>2365</v>
      </c>
      <c r="BA1057" t="s">
        <v>2365</v>
      </c>
      <c r="BB1057" t="s">
        <v>2365</v>
      </c>
      <c r="BC1057" t="s">
        <v>2365</v>
      </c>
      <c r="BD1057" t="s">
        <v>2366</v>
      </c>
      <c r="BE1057" t="s">
        <v>2365</v>
      </c>
      <c r="BF1057" t="s">
        <v>2365</v>
      </c>
      <c r="BG1057" t="s">
        <v>2365</v>
      </c>
      <c r="BH1057" t="s">
        <v>2365</v>
      </c>
      <c r="BI1057" t="s">
        <v>2366</v>
      </c>
      <c r="BJ1057" t="s">
        <v>2365</v>
      </c>
      <c r="BK1057" t="s">
        <v>2365</v>
      </c>
      <c r="BL1057" t="s">
        <v>2365</v>
      </c>
      <c r="BM1057" t="s">
        <v>2365</v>
      </c>
      <c r="BO1057">
        <v>1</v>
      </c>
      <c r="BP1057">
        <v>11</v>
      </c>
      <c r="BQ1057" t="s">
        <v>2369</v>
      </c>
      <c r="BR1057" t="s">
        <v>1487</v>
      </c>
      <c r="BU1057">
        <v>0</v>
      </c>
      <c r="BV1057">
        <v>0</v>
      </c>
      <c r="BW1057">
        <v>0</v>
      </c>
      <c r="BX1057">
        <v>0</v>
      </c>
      <c r="BY1057">
        <v>0</v>
      </c>
      <c r="BZ1057">
        <v>0</v>
      </c>
      <c r="CA1057">
        <v>0</v>
      </c>
      <c r="CB1057">
        <v>0</v>
      </c>
      <c r="CC1057">
        <v>0</v>
      </c>
      <c r="CD1057">
        <v>0</v>
      </c>
      <c r="CE1057">
        <v>0</v>
      </c>
      <c r="CF1057">
        <v>0</v>
      </c>
      <c r="CG1057">
        <v>0</v>
      </c>
      <c r="CH1057">
        <v>0</v>
      </c>
      <c r="CI1057">
        <v>0</v>
      </c>
      <c r="CJ1057">
        <v>0</v>
      </c>
      <c r="CK1057">
        <v>0</v>
      </c>
      <c r="CL1057">
        <v>0</v>
      </c>
      <c r="CM1057">
        <v>0</v>
      </c>
      <c r="CR1057" t="s">
        <v>2324</v>
      </c>
      <c r="CS1057" s="1369" t="str">
        <f>INDEX([8]Sheet1!$H:$H,MATCH(CR:CR,[8]Sheet1!$AU:$AU,0))</f>
        <v>Finance</v>
      </c>
    </row>
    <row r="1058" spans="1:97" x14ac:dyDescent="0.2">
      <c r="A1058" t="s">
        <v>3928</v>
      </c>
      <c r="B1058">
        <v>1122</v>
      </c>
      <c r="C1058" t="s">
        <v>3928</v>
      </c>
      <c r="D1058">
        <v>30345</v>
      </c>
      <c r="E1058" t="s">
        <v>3415</v>
      </c>
      <c r="F1058" t="s">
        <v>2364</v>
      </c>
      <c r="G1058" t="s">
        <v>2364</v>
      </c>
      <c r="H1058" t="s">
        <v>2365</v>
      </c>
      <c r="I1058" t="s">
        <v>2365</v>
      </c>
      <c r="J1058" t="s">
        <v>2365</v>
      </c>
      <c r="K1058" t="s">
        <v>2365</v>
      </c>
      <c r="L1058">
        <v>1200</v>
      </c>
      <c r="M1058" t="s">
        <v>1480</v>
      </c>
      <c r="N1058">
        <v>1204</v>
      </c>
      <c r="O1058" t="s">
        <v>1487</v>
      </c>
      <c r="P1058" t="s">
        <v>2366</v>
      </c>
      <c r="Q1058" t="s">
        <v>2364</v>
      </c>
      <c r="R1058" t="s">
        <v>2364</v>
      </c>
      <c r="S1058" t="s">
        <v>553</v>
      </c>
      <c r="T1058" t="s">
        <v>2175</v>
      </c>
      <c r="U1058">
        <v>140</v>
      </c>
      <c r="V1058" t="s">
        <v>693</v>
      </c>
      <c r="W1058">
        <v>140</v>
      </c>
      <c r="X1058" t="s">
        <v>693</v>
      </c>
      <c r="Y1058" t="s">
        <v>2365</v>
      </c>
      <c r="Z1058" t="s">
        <v>2365</v>
      </c>
      <c r="AA1058" t="s">
        <v>2365</v>
      </c>
      <c r="AB1058" t="s">
        <v>2365</v>
      </c>
      <c r="AC1058" s="813" t="s">
        <v>2365</v>
      </c>
      <c r="AD1058" s="813" t="s">
        <v>2365</v>
      </c>
      <c r="AE1058" s="813" t="s">
        <v>2365</v>
      </c>
      <c r="AF1058" t="s">
        <v>2365</v>
      </c>
      <c r="AG1058" t="s">
        <v>2365</v>
      </c>
      <c r="AH1058" t="s">
        <v>2365</v>
      </c>
      <c r="AI1058" t="s">
        <v>2365</v>
      </c>
      <c r="AJ1058" t="s">
        <v>2365</v>
      </c>
      <c r="AK1058" t="s">
        <v>2366</v>
      </c>
      <c r="AL1058" t="s">
        <v>2366</v>
      </c>
      <c r="AM1058" t="s">
        <v>2366</v>
      </c>
      <c r="AN1058" t="s">
        <v>2366</v>
      </c>
      <c r="AR1058" t="s">
        <v>2365</v>
      </c>
      <c r="AS1058" t="s">
        <v>2365</v>
      </c>
      <c r="AT1058" t="s">
        <v>2365</v>
      </c>
      <c r="AU1058" t="s">
        <v>2365</v>
      </c>
      <c r="AV1058" t="s">
        <v>2365</v>
      </c>
      <c r="AW1058" t="s">
        <v>2365</v>
      </c>
      <c r="AX1058" t="s">
        <v>2365</v>
      </c>
      <c r="AY1058" t="s">
        <v>2365</v>
      </c>
      <c r="AZ1058" t="s">
        <v>2365</v>
      </c>
      <c r="BA1058" t="s">
        <v>2365</v>
      </c>
      <c r="BB1058" t="s">
        <v>2365</v>
      </c>
      <c r="BC1058" t="s">
        <v>2365</v>
      </c>
      <c r="BD1058" t="s">
        <v>2366</v>
      </c>
      <c r="BE1058" t="s">
        <v>2365</v>
      </c>
      <c r="BF1058" t="s">
        <v>2365</v>
      </c>
      <c r="BG1058" t="s">
        <v>2365</v>
      </c>
      <c r="BH1058" t="s">
        <v>2365</v>
      </c>
      <c r="BI1058" t="s">
        <v>2366</v>
      </c>
      <c r="BJ1058" t="s">
        <v>2365</v>
      </c>
      <c r="BK1058" t="s">
        <v>2365</v>
      </c>
      <c r="BL1058" t="s">
        <v>2365</v>
      </c>
      <c r="BM1058" t="s">
        <v>2365</v>
      </c>
      <c r="BO1058">
        <v>1</v>
      </c>
      <c r="BP1058">
        <v>11</v>
      </c>
      <c r="BQ1058" t="s">
        <v>2369</v>
      </c>
      <c r="BR1058" t="s">
        <v>1487</v>
      </c>
      <c r="BU1058">
        <v>0</v>
      </c>
      <c r="BV1058">
        <v>0</v>
      </c>
      <c r="BW1058">
        <v>0</v>
      </c>
      <c r="BX1058">
        <v>0</v>
      </c>
      <c r="BY1058" s="1371">
        <v>0</v>
      </c>
      <c r="BZ1058" s="1371">
        <v>0</v>
      </c>
      <c r="CA1058">
        <v>0</v>
      </c>
      <c r="CB1058">
        <v>0</v>
      </c>
      <c r="CC1058">
        <v>0</v>
      </c>
      <c r="CD1058">
        <v>0</v>
      </c>
      <c r="CE1058">
        <v>0</v>
      </c>
      <c r="CF1058">
        <v>0</v>
      </c>
      <c r="CG1058">
        <v>0</v>
      </c>
      <c r="CH1058">
        <v>0</v>
      </c>
      <c r="CI1058">
        <v>0</v>
      </c>
      <c r="CJ1058">
        <v>0</v>
      </c>
      <c r="CK1058">
        <v>0</v>
      </c>
      <c r="CL1058">
        <v>0</v>
      </c>
      <c r="CM1058">
        <v>0</v>
      </c>
      <c r="CR1058" t="s">
        <v>2324</v>
      </c>
      <c r="CS1058" s="1369" t="str">
        <f>INDEX([8]Sheet1!$H:$H,MATCH(CR:CR,[8]Sheet1!$AU:$AU,0))</f>
        <v>Finance</v>
      </c>
    </row>
    <row r="1059" spans="1:97" x14ac:dyDescent="0.2">
      <c r="A1059" t="s">
        <v>3929</v>
      </c>
      <c r="B1059">
        <v>1123</v>
      </c>
      <c r="C1059" t="s">
        <v>3929</v>
      </c>
      <c r="D1059">
        <v>30346</v>
      </c>
      <c r="E1059" t="s">
        <v>3417</v>
      </c>
      <c r="F1059" t="s">
        <v>2364</v>
      </c>
      <c r="G1059" t="s">
        <v>2364</v>
      </c>
      <c r="H1059" t="s">
        <v>2365</v>
      </c>
      <c r="I1059" t="s">
        <v>2365</v>
      </c>
      <c r="J1059" t="s">
        <v>2365</v>
      </c>
      <c r="K1059" t="s">
        <v>2365</v>
      </c>
      <c r="L1059">
        <v>1200</v>
      </c>
      <c r="M1059" t="s">
        <v>1480</v>
      </c>
      <c r="N1059">
        <v>1204</v>
      </c>
      <c r="O1059" t="s">
        <v>1487</v>
      </c>
      <c r="P1059" t="s">
        <v>2366</v>
      </c>
      <c r="Q1059" t="s">
        <v>2364</v>
      </c>
      <c r="R1059" t="s">
        <v>2364</v>
      </c>
      <c r="S1059" t="s">
        <v>553</v>
      </c>
      <c r="T1059" t="s">
        <v>2175</v>
      </c>
      <c r="U1059">
        <v>140</v>
      </c>
      <c r="V1059" t="s">
        <v>693</v>
      </c>
      <c r="W1059">
        <v>140</v>
      </c>
      <c r="X1059" t="s">
        <v>693</v>
      </c>
      <c r="Y1059" t="s">
        <v>2365</v>
      </c>
      <c r="Z1059" t="s">
        <v>2365</v>
      </c>
      <c r="AA1059" t="s">
        <v>2365</v>
      </c>
      <c r="AB1059" t="s">
        <v>2365</v>
      </c>
      <c r="AC1059" s="813" t="s">
        <v>2365</v>
      </c>
      <c r="AD1059" s="813" t="s">
        <v>2365</v>
      </c>
      <c r="AE1059" s="813" t="s">
        <v>2365</v>
      </c>
      <c r="AF1059" t="s">
        <v>2365</v>
      </c>
      <c r="AG1059" t="s">
        <v>2365</v>
      </c>
      <c r="AH1059" t="s">
        <v>2365</v>
      </c>
      <c r="AI1059" t="s">
        <v>2365</v>
      </c>
      <c r="AJ1059" t="s">
        <v>2365</v>
      </c>
      <c r="AK1059">
        <v>147</v>
      </c>
      <c r="AL1059" t="s">
        <v>1200</v>
      </c>
      <c r="AM1059">
        <v>147</v>
      </c>
      <c r="AN1059" t="s">
        <v>1200</v>
      </c>
      <c r="AR1059" t="s">
        <v>2365</v>
      </c>
      <c r="AS1059" t="s">
        <v>2365</v>
      </c>
      <c r="AT1059" t="s">
        <v>2365</v>
      </c>
      <c r="AU1059" t="s">
        <v>2365</v>
      </c>
      <c r="AV1059" t="s">
        <v>2365</v>
      </c>
      <c r="AW1059" t="s">
        <v>2365</v>
      </c>
      <c r="AX1059" t="s">
        <v>2365</v>
      </c>
      <c r="AY1059" t="s">
        <v>2365</v>
      </c>
      <c r="AZ1059" t="s">
        <v>2365</v>
      </c>
      <c r="BA1059" t="s">
        <v>2365</v>
      </c>
      <c r="BB1059" t="s">
        <v>2365</v>
      </c>
      <c r="BC1059" t="s">
        <v>2365</v>
      </c>
      <c r="BD1059" t="s">
        <v>2366</v>
      </c>
      <c r="BE1059" t="s">
        <v>2365</v>
      </c>
      <c r="BF1059" t="s">
        <v>2365</v>
      </c>
      <c r="BG1059" t="s">
        <v>2365</v>
      </c>
      <c r="BH1059" t="s">
        <v>2365</v>
      </c>
      <c r="BI1059" t="s">
        <v>2366</v>
      </c>
      <c r="BJ1059" t="s">
        <v>2365</v>
      </c>
      <c r="BK1059" t="s">
        <v>2365</v>
      </c>
      <c r="BL1059" t="s">
        <v>2365</v>
      </c>
      <c r="BM1059" t="s">
        <v>2365</v>
      </c>
      <c r="BO1059">
        <v>1</v>
      </c>
      <c r="BP1059">
        <v>11</v>
      </c>
      <c r="BQ1059" t="s">
        <v>2369</v>
      </c>
      <c r="BR1059" t="s">
        <v>1487</v>
      </c>
      <c r="BU1059">
        <v>0</v>
      </c>
      <c r="BV1059">
        <v>0</v>
      </c>
      <c r="BW1059">
        <v>0</v>
      </c>
      <c r="BX1059">
        <v>0</v>
      </c>
      <c r="BY1059">
        <v>0</v>
      </c>
      <c r="BZ1059">
        <v>0</v>
      </c>
      <c r="CA1059">
        <v>0</v>
      </c>
      <c r="CB1059">
        <v>0</v>
      </c>
      <c r="CC1059">
        <v>0</v>
      </c>
      <c r="CD1059">
        <v>0</v>
      </c>
      <c r="CE1059">
        <v>0</v>
      </c>
      <c r="CF1059">
        <v>0</v>
      </c>
      <c r="CG1059">
        <v>0</v>
      </c>
      <c r="CH1059">
        <v>0</v>
      </c>
      <c r="CI1059">
        <v>0</v>
      </c>
      <c r="CJ1059">
        <v>0</v>
      </c>
      <c r="CK1059">
        <v>0</v>
      </c>
      <c r="CL1059">
        <v>0</v>
      </c>
      <c r="CM1059">
        <v>0</v>
      </c>
      <c r="CR1059" t="s">
        <v>2324</v>
      </c>
      <c r="CS1059" s="1369" t="str">
        <f>INDEX([8]Sheet1!$H:$H,MATCH(CR:CR,[8]Sheet1!$AU:$AU,0))</f>
        <v>Finance</v>
      </c>
    </row>
    <row r="1060" spans="1:97" x14ac:dyDescent="0.2">
      <c r="A1060" t="s">
        <v>3930</v>
      </c>
      <c r="B1060">
        <v>1124</v>
      </c>
      <c r="C1060" t="s">
        <v>3930</v>
      </c>
      <c r="D1060">
        <v>30347</v>
      </c>
      <c r="E1060" t="s">
        <v>3419</v>
      </c>
      <c r="F1060" t="s">
        <v>2364</v>
      </c>
      <c r="G1060" t="s">
        <v>2364</v>
      </c>
      <c r="H1060" t="s">
        <v>2365</v>
      </c>
      <c r="I1060" t="s">
        <v>2365</v>
      </c>
      <c r="J1060" t="s">
        <v>2365</v>
      </c>
      <c r="K1060" t="s">
        <v>2365</v>
      </c>
      <c r="L1060">
        <v>1200</v>
      </c>
      <c r="M1060" t="s">
        <v>1480</v>
      </c>
      <c r="N1060">
        <v>1204</v>
      </c>
      <c r="O1060" t="s">
        <v>1487</v>
      </c>
      <c r="P1060" t="s">
        <v>2366</v>
      </c>
      <c r="Q1060" t="s">
        <v>2364</v>
      </c>
      <c r="R1060" t="s">
        <v>2364</v>
      </c>
      <c r="S1060" t="s">
        <v>553</v>
      </c>
      <c r="T1060" t="s">
        <v>2175</v>
      </c>
      <c r="U1060">
        <v>140</v>
      </c>
      <c r="V1060" t="s">
        <v>693</v>
      </c>
      <c r="W1060">
        <v>140</v>
      </c>
      <c r="X1060" t="s">
        <v>693</v>
      </c>
      <c r="Y1060" t="s">
        <v>2365</v>
      </c>
      <c r="Z1060" t="s">
        <v>2365</v>
      </c>
      <c r="AA1060" t="s">
        <v>2365</v>
      </c>
      <c r="AB1060" t="s">
        <v>2365</v>
      </c>
      <c r="AC1060" s="813" t="s">
        <v>2365</v>
      </c>
      <c r="AD1060" s="813" t="s">
        <v>2365</v>
      </c>
      <c r="AE1060" s="813" t="s">
        <v>2365</v>
      </c>
      <c r="AF1060" t="s">
        <v>2365</v>
      </c>
      <c r="AG1060" t="s">
        <v>2365</v>
      </c>
      <c r="AH1060" t="s">
        <v>2365</v>
      </c>
      <c r="AI1060" t="s">
        <v>2365</v>
      </c>
      <c r="AJ1060" t="s">
        <v>2365</v>
      </c>
      <c r="AK1060" t="s">
        <v>2366</v>
      </c>
      <c r="AL1060" t="s">
        <v>2366</v>
      </c>
      <c r="AM1060" t="s">
        <v>2366</v>
      </c>
      <c r="AN1060" t="s">
        <v>2366</v>
      </c>
      <c r="AR1060" t="s">
        <v>2365</v>
      </c>
      <c r="AS1060" t="s">
        <v>2365</v>
      </c>
      <c r="AT1060" t="s">
        <v>2365</v>
      </c>
      <c r="AU1060" t="s">
        <v>2365</v>
      </c>
      <c r="AV1060" t="s">
        <v>2365</v>
      </c>
      <c r="AW1060" t="s">
        <v>2365</v>
      </c>
      <c r="AX1060" t="s">
        <v>2365</v>
      </c>
      <c r="AY1060" t="s">
        <v>2365</v>
      </c>
      <c r="AZ1060" t="s">
        <v>2365</v>
      </c>
      <c r="BA1060" t="s">
        <v>2365</v>
      </c>
      <c r="BB1060" t="s">
        <v>2365</v>
      </c>
      <c r="BC1060" t="s">
        <v>2365</v>
      </c>
      <c r="BD1060" t="s">
        <v>2366</v>
      </c>
      <c r="BE1060" t="s">
        <v>2365</v>
      </c>
      <c r="BF1060" t="s">
        <v>2365</v>
      </c>
      <c r="BG1060" t="s">
        <v>2365</v>
      </c>
      <c r="BH1060" t="s">
        <v>2365</v>
      </c>
      <c r="BI1060" t="s">
        <v>2366</v>
      </c>
      <c r="BJ1060" t="s">
        <v>2365</v>
      </c>
      <c r="BK1060" t="s">
        <v>2365</v>
      </c>
      <c r="BL1060" t="s">
        <v>2365</v>
      </c>
      <c r="BM1060" t="s">
        <v>2365</v>
      </c>
      <c r="BO1060">
        <v>1</v>
      </c>
      <c r="BP1060">
        <v>11</v>
      </c>
      <c r="BQ1060" t="s">
        <v>2369</v>
      </c>
      <c r="BR1060" t="s">
        <v>1487</v>
      </c>
      <c r="BU1060">
        <v>0</v>
      </c>
      <c r="BV1060">
        <v>0</v>
      </c>
      <c r="BW1060">
        <v>0</v>
      </c>
      <c r="BX1060">
        <v>0</v>
      </c>
      <c r="BY1060" s="1371">
        <v>0</v>
      </c>
      <c r="BZ1060" s="1371">
        <v>0</v>
      </c>
      <c r="CA1060">
        <v>0</v>
      </c>
      <c r="CB1060">
        <v>0</v>
      </c>
      <c r="CC1060">
        <v>0</v>
      </c>
      <c r="CD1060">
        <v>0</v>
      </c>
      <c r="CE1060">
        <v>0</v>
      </c>
      <c r="CF1060">
        <v>0</v>
      </c>
      <c r="CG1060">
        <v>0</v>
      </c>
      <c r="CH1060">
        <v>0</v>
      </c>
      <c r="CI1060">
        <v>0</v>
      </c>
      <c r="CJ1060">
        <v>0</v>
      </c>
      <c r="CK1060">
        <v>0</v>
      </c>
      <c r="CL1060">
        <v>0</v>
      </c>
      <c r="CM1060">
        <v>0</v>
      </c>
      <c r="CR1060" t="s">
        <v>2324</v>
      </c>
      <c r="CS1060" s="1369" t="str">
        <f>INDEX([8]Sheet1!$H:$H,MATCH(CR:CR,[8]Sheet1!$AU:$AU,0))</f>
        <v>Finance</v>
      </c>
    </row>
    <row r="1061" spans="1:97" x14ac:dyDescent="0.2">
      <c r="A1061" t="s">
        <v>3931</v>
      </c>
      <c r="B1061">
        <v>1125</v>
      </c>
      <c r="C1061" t="s">
        <v>3931</v>
      </c>
      <c r="D1061">
        <v>30348</v>
      </c>
      <c r="E1061" t="s">
        <v>3421</v>
      </c>
      <c r="F1061" t="s">
        <v>2364</v>
      </c>
      <c r="G1061" t="s">
        <v>2364</v>
      </c>
      <c r="H1061" t="s">
        <v>2365</v>
      </c>
      <c r="I1061" t="s">
        <v>2365</v>
      </c>
      <c r="J1061" t="s">
        <v>2365</v>
      </c>
      <c r="K1061" t="s">
        <v>2365</v>
      </c>
      <c r="L1061">
        <v>1200</v>
      </c>
      <c r="M1061" t="s">
        <v>1480</v>
      </c>
      <c r="N1061">
        <v>1204</v>
      </c>
      <c r="O1061" t="s">
        <v>1487</v>
      </c>
      <c r="P1061" t="s">
        <v>2366</v>
      </c>
      <c r="Q1061" t="s">
        <v>2364</v>
      </c>
      <c r="R1061" t="s">
        <v>2364</v>
      </c>
      <c r="S1061" t="s">
        <v>553</v>
      </c>
      <c r="T1061" t="s">
        <v>2175</v>
      </c>
      <c r="U1061">
        <v>140</v>
      </c>
      <c r="V1061" t="s">
        <v>693</v>
      </c>
      <c r="W1061">
        <v>140</v>
      </c>
      <c r="X1061" t="s">
        <v>693</v>
      </c>
      <c r="Y1061" t="s">
        <v>2365</v>
      </c>
      <c r="Z1061" t="s">
        <v>2365</v>
      </c>
      <c r="AA1061" t="s">
        <v>2365</v>
      </c>
      <c r="AB1061" t="s">
        <v>2365</v>
      </c>
      <c r="AC1061" s="813" t="s">
        <v>2365</v>
      </c>
      <c r="AD1061" s="813" t="s">
        <v>2365</v>
      </c>
      <c r="AE1061" s="813" t="s">
        <v>2365</v>
      </c>
      <c r="AF1061" t="s">
        <v>2365</v>
      </c>
      <c r="AG1061" t="s">
        <v>2365</v>
      </c>
      <c r="AH1061" t="s">
        <v>2365</v>
      </c>
      <c r="AI1061" t="s">
        <v>2365</v>
      </c>
      <c r="AJ1061" t="s">
        <v>2365</v>
      </c>
      <c r="AK1061" t="s">
        <v>2366</v>
      </c>
      <c r="AL1061" t="s">
        <v>2366</v>
      </c>
      <c r="AM1061" t="s">
        <v>2366</v>
      </c>
      <c r="AN1061" t="s">
        <v>2366</v>
      </c>
      <c r="AR1061" t="s">
        <v>2365</v>
      </c>
      <c r="AS1061" t="s">
        <v>2365</v>
      </c>
      <c r="AT1061" t="s">
        <v>2365</v>
      </c>
      <c r="AU1061" t="s">
        <v>2365</v>
      </c>
      <c r="AV1061" t="s">
        <v>2365</v>
      </c>
      <c r="AW1061" t="s">
        <v>2365</v>
      </c>
      <c r="AX1061" t="s">
        <v>2365</v>
      </c>
      <c r="AY1061" t="s">
        <v>2365</v>
      </c>
      <c r="AZ1061" t="s">
        <v>2365</v>
      </c>
      <c r="BA1061" t="s">
        <v>2365</v>
      </c>
      <c r="BB1061" t="s">
        <v>2365</v>
      </c>
      <c r="BC1061" t="s">
        <v>2365</v>
      </c>
      <c r="BD1061" t="s">
        <v>2366</v>
      </c>
      <c r="BE1061" t="s">
        <v>2365</v>
      </c>
      <c r="BF1061" t="s">
        <v>2365</v>
      </c>
      <c r="BG1061" t="s">
        <v>2365</v>
      </c>
      <c r="BH1061" t="s">
        <v>2365</v>
      </c>
      <c r="BI1061" t="s">
        <v>2366</v>
      </c>
      <c r="BJ1061" t="s">
        <v>2365</v>
      </c>
      <c r="BK1061" t="s">
        <v>2365</v>
      </c>
      <c r="BL1061" t="s">
        <v>2365</v>
      </c>
      <c r="BM1061" t="s">
        <v>2365</v>
      </c>
      <c r="BO1061">
        <v>1</v>
      </c>
      <c r="BP1061">
        <v>11</v>
      </c>
      <c r="BQ1061" t="s">
        <v>2369</v>
      </c>
      <c r="BR1061" t="s">
        <v>1487</v>
      </c>
      <c r="BU1061">
        <v>0</v>
      </c>
      <c r="BV1061">
        <v>0</v>
      </c>
      <c r="BW1061">
        <v>0</v>
      </c>
      <c r="BX1061">
        <v>0</v>
      </c>
      <c r="BY1061">
        <v>0</v>
      </c>
      <c r="BZ1061">
        <v>0</v>
      </c>
      <c r="CA1061">
        <v>0</v>
      </c>
      <c r="CB1061">
        <v>0</v>
      </c>
      <c r="CC1061">
        <v>0</v>
      </c>
      <c r="CD1061">
        <v>0</v>
      </c>
      <c r="CE1061">
        <v>0</v>
      </c>
      <c r="CF1061">
        <v>0</v>
      </c>
      <c r="CG1061">
        <v>0</v>
      </c>
      <c r="CH1061">
        <v>0</v>
      </c>
      <c r="CI1061">
        <v>0</v>
      </c>
      <c r="CJ1061">
        <v>0</v>
      </c>
      <c r="CK1061">
        <v>0</v>
      </c>
      <c r="CL1061">
        <v>0</v>
      </c>
      <c r="CM1061">
        <v>0</v>
      </c>
      <c r="CR1061" t="s">
        <v>2324</v>
      </c>
      <c r="CS1061" s="1369" t="str">
        <f>INDEX([8]Sheet1!$H:$H,MATCH(CR:CR,[8]Sheet1!$AU:$AU,0))</f>
        <v>Finance</v>
      </c>
    </row>
    <row r="1062" spans="1:97" x14ac:dyDescent="0.2">
      <c r="A1062" t="s">
        <v>3932</v>
      </c>
      <c r="B1062">
        <v>1126</v>
      </c>
      <c r="C1062" t="s">
        <v>3932</v>
      </c>
      <c r="D1062">
        <v>30349</v>
      </c>
      <c r="E1062" t="s">
        <v>3423</v>
      </c>
      <c r="F1062" t="s">
        <v>2364</v>
      </c>
      <c r="G1062" t="s">
        <v>2364</v>
      </c>
      <c r="H1062" t="s">
        <v>2365</v>
      </c>
      <c r="I1062" t="s">
        <v>2365</v>
      </c>
      <c r="J1062" t="s">
        <v>2365</v>
      </c>
      <c r="K1062" t="s">
        <v>2365</v>
      </c>
      <c r="L1062">
        <v>1200</v>
      </c>
      <c r="M1062" t="s">
        <v>1480</v>
      </c>
      <c r="N1062">
        <v>1204</v>
      </c>
      <c r="O1062" t="s">
        <v>1487</v>
      </c>
      <c r="P1062" t="s">
        <v>2366</v>
      </c>
      <c r="Q1062" t="s">
        <v>2364</v>
      </c>
      <c r="R1062" t="s">
        <v>2364</v>
      </c>
      <c r="S1062" t="s">
        <v>553</v>
      </c>
      <c r="T1062" t="s">
        <v>2175</v>
      </c>
      <c r="U1062">
        <v>140</v>
      </c>
      <c r="V1062" t="s">
        <v>693</v>
      </c>
      <c r="W1062">
        <v>140</v>
      </c>
      <c r="X1062" t="s">
        <v>693</v>
      </c>
      <c r="Y1062" t="s">
        <v>2365</v>
      </c>
      <c r="Z1062" t="s">
        <v>2365</v>
      </c>
      <c r="AA1062" t="s">
        <v>2365</v>
      </c>
      <c r="AB1062" t="s">
        <v>2365</v>
      </c>
      <c r="AC1062" s="813" t="s">
        <v>2365</v>
      </c>
      <c r="AD1062" s="813" t="s">
        <v>2365</v>
      </c>
      <c r="AE1062" s="813" t="s">
        <v>2365</v>
      </c>
      <c r="AF1062" t="s">
        <v>2365</v>
      </c>
      <c r="AG1062" t="s">
        <v>2365</v>
      </c>
      <c r="AH1062" t="s">
        <v>2365</v>
      </c>
      <c r="AI1062" t="s">
        <v>2365</v>
      </c>
      <c r="AJ1062" t="s">
        <v>2365</v>
      </c>
      <c r="AK1062" t="s">
        <v>2366</v>
      </c>
      <c r="AL1062" t="s">
        <v>2366</v>
      </c>
      <c r="AM1062" t="s">
        <v>2366</v>
      </c>
      <c r="AN1062" t="s">
        <v>2366</v>
      </c>
      <c r="AR1062" t="s">
        <v>2365</v>
      </c>
      <c r="AS1062" t="s">
        <v>2365</v>
      </c>
      <c r="AT1062" t="s">
        <v>2365</v>
      </c>
      <c r="AU1062" t="s">
        <v>2365</v>
      </c>
      <c r="AV1062" t="s">
        <v>2365</v>
      </c>
      <c r="AW1062" t="s">
        <v>2365</v>
      </c>
      <c r="AX1062" t="s">
        <v>2365</v>
      </c>
      <c r="AY1062" t="s">
        <v>2365</v>
      </c>
      <c r="AZ1062" t="s">
        <v>2365</v>
      </c>
      <c r="BA1062" t="s">
        <v>2365</v>
      </c>
      <c r="BB1062" t="s">
        <v>2365</v>
      </c>
      <c r="BC1062" t="s">
        <v>2365</v>
      </c>
      <c r="BD1062" t="s">
        <v>2366</v>
      </c>
      <c r="BE1062" t="s">
        <v>2365</v>
      </c>
      <c r="BF1062" t="s">
        <v>2365</v>
      </c>
      <c r="BG1062" t="s">
        <v>2365</v>
      </c>
      <c r="BH1062" t="s">
        <v>2365</v>
      </c>
      <c r="BI1062" t="s">
        <v>2366</v>
      </c>
      <c r="BJ1062" t="s">
        <v>2365</v>
      </c>
      <c r="BK1062" t="s">
        <v>2365</v>
      </c>
      <c r="BL1062" t="s">
        <v>2365</v>
      </c>
      <c r="BM1062" t="s">
        <v>2365</v>
      </c>
      <c r="BO1062">
        <v>1</v>
      </c>
      <c r="BP1062">
        <v>11</v>
      </c>
      <c r="BQ1062" t="s">
        <v>2369</v>
      </c>
      <c r="BR1062" t="s">
        <v>1487</v>
      </c>
      <c r="BU1062">
        <v>0</v>
      </c>
      <c r="BV1062">
        <v>0</v>
      </c>
      <c r="BW1062">
        <v>0</v>
      </c>
      <c r="BX1062">
        <v>0</v>
      </c>
      <c r="BY1062" s="1371">
        <v>0</v>
      </c>
      <c r="BZ1062" s="1371">
        <v>0</v>
      </c>
      <c r="CA1062">
        <v>0</v>
      </c>
      <c r="CB1062">
        <v>0</v>
      </c>
      <c r="CC1062">
        <v>0</v>
      </c>
      <c r="CD1062">
        <v>0</v>
      </c>
      <c r="CE1062">
        <v>0</v>
      </c>
      <c r="CF1062">
        <v>0</v>
      </c>
      <c r="CG1062">
        <v>0</v>
      </c>
      <c r="CH1062">
        <v>0</v>
      </c>
      <c r="CI1062">
        <v>0</v>
      </c>
      <c r="CJ1062">
        <v>0</v>
      </c>
      <c r="CK1062">
        <v>0</v>
      </c>
      <c r="CL1062">
        <v>0</v>
      </c>
      <c r="CM1062">
        <v>0</v>
      </c>
      <c r="CR1062" t="s">
        <v>2324</v>
      </c>
      <c r="CS1062" s="1369" t="str">
        <f>INDEX([8]Sheet1!$H:$H,MATCH(CR:CR,[8]Sheet1!$AU:$AU,0))</f>
        <v>Finance</v>
      </c>
    </row>
    <row r="1063" spans="1:97" x14ac:dyDescent="0.2">
      <c r="A1063" t="s">
        <v>3933</v>
      </c>
      <c r="B1063">
        <v>1127</v>
      </c>
      <c r="C1063" t="s">
        <v>3933</v>
      </c>
      <c r="D1063">
        <v>30350</v>
      </c>
      <c r="E1063" t="s">
        <v>3673</v>
      </c>
      <c r="F1063" t="s">
        <v>2364</v>
      </c>
      <c r="G1063" t="s">
        <v>2364</v>
      </c>
      <c r="H1063" t="s">
        <v>2365</v>
      </c>
      <c r="I1063" t="s">
        <v>2365</v>
      </c>
      <c r="J1063" t="s">
        <v>2365</v>
      </c>
      <c r="K1063" t="s">
        <v>2365</v>
      </c>
      <c r="L1063">
        <v>1200</v>
      </c>
      <c r="M1063" t="s">
        <v>1480</v>
      </c>
      <c r="N1063">
        <v>1204</v>
      </c>
      <c r="O1063" t="s">
        <v>1487</v>
      </c>
      <c r="P1063" t="s">
        <v>2366</v>
      </c>
      <c r="Q1063" t="s">
        <v>2364</v>
      </c>
      <c r="R1063" t="s">
        <v>2364</v>
      </c>
      <c r="S1063" t="s">
        <v>553</v>
      </c>
      <c r="T1063" t="s">
        <v>2175</v>
      </c>
      <c r="U1063" t="s">
        <v>2366</v>
      </c>
      <c r="V1063" t="s">
        <v>2366</v>
      </c>
      <c r="W1063" t="s">
        <v>2366</v>
      </c>
      <c r="X1063" t="s">
        <v>2366</v>
      </c>
      <c r="Y1063" t="s">
        <v>2365</v>
      </c>
      <c r="Z1063" t="s">
        <v>2365</v>
      </c>
      <c r="AA1063" t="s">
        <v>2365</v>
      </c>
      <c r="AB1063" t="s">
        <v>2365</v>
      </c>
      <c r="AC1063" s="813" t="s">
        <v>2365</v>
      </c>
      <c r="AD1063" s="813" t="s">
        <v>2365</v>
      </c>
      <c r="AE1063" s="813" t="s">
        <v>2365</v>
      </c>
      <c r="AF1063" t="s">
        <v>2365</v>
      </c>
      <c r="AG1063" t="s">
        <v>2365</v>
      </c>
      <c r="AH1063" t="s">
        <v>2365</v>
      </c>
      <c r="AI1063" t="s">
        <v>2365</v>
      </c>
      <c r="AJ1063" t="s">
        <v>2365</v>
      </c>
      <c r="AK1063">
        <v>146</v>
      </c>
      <c r="AL1063" t="s">
        <v>1199</v>
      </c>
      <c r="AM1063">
        <v>146</v>
      </c>
      <c r="AN1063" t="s">
        <v>1199</v>
      </c>
      <c r="AR1063" t="s">
        <v>2365</v>
      </c>
      <c r="AS1063" t="s">
        <v>2365</v>
      </c>
      <c r="AT1063" t="s">
        <v>2365</v>
      </c>
      <c r="AU1063" t="s">
        <v>2365</v>
      </c>
      <c r="AV1063" t="s">
        <v>2365</v>
      </c>
      <c r="AW1063" t="s">
        <v>2365</v>
      </c>
      <c r="AX1063" t="s">
        <v>2365</v>
      </c>
      <c r="AY1063" t="s">
        <v>2365</v>
      </c>
      <c r="AZ1063" t="s">
        <v>2365</v>
      </c>
      <c r="BA1063" t="s">
        <v>2365</v>
      </c>
      <c r="BB1063" t="s">
        <v>2365</v>
      </c>
      <c r="BC1063" t="s">
        <v>2365</v>
      </c>
      <c r="BD1063" t="s">
        <v>2366</v>
      </c>
      <c r="BE1063" t="s">
        <v>2365</v>
      </c>
      <c r="BF1063" t="s">
        <v>2365</v>
      </c>
      <c r="BG1063" t="s">
        <v>2365</v>
      </c>
      <c r="BH1063" t="s">
        <v>2365</v>
      </c>
      <c r="BI1063" t="s">
        <v>2366</v>
      </c>
      <c r="BJ1063" t="s">
        <v>2365</v>
      </c>
      <c r="BK1063" t="s">
        <v>2365</v>
      </c>
      <c r="BL1063" t="s">
        <v>2365</v>
      </c>
      <c r="BM1063" t="s">
        <v>2365</v>
      </c>
      <c r="BO1063">
        <v>1</v>
      </c>
      <c r="BP1063">
        <v>11</v>
      </c>
      <c r="BQ1063" t="s">
        <v>2369</v>
      </c>
      <c r="BR1063" t="s">
        <v>1487</v>
      </c>
      <c r="BU1063">
        <v>0</v>
      </c>
      <c r="BV1063">
        <v>0</v>
      </c>
      <c r="BW1063">
        <v>0</v>
      </c>
      <c r="BX1063">
        <v>0</v>
      </c>
      <c r="BY1063">
        <v>0</v>
      </c>
      <c r="BZ1063">
        <v>0</v>
      </c>
      <c r="CA1063">
        <v>0</v>
      </c>
      <c r="CB1063">
        <v>0</v>
      </c>
      <c r="CC1063">
        <v>0</v>
      </c>
      <c r="CD1063">
        <v>0</v>
      </c>
      <c r="CE1063">
        <v>0</v>
      </c>
      <c r="CF1063">
        <v>0</v>
      </c>
      <c r="CG1063">
        <v>0</v>
      </c>
      <c r="CH1063">
        <v>0</v>
      </c>
      <c r="CI1063">
        <v>0</v>
      </c>
      <c r="CJ1063">
        <v>0</v>
      </c>
      <c r="CK1063">
        <v>0</v>
      </c>
      <c r="CL1063">
        <v>0</v>
      </c>
      <c r="CM1063">
        <v>0</v>
      </c>
      <c r="CR1063" t="s">
        <v>2324</v>
      </c>
      <c r="CS1063" s="1369" t="str">
        <f>INDEX([8]Sheet1!$H:$H,MATCH(CR:CR,[8]Sheet1!$AU:$AU,0))</f>
        <v>Finance</v>
      </c>
    </row>
    <row r="1064" spans="1:97" x14ac:dyDescent="0.2">
      <c r="A1064" t="s">
        <v>3934</v>
      </c>
      <c r="B1064">
        <v>1128</v>
      </c>
      <c r="C1064" t="s">
        <v>3934</v>
      </c>
      <c r="D1064">
        <v>30351</v>
      </c>
      <c r="E1064" t="s">
        <v>3679</v>
      </c>
      <c r="F1064" t="s">
        <v>2364</v>
      </c>
      <c r="G1064" t="s">
        <v>2364</v>
      </c>
      <c r="H1064" t="s">
        <v>2365</v>
      </c>
      <c r="I1064" t="s">
        <v>2365</v>
      </c>
      <c r="J1064" t="s">
        <v>2365</v>
      </c>
      <c r="K1064" t="s">
        <v>2365</v>
      </c>
      <c r="L1064">
        <v>1200</v>
      </c>
      <c r="M1064" t="s">
        <v>1480</v>
      </c>
      <c r="N1064">
        <v>1204</v>
      </c>
      <c r="O1064" t="s">
        <v>1487</v>
      </c>
      <c r="P1064" t="s">
        <v>2366</v>
      </c>
      <c r="Q1064" t="s">
        <v>2364</v>
      </c>
      <c r="R1064" t="s">
        <v>2364</v>
      </c>
      <c r="S1064" t="s">
        <v>553</v>
      </c>
      <c r="T1064" t="s">
        <v>2175</v>
      </c>
      <c r="U1064" t="s">
        <v>2366</v>
      </c>
      <c r="V1064" t="s">
        <v>2366</v>
      </c>
      <c r="W1064" t="s">
        <v>2366</v>
      </c>
      <c r="X1064" t="s">
        <v>2366</v>
      </c>
      <c r="Y1064" t="s">
        <v>2365</v>
      </c>
      <c r="Z1064" t="s">
        <v>2365</v>
      </c>
      <c r="AA1064" t="s">
        <v>2365</v>
      </c>
      <c r="AB1064" t="s">
        <v>2365</v>
      </c>
      <c r="AC1064" s="813" t="s">
        <v>2365</v>
      </c>
      <c r="AD1064" s="813" t="s">
        <v>2365</v>
      </c>
      <c r="AE1064" s="813" t="s">
        <v>2365</v>
      </c>
      <c r="AF1064" t="s">
        <v>2365</v>
      </c>
      <c r="AG1064" t="s">
        <v>2365</v>
      </c>
      <c r="AH1064" t="s">
        <v>2365</v>
      </c>
      <c r="AI1064" t="s">
        <v>2365</v>
      </c>
      <c r="AJ1064" t="s">
        <v>2365</v>
      </c>
      <c r="AK1064">
        <v>146</v>
      </c>
      <c r="AL1064" t="s">
        <v>1199</v>
      </c>
      <c r="AM1064">
        <v>146</v>
      </c>
      <c r="AN1064" t="s">
        <v>1199</v>
      </c>
      <c r="AR1064" t="s">
        <v>2365</v>
      </c>
      <c r="AS1064" t="s">
        <v>2365</v>
      </c>
      <c r="AT1064" t="s">
        <v>2365</v>
      </c>
      <c r="AU1064" t="s">
        <v>2365</v>
      </c>
      <c r="AV1064" t="s">
        <v>2365</v>
      </c>
      <c r="AW1064" t="s">
        <v>2365</v>
      </c>
      <c r="AX1064" t="s">
        <v>2365</v>
      </c>
      <c r="AY1064" t="s">
        <v>2365</v>
      </c>
      <c r="AZ1064" t="s">
        <v>2365</v>
      </c>
      <c r="BA1064" t="s">
        <v>2365</v>
      </c>
      <c r="BB1064" t="s">
        <v>2365</v>
      </c>
      <c r="BC1064" t="s">
        <v>2365</v>
      </c>
      <c r="BD1064" t="s">
        <v>2366</v>
      </c>
      <c r="BE1064" t="s">
        <v>2365</v>
      </c>
      <c r="BF1064" t="s">
        <v>2365</v>
      </c>
      <c r="BG1064" t="s">
        <v>2365</v>
      </c>
      <c r="BH1064" t="s">
        <v>2365</v>
      </c>
      <c r="BI1064" t="s">
        <v>2366</v>
      </c>
      <c r="BJ1064" t="s">
        <v>2365</v>
      </c>
      <c r="BK1064" t="s">
        <v>2365</v>
      </c>
      <c r="BL1064" t="s">
        <v>2365</v>
      </c>
      <c r="BM1064" t="s">
        <v>2365</v>
      </c>
      <c r="BO1064">
        <v>1</v>
      </c>
      <c r="BP1064">
        <v>11</v>
      </c>
      <c r="BQ1064" t="s">
        <v>2369</v>
      </c>
      <c r="BR1064" t="s">
        <v>1487</v>
      </c>
      <c r="BU1064">
        <v>0</v>
      </c>
      <c r="BV1064">
        <v>0</v>
      </c>
      <c r="BW1064">
        <v>0</v>
      </c>
      <c r="BX1064">
        <v>0</v>
      </c>
      <c r="BY1064">
        <v>0</v>
      </c>
      <c r="BZ1064">
        <v>0</v>
      </c>
      <c r="CA1064">
        <v>0</v>
      </c>
      <c r="CB1064">
        <v>0</v>
      </c>
      <c r="CC1064">
        <v>0</v>
      </c>
      <c r="CD1064">
        <v>0</v>
      </c>
      <c r="CE1064">
        <v>0</v>
      </c>
      <c r="CF1064">
        <v>0</v>
      </c>
      <c r="CG1064">
        <v>0</v>
      </c>
      <c r="CH1064">
        <v>0</v>
      </c>
      <c r="CI1064">
        <v>0</v>
      </c>
      <c r="CJ1064">
        <v>0</v>
      </c>
      <c r="CK1064">
        <v>0</v>
      </c>
      <c r="CL1064">
        <v>0</v>
      </c>
      <c r="CM1064">
        <v>0</v>
      </c>
      <c r="CR1064" t="s">
        <v>2324</v>
      </c>
      <c r="CS1064" s="1369" t="str">
        <f>INDEX([8]Sheet1!$H:$H,MATCH(CR:CR,[8]Sheet1!$AU:$AU,0))</f>
        <v>Finance</v>
      </c>
    </row>
    <row r="1065" spans="1:97" x14ac:dyDescent="0.2">
      <c r="A1065" t="s">
        <v>3935</v>
      </c>
      <c r="B1065">
        <v>1129</v>
      </c>
      <c r="C1065" t="s">
        <v>3935</v>
      </c>
      <c r="D1065">
        <v>30352</v>
      </c>
      <c r="E1065" t="s">
        <v>3757</v>
      </c>
      <c r="F1065" t="s">
        <v>2364</v>
      </c>
      <c r="G1065" t="s">
        <v>2364</v>
      </c>
      <c r="H1065" t="s">
        <v>2365</v>
      </c>
      <c r="I1065" t="s">
        <v>2365</v>
      </c>
      <c r="J1065" t="s">
        <v>2365</v>
      </c>
      <c r="K1065" t="s">
        <v>2365</v>
      </c>
      <c r="L1065">
        <v>1200</v>
      </c>
      <c r="M1065" t="s">
        <v>1480</v>
      </c>
      <c r="N1065">
        <v>1204</v>
      </c>
      <c r="O1065" t="s">
        <v>1487</v>
      </c>
      <c r="P1065" t="s">
        <v>2366</v>
      </c>
      <c r="Q1065" t="s">
        <v>2364</v>
      </c>
      <c r="R1065" t="s">
        <v>2364</v>
      </c>
      <c r="S1065" t="s">
        <v>553</v>
      </c>
      <c r="T1065" t="s">
        <v>2175</v>
      </c>
      <c r="U1065">
        <v>140</v>
      </c>
      <c r="V1065" t="s">
        <v>693</v>
      </c>
      <c r="W1065">
        <v>140</v>
      </c>
      <c r="X1065" t="s">
        <v>693</v>
      </c>
      <c r="Y1065" t="s">
        <v>2365</v>
      </c>
      <c r="Z1065" t="s">
        <v>2365</v>
      </c>
      <c r="AA1065" t="s">
        <v>2365</v>
      </c>
      <c r="AB1065" t="s">
        <v>2365</v>
      </c>
      <c r="AC1065" s="813" t="s">
        <v>2365</v>
      </c>
      <c r="AD1065" s="813" t="s">
        <v>2365</v>
      </c>
      <c r="AE1065" s="813" t="s">
        <v>2365</v>
      </c>
      <c r="AF1065" t="s">
        <v>2365</v>
      </c>
      <c r="AG1065" t="s">
        <v>2365</v>
      </c>
      <c r="AH1065" t="s">
        <v>2365</v>
      </c>
      <c r="AI1065" t="s">
        <v>2365</v>
      </c>
      <c r="AJ1065" t="s">
        <v>2365</v>
      </c>
      <c r="AK1065" t="s">
        <v>2366</v>
      </c>
      <c r="AL1065" t="s">
        <v>2366</v>
      </c>
      <c r="AM1065" t="s">
        <v>2366</v>
      </c>
      <c r="AN1065" t="s">
        <v>2366</v>
      </c>
      <c r="AR1065" t="s">
        <v>2365</v>
      </c>
      <c r="AS1065" t="s">
        <v>2365</v>
      </c>
      <c r="AT1065" t="s">
        <v>2365</v>
      </c>
      <c r="AU1065" t="s">
        <v>2365</v>
      </c>
      <c r="AV1065" t="s">
        <v>2365</v>
      </c>
      <c r="AW1065" t="s">
        <v>2365</v>
      </c>
      <c r="AX1065" t="s">
        <v>2365</v>
      </c>
      <c r="AY1065" t="s">
        <v>2365</v>
      </c>
      <c r="AZ1065" t="s">
        <v>2365</v>
      </c>
      <c r="BA1065" t="s">
        <v>2365</v>
      </c>
      <c r="BB1065" t="s">
        <v>2365</v>
      </c>
      <c r="BC1065" t="s">
        <v>2365</v>
      </c>
      <c r="BD1065" t="s">
        <v>2366</v>
      </c>
      <c r="BE1065" t="s">
        <v>2365</v>
      </c>
      <c r="BF1065" t="s">
        <v>2365</v>
      </c>
      <c r="BG1065" t="s">
        <v>2365</v>
      </c>
      <c r="BH1065" t="s">
        <v>2365</v>
      </c>
      <c r="BI1065" t="s">
        <v>2366</v>
      </c>
      <c r="BJ1065" t="s">
        <v>2365</v>
      </c>
      <c r="BK1065" t="s">
        <v>2365</v>
      </c>
      <c r="BL1065" t="s">
        <v>2365</v>
      </c>
      <c r="BM1065" t="s">
        <v>2365</v>
      </c>
      <c r="BO1065">
        <v>1</v>
      </c>
      <c r="BP1065">
        <v>11</v>
      </c>
      <c r="BQ1065" t="s">
        <v>2369</v>
      </c>
      <c r="BR1065" t="s">
        <v>1487</v>
      </c>
      <c r="BU1065">
        <v>0</v>
      </c>
      <c r="BV1065">
        <v>0</v>
      </c>
      <c r="BW1065">
        <v>0</v>
      </c>
      <c r="BX1065">
        <v>0</v>
      </c>
      <c r="BY1065">
        <v>0</v>
      </c>
      <c r="BZ1065">
        <v>0</v>
      </c>
      <c r="CA1065">
        <v>0</v>
      </c>
      <c r="CB1065">
        <v>0</v>
      </c>
      <c r="CC1065">
        <v>0</v>
      </c>
      <c r="CD1065">
        <v>0</v>
      </c>
      <c r="CE1065">
        <v>0</v>
      </c>
      <c r="CF1065">
        <v>0</v>
      </c>
      <c r="CG1065">
        <v>0</v>
      </c>
      <c r="CH1065">
        <v>0</v>
      </c>
      <c r="CI1065">
        <v>0</v>
      </c>
      <c r="CJ1065">
        <v>0</v>
      </c>
      <c r="CK1065">
        <v>0</v>
      </c>
      <c r="CL1065">
        <v>0</v>
      </c>
      <c r="CM1065">
        <v>0</v>
      </c>
      <c r="CR1065" t="s">
        <v>2324</v>
      </c>
      <c r="CS1065" s="1369" t="str">
        <f>INDEX([8]Sheet1!$H:$H,MATCH(CR:CR,[8]Sheet1!$AU:$AU,0))</f>
        <v>Finance</v>
      </c>
    </row>
    <row r="1066" spans="1:97" x14ac:dyDescent="0.2">
      <c r="A1066" t="s">
        <v>3936</v>
      </c>
      <c r="B1066">
        <v>1130</v>
      </c>
      <c r="C1066" t="s">
        <v>3936</v>
      </c>
      <c r="D1066">
        <v>30353</v>
      </c>
      <c r="E1066" t="s">
        <v>3759</v>
      </c>
      <c r="F1066" t="s">
        <v>2364</v>
      </c>
      <c r="G1066" t="s">
        <v>2364</v>
      </c>
      <c r="H1066" s="1373" t="s">
        <v>2365</v>
      </c>
      <c r="I1066" t="s">
        <v>2365</v>
      </c>
      <c r="J1066" t="s">
        <v>2365</v>
      </c>
      <c r="K1066" t="s">
        <v>2365</v>
      </c>
      <c r="L1066" s="1373">
        <v>1200</v>
      </c>
      <c r="M1066" t="s">
        <v>1480</v>
      </c>
      <c r="N1066">
        <v>1204</v>
      </c>
      <c r="O1066" t="s">
        <v>1487</v>
      </c>
      <c r="P1066" t="s">
        <v>2366</v>
      </c>
      <c r="Q1066" t="s">
        <v>2364</v>
      </c>
      <c r="R1066" t="s">
        <v>2364</v>
      </c>
      <c r="S1066" t="s">
        <v>553</v>
      </c>
      <c r="T1066" t="s">
        <v>2175</v>
      </c>
      <c r="U1066">
        <v>140</v>
      </c>
      <c r="V1066" t="s">
        <v>693</v>
      </c>
      <c r="W1066">
        <v>140</v>
      </c>
      <c r="X1066" t="s">
        <v>693</v>
      </c>
      <c r="Y1066" t="s">
        <v>2365</v>
      </c>
      <c r="Z1066" t="s">
        <v>2365</v>
      </c>
      <c r="AA1066" t="s">
        <v>2365</v>
      </c>
      <c r="AB1066" t="s">
        <v>2365</v>
      </c>
      <c r="AC1066" s="813" t="s">
        <v>2365</v>
      </c>
      <c r="AD1066" s="813" t="s">
        <v>2365</v>
      </c>
      <c r="AE1066" s="813" t="s">
        <v>2365</v>
      </c>
      <c r="AF1066" t="s">
        <v>2365</v>
      </c>
      <c r="AG1066" t="s">
        <v>2365</v>
      </c>
      <c r="AH1066" t="s">
        <v>2365</v>
      </c>
      <c r="AI1066" t="s">
        <v>2365</v>
      </c>
      <c r="AJ1066" t="s">
        <v>2365</v>
      </c>
      <c r="AK1066" t="s">
        <v>2366</v>
      </c>
      <c r="AL1066" t="s">
        <v>2366</v>
      </c>
      <c r="AM1066" t="s">
        <v>2366</v>
      </c>
      <c r="AN1066" t="s">
        <v>2366</v>
      </c>
      <c r="AR1066" t="s">
        <v>2365</v>
      </c>
      <c r="AS1066" t="s">
        <v>2365</v>
      </c>
      <c r="AT1066" t="s">
        <v>2365</v>
      </c>
      <c r="AU1066" t="s">
        <v>2365</v>
      </c>
      <c r="AV1066" t="s">
        <v>2365</v>
      </c>
      <c r="AW1066" t="s">
        <v>2365</v>
      </c>
      <c r="AX1066" t="s">
        <v>2365</v>
      </c>
      <c r="AY1066" t="s">
        <v>2365</v>
      </c>
      <c r="AZ1066" t="s">
        <v>2365</v>
      </c>
      <c r="BA1066" t="s">
        <v>2365</v>
      </c>
      <c r="BB1066" t="s">
        <v>2365</v>
      </c>
      <c r="BC1066" t="s">
        <v>2365</v>
      </c>
      <c r="BD1066" t="s">
        <v>2366</v>
      </c>
      <c r="BE1066" t="s">
        <v>2365</v>
      </c>
      <c r="BF1066" t="s">
        <v>2365</v>
      </c>
      <c r="BG1066" t="s">
        <v>2365</v>
      </c>
      <c r="BH1066" t="s">
        <v>2365</v>
      </c>
      <c r="BI1066" t="s">
        <v>2366</v>
      </c>
      <c r="BJ1066" t="s">
        <v>2365</v>
      </c>
      <c r="BK1066" t="s">
        <v>2365</v>
      </c>
      <c r="BL1066" t="s">
        <v>2365</v>
      </c>
      <c r="BM1066" t="s">
        <v>2365</v>
      </c>
      <c r="BO1066">
        <v>1</v>
      </c>
      <c r="BP1066">
        <v>11</v>
      </c>
      <c r="BQ1066" t="s">
        <v>2369</v>
      </c>
      <c r="BR1066" t="s">
        <v>1487</v>
      </c>
      <c r="BU1066" s="1371">
        <v>0</v>
      </c>
      <c r="BV1066" s="1371">
        <v>0</v>
      </c>
      <c r="BW1066" s="1371">
        <v>0</v>
      </c>
      <c r="BX1066" s="1371">
        <v>0</v>
      </c>
      <c r="BY1066" s="1371">
        <v>0</v>
      </c>
      <c r="BZ1066" s="1371">
        <v>0</v>
      </c>
      <c r="CA1066">
        <v>0</v>
      </c>
      <c r="CB1066">
        <v>0</v>
      </c>
      <c r="CC1066">
        <v>0</v>
      </c>
      <c r="CD1066">
        <v>0</v>
      </c>
      <c r="CE1066">
        <v>0</v>
      </c>
      <c r="CF1066">
        <v>0</v>
      </c>
      <c r="CG1066">
        <v>0</v>
      </c>
      <c r="CH1066">
        <v>0</v>
      </c>
      <c r="CI1066">
        <v>0</v>
      </c>
      <c r="CJ1066">
        <v>0</v>
      </c>
      <c r="CK1066">
        <v>0</v>
      </c>
      <c r="CL1066">
        <v>0</v>
      </c>
      <c r="CM1066">
        <v>0</v>
      </c>
      <c r="CR1066" t="s">
        <v>2324</v>
      </c>
      <c r="CS1066" s="1369" t="str">
        <f>INDEX([8]Sheet1!$H:$H,MATCH(CR:CR,[8]Sheet1!$AU:$AU,0))</f>
        <v>Finance</v>
      </c>
    </row>
    <row r="1067" spans="1:97" x14ac:dyDescent="0.2">
      <c r="A1067" t="s">
        <v>3937</v>
      </c>
      <c r="B1067">
        <v>1131</v>
      </c>
      <c r="C1067" t="s">
        <v>3937</v>
      </c>
      <c r="D1067">
        <v>30354</v>
      </c>
      <c r="E1067" t="s">
        <v>3761</v>
      </c>
      <c r="F1067" t="s">
        <v>2364</v>
      </c>
      <c r="G1067" t="s">
        <v>2364</v>
      </c>
      <c r="H1067" s="1373" t="s">
        <v>2365</v>
      </c>
      <c r="I1067" t="s">
        <v>2365</v>
      </c>
      <c r="J1067" t="s">
        <v>2365</v>
      </c>
      <c r="K1067" t="s">
        <v>2365</v>
      </c>
      <c r="L1067" s="1373">
        <v>1200</v>
      </c>
      <c r="M1067" t="s">
        <v>1480</v>
      </c>
      <c r="N1067">
        <v>1204</v>
      </c>
      <c r="O1067" t="s">
        <v>1487</v>
      </c>
      <c r="P1067" t="s">
        <v>2366</v>
      </c>
      <c r="Q1067" t="s">
        <v>2364</v>
      </c>
      <c r="R1067" t="s">
        <v>2364</v>
      </c>
      <c r="S1067" t="s">
        <v>553</v>
      </c>
      <c r="T1067" t="s">
        <v>2175</v>
      </c>
      <c r="U1067">
        <v>140</v>
      </c>
      <c r="V1067" t="s">
        <v>693</v>
      </c>
      <c r="W1067">
        <v>140</v>
      </c>
      <c r="X1067" t="s">
        <v>693</v>
      </c>
      <c r="Y1067" t="s">
        <v>2365</v>
      </c>
      <c r="Z1067" t="s">
        <v>2365</v>
      </c>
      <c r="AA1067" t="s">
        <v>2365</v>
      </c>
      <c r="AB1067" t="s">
        <v>2365</v>
      </c>
      <c r="AC1067" s="813" t="s">
        <v>2365</v>
      </c>
      <c r="AD1067" s="813" t="s">
        <v>2365</v>
      </c>
      <c r="AE1067" s="813" t="s">
        <v>2365</v>
      </c>
      <c r="AF1067" t="s">
        <v>2365</v>
      </c>
      <c r="AG1067" t="s">
        <v>2365</v>
      </c>
      <c r="AH1067" t="s">
        <v>2365</v>
      </c>
      <c r="AI1067" t="s">
        <v>2365</v>
      </c>
      <c r="AJ1067" t="s">
        <v>2365</v>
      </c>
      <c r="AK1067" t="s">
        <v>2366</v>
      </c>
      <c r="AL1067" t="s">
        <v>2366</v>
      </c>
      <c r="AM1067" t="s">
        <v>2366</v>
      </c>
      <c r="AN1067" t="s">
        <v>2366</v>
      </c>
      <c r="AR1067" t="s">
        <v>2365</v>
      </c>
      <c r="AS1067" t="s">
        <v>2365</v>
      </c>
      <c r="AT1067" t="s">
        <v>2365</v>
      </c>
      <c r="AU1067" t="s">
        <v>2365</v>
      </c>
      <c r="AV1067" t="s">
        <v>2365</v>
      </c>
      <c r="AW1067" t="s">
        <v>2365</v>
      </c>
      <c r="AX1067" t="s">
        <v>2365</v>
      </c>
      <c r="AY1067" t="s">
        <v>2365</v>
      </c>
      <c r="AZ1067" t="s">
        <v>2365</v>
      </c>
      <c r="BA1067" t="s">
        <v>2365</v>
      </c>
      <c r="BB1067" t="s">
        <v>2365</v>
      </c>
      <c r="BC1067" t="s">
        <v>2365</v>
      </c>
      <c r="BD1067" t="s">
        <v>2366</v>
      </c>
      <c r="BE1067" t="s">
        <v>2365</v>
      </c>
      <c r="BF1067" t="s">
        <v>2365</v>
      </c>
      <c r="BG1067" t="s">
        <v>2365</v>
      </c>
      <c r="BH1067" t="s">
        <v>2365</v>
      </c>
      <c r="BI1067" t="s">
        <v>2366</v>
      </c>
      <c r="BJ1067" t="s">
        <v>2365</v>
      </c>
      <c r="BK1067" t="s">
        <v>2365</v>
      </c>
      <c r="BL1067" t="s">
        <v>2365</v>
      </c>
      <c r="BM1067" t="s">
        <v>2365</v>
      </c>
      <c r="BO1067">
        <v>1</v>
      </c>
      <c r="BP1067">
        <v>11</v>
      </c>
      <c r="BQ1067" t="s">
        <v>2369</v>
      </c>
      <c r="BR1067" t="s">
        <v>1487</v>
      </c>
      <c r="BU1067" s="1371">
        <v>0</v>
      </c>
      <c r="BV1067" s="1371">
        <v>0</v>
      </c>
      <c r="BW1067" s="1371">
        <v>0</v>
      </c>
      <c r="BX1067" s="1371">
        <v>0</v>
      </c>
      <c r="BY1067" s="1371">
        <v>0</v>
      </c>
      <c r="BZ1067" s="1371">
        <v>0</v>
      </c>
      <c r="CA1067">
        <v>0</v>
      </c>
      <c r="CB1067">
        <v>0</v>
      </c>
      <c r="CC1067">
        <v>0</v>
      </c>
      <c r="CD1067">
        <v>0</v>
      </c>
      <c r="CE1067">
        <v>0</v>
      </c>
      <c r="CF1067">
        <v>0</v>
      </c>
      <c r="CG1067">
        <v>0</v>
      </c>
      <c r="CH1067">
        <v>0</v>
      </c>
      <c r="CI1067">
        <v>0</v>
      </c>
      <c r="CJ1067">
        <v>0</v>
      </c>
      <c r="CK1067">
        <v>0</v>
      </c>
      <c r="CL1067">
        <v>0</v>
      </c>
      <c r="CM1067">
        <v>0</v>
      </c>
      <c r="CR1067" t="s">
        <v>2324</v>
      </c>
      <c r="CS1067" s="1369" t="str">
        <f>INDEX([8]Sheet1!$H:$H,MATCH(CR:CR,[8]Sheet1!$AU:$AU,0))</f>
        <v>Finance</v>
      </c>
    </row>
    <row r="1068" spans="1:97" x14ac:dyDescent="0.2">
      <c r="A1068" t="s">
        <v>3938</v>
      </c>
      <c r="B1068">
        <v>1132</v>
      </c>
      <c r="C1068" t="s">
        <v>3938</v>
      </c>
      <c r="D1068">
        <v>30355</v>
      </c>
      <c r="E1068" t="s">
        <v>3751</v>
      </c>
      <c r="F1068" t="s">
        <v>2364</v>
      </c>
      <c r="G1068" t="s">
        <v>2364</v>
      </c>
      <c r="H1068" t="s">
        <v>2365</v>
      </c>
      <c r="I1068" t="s">
        <v>2365</v>
      </c>
      <c r="J1068" t="s">
        <v>2365</v>
      </c>
      <c r="K1068" t="s">
        <v>2365</v>
      </c>
      <c r="L1068">
        <v>1200</v>
      </c>
      <c r="M1068" t="s">
        <v>1480</v>
      </c>
      <c r="N1068">
        <v>1204</v>
      </c>
      <c r="O1068" t="s">
        <v>1487</v>
      </c>
      <c r="P1068" t="s">
        <v>2366</v>
      </c>
      <c r="Q1068" t="s">
        <v>2364</v>
      </c>
      <c r="R1068" t="s">
        <v>2364</v>
      </c>
      <c r="S1068" t="s">
        <v>553</v>
      </c>
      <c r="T1068" t="s">
        <v>2175</v>
      </c>
      <c r="U1068">
        <v>140</v>
      </c>
      <c r="V1068" t="s">
        <v>693</v>
      </c>
      <c r="W1068">
        <v>140</v>
      </c>
      <c r="X1068" t="s">
        <v>693</v>
      </c>
      <c r="Y1068" t="s">
        <v>2365</v>
      </c>
      <c r="Z1068" t="s">
        <v>2365</v>
      </c>
      <c r="AA1068" t="s">
        <v>2365</v>
      </c>
      <c r="AB1068" t="s">
        <v>2365</v>
      </c>
      <c r="AC1068" s="813" t="s">
        <v>2365</v>
      </c>
      <c r="AD1068" s="813" t="s">
        <v>2365</v>
      </c>
      <c r="AE1068" s="813" t="s">
        <v>2365</v>
      </c>
      <c r="AF1068" t="s">
        <v>2365</v>
      </c>
      <c r="AG1068" t="s">
        <v>2365</v>
      </c>
      <c r="AH1068" t="s">
        <v>2365</v>
      </c>
      <c r="AI1068" t="s">
        <v>2365</v>
      </c>
      <c r="AJ1068" t="s">
        <v>2365</v>
      </c>
      <c r="AK1068" t="s">
        <v>2366</v>
      </c>
      <c r="AL1068" t="s">
        <v>2366</v>
      </c>
      <c r="AM1068" t="s">
        <v>2366</v>
      </c>
      <c r="AN1068" t="s">
        <v>2366</v>
      </c>
      <c r="AR1068" t="s">
        <v>2365</v>
      </c>
      <c r="AS1068" t="s">
        <v>2365</v>
      </c>
      <c r="AT1068" t="s">
        <v>2365</v>
      </c>
      <c r="AU1068" t="s">
        <v>2365</v>
      </c>
      <c r="AV1068" t="s">
        <v>2365</v>
      </c>
      <c r="AW1068" t="s">
        <v>2365</v>
      </c>
      <c r="AX1068" t="s">
        <v>2365</v>
      </c>
      <c r="AY1068" t="s">
        <v>2365</v>
      </c>
      <c r="AZ1068" t="s">
        <v>2365</v>
      </c>
      <c r="BA1068" t="s">
        <v>2365</v>
      </c>
      <c r="BB1068" t="s">
        <v>2365</v>
      </c>
      <c r="BC1068" t="s">
        <v>2365</v>
      </c>
      <c r="BD1068" t="s">
        <v>2366</v>
      </c>
      <c r="BE1068" t="s">
        <v>2365</v>
      </c>
      <c r="BF1068" t="s">
        <v>2365</v>
      </c>
      <c r="BG1068" t="s">
        <v>2365</v>
      </c>
      <c r="BH1068" t="s">
        <v>2365</v>
      </c>
      <c r="BI1068" t="s">
        <v>2366</v>
      </c>
      <c r="BJ1068" t="s">
        <v>2365</v>
      </c>
      <c r="BK1068" t="s">
        <v>2365</v>
      </c>
      <c r="BL1068" t="s">
        <v>2365</v>
      </c>
      <c r="BM1068" t="s">
        <v>2365</v>
      </c>
      <c r="BO1068">
        <v>1</v>
      </c>
      <c r="BP1068">
        <v>11</v>
      </c>
      <c r="BQ1068" t="s">
        <v>2369</v>
      </c>
      <c r="BR1068" t="s">
        <v>1487</v>
      </c>
      <c r="BU1068">
        <v>0</v>
      </c>
      <c r="BV1068">
        <v>0</v>
      </c>
      <c r="BW1068">
        <v>0</v>
      </c>
      <c r="BX1068">
        <v>0</v>
      </c>
      <c r="BY1068">
        <v>0</v>
      </c>
      <c r="BZ1068">
        <v>0</v>
      </c>
      <c r="CA1068">
        <v>0</v>
      </c>
      <c r="CB1068">
        <v>0</v>
      </c>
      <c r="CC1068">
        <v>0</v>
      </c>
      <c r="CD1068">
        <v>0</v>
      </c>
      <c r="CE1068">
        <v>0</v>
      </c>
      <c r="CF1068">
        <v>0</v>
      </c>
      <c r="CG1068">
        <v>0</v>
      </c>
      <c r="CH1068">
        <v>0</v>
      </c>
      <c r="CI1068">
        <v>0</v>
      </c>
      <c r="CJ1068">
        <v>0</v>
      </c>
      <c r="CK1068">
        <v>0</v>
      </c>
      <c r="CL1068">
        <v>0</v>
      </c>
      <c r="CM1068">
        <v>0</v>
      </c>
      <c r="CR1068" t="s">
        <v>2324</v>
      </c>
      <c r="CS1068" s="1369" t="str">
        <f>INDEX([8]Sheet1!$H:$H,MATCH(CR:CR,[8]Sheet1!$AU:$AU,0))</f>
        <v>Finance</v>
      </c>
    </row>
    <row r="1069" spans="1:97" x14ac:dyDescent="0.2">
      <c r="A1069" t="s">
        <v>3939</v>
      </c>
      <c r="B1069">
        <v>1133</v>
      </c>
      <c r="C1069" t="s">
        <v>3939</v>
      </c>
      <c r="D1069">
        <v>30356</v>
      </c>
      <c r="E1069" t="s">
        <v>3753</v>
      </c>
      <c r="F1069" t="s">
        <v>2364</v>
      </c>
      <c r="G1069" t="s">
        <v>2364</v>
      </c>
      <c r="H1069" t="s">
        <v>2365</v>
      </c>
      <c r="I1069" t="s">
        <v>2365</v>
      </c>
      <c r="J1069" t="s">
        <v>2365</v>
      </c>
      <c r="K1069" t="s">
        <v>2365</v>
      </c>
      <c r="L1069">
        <v>1200</v>
      </c>
      <c r="M1069" t="s">
        <v>1480</v>
      </c>
      <c r="N1069">
        <v>1204</v>
      </c>
      <c r="O1069" t="s">
        <v>1487</v>
      </c>
      <c r="P1069" t="s">
        <v>2366</v>
      </c>
      <c r="Q1069" t="s">
        <v>2364</v>
      </c>
      <c r="R1069" t="s">
        <v>2364</v>
      </c>
      <c r="S1069" t="s">
        <v>553</v>
      </c>
      <c r="T1069" t="s">
        <v>2175</v>
      </c>
      <c r="U1069">
        <v>140</v>
      </c>
      <c r="V1069" t="s">
        <v>693</v>
      </c>
      <c r="W1069">
        <v>140</v>
      </c>
      <c r="X1069" t="s">
        <v>693</v>
      </c>
      <c r="Y1069" t="s">
        <v>2365</v>
      </c>
      <c r="Z1069" t="s">
        <v>2365</v>
      </c>
      <c r="AA1069" t="s">
        <v>2365</v>
      </c>
      <c r="AB1069" t="s">
        <v>2365</v>
      </c>
      <c r="AC1069" s="813" t="s">
        <v>2365</v>
      </c>
      <c r="AD1069" s="813" t="s">
        <v>2365</v>
      </c>
      <c r="AE1069" s="813" t="s">
        <v>2365</v>
      </c>
      <c r="AF1069" t="s">
        <v>2365</v>
      </c>
      <c r="AG1069" t="s">
        <v>2365</v>
      </c>
      <c r="AH1069" t="s">
        <v>2365</v>
      </c>
      <c r="AI1069" t="s">
        <v>2365</v>
      </c>
      <c r="AJ1069" t="s">
        <v>2365</v>
      </c>
      <c r="AK1069" t="s">
        <v>2366</v>
      </c>
      <c r="AL1069" t="s">
        <v>2366</v>
      </c>
      <c r="AM1069" t="s">
        <v>2366</v>
      </c>
      <c r="AN1069" t="s">
        <v>2366</v>
      </c>
      <c r="AR1069" t="s">
        <v>2365</v>
      </c>
      <c r="AS1069" t="s">
        <v>2365</v>
      </c>
      <c r="AT1069" t="s">
        <v>2365</v>
      </c>
      <c r="AU1069" t="s">
        <v>2365</v>
      </c>
      <c r="AV1069" t="s">
        <v>2365</v>
      </c>
      <c r="AW1069" t="s">
        <v>2365</v>
      </c>
      <c r="AX1069" t="s">
        <v>2365</v>
      </c>
      <c r="AY1069" t="s">
        <v>2365</v>
      </c>
      <c r="AZ1069" t="s">
        <v>2365</v>
      </c>
      <c r="BA1069" t="s">
        <v>2365</v>
      </c>
      <c r="BB1069" t="s">
        <v>2365</v>
      </c>
      <c r="BC1069" t="s">
        <v>2365</v>
      </c>
      <c r="BD1069" t="s">
        <v>2366</v>
      </c>
      <c r="BE1069" t="s">
        <v>2365</v>
      </c>
      <c r="BF1069" t="s">
        <v>2365</v>
      </c>
      <c r="BG1069" t="s">
        <v>2365</v>
      </c>
      <c r="BH1069" t="s">
        <v>2365</v>
      </c>
      <c r="BI1069" t="s">
        <v>2366</v>
      </c>
      <c r="BJ1069" t="s">
        <v>2365</v>
      </c>
      <c r="BK1069" t="s">
        <v>2365</v>
      </c>
      <c r="BL1069" t="s">
        <v>2365</v>
      </c>
      <c r="BM1069" t="s">
        <v>2365</v>
      </c>
      <c r="BO1069">
        <v>1</v>
      </c>
      <c r="BP1069">
        <v>11</v>
      </c>
      <c r="BQ1069" t="s">
        <v>2369</v>
      </c>
      <c r="BR1069" t="s">
        <v>1487</v>
      </c>
      <c r="BU1069">
        <v>0</v>
      </c>
      <c r="BV1069">
        <v>0</v>
      </c>
      <c r="BW1069">
        <v>0</v>
      </c>
      <c r="BX1069">
        <v>0</v>
      </c>
      <c r="BY1069">
        <v>0</v>
      </c>
      <c r="BZ1069">
        <v>0</v>
      </c>
      <c r="CA1069">
        <v>0</v>
      </c>
      <c r="CB1069">
        <v>0</v>
      </c>
      <c r="CC1069">
        <v>0</v>
      </c>
      <c r="CD1069">
        <v>0</v>
      </c>
      <c r="CE1069">
        <v>0</v>
      </c>
      <c r="CF1069">
        <v>0</v>
      </c>
      <c r="CG1069">
        <v>0</v>
      </c>
      <c r="CH1069">
        <v>0</v>
      </c>
      <c r="CI1069">
        <v>0</v>
      </c>
      <c r="CJ1069">
        <v>0</v>
      </c>
      <c r="CK1069">
        <v>0</v>
      </c>
      <c r="CL1069">
        <v>0</v>
      </c>
      <c r="CM1069">
        <v>0</v>
      </c>
      <c r="CR1069" t="s">
        <v>2324</v>
      </c>
      <c r="CS1069" s="1369" t="str">
        <f>INDEX([8]Sheet1!$H:$H,MATCH(CR:CR,[8]Sheet1!$AU:$AU,0))</f>
        <v>Finance</v>
      </c>
    </row>
    <row r="1070" spans="1:97" x14ac:dyDescent="0.2">
      <c r="A1070" t="s">
        <v>3940</v>
      </c>
      <c r="B1070">
        <v>1134</v>
      </c>
      <c r="C1070" t="s">
        <v>3940</v>
      </c>
      <c r="D1070">
        <v>30357</v>
      </c>
      <c r="E1070" t="s">
        <v>3755</v>
      </c>
      <c r="F1070" t="s">
        <v>2364</v>
      </c>
      <c r="G1070" t="s">
        <v>2364</v>
      </c>
      <c r="H1070" s="1373" t="s">
        <v>2365</v>
      </c>
      <c r="I1070" t="s">
        <v>2365</v>
      </c>
      <c r="J1070" t="s">
        <v>2365</v>
      </c>
      <c r="K1070" t="s">
        <v>2365</v>
      </c>
      <c r="L1070" s="1373">
        <v>1200</v>
      </c>
      <c r="M1070" t="s">
        <v>1480</v>
      </c>
      <c r="N1070">
        <v>1204</v>
      </c>
      <c r="O1070" t="s">
        <v>1487</v>
      </c>
      <c r="P1070" t="s">
        <v>2366</v>
      </c>
      <c r="Q1070" t="s">
        <v>2364</v>
      </c>
      <c r="R1070" t="s">
        <v>2364</v>
      </c>
      <c r="S1070" t="s">
        <v>553</v>
      </c>
      <c r="T1070" t="s">
        <v>2175</v>
      </c>
      <c r="U1070">
        <v>140</v>
      </c>
      <c r="V1070" t="s">
        <v>693</v>
      </c>
      <c r="W1070">
        <v>140</v>
      </c>
      <c r="X1070" t="s">
        <v>693</v>
      </c>
      <c r="Y1070" t="s">
        <v>2365</v>
      </c>
      <c r="Z1070" t="s">
        <v>2365</v>
      </c>
      <c r="AA1070" t="s">
        <v>2365</v>
      </c>
      <c r="AB1070" t="s">
        <v>2365</v>
      </c>
      <c r="AC1070" s="813" t="s">
        <v>2365</v>
      </c>
      <c r="AD1070" s="813" t="s">
        <v>2365</v>
      </c>
      <c r="AE1070" s="813" t="s">
        <v>2365</v>
      </c>
      <c r="AF1070" t="s">
        <v>2365</v>
      </c>
      <c r="AG1070" t="s">
        <v>2365</v>
      </c>
      <c r="AH1070" t="s">
        <v>2365</v>
      </c>
      <c r="AI1070" t="s">
        <v>2365</v>
      </c>
      <c r="AJ1070" t="s">
        <v>2365</v>
      </c>
      <c r="AK1070">
        <v>147</v>
      </c>
      <c r="AL1070" t="s">
        <v>1200</v>
      </c>
      <c r="AM1070">
        <v>147</v>
      </c>
      <c r="AN1070" t="s">
        <v>1200</v>
      </c>
      <c r="AR1070" t="s">
        <v>2365</v>
      </c>
      <c r="AS1070" t="s">
        <v>2365</v>
      </c>
      <c r="AT1070" t="s">
        <v>2365</v>
      </c>
      <c r="AU1070" t="s">
        <v>2365</v>
      </c>
      <c r="AV1070" t="s">
        <v>2365</v>
      </c>
      <c r="AW1070" t="s">
        <v>2365</v>
      </c>
      <c r="AX1070" t="s">
        <v>2365</v>
      </c>
      <c r="AY1070" t="s">
        <v>2365</v>
      </c>
      <c r="AZ1070" t="s">
        <v>2365</v>
      </c>
      <c r="BA1070" t="s">
        <v>2365</v>
      </c>
      <c r="BB1070" t="s">
        <v>2365</v>
      </c>
      <c r="BC1070" t="s">
        <v>2365</v>
      </c>
      <c r="BD1070" t="s">
        <v>2366</v>
      </c>
      <c r="BE1070" t="s">
        <v>2365</v>
      </c>
      <c r="BF1070" t="s">
        <v>2365</v>
      </c>
      <c r="BG1070" t="s">
        <v>2365</v>
      </c>
      <c r="BH1070" t="s">
        <v>2365</v>
      </c>
      <c r="BI1070" t="s">
        <v>2366</v>
      </c>
      <c r="BJ1070" t="s">
        <v>2365</v>
      </c>
      <c r="BK1070" t="s">
        <v>2365</v>
      </c>
      <c r="BL1070" t="s">
        <v>2365</v>
      </c>
      <c r="BM1070" t="s">
        <v>2365</v>
      </c>
      <c r="BO1070">
        <v>1</v>
      </c>
      <c r="BP1070">
        <v>11</v>
      </c>
      <c r="BQ1070" t="s">
        <v>2369</v>
      </c>
      <c r="BR1070" t="s">
        <v>1487</v>
      </c>
      <c r="BU1070" s="1371">
        <v>0</v>
      </c>
      <c r="BV1070" s="1371">
        <v>0</v>
      </c>
      <c r="BW1070" s="1371">
        <v>0</v>
      </c>
      <c r="BX1070" s="1371">
        <v>0</v>
      </c>
      <c r="BY1070" s="1371">
        <v>0</v>
      </c>
      <c r="BZ1070" s="1371">
        <v>0</v>
      </c>
      <c r="CA1070">
        <v>0</v>
      </c>
      <c r="CB1070">
        <v>0</v>
      </c>
      <c r="CC1070">
        <v>0</v>
      </c>
      <c r="CD1070">
        <v>0</v>
      </c>
      <c r="CE1070">
        <v>0</v>
      </c>
      <c r="CF1070">
        <v>0</v>
      </c>
      <c r="CG1070">
        <v>0</v>
      </c>
      <c r="CH1070">
        <v>0</v>
      </c>
      <c r="CI1070">
        <v>0</v>
      </c>
      <c r="CJ1070">
        <v>0</v>
      </c>
      <c r="CK1070">
        <v>0</v>
      </c>
      <c r="CL1070">
        <v>0</v>
      </c>
      <c r="CM1070">
        <v>0</v>
      </c>
      <c r="CR1070" t="s">
        <v>2324</v>
      </c>
      <c r="CS1070" s="1369" t="str">
        <f>INDEX([8]Sheet1!$H:$H,MATCH(CR:CR,[8]Sheet1!$AU:$AU,0))</f>
        <v>Finance</v>
      </c>
    </row>
    <row r="1071" spans="1:97" x14ac:dyDescent="0.2">
      <c r="A1071" t="s">
        <v>3941</v>
      </c>
      <c r="B1071">
        <v>1135</v>
      </c>
      <c r="C1071" t="s">
        <v>3941</v>
      </c>
      <c r="D1071">
        <v>30358</v>
      </c>
      <c r="E1071" t="s">
        <v>3667</v>
      </c>
      <c r="F1071" t="s">
        <v>2364</v>
      </c>
      <c r="G1071" t="s">
        <v>2364</v>
      </c>
      <c r="H1071" t="s">
        <v>2365</v>
      </c>
      <c r="I1071" t="s">
        <v>2365</v>
      </c>
      <c r="J1071" t="s">
        <v>2365</v>
      </c>
      <c r="K1071" t="s">
        <v>2365</v>
      </c>
      <c r="L1071">
        <v>1200</v>
      </c>
      <c r="M1071" t="s">
        <v>1480</v>
      </c>
      <c r="N1071">
        <v>1204</v>
      </c>
      <c r="O1071" t="s">
        <v>1487</v>
      </c>
      <c r="P1071" t="s">
        <v>2366</v>
      </c>
      <c r="Q1071" t="s">
        <v>2364</v>
      </c>
      <c r="R1071" t="s">
        <v>2364</v>
      </c>
      <c r="S1071" t="s">
        <v>553</v>
      </c>
      <c r="T1071" t="s">
        <v>2175</v>
      </c>
      <c r="U1071" t="s">
        <v>2366</v>
      </c>
      <c r="V1071" t="s">
        <v>2366</v>
      </c>
      <c r="W1071" t="s">
        <v>2366</v>
      </c>
      <c r="X1071" t="s">
        <v>2366</v>
      </c>
      <c r="Y1071" t="s">
        <v>2365</v>
      </c>
      <c r="Z1071" t="s">
        <v>2365</v>
      </c>
      <c r="AA1071" t="s">
        <v>2365</v>
      </c>
      <c r="AB1071" t="s">
        <v>2365</v>
      </c>
      <c r="AC1071" s="813" t="s">
        <v>2365</v>
      </c>
      <c r="AD1071" s="813" t="s">
        <v>2365</v>
      </c>
      <c r="AE1071" s="813" t="s">
        <v>2365</v>
      </c>
      <c r="AF1071" t="s">
        <v>2365</v>
      </c>
      <c r="AG1071" t="s">
        <v>2365</v>
      </c>
      <c r="AH1071" t="s">
        <v>2365</v>
      </c>
      <c r="AI1071" t="s">
        <v>2365</v>
      </c>
      <c r="AJ1071" t="s">
        <v>2365</v>
      </c>
      <c r="AK1071">
        <v>146</v>
      </c>
      <c r="AL1071" t="s">
        <v>1199</v>
      </c>
      <c r="AM1071">
        <v>146</v>
      </c>
      <c r="AN1071" t="s">
        <v>1199</v>
      </c>
      <c r="AR1071" t="s">
        <v>2365</v>
      </c>
      <c r="AS1071" t="s">
        <v>2365</v>
      </c>
      <c r="AT1071" t="s">
        <v>2365</v>
      </c>
      <c r="AU1071" t="s">
        <v>2365</v>
      </c>
      <c r="AV1071" t="s">
        <v>2365</v>
      </c>
      <c r="AW1071" t="s">
        <v>2365</v>
      </c>
      <c r="AX1071" t="s">
        <v>2365</v>
      </c>
      <c r="AY1071" t="s">
        <v>2365</v>
      </c>
      <c r="AZ1071" t="s">
        <v>2365</v>
      </c>
      <c r="BA1071" t="s">
        <v>2365</v>
      </c>
      <c r="BB1071" t="s">
        <v>2365</v>
      </c>
      <c r="BC1071" t="s">
        <v>2365</v>
      </c>
      <c r="BD1071" t="s">
        <v>2366</v>
      </c>
      <c r="BE1071" t="s">
        <v>2365</v>
      </c>
      <c r="BF1071" t="s">
        <v>2365</v>
      </c>
      <c r="BG1071" t="s">
        <v>2365</v>
      </c>
      <c r="BH1071" t="s">
        <v>2365</v>
      </c>
      <c r="BI1071" t="s">
        <v>2366</v>
      </c>
      <c r="BJ1071" t="s">
        <v>2365</v>
      </c>
      <c r="BK1071" t="s">
        <v>2365</v>
      </c>
      <c r="BL1071" t="s">
        <v>2365</v>
      </c>
      <c r="BM1071" t="s">
        <v>2365</v>
      </c>
      <c r="BO1071">
        <v>1</v>
      </c>
      <c r="BP1071">
        <v>11</v>
      </c>
      <c r="BQ1071" t="s">
        <v>2369</v>
      </c>
      <c r="BR1071" t="s">
        <v>1487</v>
      </c>
      <c r="BU1071">
        <v>0</v>
      </c>
      <c r="BV1071">
        <v>0</v>
      </c>
      <c r="BW1071">
        <v>0</v>
      </c>
      <c r="BX1071">
        <v>0</v>
      </c>
      <c r="BY1071">
        <v>0</v>
      </c>
      <c r="BZ1071">
        <v>0</v>
      </c>
      <c r="CA1071">
        <v>0</v>
      </c>
      <c r="CB1071">
        <v>0</v>
      </c>
      <c r="CC1071">
        <v>0</v>
      </c>
      <c r="CD1071">
        <v>0</v>
      </c>
      <c r="CE1071">
        <v>0</v>
      </c>
      <c r="CF1071">
        <v>0</v>
      </c>
      <c r="CG1071">
        <v>0</v>
      </c>
      <c r="CH1071">
        <v>0</v>
      </c>
      <c r="CI1071">
        <v>0</v>
      </c>
      <c r="CJ1071">
        <v>0</v>
      </c>
      <c r="CK1071">
        <v>0</v>
      </c>
      <c r="CL1071">
        <v>0</v>
      </c>
      <c r="CM1071">
        <v>0</v>
      </c>
      <c r="CR1071" t="s">
        <v>2324</v>
      </c>
      <c r="CS1071" s="1369" t="str">
        <f>INDEX([8]Sheet1!$H:$H,MATCH(CR:CR,[8]Sheet1!$AU:$AU,0))</f>
        <v>Finance</v>
      </c>
    </row>
    <row r="1072" spans="1:97" x14ac:dyDescent="0.2">
      <c r="A1072" t="s">
        <v>3942</v>
      </c>
      <c r="B1072">
        <v>1136</v>
      </c>
      <c r="C1072" t="s">
        <v>3942</v>
      </c>
      <c r="D1072">
        <v>30359</v>
      </c>
      <c r="E1072" t="s">
        <v>3671</v>
      </c>
      <c r="F1072" t="s">
        <v>2364</v>
      </c>
      <c r="G1072" t="s">
        <v>2364</v>
      </c>
      <c r="H1072" t="s">
        <v>2365</v>
      </c>
      <c r="I1072" t="s">
        <v>2365</v>
      </c>
      <c r="J1072" t="s">
        <v>2365</v>
      </c>
      <c r="K1072" t="s">
        <v>2365</v>
      </c>
      <c r="L1072">
        <v>1200</v>
      </c>
      <c r="M1072" t="s">
        <v>1480</v>
      </c>
      <c r="N1072">
        <v>1204</v>
      </c>
      <c r="O1072" t="s">
        <v>1487</v>
      </c>
      <c r="P1072" t="s">
        <v>2366</v>
      </c>
      <c r="Q1072" t="s">
        <v>2364</v>
      </c>
      <c r="R1072" t="s">
        <v>2364</v>
      </c>
      <c r="S1072" t="s">
        <v>553</v>
      </c>
      <c r="T1072" t="s">
        <v>2175</v>
      </c>
      <c r="U1072" t="s">
        <v>2366</v>
      </c>
      <c r="V1072" t="s">
        <v>2366</v>
      </c>
      <c r="W1072" t="s">
        <v>2366</v>
      </c>
      <c r="X1072" t="s">
        <v>2366</v>
      </c>
      <c r="Y1072" t="s">
        <v>2365</v>
      </c>
      <c r="Z1072" t="s">
        <v>2365</v>
      </c>
      <c r="AA1072" t="s">
        <v>2365</v>
      </c>
      <c r="AB1072" t="s">
        <v>2365</v>
      </c>
      <c r="AC1072" s="813" t="s">
        <v>2365</v>
      </c>
      <c r="AD1072" s="813" t="s">
        <v>2365</v>
      </c>
      <c r="AE1072" s="813" t="s">
        <v>2365</v>
      </c>
      <c r="AF1072" t="s">
        <v>2365</v>
      </c>
      <c r="AG1072" t="s">
        <v>2365</v>
      </c>
      <c r="AH1072" t="s">
        <v>2365</v>
      </c>
      <c r="AI1072" t="s">
        <v>2365</v>
      </c>
      <c r="AJ1072" t="s">
        <v>2365</v>
      </c>
      <c r="AK1072">
        <v>146</v>
      </c>
      <c r="AL1072" t="s">
        <v>1199</v>
      </c>
      <c r="AM1072">
        <v>146</v>
      </c>
      <c r="AN1072" t="s">
        <v>1199</v>
      </c>
      <c r="AR1072" t="s">
        <v>2365</v>
      </c>
      <c r="AS1072" t="s">
        <v>2365</v>
      </c>
      <c r="AT1072" t="s">
        <v>2365</v>
      </c>
      <c r="AU1072" t="s">
        <v>2365</v>
      </c>
      <c r="AV1072" t="s">
        <v>2365</v>
      </c>
      <c r="AW1072" t="s">
        <v>2365</v>
      </c>
      <c r="AX1072" t="s">
        <v>2365</v>
      </c>
      <c r="AY1072" t="s">
        <v>2365</v>
      </c>
      <c r="AZ1072" t="s">
        <v>2365</v>
      </c>
      <c r="BA1072" t="s">
        <v>2365</v>
      </c>
      <c r="BB1072" t="s">
        <v>2365</v>
      </c>
      <c r="BC1072" t="s">
        <v>2365</v>
      </c>
      <c r="BD1072" t="s">
        <v>2366</v>
      </c>
      <c r="BE1072" t="s">
        <v>2365</v>
      </c>
      <c r="BF1072" t="s">
        <v>2365</v>
      </c>
      <c r="BG1072" t="s">
        <v>2365</v>
      </c>
      <c r="BH1072" t="s">
        <v>2365</v>
      </c>
      <c r="BI1072" t="s">
        <v>2366</v>
      </c>
      <c r="BJ1072" t="s">
        <v>2365</v>
      </c>
      <c r="BK1072" t="s">
        <v>2365</v>
      </c>
      <c r="BL1072" t="s">
        <v>2365</v>
      </c>
      <c r="BM1072" t="s">
        <v>2365</v>
      </c>
      <c r="BO1072">
        <v>1</v>
      </c>
      <c r="BP1072">
        <v>11</v>
      </c>
      <c r="BQ1072" t="s">
        <v>2369</v>
      </c>
      <c r="BR1072" t="s">
        <v>1487</v>
      </c>
      <c r="BU1072">
        <v>0</v>
      </c>
      <c r="BV1072">
        <v>0</v>
      </c>
      <c r="BW1072">
        <v>0</v>
      </c>
      <c r="BX1072">
        <v>0</v>
      </c>
      <c r="BY1072" s="1371">
        <v>0</v>
      </c>
      <c r="BZ1072" s="1371">
        <v>0</v>
      </c>
      <c r="CA1072">
        <v>0</v>
      </c>
      <c r="CB1072">
        <v>0</v>
      </c>
      <c r="CC1072">
        <v>0</v>
      </c>
      <c r="CD1072">
        <v>0</v>
      </c>
      <c r="CE1072">
        <v>0</v>
      </c>
      <c r="CF1072">
        <v>0</v>
      </c>
      <c r="CG1072">
        <v>0</v>
      </c>
      <c r="CH1072">
        <v>0</v>
      </c>
      <c r="CI1072">
        <v>0</v>
      </c>
      <c r="CJ1072">
        <v>0</v>
      </c>
      <c r="CK1072">
        <v>0</v>
      </c>
      <c r="CL1072">
        <v>0</v>
      </c>
      <c r="CM1072">
        <v>0</v>
      </c>
      <c r="CR1072" t="s">
        <v>2324</v>
      </c>
      <c r="CS1072" s="1369" t="str">
        <f>INDEX([8]Sheet1!$H:$H,MATCH(CR:CR,[8]Sheet1!$AU:$AU,0))</f>
        <v>Finance</v>
      </c>
    </row>
    <row r="1073" spans="1:97" x14ac:dyDescent="0.2">
      <c r="A1073" t="s">
        <v>3943</v>
      </c>
      <c r="B1073">
        <v>1137</v>
      </c>
      <c r="C1073" t="s">
        <v>3943</v>
      </c>
      <c r="D1073">
        <v>30360</v>
      </c>
      <c r="E1073" t="s">
        <v>3735</v>
      </c>
      <c r="F1073" t="s">
        <v>2364</v>
      </c>
      <c r="G1073" t="s">
        <v>2364</v>
      </c>
      <c r="H1073" t="s">
        <v>2365</v>
      </c>
      <c r="I1073" t="s">
        <v>2365</v>
      </c>
      <c r="J1073" t="s">
        <v>2365</v>
      </c>
      <c r="K1073" t="s">
        <v>2365</v>
      </c>
      <c r="L1073">
        <v>1200</v>
      </c>
      <c r="M1073" t="s">
        <v>1480</v>
      </c>
      <c r="N1073">
        <v>1204</v>
      </c>
      <c r="O1073" t="s">
        <v>1487</v>
      </c>
      <c r="P1073" t="s">
        <v>2366</v>
      </c>
      <c r="Q1073" t="s">
        <v>2364</v>
      </c>
      <c r="R1073" t="s">
        <v>2364</v>
      </c>
      <c r="S1073" t="s">
        <v>553</v>
      </c>
      <c r="T1073" t="s">
        <v>2175</v>
      </c>
      <c r="U1073">
        <v>140</v>
      </c>
      <c r="V1073" t="s">
        <v>693</v>
      </c>
      <c r="W1073">
        <v>140</v>
      </c>
      <c r="X1073" t="s">
        <v>693</v>
      </c>
      <c r="Y1073" t="s">
        <v>2365</v>
      </c>
      <c r="Z1073" t="s">
        <v>2365</v>
      </c>
      <c r="AA1073" t="s">
        <v>2365</v>
      </c>
      <c r="AB1073" t="s">
        <v>2365</v>
      </c>
      <c r="AC1073" s="813" t="s">
        <v>2365</v>
      </c>
      <c r="AD1073" s="813" t="s">
        <v>2365</v>
      </c>
      <c r="AE1073" s="813" t="s">
        <v>2365</v>
      </c>
      <c r="AF1073" t="s">
        <v>2365</v>
      </c>
      <c r="AG1073" t="s">
        <v>2365</v>
      </c>
      <c r="AH1073" t="s">
        <v>2365</v>
      </c>
      <c r="AI1073" t="s">
        <v>2365</v>
      </c>
      <c r="AJ1073" t="s">
        <v>2365</v>
      </c>
      <c r="AK1073" t="s">
        <v>2366</v>
      </c>
      <c r="AL1073" t="s">
        <v>2366</v>
      </c>
      <c r="AM1073" t="s">
        <v>2366</v>
      </c>
      <c r="AN1073" t="s">
        <v>2366</v>
      </c>
      <c r="AR1073" t="s">
        <v>2365</v>
      </c>
      <c r="AS1073" t="s">
        <v>2365</v>
      </c>
      <c r="AT1073" t="s">
        <v>2365</v>
      </c>
      <c r="AU1073" t="s">
        <v>2365</v>
      </c>
      <c r="AV1073" t="s">
        <v>2365</v>
      </c>
      <c r="AW1073" t="s">
        <v>2365</v>
      </c>
      <c r="AX1073" t="s">
        <v>2365</v>
      </c>
      <c r="AY1073" t="s">
        <v>2365</v>
      </c>
      <c r="AZ1073" t="s">
        <v>2365</v>
      </c>
      <c r="BA1073" t="s">
        <v>2365</v>
      </c>
      <c r="BB1073" t="s">
        <v>2365</v>
      </c>
      <c r="BC1073" t="s">
        <v>2365</v>
      </c>
      <c r="BD1073" t="s">
        <v>2366</v>
      </c>
      <c r="BE1073" t="s">
        <v>2365</v>
      </c>
      <c r="BF1073" t="s">
        <v>2365</v>
      </c>
      <c r="BG1073" t="s">
        <v>2365</v>
      </c>
      <c r="BH1073" t="s">
        <v>2365</v>
      </c>
      <c r="BI1073" t="s">
        <v>2366</v>
      </c>
      <c r="BJ1073" t="s">
        <v>2365</v>
      </c>
      <c r="BK1073" t="s">
        <v>2365</v>
      </c>
      <c r="BL1073" t="s">
        <v>2365</v>
      </c>
      <c r="BM1073" t="s">
        <v>2365</v>
      </c>
      <c r="BO1073">
        <v>1</v>
      </c>
      <c r="BP1073">
        <v>11</v>
      </c>
      <c r="BQ1073" t="s">
        <v>2369</v>
      </c>
      <c r="BR1073" t="s">
        <v>1487</v>
      </c>
      <c r="BU1073">
        <v>0</v>
      </c>
      <c r="BV1073">
        <v>0</v>
      </c>
      <c r="BW1073">
        <v>0</v>
      </c>
      <c r="BX1073">
        <v>0</v>
      </c>
      <c r="BY1073" s="1371">
        <v>0</v>
      </c>
      <c r="BZ1073" s="1371">
        <v>0</v>
      </c>
      <c r="CA1073">
        <v>0</v>
      </c>
      <c r="CB1073">
        <v>0</v>
      </c>
      <c r="CC1073">
        <v>0</v>
      </c>
      <c r="CD1073">
        <v>0</v>
      </c>
      <c r="CE1073">
        <v>0</v>
      </c>
      <c r="CF1073">
        <v>0</v>
      </c>
      <c r="CG1073">
        <v>0</v>
      </c>
      <c r="CH1073">
        <v>0</v>
      </c>
      <c r="CI1073">
        <v>0</v>
      </c>
      <c r="CJ1073">
        <v>0</v>
      </c>
      <c r="CK1073">
        <v>0</v>
      </c>
      <c r="CL1073">
        <v>0</v>
      </c>
      <c r="CM1073">
        <v>0</v>
      </c>
      <c r="CR1073" t="s">
        <v>2324</v>
      </c>
      <c r="CS1073" s="1369" t="str">
        <f>INDEX([8]Sheet1!$H:$H,MATCH(CR:CR,[8]Sheet1!$AU:$AU,0))</f>
        <v>Finance</v>
      </c>
    </row>
    <row r="1074" spans="1:97" x14ac:dyDescent="0.2">
      <c r="A1074" t="s">
        <v>3944</v>
      </c>
      <c r="B1074">
        <v>1138</v>
      </c>
      <c r="C1074" t="s">
        <v>3944</v>
      </c>
      <c r="D1074">
        <v>30361</v>
      </c>
      <c r="E1074" t="s">
        <v>3739</v>
      </c>
      <c r="F1074" t="s">
        <v>2364</v>
      </c>
      <c r="G1074" t="s">
        <v>2364</v>
      </c>
      <c r="H1074" t="s">
        <v>2365</v>
      </c>
      <c r="I1074" t="s">
        <v>2365</v>
      </c>
      <c r="J1074" t="s">
        <v>2365</v>
      </c>
      <c r="K1074" t="s">
        <v>2365</v>
      </c>
      <c r="L1074">
        <v>1200</v>
      </c>
      <c r="M1074" t="s">
        <v>1480</v>
      </c>
      <c r="N1074">
        <v>1204</v>
      </c>
      <c r="O1074" t="s">
        <v>1487</v>
      </c>
      <c r="P1074" t="s">
        <v>2366</v>
      </c>
      <c r="Q1074" t="s">
        <v>2364</v>
      </c>
      <c r="R1074" t="s">
        <v>2364</v>
      </c>
      <c r="S1074" t="s">
        <v>553</v>
      </c>
      <c r="T1074" t="s">
        <v>2175</v>
      </c>
      <c r="U1074">
        <v>140</v>
      </c>
      <c r="V1074" t="s">
        <v>693</v>
      </c>
      <c r="W1074">
        <v>140</v>
      </c>
      <c r="X1074" t="s">
        <v>693</v>
      </c>
      <c r="Y1074" t="s">
        <v>2365</v>
      </c>
      <c r="Z1074" t="s">
        <v>2365</v>
      </c>
      <c r="AA1074" t="s">
        <v>2365</v>
      </c>
      <c r="AB1074" t="s">
        <v>2365</v>
      </c>
      <c r="AC1074" s="813" t="s">
        <v>2365</v>
      </c>
      <c r="AD1074" s="813" t="s">
        <v>2365</v>
      </c>
      <c r="AE1074" s="813" t="s">
        <v>2365</v>
      </c>
      <c r="AF1074" t="s">
        <v>2365</v>
      </c>
      <c r="AG1074" t="s">
        <v>2365</v>
      </c>
      <c r="AH1074" t="s">
        <v>2365</v>
      </c>
      <c r="AI1074" t="s">
        <v>2365</v>
      </c>
      <c r="AJ1074" t="s">
        <v>2365</v>
      </c>
      <c r="AK1074" t="s">
        <v>2366</v>
      </c>
      <c r="AL1074" t="s">
        <v>2366</v>
      </c>
      <c r="AM1074" t="s">
        <v>2366</v>
      </c>
      <c r="AN1074" t="s">
        <v>2366</v>
      </c>
      <c r="AR1074" t="s">
        <v>2365</v>
      </c>
      <c r="AS1074" t="s">
        <v>2365</v>
      </c>
      <c r="AT1074" t="s">
        <v>2365</v>
      </c>
      <c r="AU1074" t="s">
        <v>2365</v>
      </c>
      <c r="AV1074" t="s">
        <v>2365</v>
      </c>
      <c r="AW1074" t="s">
        <v>2365</v>
      </c>
      <c r="AX1074" t="s">
        <v>2365</v>
      </c>
      <c r="AY1074" t="s">
        <v>2365</v>
      </c>
      <c r="AZ1074" t="s">
        <v>2365</v>
      </c>
      <c r="BA1074" t="s">
        <v>2365</v>
      </c>
      <c r="BB1074" t="s">
        <v>2365</v>
      </c>
      <c r="BC1074" t="s">
        <v>2365</v>
      </c>
      <c r="BD1074" t="s">
        <v>2366</v>
      </c>
      <c r="BE1074" t="s">
        <v>2365</v>
      </c>
      <c r="BF1074" t="s">
        <v>2365</v>
      </c>
      <c r="BG1074" t="s">
        <v>2365</v>
      </c>
      <c r="BH1074" t="s">
        <v>2365</v>
      </c>
      <c r="BI1074" t="s">
        <v>2366</v>
      </c>
      <c r="BJ1074" t="s">
        <v>2365</v>
      </c>
      <c r="BK1074" t="s">
        <v>2365</v>
      </c>
      <c r="BL1074" t="s">
        <v>2365</v>
      </c>
      <c r="BM1074" t="s">
        <v>2365</v>
      </c>
      <c r="BO1074">
        <v>1</v>
      </c>
      <c r="BP1074">
        <v>11</v>
      </c>
      <c r="BQ1074" t="s">
        <v>2369</v>
      </c>
      <c r="BR1074" t="s">
        <v>1487</v>
      </c>
      <c r="BU1074">
        <v>0</v>
      </c>
      <c r="BV1074">
        <v>0</v>
      </c>
      <c r="BW1074">
        <v>0</v>
      </c>
      <c r="BX1074">
        <v>0</v>
      </c>
      <c r="BY1074" s="1371">
        <v>0</v>
      </c>
      <c r="BZ1074" s="1371">
        <v>0</v>
      </c>
      <c r="CA1074">
        <v>0</v>
      </c>
      <c r="CB1074">
        <v>0</v>
      </c>
      <c r="CC1074">
        <v>0</v>
      </c>
      <c r="CD1074">
        <v>0</v>
      </c>
      <c r="CE1074">
        <v>0</v>
      </c>
      <c r="CF1074">
        <v>0</v>
      </c>
      <c r="CG1074">
        <v>0</v>
      </c>
      <c r="CH1074">
        <v>0</v>
      </c>
      <c r="CI1074">
        <v>0</v>
      </c>
      <c r="CJ1074">
        <v>0</v>
      </c>
      <c r="CK1074">
        <v>0</v>
      </c>
      <c r="CL1074">
        <v>0</v>
      </c>
      <c r="CM1074">
        <v>0</v>
      </c>
      <c r="CR1074" t="s">
        <v>2324</v>
      </c>
      <c r="CS1074" s="1369" t="str">
        <f>INDEX([8]Sheet1!$H:$H,MATCH(CR:CR,[8]Sheet1!$AU:$AU,0))</f>
        <v>Finance</v>
      </c>
    </row>
    <row r="1075" spans="1:97" x14ac:dyDescent="0.2">
      <c r="A1075" t="s">
        <v>3945</v>
      </c>
      <c r="B1075">
        <v>1139</v>
      </c>
      <c r="C1075" t="s">
        <v>3945</v>
      </c>
      <c r="D1075">
        <v>30362</v>
      </c>
      <c r="E1075" t="s">
        <v>3741</v>
      </c>
      <c r="F1075" t="s">
        <v>2364</v>
      </c>
      <c r="G1075" t="s">
        <v>2364</v>
      </c>
      <c r="H1075" t="s">
        <v>2365</v>
      </c>
      <c r="I1075" t="s">
        <v>2365</v>
      </c>
      <c r="J1075" t="s">
        <v>2365</v>
      </c>
      <c r="K1075" t="s">
        <v>2365</v>
      </c>
      <c r="L1075">
        <v>1200</v>
      </c>
      <c r="M1075" t="s">
        <v>1480</v>
      </c>
      <c r="N1075">
        <v>1204</v>
      </c>
      <c r="O1075" t="s">
        <v>1487</v>
      </c>
      <c r="P1075" t="s">
        <v>2366</v>
      </c>
      <c r="Q1075" t="s">
        <v>2364</v>
      </c>
      <c r="R1075" t="s">
        <v>2364</v>
      </c>
      <c r="S1075" t="s">
        <v>553</v>
      </c>
      <c r="T1075" t="s">
        <v>2175</v>
      </c>
      <c r="U1075">
        <v>140</v>
      </c>
      <c r="V1075" t="s">
        <v>693</v>
      </c>
      <c r="W1075">
        <v>140</v>
      </c>
      <c r="X1075" t="s">
        <v>693</v>
      </c>
      <c r="Y1075" t="s">
        <v>2365</v>
      </c>
      <c r="Z1075" t="s">
        <v>2365</v>
      </c>
      <c r="AA1075" t="s">
        <v>2365</v>
      </c>
      <c r="AB1075" t="s">
        <v>2365</v>
      </c>
      <c r="AC1075" s="813" t="s">
        <v>2365</v>
      </c>
      <c r="AD1075" s="813" t="s">
        <v>2365</v>
      </c>
      <c r="AE1075" s="813" t="s">
        <v>2365</v>
      </c>
      <c r="AF1075" t="s">
        <v>2365</v>
      </c>
      <c r="AG1075" t="s">
        <v>2365</v>
      </c>
      <c r="AH1075" t="s">
        <v>2365</v>
      </c>
      <c r="AI1075" t="s">
        <v>2365</v>
      </c>
      <c r="AJ1075" t="s">
        <v>2365</v>
      </c>
      <c r="AK1075">
        <v>147</v>
      </c>
      <c r="AL1075" t="s">
        <v>1200</v>
      </c>
      <c r="AM1075">
        <v>147</v>
      </c>
      <c r="AN1075" t="s">
        <v>1200</v>
      </c>
      <c r="AR1075" t="s">
        <v>2365</v>
      </c>
      <c r="AS1075" t="s">
        <v>2365</v>
      </c>
      <c r="AT1075" t="s">
        <v>2365</v>
      </c>
      <c r="AU1075" t="s">
        <v>2365</v>
      </c>
      <c r="AV1075" t="s">
        <v>2365</v>
      </c>
      <c r="AW1075" t="s">
        <v>2365</v>
      </c>
      <c r="AX1075" t="s">
        <v>2365</v>
      </c>
      <c r="AY1075" t="s">
        <v>2365</v>
      </c>
      <c r="AZ1075" t="s">
        <v>2365</v>
      </c>
      <c r="BA1075" t="s">
        <v>2365</v>
      </c>
      <c r="BB1075" t="s">
        <v>2365</v>
      </c>
      <c r="BC1075" t="s">
        <v>2365</v>
      </c>
      <c r="BD1075" t="s">
        <v>2366</v>
      </c>
      <c r="BE1075" t="s">
        <v>2365</v>
      </c>
      <c r="BF1075" t="s">
        <v>2365</v>
      </c>
      <c r="BG1075" t="s">
        <v>2365</v>
      </c>
      <c r="BH1075" t="s">
        <v>2365</v>
      </c>
      <c r="BI1075" t="s">
        <v>2366</v>
      </c>
      <c r="BJ1075" t="s">
        <v>2365</v>
      </c>
      <c r="BK1075" t="s">
        <v>2365</v>
      </c>
      <c r="BL1075" t="s">
        <v>2365</v>
      </c>
      <c r="BM1075" t="s">
        <v>2365</v>
      </c>
      <c r="BO1075">
        <v>1</v>
      </c>
      <c r="BP1075">
        <v>11</v>
      </c>
      <c r="BQ1075" t="s">
        <v>2369</v>
      </c>
      <c r="BR1075" t="s">
        <v>1487</v>
      </c>
      <c r="BU1075">
        <v>0</v>
      </c>
      <c r="BV1075">
        <v>0</v>
      </c>
      <c r="BW1075">
        <v>0</v>
      </c>
      <c r="BX1075">
        <v>0</v>
      </c>
      <c r="BY1075" s="1371">
        <v>0</v>
      </c>
      <c r="BZ1075" s="1371">
        <v>0</v>
      </c>
      <c r="CA1075">
        <v>0</v>
      </c>
      <c r="CB1075">
        <v>0</v>
      </c>
      <c r="CC1075">
        <v>0</v>
      </c>
      <c r="CD1075">
        <v>0</v>
      </c>
      <c r="CE1075">
        <v>0</v>
      </c>
      <c r="CF1075">
        <v>0</v>
      </c>
      <c r="CG1075">
        <v>0</v>
      </c>
      <c r="CH1075">
        <v>0</v>
      </c>
      <c r="CI1075">
        <v>0</v>
      </c>
      <c r="CJ1075">
        <v>0</v>
      </c>
      <c r="CK1075">
        <v>0</v>
      </c>
      <c r="CL1075">
        <v>0</v>
      </c>
      <c r="CM1075">
        <v>0</v>
      </c>
      <c r="CR1075" t="s">
        <v>2324</v>
      </c>
      <c r="CS1075" s="1369" t="str">
        <f>INDEX([8]Sheet1!$H:$H,MATCH(CR:CR,[8]Sheet1!$AU:$AU,0))</f>
        <v>Finance</v>
      </c>
    </row>
    <row r="1076" spans="1:97" x14ac:dyDescent="0.2">
      <c r="A1076" t="s">
        <v>3946</v>
      </c>
      <c r="B1076">
        <v>1140</v>
      </c>
      <c r="C1076" t="s">
        <v>3946</v>
      </c>
      <c r="D1076">
        <v>30363</v>
      </c>
      <c r="E1076" t="s">
        <v>3745</v>
      </c>
      <c r="F1076" t="s">
        <v>2364</v>
      </c>
      <c r="G1076" t="s">
        <v>2364</v>
      </c>
      <c r="H1076" t="s">
        <v>2365</v>
      </c>
      <c r="I1076" t="s">
        <v>2365</v>
      </c>
      <c r="J1076" t="s">
        <v>2365</v>
      </c>
      <c r="K1076" t="s">
        <v>2365</v>
      </c>
      <c r="L1076">
        <v>1200</v>
      </c>
      <c r="M1076" t="s">
        <v>1480</v>
      </c>
      <c r="N1076">
        <v>1204</v>
      </c>
      <c r="O1076" t="s">
        <v>1487</v>
      </c>
      <c r="P1076" t="s">
        <v>2366</v>
      </c>
      <c r="Q1076" t="s">
        <v>2364</v>
      </c>
      <c r="R1076" t="s">
        <v>2364</v>
      </c>
      <c r="S1076" t="s">
        <v>553</v>
      </c>
      <c r="T1076" t="s">
        <v>2175</v>
      </c>
      <c r="U1076">
        <v>140</v>
      </c>
      <c r="V1076" t="s">
        <v>693</v>
      </c>
      <c r="W1076">
        <v>140</v>
      </c>
      <c r="X1076" t="s">
        <v>693</v>
      </c>
      <c r="Y1076" t="s">
        <v>2365</v>
      </c>
      <c r="Z1076" t="s">
        <v>2365</v>
      </c>
      <c r="AA1076" t="s">
        <v>2365</v>
      </c>
      <c r="AB1076" t="s">
        <v>2365</v>
      </c>
      <c r="AC1076" s="813" t="s">
        <v>2365</v>
      </c>
      <c r="AD1076" s="813" t="s">
        <v>2365</v>
      </c>
      <c r="AE1076" s="813" t="s">
        <v>2365</v>
      </c>
      <c r="AF1076" t="s">
        <v>2365</v>
      </c>
      <c r="AG1076" t="s">
        <v>2365</v>
      </c>
      <c r="AH1076" t="s">
        <v>2365</v>
      </c>
      <c r="AI1076" t="s">
        <v>2365</v>
      </c>
      <c r="AJ1076" t="s">
        <v>2365</v>
      </c>
      <c r="AK1076" t="s">
        <v>2366</v>
      </c>
      <c r="AL1076" t="s">
        <v>2366</v>
      </c>
      <c r="AM1076" t="s">
        <v>2366</v>
      </c>
      <c r="AN1076" t="s">
        <v>2366</v>
      </c>
      <c r="AR1076" t="s">
        <v>2365</v>
      </c>
      <c r="AS1076" t="s">
        <v>2365</v>
      </c>
      <c r="AT1076" t="s">
        <v>2365</v>
      </c>
      <c r="AU1076" t="s">
        <v>2365</v>
      </c>
      <c r="AV1076" t="s">
        <v>2365</v>
      </c>
      <c r="AW1076" t="s">
        <v>2365</v>
      </c>
      <c r="AX1076" t="s">
        <v>2365</v>
      </c>
      <c r="AY1076" t="s">
        <v>2365</v>
      </c>
      <c r="AZ1076" t="s">
        <v>2365</v>
      </c>
      <c r="BA1076" t="s">
        <v>2365</v>
      </c>
      <c r="BB1076" t="s">
        <v>2365</v>
      </c>
      <c r="BC1076" t="s">
        <v>2365</v>
      </c>
      <c r="BD1076" t="s">
        <v>2366</v>
      </c>
      <c r="BE1076" t="s">
        <v>2365</v>
      </c>
      <c r="BF1076" t="s">
        <v>2365</v>
      </c>
      <c r="BG1076" t="s">
        <v>2365</v>
      </c>
      <c r="BH1076" t="s">
        <v>2365</v>
      </c>
      <c r="BI1076" t="s">
        <v>2366</v>
      </c>
      <c r="BJ1076" t="s">
        <v>2365</v>
      </c>
      <c r="BK1076" t="s">
        <v>2365</v>
      </c>
      <c r="BL1076" t="s">
        <v>2365</v>
      </c>
      <c r="BM1076" t="s">
        <v>2365</v>
      </c>
      <c r="BO1076">
        <v>1</v>
      </c>
      <c r="BP1076">
        <v>11</v>
      </c>
      <c r="BQ1076" t="s">
        <v>2369</v>
      </c>
      <c r="BR1076" t="s">
        <v>1487</v>
      </c>
      <c r="BU1076">
        <v>0</v>
      </c>
      <c r="BV1076">
        <v>0</v>
      </c>
      <c r="BW1076">
        <v>0</v>
      </c>
      <c r="BX1076">
        <v>0</v>
      </c>
      <c r="BY1076" s="1371">
        <v>0</v>
      </c>
      <c r="BZ1076" s="1371">
        <v>0</v>
      </c>
      <c r="CA1076">
        <v>0</v>
      </c>
      <c r="CB1076">
        <v>0</v>
      </c>
      <c r="CC1076">
        <v>0</v>
      </c>
      <c r="CD1076">
        <v>0</v>
      </c>
      <c r="CE1076">
        <v>0</v>
      </c>
      <c r="CF1076">
        <v>0</v>
      </c>
      <c r="CG1076">
        <v>0</v>
      </c>
      <c r="CH1076">
        <v>0</v>
      </c>
      <c r="CI1076">
        <v>0</v>
      </c>
      <c r="CJ1076">
        <v>0</v>
      </c>
      <c r="CK1076">
        <v>0</v>
      </c>
      <c r="CL1076">
        <v>0</v>
      </c>
      <c r="CM1076">
        <v>0</v>
      </c>
      <c r="CR1076" t="s">
        <v>2324</v>
      </c>
      <c r="CS1076" s="1369" t="str">
        <f>INDEX([8]Sheet1!$H:$H,MATCH(CR:CR,[8]Sheet1!$AU:$AU,0))</f>
        <v>Finance</v>
      </c>
    </row>
    <row r="1077" spans="1:97" x14ac:dyDescent="0.2">
      <c r="A1077" t="s">
        <v>3947</v>
      </c>
      <c r="B1077">
        <v>1141</v>
      </c>
      <c r="C1077" t="s">
        <v>3947</v>
      </c>
      <c r="D1077">
        <v>30364</v>
      </c>
      <c r="E1077" t="s">
        <v>3747</v>
      </c>
      <c r="F1077" t="s">
        <v>2364</v>
      </c>
      <c r="G1077" t="s">
        <v>2364</v>
      </c>
      <c r="H1077" t="s">
        <v>2365</v>
      </c>
      <c r="I1077" t="s">
        <v>2365</v>
      </c>
      <c r="J1077" t="s">
        <v>2365</v>
      </c>
      <c r="K1077" t="s">
        <v>2365</v>
      </c>
      <c r="L1077">
        <v>1200</v>
      </c>
      <c r="M1077" t="s">
        <v>1480</v>
      </c>
      <c r="N1077">
        <v>1204</v>
      </c>
      <c r="O1077" t="s">
        <v>1487</v>
      </c>
      <c r="P1077" t="s">
        <v>2366</v>
      </c>
      <c r="Q1077" t="s">
        <v>2364</v>
      </c>
      <c r="R1077" t="s">
        <v>2364</v>
      </c>
      <c r="S1077" t="s">
        <v>553</v>
      </c>
      <c r="T1077" t="s">
        <v>2175</v>
      </c>
      <c r="U1077">
        <v>140</v>
      </c>
      <c r="V1077" t="s">
        <v>693</v>
      </c>
      <c r="W1077">
        <v>140</v>
      </c>
      <c r="X1077" t="s">
        <v>693</v>
      </c>
      <c r="Y1077" t="s">
        <v>2365</v>
      </c>
      <c r="Z1077" t="s">
        <v>2365</v>
      </c>
      <c r="AA1077" t="s">
        <v>2365</v>
      </c>
      <c r="AB1077" t="s">
        <v>2365</v>
      </c>
      <c r="AC1077" s="813" t="s">
        <v>2365</v>
      </c>
      <c r="AD1077" s="813" t="s">
        <v>2365</v>
      </c>
      <c r="AE1077" s="813" t="s">
        <v>2365</v>
      </c>
      <c r="AF1077" t="s">
        <v>2365</v>
      </c>
      <c r="AG1077" t="s">
        <v>2365</v>
      </c>
      <c r="AH1077" t="s">
        <v>2365</v>
      </c>
      <c r="AI1077" t="s">
        <v>2365</v>
      </c>
      <c r="AJ1077" t="s">
        <v>2365</v>
      </c>
      <c r="AK1077" t="s">
        <v>2366</v>
      </c>
      <c r="AL1077" t="s">
        <v>2366</v>
      </c>
      <c r="AM1077" t="s">
        <v>2366</v>
      </c>
      <c r="AN1077" t="s">
        <v>2366</v>
      </c>
      <c r="AR1077" t="s">
        <v>2365</v>
      </c>
      <c r="AS1077" t="s">
        <v>2365</v>
      </c>
      <c r="AT1077" t="s">
        <v>2365</v>
      </c>
      <c r="AU1077" t="s">
        <v>2365</v>
      </c>
      <c r="AV1077" t="s">
        <v>2365</v>
      </c>
      <c r="AW1077" t="s">
        <v>2365</v>
      </c>
      <c r="AX1077" t="s">
        <v>2365</v>
      </c>
      <c r="AY1077" t="s">
        <v>2365</v>
      </c>
      <c r="AZ1077" t="s">
        <v>2365</v>
      </c>
      <c r="BA1077" t="s">
        <v>2365</v>
      </c>
      <c r="BB1077" t="s">
        <v>2365</v>
      </c>
      <c r="BC1077" t="s">
        <v>2365</v>
      </c>
      <c r="BD1077" t="s">
        <v>2366</v>
      </c>
      <c r="BE1077" t="s">
        <v>2365</v>
      </c>
      <c r="BF1077" t="s">
        <v>2365</v>
      </c>
      <c r="BG1077" t="s">
        <v>2365</v>
      </c>
      <c r="BH1077" t="s">
        <v>2365</v>
      </c>
      <c r="BI1077" t="s">
        <v>2366</v>
      </c>
      <c r="BJ1077" t="s">
        <v>2365</v>
      </c>
      <c r="BK1077" t="s">
        <v>2365</v>
      </c>
      <c r="BL1077" t="s">
        <v>2365</v>
      </c>
      <c r="BM1077" t="s">
        <v>2365</v>
      </c>
      <c r="BO1077">
        <v>1</v>
      </c>
      <c r="BP1077">
        <v>11</v>
      </c>
      <c r="BQ1077" t="s">
        <v>2369</v>
      </c>
      <c r="BR1077" t="s">
        <v>1487</v>
      </c>
      <c r="BU1077">
        <v>0</v>
      </c>
      <c r="BV1077">
        <v>0</v>
      </c>
      <c r="BW1077">
        <v>0</v>
      </c>
      <c r="BX1077">
        <v>0</v>
      </c>
      <c r="BY1077">
        <v>0</v>
      </c>
      <c r="BZ1077">
        <v>0</v>
      </c>
      <c r="CA1077">
        <v>0</v>
      </c>
      <c r="CB1077">
        <v>0</v>
      </c>
      <c r="CC1077">
        <v>0</v>
      </c>
      <c r="CD1077">
        <v>0</v>
      </c>
      <c r="CE1077">
        <v>0</v>
      </c>
      <c r="CF1077">
        <v>0</v>
      </c>
      <c r="CG1077">
        <v>0</v>
      </c>
      <c r="CH1077">
        <v>0</v>
      </c>
      <c r="CI1077">
        <v>0</v>
      </c>
      <c r="CJ1077">
        <v>0</v>
      </c>
      <c r="CK1077">
        <v>0</v>
      </c>
      <c r="CL1077">
        <v>0</v>
      </c>
      <c r="CM1077">
        <v>0</v>
      </c>
      <c r="CR1077" t="s">
        <v>2324</v>
      </c>
      <c r="CS1077" s="1369" t="str">
        <f>INDEX([8]Sheet1!$H:$H,MATCH(CR:CR,[8]Sheet1!$AU:$AU,0))</f>
        <v>Finance</v>
      </c>
    </row>
    <row r="1078" spans="1:97" x14ac:dyDescent="0.2">
      <c r="A1078" t="s">
        <v>3948</v>
      </c>
      <c r="B1078">
        <v>1142</v>
      </c>
      <c r="C1078" t="s">
        <v>3948</v>
      </c>
      <c r="D1078">
        <v>30365</v>
      </c>
      <c r="E1078" t="s">
        <v>3749</v>
      </c>
      <c r="F1078" t="s">
        <v>2364</v>
      </c>
      <c r="G1078" t="s">
        <v>2364</v>
      </c>
      <c r="H1078" t="s">
        <v>2365</v>
      </c>
      <c r="I1078" t="s">
        <v>2365</v>
      </c>
      <c r="J1078" t="s">
        <v>2365</v>
      </c>
      <c r="K1078" t="s">
        <v>2365</v>
      </c>
      <c r="L1078">
        <v>1200</v>
      </c>
      <c r="M1078" t="s">
        <v>1480</v>
      </c>
      <c r="N1078">
        <v>1204</v>
      </c>
      <c r="O1078" t="s">
        <v>1487</v>
      </c>
      <c r="P1078" t="s">
        <v>2366</v>
      </c>
      <c r="Q1078" t="s">
        <v>2364</v>
      </c>
      <c r="R1078" t="s">
        <v>2364</v>
      </c>
      <c r="S1078" t="s">
        <v>553</v>
      </c>
      <c r="T1078" t="s">
        <v>2175</v>
      </c>
      <c r="U1078">
        <v>140</v>
      </c>
      <c r="V1078" t="s">
        <v>693</v>
      </c>
      <c r="W1078">
        <v>140</v>
      </c>
      <c r="X1078" t="s">
        <v>693</v>
      </c>
      <c r="Y1078" t="s">
        <v>2365</v>
      </c>
      <c r="Z1078" t="s">
        <v>2365</v>
      </c>
      <c r="AA1078" t="s">
        <v>2365</v>
      </c>
      <c r="AB1078" t="s">
        <v>2365</v>
      </c>
      <c r="AC1078" s="813" t="s">
        <v>2365</v>
      </c>
      <c r="AD1078" s="813" t="s">
        <v>2365</v>
      </c>
      <c r="AE1078" s="813" t="s">
        <v>2365</v>
      </c>
      <c r="AF1078" t="s">
        <v>2365</v>
      </c>
      <c r="AG1078" t="s">
        <v>2365</v>
      </c>
      <c r="AH1078" t="s">
        <v>2365</v>
      </c>
      <c r="AI1078" t="s">
        <v>2365</v>
      </c>
      <c r="AJ1078" t="s">
        <v>2365</v>
      </c>
      <c r="AK1078" t="s">
        <v>2366</v>
      </c>
      <c r="AL1078" t="s">
        <v>2366</v>
      </c>
      <c r="AM1078" t="s">
        <v>2366</v>
      </c>
      <c r="AN1078" t="s">
        <v>2366</v>
      </c>
      <c r="AR1078" t="s">
        <v>2365</v>
      </c>
      <c r="AS1078" t="s">
        <v>2365</v>
      </c>
      <c r="AT1078" t="s">
        <v>2365</v>
      </c>
      <c r="AU1078" t="s">
        <v>2365</v>
      </c>
      <c r="AV1078" t="s">
        <v>2365</v>
      </c>
      <c r="AW1078" t="s">
        <v>2365</v>
      </c>
      <c r="AX1078" t="s">
        <v>2365</v>
      </c>
      <c r="AY1078" t="s">
        <v>2365</v>
      </c>
      <c r="AZ1078" t="s">
        <v>2365</v>
      </c>
      <c r="BA1078" t="s">
        <v>2365</v>
      </c>
      <c r="BB1078" t="s">
        <v>2365</v>
      </c>
      <c r="BC1078" t="s">
        <v>2365</v>
      </c>
      <c r="BD1078" t="s">
        <v>2366</v>
      </c>
      <c r="BE1078" t="s">
        <v>2365</v>
      </c>
      <c r="BF1078" t="s">
        <v>2365</v>
      </c>
      <c r="BG1078" t="s">
        <v>2365</v>
      </c>
      <c r="BH1078" t="s">
        <v>2365</v>
      </c>
      <c r="BI1078" t="s">
        <v>2366</v>
      </c>
      <c r="BJ1078" t="s">
        <v>2365</v>
      </c>
      <c r="BK1078" t="s">
        <v>2365</v>
      </c>
      <c r="BL1078" t="s">
        <v>2365</v>
      </c>
      <c r="BM1078" t="s">
        <v>2365</v>
      </c>
      <c r="BO1078">
        <v>1</v>
      </c>
      <c r="BP1078">
        <v>11</v>
      </c>
      <c r="BQ1078" t="s">
        <v>2369</v>
      </c>
      <c r="BR1078" t="s">
        <v>1487</v>
      </c>
      <c r="BU1078">
        <v>0</v>
      </c>
      <c r="BV1078">
        <v>0</v>
      </c>
      <c r="BW1078">
        <v>0</v>
      </c>
      <c r="BX1078">
        <v>0</v>
      </c>
      <c r="BY1078" s="1371">
        <v>0</v>
      </c>
      <c r="BZ1078" s="1371">
        <v>0</v>
      </c>
      <c r="CA1078">
        <v>0</v>
      </c>
      <c r="CB1078">
        <v>0</v>
      </c>
      <c r="CC1078">
        <v>0</v>
      </c>
      <c r="CD1078">
        <v>0</v>
      </c>
      <c r="CE1078">
        <v>0</v>
      </c>
      <c r="CF1078">
        <v>0</v>
      </c>
      <c r="CG1078">
        <v>0</v>
      </c>
      <c r="CH1078">
        <v>0</v>
      </c>
      <c r="CI1078">
        <v>0</v>
      </c>
      <c r="CJ1078">
        <v>0</v>
      </c>
      <c r="CK1078">
        <v>0</v>
      </c>
      <c r="CL1078">
        <v>0</v>
      </c>
      <c r="CM1078">
        <v>0</v>
      </c>
      <c r="CR1078" t="s">
        <v>2324</v>
      </c>
      <c r="CS1078" s="1369" t="str">
        <f>INDEX([8]Sheet1!$H:$H,MATCH(CR:CR,[8]Sheet1!$AU:$AU,0))</f>
        <v>Finance</v>
      </c>
    </row>
    <row r="1079" spans="1:97" x14ac:dyDescent="0.2">
      <c r="A1079" t="s">
        <v>3949</v>
      </c>
      <c r="B1079">
        <v>1143</v>
      </c>
      <c r="C1079" t="s">
        <v>3949</v>
      </c>
      <c r="D1079">
        <v>30366</v>
      </c>
      <c r="E1079" t="s">
        <v>3497</v>
      </c>
      <c r="F1079" t="s">
        <v>2364</v>
      </c>
      <c r="G1079" t="s">
        <v>2364</v>
      </c>
      <c r="H1079" t="s">
        <v>2365</v>
      </c>
      <c r="I1079" t="s">
        <v>2365</v>
      </c>
      <c r="J1079" t="s">
        <v>2365</v>
      </c>
      <c r="K1079" t="s">
        <v>2365</v>
      </c>
      <c r="L1079">
        <v>1200</v>
      </c>
      <c r="M1079" t="s">
        <v>1480</v>
      </c>
      <c r="N1079">
        <v>1204</v>
      </c>
      <c r="O1079" t="s">
        <v>1487</v>
      </c>
      <c r="P1079" t="s">
        <v>2366</v>
      </c>
      <c r="Q1079" t="s">
        <v>2364</v>
      </c>
      <c r="R1079" t="s">
        <v>2364</v>
      </c>
      <c r="S1079" t="s">
        <v>553</v>
      </c>
      <c r="T1079" t="s">
        <v>2175</v>
      </c>
      <c r="U1079" t="s">
        <v>2366</v>
      </c>
      <c r="V1079" t="s">
        <v>2366</v>
      </c>
      <c r="W1079" t="s">
        <v>2366</v>
      </c>
      <c r="X1079" t="s">
        <v>2366</v>
      </c>
      <c r="Y1079" t="s">
        <v>2365</v>
      </c>
      <c r="Z1079" t="s">
        <v>2365</v>
      </c>
      <c r="AA1079" t="s">
        <v>2365</v>
      </c>
      <c r="AB1079" t="s">
        <v>2365</v>
      </c>
      <c r="AC1079" s="813" t="s">
        <v>2365</v>
      </c>
      <c r="AD1079" s="813" t="s">
        <v>2365</v>
      </c>
      <c r="AE1079" s="813" t="s">
        <v>2365</v>
      </c>
      <c r="AF1079" t="s">
        <v>2365</v>
      </c>
      <c r="AG1079" t="s">
        <v>2365</v>
      </c>
      <c r="AH1079" t="s">
        <v>2365</v>
      </c>
      <c r="AI1079" t="s">
        <v>2365</v>
      </c>
      <c r="AJ1079" t="s">
        <v>2365</v>
      </c>
      <c r="AK1079">
        <v>146</v>
      </c>
      <c r="AL1079" t="s">
        <v>1199</v>
      </c>
      <c r="AM1079">
        <v>146</v>
      </c>
      <c r="AN1079" t="s">
        <v>1199</v>
      </c>
      <c r="AR1079" t="s">
        <v>2365</v>
      </c>
      <c r="AS1079" t="s">
        <v>2365</v>
      </c>
      <c r="AT1079" t="s">
        <v>2365</v>
      </c>
      <c r="AU1079" t="s">
        <v>2365</v>
      </c>
      <c r="AV1079" t="s">
        <v>2365</v>
      </c>
      <c r="AW1079" t="s">
        <v>2365</v>
      </c>
      <c r="AX1079" t="s">
        <v>2365</v>
      </c>
      <c r="AY1079" t="s">
        <v>2365</v>
      </c>
      <c r="AZ1079" t="s">
        <v>2365</v>
      </c>
      <c r="BA1079" t="s">
        <v>2365</v>
      </c>
      <c r="BB1079" t="s">
        <v>2365</v>
      </c>
      <c r="BC1079" t="s">
        <v>2365</v>
      </c>
      <c r="BD1079" t="s">
        <v>2366</v>
      </c>
      <c r="BE1079" t="s">
        <v>2365</v>
      </c>
      <c r="BF1079" t="s">
        <v>2365</v>
      </c>
      <c r="BG1079" t="s">
        <v>2365</v>
      </c>
      <c r="BH1079" t="s">
        <v>2365</v>
      </c>
      <c r="BI1079" t="s">
        <v>2366</v>
      </c>
      <c r="BJ1079" t="s">
        <v>2365</v>
      </c>
      <c r="BK1079" t="s">
        <v>2365</v>
      </c>
      <c r="BL1079" t="s">
        <v>2365</v>
      </c>
      <c r="BM1079" t="s">
        <v>2365</v>
      </c>
      <c r="BO1079">
        <v>1</v>
      </c>
      <c r="BP1079">
        <v>11</v>
      </c>
      <c r="BQ1079" t="s">
        <v>2369</v>
      </c>
      <c r="BR1079" t="s">
        <v>1487</v>
      </c>
      <c r="BU1079">
        <v>0</v>
      </c>
      <c r="BV1079">
        <v>0</v>
      </c>
      <c r="BW1079">
        <v>0</v>
      </c>
      <c r="BX1079">
        <v>0</v>
      </c>
      <c r="BY1079" s="1371">
        <v>0</v>
      </c>
      <c r="BZ1079" s="1371">
        <v>0</v>
      </c>
      <c r="CA1079">
        <v>0</v>
      </c>
      <c r="CB1079">
        <v>0</v>
      </c>
      <c r="CC1079">
        <v>0</v>
      </c>
      <c r="CD1079">
        <v>0</v>
      </c>
      <c r="CE1079">
        <v>0</v>
      </c>
      <c r="CF1079">
        <v>0</v>
      </c>
      <c r="CG1079">
        <v>0</v>
      </c>
      <c r="CH1079">
        <v>0</v>
      </c>
      <c r="CI1079">
        <v>0</v>
      </c>
      <c r="CJ1079">
        <v>0</v>
      </c>
      <c r="CK1079">
        <v>0</v>
      </c>
      <c r="CL1079">
        <v>0</v>
      </c>
      <c r="CM1079">
        <v>0</v>
      </c>
      <c r="CR1079" t="s">
        <v>2324</v>
      </c>
      <c r="CS1079" s="1369" t="str">
        <f>INDEX([8]Sheet1!$H:$H,MATCH(CR:CR,[8]Sheet1!$AU:$AU,0))</f>
        <v>Finance</v>
      </c>
    </row>
    <row r="1080" spans="1:97" x14ac:dyDescent="0.2">
      <c r="A1080" t="s">
        <v>3950</v>
      </c>
      <c r="B1080">
        <v>1144</v>
      </c>
      <c r="C1080" t="s">
        <v>3950</v>
      </c>
      <c r="D1080">
        <v>30367</v>
      </c>
      <c r="E1080" t="s">
        <v>3501</v>
      </c>
      <c r="F1080" t="s">
        <v>2364</v>
      </c>
      <c r="G1080" t="s">
        <v>2364</v>
      </c>
      <c r="H1080" t="s">
        <v>2365</v>
      </c>
      <c r="I1080" t="s">
        <v>2365</v>
      </c>
      <c r="J1080" t="s">
        <v>2365</v>
      </c>
      <c r="K1080" t="s">
        <v>2365</v>
      </c>
      <c r="L1080">
        <v>1200</v>
      </c>
      <c r="M1080" t="s">
        <v>1480</v>
      </c>
      <c r="N1080">
        <v>1204</v>
      </c>
      <c r="O1080" t="s">
        <v>1487</v>
      </c>
      <c r="P1080" t="s">
        <v>2366</v>
      </c>
      <c r="Q1080" t="s">
        <v>2364</v>
      </c>
      <c r="R1080" t="s">
        <v>2364</v>
      </c>
      <c r="S1080" t="s">
        <v>553</v>
      </c>
      <c r="T1080" t="s">
        <v>2175</v>
      </c>
      <c r="U1080" t="s">
        <v>2366</v>
      </c>
      <c r="V1080" t="s">
        <v>2366</v>
      </c>
      <c r="W1080" t="s">
        <v>2366</v>
      </c>
      <c r="X1080" t="s">
        <v>2366</v>
      </c>
      <c r="Y1080" t="s">
        <v>2365</v>
      </c>
      <c r="Z1080" t="s">
        <v>2365</v>
      </c>
      <c r="AA1080" t="s">
        <v>2365</v>
      </c>
      <c r="AB1080" t="s">
        <v>2365</v>
      </c>
      <c r="AC1080" s="813" t="s">
        <v>2365</v>
      </c>
      <c r="AD1080" s="813" t="s">
        <v>2365</v>
      </c>
      <c r="AE1080" s="813" t="s">
        <v>2365</v>
      </c>
      <c r="AF1080" t="s">
        <v>2365</v>
      </c>
      <c r="AG1080" t="s">
        <v>2365</v>
      </c>
      <c r="AH1080" t="s">
        <v>2365</v>
      </c>
      <c r="AI1080" t="s">
        <v>2365</v>
      </c>
      <c r="AJ1080" t="s">
        <v>2365</v>
      </c>
      <c r="AK1080">
        <v>146</v>
      </c>
      <c r="AL1080" t="s">
        <v>1199</v>
      </c>
      <c r="AM1080">
        <v>146</v>
      </c>
      <c r="AN1080" t="s">
        <v>1199</v>
      </c>
      <c r="AR1080" t="s">
        <v>2365</v>
      </c>
      <c r="AS1080" t="s">
        <v>2365</v>
      </c>
      <c r="AT1080" t="s">
        <v>2365</v>
      </c>
      <c r="AU1080" t="s">
        <v>2365</v>
      </c>
      <c r="AV1080" t="s">
        <v>2365</v>
      </c>
      <c r="AW1080" t="s">
        <v>2365</v>
      </c>
      <c r="AX1080" t="s">
        <v>2365</v>
      </c>
      <c r="AY1080" t="s">
        <v>2365</v>
      </c>
      <c r="AZ1080" t="s">
        <v>2365</v>
      </c>
      <c r="BA1080" t="s">
        <v>2365</v>
      </c>
      <c r="BB1080" t="s">
        <v>2365</v>
      </c>
      <c r="BC1080" t="s">
        <v>2365</v>
      </c>
      <c r="BD1080" t="s">
        <v>2366</v>
      </c>
      <c r="BE1080" t="s">
        <v>2365</v>
      </c>
      <c r="BF1080" t="s">
        <v>2365</v>
      </c>
      <c r="BG1080" t="s">
        <v>2365</v>
      </c>
      <c r="BH1080" t="s">
        <v>2365</v>
      </c>
      <c r="BI1080" t="s">
        <v>2366</v>
      </c>
      <c r="BJ1080" t="s">
        <v>2365</v>
      </c>
      <c r="BK1080" t="s">
        <v>2365</v>
      </c>
      <c r="BL1080" t="s">
        <v>2365</v>
      </c>
      <c r="BM1080" t="s">
        <v>2365</v>
      </c>
      <c r="BO1080">
        <v>1</v>
      </c>
      <c r="BP1080">
        <v>11</v>
      </c>
      <c r="BQ1080" t="s">
        <v>2369</v>
      </c>
      <c r="BR1080" t="s">
        <v>1487</v>
      </c>
      <c r="BU1080">
        <v>0</v>
      </c>
      <c r="BV1080">
        <v>0</v>
      </c>
      <c r="BW1080">
        <v>0</v>
      </c>
      <c r="BX1080">
        <v>0</v>
      </c>
      <c r="BY1080">
        <v>0</v>
      </c>
      <c r="BZ1080">
        <v>0</v>
      </c>
      <c r="CA1080">
        <v>0</v>
      </c>
      <c r="CB1080">
        <v>0</v>
      </c>
      <c r="CC1080">
        <v>0</v>
      </c>
      <c r="CD1080">
        <v>0</v>
      </c>
      <c r="CE1080">
        <v>0</v>
      </c>
      <c r="CF1080">
        <v>0</v>
      </c>
      <c r="CG1080">
        <v>0</v>
      </c>
      <c r="CH1080">
        <v>0</v>
      </c>
      <c r="CI1080">
        <v>0</v>
      </c>
      <c r="CJ1080">
        <v>0</v>
      </c>
      <c r="CK1080">
        <v>0</v>
      </c>
      <c r="CL1080">
        <v>0</v>
      </c>
      <c r="CM1080">
        <v>0</v>
      </c>
      <c r="CR1080" t="s">
        <v>2324</v>
      </c>
      <c r="CS1080" s="1369" t="str">
        <f>INDEX([8]Sheet1!$H:$H,MATCH(CR:CR,[8]Sheet1!$AU:$AU,0))</f>
        <v>Finance</v>
      </c>
    </row>
    <row r="1081" spans="1:97" x14ac:dyDescent="0.2">
      <c r="A1081" t="s">
        <v>3951</v>
      </c>
      <c r="B1081">
        <v>1145</v>
      </c>
      <c r="C1081" t="s">
        <v>3951</v>
      </c>
      <c r="D1081">
        <v>30368</v>
      </c>
      <c r="E1081" t="s">
        <v>3503</v>
      </c>
      <c r="F1081" t="s">
        <v>2364</v>
      </c>
      <c r="G1081" t="s">
        <v>2364</v>
      </c>
      <c r="H1081" t="s">
        <v>2365</v>
      </c>
      <c r="I1081" t="s">
        <v>2365</v>
      </c>
      <c r="J1081" t="s">
        <v>2365</v>
      </c>
      <c r="K1081" t="s">
        <v>2365</v>
      </c>
      <c r="L1081">
        <v>1200</v>
      </c>
      <c r="M1081" t="s">
        <v>1480</v>
      </c>
      <c r="N1081">
        <v>1204</v>
      </c>
      <c r="O1081" t="s">
        <v>1487</v>
      </c>
      <c r="P1081" t="s">
        <v>2366</v>
      </c>
      <c r="Q1081" t="s">
        <v>2364</v>
      </c>
      <c r="R1081" t="s">
        <v>2364</v>
      </c>
      <c r="S1081" t="s">
        <v>553</v>
      </c>
      <c r="T1081" t="s">
        <v>2175</v>
      </c>
      <c r="U1081">
        <v>140</v>
      </c>
      <c r="V1081" t="s">
        <v>693</v>
      </c>
      <c r="W1081">
        <v>140</v>
      </c>
      <c r="X1081" t="s">
        <v>693</v>
      </c>
      <c r="Y1081" t="s">
        <v>2365</v>
      </c>
      <c r="Z1081" t="s">
        <v>2365</v>
      </c>
      <c r="AA1081" t="s">
        <v>2365</v>
      </c>
      <c r="AB1081" t="s">
        <v>2365</v>
      </c>
      <c r="AC1081" s="813" t="s">
        <v>2365</v>
      </c>
      <c r="AD1081" s="813" t="s">
        <v>2365</v>
      </c>
      <c r="AE1081" s="813" t="s">
        <v>2365</v>
      </c>
      <c r="AF1081" t="s">
        <v>2365</v>
      </c>
      <c r="AG1081" t="s">
        <v>2365</v>
      </c>
      <c r="AH1081" t="s">
        <v>2365</v>
      </c>
      <c r="AI1081" t="s">
        <v>2365</v>
      </c>
      <c r="AJ1081" t="s">
        <v>2365</v>
      </c>
      <c r="AK1081" t="s">
        <v>2366</v>
      </c>
      <c r="AL1081" t="s">
        <v>2366</v>
      </c>
      <c r="AM1081" t="s">
        <v>2366</v>
      </c>
      <c r="AN1081" t="s">
        <v>2366</v>
      </c>
      <c r="AR1081" t="s">
        <v>2365</v>
      </c>
      <c r="AS1081" t="s">
        <v>2365</v>
      </c>
      <c r="AT1081" t="s">
        <v>2365</v>
      </c>
      <c r="AU1081" t="s">
        <v>2365</v>
      </c>
      <c r="AV1081" t="s">
        <v>2365</v>
      </c>
      <c r="AW1081" t="s">
        <v>2365</v>
      </c>
      <c r="AX1081" t="s">
        <v>2365</v>
      </c>
      <c r="AY1081" t="s">
        <v>2365</v>
      </c>
      <c r="AZ1081" t="s">
        <v>2365</v>
      </c>
      <c r="BA1081" t="s">
        <v>2365</v>
      </c>
      <c r="BB1081" t="s">
        <v>2365</v>
      </c>
      <c r="BC1081" t="s">
        <v>2365</v>
      </c>
      <c r="BD1081" t="s">
        <v>2366</v>
      </c>
      <c r="BE1081" t="s">
        <v>2365</v>
      </c>
      <c r="BF1081" t="s">
        <v>2365</v>
      </c>
      <c r="BG1081" t="s">
        <v>2365</v>
      </c>
      <c r="BH1081" t="s">
        <v>2365</v>
      </c>
      <c r="BI1081" t="s">
        <v>2366</v>
      </c>
      <c r="BJ1081" t="s">
        <v>2365</v>
      </c>
      <c r="BK1081" t="s">
        <v>2365</v>
      </c>
      <c r="BL1081" t="s">
        <v>2365</v>
      </c>
      <c r="BM1081" t="s">
        <v>2365</v>
      </c>
      <c r="BO1081">
        <v>1</v>
      </c>
      <c r="BP1081">
        <v>11</v>
      </c>
      <c r="BQ1081" t="s">
        <v>2369</v>
      </c>
      <c r="BR1081" t="s">
        <v>1487</v>
      </c>
      <c r="BU1081">
        <v>0</v>
      </c>
      <c r="BV1081">
        <v>0</v>
      </c>
      <c r="BW1081">
        <v>0</v>
      </c>
      <c r="BX1081">
        <v>0</v>
      </c>
      <c r="BY1081">
        <v>0</v>
      </c>
      <c r="BZ1081">
        <v>0</v>
      </c>
      <c r="CA1081">
        <v>0</v>
      </c>
      <c r="CB1081">
        <v>0</v>
      </c>
      <c r="CC1081">
        <v>0</v>
      </c>
      <c r="CD1081">
        <v>0</v>
      </c>
      <c r="CE1081">
        <v>0</v>
      </c>
      <c r="CF1081">
        <v>0</v>
      </c>
      <c r="CG1081">
        <v>0</v>
      </c>
      <c r="CH1081">
        <v>0</v>
      </c>
      <c r="CI1081">
        <v>0</v>
      </c>
      <c r="CJ1081">
        <v>0</v>
      </c>
      <c r="CK1081">
        <v>0</v>
      </c>
      <c r="CL1081">
        <v>0</v>
      </c>
      <c r="CM1081">
        <v>0</v>
      </c>
      <c r="CR1081" t="s">
        <v>2324</v>
      </c>
      <c r="CS1081" s="1369" t="str">
        <f>INDEX([8]Sheet1!$H:$H,MATCH(CR:CR,[8]Sheet1!$AU:$AU,0))</f>
        <v>Finance</v>
      </c>
    </row>
    <row r="1082" spans="1:97" x14ac:dyDescent="0.2">
      <c r="A1082" t="s">
        <v>3952</v>
      </c>
      <c r="B1082">
        <v>1147</v>
      </c>
      <c r="C1082" t="s">
        <v>3952</v>
      </c>
      <c r="D1082">
        <v>30370</v>
      </c>
      <c r="E1082" t="s">
        <v>3511</v>
      </c>
      <c r="F1082" t="s">
        <v>2364</v>
      </c>
      <c r="G1082" t="s">
        <v>2364</v>
      </c>
      <c r="H1082" t="s">
        <v>2365</v>
      </c>
      <c r="I1082" t="s">
        <v>2365</v>
      </c>
      <c r="J1082" t="s">
        <v>2365</v>
      </c>
      <c r="K1082" t="s">
        <v>2365</v>
      </c>
      <c r="L1082">
        <v>1200</v>
      </c>
      <c r="M1082" t="s">
        <v>1480</v>
      </c>
      <c r="N1082">
        <v>1204</v>
      </c>
      <c r="O1082" t="s">
        <v>1487</v>
      </c>
      <c r="P1082" t="s">
        <v>2366</v>
      </c>
      <c r="Q1082" t="s">
        <v>2364</v>
      </c>
      <c r="R1082" t="s">
        <v>2364</v>
      </c>
      <c r="S1082" t="s">
        <v>553</v>
      </c>
      <c r="T1082" t="s">
        <v>2175</v>
      </c>
      <c r="U1082">
        <v>140</v>
      </c>
      <c r="V1082" t="s">
        <v>693</v>
      </c>
      <c r="W1082">
        <v>140</v>
      </c>
      <c r="X1082" t="s">
        <v>693</v>
      </c>
      <c r="Y1082" t="s">
        <v>2365</v>
      </c>
      <c r="Z1082" t="s">
        <v>2365</v>
      </c>
      <c r="AA1082" t="s">
        <v>2365</v>
      </c>
      <c r="AB1082" t="s">
        <v>2365</v>
      </c>
      <c r="AC1082" s="813" t="s">
        <v>2365</v>
      </c>
      <c r="AD1082" s="813" t="s">
        <v>2365</v>
      </c>
      <c r="AE1082" s="813" t="s">
        <v>2365</v>
      </c>
      <c r="AF1082" t="s">
        <v>2365</v>
      </c>
      <c r="AG1082" t="s">
        <v>2365</v>
      </c>
      <c r="AH1082" t="s">
        <v>2365</v>
      </c>
      <c r="AI1082" t="s">
        <v>2365</v>
      </c>
      <c r="AJ1082" t="s">
        <v>2365</v>
      </c>
      <c r="AK1082">
        <v>147</v>
      </c>
      <c r="AL1082" t="s">
        <v>1200</v>
      </c>
      <c r="AM1082">
        <v>147</v>
      </c>
      <c r="AN1082" t="s">
        <v>1200</v>
      </c>
      <c r="AR1082" t="s">
        <v>2365</v>
      </c>
      <c r="AS1082" t="s">
        <v>2365</v>
      </c>
      <c r="AT1082" t="s">
        <v>2365</v>
      </c>
      <c r="AU1082" t="s">
        <v>2365</v>
      </c>
      <c r="AV1082" t="s">
        <v>2365</v>
      </c>
      <c r="AW1082" t="s">
        <v>2365</v>
      </c>
      <c r="AX1082" t="s">
        <v>2365</v>
      </c>
      <c r="AY1082" t="s">
        <v>2365</v>
      </c>
      <c r="AZ1082" t="s">
        <v>2365</v>
      </c>
      <c r="BA1082" t="s">
        <v>2365</v>
      </c>
      <c r="BB1082" t="s">
        <v>2365</v>
      </c>
      <c r="BC1082" t="s">
        <v>2365</v>
      </c>
      <c r="BD1082" t="s">
        <v>2366</v>
      </c>
      <c r="BE1082" t="s">
        <v>2365</v>
      </c>
      <c r="BF1082" t="s">
        <v>2365</v>
      </c>
      <c r="BG1082" t="s">
        <v>2365</v>
      </c>
      <c r="BH1082" t="s">
        <v>2365</v>
      </c>
      <c r="BI1082" t="s">
        <v>2366</v>
      </c>
      <c r="BJ1082" t="s">
        <v>2365</v>
      </c>
      <c r="BK1082" t="s">
        <v>2365</v>
      </c>
      <c r="BL1082" t="s">
        <v>2365</v>
      </c>
      <c r="BM1082" t="s">
        <v>2365</v>
      </c>
      <c r="BO1082">
        <v>1</v>
      </c>
      <c r="BP1082">
        <v>11</v>
      </c>
      <c r="BQ1082" t="s">
        <v>2369</v>
      </c>
      <c r="BR1082" t="s">
        <v>1487</v>
      </c>
      <c r="BU1082">
        <v>0</v>
      </c>
      <c r="BV1082">
        <v>0</v>
      </c>
      <c r="BW1082">
        <v>0</v>
      </c>
      <c r="BX1082">
        <v>0</v>
      </c>
      <c r="BY1082" s="1371">
        <v>0</v>
      </c>
      <c r="BZ1082" s="1371">
        <v>0</v>
      </c>
      <c r="CA1082">
        <v>0</v>
      </c>
      <c r="CB1082">
        <v>0</v>
      </c>
      <c r="CC1082">
        <v>0</v>
      </c>
      <c r="CD1082">
        <v>0</v>
      </c>
      <c r="CE1082">
        <v>0</v>
      </c>
      <c r="CF1082">
        <v>0</v>
      </c>
      <c r="CG1082">
        <v>0</v>
      </c>
      <c r="CH1082">
        <v>0</v>
      </c>
      <c r="CI1082">
        <v>0</v>
      </c>
      <c r="CJ1082">
        <v>0</v>
      </c>
      <c r="CK1082">
        <v>0</v>
      </c>
      <c r="CL1082">
        <v>0</v>
      </c>
      <c r="CM1082">
        <v>0</v>
      </c>
      <c r="CR1082" t="s">
        <v>2324</v>
      </c>
      <c r="CS1082" s="1369" t="str">
        <f>INDEX([8]Sheet1!$H:$H,MATCH(CR:CR,[8]Sheet1!$AU:$AU,0))</f>
        <v>Finance</v>
      </c>
    </row>
    <row r="1083" spans="1:97" x14ac:dyDescent="0.2">
      <c r="A1083" t="s">
        <v>3953</v>
      </c>
      <c r="B1083">
        <v>1148</v>
      </c>
      <c r="C1083" t="s">
        <v>3953</v>
      </c>
      <c r="D1083">
        <v>30371</v>
      </c>
      <c r="E1083" t="s">
        <v>3515</v>
      </c>
      <c r="F1083" t="s">
        <v>2364</v>
      </c>
      <c r="G1083" t="s">
        <v>2364</v>
      </c>
      <c r="H1083" t="s">
        <v>2365</v>
      </c>
      <c r="I1083" t="s">
        <v>2365</v>
      </c>
      <c r="J1083" t="s">
        <v>2365</v>
      </c>
      <c r="K1083" t="s">
        <v>2365</v>
      </c>
      <c r="L1083">
        <v>1200</v>
      </c>
      <c r="M1083" t="s">
        <v>1480</v>
      </c>
      <c r="N1083">
        <v>1204</v>
      </c>
      <c r="O1083" t="s">
        <v>1487</v>
      </c>
      <c r="P1083" t="s">
        <v>2366</v>
      </c>
      <c r="Q1083" t="s">
        <v>2364</v>
      </c>
      <c r="R1083" t="s">
        <v>2364</v>
      </c>
      <c r="S1083" t="s">
        <v>553</v>
      </c>
      <c r="T1083" t="s">
        <v>2175</v>
      </c>
      <c r="U1083">
        <v>140</v>
      </c>
      <c r="V1083" t="s">
        <v>693</v>
      </c>
      <c r="W1083">
        <v>140</v>
      </c>
      <c r="X1083" t="s">
        <v>693</v>
      </c>
      <c r="Y1083" t="s">
        <v>2365</v>
      </c>
      <c r="Z1083" t="s">
        <v>2365</v>
      </c>
      <c r="AA1083" t="s">
        <v>2365</v>
      </c>
      <c r="AB1083" t="s">
        <v>2365</v>
      </c>
      <c r="AC1083" s="813" t="s">
        <v>2365</v>
      </c>
      <c r="AD1083" s="813" t="s">
        <v>2365</v>
      </c>
      <c r="AE1083" s="813" t="s">
        <v>2365</v>
      </c>
      <c r="AF1083" t="s">
        <v>2365</v>
      </c>
      <c r="AG1083" t="s">
        <v>2365</v>
      </c>
      <c r="AH1083" t="s">
        <v>2365</v>
      </c>
      <c r="AI1083" t="s">
        <v>2365</v>
      </c>
      <c r="AJ1083" t="s">
        <v>2365</v>
      </c>
      <c r="AK1083" t="s">
        <v>2366</v>
      </c>
      <c r="AL1083" t="s">
        <v>2366</v>
      </c>
      <c r="AM1083" t="s">
        <v>2366</v>
      </c>
      <c r="AN1083" t="s">
        <v>2366</v>
      </c>
      <c r="AR1083" t="s">
        <v>2365</v>
      </c>
      <c r="AS1083" t="s">
        <v>2365</v>
      </c>
      <c r="AT1083" t="s">
        <v>2365</v>
      </c>
      <c r="AU1083" t="s">
        <v>2365</v>
      </c>
      <c r="AV1083" t="s">
        <v>2365</v>
      </c>
      <c r="AW1083" t="s">
        <v>2365</v>
      </c>
      <c r="AX1083" t="s">
        <v>2365</v>
      </c>
      <c r="AY1083" t="s">
        <v>2365</v>
      </c>
      <c r="AZ1083" t="s">
        <v>2365</v>
      </c>
      <c r="BA1083" t="s">
        <v>2365</v>
      </c>
      <c r="BB1083" t="s">
        <v>2365</v>
      </c>
      <c r="BC1083" t="s">
        <v>2365</v>
      </c>
      <c r="BD1083" t="s">
        <v>2366</v>
      </c>
      <c r="BE1083" t="s">
        <v>2365</v>
      </c>
      <c r="BF1083" t="s">
        <v>2365</v>
      </c>
      <c r="BG1083" t="s">
        <v>2365</v>
      </c>
      <c r="BH1083" t="s">
        <v>2365</v>
      </c>
      <c r="BI1083" t="s">
        <v>2366</v>
      </c>
      <c r="BJ1083" t="s">
        <v>2365</v>
      </c>
      <c r="BK1083" t="s">
        <v>2365</v>
      </c>
      <c r="BL1083" t="s">
        <v>2365</v>
      </c>
      <c r="BM1083" t="s">
        <v>2365</v>
      </c>
      <c r="BO1083">
        <v>1</v>
      </c>
      <c r="BP1083">
        <v>11</v>
      </c>
      <c r="BQ1083" t="s">
        <v>2369</v>
      </c>
      <c r="BR1083" t="s">
        <v>1487</v>
      </c>
      <c r="BU1083">
        <v>0</v>
      </c>
      <c r="BV1083">
        <v>0</v>
      </c>
      <c r="BW1083">
        <v>0</v>
      </c>
      <c r="BX1083">
        <v>0</v>
      </c>
      <c r="BY1083">
        <v>0</v>
      </c>
      <c r="BZ1083">
        <v>0</v>
      </c>
      <c r="CA1083">
        <v>0</v>
      </c>
      <c r="CB1083">
        <v>0</v>
      </c>
      <c r="CC1083">
        <v>0</v>
      </c>
      <c r="CD1083">
        <v>0</v>
      </c>
      <c r="CE1083">
        <v>0</v>
      </c>
      <c r="CF1083">
        <v>0</v>
      </c>
      <c r="CG1083">
        <v>0</v>
      </c>
      <c r="CH1083">
        <v>0</v>
      </c>
      <c r="CI1083">
        <v>0</v>
      </c>
      <c r="CJ1083">
        <v>0</v>
      </c>
      <c r="CK1083">
        <v>0</v>
      </c>
      <c r="CL1083">
        <v>0</v>
      </c>
      <c r="CM1083">
        <v>0</v>
      </c>
      <c r="CR1083" t="s">
        <v>2324</v>
      </c>
      <c r="CS1083" s="1369" t="str">
        <f>INDEX([8]Sheet1!$H:$H,MATCH(CR:CR,[8]Sheet1!$AU:$AU,0))</f>
        <v>Finance</v>
      </c>
    </row>
    <row r="1084" spans="1:97" x14ac:dyDescent="0.2">
      <c r="A1084" t="s">
        <v>3954</v>
      </c>
      <c r="B1084">
        <v>1150</v>
      </c>
      <c r="C1084" t="s">
        <v>3954</v>
      </c>
      <c r="D1084">
        <v>30373</v>
      </c>
      <c r="E1084" t="s">
        <v>3523</v>
      </c>
      <c r="F1084" t="s">
        <v>2364</v>
      </c>
      <c r="G1084" t="s">
        <v>2364</v>
      </c>
      <c r="H1084" t="s">
        <v>2365</v>
      </c>
      <c r="I1084" t="s">
        <v>2365</v>
      </c>
      <c r="J1084" t="s">
        <v>2365</v>
      </c>
      <c r="K1084" t="s">
        <v>2365</v>
      </c>
      <c r="L1084">
        <v>1200</v>
      </c>
      <c r="M1084" t="s">
        <v>1480</v>
      </c>
      <c r="N1084">
        <v>1204</v>
      </c>
      <c r="O1084" t="s">
        <v>1487</v>
      </c>
      <c r="P1084" t="s">
        <v>2366</v>
      </c>
      <c r="Q1084" t="s">
        <v>2364</v>
      </c>
      <c r="R1084" t="s">
        <v>2364</v>
      </c>
      <c r="S1084" t="s">
        <v>553</v>
      </c>
      <c r="T1084" t="s">
        <v>2175</v>
      </c>
      <c r="U1084">
        <v>140</v>
      </c>
      <c r="V1084" t="s">
        <v>693</v>
      </c>
      <c r="W1084">
        <v>140</v>
      </c>
      <c r="X1084" t="s">
        <v>693</v>
      </c>
      <c r="Y1084" t="s">
        <v>2365</v>
      </c>
      <c r="Z1084" t="s">
        <v>2365</v>
      </c>
      <c r="AA1084" t="s">
        <v>2365</v>
      </c>
      <c r="AB1084" t="s">
        <v>2365</v>
      </c>
      <c r="AC1084" s="813" t="s">
        <v>2365</v>
      </c>
      <c r="AD1084" s="813" t="s">
        <v>2365</v>
      </c>
      <c r="AE1084" s="813" t="s">
        <v>2365</v>
      </c>
      <c r="AF1084" t="s">
        <v>2365</v>
      </c>
      <c r="AG1084" t="s">
        <v>2365</v>
      </c>
      <c r="AH1084" t="s">
        <v>2365</v>
      </c>
      <c r="AI1084" t="s">
        <v>2365</v>
      </c>
      <c r="AJ1084" t="s">
        <v>2365</v>
      </c>
      <c r="AK1084" t="s">
        <v>2366</v>
      </c>
      <c r="AL1084" t="s">
        <v>2366</v>
      </c>
      <c r="AM1084" t="s">
        <v>2366</v>
      </c>
      <c r="AN1084" t="s">
        <v>2366</v>
      </c>
      <c r="AR1084" t="s">
        <v>2365</v>
      </c>
      <c r="AS1084" t="s">
        <v>2365</v>
      </c>
      <c r="AT1084" t="s">
        <v>2365</v>
      </c>
      <c r="AU1084" t="s">
        <v>2365</v>
      </c>
      <c r="AV1084" t="s">
        <v>2365</v>
      </c>
      <c r="AW1084" t="s">
        <v>2365</v>
      </c>
      <c r="AX1084" t="s">
        <v>2365</v>
      </c>
      <c r="AY1084" t="s">
        <v>2365</v>
      </c>
      <c r="AZ1084" t="s">
        <v>2365</v>
      </c>
      <c r="BA1084" t="s">
        <v>2365</v>
      </c>
      <c r="BB1084" t="s">
        <v>2365</v>
      </c>
      <c r="BC1084" t="s">
        <v>2365</v>
      </c>
      <c r="BD1084" t="s">
        <v>2366</v>
      </c>
      <c r="BE1084" t="s">
        <v>2365</v>
      </c>
      <c r="BF1084" t="s">
        <v>2365</v>
      </c>
      <c r="BG1084" t="s">
        <v>2365</v>
      </c>
      <c r="BH1084" t="s">
        <v>2365</v>
      </c>
      <c r="BI1084" t="s">
        <v>2366</v>
      </c>
      <c r="BJ1084" t="s">
        <v>2365</v>
      </c>
      <c r="BK1084" t="s">
        <v>2365</v>
      </c>
      <c r="BL1084" t="s">
        <v>2365</v>
      </c>
      <c r="BM1084" t="s">
        <v>2365</v>
      </c>
      <c r="BO1084">
        <v>1</v>
      </c>
      <c r="BP1084">
        <v>11</v>
      </c>
      <c r="BQ1084" t="s">
        <v>2369</v>
      </c>
      <c r="BR1084" t="s">
        <v>1487</v>
      </c>
      <c r="BU1084">
        <v>0</v>
      </c>
      <c r="BV1084">
        <v>0</v>
      </c>
      <c r="BW1084">
        <v>0</v>
      </c>
      <c r="BX1084">
        <v>0</v>
      </c>
      <c r="BY1084">
        <v>0</v>
      </c>
      <c r="BZ1084">
        <v>0</v>
      </c>
      <c r="CA1084">
        <v>0</v>
      </c>
      <c r="CB1084">
        <v>0</v>
      </c>
      <c r="CC1084">
        <v>0</v>
      </c>
      <c r="CD1084">
        <v>0</v>
      </c>
      <c r="CE1084">
        <v>0</v>
      </c>
      <c r="CF1084">
        <v>0</v>
      </c>
      <c r="CG1084">
        <v>0</v>
      </c>
      <c r="CH1084">
        <v>0</v>
      </c>
      <c r="CI1084">
        <v>0</v>
      </c>
      <c r="CJ1084">
        <v>0</v>
      </c>
      <c r="CK1084">
        <v>0</v>
      </c>
      <c r="CL1084">
        <v>0</v>
      </c>
      <c r="CM1084">
        <v>0</v>
      </c>
      <c r="CR1084" t="s">
        <v>2324</v>
      </c>
      <c r="CS1084" s="1369" t="str">
        <f>INDEX([8]Sheet1!$H:$H,MATCH(CR:CR,[8]Sheet1!$AU:$AU,0))</f>
        <v>Finance</v>
      </c>
    </row>
    <row r="1085" spans="1:97" x14ac:dyDescent="0.2">
      <c r="A1085" t="s">
        <v>3955</v>
      </c>
      <c r="B1085">
        <v>1151</v>
      </c>
      <c r="C1085" t="s">
        <v>3955</v>
      </c>
      <c r="D1085">
        <v>30382</v>
      </c>
      <c r="E1085" t="s">
        <v>3737</v>
      </c>
      <c r="F1085" t="s">
        <v>2364</v>
      </c>
      <c r="G1085" t="s">
        <v>2364</v>
      </c>
      <c r="H1085" t="s">
        <v>2365</v>
      </c>
      <c r="I1085" t="s">
        <v>2365</v>
      </c>
      <c r="J1085" t="s">
        <v>2365</v>
      </c>
      <c r="K1085" t="s">
        <v>2365</v>
      </c>
      <c r="L1085">
        <v>1200</v>
      </c>
      <c r="M1085" t="s">
        <v>1480</v>
      </c>
      <c r="N1085">
        <v>1204</v>
      </c>
      <c r="O1085" t="s">
        <v>1487</v>
      </c>
      <c r="P1085" t="s">
        <v>2366</v>
      </c>
      <c r="Q1085" t="s">
        <v>2364</v>
      </c>
      <c r="R1085" t="s">
        <v>2364</v>
      </c>
      <c r="S1085" t="s">
        <v>553</v>
      </c>
      <c r="T1085" t="s">
        <v>2175</v>
      </c>
      <c r="U1085" t="s">
        <v>2366</v>
      </c>
      <c r="V1085" t="s">
        <v>2366</v>
      </c>
      <c r="W1085" t="s">
        <v>2366</v>
      </c>
      <c r="X1085" t="s">
        <v>2366</v>
      </c>
      <c r="Y1085" t="s">
        <v>2365</v>
      </c>
      <c r="Z1085" t="s">
        <v>2365</v>
      </c>
      <c r="AA1085" t="s">
        <v>2365</v>
      </c>
      <c r="AB1085" t="s">
        <v>2365</v>
      </c>
      <c r="AC1085" s="813" t="s">
        <v>2365</v>
      </c>
      <c r="AD1085" s="813" t="s">
        <v>2365</v>
      </c>
      <c r="AE1085" s="813" t="s">
        <v>2365</v>
      </c>
      <c r="AF1085" t="s">
        <v>2365</v>
      </c>
      <c r="AG1085" t="s">
        <v>2365</v>
      </c>
      <c r="AH1085" t="s">
        <v>2365</v>
      </c>
      <c r="AI1085" t="s">
        <v>2365</v>
      </c>
      <c r="AJ1085" t="s">
        <v>2365</v>
      </c>
      <c r="AK1085">
        <v>146</v>
      </c>
      <c r="AL1085" t="s">
        <v>1199</v>
      </c>
      <c r="AM1085">
        <v>146</v>
      </c>
      <c r="AN1085" t="s">
        <v>1199</v>
      </c>
      <c r="AR1085" t="s">
        <v>2365</v>
      </c>
      <c r="AS1085" t="s">
        <v>2365</v>
      </c>
      <c r="AT1085" t="s">
        <v>2365</v>
      </c>
      <c r="AU1085" t="s">
        <v>2365</v>
      </c>
      <c r="AV1085" t="s">
        <v>2365</v>
      </c>
      <c r="AW1085" t="s">
        <v>2365</v>
      </c>
      <c r="AX1085" t="s">
        <v>2365</v>
      </c>
      <c r="AY1085" t="s">
        <v>2365</v>
      </c>
      <c r="AZ1085" t="s">
        <v>2365</v>
      </c>
      <c r="BA1085" t="s">
        <v>2365</v>
      </c>
      <c r="BB1085" t="s">
        <v>2365</v>
      </c>
      <c r="BC1085" t="s">
        <v>2365</v>
      </c>
      <c r="BD1085" t="s">
        <v>2366</v>
      </c>
      <c r="BE1085" t="s">
        <v>2365</v>
      </c>
      <c r="BF1085" t="s">
        <v>2365</v>
      </c>
      <c r="BG1085" t="s">
        <v>2365</v>
      </c>
      <c r="BH1085" t="s">
        <v>2365</v>
      </c>
      <c r="BI1085" t="s">
        <v>2366</v>
      </c>
      <c r="BJ1085" t="s">
        <v>2365</v>
      </c>
      <c r="BK1085" t="s">
        <v>2365</v>
      </c>
      <c r="BL1085" t="s">
        <v>2365</v>
      </c>
      <c r="BM1085" t="s">
        <v>2365</v>
      </c>
      <c r="BO1085">
        <v>1</v>
      </c>
      <c r="BP1085">
        <v>11</v>
      </c>
      <c r="BQ1085" t="s">
        <v>2369</v>
      </c>
      <c r="BR1085" t="s">
        <v>1487</v>
      </c>
      <c r="BU1085">
        <v>0</v>
      </c>
      <c r="BV1085">
        <v>0</v>
      </c>
      <c r="BW1085">
        <v>0</v>
      </c>
      <c r="BX1085">
        <v>0</v>
      </c>
      <c r="BY1085" s="1371">
        <v>0</v>
      </c>
      <c r="BZ1085" s="1371">
        <v>0</v>
      </c>
      <c r="CA1085">
        <v>0</v>
      </c>
      <c r="CB1085">
        <v>0</v>
      </c>
      <c r="CC1085">
        <v>0</v>
      </c>
      <c r="CD1085">
        <v>0</v>
      </c>
      <c r="CE1085">
        <v>0</v>
      </c>
      <c r="CF1085">
        <v>0</v>
      </c>
      <c r="CG1085">
        <v>0</v>
      </c>
      <c r="CH1085">
        <v>0</v>
      </c>
      <c r="CI1085">
        <v>0</v>
      </c>
      <c r="CJ1085">
        <v>0</v>
      </c>
      <c r="CK1085">
        <v>0</v>
      </c>
      <c r="CL1085">
        <v>0</v>
      </c>
      <c r="CM1085">
        <v>0</v>
      </c>
      <c r="CR1085" t="s">
        <v>2324</v>
      </c>
      <c r="CS1085" s="1369" t="str">
        <f>INDEX([8]Sheet1!$H:$H,MATCH(CR:CR,[8]Sheet1!$AU:$AU,0))</f>
        <v>Finance</v>
      </c>
    </row>
    <row r="1086" spans="1:97" x14ac:dyDescent="0.2">
      <c r="A1086" t="s">
        <v>3956</v>
      </c>
      <c r="B1086">
        <v>1152</v>
      </c>
      <c r="C1086" t="s">
        <v>3956</v>
      </c>
      <c r="D1086">
        <v>30383</v>
      </c>
      <c r="E1086" t="s">
        <v>3743</v>
      </c>
      <c r="F1086" t="s">
        <v>2364</v>
      </c>
      <c r="G1086" t="s">
        <v>2364</v>
      </c>
      <c r="H1086" t="s">
        <v>2365</v>
      </c>
      <c r="I1086" t="s">
        <v>2365</v>
      </c>
      <c r="J1086" t="s">
        <v>2365</v>
      </c>
      <c r="K1086" t="s">
        <v>2365</v>
      </c>
      <c r="L1086">
        <v>1200</v>
      </c>
      <c r="M1086" t="s">
        <v>1480</v>
      </c>
      <c r="N1086">
        <v>1204</v>
      </c>
      <c r="O1086" t="s">
        <v>1487</v>
      </c>
      <c r="P1086" t="s">
        <v>2366</v>
      </c>
      <c r="Q1086" t="s">
        <v>2364</v>
      </c>
      <c r="R1086" t="s">
        <v>2364</v>
      </c>
      <c r="S1086" t="s">
        <v>553</v>
      </c>
      <c r="T1086" t="s">
        <v>2175</v>
      </c>
      <c r="U1086" t="s">
        <v>2366</v>
      </c>
      <c r="V1086" t="s">
        <v>2366</v>
      </c>
      <c r="W1086" t="s">
        <v>2366</v>
      </c>
      <c r="X1086" t="s">
        <v>2366</v>
      </c>
      <c r="Y1086" t="s">
        <v>2365</v>
      </c>
      <c r="Z1086" t="s">
        <v>2365</v>
      </c>
      <c r="AA1086" t="s">
        <v>2365</v>
      </c>
      <c r="AB1086" t="s">
        <v>2365</v>
      </c>
      <c r="AC1086" s="813" t="s">
        <v>2365</v>
      </c>
      <c r="AD1086" s="813" t="s">
        <v>2365</v>
      </c>
      <c r="AE1086" s="813" t="s">
        <v>2365</v>
      </c>
      <c r="AF1086" t="s">
        <v>2365</v>
      </c>
      <c r="AG1086" t="s">
        <v>2365</v>
      </c>
      <c r="AH1086" t="s">
        <v>2365</v>
      </c>
      <c r="AI1086" t="s">
        <v>2365</v>
      </c>
      <c r="AJ1086" t="s">
        <v>2365</v>
      </c>
      <c r="AK1086">
        <v>146</v>
      </c>
      <c r="AL1086" t="s">
        <v>1199</v>
      </c>
      <c r="AM1086">
        <v>146</v>
      </c>
      <c r="AN1086" t="s">
        <v>1199</v>
      </c>
      <c r="AR1086" t="s">
        <v>2365</v>
      </c>
      <c r="AS1086" t="s">
        <v>2365</v>
      </c>
      <c r="AT1086" t="s">
        <v>2365</v>
      </c>
      <c r="AU1086" t="s">
        <v>2365</v>
      </c>
      <c r="AV1086" t="s">
        <v>2365</v>
      </c>
      <c r="AW1086" t="s">
        <v>2365</v>
      </c>
      <c r="AX1086" t="s">
        <v>2365</v>
      </c>
      <c r="AY1086" t="s">
        <v>2365</v>
      </c>
      <c r="AZ1086" t="s">
        <v>2365</v>
      </c>
      <c r="BA1086" t="s">
        <v>2365</v>
      </c>
      <c r="BB1086" t="s">
        <v>2365</v>
      </c>
      <c r="BC1086" t="s">
        <v>2365</v>
      </c>
      <c r="BD1086" t="s">
        <v>2366</v>
      </c>
      <c r="BE1086" t="s">
        <v>2365</v>
      </c>
      <c r="BF1086" t="s">
        <v>2365</v>
      </c>
      <c r="BG1086" t="s">
        <v>2365</v>
      </c>
      <c r="BH1086" t="s">
        <v>2365</v>
      </c>
      <c r="BI1086" t="s">
        <v>2366</v>
      </c>
      <c r="BJ1086" t="s">
        <v>2365</v>
      </c>
      <c r="BK1086" t="s">
        <v>2365</v>
      </c>
      <c r="BL1086" t="s">
        <v>2365</v>
      </c>
      <c r="BM1086" t="s">
        <v>2365</v>
      </c>
      <c r="BO1086">
        <v>1</v>
      </c>
      <c r="BP1086">
        <v>11</v>
      </c>
      <c r="BQ1086" t="s">
        <v>2369</v>
      </c>
      <c r="BR1086" t="s">
        <v>1487</v>
      </c>
      <c r="BU1086">
        <v>0</v>
      </c>
      <c r="BV1086">
        <v>0</v>
      </c>
      <c r="BW1086">
        <v>0</v>
      </c>
      <c r="BX1086">
        <v>0</v>
      </c>
      <c r="BY1086">
        <v>0</v>
      </c>
      <c r="BZ1086">
        <v>0</v>
      </c>
      <c r="CA1086">
        <v>0</v>
      </c>
      <c r="CB1086">
        <v>0</v>
      </c>
      <c r="CC1086">
        <v>0</v>
      </c>
      <c r="CD1086">
        <v>0</v>
      </c>
      <c r="CE1086">
        <v>0</v>
      </c>
      <c r="CF1086">
        <v>0</v>
      </c>
      <c r="CG1086">
        <v>0</v>
      </c>
      <c r="CH1086">
        <v>0</v>
      </c>
      <c r="CI1086">
        <v>0</v>
      </c>
      <c r="CJ1086">
        <v>0</v>
      </c>
      <c r="CK1086">
        <v>0</v>
      </c>
      <c r="CL1086">
        <v>0</v>
      </c>
      <c r="CM1086">
        <v>0</v>
      </c>
      <c r="CR1086" t="s">
        <v>2324</v>
      </c>
      <c r="CS1086" s="1369" t="str">
        <f>INDEX([8]Sheet1!$H:$H,MATCH(CR:CR,[8]Sheet1!$AU:$AU,0))</f>
        <v>Finance</v>
      </c>
    </row>
    <row r="1087" spans="1:97" x14ac:dyDescent="0.2">
      <c r="A1087" t="s">
        <v>3957</v>
      </c>
      <c r="B1087">
        <v>1153</v>
      </c>
      <c r="C1087" t="s">
        <v>3957</v>
      </c>
      <c r="D1087">
        <v>30384</v>
      </c>
      <c r="E1087" t="s">
        <v>3625</v>
      </c>
      <c r="F1087" t="s">
        <v>2364</v>
      </c>
      <c r="G1087" t="s">
        <v>2364</v>
      </c>
      <c r="H1087" t="s">
        <v>2365</v>
      </c>
      <c r="I1087" t="s">
        <v>2365</v>
      </c>
      <c r="J1087" t="s">
        <v>2365</v>
      </c>
      <c r="K1087" t="s">
        <v>2365</v>
      </c>
      <c r="L1087">
        <v>1200</v>
      </c>
      <c r="M1087" t="s">
        <v>1480</v>
      </c>
      <c r="N1087">
        <v>1204</v>
      </c>
      <c r="O1087" t="s">
        <v>1487</v>
      </c>
      <c r="P1087" t="s">
        <v>2366</v>
      </c>
      <c r="Q1087" t="s">
        <v>2364</v>
      </c>
      <c r="R1087" t="s">
        <v>2364</v>
      </c>
      <c r="S1087" t="s">
        <v>553</v>
      </c>
      <c r="T1087" t="s">
        <v>2175</v>
      </c>
      <c r="U1087">
        <v>140</v>
      </c>
      <c r="V1087" t="s">
        <v>693</v>
      </c>
      <c r="W1087">
        <v>140</v>
      </c>
      <c r="X1087" t="s">
        <v>693</v>
      </c>
      <c r="Y1087" t="s">
        <v>2365</v>
      </c>
      <c r="Z1087" t="s">
        <v>2365</v>
      </c>
      <c r="AA1087" t="s">
        <v>2365</v>
      </c>
      <c r="AB1087" t="s">
        <v>2365</v>
      </c>
      <c r="AC1087" s="813" t="s">
        <v>2365</v>
      </c>
      <c r="AD1087" s="813" t="s">
        <v>2365</v>
      </c>
      <c r="AE1087" s="813" t="s">
        <v>2365</v>
      </c>
      <c r="AF1087" t="s">
        <v>2365</v>
      </c>
      <c r="AG1087" t="s">
        <v>2365</v>
      </c>
      <c r="AH1087" t="s">
        <v>2365</v>
      </c>
      <c r="AI1087" t="s">
        <v>2365</v>
      </c>
      <c r="AJ1087" t="s">
        <v>2365</v>
      </c>
      <c r="AK1087" t="s">
        <v>2366</v>
      </c>
      <c r="AL1087" t="s">
        <v>2366</v>
      </c>
      <c r="AM1087" t="s">
        <v>2366</v>
      </c>
      <c r="AN1087" t="s">
        <v>2366</v>
      </c>
      <c r="AR1087" t="s">
        <v>2365</v>
      </c>
      <c r="AS1087" t="s">
        <v>2365</v>
      </c>
      <c r="AT1087" t="s">
        <v>2365</v>
      </c>
      <c r="AU1087" t="s">
        <v>2365</v>
      </c>
      <c r="AV1087" t="s">
        <v>2365</v>
      </c>
      <c r="AW1087" t="s">
        <v>2365</v>
      </c>
      <c r="AX1087" t="s">
        <v>2365</v>
      </c>
      <c r="AY1087" t="s">
        <v>2365</v>
      </c>
      <c r="AZ1087" t="s">
        <v>2365</v>
      </c>
      <c r="BA1087" t="s">
        <v>2365</v>
      </c>
      <c r="BB1087" t="s">
        <v>2365</v>
      </c>
      <c r="BC1087" t="s">
        <v>2365</v>
      </c>
      <c r="BD1087" t="s">
        <v>2366</v>
      </c>
      <c r="BE1087" t="s">
        <v>2365</v>
      </c>
      <c r="BF1087" t="s">
        <v>2365</v>
      </c>
      <c r="BG1087" t="s">
        <v>2365</v>
      </c>
      <c r="BH1087" t="s">
        <v>2365</v>
      </c>
      <c r="BI1087" t="s">
        <v>2366</v>
      </c>
      <c r="BJ1087" t="s">
        <v>2365</v>
      </c>
      <c r="BK1087" t="s">
        <v>2365</v>
      </c>
      <c r="BL1087" t="s">
        <v>2365</v>
      </c>
      <c r="BM1087" t="s">
        <v>2365</v>
      </c>
      <c r="BO1087">
        <v>1</v>
      </c>
      <c r="BP1087">
        <v>11</v>
      </c>
      <c r="BQ1087" t="s">
        <v>2369</v>
      </c>
      <c r="BR1087" t="s">
        <v>1487</v>
      </c>
      <c r="BU1087">
        <v>0</v>
      </c>
      <c r="BV1087">
        <v>0</v>
      </c>
      <c r="BW1087">
        <v>0</v>
      </c>
      <c r="BX1087">
        <v>0</v>
      </c>
      <c r="BY1087" s="1371">
        <v>0</v>
      </c>
      <c r="BZ1087" s="1371">
        <v>0</v>
      </c>
      <c r="CA1087">
        <v>0</v>
      </c>
      <c r="CB1087">
        <v>0</v>
      </c>
      <c r="CC1087">
        <v>0</v>
      </c>
      <c r="CD1087">
        <v>0</v>
      </c>
      <c r="CE1087">
        <v>0</v>
      </c>
      <c r="CF1087">
        <v>0</v>
      </c>
      <c r="CG1087">
        <v>0</v>
      </c>
      <c r="CH1087">
        <v>0</v>
      </c>
      <c r="CI1087">
        <v>0</v>
      </c>
      <c r="CJ1087">
        <v>0</v>
      </c>
      <c r="CK1087">
        <v>0</v>
      </c>
      <c r="CL1087">
        <v>0</v>
      </c>
      <c r="CM1087">
        <v>0</v>
      </c>
      <c r="CR1087" t="s">
        <v>2324</v>
      </c>
      <c r="CS1087" s="1369" t="str">
        <f>INDEX([8]Sheet1!$H:$H,MATCH(CR:CR,[8]Sheet1!$AU:$AU,0))</f>
        <v>Finance</v>
      </c>
    </row>
    <row r="1088" spans="1:97" x14ac:dyDescent="0.2">
      <c r="A1088" t="s">
        <v>3958</v>
      </c>
      <c r="B1088">
        <v>1155</v>
      </c>
      <c r="C1088" t="s">
        <v>3958</v>
      </c>
      <c r="D1088">
        <v>30386</v>
      </c>
      <c r="E1088" t="s">
        <v>3633</v>
      </c>
      <c r="F1088" t="s">
        <v>2364</v>
      </c>
      <c r="G1088" t="s">
        <v>2364</v>
      </c>
      <c r="H1088" t="s">
        <v>2365</v>
      </c>
      <c r="I1088" t="s">
        <v>2365</v>
      </c>
      <c r="J1088" t="s">
        <v>2365</v>
      </c>
      <c r="K1088" t="s">
        <v>2365</v>
      </c>
      <c r="L1088">
        <v>1200</v>
      </c>
      <c r="M1088" t="s">
        <v>1480</v>
      </c>
      <c r="N1088">
        <v>1204</v>
      </c>
      <c r="O1088" t="s">
        <v>1487</v>
      </c>
      <c r="P1088" t="s">
        <v>2366</v>
      </c>
      <c r="Q1088" t="s">
        <v>2364</v>
      </c>
      <c r="R1088" t="s">
        <v>2364</v>
      </c>
      <c r="S1088" t="s">
        <v>553</v>
      </c>
      <c r="T1088" t="s">
        <v>2175</v>
      </c>
      <c r="U1088">
        <v>140</v>
      </c>
      <c r="V1088" t="s">
        <v>693</v>
      </c>
      <c r="W1088">
        <v>140</v>
      </c>
      <c r="X1088" t="s">
        <v>693</v>
      </c>
      <c r="Y1088" t="s">
        <v>2365</v>
      </c>
      <c r="Z1088" t="s">
        <v>2365</v>
      </c>
      <c r="AA1088" t="s">
        <v>2365</v>
      </c>
      <c r="AB1088" t="s">
        <v>2365</v>
      </c>
      <c r="AC1088" s="813" t="s">
        <v>2365</v>
      </c>
      <c r="AD1088" s="813" t="s">
        <v>2365</v>
      </c>
      <c r="AE1088" s="813" t="s">
        <v>2365</v>
      </c>
      <c r="AF1088" t="s">
        <v>2365</v>
      </c>
      <c r="AG1088" t="s">
        <v>2365</v>
      </c>
      <c r="AH1088" t="s">
        <v>2365</v>
      </c>
      <c r="AI1088" t="s">
        <v>2365</v>
      </c>
      <c r="AJ1088" t="s">
        <v>2365</v>
      </c>
      <c r="AK1088">
        <v>147</v>
      </c>
      <c r="AL1088" t="s">
        <v>1200</v>
      </c>
      <c r="AM1088">
        <v>147</v>
      </c>
      <c r="AN1088" t="s">
        <v>1200</v>
      </c>
      <c r="AR1088" t="s">
        <v>2365</v>
      </c>
      <c r="AS1088" t="s">
        <v>2365</v>
      </c>
      <c r="AT1088" t="s">
        <v>2365</v>
      </c>
      <c r="AU1088" t="s">
        <v>2365</v>
      </c>
      <c r="AV1088" t="s">
        <v>2365</v>
      </c>
      <c r="AW1088" t="s">
        <v>2365</v>
      </c>
      <c r="AX1088" t="s">
        <v>2365</v>
      </c>
      <c r="AY1088" t="s">
        <v>2365</v>
      </c>
      <c r="AZ1088" t="s">
        <v>2365</v>
      </c>
      <c r="BA1088" t="s">
        <v>2365</v>
      </c>
      <c r="BB1088" t="s">
        <v>2365</v>
      </c>
      <c r="BC1088" t="s">
        <v>2365</v>
      </c>
      <c r="BD1088" t="s">
        <v>2366</v>
      </c>
      <c r="BE1088" t="s">
        <v>2365</v>
      </c>
      <c r="BF1088" t="s">
        <v>2365</v>
      </c>
      <c r="BG1088" t="s">
        <v>2365</v>
      </c>
      <c r="BH1088" t="s">
        <v>2365</v>
      </c>
      <c r="BI1088" t="s">
        <v>2366</v>
      </c>
      <c r="BJ1088" t="s">
        <v>2365</v>
      </c>
      <c r="BK1088" t="s">
        <v>2365</v>
      </c>
      <c r="BL1088" t="s">
        <v>2365</v>
      </c>
      <c r="BM1088" t="s">
        <v>2365</v>
      </c>
      <c r="BO1088">
        <v>1</v>
      </c>
      <c r="BP1088">
        <v>11</v>
      </c>
      <c r="BQ1088" t="s">
        <v>2369</v>
      </c>
      <c r="BR1088" t="s">
        <v>1487</v>
      </c>
      <c r="BU1088">
        <v>0</v>
      </c>
      <c r="BV1088">
        <v>0</v>
      </c>
      <c r="BW1088">
        <v>0</v>
      </c>
      <c r="BX1088">
        <v>0</v>
      </c>
      <c r="BY1088">
        <v>0</v>
      </c>
      <c r="BZ1088">
        <v>0</v>
      </c>
      <c r="CA1088">
        <v>0</v>
      </c>
      <c r="CB1088">
        <v>0</v>
      </c>
      <c r="CC1088">
        <v>0</v>
      </c>
      <c r="CD1088">
        <v>0</v>
      </c>
      <c r="CE1088">
        <v>0</v>
      </c>
      <c r="CF1088">
        <v>0</v>
      </c>
      <c r="CG1088">
        <v>0</v>
      </c>
      <c r="CH1088">
        <v>0</v>
      </c>
      <c r="CI1088">
        <v>0</v>
      </c>
      <c r="CJ1088">
        <v>0</v>
      </c>
      <c r="CK1088">
        <v>0</v>
      </c>
      <c r="CL1088">
        <v>0</v>
      </c>
      <c r="CM1088">
        <v>0</v>
      </c>
      <c r="CR1088" t="s">
        <v>2324</v>
      </c>
      <c r="CS1088" s="1369" t="str">
        <f>INDEX([8]Sheet1!$H:$H,MATCH(CR:CR,[8]Sheet1!$AU:$AU,0))</f>
        <v>Finance</v>
      </c>
    </row>
    <row r="1089" spans="1:97" x14ac:dyDescent="0.2">
      <c r="A1089" t="s">
        <v>3959</v>
      </c>
      <c r="B1089">
        <v>1156</v>
      </c>
      <c r="C1089" t="s">
        <v>3959</v>
      </c>
      <c r="D1089">
        <v>30387</v>
      </c>
      <c r="E1089" t="s">
        <v>3637</v>
      </c>
      <c r="F1089" t="s">
        <v>2364</v>
      </c>
      <c r="G1089" t="s">
        <v>2364</v>
      </c>
      <c r="H1089" t="s">
        <v>2365</v>
      </c>
      <c r="I1089" t="s">
        <v>2365</v>
      </c>
      <c r="J1089" t="s">
        <v>2365</v>
      </c>
      <c r="K1089" t="s">
        <v>2365</v>
      </c>
      <c r="L1089">
        <v>1200</v>
      </c>
      <c r="M1089" t="s">
        <v>1480</v>
      </c>
      <c r="N1089">
        <v>1204</v>
      </c>
      <c r="O1089" t="s">
        <v>1487</v>
      </c>
      <c r="P1089" t="s">
        <v>2366</v>
      </c>
      <c r="Q1089" t="s">
        <v>2364</v>
      </c>
      <c r="R1089" t="s">
        <v>2364</v>
      </c>
      <c r="S1089" t="s">
        <v>553</v>
      </c>
      <c r="T1089" t="s">
        <v>2175</v>
      </c>
      <c r="U1089">
        <v>140</v>
      </c>
      <c r="V1089" t="s">
        <v>693</v>
      </c>
      <c r="W1089">
        <v>140</v>
      </c>
      <c r="X1089" t="s">
        <v>693</v>
      </c>
      <c r="Y1089" t="s">
        <v>2365</v>
      </c>
      <c r="Z1089" t="s">
        <v>2365</v>
      </c>
      <c r="AA1089" t="s">
        <v>2365</v>
      </c>
      <c r="AB1089" t="s">
        <v>2365</v>
      </c>
      <c r="AC1089" s="813" t="s">
        <v>2365</v>
      </c>
      <c r="AD1089" s="813" t="s">
        <v>2365</v>
      </c>
      <c r="AE1089" s="813" t="s">
        <v>2365</v>
      </c>
      <c r="AF1089" t="s">
        <v>2365</v>
      </c>
      <c r="AG1089" t="s">
        <v>2365</v>
      </c>
      <c r="AH1089" t="s">
        <v>2365</v>
      </c>
      <c r="AI1089" t="s">
        <v>2365</v>
      </c>
      <c r="AJ1089" t="s">
        <v>2365</v>
      </c>
      <c r="AK1089" t="s">
        <v>2366</v>
      </c>
      <c r="AL1089" t="s">
        <v>2366</v>
      </c>
      <c r="AM1089" t="s">
        <v>2366</v>
      </c>
      <c r="AN1089" t="s">
        <v>2366</v>
      </c>
      <c r="AR1089" t="s">
        <v>2365</v>
      </c>
      <c r="AS1089" t="s">
        <v>2365</v>
      </c>
      <c r="AT1089" t="s">
        <v>2365</v>
      </c>
      <c r="AU1089" t="s">
        <v>2365</v>
      </c>
      <c r="AV1089" t="s">
        <v>2365</v>
      </c>
      <c r="AW1089" t="s">
        <v>2365</v>
      </c>
      <c r="AX1089" t="s">
        <v>2365</v>
      </c>
      <c r="AY1089" t="s">
        <v>2365</v>
      </c>
      <c r="AZ1089" t="s">
        <v>2365</v>
      </c>
      <c r="BA1089" t="s">
        <v>2365</v>
      </c>
      <c r="BB1089" t="s">
        <v>2365</v>
      </c>
      <c r="BC1089" t="s">
        <v>2365</v>
      </c>
      <c r="BD1089" t="s">
        <v>2366</v>
      </c>
      <c r="BE1089" t="s">
        <v>2365</v>
      </c>
      <c r="BF1089" t="s">
        <v>2365</v>
      </c>
      <c r="BG1089" t="s">
        <v>2365</v>
      </c>
      <c r="BH1089" t="s">
        <v>2365</v>
      </c>
      <c r="BI1089" t="s">
        <v>2366</v>
      </c>
      <c r="BJ1089" t="s">
        <v>2365</v>
      </c>
      <c r="BK1089" t="s">
        <v>2365</v>
      </c>
      <c r="BL1089" t="s">
        <v>2365</v>
      </c>
      <c r="BM1089" t="s">
        <v>2365</v>
      </c>
      <c r="BO1089">
        <v>1</v>
      </c>
      <c r="BP1089">
        <v>11</v>
      </c>
      <c r="BQ1089" t="s">
        <v>2369</v>
      </c>
      <c r="BR1089" t="s">
        <v>1487</v>
      </c>
      <c r="BU1089">
        <v>0</v>
      </c>
      <c r="BV1089">
        <v>0</v>
      </c>
      <c r="BW1089">
        <v>0</v>
      </c>
      <c r="BX1089">
        <v>0</v>
      </c>
      <c r="BY1089" s="1371">
        <v>0</v>
      </c>
      <c r="BZ1089" s="1371">
        <v>0</v>
      </c>
      <c r="CA1089">
        <v>0</v>
      </c>
      <c r="CB1089">
        <v>0</v>
      </c>
      <c r="CC1089">
        <v>0</v>
      </c>
      <c r="CD1089">
        <v>0</v>
      </c>
      <c r="CE1089">
        <v>0</v>
      </c>
      <c r="CF1089">
        <v>0</v>
      </c>
      <c r="CG1089">
        <v>0</v>
      </c>
      <c r="CH1089">
        <v>0</v>
      </c>
      <c r="CI1089">
        <v>0</v>
      </c>
      <c r="CJ1089">
        <v>0</v>
      </c>
      <c r="CK1089">
        <v>0</v>
      </c>
      <c r="CL1089">
        <v>0</v>
      </c>
      <c r="CM1089">
        <v>0</v>
      </c>
      <c r="CR1089" t="s">
        <v>2324</v>
      </c>
      <c r="CS1089" s="1369" t="str">
        <f>INDEX([8]Sheet1!$H:$H,MATCH(CR:CR,[8]Sheet1!$AU:$AU,0))</f>
        <v>Finance</v>
      </c>
    </row>
    <row r="1090" spans="1:97" x14ac:dyDescent="0.2">
      <c r="A1090" t="s">
        <v>3960</v>
      </c>
      <c r="B1090">
        <v>1158</v>
      </c>
      <c r="C1090" t="s">
        <v>3960</v>
      </c>
      <c r="D1090">
        <v>30389</v>
      </c>
      <c r="E1090" t="s">
        <v>3645</v>
      </c>
      <c r="F1090" t="s">
        <v>2364</v>
      </c>
      <c r="G1090" t="s">
        <v>2364</v>
      </c>
      <c r="H1090" t="s">
        <v>2365</v>
      </c>
      <c r="I1090" t="s">
        <v>2365</v>
      </c>
      <c r="J1090" t="s">
        <v>2365</v>
      </c>
      <c r="K1090" t="s">
        <v>2365</v>
      </c>
      <c r="L1090">
        <v>1200</v>
      </c>
      <c r="M1090" t="s">
        <v>1480</v>
      </c>
      <c r="N1090">
        <v>1204</v>
      </c>
      <c r="O1090" t="s">
        <v>1487</v>
      </c>
      <c r="P1090" t="s">
        <v>2366</v>
      </c>
      <c r="Q1090" t="s">
        <v>2364</v>
      </c>
      <c r="R1090" t="s">
        <v>2364</v>
      </c>
      <c r="S1090" t="s">
        <v>553</v>
      </c>
      <c r="T1090" t="s">
        <v>2175</v>
      </c>
      <c r="U1090">
        <v>140</v>
      </c>
      <c r="V1090" t="s">
        <v>693</v>
      </c>
      <c r="W1090">
        <v>140</v>
      </c>
      <c r="X1090" t="s">
        <v>693</v>
      </c>
      <c r="Y1090" t="s">
        <v>2365</v>
      </c>
      <c r="Z1090" t="s">
        <v>2365</v>
      </c>
      <c r="AA1090" t="s">
        <v>2365</v>
      </c>
      <c r="AB1090" t="s">
        <v>2365</v>
      </c>
      <c r="AC1090" s="813" t="s">
        <v>2365</v>
      </c>
      <c r="AD1090" s="813" t="s">
        <v>2365</v>
      </c>
      <c r="AE1090" s="813" t="s">
        <v>2365</v>
      </c>
      <c r="AF1090" t="s">
        <v>2365</v>
      </c>
      <c r="AG1090" t="s">
        <v>2365</v>
      </c>
      <c r="AH1090" t="s">
        <v>2365</v>
      </c>
      <c r="AI1090" t="s">
        <v>2365</v>
      </c>
      <c r="AJ1090" t="s">
        <v>2365</v>
      </c>
      <c r="AK1090" t="s">
        <v>2366</v>
      </c>
      <c r="AL1090" t="s">
        <v>2366</v>
      </c>
      <c r="AM1090" t="s">
        <v>2366</v>
      </c>
      <c r="AN1090" t="s">
        <v>2366</v>
      </c>
      <c r="AR1090" t="s">
        <v>2365</v>
      </c>
      <c r="AS1090" t="s">
        <v>2365</v>
      </c>
      <c r="AT1090" t="s">
        <v>2365</v>
      </c>
      <c r="AU1090" t="s">
        <v>2365</v>
      </c>
      <c r="AV1090" t="s">
        <v>2365</v>
      </c>
      <c r="AW1090" t="s">
        <v>2365</v>
      </c>
      <c r="AX1090" t="s">
        <v>2365</v>
      </c>
      <c r="AY1090" t="s">
        <v>2365</v>
      </c>
      <c r="AZ1090" t="s">
        <v>2365</v>
      </c>
      <c r="BA1090" t="s">
        <v>2365</v>
      </c>
      <c r="BB1090" t="s">
        <v>2365</v>
      </c>
      <c r="BC1090" t="s">
        <v>2365</v>
      </c>
      <c r="BD1090" t="s">
        <v>2366</v>
      </c>
      <c r="BE1090" t="s">
        <v>2365</v>
      </c>
      <c r="BF1090" t="s">
        <v>2365</v>
      </c>
      <c r="BG1090" t="s">
        <v>2365</v>
      </c>
      <c r="BH1090" t="s">
        <v>2365</v>
      </c>
      <c r="BI1090" t="s">
        <v>2366</v>
      </c>
      <c r="BJ1090" t="s">
        <v>2365</v>
      </c>
      <c r="BK1090" t="s">
        <v>2365</v>
      </c>
      <c r="BL1090" t="s">
        <v>2365</v>
      </c>
      <c r="BM1090" t="s">
        <v>2365</v>
      </c>
      <c r="BO1090">
        <v>1</v>
      </c>
      <c r="BP1090">
        <v>11</v>
      </c>
      <c r="BQ1090" t="s">
        <v>2369</v>
      </c>
      <c r="BR1090" t="s">
        <v>1487</v>
      </c>
      <c r="BU1090">
        <v>0</v>
      </c>
      <c r="BV1090">
        <v>0</v>
      </c>
      <c r="BW1090">
        <v>0</v>
      </c>
      <c r="BX1090">
        <v>0</v>
      </c>
      <c r="BY1090" s="1371">
        <v>0</v>
      </c>
      <c r="BZ1090" s="1371">
        <v>0</v>
      </c>
      <c r="CA1090">
        <v>0</v>
      </c>
      <c r="CB1090">
        <v>0</v>
      </c>
      <c r="CC1090">
        <v>0</v>
      </c>
      <c r="CD1090">
        <v>0</v>
      </c>
      <c r="CE1090">
        <v>0</v>
      </c>
      <c r="CF1090">
        <v>0</v>
      </c>
      <c r="CG1090">
        <v>0</v>
      </c>
      <c r="CH1090">
        <v>0</v>
      </c>
      <c r="CI1090">
        <v>0</v>
      </c>
      <c r="CJ1090">
        <v>0</v>
      </c>
      <c r="CK1090">
        <v>0</v>
      </c>
      <c r="CL1090">
        <v>0</v>
      </c>
      <c r="CM1090">
        <v>0</v>
      </c>
      <c r="CR1090" t="s">
        <v>2324</v>
      </c>
      <c r="CS1090" s="1369" t="str">
        <f>INDEX([8]Sheet1!$H:$H,MATCH(CR:CR,[8]Sheet1!$AU:$AU,0))</f>
        <v>Finance</v>
      </c>
    </row>
    <row r="1091" spans="1:97" x14ac:dyDescent="0.2">
      <c r="A1091" t="s">
        <v>3961</v>
      </c>
      <c r="B1091">
        <v>1159</v>
      </c>
      <c r="C1091" t="s">
        <v>3961</v>
      </c>
      <c r="D1091">
        <v>30390</v>
      </c>
      <c r="E1091" t="s">
        <v>3731</v>
      </c>
      <c r="F1091" t="s">
        <v>2364</v>
      </c>
      <c r="G1091" t="s">
        <v>2364</v>
      </c>
      <c r="H1091" t="s">
        <v>2365</v>
      </c>
      <c r="I1091" t="s">
        <v>2365</v>
      </c>
      <c r="J1091" t="s">
        <v>2365</v>
      </c>
      <c r="K1091" t="s">
        <v>2365</v>
      </c>
      <c r="L1091">
        <v>1200</v>
      </c>
      <c r="M1091" t="s">
        <v>1480</v>
      </c>
      <c r="N1091">
        <v>1204</v>
      </c>
      <c r="O1091" t="s">
        <v>1487</v>
      </c>
      <c r="P1091" t="s">
        <v>2366</v>
      </c>
      <c r="Q1091" t="s">
        <v>2364</v>
      </c>
      <c r="R1091" t="s">
        <v>2364</v>
      </c>
      <c r="S1091" t="s">
        <v>553</v>
      </c>
      <c r="T1091" t="s">
        <v>2175</v>
      </c>
      <c r="U1091" t="s">
        <v>2366</v>
      </c>
      <c r="V1091" t="s">
        <v>2366</v>
      </c>
      <c r="W1091" t="s">
        <v>2366</v>
      </c>
      <c r="X1091" t="s">
        <v>2366</v>
      </c>
      <c r="Y1091" t="s">
        <v>2365</v>
      </c>
      <c r="Z1091" t="s">
        <v>2365</v>
      </c>
      <c r="AA1091" t="s">
        <v>2365</v>
      </c>
      <c r="AB1091" t="s">
        <v>2365</v>
      </c>
      <c r="AC1091" s="813" t="s">
        <v>2365</v>
      </c>
      <c r="AD1091" s="813" t="s">
        <v>2365</v>
      </c>
      <c r="AE1091" s="813" t="s">
        <v>2365</v>
      </c>
      <c r="AF1091" t="s">
        <v>2365</v>
      </c>
      <c r="AG1091" t="s">
        <v>2365</v>
      </c>
      <c r="AH1091" t="s">
        <v>2365</v>
      </c>
      <c r="AI1091" t="s">
        <v>2365</v>
      </c>
      <c r="AJ1091" t="s">
        <v>2365</v>
      </c>
      <c r="AK1091">
        <v>146</v>
      </c>
      <c r="AL1091" t="s">
        <v>1199</v>
      </c>
      <c r="AM1091">
        <v>146</v>
      </c>
      <c r="AN1091" t="s">
        <v>1199</v>
      </c>
      <c r="AR1091" t="s">
        <v>2365</v>
      </c>
      <c r="AS1091" t="s">
        <v>2365</v>
      </c>
      <c r="AT1091" t="s">
        <v>2365</v>
      </c>
      <c r="AU1091" t="s">
        <v>2365</v>
      </c>
      <c r="AV1091" t="s">
        <v>2365</v>
      </c>
      <c r="AW1091" t="s">
        <v>2365</v>
      </c>
      <c r="AX1091" t="s">
        <v>2365</v>
      </c>
      <c r="AY1091" t="s">
        <v>2365</v>
      </c>
      <c r="AZ1091" t="s">
        <v>2365</v>
      </c>
      <c r="BA1091" t="s">
        <v>2365</v>
      </c>
      <c r="BB1091" t="s">
        <v>2365</v>
      </c>
      <c r="BC1091" t="s">
        <v>2365</v>
      </c>
      <c r="BD1091" t="s">
        <v>2366</v>
      </c>
      <c r="BE1091" t="s">
        <v>2365</v>
      </c>
      <c r="BF1091" t="s">
        <v>2365</v>
      </c>
      <c r="BG1091" t="s">
        <v>2365</v>
      </c>
      <c r="BH1091" t="s">
        <v>2365</v>
      </c>
      <c r="BI1091" t="s">
        <v>2366</v>
      </c>
      <c r="BJ1091" t="s">
        <v>2365</v>
      </c>
      <c r="BK1091" t="s">
        <v>2365</v>
      </c>
      <c r="BL1091" t="s">
        <v>2365</v>
      </c>
      <c r="BM1091" t="s">
        <v>2365</v>
      </c>
      <c r="BO1091">
        <v>1</v>
      </c>
      <c r="BP1091">
        <v>11</v>
      </c>
      <c r="BQ1091" t="s">
        <v>2369</v>
      </c>
      <c r="BR1091" t="s">
        <v>1487</v>
      </c>
      <c r="BU1091">
        <v>0</v>
      </c>
      <c r="BV1091">
        <v>0</v>
      </c>
      <c r="BW1091">
        <v>0</v>
      </c>
      <c r="BX1091">
        <v>0</v>
      </c>
      <c r="BY1091">
        <v>0</v>
      </c>
      <c r="BZ1091">
        <v>0</v>
      </c>
      <c r="CA1091">
        <v>0</v>
      </c>
      <c r="CB1091">
        <v>0</v>
      </c>
      <c r="CC1091">
        <v>0</v>
      </c>
      <c r="CD1091">
        <v>0</v>
      </c>
      <c r="CE1091">
        <v>0</v>
      </c>
      <c r="CF1091">
        <v>0</v>
      </c>
      <c r="CG1091">
        <v>0</v>
      </c>
      <c r="CH1091">
        <v>0</v>
      </c>
      <c r="CI1091">
        <v>0</v>
      </c>
      <c r="CJ1091">
        <v>0</v>
      </c>
      <c r="CK1091">
        <v>0</v>
      </c>
      <c r="CL1091">
        <v>0</v>
      </c>
      <c r="CM1091">
        <v>0</v>
      </c>
      <c r="CR1091" t="s">
        <v>2324</v>
      </c>
      <c r="CS1091" s="1369" t="str">
        <f>INDEX([8]Sheet1!$H:$H,MATCH(CR:CR,[8]Sheet1!$AU:$AU,0))</f>
        <v>Finance</v>
      </c>
    </row>
    <row r="1092" spans="1:97" x14ac:dyDescent="0.2">
      <c r="A1092" t="s">
        <v>3962</v>
      </c>
      <c r="B1092">
        <v>1160</v>
      </c>
      <c r="C1092" t="s">
        <v>3962</v>
      </c>
      <c r="D1092">
        <v>30391</v>
      </c>
      <c r="E1092" t="s">
        <v>3733</v>
      </c>
      <c r="F1092" t="s">
        <v>2364</v>
      </c>
      <c r="G1092" t="s">
        <v>2364</v>
      </c>
      <c r="H1092" t="s">
        <v>2365</v>
      </c>
      <c r="I1092" t="s">
        <v>2365</v>
      </c>
      <c r="J1092" t="s">
        <v>2365</v>
      </c>
      <c r="K1092" t="s">
        <v>2365</v>
      </c>
      <c r="L1092">
        <v>1200</v>
      </c>
      <c r="M1092" t="s">
        <v>1480</v>
      </c>
      <c r="N1092">
        <v>1204</v>
      </c>
      <c r="O1092" t="s">
        <v>1487</v>
      </c>
      <c r="P1092" t="s">
        <v>2366</v>
      </c>
      <c r="Q1092" t="s">
        <v>2364</v>
      </c>
      <c r="R1092" t="s">
        <v>2364</v>
      </c>
      <c r="S1092" t="s">
        <v>553</v>
      </c>
      <c r="T1092" t="s">
        <v>2175</v>
      </c>
      <c r="U1092" t="s">
        <v>2366</v>
      </c>
      <c r="V1092" t="s">
        <v>2366</v>
      </c>
      <c r="W1092" t="s">
        <v>2366</v>
      </c>
      <c r="X1092" t="s">
        <v>2366</v>
      </c>
      <c r="Y1092" t="s">
        <v>2365</v>
      </c>
      <c r="Z1092" t="s">
        <v>2365</v>
      </c>
      <c r="AA1092" t="s">
        <v>2365</v>
      </c>
      <c r="AB1092" t="s">
        <v>2365</v>
      </c>
      <c r="AC1092" s="813" t="s">
        <v>2365</v>
      </c>
      <c r="AD1092" s="813" t="s">
        <v>2365</v>
      </c>
      <c r="AE1092" s="813" t="s">
        <v>2365</v>
      </c>
      <c r="AF1092" t="s">
        <v>2365</v>
      </c>
      <c r="AG1092" t="s">
        <v>2365</v>
      </c>
      <c r="AH1092" t="s">
        <v>2365</v>
      </c>
      <c r="AI1092" t="s">
        <v>2365</v>
      </c>
      <c r="AJ1092" t="s">
        <v>2365</v>
      </c>
      <c r="AK1092">
        <v>146</v>
      </c>
      <c r="AL1092" t="s">
        <v>1199</v>
      </c>
      <c r="AM1092">
        <v>146</v>
      </c>
      <c r="AN1092" t="s">
        <v>1199</v>
      </c>
      <c r="AR1092" t="s">
        <v>2365</v>
      </c>
      <c r="AS1092" t="s">
        <v>2365</v>
      </c>
      <c r="AT1092" t="s">
        <v>2365</v>
      </c>
      <c r="AU1092" t="s">
        <v>2365</v>
      </c>
      <c r="AV1092" t="s">
        <v>2365</v>
      </c>
      <c r="AW1092" t="s">
        <v>2365</v>
      </c>
      <c r="AX1092" t="s">
        <v>2365</v>
      </c>
      <c r="AY1092" t="s">
        <v>2365</v>
      </c>
      <c r="AZ1092" t="s">
        <v>2365</v>
      </c>
      <c r="BA1092" t="s">
        <v>2365</v>
      </c>
      <c r="BB1092" t="s">
        <v>2365</v>
      </c>
      <c r="BC1092" t="s">
        <v>2365</v>
      </c>
      <c r="BD1092" t="s">
        <v>2366</v>
      </c>
      <c r="BE1092" t="s">
        <v>2365</v>
      </c>
      <c r="BF1092" t="s">
        <v>2365</v>
      </c>
      <c r="BG1092" t="s">
        <v>2365</v>
      </c>
      <c r="BH1092" t="s">
        <v>2365</v>
      </c>
      <c r="BI1092" t="s">
        <v>2366</v>
      </c>
      <c r="BJ1092" t="s">
        <v>2365</v>
      </c>
      <c r="BK1092" t="s">
        <v>2365</v>
      </c>
      <c r="BL1092" t="s">
        <v>2365</v>
      </c>
      <c r="BM1092" t="s">
        <v>2365</v>
      </c>
      <c r="BO1092">
        <v>1</v>
      </c>
      <c r="BP1092">
        <v>11</v>
      </c>
      <c r="BQ1092" t="s">
        <v>2369</v>
      </c>
      <c r="BR1092" t="s">
        <v>1487</v>
      </c>
      <c r="BU1092">
        <v>0</v>
      </c>
      <c r="BV1092">
        <v>0</v>
      </c>
      <c r="BW1092">
        <v>0</v>
      </c>
      <c r="BX1092">
        <v>0</v>
      </c>
      <c r="BY1092">
        <v>0</v>
      </c>
      <c r="BZ1092">
        <v>0</v>
      </c>
      <c r="CA1092">
        <v>0</v>
      </c>
      <c r="CB1092">
        <v>0</v>
      </c>
      <c r="CC1092">
        <v>0</v>
      </c>
      <c r="CD1092">
        <v>0</v>
      </c>
      <c r="CE1092">
        <v>0</v>
      </c>
      <c r="CF1092">
        <v>0</v>
      </c>
      <c r="CG1092">
        <v>0</v>
      </c>
      <c r="CH1092">
        <v>0</v>
      </c>
      <c r="CI1092">
        <v>0</v>
      </c>
      <c r="CJ1092">
        <v>0</v>
      </c>
      <c r="CK1092">
        <v>0</v>
      </c>
      <c r="CL1092">
        <v>0</v>
      </c>
      <c r="CM1092">
        <v>0</v>
      </c>
      <c r="CR1092" t="s">
        <v>2324</v>
      </c>
      <c r="CS1092" s="1369" t="str">
        <f>INDEX([8]Sheet1!$H:$H,MATCH(CR:CR,[8]Sheet1!$AU:$AU,0))</f>
        <v>Finance</v>
      </c>
    </row>
    <row r="1093" spans="1:97" x14ac:dyDescent="0.2">
      <c r="A1093" t="s">
        <v>3963</v>
      </c>
      <c r="B1093">
        <v>1161</v>
      </c>
      <c r="C1093" t="s">
        <v>3963</v>
      </c>
      <c r="D1093">
        <v>30392</v>
      </c>
      <c r="E1093" t="s">
        <v>3601</v>
      </c>
      <c r="F1093" t="s">
        <v>2364</v>
      </c>
      <c r="G1093" t="s">
        <v>2364</v>
      </c>
      <c r="H1093" t="s">
        <v>2365</v>
      </c>
      <c r="I1093" t="s">
        <v>2365</v>
      </c>
      <c r="J1093" t="s">
        <v>2365</v>
      </c>
      <c r="K1093" t="s">
        <v>2365</v>
      </c>
      <c r="L1093">
        <v>1200</v>
      </c>
      <c r="M1093" t="s">
        <v>1480</v>
      </c>
      <c r="N1093">
        <v>1204</v>
      </c>
      <c r="O1093" t="s">
        <v>1487</v>
      </c>
      <c r="P1093" t="s">
        <v>2366</v>
      </c>
      <c r="Q1093" t="s">
        <v>2364</v>
      </c>
      <c r="R1093" t="s">
        <v>2364</v>
      </c>
      <c r="S1093" t="s">
        <v>553</v>
      </c>
      <c r="T1093" t="s">
        <v>2175</v>
      </c>
      <c r="U1093">
        <v>140</v>
      </c>
      <c r="V1093" t="s">
        <v>693</v>
      </c>
      <c r="W1093">
        <v>140</v>
      </c>
      <c r="X1093" t="s">
        <v>693</v>
      </c>
      <c r="Y1093" t="s">
        <v>2365</v>
      </c>
      <c r="Z1093" t="s">
        <v>2365</v>
      </c>
      <c r="AA1093" t="s">
        <v>2365</v>
      </c>
      <c r="AB1093" t="s">
        <v>2365</v>
      </c>
      <c r="AC1093" s="813" t="s">
        <v>2365</v>
      </c>
      <c r="AD1093" s="813" t="s">
        <v>2365</v>
      </c>
      <c r="AE1093" s="813" t="s">
        <v>2365</v>
      </c>
      <c r="AF1093" t="s">
        <v>2365</v>
      </c>
      <c r="AG1093" t="s">
        <v>2365</v>
      </c>
      <c r="AH1093" t="s">
        <v>2365</v>
      </c>
      <c r="AI1093" t="s">
        <v>2365</v>
      </c>
      <c r="AJ1093" t="s">
        <v>2365</v>
      </c>
      <c r="AK1093" t="s">
        <v>2366</v>
      </c>
      <c r="AL1093" t="s">
        <v>2366</v>
      </c>
      <c r="AM1093" t="s">
        <v>2366</v>
      </c>
      <c r="AN1093" t="s">
        <v>2366</v>
      </c>
      <c r="AR1093" t="s">
        <v>2365</v>
      </c>
      <c r="AS1093" t="s">
        <v>2365</v>
      </c>
      <c r="AT1093" t="s">
        <v>2365</v>
      </c>
      <c r="AU1093" t="s">
        <v>2365</v>
      </c>
      <c r="AV1093" t="s">
        <v>2365</v>
      </c>
      <c r="AW1093" t="s">
        <v>2365</v>
      </c>
      <c r="AX1093" t="s">
        <v>2365</v>
      </c>
      <c r="AY1093" t="s">
        <v>2365</v>
      </c>
      <c r="AZ1093" t="s">
        <v>2365</v>
      </c>
      <c r="BA1093" t="s">
        <v>2365</v>
      </c>
      <c r="BB1093" t="s">
        <v>2365</v>
      </c>
      <c r="BC1093" t="s">
        <v>2365</v>
      </c>
      <c r="BD1093" t="s">
        <v>2366</v>
      </c>
      <c r="BE1093" t="s">
        <v>2365</v>
      </c>
      <c r="BF1093" t="s">
        <v>2365</v>
      </c>
      <c r="BG1093" t="s">
        <v>2365</v>
      </c>
      <c r="BH1093" t="s">
        <v>2365</v>
      </c>
      <c r="BI1093" t="s">
        <v>2366</v>
      </c>
      <c r="BJ1093" t="s">
        <v>2365</v>
      </c>
      <c r="BK1093" t="s">
        <v>2365</v>
      </c>
      <c r="BL1093" t="s">
        <v>2365</v>
      </c>
      <c r="BM1093" t="s">
        <v>2365</v>
      </c>
      <c r="BO1093">
        <v>1</v>
      </c>
      <c r="BP1093">
        <v>11</v>
      </c>
      <c r="BQ1093" t="s">
        <v>2369</v>
      </c>
      <c r="BR1093" t="s">
        <v>1487</v>
      </c>
      <c r="BU1093">
        <v>0</v>
      </c>
      <c r="BV1093">
        <v>0</v>
      </c>
      <c r="BW1093">
        <v>0</v>
      </c>
      <c r="BX1093">
        <v>0</v>
      </c>
      <c r="BY1093">
        <v>0</v>
      </c>
      <c r="BZ1093">
        <v>0</v>
      </c>
      <c r="CA1093">
        <v>0</v>
      </c>
      <c r="CB1093">
        <v>0</v>
      </c>
      <c r="CC1093">
        <v>0</v>
      </c>
      <c r="CD1093">
        <v>0</v>
      </c>
      <c r="CE1093">
        <v>0</v>
      </c>
      <c r="CF1093">
        <v>0</v>
      </c>
      <c r="CG1093">
        <v>0</v>
      </c>
      <c r="CH1093">
        <v>0</v>
      </c>
      <c r="CI1093">
        <v>0</v>
      </c>
      <c r="CJ1093">
        <v>0</v>
      </c>
      <c r="CK1093">
        <v>0</v>
      </c>
      <c r="CL1093">
        <v>0</v>
      </c>
      <c r="CM1093">
        <v>0</v>
      </c>
      <c r="CR1093" t="s">
        <v>2324</v>
      </c>
      <c r="CS1093" s="1369" t="str">
        <f>INDEX([8]Sheet1!$H:$H,MATCH(CR:CR,[8]Sheet1!$AU:$AU,0))</f>
        <v>Finance</v>
      </c>
    </row>
    <row r="1094" spans="1:97" x14ac:dyDescent="0.2">
      <c r="A1094" t="s">
        <v>3964</v>
      </c>
      <c r="B1094">
        <v>1163</v>
      </c>
      <c r="C1094" t="s">
        <v>3964</v>
      </c>
      <c r="D1094">
        <v>30394</v>
      </c>
      <c r="E1094" t="s">
        <v>3609</v>
      </c>
      <c r="F1094" t="s">
        <v>2364</v>
      </c>
      <c r="G1094" t="s">
        <v>2364</v>
      </c>
      <c r="H1094" t="s">
        <v>2365</v>
      </c>
      <c r="I1094" t="s">
        <v>2365</v>
      </c>
      <c r="J1094" t="s">
        <v>2365</v>
      </c>
      <c r="K1094" t="s">
        <v>2365</v>
      </c>
      <c r="L1094">
        <v>1200</v>
      </c>
      <c r="M1094" t="s">
        <v>1480</v>
      </c>
      <c r="N1094">
        <v>1204</v>
      </c>
      <c r="O1094" t="s">
        <v>1487</v>
      </c>
      <c r="P1094" t="s">
        <v>2366</v>
      </c>
      <c r="Q1094" t="s">
        <v>2364</v>
      </c>
      <c r="R1094" t="s">
        <v>2364</v>
      </c>
      <c r="S1094" t="s">
        <v>553</v>
      </c>
      <c r="T1094" t="s">
        <v>2175</v>
      </c>
      <c r="U1094">
        <v>140</v>
      </c>
      <c r="V1094" t="s">
        <v>693</v>
      </c>
      <c r="W1094">
        <v>140</v>
      </c>
      <c r="X1094" t="s">
        <v>693</v>
      </c>
      <c r="Y1094" t="s">
        <v>2365</v>
      </c>
      <c r="Z1094" t="s">
        <v>2365</v>
      </c>
      <c r="AA1094" t="s">
        <v>2365</v>
      </c>
      <c r="AB1094" t="s">
        <v>2365</v>
      </c>
      <c r="AC1094" s="813" t="s">
        <v>2365</v>
      </c>
      <c r="AD1094" s="813" t="s">
        <v>2365</v>
      </c>
      <c r="AE1094" s="813" t="s">
        <v>2365</v>
      </c>
      <c r="AF1094" t="s">
        <v>2365</v>
      </c>
      <c r="AG1094" t="s">
        <v>2365</v>
      </c>
      <c r="AH1094" t="s">
        <v>2365</v>
      </c>
      <c r="AI1094" t="s">
        <v>2365</v>
      </c>
      <c r="AJ1094" t="s">
        <v>2365</v>
      </c>
      <c r="AK1094">
        <v>147</v>
      </c>
      <c r="AL1094" t="s">
        <v>1200</v>
      </c>
      <c r="AM1094">
        <v>147</v>
      </c>
      <c r="AN1094" t="s">
        <v>1200</v>
      </c>
      <c r="AR1094" t="s">
        <v>2365</v>
      </c>
      <c r="AS1094" t="s">
        <v>2365</v>
      </c>
      <c r="AT1094" t="s">
        <v>2365</v>
      </c>
      <c r="AU1094" t="s">
        <v>2365</v>
      </c>
      <c r="AV1094" t="s">
        <v>2365</v>
      </c>
      <c r="AW1094" t="s">
        <v>2365</v>
      </c>
      <c r="AX1094" t="s">
        <v>2365</v>
      </c>
      <c r="AY1094" t="s">
        <v>2365</v>
      </c>
      <c r="AZ1094" t="s">
        <v>2365</v>
      </c>
      <c r="BA1094" t="s">
        <v>2365</v>
      </c>
      <c r="BB1094" t="s">
        <v>2365</v>
      </c>
      <c r="BC1094" t="s">
        <v>2365</v>
      </c>
      <c r="BD1094" t="s">
        <v>2366</v>
      </c>
      <c r="BE1094" t="s">
        <v>2365</v>
      </c>
      <c r="BF1094" t="s">
        <v>2365</v>
      </c>
      <c r="BG1094" t="s">
        <v>2365</v>
      </c>
      <c r="BH1094" t="s">
        <v>2365</v>
      </c>
      <c r="BI1094" t="s">
        <v>2366</v>
      </c>
      <c r="BJ1094" t="s">
        <v>2365</v>
      </c>
      <c r="BK1094" t="s">
        <v>2365</v>
      </c>
      <c r="BL1094" t="s">
        <v>2365</v>
      </c>
      <c r="BM1094" t="s">
        <v>2365</v>
      </c>
      <c r="BO1094">
        <v>1</v>
      </c>
      <c r="BP1094">
        <v>11</v>
      </c>
      <c r="BQ1094" t="s">
        <v>2369</v>
      </c>
      <c r="BR1094" t="s">
        <v>1487</v>
      </c>
      <c r="BU1094">
        <v>0</v>
      </c>
      <c r="BV1094">
        <v>0</v>
      </c>
      <c r="BW1094">
        <v>0</v>
      </c>
      <c r="BX1094">
        <v>0</v>
      </c>
      <c r="BY1094">
        <v>0</v>
      </c>
      <c r="BZ1094">
        <v>0</v>
      </c>
      <c r="CA1094">
        <v>0</v>
      </c>
      <c r="CB1094">
        <v>0</v>
      </c>
      <c r="CC1094">
        <v>0</v>
      </c>
      <c r="CD1094">
        <v>0</v>
      </c>
      <c r="CE1094">
        <v>0</v>
      </c>
      <c r="CF1094">
        <v>0</v>
      </c>
      <c r="CG1094">
        <v>0</v>
      </c>
      <c r="CH1094">
        <v>0</v>
      </c>
      <c r="CI1094">
        <v>0</v>
      </c>
      <c r="CJ1094">
        <v>0</v>
      </c>
      <c r="CK1094">
        <v>0</v>
      </c>
      <c r="CL1094">
        <v>0</v>
      </c>
      <c r="CM1094">
        <v>0</v>
      </c>
      <c r="CR1094" t="s">
        <v>2324</v>
      </c>
      <c r="CS1094" s="1369" t="str">
        <f>INDEX([8]Sheet1!$H:$H,MATCH(CR:CR,[8]Sheet1!$AU:$AU,0))</f>
        <v>Finance</v>
      </c>
    </row>
    <row r="1095" spans="1:97" x14ac:dyDescent="0.2">
      <c r="A1095" t="s">
        <v>3965</v>
      </c>
      <c r="B1095">
        <v>1164</v>
      </c>
      <c r="C1095" t="s">
        <v>3965</v>
      </c>
      <c r="D1095">
        <v>30395</v>
      </c>
      <c r="E1095" t="s">
        <v>3613</v>
      </c>
      <c r="F1095" t="s">
        <v>2364</v>
      </c>
      <c r="G1095" t="s">
        <v>2364</v>
      </c>
      <c r="H1095" t="s">
        <v>2365</v>
      </c>
      <c r="I1095" t="s">
        <v>2365</v>
      </c>
      <c r="J1095" t="s">
        <v>2365</v>
      </c>
      <c r="K1095" t="s">
        <v>2365</v>
      </c>
      <c r="L1095">
        <v>1200</v>
      </c>
      <c r="M1095" t="s">
        <v>1480</v>
      </c>
      <c r="N1095">
        <v>1204</v>
      </c>
      <c r="O1095" t="s">
        <v>1487</v>
      </c>
      <c r="P1095" t="s">
        <v>2366</v>
      </c>
      <c r="Q1095" t="s">
        <v>2364</v>
      </c>
      <c r="R1095" t="s">
        <v>2364</v>
      </c>
      <c r="S1095" t="s">
        <v>553</v>
      </c>
      <c r="T1095" t="s">
        <v>2175</v>
      </c>
      <c r="U1095">
        <v>140</v>
      </c>
      <c r="V1095" t="s">
        <v>693</v>
      </c>
      <c r="W1095">
        <v>140</v>
      </c>
      <c r="X1095" t="s">
        <v>693</v>
      </c>
      <c r="Y1095" t="s">
        <v>2365</v>
      </c>
      <c r="Z1095" t="s">
        <v>2365</v>
      </c>
      <c r="AA1095" t="s">
        <v>2365</v>
      </c>
      <c r="AB1095" t="s">
        <v>2365</v>
      </c>
      <c r="AC1095" s="813" t="s">
        <v>2365</v>
      </c>
      <c r="AD1095" s="813" t="s">
        <v>2365</v>
      </c>
      <c r="AE1095" s="813" t="s">
        <v>2365</v>
      </c>
      <c r="AF1095" t="s">
        <v>2365</v>
      </c>
      <c r="AG1095" t="s">
        <v>2365</v>
      </c>
      <c r="AH1095" t="s">
        <v>2365</v>
      </c>
      <c r="AI1095" t="s">
        <v>2365</v>
      </c>
      <c r="AJ1095" t="s">
        <v>2365</v>
      </c>
      <c r="AK1095" t="s">
        <v>2366</v>
      </c>
      <c r="AL1095" t="s">
        <v>2366</v>
      </c>
      <c r="AM1095" t="s">
        <v>2366</v>
      </c>
      <c r="AN1095" t="s">
        <v>2366</v>
      </c>
      <c r="AR1095" t="s">
        <v>2365</v>
      </c>
      <c r="AS1095" t="s">
        <v>2365</v>
      </c>
      <c r="AT1095" t="s">
        <v>2365</v>
      </c>
      <c r="AU1095" t="s">
        <v>2365</v>
      </c>
      <c r="AV1095" t="s">
        <v>2365</v>
      </c>
      <c r="AW1095" t="s">
        <v>2365</v>
      </c>
      <c r="AX1095" t="s">
        <v>2365</v>
      </c>
      <c r="AY1095" t="s">
        <v>2365</v>
      </c>
      <c r="AZ1095" t="s">
        <v>2365</v>
      </c>
      <c r="BA1095" t="s">
        <v>2365</v>
      </c>
      <c r="BB1095" t="s">
        <v>2365</v>
      </c>
      <c r="BC1095" t="s">
        <v>2365</v>
      </c>
      <c r="BD1095" t="s">
        <v>2366</v>
      </c>
      <c r="BE1095" t="s">
        <v>2365</v>
      </c>
      <c r="BF1095" t="s">
        <v>2365</v>
      </c>
      <c r="BG1095" t="s">
        <v>2365</v>
      </c>
      <c r="BH1095" t="s">
        <v>2365</v>
      </c>
      <c r="BI1095" t="s">
        <v>2366</v>
      </c>
      <c r="BJ1095" t="s">
        <v>2365</v>
      </c>
      <c r="BK1095" t="s">
        <v>2365</v>
      </c>
      <c r="BL1095" t="s">
        <v>2365</v>
      </c>
      <c r="BM1095" t="s">
        <v>2365</v>
      </c>
      <c r="BO1095">
        <v>1</v>
      </c>
      <c r="BP1095">
        <v>11</v>
      </c>
      <c r="BQ1095" t="s">
        <v>2369</v>
      </c>
      <c r="BR1095" t="s">
        <v>1487</v>
      </c>
      <c r="BU1095">
        <v>0</v>
      </c>
      <c r="BV1095">
        <v>0</v>
      </c>
      <c r="BW1095">
        <v>0</v>
      </c>
      <c r="BX1095">
        <v>0</v>
      </c>
      <c r="BY1095" s="1371">
        <v>0</v>
      </c>
      <c r="BZ1095" s="1371">
        <v>0</v>
      </c>
      <c r="CA1095">
        <v>0</v>
      </c>
      <c r="CB1095">
        <v>0</v>
      </c>
      <c r="CC1095">
        <v>0</v>
      </c>
      <c r="CD1095">
        <v>0</v>
      </c>
      <c r="CE1095">
        <v>0</v>
      </c>
      <c r="CF1095">
        <v>0</v>
      </c>
      <c r="CG1095">
        <v>0</v>
      </c>
      <c r="CH1095">
        <v>0</v>
      </c>
      <c r="CI1095">
        <v>0</v>
      </c>
      <c r="CJ1095">
        <v>0</v>
      </c>
      <c r="CK1095">
        <v>0</v>
      </c>
      <c r="CL1095">
        <v>0</v>
      </c>
      <c r="CM1095">
        <v>0</v>
      </c>
      <c r="CR1095" t="s">
        <v>2324</v>
      </c>
      <c r="CS1095" s="1369" t="str">
        <f>INDEX([8]Sheet1!$H:$H,MATCH(CR:CR,[8]Sheet1!$AU:$AU,0))</f>
        <v>Finance</v>
      </c>
    </row>
    <row r="1096" spans="1:97" x14ac:dyDescent="0.2">
      <c r="A1096" t="s">
        <v>3966</v>
      </c>
      <c r="B1096">
        <v>1166</v>
      </c>
      <c r="C1096" t="s">
        <v>3966</v>
      </c>
      <c r="D1096">
        <v>30397</v>
      </c>
      <c r="E1096" t="s">
        <v>3621</v>
      </c>
      <c r="F1096" t="s">
        <v>2364</v>
      </c>
      <c r="G1096" t="s">
        <v>2364</v>
      </c>
      <c r="H1096" t="s">
        <v>2365</v>
      </c>
      <c r="I1096" t="s">
        <v>2365</v>
      </c>
      <c r="J1096" t="s">
        <v>2365</v>
      </c>
      <c r="K1096" t="s">
        <v>2365</v>
      </c>
      <c r="L1096">
        <v>1200</v>
      </c>
      <c r="M1096" t="s">
        <v>1480</v>
      </c>
      <c r="N1096">
        <v>1204</v>
      </c>
      <c r="O1096" t="s">
        <v>1487</v>
      </c>
      <c r="P1096" t="s">
        <v>2366</v>
      </c>
      <c r="Q1096" t="s">
        <v>2364</v>
      </c>
      <c r="R1096" t="s">
        <v>2364</v>
      </c>
      <c r="S1096" t="s">
        <v>553</v>
      </c>
      <c r="T1096" t="s">
        <v>2175</v>
      </c>
      <c r="U1096">
        <v>140</v>
      </c>
      <c r="V1096" t="s">
        <v>693</v>
      </c>
      <c r="W1096">
        <v>140</v>
      </c>
      <c r="X1096" t="s">
        <v>693</v>
      </c>
      <c r="Y1096" t="s">
        <v>2365</v>
      </c>
      <c r="Z1096" t="s">
        <v>2365</v>
      </c>
      <c r="AA1096" t="s">
        <v>2365</v>
      </c>
      <c r="AB1096" t="s">
        <v>2365</v>
      </c>
      <c r="AC1096" s="813" t="s">
        <v>2365</v>
      </c>
      <c r="AD1096" s="813" t="s">
        <v>2365</v>
      </c>
      <c r="AE1096" s="813" t="s">
        <v>2365</v>
      </c>
      <c r="AF1096" t="s">
        <v>2365</v>
      </c>
      <c r="AG1096" t="s">
        <v>2365</v>
      </c>
      <c r="AH1096" t="s">
        <v>2365</v>
      </c>
      <c r="AI1096" t="s">
        <v>2365</v>
      </c>
      <c r="AJ1096" t="s">
        <v>2365</v>
      </c>
      <c r="AK1096" t="s">
        <v>2366</v>
      </c>
      <c r="AL1096" t="s">
        <v>2366</v>
      </c>
      <c r="AM1096" t="s">
        <v>2366</v>
      </c>
      <c r="AN1096" t="s">
        <v>2366</v>
      </c>
      <c r="AR1096" t="s">
        <v>2365</v>
      </c>
      <c r="AS1096" t="s">
        <v>2365</v>
      </c>
      <c r="AT1096" t="s">
        <v>2365</v>
      </c>
      <c r="AU1096" t="s">
        <v>2365</v>
      </c>
      <c r="AV1096" t="s">
        <v>2365</v>
      </c>
      <c r="AW1096" t="s">
        <v>2365</v>
      </c>
      <c r="AX1096" t="s">
        <v>2365</v>
      </c>
      <c r="AY1096" t="s">
        <v>2365</v>
      </c>
      <c r="AZ1096" t="s">
        <v>2365</v>
      </c>
      <c r="BA1096" t="s">
        <v>2365</v>
      </c>
      <c r="BB1096" t="s">
        <v>2365</v>
      </c>
      <c r="BC1096" t="s">
        <v>2365</v>
      </c>
      <c r="BD1096" t="s">
        <v>2366</v>
      </c>
      <c r="BE1096" t="s">
        <v>2365</v>
      </c>
      <c r="BF1096" t="s">
        <v>2365</v>
      </c>
      <c r="BG1096" t="s">
        <v>2365</v>
      </c>
      <c r="BH1096" t="s">
        <v>2365</v>
      </c>
      <c r="BI1096" t="s">
        <v>2366</v>
      </c>
      <c r="BJ1096" t="s">
        <v>2365</v>
      </c>
      <c r="BK1096" t="s">
        <v>2365</v>
      </c>
      <c r="BL1096" t="s">
        <v>2365</v>
      </c>
      <c r="BM1096" t="s">
        <v>2365</v>
      </c>
      <c r="BO1096">
        <v>1</v>
      </c>
      <c r="BP1096">
        <v>11</v>
      </c>
      <c r="BQ1096" t="s">
        <v>2369</v>
      </c>
      <c r="BR1096" t="s">
        <v>1487</v>
      </c>
      <c r="BU1096">
        <v>0</v>
      </c>
      <c r="BV1096">
        <v>0</v>
      </c>
      <c r="BW1096">
        <v>0</v>
      </c>
      <c r="BX1096">
        <v>0</v>
      </c>
      <c r="BY1096" s="1371">
        <v>0</v>
      </c>
      <c r="BZ1096" s="1371">
        <v>0</v>
      </c>
      <c r="CA1096">
        <v>0</v>
      </c>
      <c r="CB1096">
        <v>0</v>
      </c>
      <c r="CC1096">
        <v>0</v>
      </c>
      <c r="CD1096">
        <v>0</v>
      </c>
      <c r="CE1096">
        <v>0</v>
      </c>
      <c r="CF1096">
        <v>0</v>
      </c>
      <c r="CG1096">
        <v>0</v>
      </c>
      <c r="CH1096">
        <v>0</v>
      </c>
      <c r="CI1096">
        <v>0</v>
      </c>
      <c r="CJ1096">
        <v>0</v>
      </c>
      <c r="CK1096">
        <v>0</v>
      </c>
      <c r="CL1096">
        <v>0</v>
      </c>
      <c r="CM1096">
        <v>0</v>
      </c>
      <c r="CR1096" t="s">
        <v>2324</v>
      </c>
      <c r="CS1096" s="1369" t="str">
        <f>INDEX([8]Sheet1!$H:$H,MATCH(CR:CR,[8]Sheet1!$AU:$AU,0))</f>
        <v>Finance</v>
      </c>
    </row>
    <row r="1097" spans="1:97" x14ac:dyDescent="0.2">
      <c r="A1097" t="s">
        <v>3967</v>
      </c>
      <c r="B1097">
        <v>1167</v>
      </c>
      <c r="C1097" t="s">
        <v>3967</v>
      </c>
      <c r="D1097">
        <v>30398</v>
      </c>
      <c r="E1097" t="s">
        <v>3593</v>
      </c>
      <c r="F1097" t="s">
        <v>2364</v>
      </c>
      <c r="G1097" t="s">
        <v>2364</v>
      </c>
      <c r="H1097" t="s">
        <v>2365</v>
      </c>
      <c r="I1097" t="s">
        <v>2365</v>
      </c>
      <c r="J1097" t="s">
        <v>2365</v>
      </c>
      <c r="K1097" t="s">
        <v>2365</v>
      </c>
      <c r="L1097">
        <v>1200</v>
      </c>
      <c r="M1097" t="s">
        <v>1480</v>
      </c>
      <c r="N1097">
        <v>1204</v>
      </c>
      <c r="O1097" t="s">
        <v>1487</v>
      </c>
      <c r="P1097" t="s">
        <v>2366</v>
      </c>
      <c r="Q1097" t="s">
        <v>2364</v>
      </c>
      <c r="R1097" t="s">
        <v>2364</v>
      </c>
      <c r="S1097" t="s">
        <v>553</v>
      </c>
      <c r="T1097" t="s">
        <v>2175</v>
      </c>
      <c r="U1097" t="s">
        <v>2366</v>
      </c>
      <c r="V1097" t="s">
        <v>2366</v>
      </c>
      <c r="W1097" t="s">
        <v>2366</v>
      </c>
      <c r="X1097" t="s">
        <v>2366</v>
      </c>
      <c r="Y1097" t="s">
        <v>2365</v>
      </c>
      <c r="Z1097" t="s">
        <v>2365</v>
      </c>
      <c r="AA1097" t="s">
        <v>2365</v>
      </c>
      <c r="AB1097" t="s">
        <v>2365</v>
      </c>
      <c r="AC1097" s="813" t="s">
        <v>2365</v>
      </c>
      <c r="AD1097" s="813" t="s">
        <v>2365</v>
      </c>
      <c r="AE1097" s="813" t="s">
        <v>2365</v>
      </c>
      <c r="AF1097" t="s">
        <v>2365</v>
      </c>
      <c r="AG1097" t="s">
        <v>2365</v>
      </c>
      <c r="AH1097" t="s">
        <v>2365</v>
      </c>
      <c r="AI1097" t="s">
        <v>2365</v>
      </c>
      <c r="AJ1097" t="s">
        <v>2365</v>
      </c>
      <c r="AK1097">
        <v>146</v>
      </c>
      <c r="AL1097" t="s">
        <v>1199</v>
      </c>
      <c r="AM1097">
        <v>146</v>
      </c>
      <c r="AN1097" t="s">
        <v>1199</v>
      </c>
      <c r="AR1097" t="s">
        <v>2365</v>
      </c>
      <c r="AS1097" t="s">
        <v>2365</v>
      </c>
      <c r="AT1097" t="s">
        <v>2365</v>
      </c>
      <c r="AU1097" t="s">
        <v>2365</v>
      </c>
      <c r="AV1097" t="s">
        <v>2365</v>
      </c>
      <c r="AW1097" t="s">
        <v>2365</v>
      </c>
      <c r="AX1097" t="s">
        <v>2365</v>
      </c>
      <c r="AY1097" t="s">
        <v>2365</v>
      </c>
      <c r="AZ1097" t="s">
        <v>2365</v>
      </c>
      <c r="BA1097" t="s">
        <v>2365</v>
      </c>
      <c r="BB1097" t="s">
        <v>2365</v>
      </c>
      <c r="BC1097" t="s">
        <v>2365</v>
      </c>
      <c r="BD1097" t="s">
        <v>2366</v>
      </c>
      <c r="BE1097" t="s">
        <v>2365</v>
      </c>
      <c r="BF1097" t="s">
        <v>2365</v>
      </c>
      <c r="BG1097" t="s">
        <v>2365</v>
      </c>
      <c r="BH1097" t="s">
        <v>2365</v>
      </c>
      <c r="BI1097" t="s">
        <v>2366</v>
      </c>
      <c r="BJ1097" t="s">
        <v>2365</v>
      </c>
      <c r="BK1097" t="s">
        <v>2365</v>
      </c>
      <c r="BL1097" t="s">
        <v>2365</v>
      </c>
      <c r="BM1097" t="s">
        <v>2365</v>
      </c>
      <c r="BO1097">
        <v>1</v>
      </c>
      <c r="BP1097">
        <v>11</v>
      </c>
      <c r="BQ1097" t="s">
        <v>2369</v>
      </c>
      <c r="BR1097" t="s">
        <v>1487</v>
      </c>
      <c r="BU1097">
        <v>0</v>
      </c>
      <c r="BV1097">
        <v>0</v>
      </c>
      <c r="BW1097">
        <v>0</v>
      </c>
      <c r="BX1097">
        <v>0</v>
      </c>
      <c r="BY1097" s="1371">
        <v>0</v>
      </c>
      <c r="BZ1097" s="1371">
        <v>0</v>
      </c>
      <c r="CA1097">
        <v>0</v>
      </c>
      <c r="CB1097">
        <v>0</v>
      </c>
      <c r="CC1097">
        <v>0</v>
      </c>
      <c r="CD1097">
        <v>0</v>
      </c>
      <c r="CE1097">
        <v>0</v>
      </c>
      <c r="CF1097">
        <v>0</v>
      </c>
      <c r="CG1097">
        <v>0</v>
      </c>
      <c r="CH1097">
        <v>0</v>
      </c>
      <c r="CI1097">
        <v>0</v>
      </c>
      <c r="CJ1097">
        <v>0</v>
      </c>
      <c r="CK1097">
        <v>0</v>
      </c>
      <c r="CL1097">
        <v>0</v>
      </c>
      <c r="CM1097">
        <v>0</v>
      </c>
      <c r="CR1097" t="s">
        <v>2324</v>
      </c>
      <c r="CS1097" s="1369" t="str">
        <f>INDEX([8]Sheet1!$H:$H,MATCH(CR:CR,[8]Sheet1!$AU:$AU,0))</f>
        <v>Finance</v>
      </c>
    </row>
    <row r="1098" spans="1:97" x14ac:dyDescent="0.2">
      <c r="A1098" t="s">
        <v>3968</v>
      </c>
      <c r="B1098">
        <v>1168</v>
      </c>
      <c r="C1098" t="s">
        <v>3968</v>
      </c>
      <c r="D1098">
        <v>30399</v>
      </c>
      <c r="E1098" t="s">
        <v>3597</v>
      </c>
      <c r="F1098" t="s">
        <v>2364</v>
      </c>
      <c r="G1098" t="s">
        <v>2364</v>
      </c>
      <c r="H1098" t="s">
        <v>2365</v>
      </c>
      <c r="I1098" t="s">
        <v>2365</v>
      </c>
      <c r="J1098" t="s">
        <v>2365</v>
      </c>
      <c r="K1098" t="s">
        <v>2365</v>
      </c>
      <c r="L1098">
        <v>1200</v>
      </c>
      <c r="M1098" t="s">
        <v>1480</v>
      </c>
      <c r="N1098">
        <v>1204</v>
      </c>
      <c r="O1098" t="s">
        <v>1487</v>
      </c>
      <c r="P1098" t="s">
        <v>2366</v>
      </c>
      <c r="Q1098" t="s">
        <v>2364</v>
      </c>
      <c r="R1098" t="s">
        <v>2364</v>
      </c>
      <c r="S1098" t="s">
        <v>553</v>
      </c>
      <c r="T1098" t="s">
        <v>2175</v>
      </c>
      <c r="U1098" t="s">
        <v>2366</v>
      </c>
      <c r="V1098" t="s">
        <v>2366</v>
      </c>
      <c r="W1098" t="s">
        <v>2366</v>
      </c>
      <c r="X1098" t="s">
        <v>2366</v>
      </c>
      <c r="Y1098" t="s">
        <v>2365</v>
      </c>
      <c r="Z1098" t="s">
        <v>2365</v>
      </c>
      <c r="AA1098" t="s">
        <v>2365</v>
      </c>
      <c r="AB1098" t="s">
        <v>2365</v>
      </c>
      <c r="AC1098" s="813" t="s">
        <v>2365</v>
      </c>
      <c r="AD1098" s="813" t="s">
        <v>2365</v>
      </c>
      <c r="AE1098" s="813" t="s">
        <v>2365</v>
      </c>
      <c r="AF1098" t="s">
        <v>2365</v>
      </c>
      <c r="AG1098" t="s">
        <v>2365</v>
      </c>
      <c r="AH1098" t="s">
        <v>2365</v>
      </c>
      <c r="AI1098" t="s">
        <v>2365</v>
      </c>
      <c r="AJ1098" t="s">
        <v>2365</v>
      </c>
      <c r="AK1098">
        <v>146</v>
      </c>
      <c r="AL1098" t="s">
        <v>1199</v>
      </c>
      <c r="AM1098">
        <v>146</v>
      </c>
      <c r="AN1098" t="s">
        <v>1199</v>
      </c>
      <c r="AR1098" t="s">
        <v>2365</v>
      </c>
      <c r="AS1098" t="s">
        <v>2365</v>
      </c>
      <c r="AT1098" t="s">
        <v>2365</v>
      </c>
      <c r="AU1098" t="s">
        <v>2365</v>
      </c>
      <c r="AV1098" t="s">
        <v>2365</v>
      </c>
      <c r="AW1098" t="s">
        <v>2365</v>
      </c>
      <c r="AX1098" t="s">
        <v>2365</v>
      </c>
      <c r="AY1098" t="s">
        <v>2365</v>
      </c>
      <c r="AZ1098" t="s">
        <v>2365</v>
      </c>
      <c r="BA1098" t="s">
        <v>2365</v>
      </c>
      <c r="BB1098" t="s">
        <v>2365</v>
      </c>
      <c r="BC1098" t="s">
        <v>2365</v>
      </c>
      <c r="BD1098" t="s">
        <v>2366</v>
      </c>
      <c r="BE1098" t="s">
        <v>2365</v>
      </c>
      <c r="BF1098" t="s">
        <v>2365</v>
      </c>
      <c r="BG1098" t="s">
        <v>2365</v>
      </c>
      <c r="BH1098" t="s">
        <v>2365</v>
      </c>
      <c r="BI1098" t="s">
        <v>2366</v>
      </c>
      <c r="BJ1098" t="s">
        <v>2365</v>
      </c>
      <c r="BK1098" t="s">
        <v>2365</v>
      </c>
      <c r="BL1098" t="s">
        <v>2365</v>
      </c>
      <c r="BM1098" t="s">
        <v>2365</v>
      </c>
      <c r="BO1098">
        <v>1</v>
      </c>
      <c r="BP1098">
        <v>11</v>
      </c>
      <c r="BQ1098" t="s">
        <v>2369</v>
      </c>
      <c r="BR1098" t="s">
        <v>1487</v>
      </c>
      <c r="BU1098">
        <v>0</v>
      </c>
      <c r="BV1098">
        <v>0</v>
      </c>
      <c r="BW1098">
        <v>0</v>
      </c>
      <c r="BX1098">
        <v>0</v>
      </c>
      <c r="BY1098" s="1371">
        <v>0</v>
      </c>
      <c r="BZ1098" s="1371">
        <v>0</v>
      </c>
      <c r="CA1098">
        <v>0</v>
      </c>
      <c r="CB1098">
        <v>0</v>
      </c>
      <c r="CC1098">
        <v>0</v>
      </c>
      <c r="CD1098">
        <v>0</v>
      </c>
      <c r="CE1098">
        <v>0</v>
      </c>
      <c r="CF1098">
        <v>0</v>
      </c>
      <c r="CG1098">
        <v>0</v>
      </c>
      <c r="CH1098">
        <v>0</v>
      </c>
      <c r="CI1098">
        <v>0</v>
      </c>
      <c r="CJ1098">
        <v>0</v>
      </c>
      <c r="CK1098">
        <v>0</v>
      </c>
      <c r="CL1098">
        <v>0</v>
      </c>
      <c r="CM1098">
        <v>0</v>
      </c>
      <c r="CR1098" t="s">
        <v>2324</v>
      </c>
      <c r="CS1098" s="1369" t="str">
        <f>INDEX([8]Sheet1!$H:$H,MATCH(CR:CR,[8]Sheet1!$AU:$AU,0))</f>
        <v>Finance</v>
      </c>
    </row>
    <row r="1099" spans="1:97" x14ac:dyDescent="0.2">
      <c r="A1099" t="s">
        <v>3969</v>
      </c>
      <c r="B1099">
        <v>1169</v>
      </c>
      <c r="C1099" t="s">
        <v>3969</v>
      </c>
      <c r="D1099">
        <v>30400</v>
      </c>
      <c r="E1099" t="s">
        <v>3647</v>
      </c>
      <c r="F1099" t="s">
        <v>2364</v>
      </c>
      <c r="G1099" t="s">
        <v>2364</v>
      </c>
      <c r="H1099" t="s">
        <v>2365</v>
      </c>
      <c r="I1099" t="s">
        <v>2365</v>
      </c>
      <c r="J1099" t="s">
        <v>2365</v>
      </c>
      <c r="K1099" t="s">
        <v>2365</v>
      </c>
      <c r="L1099">
        <v>1200</v>
      </c>
      <c r="M1099" t="s">
        <v>1480</v>
      </c>
      <c r="N1099">
        <v>1204</v>
      </c>
      <c r="O1099" t="s">
        <v>1487</v>
      </c>
      <c r="P1099" t="s">
        <v>2366</v>
      </c>
      <c r="Q1099" t="s">
        <v>2364</v>
      </c>
      <c r="R1099" t="s">
        <v>2364</v>
      </c>
      <c r="S1099" t="s">
        <v>553</v>
      </c>
      <c r="T1099" t="s">
        <v>2175</v>
      </c>
      <c r="U1099">
        <v>140</v>
      </c>
      <c r="V1099" t="s">
        <v>693</v>
      </c>
      <c r="W1099">
        <v>140</v>
      </c>
      <c r="X1099" t="s">
        <v>693</v>
      </c>
      <c r="Y1099" t="s">
        <v>2365</v>
      </c>
      <c r="Z1099" t="s">
        <v>2365</v>
      </c>
      <c r="AA1099" t="s">
        <v>2365</v>
      </c>
      <c r="AB1099" t="s">
        <v>2365</v>
      </c>
      <c r="AC1099" s="813" t="s">
        <v>2365</v>
      </c>
      <c r="AD1099" s="813" t="s">
        <v>2365</v>
      </c>
      <c r="AE1099" s="813" t="s">
        <v>2365</v>
      </c>
      <c r="AF1099" t="s">
        <v>2365</v>
      </c>
      <c r="AG1099" t="s">
        <v>2365</v>
      </c>
      <c r="AH1099" t="s">
        <v>2365</v>
      </c>
      <c r="AI1099" t="s">
        <v>2365</v>
      </c>
      <c r="AJ1099" t="s">
        <v>2365</v>
      </c>
      <c r="AK1099" t="s">
        <v>2366</v>
      </c>
      <c r="AL1099" t="s">
        <v>2366</v>
      </c>
      <c r="AM1099" t="s">
        <v>2366</v>
      </c>
      <c r="AN1099" t="s">
        <v>2366</v>
      </c>
      <c r="AR1099" t="s">
        <v>2365</v>
      </c>
      <c r="AS1099" t="s">
        <v>2365</v>
      </c>
      <c r="AT1099" t="s">
        <v>2365</v>
      </c>
      <c r="AU1099" t="s">
        <v>2365</v>
      </c>
      <c r="AV1099" t="s">
        <v>2365</v>
      </c>
      <c r="AW1099" t="s">
        <v>2365</v>
      </c>
      <c r="AX1099" t="s">
        <v>2365</v>
      </c>
      <c r="AY1099" t="s">
        <v>2365</v>
      </c>
      <c r="AZ1099" t="s">
        <v>2365</v>
      </c>
      <c r="BA1099" t="s">
        <v>2365</v>
      </c>
      <c r="BB1099" t="s">
        <v>2365</v>
      </c>
      <c r="BC1099" t="s">
        <v>2365</v>
      </c>
      <c r="BD1099" t="s">
        <v>2366</v>
      </c>
      <c r="BE1099" t="s">
        <v>2365</v>
      </c>
      <c r="BF1099" t="s">
        <v>2365</v>
      </c>
      <c r="BG1099" t="s">
        <v>2365</v>
      </c>
      <c r="BH1099" t="s">
        <v>2365</v>
      </c>
      <c r="BI1099" t="s">
        <v>2366</v>
      </c>
      <c r="BJ1099" t="s">
        <v>2365</v>
      </c>
      <c r="BK1099" t="s">
        <v>2365</v>
      </c>
      <c r="BL1099" t="s">
        <v>2365</v>
      </c>
      <c r="BM1099" t="s">
        <v>2365</v>
      </c>
      <c r="BO1099">
        <v>1</v>
      </c>
      <c r="BP1099">
        <v>11</v>
      </c>
      <c r="BQ1099" t="s">
        <v>2369</v>
      </c>
      <c r="BR1099" t="s">
        <v>1487</v>
      </c>
      <c r="BU1099">
        <v>0</v>
      </c>
      <c r="BV1099">
        <v>0</v>
      </c>
      <c r="BW1099">
        <v>0</v>
      </c>
      <c r="BX1099">
        <v>0</v>
      </c>
      <c r="BY1099" s="1371">
        <v>0</v>
      </c>
      <c r="BZ1099" s="1371">
        <v>0</v>
      </c>
      <c r="CA1099">
        <v>0</v>
      </c>
      <c r="CB1099">
        <v>0</v>
      </c>
      <c r="CC1099">
        <v>0</v>
      </c>
      <c r="CD1099">
        <v>0</v>
      </c>
      <c r="CE1099">
        <v>0</v>
      </c>
      <c r="CF1099">
        <v>0</v>
      </c>
      <c r="CG1099">
        <v>0</v>
      </c>
      <c r="CH1099">
        <v>0</v>
      </c>
      <c r="CI1099">
        <v>0</v>
      </c>
      <c r="CJ1099">
        <v>0</v>
      </c>
      <c r="CK1099">
        <v>0</v>
      </c>
      <c r="CL1099">
        <v>0</v>
      </c>
      <c r="CM1099">
        <v>0</v>
      </c>
      <c r="CR1099" t="s">
        <v>2324</v>
      </c>
      <c r="CS1099" s="1369" t="str">
        <f>INDEX([8]Sheet1!$H:$H,MATCH(CR:CR,[8]Sheet1!$AU:$AU,0))</f>
        <v>Finance</v>
      </c>
    </row>
    <row r="1100" spans="1:97" x14ac:dyDescent="0.2">
      <c r="A1100" t="s">
        <v>3970</v>
      </c>
      <c r="B1100">
        <v>1171</v>
      </c>
      <c r="C1100" t="s">
        <v>3970</v>
      </c>
      <c r="D1100">
        <v>30402</v>
      </c>
      <c r="E1100" t="s">
        <v>3655</v>
      </c>
      <c r="F1100" t="s">
        <v>2364</v>
      </c>
      <c r="G1100" t="s">
        <v>2364</v>
      </c>
      <c r="H1100" t="s">
        <v>2365</v>
      </c>
      <c r="I1100" t="s">
        <v>2365</v>
      </c>
      <c r="J1100" t="s">
        <v>2365</v>
      </c>
      <c r="K1100" t="s">
        <v>2365</v>
      </c>
      <c r="L1100">
        <v>1200</v>
      </c>
      <c r="M1100" t="s">
        <v>1480</v>
      </c>
      <c r="N1100">
        <v>1204</v>
      </c>
      <c r="O1100" t="s">
        <v>1487</v>
      </c>
      <c r="P1100" t="s">
        <v>2366</v>
      </c>
      <c r="Q1100" t="s">
        <v>2364</v>
      </c>
      <c r="R1100" t="s">
        <v>2364</v>
      </c>
      <c r="S1100" t="s">
        <v>553</v>
      </c>
      <c r="T1100" t="s">
        <v>2175</v>
      </c>
      <c r="U1100">
        <v>140</v>
      </c>
      <c r="V1100" t="s">
        <v>693</v>
      </c>
      <c r="W1100">
        <v>140</v>
      </c>
      <c r="X1100" t="s">
        <v>693</v>
      </c>
      <c r="Y1100" t="s">
        <v>2365</v>
      </c>
      <c r="Z1100" t="s">
        <v>2365</v>
      </c>
      <c r="AA1100" t="s">
        <v>2365</v>
      </c>
      <c r="AB1100" t="s">
        <v>2365</v>
      </c>
      <c r="AC1100" s="813" t="s">
        <v>2365</v>
      </c>
      <c r="AD1100" s="813" t="s">
        <v>2365</v>
      </c>
      <c r="AE1100" s="813" t="s">
        <v>2365</v>
      </c>
      <c r="AF1100" t="s">
        <v>2365</v>
      </c>
      <c r="AG1100" t="s">
        <v>2365</v>
      </c>
      <c r="AH1100" t="s">
        <v>2365</v>
      </c>
      <c r="AI1100" t="s">
        <v>2365</v>
      </c>
      <c r="AJ1100" t="s">
        <v>2365</v>
      </c>
      <c r="AK1100">
        <v>147</v>
      </c>
      <c r="AL1100" t="s">
        <v>1200</v>
      </c>
      <c r="AM1100">
        <v>147</v>
      </c>
      <c r="AN1100" t="s">
        <v>1200</v>
      </c>
      <c r="AR1100" t="s">
        <v>2365</v>
      </c>
      <c r="AS1100" t="s">
        <v>2365</v>
      </c>
      <c r="AT1100" t="s">
        <v>2365</v>
      </c>
      <c r="AU1100" t="s">
        <v>2365</v>
      </c>
      <c r="AV1100" t="s">
        <v>2365</v>
      </c>
      <c r="AW1100" t="s">
        <v>2365</v>
      </c>
      <c r="AX1100" t="s">
        <v>2365</v>
      </c>
      <c r="AY1100" t="s">
        <v>2365</v>
      </c>
      <c r="AZ1100" t="s">
        <v>2365</v>
      </c>
      <c r="BA1100" t="s">
        <v>2365</v>
      </c>
      <c r="BB1100" t="s">
        <v>2365</v>
      </c>
      <c r="BC1100" t="s">
        <v>2365</v>
      </c>
      <c r="BD1100" t="s">
        <v>2366</v>
      </c>
      <c r="BE1100" t="s">
        <v>2365</v>
      </c>
      <c r="BF1100" t="s">
        <v>2365</v>
      </c>
      <c r="BG1100" t="s">
        <v>2365</v>
      </c>
      <c r="BH1100" t="s">
        <v>2365</v>
      </c>
      <c r="BI1100" t="s">
        <v>2366</v>
      </c>
      <c r="BJ1100" t="s">
        <v>2365</v>
      </c>
      <c r="BK1100" t="s">
        <v>2365</v>
      </c>
      <c r="BL1100" t="s">
        <v>2365</v>
      </c>
      <c r="BM1100" t="s">
        <v>2365</v>
      </c>
      <c r="BO1100">
        <v>1</v>
      </c>
      <c r="BP1100">
        <v>11</v>
      </c>
      <c r="BQ1100" t="s">
        <v>2369</v>
      </c>
      <c r="BR1100" t="s">
        <v>1487</v>
      </c>
      <c r="BU1100">
        <v>0</v>
      </c>
      <c r="BV1100">
        <v>0</v>
      </c>
      <c r="BW1100">
        <v>0</v>
      </c>
      <c r="BX1100">
        <v>0</v>
      </c>
      <c r="BY1100" s="1371">
        <v>0</v>
      </c>
      <c r="BZ1100" s="1371">
        <v>0</v>
      </c>
      <c r="CA1100">
        <v>0</v>
      </c>
      <c r="CB1100">
        <v>0</v>
      </c>
      <c r="CC1100">
        <v>0</v>
      </c>
      <c r="CD1100">
        <v>0</v>
      </c>
      <c r="CE1100">
        <v>0</v>
      </c>
      <c r="CF1100">
        <v>0</v>
      </c>
      <c r="CG1100">
        <v>0</v>
      </c>
      <c r="CH1100">
        <v>0</v>
      </c>
      <c r="CI1100">
        <v>0</v>
      </c>
      <c r="CJ1100">
        <v>0</v>
      </c>
      <c r="CK1100">
        <v>0</v>
      </c>
      <c r="CL1100">
        <v>0</v>
      </c>
      <c r="CM1100">
        <v>0</v>
      </c>
      <c r="CR1100" t="s">
        <v>2324</v>
      </c>
      <c r="CS1100" s="1369" t="str">
        <f>INDEX([8]Sheet1!$H:$H,MATCH(CR:CR,[8]Sheet1!$AU:$AU,0))</f>
        <v>Finance</v>
      </c>
    </row>
    <row r="1101" spans="1:97" x14ac:dyDescent="0.2">
      <c r="A1101" t="s">
        <v>3971</v>
      </c>
      <c r="B1101">
        <v>1172</v>
      </c>
      <c r="C1101" t="s">
        <v>3971</v>
      </c>
      <c r="D1101">
        <v>30403</v>
      </c>
      <c r="E1101" t="s">
        <v>3657</v>
      </c>
      <c r="F1101" t="s">
        <v>2364</v>
      </c>
      <c r="G1101" t="s">
        <v>2364</v>
      </c>
      <c r="H1101" t="s">
        <v>2365</v>
      </c>
      <c r="I1101" t="s">
        <v>2365</v>
      </c>
      <c r="J1101" t="s">
        <v>2365</v>
      </c>
      <c r="K1101" t="s">
        <v>2365</v>
      </c>
      <c r="L1101">
        <v>1200</v>
      </c>
      <c r="M1101" t="s">
        <v>1480</v>
      </c>
      <c r="N1101">
        <v>1204</v>
      </c>
      <c r="O1101" t="s">
        <v>1487</v>
      </c>
      <c r="P1101" t="s">
        <v>2366</v>
      </c>
      <c r="Q1101" t="s">
        <v>2364</v>
      </c>
      <c r="R1101" t="s">
        <v>2364</v>
      </c>
      <c r="S1101" t="s">
        <v>553</v>
      </c>
      <c r="T1101" t="s">
        <v>2175</v>
      </c>
      <c r="U1101">
        <v>140</v>
      </c>
      <c r="V1101" t="s">
        <v>693</v>
      </c>
      <c r="W1101">
        <v>140</v>
      </c>
      <c r="X1101" t="s">
        <v>693</v>
      </c>
      <c r="Y1101" t="s">
        <v>2365</v>
      </c>
      <c r="Z1101" t="s">
        <v>2365</v>
      </c>
      <c r="AA1101" t="s">
        <v>2365</v>
      </c>
      <c r="AB1101" t="s">
        <v>2365</v>
      </c>
      <c r="AC1101" s="813" t="s">
        <v>2365</v>
      </c>
      <c r="AD1101" s="813" t="s">
        <v>2365</v>
      </c>
      <c r="AE1101" s="813" t="s">
        <v>2365</v>
      </c>
      <c r="AF1101" t="s">
        <v>2365</v>
      </c>
      <c r="AG1101" t="s">
        <v>2365</v>
      </c>
      <c r="AH1101" t="s">
        <v>2365</v>
      </c>
      <c r="AI1101" t="s">
        <v>2365</v>
      </c>
      <c r="AJ1101" t="s">
        <v>2365</v>
      </c>
      <c r="AK1101" t="s">
        <v>2366</v>
      </c>
      <c r="AL1101" t="s">
        <v>2366</v>
      </c>
      <c r="AM1101" t="s">
        <v>2366</v>
      </c>
      <c r="AN1101" t="s">
        <v>2366</v>
      </c>
      <c r="AR1101" t="s">
        <v>2365</v>
      </c>
      <c r="AS1101" t="s">
        <v>2365</v>
      </c>
      <c r="AT1101" t="s">
        <v>2365</v>
      </c>
      <c r="AU1101" t="s">
        <v>2365</v>
      </c>
      <c r="AV1101" t="s">
        <v>2365</v>
      </c>
      <c r="AW1101" t="s">
        <v>2365</v>
      </c>
      <c r="AX1101" t="s">
        <v>2365</v>
      </c>
      <c r="AY1101" t="s">
        <v>2365</v>
      </c>
      <c r="AZ1101" t="s">
        <v>2365</v>
      </c>
      <c r="BA1101" t="s">
        <v>2365</v>
      </c>
      <c r="BB1101" t="s">
        <v>2365</v>
      </c>
      <c r="BC1101" t="s">
        <v>2365</v>
      </c>
      <c r="BD1101" t="s">
        <v>2366</v>
      </c>
      <c r="BE1101" t="s">
        <v>2365</v>
      </c>
      <c r="BF1101" t="s">
        <v>2365</v>
      </c>
      <c r="BG1101" t="s">
        <v>2365</v>
      </c>
      <c r="BH1101" t="s">
        <v>2365</v>
      </c>
      <c r="BI1101" t="s">
        <v>2366</v>
      </c>
      <c r="BJ1101" t="s">
        <v>2365</v>
      </c>
      <c r="BK1101" t="s">
        <v>2365</v>
      </c>
      <c r="BL1101" t="s">
        <v>2365</v>
      </c>
      <c r="BM1101" t="s">
        <v>2365</v>
      </c>
      <c r="BO1101">
        <v>1</v>
      </c>
      <c r="BP1101">
        <v>11</v>
      </c>
      <c r="BQ1101" t="s">
        <v>2369</v>
      </c>
      <c r="BR1101" t="s">
        <v>1487</v>
      </c>
      <c r="BU1101">
        <v>0</v>
      </c>
      <c r="BV1101">
        <v>0</v>
      </c>
      <c r="BW1101">
        <v>0</v>
      </c>
      <c r="BX1101">
        <v>0</v>
      </c>
      <c r="BY1101" s="1371">
        <v>0</v>
      </c>
      <c r="BZ1101" s="1371">
        <v>0</v>
      </c>
      <c r="CA1101">
        <v>0</v>
      </c>
      <c r="CB1101">
        <v>0</v>
      </c>
      <c r="CC1101">
        <v>0</v>
      </c>
      <c r="CD1101">
        <v>0</v>
      </c>
      <c r="CE1101">
        <v>0</v>
      </c>
      <c r="CF1101">
        <v>0</v>
      </c>
      <c r="CG1101">
        <v>0</v>
      </c>
      <c r="CH1101">
        <v>0</v>
      </c>
      <c r="CI1101">
        <v>0</v>
      </c>
      <c r="CJ1101">
        <v>0</v>
      </c>
      <c r="CK1101">
        <v>0</v>
      </c>
      <c r="CL1101">
        <v>0</v>
      </c>
      <c r="CM1101">
        <v>0</v>
      </c>
      <c r="CR1101" t="s">
        <v>2325</v>
      </c>
      <c r="CS1101" s="1369" t="str">
        <f>INDEX([8]Sheet1!$H:$H,MATCH(CR:CR,[8]Sheet1!$AU:$AU,0))</f>
        <v>Asset Management</v>
      </c>
    </row>
    <row r="1102" spans="1:97" x14ac:dyDescent="0.2">
      <c r="A1102" t="s">
        <v>3972</v>
      </c>
      <c r="B1102">
        <v>1174</v>
      </c>
      <c r="C1102" t="s">
        <v>3972</v>
      </c>
      <c r="D1102">
        <v>30405</v>
      </c>
      <c r="E1102" t="s">
        <v>3665</v>
      </c>
      <c r="F1102" t="s">
        <v>2364</v>
      </c>
      <c r="G1102" t="s">
        <v>2364</v>
      </c>
      <c r="H1102" t="s">
        <v>2365</v>
      </c>
      <c r="I1102" t="s">
        <v>2365</v>
      </c>
      <c r="J1102" t="s">
        <v>2365</v>
      </c>
      <c r="K1102" t="s">
        <v>2365</v>
      </c>
      <c r="L1102">
        <v>1200</v>
      </c>
      <c r="M1102" t="s">
        <v>1480</v>
      </c>
      <c r="N1102">
        <v>1204</v>
      </c>
      <c r="O1102" t="s">
        <v>1487</v>
      </c>
      <c r="P1102" t="s">
        <v>2366</v>
      </c>
      <c r="Q1102" t="s">
        <v>2364</v>
      </c>
      <c r="R1102" t="s">
        <v>2364</v>
      </c>
      <c r="S1102" t="s">
        <v>553</v>
      </c>
      <c r="T1102" t="s">
        <v>2175</v>
      </c>
      <c r="U1102">
        <v>140</v>
      </c>
      <c r="V1102" t="s">
        <v>693</v>
      </c>
      <c r="W1102">
        <v>140</v>
      </c>
      <c r="X1102" t="s">
        <v>693</v>
      </c>
      <c r="Y1102" t="s">
        <v>2365</v>
      </c>
      <c r="Z1102" t="s">
        <v>2365</v>
      </c>
      <c r="AA1102" t="s">
        <v>2365</v>
      </c>
      <c r="AB1102" t="s">
        <v>2365</v>
      </c>
      <c r="AC1102" s="813" t="s">
        <v>2365</v>
      </c>
      <c r="AD1102" s="813" t="s">
        <v>2365</v>
      </c>
      <c r="AE1102" s="813" t="s">
        <v>2365</v>
      </c>
      <c r="AF1102" t="s">
        <v>2365</v>
      </c>
      <c r="AG1102" t="s">
        <v>2365</v>
      </c>
      <c r="AH1102" t="s">
        <v>2365</v>
      </c>
      <c r="AI1102" t="s">
        <v>2365</v>
      </c>
      <c r="AJ1102" t="s">
        <v>2365</v>
      </c>
      <c r="AK1102" t="s">
        <v>2366</v>
      </c>
      <c r="AL1102" t="s">
        <v>2366</v>
      </c>
      <c r="AM1102" t="s">
        <v>2366</v>
      </c>
      <c r="AN1102" t="s">
        <v>2366</v>
      </c>
      <c r="AR1102" t="s">
        <v>2365</v>
      </c>
      <c r="AS1102" t="s">
        <v>2365</v>
      </c>
      <c r="AT1102" t="s">
        <v>2365</v>
      </c>
      <c r="AU1102" t="s">
        <v>2365</v>
      </c>
      <c r="AV1102" t="s">
        <v>2365</v>
      </c>
      <c r="AW1102" t="s">
        <v>2365</v>
      </c>
      <c r="AX1102" t="s">
        <v>2365</v>
      </c>
      <c r="AY1102" t="s">
        <v>2365</v>
      </c>
      <c r="AZ1102" t="s">
        <v>2365</v>
      </c>
      <c r="BA1102" t="s">
        <v>2365</v>
      </c>
      <c r="BB1102" t="s">
        <v>2365</v>
      </c>
      <c r="BC1102" t="s">
        <v>2365</v>
      </c>
      <c r="BD1102" t="s">
        <v>2366</v>
      </c>
      <c r="BE1102" t="s">
        <v>2365</v>
      </c>
      <c r="BF1102" t="s">
        <v>2365</v>
      </c>
      <c r="BG1102" t="s">
        <v>2365</v>
      </c>
      <c r="BH1102" t="s">
        <v>2365</v>
      </c>
      <c r="BI1102" t="s">
        <v>2366</v>
      </c>
      <c r="BJ1102" t="s">
        <v>2365</v>
      </c>
      <c r="BK1102" t="s">
        <v>2365</v>
      </c>
      <c r="BL1102" t="s">
        <v>2365</v>
      </c>
      <c r="BM1102" t="s">
        <v>2365</v>
      </c>
      <c r="BO1102">
        <v>1</v>
      </c>
      <c r="BP1102">
        <v>11</v>
      </c>
      <c r="BQ1102" t="s">
        <v>2369</v>
      </c>
      <c r="BR1102" t="s">
        <v>1487</v>
      </c>
      <c r="BU1102">
        <v>0</v>
      </c>
      <c r="BV1102">
        <v>0</v>
      </c>
      <c r="BW1102">
        <v>0</v>
      </c>
      <c r="BX1102">
        <v>0</v>
      </c>
      <c r="BY1102" s="1371">
        <v>0</v>
      </c>
      <c r="BZ1102" s="1371">
        <v>0</v>
      </c>
      <c r="CA1102">
        <v>0</v>
      </c>
      <c r="CB1102">
        <v>0</v>
      </c>
      <c r="CC1102">
        <v>0</v>
      </c>
      <c r="CD1102">
        <v>0</v>
      </c>
      <c r="CE1102">
        <v>0</v>
      </c>
      <c r="CF1102">
        <v>0</v>
      </c>
      <c r="CG1102">
        <v>0</v>
      </c>
      <c r="CH1102">
        <v>0</v>
      </c>
      <c r="CI1102">
        <v>0</v>
      </c>
      <c r="CJ1102">
        <v>0</v>
      </c>
      <c r="CK1102">
        <v>0</v>
      </c>
      <c r="CL1102">
        <v>0</v>
      </c>
      <c r="CM1102">
        <v>0</v>
      </c>
      <c r="CR1102" t="s">
        <v>2325</v>
      </c>
      <c r="CS1102" s="1369" t="str">
        <f>INDEX([8]Sheet1!$H:$H,MATCH(CR:CR,[8]Sheet1!$AU:$AU,0))</f>
        <v>Asset Management</v>
      </c>
    </row>
    <row r="1103" spans="1:97" x14ac:dyDescent="0.2">
      <c r="A1103" t="s">
        <v>3973</v>
      </c>
      <c r="B1103">
        <v>1175</v>
      </c>
      <c r="C1103" t="s">
        <v>3973</v>
      </c>
      <c r="D1103">
        <v>30406</v>
      </c>
      <c r="E1103" t="s">
        <v>3974</v>
      </c>
      <c r="F1103" t="s">
        <v>2364</v>
      </c>
      <c r="G1103" t="s">
        <v>2364</v>
      </c>
      <c r="H1103" t="s">
        <v>2365</v>
      </c>
      <c r="I1103" t="s">
        <v>2365</v>
      </c>
      <c r="J1103" t="s">
        <v>2365</v>
      </c>
      <c r="K1103" t="s">
        <v>2365</v>
      </c>
      <c r="L1103">
        <v>1200</v>
      </c>
      <c r="M1103" t="s">
        <v>1480</v>
      </c>
      <c r="N1103">
        <v>1204</v>
      </c>
      <c r="O1103" t="s">
        <v>1487</v>
      </c>
      <c r="P1103" t="s">
        <v>2366</v>
      </c>
      <c r="Q1103" t="s">
        <v>2364</v>
      </c>
      <c r="R1103" t="s">
        <v>2364</v>
      </c>
      <c r="S1103" t="s">
        <v>553</v>
      </c>
      <c r="T1103" t="s">
        <v>2175</v>
      </c>
      <c r="U1103" t="s">
        <v>2366</v>
      </c>
      <c r="V1103" t="s">
        <v>2366</v>
      </c>
      <c r="W1103" t="s">
        <v>2366</v>
      </c>
      <c r="X1103" t="s">
        <v>2366</v>
      </c>
      <c r="Y1103" t="s">
        <v>2365</v>
      </c>
      <c r="Z1103" t="s">
        <v>2365</v>
      </c>
      <c r="AA1103" t="s">
        <v>2365</v>
      </c>
      <c r="AB1103" t="s">
        <v>2365</v>
      </c>
      <c r="AC1103" s="813" t="s">
        <v>2365</v>
      </c>
      <c r="AD1103" s="813" t="s">
        <v>2365</v>
      </c>
      <c r="AE1103" s="813" t="s">
        <v>2365</v>
      </c>
      <c r="AF1103" t="s">
        <v>2365</v>
      </c>
      <c r="AG1103" t="s">
        <v>2365</v>
      </c>
      <c r="AH1103" t="s">
        <v>2365</v>
      </c>
      <c r="AI1103" t="s">
        <v>2365</v>
      </c>
      <c r="AJ1103" t="s">
        <v>2365</v>
      </c>
      <c r="AK1103">
        <v>146</v>
      </c>
      <c r="AL1103" t="s">
        <v>1199</v>
      </c>
      <c r="AM1103">
        <v>146</v>
      </c>
      <c r="AN1103" t="s">
        <v>1199</v>
      </c>
      <c r="AR1103" t="s">
        <v>2365</v>
      </c>
      <c r="AS1103" t="s">
        <v>2365</v>
      </c>
      <c r="AT1103" t="s">
        <v>2365</v>
      </c>
      <c r="AU1103" t="s">
        <v>2365</v>
      </c>
      <c r="AV1103" t="s">
        <v>2365</v>
      </c>
      <c r="AW1103" t="s">
        <v>2365</v>
      </c>
      <c r="AX1103" t="s">
        <v>2365</v>
      </c>
      <c r="AY1103" t="s">
        <v>2365</v>
      </c>
      <c r="AZ1103" t="s">
        <v>2365</v>
      </c>
      <c r="BA1103" t="s">
        <v>2365</v>
      </c>
      <c r="BB1103" t="s">
        <v>2365</v>
      </c>
      <c r="BC1103" t="s">
        <v>2365</v>
      </c>
      <c r="BD1103" t="s">
        <v>2366</v>
      </c>
      <c r="BE1103" t="s">
        <v>2365</v>
      </c>
      <c r="BF1103" t="s">
        <v>2365</v>
      </c>
      <c r="BG1103" t="s">
        <v>2365</v>
      </c>
      <c r="BH1103" t="s">
        <v>2365</v>
      </c>
      <c r="BI1103" t="s">
        <v>2366</v>
      </c>
      <c r="BJ1103" t="s">
        <v>2365</v>
      </c>
      <c r="BK1103" t="s">
        <v>2365</v>
      </c>
      <c r="BL1103" t="s">
        <v>2365</v>
      </c>
      <c r="BM1103" t="s">
        <v>2365</v>
      </c>
      <c r="BO1103">
        <v>1</v>
      </c>
      <c r="BP1103">
        <v>11</v>
      </c>
      <c r="BQ1103" t="s">
        <v>2369</v>
      </c>
      <c r="BR1103" t="s">
        <v>1487</v>
      </c>
      <c r="BU1103">
        <v>0</v>
      </c>
      <c r="BV1103">
        <v>0</v>
      </c>
      <c r="BW1103">
        <v>0</v>
      </c>
      <c r="BX1103">
        <v>0</v>
      </c>
      <c r="BY1103" s="1371">
        <v>0</v>
      </c>
      <c r="BZ1103" s="1371">
        <v>0</v>
      </c>
      <c r="CA1103">
        <v>0</v>
      </c>
      <c r="CB1103">
        <v>0</v>
      </c>
      <c r="CC1103">
        <v>0</v>
      </c>
      <c r="CD1103">
        <v>0</v>
      </c>
      <c r="CE1103">
        <v>0</v>
      </c>
      <c r="CF1103">
        <v>0</v>
      </c>
      <c r="CG1103">
        <v>0</v>
      </c>
      <c r="CH1103">
        <v>0</v>
      </c>
      <c r="CI1103">
        <v>0</v>
      </c>
      <c r="CJ1103">
        <v>0</v>
      </c>
      <c r="CK1103">
        <v>0</v>
      </c>
      <c r="CL1103">
        <v>0</v>
      </c>
      <c r="CM1103">
        <v>0</v>
      </c>
      <c r="CR1103" t="s">
        <v>2325</v>
      </c>
      <c r="CS1103" s="1369" t="str">
        <f>INDEX([8]Sheet1!$H:$H,MATCH(CR:CR,[8]Sheet1!$AU:$AU,0))</f>
        <v>Asset Management</v>
      </c>
    </row>
    <row r="1104" spans="1:97" x14ac:dyDescent="0.2">
      <c r="A1104" t="s">
        <v>3975</v>
      </c>
      <c r="B1104">
        <v>1176</v>
      </c>
      <c r="C1104" t="s">
        <v>3975</v>
      </c>
      <c r="D1104">
        <v>30407</v>
      </c>
      <c r="E1104" t="s">
        <v>3976</v>
      </c>
      <c r="F1104" t="s">
        <v>2364</v>
      </c>
      <c r="G1104" t="s">
        <v>2364</v>
      </c>
      <c r="H1104" t="s">
        <v>2365</v>
      </c>
      <c r="I1104" t="s">
        <v>2365</v>
      </c>
      <c r="J1104" t="s">
        <v>2365</v>
      </c>
      <c r="K1104" t="s">
        <v>2365</v>
      </c>
      <c r="L1104">
        <v>1200</v>
      </c>
      <c r="M1104" t="s">
        <v>1480</v>
      </c>
      <c r="N1104">
        <v>1204</v>
      </c>
      <c r="O1104" t="s">
        <v>1487</v>
      </c>
      <c r="P1104" t="s">
        <v>2366</v>
      </c>
      <c r="Q1104" t="s">
        <v>2364</v>
      </c>
      <c r="R1104" t="s">
        <v>2364</v>
      </c>
      <c r="S1104" t="s">
        <v>553</v>
      </c>
      <c r="T1104" t="s">
        <v>2175</v>
      </c>
      <c r="U1104" t="s">
        <v>2366</v>
      </c>
      <c r="V1104" t="s">
        <v>2366</v>
      </c>
      <c r="W1104" t="s">
        <v>2366</v>
      </c>
      <c r="X1104" t="s">
        <v>2366</v>
      </c>
      <c r="Y1104" t="s">
        <v>2365</v>
      </c>
      <c r="Z1104" t="s">
        <v>2365</v>
      </c>
      <c r="AA1104" t="s">
        <v>2365</v>
      </c>
      <c r="AB1104" t="s">
        <v>2365</v>
      </c>
      <c r="AC1104" s="813" t="s">
        <v>2365</v>
      </c>
      <c r="AD1104" s="813" t="s">
        <v>2365</v>
      </c>
      <c r="AE1104" s="813" t="s">
        <v>2365</v>
      </c>
      <c r="AF1104" t="s">
        <v>2365</v>
      </c>
      <c r="AG1104" t="s">
        <v>2365</v>
      </c>
      <c r="AH1104" t="s">
        <v>2365</v>
      </c>
      <c r="AI1104" t="s">
        <v>2365</v>
      </c>
      <c r="AJ1104" t="s">
        <v>2365</v>
      </c>
      <c r="AK1104">
        <v>146</v>
      </c>
      <c r="AL1104" t="s">
        <v>1199</v>
      </c>
      <c r="AM1104">
        <v>146</v>
      </c>
      <c r="AN1104" t="s">
        <v>1199</v>
      </c>
      <c r="AR1104" t="s">
        <v>2365</v>
      </c>
      <c r="AS1104" t="s">
        <v>2365</v>
      </c>
      <c r="AT1104" t="s">
        <v>2365</v>
      </c>
      <c r="AU1104" t="s">
        <v>2365</v>
      </c>
      <c r="AV1104" t="s">
        <v>2365</v>
      </c>
      <c r="AW1104" t="s">
        <v>2365</v>
      </c>
      <c r="AX1104" t="s">
        <v>2365</v>
      </c>
      <c r="AY1104" t="s">
        <v>2365</v>
      </c>
      <c r="AZ1104" t="s">
        <v>2365</v>
      </c>
      <c r="BA1104" t="s">
        <v>2365</v>
      </c>
      <c r="BB1104" t="s">
        <v>2365</v>
      </c>
      <c r="BC1104" t="s">
        <v>2365</v>
      </c>
      <c r="BD1104" t="s">
        <v>2366</v>
      </c>
      <c r="BE1104" t="s">
        <v>2365</v>
      </c>
      <c r="BF1104" t="s">
        <v>2365</v>
      </c>
      <c r="BG1104" t="s">
        <v>2365</v>
      </c>
      <c r="BH1104" t="s">
        <v>2365</v>
      </c>
      <c r="BI1104" t="s">
        <v>2366</v>
      </c>
      <c r="BJ1104" t="s">
        <v>2365</v>
      </c>
      <c r="BK1104" t="s">
        <v>2365</v>
      </c>
      <c r="BL1104" t="s">
        <v>2365</v>
      </c>
      <c r="BM1104" t="s">
        <v>2365</v>
      </c>
      <c r="BO1104">
        <v>1</v>
      </c>
      <c r="BP1104">
        <v>11</v>
      </c>
      <c r="BQ1104" t="s">
        <v>2369</v>
      </c>
      <c r="BR1104" t="s">
        <v>1487</v>
      </c>
      <c r="BU1104">
        <v>0</v>
      </c>
      <c r="BV1104">
        <v>0</v>
      </c>
      <c r="BW1104">
        <v>0</v>
      </c>
      <c r="BX1104">
        <v>0</v>
      </c>
      <c r="BY1104" s="1371">
        <v>0</v>
      </c>
      <c r="BZ1104" s="1371">
        <v>0</v>
      </c>
      <c r="CA1104">
        <v>0</v>
      </c>
      <c r="CB1104">
        <v>0</v>
      </c>
      <c r="CC1104">
        <v>0</v>
      </c>
      <c r="CD1104">
        <v>0</v>
      </c>
      <c r="CE1104">
        <v>0</v>
      </c>
      <c r="CF1104">
        <v>0</v>
      </c>
      <c r="CG1104">
        <v>0</v>
      </c>
      <c r="CH1104">
        <v>0</v>
      </c>
      <c r="CI1104">
        <v>0</v>
      </c>
      <c r="CJ1104">
        <v>0</v>
      </c>
      <c r="CK1104">
        <v>0</v>
      </c>
      <c r="CL1104">
        <v>0</v>
      </c>
      <c r="CM1104">
        <v>0</v>
      </c>
      <c r="CR1104" t="s">
        <v>2325</v>
      </c>
      <c r="CS1104" s="1369" t="str">
        <f>INDEX([8]Sheet1!$H:$H,MATCH(CR:CR,[8]Sheet1!$AU:$AU,0))</f>
        <v>Asset Management</v>
      </c>
    </row>
    <row r="1105" spans="1:97" x14ac:dyDescent="0.2">
      <c r="A1105" t="s">
        <v>3977</v>
      </c>
      <c r="B1105">
        <v>1177</v>
      </c>
      <c r="C1105" t="s">
        <v>3977</v>
      </c>
      <c r="D1105">
        <v>30408</v>
      </c>
      <c r="E1105" t="s">
        <v>3978</v>
      </c>
      <c r="F1105" t="s">
        <v>2364</v>
      </c>
      <c r="G1105" t="s">
        <v>2364</v>
      </c>
      <c r="H1105" t="s">
        <v>2365</v>
      </c>
      <c r="I1105" t="s">
        <v>2365</v>
      </c>
      <c r="J1105" t="s">
        <v>2365</v>
      </c>
      <c r="K1105" t="s">
        <v>2365</v>
      </c>
      <c r="L1105">
        <v>1200</v>
      </c>
      <c r="M1105" t="s">
        <v>1480</v>
      </c>
      <c r="N1105">
        <v>1204</v>
      </c>
      <c r="O1105" t="s">
        <v>1487</v>
      </c>
      <c r="P1105" t="s">
        <v>2366</v>
      </c>
      <c r="Q1105" t="s">
        <v>2364</v>
      </c>
      <c r="R1105" t="s">
        <v>2364</v>
      </c>
      <c r="S1105" t="s">
        <v>553</v>
      </c>
      <c r="T1105" t="s">
        <v>2175</v>
      </c>
      <c r="U1105">
        <v>140</v>
      </c>
      <c r="V1105" t="s">
        <v>693</v>
      </c>
      <c r="W1105">
        <v>140</v>
      </c>
      <c r="X1105" t="s">
        <v>693</v>
      </c>
      <c r="Y1105" t="s">
        <v>2365</v>
      </c>
      <c r="Z1105" t="s">
        <v>2365</v>
      </c>
      <c r="AA1105" t="s">
        <v>2365</v>
      </c>
      <c r="AB1105" t="s">
        <v>2365</v>
      </c>
      <c r="AC1105" s="813" t="s">
        <v>2365</v>
      </c>
      <c r="AD1105" s="813" t="s">
        <v>2365</v>
      </c>
      <c r="AE1105" s="813" t="s">
        <v>2365</v>
      </c>
      <c r="AF1105" t="s">
        <v>2365</v>
      </c>
      <c r="AG1105" t="s">
        <v>2365</v>
      </c>
      <c r="AH1105" t="s">
        <v>2365</v>
      </c>
      <c r="AI1105" t="s">
        <v>2365</v>
      </c>
      <c r="AJ1105" t="s">
        <v>2365</v>
      </c>
      <c r="AK1105" t="s">
        <v>2366</v>
      </c>
      <c r="AL1105" t="s">
        <v>2366</v>
      </c>
      <c r="AM1105" t="s">
        <v>2366</v>
      </c>
      <c r="AN1105" t="s">
        <v>2366</v>
      </c>
      <c r="AR1105" t="s">
        <v>2365</v>
      </c>
      <c r="AS1105" t="s">
        <v>2365</v>
      </c>
      <c r="AT1105" t="s">
        <v>2365</v>
      </c>
      <c r="AU1105" t="s">
        <v>2365</v>
      </c>
      <c r="AV1105" t="s">
        <v>2365</v>
      </c>
      <c r="AW1105" t="s">
        <v>2365</v>
      </c>
      <c r="AX1105" t="s">
        <v>2365</v>
      </c>
      <c r="AY1105" t="s">
        <v>2365</v>
      </c>
      <c r="AZ1105" t="s">
        <v>2365</v>
      </c>
      <c r="BA1105" t="s">
        <v>2365</v>
      </c>
      <c r="BB1105" t="s">
        <v>2365</v>
      </c>
      <c r="BC1105" t="s">
        <v>2365</v>
      </c>
      <c r="BD1105" t="s">
        <v>2366</v>
      </c>
      <c r="BE1105" t="s">
        <v>2365</v>
      </c>
      <c r="BF1105" t="s">
        <v>2365</v>
      </c>
      <c r="BG1105" t="s">
        <v>2365</v>
      </c>
      <c r="BH1105" t="s">
        <v>2365</v>
      </c>
      <c r="BI1105" t="s">
        <v>2366</v>
      </c>
      <c r="BJ1105" t="s">
        <v>2365</v>
      </c>
      <c r="BK1105" t="s">
        <v>2365</v>
      </c>
      <c r="BL1105" t="s">
        <v>2365</v>
      </c>
      <c r="BM1105" t="s">
        <v>2365</v>
      </c>
      <c r="BO1105">
        <v>1</v>
      </c>
      <c r="BP1105">
        <v>11</v>
      </c>
      <c r="BQ1105" t="s">
        <v>2369</v>
      </c>
      <c r="BR1105" t="s">
        <v>1487</v>
      </c>
      <c r="BU1105">
        <v>0</v>
      </c>
      <c r="BV1105">
        <v>0</v>
      </c>
      <c r="BW1105">
        <v>0</v>
      </c>
      <c r="BX1105">
        <v>0</v>
      </c>
      <c r="BY1105" s="1371">
        <v>0</v>
      </c>
      <c r="BZ1105" s="1371">
        <v>0</v>
      </c>
      <c r="CA1105">
        <v>0</v>
      </c>
      <c r="CB1105">
        <v>0</v>
      </c>
      <c r="CC1105">
        <v>0</v>
      </c>
      <c r="CD1105">
        <v>0</v>
      </c>
      <c r="CE1105">
        <v>0</v>
      </c>
      <c r="CF1105">
        <v>0</v>
      </c>
      <c r="CG1105">
        <v>0</v>
      </c>
      <c r="CH1105">
        <v>0</v>
      </c>
      <c r="CI1105">
        <v>0</v>
      </c>
      <c r="CJ1105">
        <v>0</v>
      </c>
      <c r="CK1105">
        <v>0</v>
      </c>
      <c r="CL1105">
        <v>0</v>
      </c>
      <c r="CM1105">
        <v>0</v>
      </c>
      <c r="CR1105" t="s">
        <v>2325</v>
      </c>
      <c r="CS1105" s="1369" t="str">
        <f>INDEX([8]Sheet1!$H:$H,MATCH(CR:CR,[8]Sheet1!$AU:$AU,0))</f>
        <v>Asset Management</v>
      </c>
    </row>
    <row r="1106" spans="1:97" x14ac:dyDescent="0.2">
      <c r="A1106" t="s">
        <v>3979</v>
      </c>
      <c r="B1106">
        <v>1178</v>
      </c>
      <c r="C1106" t="s">
        <v>3979</v>
      </c>
      <c r="D1106">
        <v>30409</v>
      </c>
      <c r="E1106" t="s">
        <v>3980</v>
      </c>
      <c r="F1106" t="s">
        <v>2364</v>
      </c>
      <c r="G1106" t="s">
        <v>2364</v>
      </c>
      <c r="H1106" s="1373" t="s">
        <v>2365</v>
      </c>
      <c r="I1106" t="s">
        <v>2365</v>
      </c>
      <c r="J1106" t="s">
        <v>2365</v>
      </c>
      <c r="K1106" t="s">
        <v>2365</v>
      </c>
      <c r="L1106" s="1373">
        <v>1200</v>
      </c>
      <c r="M1106" t="s">
        <v>1480</v>
      </c>
      <c r="N1106">
        <v>1204</v>
      </c>
      <c r="O1106" t="s">
        <v>1487</v>
      </c>
      <c r="P1106" t="s">
        <v>2366</v>
      </c>
      <c r="Q1106" t="s">
        <v>2364</v>
      </c>
      <c r="R1106" t="s">
        <v>2364</v>
      </c>
      <c r="S1106" t="s">
        <v>553</v>
      </c>
      <c r="T1106" t="s">
        <v>2175</v>
      </c>
      <c r="U1106">
        <v>140</v>
      </c>
      <c r="V1106" t="s">
        <v>693</v>
      </c>
      <c r="W1106">
        <v>140</v>
      </c>
      <c r="X1106" t="s">
        <v>693</v>
      </c>
      <c r="Y1106" t="s">
        <v>2365</v>
      </c>
      <c r="Z1106" t="s">
        <v>2365</v>
      </c>
      <c r="AA1106" t="s">
        <v>2365</v>
      </c>
      <c r="AB1106" t="s">
        <v>2365</v>
      </c>
      <c r="AC1106" s="813" t="s">
        <v>2365</v>
      </c>
      <c r="AD1106" s="813" t="s">
        <v>2365</v>
      </c>
      <c r="AE1106" s="813" t="s">
        <v>2365</v>
      </c>
      <c r="AF1106" t="s">
        <v>2365</v>
      </c>
      <c r="AG1106" t="s">
        <v>2365</v>
      </c>
      <c r="AH1106" t="s">
        <v>2365</v>
      </c>
      <c r="AI1106" t="s">
        <v>2365</v>
      </c>
      <c r="AJ1106" t="s">
        <v>2365</v>
      </c>
      <c r="AK1106" t="s">
        <v>2366</v>
      </c>
      <c r="AL1106" t="s">
        <v>2366</v>
      </c>
      <c r="AM1106" t="s">
        <v>2366</v>
      </c>
      <c r="AN1106" t="s">
        <v>2366</v>
      </c>
      <c r="AR1106" t="s">
        <v>2365</v>
      </c>
      <c r="AS1106" t="s">
        <v>2365</v>
      </c>
      <c r="AT1106" t="s">
        <v>2365</v>
      </c>
      <c r="AU1106" t="s">
        <v>2365</v>
      </c>
      <c r="AV1106" t="s">
        <v>2365</v>
      </c>
      <c r="AW1106" t="s">
        <v>2365</v>
      </c>
      <c r="AX1106" t="s">
        <v>2365</v>
      </c>
      <c r="AY1106" t="s">
        <v>2365</v>
      </c>
      <c r="AZ1106" t="s">
        <v>2365</v>
      </c>
      <c r="BA1106" t="s">
        <v>2365</v>
      </c>
      <c r="BB1106" t="s">
        <v>2365</v>
      </c>
      <c r="BC1106" t="s">
        <v>2365</v>
      </c>
      <c r="BD1106" t="s">
        <v>2366</v>
      </c>
      <c r="BE1106" t="s">
        <v>2365</v>
      </c>
      <c r="BF1106" t="s">
        <v>2365</v>
      </c>
      <c r="BG1106" t="s">
        <v>2365</v>
      </c>
      <c r="BH1106" t="s">
        <v>2365</v>
      </c>
      <c r="BI1106" t="s">
        <v>2366</v>
      </c>
      <c r="BJ1106" t="s">
        <v>2365</v>
      </c>
      <c r="BK1106" t="s">
        <v>2365</v>
      </c>
      <c r="BL1106" t="s">
        <v>2365</v>
      </c>
      <c r="BM1106" t="s">
        <v>2365</v>
      </c>
      <c r="BO1106">
        <v>1</v>
      </c>
      <c r="BP1106">
        <v>11</v>
      </c>
      <c r="BQ1106" t="s">
        <v>2369</v>
      </c>
      <c r="BR1106" t="s">
        <v>1487</v>
      </c>
      <c r="BU1106" s="1371">
        <v>0</v>
      </c>
      <c r="BV1106" s="1371">
        <v>0</v>
      </c>
      <c r="BW1106" s="1371">
        <v>0</v>
      </c>
      <c r="BX1106" s="1371">
        <v>0</v>
      </c>
      <c r="BY1106" s="1371">
        <v>0</v>
      </c>
      <c r="BZ1106" s="1371">
        <v>0</v>
      </c>
      <c r="CA1106">
        <v>0</v>
      </c>
      <c r="CB1106">
        <v>0</v>
      </c>
      <c r="CC1106">
        <v>0</v>
      </c>
      <c r="CD1106">
        <v>0</v>
      </c>
      <c r="CE1106">
        <v>0</v>
      </c>
      <c r="CF1106">
        <v>0</v>
      </c>
      <c r="CG1106">
        <v>0</v>
      </c>
      <c r="CH1106">
        <v>0</v>
      </c>
      <c r="CI1106">
        <v>0</v>
      </c>
      <c r="CJ1106">
        <v>0</v>
      </c>
      <c r="CK1106">
        <v>0</v>
      </c>
      <c r="CL1106">
        <v>0</v>
      </c>
      <c r="CM1106">
        <v>0</v>
      </c>
      <c r="CR1106" t="s">
        <v>2325</v>
      </c>
      <c r="CS1106" s="1369" t="str">
        <f>INDEX([8]Sheet1!$H:$H,MATCH(CR:CR,[8]Sheet1!$AU:$AU,0))</f>
        <v>Asset Management</v>
      </c>
    </row>
    <row r="1107" spans="1:97" x14ac:dyDescent="0.2">
      <c r="A1107" t="s">
        <v>3981</v>
      </c>
      <c r="B1107">
        <v>1179</v>
      </c>
      <c r="C1107" t="s">
        <v>3981</v>
      </c>
      <c r="D1107">
        <v>30410</v>
      </c>
      <c r="E1107" t="s">
        <v>3982</v>
      </c>
      <c r="F1107" t="s">
        <v>2364</v>
      </c>
      <c r="G1107" t="s">
        <v>2364</v>
      </c>
      <c r="H1107" s="1373" t="s">
        <v>2365</v>
      </c>
      <c r="I1107" t="s">
        <v>2365</v>
      </c>
      <c r="J1107" t="s">
        <v>2365</v>
      </c>
      <c r="K1107" t="s">
        <v>2365</v>
      </c>
      <c r="L1107" s="1373">
        <v>1200</v>
      </c>
      <c r="M1107" t="s">
        <v>1480</v>
      </c>
      <c r="N1107">
        <v>1204</v>
      </c>
      <c r="O1107" t="s">
        <v>1487</v>
      </c>
      <c r="P1107" t="s">
        <v>2366</v>
      </c>
      <c r="Q1107" t="s">
        <v>2364</v>
      </c>
      <c r="R1107" t="s">
        <v>2364</v>
      </c>
      <c r="S1107" t="s">
        <v>553</v>
      </c>
      <c r="T1107" t="s">
        <v>2175</v>
      </c>
      <c r="U1107">
        <v>140</v>
      </c>
      <c r="V1107" t="s">
        <v>693</v>
      </c>
      <c r="W1107">
        <v>140</v>
      </c>
      <c r="X1107" t="s">
        <v>693</v>
      </c>
      <c r="Y1107" t="s">
        <v>2365</v>
      </c>
      <c r="Z1107" t="s">
        <v>2365</v>
      </c>
      <c r="AA1107" t="s">
        <v>2365</v>
      </c>
      <c r="AB1107" t="s">
        <v>2365</v>
      </c>
      <c r="AC1107" s="813" t="s">
        <v>2365</v>
      </c>
      <c r="AD1107" s="813" t="s">
        <v>2365</v>
      </c>
      <c r="AE1107" s="813" t="s">
        <v>2365</v>
      </c>
      <c r="AF1107" t="s">
        <v>2365</v>
      </c>
      <c r="AG1107" t="s">
        <v>2365</v>
      </c>
      <c r="AH1107" t="s">
        <v>2365</v>
      </c>
      <c r="AI1107" t="s">
        <v>2365</v>
      </c>
      <c r="AJ1107" t="s">
        <v>2365</v>
      </c>
      <c r="AK1107">
        <v>147</v>
      </c>
      <c r="AL1107" t="s">
        <v>1200</v>
      </c>
      <c r="AM1107">
        <v>147</v>
      </c>
      <c r="AN1107" t="s">
        <v>1200</v>
      </c>
      <c r="AR1107" t="s">
        <v>2365</v>
      </c>
      <c r="AS1107" t="s">
        <v>2365</v>
      </c>
      <c r="AT1107" t="s">
        <v>2365</v>
      </c>
      <c r="AU1107" t="s">
        <v>2365</v>
      </c>
      <c r="AV1107" t="s">
        <v>2365</v>
      </c>
      <c r="AW1107" t="s">
        <v>2365</v>
      </c>
      <c r="AX1107" t="s">
        <v>2365</v>
      </c>
      <c r="AY1107" t="s">
        <v>2365</v>
      </c>
      <c r="AZ1107" t="s">
        <v>2365</v>
      </c>
      <c r="BA1107" t="s">
        <v>2365</v>
      </c>
      <c r="BB1107" t="s">
        <v>2365</v>
      </c>
      <c r="BC1107" t="s">
        <v>2365</v>
      </c>
      <c r="BD1107" t="s">
        <v>2366</v>
      </c>
      <c r="BE1107" t="s">
        <v>2365</v>
      </c>
      <c r="BF1107" t="s">
        <v>2365</v>
      </c>
      <c r="BG1107" t="s">
        <v>2365</v>
      </c>
      <c r="BH1107" t="s">
        <v>2365</v>
      </c>
      <c r="BI1107" t="s">
        <v>2366</v>
      </c>
      <c r="BJ1107" t="s">
        <v>2365</v>
      </c>
      <c r="BK1107" t="s">
        <v>2365</v>
      </c>
      <c r="BL1107" t="s">
        <v>2365</v>
      </c>
      <c r="BM1107" t="s">
        <v>2365</v>
      </c>
      <c r="BO1107">
        <v>1</v>
      </c>
      <c r="BP1107">
        <v>11</v>
      </c>
      <c r="BQ1107" t="s">
        <v>2369</v>
      </c>
      <c r="BR1107" t="s">
        <v>1487</v>
      </c>
      <c r="BU1107" s="1371">
        <v>0</v>
      </c>
      <c r="BV1107" s="1371">
        <v>0</v>
      </c>
      <c r="BW1107" s="1371">
        <v>0</v>
      </c>
      <c r="BX1107" s="1371">
        <v>0</v>
      </c>
      <c r="BY1107" s="1371">
        <v>0</v>
      </c>
      <c r="BZ1107" s="1371">
        <v>0</v>
      </c>
      <c r="CA1107">
        <v>0</v>
      </c>
      <c r="CB1107">
        <v>0</v>
      </c>
      <c r="CC1107">
        <v>0</v>
      </c>
      <c r="CD1107">
        <v>0</v>
      </c>
      <c r="CE1107">
        <v>0</v>
      </c>
      <c r="CF1107">
        <v>0</v>
      </c>
      <c r="CG1107">
        <v>0</v>
      </c>
      <c r="CH1107">
        <v>0</v>
      </c>
      <c r="CI1107">
        <v>0</v>
      </c>
      <c r="CJ1107">
        <v>0</v>
      </c>
      <c r="CK1107">
        <v>0</v>
      </c>
      <c r="CL1107">
        <v>0</v>
      </c>
      <c r="CM1107">
        <v>0</v>
      </c>
      <c r="CR1107" t="s">
        <v>2325</v>
      </c>
      <c r="CS1107" s="1369" t="str">
        <f>INDEX([8]Sheet1!$H:$H,MATCH(CR:CR,[8]Sheet1!$AU:$AU,0))</f>
        <v>Asset Management</v>
      </c>
    </row>
    <row r="1108" spans="1:97" x14ac:dyDescent="0.2">
      <c r="A1108" t="s">
        <v>3983</v>
      </c>
      <c r="B1108">
        <v>1180</v>
      </c>
      <c r="C1108" t="s">
        <v>3983</v>
      </c>
      <c r="D1108">
        <v>30411</v>
      </c>
      <c r="E1108" t="s">
        <v>3984</v>
      </c>
      <c r="F1108" t="s">
        <v>2364</v>
      </c>
      <c r="G1108" t="s">
        <v>2364</v>
      </c>
      <c r="H1108" s="1373" t="s">
        <v>2365</v>
      </c>
      <c r="I1108" t="s">
        <v>2365</v>
      </c>
      <c r="J1108" t="s">
        <v>2365</v>
      </c>
      <c r="K1108" t="s">
        <v>2365</v>
      </c>
      <c r="L1108" s="1373">
        <v>1200</v>
      </c>
      <c r="M1108" t="s">
        <v>1480</v>
      </c>
      <c r="N1108">
        <v>1204</v>
      </c>
      <c r="O1108" t="s">
        <v>1487</v>
      </c>
      <c r="P1108" t="s">
        <v>2366</v>
      </c>
      <c r="Q1108" t="s">
        <v>2364</v>
      </c>
      <c r="R1108" t="s">
        <v>2364</v>
      </c>
      <c r="S1108" t="s">
        <v>553</v>
      </c>
      <c r="T1108" t="s">
        <v>2175</v>
      </c>
      <c r="U1108">
        <v>140</v>
      </c>
      <c r="V1108" t="s">
        <v>693</v>
      </c>
      <c r="W1108">
        <v>140</v>
      </c>
      <c r="X1108" t="s">
        <v>693</v>
      </c>
      <c r="Y1108" t="s">
        <v>2365</v>
      </c>
      <c r="Z1108" t="s">
        <v>2365</v>
      </c>
      <c r="AA1108" t="s">
        <v>2365</v>
      </c>
      <c r="AB1108" t="s">
        <v>2365</v>
      </c>
      <c r="AC1108" s="813" t="s">
        <v>2365</v>
      </c>
      <c r="AD1108" s="813" t="s">
        <v>2365</v>
      </c>
      <c r="AE1108" s="813" t="s">
        <v>2365</v>
      </c>
      <c r="AF1108" t="s">
        <v>2365</v>
      </c>
      <c r="AG1108" t="s">
        <v>2365</v>
      </c>
      <c r="AH1108" t="s">
        <v>2365</v>
      </c>
      <c r="AI1108" t="s">
        <v>2365</v>
      </c>
      <c r="AJ1108" t="s">
        <v>2365</v>
      </c>
      <c r="AK1108" t="s">
        <v>2366</v>
      </c>
      <c r="AL1108" t="s">
        <v>2366</v>
      </c>
      <c r="AM1108" t="s">
        <v>2366</v>
      </c>
      <c r="AN1108" t="s">
        <v>2366</v>
      </c>
      <c r="AR1108" t="s">
        <v>2365</v>
      </c>
      <c r="AS1108" t="s">
        <v>2365</v>
      </c>
      <c r="AT1108" t="s">
        <v>2365</v>
      </c>
      <c r="AU1108" t="s">
        <v>2365</v>
      </c>
      <c r="AV1108" t="s">
        <v>2365</v>
      </c>
      <c r="AW1108" t="s">
        <v>2365</v>
      </c>
      <c r="AX1108" t="s">
        <v>2365</v>
      </c>
      <c r="AY1108" t="s">
        <v>2365</v>
      </c>
      <c r="AZ1108" t="s">
        <v>2365</v>
      </c>
      <c r="BA1108" t="s">
        <v>2365</v>
      </c>
      <c r="BB1108" t="s">
        <v>2365</v>
      </c>
      <c r="BC1108" t="s">
        <v>2365</v>
      </c>
      <c r="BD1108" t="s">
        <v>2366</v>
      </c>
      <c r="BE1108" t="s">
        <v>2365</v>
      </c>
      <c r="BF1108" t="s">
        <v>2365</v>
      </c>
      <c r="BG1108" t="s">
        <v>2365</v>
      </c>
      <c r="BH1108" t="s">
        <v>2365</v>
      </c>
      <c r="BI1108" t="s">
        <v>2366</v>
      </c>
      <c r="BJ1108" t="s">
        <v>2365</v>
      </c>
      <c r="BK1108" t="s">
        <v>2365</v>
      </c>
      <c r="BL1108" t="s">
        <v>2365</v>
      </c>
      <c r="BM1108" t="s">
        <v>2365</v>
      </c>
      <c r="BO1108">
        <v>1</v>
      </c>
      <c r="BP1108">
        <v>11</v>
      </c>
      <c r="BQ1108" t="s">
        <v>2369</v>
      </c>
      <c r="BR1108" t="s">
        <v>1487</v>
      </c>
      <c r="BU1108" s="1371">
        <v>0</v>
      </c>
      <c r="BV1108" s="1371">
        <v>0</v>
      </c>
      <c r="BW1108" s="1371">
        <v>0</v>
      </c>
      <c r="BX1108" s="1371">
        <v>0</v>
      </c>
      <c r="BY1108" s="1371">
        <v>0</v>
      </c>
      <c r="BZ1108" s="1371">
        <v>0</v>
      </c>
      <c r="CA1108">
        <v>0</v>
      </c>
      <c r="CB1108">
        <v>0</v>
      </c>
      <c r="CC1108">
        <v>0</v>
      </c>
      <c r="CD1108">
        <v>0</v>
      </c>
      <c r="CE1108">
        <v>0</v>
      </c>
      <c r="CF1108">
        <v>0</v>
      </c>
      <c r="CG1108">
        <v>0</v>
      </c>
      <c r="CH1108">
        <v>0</v>
      </c>
      <c r="CI1108">
        <v>0</v>
      </c>
      <c r="CJ1108">
        <v>0</v>
      </c>
      <c r="CK1108">
        <v>0</v>
      </c>
      <c r="CL1108">
        <v>0</v>
      </c>
      <c r="CM1108">
        <v>0</v>
      </c>
      <c r="CR1108" t="s">
        <v>2325</v>
      </c>
      <c r="CS1108" s="1369" t="str">
        <f>INDEX([8]Sheet1!$H:$H,MATCH(CR:CR,[8]Sheet1!$AU:$AU,0))</f>
        <v>Asset Management</v>
      </c>
    </row>
    <row r="1109" spans="1:97" x14ac:dyDescent="0.2">
      <c r="A1109" t="s">
        <v>3985</v>
      </c>
      <c r="B1109">
        <v>1181</v>
      </c>
      <c r="C1109" t="s">
        <v>3985</v>
      </c>
      <c r="D1109">
        <v>30412</v>
      </c>
      <c r="E1109" t="s">
        <v>3986</v>
      </c>
      <c r="F1109" t="s">
        <v>2364</v>
      </c>
      <c r="G1109" t="s">
        <v>2364</v>
      </c>
      <c r="H1109" s="1373" t="s">
        <v>2365</v>
      </c>
      <c r="I1109" t="s">
        <v>2365</v>
      </c>
      <c r="J1109" t="s">
        <v>2365</v>
      </c>
      <c r="K1109" t="s">
        <v>2365</v>
      </c>
      <c r="L1109" s="1373">
        <v>1200</v>
      </c>
      <c r="M1109" t="s">
        <v>1480</v>
      </c>
      <c r="N1109">
        <v>1204</v>
      </c>
      <c r="O1109" t="s">
        <v>1487</v>
      </c>
      <c r="P1109" t="s">
        <v>2366</v>
      </c>
      <c r="Q1109" t="s">
        <v>2364</v>
      </c>
      <c r="R1109" t="s">
        <v>2364</v>
      </c>
      <c r="S1109" t="s">
        <v>553</v>
      </c>
      <c r="T1109" t="s">
        <v>2175</v>
      </c>
      <c r="U1109">
        <v>140</v>
      </c>
      <c r="V1109" t="s">
        <v>693</v>
      </c>
      <c r="W1109">
        <v>140</v>
      </c>
      <c r="X1109" t="s">
        <v>693</v>
      </c>
      <c r="Y1109" t="s">
        <v>2365</v>
      </c>
      <c r="Z1109" t="s">
        <v>2365</v>
      </c>
      <c r="AA1109" t="s">
        <v>2365</v>
      </c>
      <c r="AB1109" t="s">
        <v>2365</v>
      </c>
      <c r="AC1109" s="813" t="s">
        <v>2365</v>
      </c>
      <c r="AD1109" s="813" t="s">
        <v>2365</v>
      </c>
      <c r="AE1109" s="813" t="s">
        <v>2365</v>
      </c>
      <c r="AF1109" t="s">
        <v>2365</v>
      </c>
      <c r="AG1109" t="s">
        <v>2365</v>
      </c>
      <c r="AH1109" t="s">
        <v>2365</v>
      </c>
      <c r="AI1109" t="s">
        <v>2365</v>
      </c>
      <c r="AJ1109" t="s">
        <v>2365</v>
      </c>
      <c r="AK1109" t="s">
        <v>2366</v>
      </c>
      <c r="AL1109" t="s">
        <v>2366</v>
      </c>
      <c r="AM1109" t="s">
        <v>2366</v>
      </c>
      <c r="AN1109" t="s">
        <v>2366</v>
      </c>
      <c r="AR1109" t="s">
        <v>2365</v>
      </c>
      <c r="AS1109" t="s">
        <v>2365</v>
      </c>
      <c r="AT1109" t="s">
        <v>2365</v>
      </c>
      <c r="AU1109" t="s">
        <v>2365</v>
      </c>
      <c r="AV1109" t="s">
        <v>2365</v>
      </c>
      <c r="AW1109" t="s">
        <v>2365</v>
      </c>
      <c r="AX1109" t="s">
        <v>2365</v>
      </c>
      <c r="AY1109" t="s">
        <v>2365</v>
      </c>
      <c r="AZ1109" t="s">
        <v>2365</v>
      </c>
      <c r="BA1109" t="s">
        <v>2365</v>
      </c>
      <c r="BB1109" t="s">
        <v>2365</v>
      </c>
      <c r="BC1109" t="s">
        <v>2365</v>
      </c>
      <c r="BD1109" t="s">
        <v>2366</v>
      </c>
      <c r="BE1109" t="s">
        <v>2365</v>
      </c>
      <c r="BF1109" t="s">
        <v>2365</v>
      </c>
      <c r="BG1109" t="s">
        <v>2365</v>
      </c>
      <c r="BH1109" t="s">
        <v>2365</v>
      </c>
      <c r="BI1109" t="s">
        <v>2366</v>
      </c>
      <c r="BJ1109" t="s">
        <v>2365</v>
      </c>
      <c r="BK1109" t="s">
        <v>2365</v>
      </c>
      <c r="BL1109" t="s">
        <v>2365</v>
      </c>
      <c r="BM1109" t="s">
        <v>2365</v>
      </c>
      <c r="BO1109">
        <v>1</v>
      </c>
      <c r="BP1109">
        <v>11</v>
      </c>
      <c r="BQ1109" t="s">
        <v>2369</v>
      </c>
      <c r="BR1109" t="s">
        <v>1487</v>
      </c>
      <c r="BU1109" s="1371">
        <v>0</v>
      </c>
      <c r="BV1109" s="1371">
        <v>0</v>
      </c>
      <c r="BW1109" s="1371">
        <v>0</v>
      </c>
      <c r="BX1109" s="1371">
        <v>0</v>
      </c>
      <c r="BY1109" s="1371">
        <v>0</v>
      </c>
      <c r="BZ1109">
        <v>0</v>
      </c>
      <c r="CA1109">
        <v>0</v>
      </c>
      <c r="CB1109">
        <v>0</v>
      </c>
      <c r="CC1109">
        <v>0</v>
      </c>
      <c r="CD1109">
        <v>0</v>
      </c>
      <c r="CE1109">
        <v>0</v>
      </c>
      <c r="CF1109">
        <v>0</v>
      </c>
      <c r="CG1109">
        <v>0</v>
      </c>
      <c r="CH1109">
        <v>0</v>
      </c>
      <c r="CI1109">
        <v>0</v>
      </c>
      <c r="CJ1109">
        <v>0</v>
      </c>
      <c r="CK1109">
        <v>0</v>
      </c>
      <c r="CL1109">
        <v>0</v>
      </c>
      <c r="CM1109">
        <v>0</v>
      </c>
      <c r="CR1109" t="s">
        <v>2325</v>
      </c>
      <c r="CS1109" s="1369" t="str">
        <f>INDEX([8]Sheet1!$H:$H,MATCH(CR:CR,[8]Sheet1!$AU:$AU,0))</f>
        <v>Asset Management</v>
      </c>
    </row>
    <row r="1110" spans="1:97" x14ac:dyDescent="0.2">
      <c r="A1110" t="s">
        <v>3987</v>
      </c>
      <c r="B1110">
        <v>1182</v>
      </c>
      <c r="C1110" t="s">
        <v>3987</v>
      </c>
      <c r="D1110">
        <v>30413</v>
      </c>
      <c r="E1110" t="s">
        <v>3988</v>
      </c>
      <c r="F1110" t="s">
        <v>2364</v>
      </c>
      <c r="G1110" t="s">
        <v>2364</v>
      </c>
      <c r="H1110" t="s">
        <v>2365</v>
      </c>
      <c r="I1110" t="s">
        <v>2365</v>
      </c>
      <c r="J1110" t="s">
        <v>2365</v>
      </c>
      <c r="K1110" t="s">
        <v>2365</v>
      </c>
      <c r="L1110">
        <v>1200</v>
      </c>
      <c r="M1110" t="s">
        <v>1480</v>
      </c>
      <c r="N1110">
        <v>1204</v>
      </c>
      <c r="O1110" t="s">
        <v>1487</v>
      </c>
      <c r="P1110" t="s">
        <v>2366</v>
      </c>
      <c r="Q1110" t="s">
        <v>2364</v>
      </c>
      <c r="R1110" t="s">
        <v>2364</v>
      </c>
      <c r="S1110" t="s">
        <v>553</v>
      </c>
      <c r="T1110" t="s">
        <v>2175</v>
      </c>
      <c r="U1110">
        <v>140</v>
      </c>
      <c r="V1110" t="s">
        <v>693</v>
      </c>
      <c r="W1110">
        <v>140</v>
      </c>
      <c r="X1110" t="s">
        <v>693</v>
      </c>
      <c r="Y1110" t="s">
        <v>2365</v>
      </c>
      <c r="Z1110" t="s">
        <v>2365</v>
      </c>
      <c r="AA1110" t="s">
        <v>2365</v>
      </c>
      <c r="AB1110" t="s">
        <v>2365</v>
      </c>
      <c r="AC1110" s="813" t="s">
        <v>2365</v>
      </c>
      <c r="AD1110" s="813" t="s">
        <v>2365</v>
      </c>
      <c r="AE1110" s="813" t="s">
        <v>2365</v>
      </c>
      <c r="AF1110" t="s">
        <v>2365</v>
      </c>
      <c r="AG1110" t="s">
        <v>2365</v>
      </c>
      <c r="AH1110" t="s">
        <v>2365</v>
      </c>
      <c r="AI1110" t="s">
        <v>2365</v>
      </c>
      <c r="AJ1110" t="s">
        <v>2365</v>
      </c>
      <c r="AK1110" t="s">
        <v>2366</v>
      </c>
      <c r="AL1110" t="s">
        <v>2366</v>
      </c>
      <c r="AM1110" t="s">
        <v>2366</v>
      </c>
      <c r="AN1110" t="s">
        <v>2366</v>
      </c>
      <c r="AR1110" t="s">
        <v>2365</v>
      </c>
      <c r="AS1110" t="s">
        <v>2365</v>
      </c>
      <c r="AT1110" t="s">
        <v>2365</v>
      </c>
      <c r="AU1110" t="s">
        <v>2365</v>
      </c>
      <c r="AV1110" t="s">
        <v>2365</v>
      </c>
      <c r="AW1110" t="s">
        <v>2365</v>
      </c>
      <c r="AX1110" t="s">
        <v>2365</v>
      </c>
      <c r="AY1110" t="s">
        <v>2365</v>
      </c>
      <c r="AZ1110" t="s">
        <v>2365</v>
      </c>
      <c r="BA1110" t="s">
        <v>2365</v>
      </c>
      <c r="BB1110" t="s">
        <v>2365</v>
      </c>
      <c r="BC1110" t="s">
        <v>2365</v>
      </c>
      <c r="BD1110" t="s">
        <v>2366</v>
      </c>
      <c r="BE1110" t="s">
        <v>2365</v>
      </c>
      <c r="BF1110" t="s">
        <v>2365</v>
      </c>
      <c r="BG1110" t="s">
        <v>2365</v>
      </c>
      <c r="BH1110" t="s">
        <v>2365</v>
      </c>
      <c r="BI1110" t="s">
        <v>2366</v>
      </c>
      <c r="BJ1110" t="s">
        <v>2365</v>
      </c>
      <c r="BK1110" t="s">
        <v>2365</v>
      </c>
      <c r="BL1110" t="s">
        <v>2365</v>
      </c>
      <c r="BM1110" t="s">
        <v>2365</v>
      </c>
      <c r="BO1110">
        <v>1</v>
      </c>
      <c r="BP1110">
        <v>11</v>
      </c>
      <c r="BQ1110" t="s">
        <v>2369</v>
      </c>
      <c r="BR1110" t="s">
        <v>1487</v>
      </c>
      <c r="BU1110">
        <v>0</v>
      </c>
      <c r="BV1110">
        <v>0</v>
      </c>
      <c r="BW1110">
        <v>0</v>
      </c>
      <c r="BX1110">
        <v>0</v>
      </c>
      <c r="BY1110">
        <v>0</v>
      </c>
      <c r="BZ1110">
        <v>0</v>
      </c>
      <c r="CA1110">
        <v>0</v>
      </c>
      <c r="CB1110">
        <v>0</v>
      </c>
      <c r="CC1110">
        <v>0</v>
      </c>
      <c r="CD1110">
        <v>0</v>
      </c>
      <c r="CE1110">
        <v>0</v>
      </c>
      <c r="CF1110">
        <v>0</v>
      </c>
      <c r="CG1110">
        <v>0</v>
      </c>
      <c r="CH1110">
        <v>0</v>
      </c>
      <c r="CI1110">
        <v>0</v>
      </c>
      <c r="CJ1110">
        <v>0</v>
      </c>
      <c r="CK1110">
        <v>0</v>
      </c>
      <c r="CL1110">
        <v>0</v>
      </c>
      <c r="CM1110">
        <v>0</v>
      </c>
      <c r="CR1110" t="s">
        <v>2325</v>
      </c>
      <c r="CS1110" s="1369" t="str">
        <f>INDEX([8]Sheet1!$H:$H,MATCH(CR:CR,[8]Sheet1!$AU:$AU,0))</f>
        <v>Asset Management</v>
      </c>
    </row>
    <row r="1111" spans="1:97" x14ac:dyDescent="0.2">
      <c r="A1111" t="s">
        <v>3989</v>
      </c>
      <c r="B1111">
        <v>1183</v>
      </c>
      <c r="C1111" t="s">
        <v>3989</v>
      </c>
      <c r="D1111">
        <v>30414</v>
      </c>
      <c r="E1111" t="s">
        <v>3990</v>
      </c>
      <c r="F1111" t="s">
        <v>2364</v>
      </c>
      <c r="G1111" t="s">
        <v>2364</v>
      </c>
      <c r="H1111" t="s">
        <v>2365</v>
      </c>
      <c r="I1111" t="s">
        <v>2365</v>
      </c>
      <c r="J1111" t="s">
        <v>2365</v>
      </c>
      <c r="K1111" t="s">
        <v>2365</v>
      </c>
      <c r="L1111">
        <v>1200</v>
      </c>
      <c r="M1111" t="s">
        <v>1480</v>
      </c>
      <c r="N1111">
        <v>1204</v>
      </c>
      <c r="O1111" t="s">
        <v>1487</v>
      </c>
      <c r="P1111" t="s">
        <v>2366</v>
      </c>
      <c r="Q1111" t="s">
        <v>2364</v>
      </c>
      <c r="R1111" t="s">
        <v>2364</v>
      </c>
      <c r="S1111" t="s">
        <v>553</v>
      </c>
      <c r="T1111" t="s">
        <v>2175</v>
      </c>
      <c r="U1111" t="s">
        <v>2366</v>
      </c>
      <c r="V1111" t="s">
        <v>2366</v>
      </c>
      <c r="W1111" t="s">
        <v>2366</v>
      </c>
      <c r="X1111" t="s">
        <v>2366</v>
      </c>
      <c r="Y1111" t="s">
        <v>2365</v>
      </c>
      <c r="Z1111" t="s">
        <v>2365</v>
      </c>
      <c r="AA1111" t="s">
        <v>2365</v>
      </c>
      <c r="AB1111" t="s">
        <v>2365</v>
      </c>
      <c r="AC1111" s="813" t="s">
        <v>2365</v>
      </c>
      <c r="AD1111" s="813" t="s">
        <v>2365</v>
      </c>
      <c r="AE1111" s="813" t="s">
        <v>2365</v>
      </c>
      <c r="AF1111" t="s">
        <v>2365</v>
      </c>
      <c r="AG1111" t="s">
        <v>2365</v>
      </c>
      <c r="AH1111" t="s">
        <v>2365</v>
      </c>
      <c r="AI1111" t="s">
        <v>2365</v>
      </c>
      <c r="AJ1111" t="s">
        <v>2365</v>
      </c>
      <c r="AK1111">
        <v>146</v>
      </c>
      <c r="AL1111" t="s">
        <v>1199</v>
      </c>
      <c r="AM1111">
        <v>146</v>
      </c>
      <c r="AN1111" t="s">
        <v>1199</v>
      </c>
      <c r="AR1111" t="s">
        <v>2365</v>
      </c>
      <c r="AS1111" t="s">
        <v>2365</v>
      </c>
      <c r="AT1111" t="s">
        <v>2365</v>
      </c>
      <c r="AU1111" t="s">
        <v>2365</v>
      </c>
      <c r="AV1111" t="s">
        <v>2365</v>
      </c>
      <c r="AW1111" t="s">
        <v>2365</v>
      </c>
      <c r="AX1111" t="s">
        <v>2365</v>
      </c>
      <c r="AY1111" t="s">
        <v>2365</v>
      </c>
      <c r="AZ1111" t="s">
        <v>2365</v>
      </c>
      <c r="BA1111" t="s">
        <v>2365</v>
      </c>
      <c r="BB1111" t="s">
        <v>2365</v>
      </c>
      <c r="BC1111" t="s">
        <v>2365</v>
      </c>
      <c r="BD1111" t="s">
        <v>2366</v>
      </c>
      <c r="BE1111" t="s">
        <v>2365</v>
      </c>
      <c r="BF1111" t="s">
        <v>2365</v>
      </c>
      <c r="BG1111" t="s">
        <v>2365</v>
      </c>
      <c r="BH1111" t="s">
        <v>2365</v>
      </c>
      <c r="BI1111" t="s">
        <v>2366</v>
      </c>
      <c r="BJ1111" t="s">
        <v>2365</v>
      </c>
      <c r="BK1111" t="s">
        <v>2365</v>
      </c>
      <c r="BL1111" t="s">
        <v>2365</v>
      </c>
      <c r="BM1111" t="s">
        <v>2365</v>
      </c>
      <c r="BO1111">
        <v>1</v>
      </c>
      <c r="BP1111">
        <v>11</v>
      </c>
      <c r="BQ1111" t="s">
        <v>2369</v>
      </c>
      <c r="BR1111" t="s">
        <v>1487</v>
      </c>
      <c r="BU1111">
        <v>0</v>
      </c>
      <c r="BV1111">
        <v>0</v>
      </c>
      <c r="BW1111">
        <v>0</v>
      </c>
      <c r="BX1111">
        <v>0</v>
      </c>
      <c r="BY1111" s="1371">
        <v>0</v>
      </c>
      <c r="BZ1111" s="1371">
        <v>0</v>
      </c>
      <c r="CA1111">
        <v>0</v>
      </c>
      <c r="CB1111">
        <v>0</v>
      </c>
      <c r="CC1111">
        <v>0</v>
      </c>
      <c r="CD1111">
        <v>0</v>
      </c>
      <c r="CE1111">
        <v>0</v>
      </c>
      <c r="CF1111">
        <v>0</v>
      </c>
      <c r="CG1111">
        <v>0</v>
      </c>
      <c r="CH1111">
        <v>0</v>
      </c>
      <c r="CI1111">
        <v>0</v>
      </c>
      <c r="CJ1111">
        <v>0</v>
      </c>
      <c r="CK1111">
        <v>0</v>
      </c>
      <c r="CL1111">
        <v>0</v>
      </c>
      <c r="CM1111">
        <v>0</v>
      </c>
      <c r="CR1111" t="s">
        <v>2325</v>
      </c>
      <c r="CS1111" s="1369" t="str">
        <f>INDEX([8]Sheet1!$H:$H,MATCH(CR:CR,[8]Sheet1!$AU:$AU,0))</f>
        <v>Asset Management</v>
      </c>
    </row>
    <row r="1112" spans="1:97" x14ac:dyDescent="0.2">
      <c r="A1112" t="s">
        <v>3991</v>
      </c>
      <c r="B1112">
        <v>1184</v>
      </c>
      <c r="C1112" t="s">
        <v>3991</v>
      </c>
      <c r="D1112">
        <v>30415</v>
      </c>
      <c r="E1112" t="s">
        <v>3992</v>
      </c>
      <c r="F1112" t="s">
        <v>2364</v>
      </c>
      <c r="G1112" t="s">
        <v>2364</v>
      </c>
      <c r="H1112" t="s">
        <v>2365</v>
      </c>
      <c r="I1112" t="s">
        <v>2365</v>
      </c>
      <c r="J1112" t="s">
        <v>2365</v>
      </c>
      <c r="K1112" t="s">
        <v>2365</v>
      </c>
      <c r="L1112">
        <v>1200</v>
      </c>
      <c r="M1112" t="s">
        <v>1480</v>
      </c>
      <c r="N1112">
        <v>1204</v>
      </c>
      <c r="O1112" t="s">
        <v>1487</v>
      </c>
      <c r="P1112" t="s">
        <v>2366</v>
      </c>
      <c r="Q1112" t="s">
        <v>2364</v>
      </c>
      <c r="R1112" t="s">
        <v>2364</v>
      </c>
      <c r="S1112" t="s">
        <v>553</v>
      </c>
      <c r="T1112" t="s">
        <v>2175</v>
      </c>
      <c r="U1112" t="s">
        <v>2366</v>
      </c>
      <c r="V1112" t="s">
        <v>2366</v>
      </c>
      <c r="W1112" t="s">
        <v>2366</v>
      </c>
      <c r="X1112" t="s">
        <v>2366</v>
      </c>
      <c r="Y1112" t="s">
        <v>2365</v>
      </c>
      <c r="Z1112" t="s">
        <v>2365</v>
      </c>
      <c r="AA1112" t="s">
        <v>2365</v>
      </c>
      <c r="AB1112" t="s">
        <v>2365</v>
      </c>
      <c r="AC1112" s="813" t="s">
        <v>2365</v>
      </c>
      <c r="AD1112" s="813" t="s">
        <v>2365</v>
      </c>
      <c r="AE1112" s="813" t="s">
        <v>2365</v>
      </c>
      <c r="AF1112" t="s">
        <v>2365</v>
      </c>
      <c r="AG1112" t="s">
        <v>2365</v>
      </c>
      <c r="AH1112" t="s">
        <v>2365</v>
      </c>
      <c r="AI1112" t="s">
        <v>2365</v>
      </c>
      <c r="AJ1112" t="s">
        <v>2365</v>
      </c>
      <c r="AK1112">
        <v>146</v>
      </c>
      <c r="AL1112" t="s">
        <v>1199</v>
      </c>
      <c r="AM1112">
        <v>146</v>
      </c>
      <c r="AN1112" t="s">
        <v>1199</v>
      </c>
      <c r="AR1112" t="s">
        <v>2365</v>
      </c>
      <c r="AS1112" t="s">
        <v>2365</v>
      </c>
      <c r="AT1112" t="s">
        <v>2365</v>
      </c>
      <c r="AU1112" t="s">
        <v>2365</v>
      </c>
      <c r="AV1112" t="s">
        <v>2365</v>
      </c>
      <c r="AW1112" t="s">
        <v>2365</v>
      </c>
      <c r="AX1112" t="s">
        <v>2365</v>
      </c>
      <c r="AY1112" t="s">
        <v>2365</v>
      </c>
      <c r="AZ1112" t="s">
        <v>2365</v>
      </c>
      <c r="BA1112" t="s">
        <v>2365</v>
      </c>
      <c r="BB1112" t="s">
        <v>2365</v>
      </c>
      <c r="BC1112" t="s">
        <v>2365</v>
      </c>
      <c r="BD1112" t="s">
        <v>2366</v>
      </c>
      <c r="BE1112" t="s">
        <v>2365</v>
      </c>
      <c r="BF1112" t="s">
        <v>2365</v>
      </c>
      <c r="BG1112" t="s">
        <v>2365</v>
      </c>
      <c r="BH1112" t="s">
        <v>2365</v>
      </c>
      <c r="BI1112" t="s">
        <v>2366</v>
      </c>
      <c r="BJ1112" t="s">
        <v>2365</v>
      </c>
      <c r="BK1112" t="s">
        <v>2365</v>
      </c>
      <c r="BL1112" t="s">
        <v>2365</v>
      </c>
      <c r="BM1112" t="s">
        <v>2365</v>
      </c>
      <c r="BO1112">
        <v>1</v>
      </c>
      <c r="BP1112">
        <v>11</v>
      </c>
      <c r="BQ1112" t="s">
        <v>2369</v>
      </c>
      <c r="BR1112" t="s">
        <v>1487</v>
      </c>
      <c r="BU1112">
        <v>0</v>
      </c>
      <c r="BV1112">
        <v>0</v>
      </c>
      <c r="BW1112">
        <v>0</v>
      </c>
      <c r="BX1112">
        <v>0</v>
      </c>
      <c r="BY1112" s="1371">
        <v>0</v>
      </c>
      <c r="BZ1112" s="1371">
        <v>0</v>
      </c>
      <c r="CA1112">
        <v>0</v>
      </c>
      <c r="CB1112">
        <v>0</v>
      </c>
      <c r="CC1112">
        <v>0</v>
      </c>
      <c r="CD1112">
        <v>0</v>
      </c>
      <c r="CE1112">
        <v>0</v>
      </c>
      <c r="CF1112">
        <v>0</v>
      </c>
      <c r="CG1112">
        <v>0</v>
      </c>
      <c r="CH1112">
        <v>0</v>
      </c>
      <c r="CI1112">
        <v>0</v>
      </c>
      <c r="CJ1112">
        <v>0</v>
      </c>
      <c r="CK1112">
        <v>0</v>
      </c>
      <c r="CL1112">
        <v>0</v>
      </c>
      <c r="CM1112">
        <v>0</v>
      </c>
      <c r="CR1112" t="s">
        <v>2325</v>
      </c>
      <c r="CS1112" s="1369" t="str">
        <f>INDEX([8]Sheet1!$H:$H,MATCH(CR:CR,[8]Sheet1!$AU:$AU,0))</f>
        <v>Asset Management</v>
      </c>
    </row>
    <row r="1113" spans="1:97" x14ac:dyDescent="0.2">
      <c r="A1113" t="s">
        <v>3993</v>
      </c>
      <c r="B1113">
        <v>1185</v>
      </c>
      <c r="C1113" t="s">
        <v>3993</v>
      </c>
      <c r="D1113">
        <v>30416</v>
      </c>
      <c r="E1113" t="s">
        <v>3994</v>
      </c>
      <c r="F1113" t="s">
        <v>2364</v>
      </c>
      <c r="G1113" t="s">
        <v>2364</v>
      </c>
      <c r="H1113" t="s">
        <v>2365</v>
      </c>
      <c r="I1113" t="s">
        <v>2365</v>
      </c>
      <c r="J1113" t="s">
        <v>2365</v>
      </c>
      <c r="K1113" t="s">
        <v>2365</v>
      </c>
      <c r="L1113">
        <v>1200</v>
      </c>
      <c r="M1113" t="s">
        <v>1480</v>
      </c>
      <c r="N1113">
        <v>1204</v>
      </c>
      <c r="O1113" t="s">
        <v>1487</v>
      </c>
      <c r="P1113" t="s">
        <v>2366</v>
      </c>
      <c r="Q1113" t="s">
        <v>2364</v>
      </c>
      <c r="R1113" t="s">
        <v>2364</v>
      </c>
      <c r="S1113" t="s">
        <v>553</v>
      </c>
      <c r="T1113" t="s">
        <v>2175</v>
      </c>
      <c r="U1113">
        <v>140</v>
      </c>
      <c r="V1113" t="s">
        <v>693</v>
      </c>
      <c r="W1113">
        <v>140</v>
      </c>
      <c r="X1113" t="s">
        <v>693</v>
      </c>
      <c r="Y1113" t="s">
        <v>2365</v>
      </c>
      <c r="Z1113" t="s">
        <v>2365</v>
      </c>
      <c r="AA1113" t="s">
        <v>2365</v>
      </c>
      <c r="AB1113" t="s">
        <v>2365</v>
      </c>
      <c r="AC1113" s="813" t="s">
        <v>2365</v>
      </c>
      <c r="AD1113" s="813" t="s">
        <v>2365</v>
      </c>
      <c r="AE1113" s="813" t="s">
        <v>2365</v>
      </c>
      <c r="AF1113" t="s">
        <v>2365</v>
      </c>
      <c r="AG1113" t="s">
        <v>2365</v>
      </c>
      <c r="AH1113" t="s">
        <v>2365</v>
      </c>
      <c r="AI1113" t="s">
        <v>2365</v>
      </c>
      <c r="AJ1113" t="s">
        <v>2365</v>
      </c>
      <c r="AK1113" t="s">
        <v>2366</v>
      </c>
      <c r="AL1113" t="s">
        <v>2366</v>
      </c>
      <c r="AM1113" t="s">
        <v>2366</v>
      </c>
      <c r="AN1113" t="s">
        <v>2366</v>
      </c>
      <c r="AR1113" t="s">
        <v>2365</v>
      </c>
      <c r="AS1113" t="s">
        <v>2365</v>
      </c>
      <c r="AT1113" t="s">
        <v>2365</v>
      </c>
      <c r="AU1113" t="s">
        <v>2365</v>
      </c>
      <c r="AV1113" t="s">
        <v>2365</v>
      </c>
      <c r="AW1113" t="s">
        <v>2365</v>
      </c>
      <c r="AX1113" t="s">
        <v>2365</v>
      </c>
      <c r="AY1113" t="s">
        <v>2365</v>
      </c>
      <c r="AZ1113" t="s">
        <v>2365</v>
      </c>
      <c r="BA1113" t="s">
        <v>2365</v>
      </c>
      <c r="BB1113" t="s">
        <v>2365</v>
      </c>
      <c r="BC1113" t="s">
        <v>2365</v>
      </c>
      <c r="BD1113" t="s">
        <v>2366</v>
      </c>
      <c r="BE1113" t="s">
        <v>2365</v>
      </c>
      <c r="BF1113" t="s">
        <v>2365</v>
      </c>
      <c r="BG1113" t="s">
        <v>2365</v>
      </c>
      <c r="BH1113" t="s">
        <v>2365</v>
      </c>
      <c r="BI1113" t="s">
        <v>2366</v>
      </c>
      <c r="BJ1113" t="s">
        <v>2365</v>
      </c>
      <c r="BK1113" t="s">
        <v>2365</v>
      </c>
      <c r="BL1113" t="s">
        <v>2365</v>
      </c>
      <c r="BM1113" t="s">
        <v>2365</v>
      </c>
      <c r="BO1113">
        <v>1</v>
      </c>
      <c r="BP1113">
        <v>11</v>
      </c>
      <c r="BQ1113" t="s">
        <v>2369</v>
      </c>
      <c r="BR1113" t="s">
        <v>1487</v>
      </c>
      <c r="BU1113">
        <v>0</v>
      </c>
      <c r="BV1113">
        <v>0</v>
      </c>
      <c r="BW1113">
        <v>0</v>
      </c>
      <c r="BX1113">
        <v>0</v>
      </c>
      <c r="BY1113" s="1371">
        <v>0</v>
      </c>
      <c r="BZ1113" s="1371">
        <v>0</v>
      </c>
      <c r="CA1113">
        <v>0</v>
      </c>
      <c r="CB1113">
        <v>0</v>
      </c>
      <c r="CC1113">
        <v>0</v>
      </c>
      <c r="CD1113">
        <v>0</v>
      </c>
      <c r="CE1113">
        <v>0</v>
      </c>
      <c r="CF1113">
        <v>0</v>
      </c>
      <c r="CG1113">
        <v>0</v>
      </c>
      <c r="CH1113">
        <v>0</v>
      </c>
      <c r="CI1113">
        <v>0</v>
      </c>
      <c r="CJ1113">
        <v>0</v>
      </c>
      <c r="CK1113">
        <v>0</v>
      </c>
      <c r="CL1113">
        <v>0</v>
      </c>
      <c r="CM1113">
        <v>0</v>
      </c>
      <c r="CR1113" t="s">
        <v>2325</v>
      </c>
      <c r="CS1113" s="1369" t="str">
        <f>INDEX([8]Sheet1!$H:$H,MATCH(CR:CR,[8]Sheet1!$AU:$AU,0))</f>
        <v>Asset Management</v>
      </c>
    </row>
    <row r="1114" spans="1:97" x14ac:dyDescent="0.2">
      <c r="A1114" t="s">
        <v>3995</v>
      </c>
      <c r="B1114">
        <v>1186</v>
      </c>
      <c r="C1114" t="s">
        <v>3995</v>
      </c>
      <c r="D1114">
        <v>30417</v>
      </c>
      <c r="E1114" t="s">
        <v>3996</v>
      </c>
      <c r="F1114" t="s">
        <v>2364</v>
      </c>
      <c r="G1114" t="s">
        <v>2364</v>
      </c>
      <c r="H1114" t="s">
        <v>2365</v>
      </c>
      <c r="I1114" t="s">
        <v>2365</v>
      </c>
      <c r="J1114" t="s">
        <v>2365</v>
      </c>
      <c r="K1114" t="s">
        <v>2365</v>
      </c>
      <c r="L1114">
        <v>1200</v>
      </c>
      <c r="M1114" t="s">
        <v>1480</v>
      </c>
      <c r="N1114">
        <v>1204</v>
      </c>
      <c r="O1114" t="s">
        <v>1487</v>
      </c>
      <c r="P1114" t="s">
        <v>2366</v>
      </c>
      <c r="Q1114" t="s">
        <v>2364</v>
      </c>
      <c r="R1114" t="s">
        <v>2364</v>
      </c>
      <c r="S1114" t="s">
        <v>553</v>
      </c>
      <c r="T1114" t="s">
        <v>2175</v>
      </c>
      <c r="U1114">
        <v>140</v>
      </c>
      <c r="V1114" t="s">
        <v>693</v>
      </c>
      <c r="W1114">
        <v>140</v>
      </c>
      <c r="X1114" t="s">
        <v>693</v>
      </c>
      <c r="Y1114" t="s">
        <v>2365</v>
      </c>
      <c r="Z1114" t="s">
        <v>2365</v>
      </c>
      <c r="AA1114" t="s">
        <v>2365</v>
      </c>
      <c r="AB1114" t="s">
        <v>2365</v>
      </c>
      <c r="AC1114" s="813" t="s">
        <v>2365</v>
      </c>
      <c r="AD1114" s="813" t="s">
        <v>2365</v>
      </c>
      <c r="AE1114" s="813" t="s">
        <v>2365</v>
      </c>
      <c r="AF1114" t="s">
        <v>2365</v>
      </c>
      <c r="AG1114" t="s">
        <v>2365</v>
      </c>
      <c r="AH1114" t="s">
        <v>2365</v>
      </c>
      <c r="AI1114" t="s">
        <v>2365</v>
      </c>
      <c r="AJ1114" t="s">
        <v>2365</v>
      </c>
      <c r="AK1114" t="s">
        <v>2366</v>
      </c>
      <c r="AL1114" t="s">
        <v>2366</v>
      </c>
      <c r="AM1114" t="s">
        <v>2366</v>
      </c>
      <c r="AN1114" t="s">
        <v>2366</v>
      </c>
      <c r="AR1114" t="s">
        <v>2365</v>
      </c>
      <c r="AS1114" t="s">
        <v>2365</v>
      </c>
      <c r="AT1114" t="s">
        <v>2365</v>
      </c>
      <c r="AU1114" t="s">
        <v>2365</v>
      </c>
      <c r="AV1114" t="s">
        <v>2365</v>
      </c>
      <c r="AW1114" t="s">
        <v>2365</v>
      </c>
      <c r="AX1114" t="s">
        <v>2365</v>
      </c>
      <c r="AY1114" t="s">
        <v>2365</v>
      </c>
      <c r="AZ1114" t="s">
        <v>2365</v>
      </c>
      <c r="BA1114" t="s">
        <v>2365</v>
      </c>
      <c r="BB1114" t="s">
        <v>2365</v>
      </c>
      <c r="BC1114" t="s">
        <v>2365</v>
      </c>
      <c r="BD1114" t="s">
        <v>2366</v>
      </c>
      <c r="BE1114" t="s">
        <v>2365</v>
      </c>
      <c r="BF1114" t="s">
        <v>2365</v>
      </c>
      <c r="BG1114" t="s">
        <v>2365</v>
      </c>
      <c r="BH1114" t="s">
        <v>2365</v>
      </c>
      <c r="BI1114" t="s">
        <v>2366</v>
      </c>
      <c r="BJ1114" t="s">
        <v>2365</v>
      </c>
      <c r="BK1114" t="s">
        <v>2365</v>
      </c>
      <c r="BL1114" t="s">
        <v>2365</v>
      </c>
      <c r="BM1114" t="s">
        <v>2365</v>
      </c>
      <c r="BO1114">
        <v>1</v>
      </c>
      <c r="BP1114">
        <v>11</v>
      </c>
      <c r="BQ1114" t="s">
        <v>2369</v>
      </c>
      <c r="BR1114" t="s">
        <v>1487</v>
      </c>
      <c r="BU1114">
        <v>0</v>
      </c>
      <c r="BV1114">
        <v>0</v>
      </c>
      <c r="BW1114">
        <v>0</v>
      </c>
      <c r="BX1114">
        <v>0</v>
      </c>
      <c r="BY1114" s="1371">
        <v>0</v>
      </c>
      <c r="BZ1114" s="1371">
        <v>0</v>
      </c>
      <c r="CA1114">
        <v>0</v>
      </c>
      <c r="CB1114">
        <v>-429965.71999999991</v>
      </c>
      <c r="CC1114">
        <v>-106301.15000000001</v>
      </c>
      <c r="CD1114">
        <v>-30016.58</v>
      </c>
      <c r="CE1114">
        <v>-101998.01000000001</v>
      </c>
      <c r="CF1114">
        <v>-50613.760000000002</v>
      </c>
      <c r="CG1114">
        <v>-135127.28</v>
      </c>
      <c r="CH1114">
        <v>-77227</v>
      </c>
      <c r="CI1114">
        <v>-113165.93000000001</v>
      </c>
      <c r="CJ1114">
        <v>0</v>
      </c>
      <c r="CK1114">
        <v>0</v>
      </c>
      <c r="CL1114">
        <v>0</v>
      </c>
      <c r="CM1114">
        <v>0</v>
      </c>
      <c r="CR1114" t="s">
        <v>2325</v>
      </c>
      <c r="CS1114" s="1369" t="str">
        <f>INDEX([8]Sheet1!$H:$H,MATCH(CR:CR,[8]Sheet1!$AU:$AU,0))</f>
        <v>Asset Management</v>
      </c>
    </row>
    <row r="1115" spans="1:97" x14ac:dyDescent="0.2">
      <c r="A1115" t="s">
        <v>3997</v>
      </c>
      <c r="B1115">
        <v>1187</v>
      </c>
      <c r="C1115" t="s">
        <v>3997</v>
      </c>
      <c r="D1115">
        <v>30418</v>
      </c>
      <c r="E1115" t="s">
        <v>3998</v>
      </c>
      <c r="F1115" t="s">
        <v>2364</v>
      </c>
      <c r="G1115" t="s">
        <v>2364</v>
      </c>
      <c r="H1115" t="s">
        <v>2365</v>
      </c>
      <c r="I1115" t="s">
        <v>2365</v>
      </c>
      <c r="J1115" t="s">
        <v>2365</v>
      </c>
      <c r="K1115" t="s">
        <v>2365</v>
      </c>
      <c r="L1115">
        <v>1200</v>
      </c>
      <c r="M1115" t="s">
        <v>1480</v>
      </c>
      <c r="N1115">
        <v>1204</v>
      </c>
      <c r="O1115" t="s">
        <v>1487</v>
      </c>
      <c r="P1115" t="s">
        <v>2366</v>
      </c>
      <c r="Q1115" t="s">
        <v>2364</v>
      </c>
      <c r="R1115" t="s">
        <v>2364</v>
      </c>
      <c r="S1115" t="s">
        <v>553</v>
      </c>
      <c r="T1115" t="s">
        <v>2175</v>
      </c>
      <c r="U1115">
        <v>140</v>
      </c>
      <c r="V1115" t="s">
        <v>693</v>
      </c>
      <c r="W1115">
        <v>140</v>
      </c>
      <c r="X1115" t="s">
        <v>693</v>
      </c>
      <c r="Y1115" t="s">
        <v>2365</v>
      </c>
      <c r="Z1115" t="s">
        <v>2365</v>
      </c>
      <c r="AA1115" t="s">
        <v>2365</v>
      </c>
      <c r="AB1115" t="s">
        <v>2365</v>
      </c>
      <c r="AC1115" s="813" t="s">
        <v>2365</v>
      </c>
      <c r="AD1115" s="813" t="s">
        <v>2365</v>
      </c>
      <c r="AE1115" s="813" t="s">
        <v>2365</v>
      </c>
      <c r="AF1115" t="s">
        <v>2365</v>
      </c>
      <c r="AG1115" t="s">
        <v>2365</v>
      </c>
      <c r="AH1115" t="s">
        <v>2365</v>
      </c>
      <c r="AI1115" t="s">
        <v>2365</v>
      </c>
      <c r="AJ1115" t="s">
        <v>2365</v>
      </c>
      <c r="AK1115">
        <v>147</v>
      </c>
      <c r="AL1115" t="s">
        <v>1200</v>
      </c>
      <c r="AM1115">
        <v>147</v>
      </c>
      <c r="AN1115" t="s">
        <v>1200</v>
      </c>
      <c r="AR1115" t="s">
        <v>2365</v>
      </c>
      <c r="AS1115" t="s">
        <v>2365</v>
      </c>
      <c r="AT1115" t="s">
        <v>2365</v>
      </c>
      <c r="AU1115" t="s">
        <v>2365</v>
      </c>
      <c r="AV1115" t="s">
        <v>2365</v>
      </c>
      <c r="AW1115" t="s">
        <v>2365</v>
      </c>
      <c r="AX1115" t="s">
        <v>2365</v>
      </c>
      <c r="AY1115" t="s">
        <v>2365</v>
      </c>
      <c r="AZ1115" t="s">
        <v>2365</v>
      </c>
      <c r="BA1115" t="s">
        <v>2365</v>
      </c>
      <c r="BB1115" t="s">
        <v>2365</v>
      </c>
      <c r="BC1115" t="s">
        <v>2365</v>
      </c>
      <c r="BD1115" t="s">
        <v>2366</v>
      </c>
      <c r="BE1115" t="s">
        <v>2365</v>
      </c>
      <c r="BF1115" t="s">
        <v>2365</v>
      </c>
      <c r="BG1115" t="s">
        <v>2365</v>
      </c>
      <c r="BH1115" t="s">
        <v>2365</v>
      </c>
      <c r="BI1115" t="s">
        <v>2366</v>
      </c>
      <c r="BJ1115" t="s">
        <v>2365</v>
      </c>
      <c r="BK1115" t="s">
        <v>2365</v>
      </c>
      <c r="BL1115" t="s">
        <v>2365</v>
      </c>
      <c r="BM1115" t="s">
        <v>2365</v>
      </c>
      <c r="BO1115">
        <v>1</v>
      </c>
      <c r="BP1115">
        <v>11</v>
      </c>
      <c r="BQ1115" t="s">
        <v>2369</v>
      </c>
      <c r="BR1115" t="s">
        <v>1487</v>
      </c>
      <c r="BU1115">
        <v>0</v>
      </c>
      <c r="BV1115">
        <v>0</v>
      </c>
      <c r="BW1115">
        <v>0</v>
      </c>
      <c r="BX1115">
        <v>0</v>
      </c>
      <c r="BY1115" s="1371">
        <v>0</v>
      </c>
      <c r="BZ1115" s="1371">
        <v>0</v>
      </c>
      <c r="CA1115">
        <v>0</v>
      </c>
      <c r="CB1115">
        <v>0</v>
      </c>
      <c r="CC1115">
        <v>0</v>
      </c>
      <c r="CD1115">
        <v>0</v>
      </c>
      <c r="CE1115">
        <v>0</v>
      </c>
      <c r="CF1115">
        <v>0</v>
      </c>
      <c r="CG1115">
        <v>0</v>
      </c>
      <c r="CH1115">
        <v>0</v>
      </c>
      <c r="CI1115">
        <v>0</v>
      </c>
      <c r="CJ1115">
        <v>0</v>
      </c>
      <c r="CK1115">
        <v>0</v>
      </c>
      <c r="CL1115">
        <v>0</v>
      </c>
      <c r="CM1115">
        <v>0</v>
      </c>
      <c r="CR1115" t="s">
        <v>2325</v>
      </c>
      <c r="CS1115" s="1369" t="str">
        <f>INDEX([8]Sheet1!$H:$H,MATCH(CR:CR,[8]Sheet1!$AU:$AU,0))</f>
        <v>Asset Management</v>
      </c>
    </row>
    <row r="1116" spans="1:97" x14ac:dyDescent="0.2">
      <c r="A1116" t="s">
        <v>3999</v>
      </c>
      <c r="B1116">
        <v>1188</v>
      </c>
      <c r="C1116" t="s">
        <v>3999</v>
      </c>
      <c r="D1116">
        <v>30419</v>
      </c>
      <c r="E1116" t="s">
        <v>4000</v>
      </c>
      <c r="F1116" t="s">
        <v>2364</v>
      </c>
      <c r="G1116" t="s">
        <v>2364</v>
      </c>
      <c r="H1116" t="s">
        <v>2365</v>
      </c>
      <c r="I1116" t="s">
        <v>2365</v>
      </c>
      <c r="J1116" t="s">
        <v>2365</v>
      </c>
      <c r="K1116" t="s">
        <v>2365</v>
      </c>
      <c r="L1116">
        <v>1200</v>
      </c>
      <c r="M1116" t="s">
        <v>1480</v>
      </c>
      <c r="N1116">
        <v>1204</v>
      </c>
      <c r="O1116" t="s">
        <v>1487</v>
      </c>
      <c r="P1116" t="s">
        <v>2366</v>
      </c>
      <c r="Q1116" t="s">
        <v>2364</v>
      </c>
      <c r="R1116" t="s">
        <v>2364</v>
      </c>
      <c r="S1116" t="s">
        <v>553</v>
      </c>
      <c r="T1116" t="s">
        <v>2175</v>
      </c>
      <c r="U1116">
        <v>140</v>
      </c>
      <c r="V1116" t="s">
        <v>693</v>
      </c>
      <c r="W1116">
        <v>140</v>
      </c>
      <c r="X1116" t="s">
        <v>693</v>
      </c>
      <c r="Y1116" t="s">
        <v>2365</v>
      </c>
      <c r="Z1116" t="s">
        <v>2365</v>
      </c>
      <c r="AA1116" t="s">
        <v>2365</v>
      </c>
      <c r="AB1116" t="s">
        <v>2365</v>
      </c>
      <c r="AC1116" s="813" t="s">
        <v>2365</v>
      </c>
      <c r="AD1116" s="813" t="s">
        <v>2365</v>
      </c>
      <c r="AE1116" s="813" t="s">
        <v>2365</v>
      </c>
      <c r="AF1116" t="s">
        <v>2365</v>
      </c>
      <c r="AG1116" t="s">
        <v>2365</v>
      </c>
      <c r="AH1116" t="s">
        <v>2365</v>
      </c>
      <c r="AI1116" t="s">
        <v>2365</v>
      </c>
      <c r="AJ1116" t="s">
        <v>2365</v>
      </c>
      <c r="AK1116" t="s">
        <v>2366</v>
      </c>
      <c r="AL1116" t="s">
        <v>2366</v>
      </c>
      <c r="AM1116" t="s">
        <v>2366</v>
      </c>
      <c r="AN1116" t="s">
        <v>2366</v>
      </c>
      <c r="AR1116" t="s">
        <v>2365</v>
      </c>
      <c r="AS1116" t="s">
        <v>2365</v>
      </c>
      <c r="AT1116" t="s">
        <v>2365</v>
      </c>
      <c r="AU1116" t="s">
        <v>2365</v>
      </c>
      <c r="AV1116" t="s">
        <v>2365</v>
      </c>
      <c r="AW1116" t="s">
        <v>2365</v>
      </c>
      <c r="AX1116" t="s">
        <v>2365</v>
      </c>
      <c r="AY1116" t="s">
        <v>2365</v>
      </c>
      <c r="AZ1116" t="s">
        <v>2365</v>
      </c>
      <c r="BA1116" t="s">
        <v>2365</v>
      </c>
      <c r="BB1116" t="s">
        <v>2365</v>
      </c>
      <c r="BC1116" t="s">
        <v>2365</v>
      </c>
      <c r="BD1116" t="s">
        <v>2366</v>
      </c>
      <c r="BE1116" t="s">
        <v>2365</v>
      </c>
      <c r="BF1116" t="s">
        <v>2365</v>
      </c>
      <c r="BG1116" t="s">
        <v>2365</v>
      </c>
      <c r="BH1116" t="s">
        <v>2365</v>
      </c>
      <c r="BI1116" t="s">
        <v>2366</v>
      </c>
      <c r="BJ1116" t="s">
        <v>2365</v>
      </c>
      <c r="BK1116" t="s">
        <v>2365</v>
      </c>
      <c r="BL1116" t="s">
        <v>2365</v>
      </c>
      <c r="BM1116" t="s">
        <v>2365</v>
      </c>
      <c r="BO1116">
        <v>1</v>
      </c>
      <c r="BP1116">
        <v>11</v>
      </c>
      <c r="BQ1116" t="s">
        <v>2369</v>
      </c>
      <c r="BR1116" t="s">
        <v>1487</v>
      </c>
      <c r="BU1116">
        <v>0</v>
      </c>
      <c r="BV1116">
        <v>0</v>
      </c>
      <c r="BW1116">
        <v>0</v>
      </c>
      <c r="BX1116">
        <v>0</v>
      </c>
      <c r="BY1116">
        <v>0</v>
      </c>
      <c r="BZ1116">
        <v>0</v>
      </c>
      <c r="CA1116">
        <v>0</v>
      </c>
      <c r="CB1116">
        <v>0</v>
      </c>
      <c r="CC1116">
        <v>0</v>
      </c>
      <c r="CD1116">
        <v>0</v>
      </c>
      <c r="CE1116">
        <v>0</v>
      </c>
      <c r="CF1116">
        <v>0</v>
      </c>
      <c r="CG1116">
        <v>0</v>
      </c>
      <c r="CH1116">
        <v>0</v>
      </c>
      <c r="CI1116">
        <v>0</v>
      </c>
      <c r="CJ1116">
        <v>0</v>
      </c>
      <c r="CK1116">
        <v>0</v>
      </c>
      <c r="CL1116">
        <v>0</v>
      </c>
      <c r="CM1116">
        <v>0</v>
      </c>
      <c r="CR1116" t="s">
        <v>2325</v>
      </c>
      <c r="CS1116" s="1369" t="str">
        <f>INDEX([8]Sheet1!$H:$H,MATCH(CR:CR,[8]Sheet1!$AU:$AU,0))</f>
        <v>Asset Management</v>
      </c>
    </row>
    <row r="1117" spans="1:97" x14ac:dyDescent="0.2">
      <c r="A1117" t="s">
        <v>4001</v>
      </c>
      <c r="B1117">
        <v>1189</v>
      </c>
      <c r="C1117" t="s">
        <v>4001</v>
      </c>
      <c r="D1117">
        <v>30420</v>
      </c>
      <c r="E1117" t="s">
        <v>4002</v>
      </c>
      <c r="F1117" t="s">
        <v>2364</v>
      </c>
      <c r="G1117" t="s">
        <v>2364</v>
      </c>
      <c r="H1117" t="s">
        <v>2365</v>
      </c>
      <c r="I1117" t="s">
        <v>2365</v>
      </c>
      <c r="J1117" t="s">
        <v>2365</v>
      </c>
      <c r="K1117" t="s">
        <v>2365</v>
      </c>
      <c r="L1117">
        <v>1200</v>
      </c>
      <c r="M1117" t="s">
        <v>1480</v>
      </c>
      <c r="N1117">
        <v>1204</v>
      </c>
      <c r="O1117" t="s">
        <v>1487</v>
      </c>
      <c r="P1117" t="s">
        <v>2366</v>
      </c>
      <c r="Q1117" t="s">
        <v>2364</v>
      </c>
      <c r="R1117" t="s">
        <v>2364</v>
      </c>
      <c r="S1117" t="s">
        <v>553</v>
      </c>
      <c r="T1117" t="s">
        <v>2175</v>
      </c>
      <c r="U1117">
        <v>140</v>
      </c>
      <c r="V1117" t="s">
        <v>693</v>
      </c>
      <c r="W1117">
        <v>140</v>
      </c>
      <c r="X1117" t="s">
        <v>693</v>
      </c>
      <c r="Y1117" t="s">
        <v>2365</v>
      </c>
      <c r="Z1117" t="s">
        <v>2365</v>
      </c>
      <c r="AA1117" t="s">
        <v>2365</v>
      </c>
      <c r="AB1117" t="s">
        <v>2365</v>
      </c>
      <c r="AC1117" s="813" t="s">
        <v>2365</v>
      </c>
      <c r="AD1117" s="813" t="s">
        <v>2365</v>
      </c>
      <c r="AE1117" s="813" t="s">
        <v>2365</v>
      </c>
      <c r="AF1117" t="s">
        <v>2365</v>
      </c>
      <c r="AG1117" t="s">
        <v>2365</v>
      </c>
      <c r="AH1117" t="s">
        <v>2365</v>
      </c>
      <c r="AI1117" t="s">
        <v>2365</v>
      </c>
      <c r="AJ1117" t="s">
        <v>2365</v>
      </c>
      <c r="AK1117" t="s">
        <v>2366</v>
      </c>
      <c r="AL1117" t="s">
        <v>2366</v>
      </c>
      <c r="AM1117" t="s">
        <v>2366</v>
      </c>
      <c r="AN1117" t="s">
        <v>2366</v>
      </c>
      <c r="AR1117" t="s">
        <v>2365</v>
      </c>
      <c r="AS1117" t="s">
        <v>2365</v>
      </c>
      <c r="AT1117" t="s">
        <v>2365</v>
      </c>
      <c r="AU1117" t="s">
        <v>2365</v>
      </c>
      <c r="AV1117" t="s">
        <v>2365</v>
      </c>
      <c r="AW1117" t="s">
        <v>2365</v>
      </c>
      <c r="AX1117" t="s">
        <v>2365</v>
      </c>
      <c r="AY1117" t="s">
        <v>2365</v>
      </c>
      <c r="AZ1117" t="s">
        <v>2365</v>
      </c>
      <c r="BA1117" t="s">
        <v>2365</v>
      </c>
      <c r="BB1117" t="s">
        <v>2365</v>
      </c>
      <c r="BC1117" t="s">
        <v>2365</v>
      </c>
      <c r="BD1117" t="s">
        <v>2366</v>
      </c>
      <c r="BE1117" t="s">
        <v>2365</v>
      </c>
      <c r="BF1117" t="s">
        <v>2365</v>
      </c>
      <c r="BG1117" t="s">
        <v>2365</v>
      </c>
      <c r="BH1117" t="s">
        <v>2365</v>
      </c>
      <c r="BI1117" t="s">
        <v>2366</v>
      </c>
      <c r="BJ1117" t="s">
        <v>2365</v>
      </c>
      <c r="BK1117" t="s">
        <v>2365</v>
      </c>
      <c r="BL1117" t="s">
        <v>2365</v>
      </c>
      <c r="BM1117" t="s">
        <v>2365</v>
      </c>
      <c r="BO1117">
        <v>1</v>
      </c>
      <c r="BP1117">
        <v>11</v>
      </c>
      <c r="BQ1117" t="s">
        <v>2369</v>
      </c>
      <c r="BR1117" t="s">
        <v>1487</v>
      </c>
      <c r="BU1117">
        <v>0</v>
      </c>
      <c r="BV1117">
        <v>0</v>
      </c>
      <c r="BW1117">
        <v>0</v>
      </c>
      <c r="BX1117">
        <v>0</v>
      </c>
      <c r="BY1117" s="1371">
        <v>0</v>
      </c>
      <c r="BZ1117" s="1371">
        <v>0</v>
      </c>
      <c r="CA1117">
        <v>0</v>
      </c>
      <c r="CB1117">
        <v>0</v>
      </c>
      <c r="CC1117">
        <v>0</v>
      </c>
      <c r="CD1117">
        <v>0</v>
      </c>
      <c r="CE1117">
        <v>0</v>
      </c>
      <c r="CF1117">
        <v>0</v>
      </c>
      <c r="CG1117">
        <v>0</v>
      </c>
      <c r="CH1117">
        <v>0</v>
      </c>
      <c r="CI1117">
        <v>0</v>
      </c>
      <c r="CJ1117">
        <v>0</v>
      </c>
      <c r="CK1117">
        <v>0</v>
      </c>
      <c r="CL1117">
        <v>0</v>
      </c>
      <c r="CM1117">
        <v>0</v>
      </c>
      <c r="CR1117" t="s">
        <v>2325</v>
      </c>
      <c r="CS1117" s="1369" t="str">
        <f>INDEX([8]Sheet1!$H:$H,MATCH(CR:CR,[8]Sheet1!$AU:$AU,0))</f>
        <v>Asset Management</v>
      </c>
    </row>
    <row r="1118" spans="1:97" x14ac:dyDescent="0.2">
      <c r="A1118" t="s">
        <v>4003</v>
      </c>
      <c r="B1118">
        <v>1190</v>
      </c>
      <c r="C1118" t="s">
        <v>4003</v>
      </c>
      <c r="D1118">
        <v>30421</v>
      </c>
      <c r="E1118" t="s">
        <v>4004</v>
      </c>
      <c r="F1118" t="s">
        <v>2364</v>
      </c>
      <c r="G1118" t="s">
        <v>2364</v>
      </c>
      <c r="H1118" t="s">
        <v>2365</v>
      </c>
      <c r="I1118" t="s">
        <v>2365</v>
      </c>
      <c r="J1118" t="s">
        <v>2365</v>
      </c>
      <c r="K1118" t="s">
        <v>2365</v>
      </c>
      <c r="L1118">
        <v>1200</v>
      </c>
      <c r="M1118" t="s">
        <v>1480</v>
      </c>
      <c r="N1118">
        <v>1204</v>
      </c>
      <c r="O1118" t="s">
        <v>1487</v>
      </c>
      <c r="P1118" t="s">
        <v>2366</v>
      </c>
      <c r="Q1118" t="s">
        <v>2364</v>
      </c>
      <c r="R1118" t="s">
        <v>2364</v>
      </c>
      <c r="S1118" t="s">
        <v>553</v>
      </c>
      <c r="T1118" t="s">
        <v>2175</v>
      </c>
      <c r="U1118">
        <v>140</v>
      </c>
      <c r="V1118" t="s">
        <v>693</v>
      </c>
      <c r="W1118">
        <v>140</v>
      </c>
      <c r="X1118" t="s">
        <v>693</v>
      </c>
      <c r="Y1118" t="s">
        <v>2365</v>
      </c>
      <c r="Z1118" t="s">
        <v>2365</v>
      </c>
      <c r="AA1118" t="s">
        <v>2365</v>
      </c>
      <c r="AB1118" t="s">
        <v>2365</v>
      </c>
      <c r="AC1118" s="813" t="s">
        <v>2365</v>
      </c>
      <c r="AD1118" s="813" t="s">
        <v>2365</v>
      </c>
      <c r="AE1118" s="813" t="s">
        <v>2365</v>
      </c>
      <c r="AF1118" t="s">
        <v>2365</v>
      </c>
      <c r="AG1118" t="s">
        <v>2365</v>
      </c>
      <c r="AH1118" t="s">
        <v>2365</v>
      </c>
      <c r="AI1118" t="s">
        <v>2365</v>
      </c>
      <c r="AJ1118" t="s">
        <v>2365</v>
      </c>
      <c r="AK1118" t="s">
        <v>2366</v>
      </c>
      <c r="AL1118" t="s">
        <v>2366</v>
      </c>
      <c r="AM1118" t="s">
        <v>2366</v>
      </c>
      <c r="AN1118" t="s">
        <v>2366</v>
      </c>
      <c r="AR1118" t="s">
        <v>2365</v>
      </c>
      <c r="AS1118" t="s">
        <v>2365</v>
      </c>
      <c r="AT1118" t="s">
        <v>2365</v>
      </c>
      <c r="AU1118" t="s">
        <v>2365</v>
      </c>
      <c r="AV1118" t="s">
        <v>2365</v>
      </c>
      <c r="AW1118" t="s">
        <v>2365</v>
      </c>
      <c r="AX1118" t="s">
        <v>2365</v>
      </c>
      <c r="AY1118" t="s">
        <v>2365</v>
      </c>
      <c r="AZ1118" t="s">
        <v>2365</v>
      </c>
      <c r="BA1118" t="s">
        <v>2365</v>
      </c>
      <c r="BB1118" t="s">
        <v>2365</v>
      </c>
      <c r="BC1118" t="s">
        <v>2365</v>
      </c>
      <c r="BD1118" t="s">
        <v>2366</v>
      </c>
      <c r="BE1118" t="s">
        <v>2365</v>
      </c>
      <c r="BF1118" t="s">
        <v>2365</v>
      </c>
      <c r="BG1118" t="s">
        <v>2365</v>
      </c>
      <c r="BH1118" t="s">
        <v>2365</v>
      </c>
      <c r="BI1118" t="s">
        <v>2366</v>
      </c>
      <c r="BJ1118" t="s">
        <v>2365</v>
      </c>
      <c r="BK1118" t="s">
        <v>2365</v>
      </c>
      <c r="BL1118" t="s">
        <v>2365</v>
      </c>
      <c r="BM1118" t="s">
        <v>2365</v>
      </c>
      <c r="BO1118">
        <v>1</v>
      </c>
      <c r="BP1118">
        <v>11</v>
      </c>
      <c r="BQ1118" t="s">
        <v>2369</v>
      </c>
      <c r="BR1118" t="s">
        <v>1487</v>
      </c>
      <c r="BU1118">
        <v>0</v>
      </c>
      <c r="BV1118">
        <v>0</v>
      </c>
      <c r="BW1118">
        <v>0</v>
      </c>
      <c r="BX1118">
        <v>0</v>
      </c>
      <c r="BY1118" s="1371">
        <v>0</v>
      </c>
      <c r="BZ1118" s="1371">
        <v>0</v>
      </c>
      <c r="CA1118">
        <v>0</v>
      </c>
      <c r="CB1118">
        <v>0</v>
      </c>
      <c r="CC1118">
        <v>0</v>
      </c>
      <c r="CD1118">
        <v>0</v>
      </c>
      <c r="CE1118">
        <v>0</v>
      </c>
      <c r="CF1118">
        <v>0</v>
      </c>
      <c r="CG1118">
        <v>0</v>
      </c>
      <c r="CH1118">
        <v>0</v>
      </c>
      <c r="CI1118">
        <v>0</v>
      </c>
      <c r="CJ1118">
        <v>0</v>
      </c>
      <c r="CK1118">
        <v>0</v>
      </c>
      <c r="CL1118">
        <v>0</v>
      </c>
      <c r="CM1118">
        <v>0</v>
      </c>
      <c r="CR1118" t="s">
        <v>2325</v>
      </c>
      <c r="CS1118" s="1369" t="str">
        <f>INDEX([8]Sheet1!$H:$H,MATCH(CR:CR,[8]Sheet1!$AU:$AU,0))</f>
        <v>Asset Management</v>
      </c>
    </row>
    <row r="1119" spans="1:97" x14ac:dyDescent="0.2">
      <c r="A1119" t="s">
        <v>4005</v>
      </c>
      <c r="B1119">
        <v>1191</v>
      </c>
      <c r="C1119" t="s">
        <v>4005</v>
      </c>
      <c r="D1119">
        <v>30422</v>
      </c>
      <c r="E1119" t="s">
        <v>4006</v>
      </c>
      <c r="F1119" t="s">
        <v>2364</v>
      </c>
      <c r="G1119" t="s">
        <v>2364</v>
      </c>
      <c r="H1119" t="s">
        <v>2365</v>
      </c>
      <c r="I1119" t="s">
        <v>2365</v>
      </c>
      <c r="J1119" t="s">
        <v>2365</v>
      </c>
      <c r="K1119" t="s">
        <v>2365</v>
      </c>
      <c r="L1119">
        <v>1200</v>
      </c>
      <c r="M1119" t="s">
        <v>1480</v>
      </c>
      <c r="N1119">
        <v>1204</v>
      </c>
      <c r="O1119" t="s">
        <v>1487</v>
      </c>
      <c r="P1119" t="s">
        <v>2366</v>
      </c>
      <c r="Q1119" t="s">
        <v>2364</v>
      </c>
      <c r="R1119" t="s">
        <v>2364</v>
      </c>
      <c r="S1119" t="s">
        <v>553</v>
      </c>
      <c r="T1119" t="s">
        <v>2175</v>
      </c>
      <c r="U1119" t="s">
        <v>2366</v>
      </c>
      <c r="V1119" t="s">
        <v>2366</v>
      </c>
      <c r="W1119" t="s">
        <v>2366</v>
      </c>
      <c r="X1119" t="s">
        <v>2366</v>
      </c>
      <c r="Y1119" t="s">
        <v>2365</v>
      </c>
      <c r="Z1119" t="s">
        <v>2365</v>
      </c>
      <c r="AA1119" t="s">
        <v>2365</v>
      </c>
      <c r="AB1119" t="s">
        <v>2365</v>
      </c>
      <c r="AC1119" s="813" t="s">
        <v>2365</v>
      </c>
      <c r="AD1119" s="813" t="s">
        <v>2365</v>
      </c>
      <c r="AE1119" s="813" t="s">
        <v>2365</v>
      </c>
      <c r="AF1119" t="s">
        <v>2365</v>
      </c>
      <c r="AG1119" t="s">
        <v>2365</v>
      </c>
      <c r="AH1119" t="s">
        <v>2365</v>
      </c>
      <c r="AI1119" t="s">
        <v>2365</v>
      </c>
      <c r="AJ1119" t="s">
        <v>2365</v>
      </c>
      <c r="AK1119">
        <v>146</v>
      </c>
      <c r="AL1119" t="s">
        <v>1199</v>
      </c>
      <c r="AM1119">
        <v>146</v>
      </c>
      <c r="AN1119" t="s">
        <v>1199</v>
      </c>
      <c r="AR1119" t="s">
        <v>2365</v>
      </c>
      <c r="AS1119" t="s">
        <v>2365</v>
      </c>
      <c r="AT1119" t="s">
        <v>2365</v>
      </c>
      <c r="AU1119" t="s">
        <v>2365</v>
      </c>
      <c r="AV1119" t="s">
        <v>2365</v>
      </c>
      <c r="AW1119" t="s">
        <v>2365</v>
      </c>
      <c r="AX1119" t="s">
        <v>2365</v>
      </c>
      <c r="AY1119" t="s">
        <v>2365</v>
      </c>
      <c r="AZ1119" t="s">
        <v>2365</v>
      </c>
      <c r="BA1119" t="s">
        <v>2365</v>
      </c>
      <c r="BB1119" t="s">
        <v>2365</v>
      </c>
      <c r="BC1119" t="s">
        <v>2365</v>
      </c>
      <c r="BD1119" t="s">
        <v>2366</v>
      </c>
      <c r="BE1119" t="s">
        <v>2365</v>
      </c>
      <c r="BF1119" t="s">
        <v>2365</v>
      </c>
      <c r="BG1119" t="s">
        <v>2365</v>
      </c>
      <c r="BH1119" t="s">
        <v>2365</v>
      </c>
      <c r="BI1119" t="s">
        <v>2366</v>
      </c>
      <c r="BJ1119" t="s">
        <v>2365</v>
      </c>
      <c r="BK1119" t="s">
        <v>2365</v>
      </c>
      <c r="BL1119" t="s">
        <v>2365</v>
      </c>
      <c r="BM1119" t="s">
        <v>2365</v>
      </c>
      <c r="BO1119">
        <v>1</v>
      </c>
      <c r="BP1119">
        <v>11</v>
      </c>
      <c r="BQ1119" t="s">
        <v>2369</v>
      </c>
      <c r="BR1119" t="s">
        <v>1487</v>
      </c>
      <c r="BU1119">
        <v>0</v>
      </c>
      <c r="BV1119">
        <v>0</v>
      </c>
      <c r="BW1119">
        <v>0</v>
      </c>
      <c r="BX1119">
        <v>0</v>
      </c>
      <c r="BY1119" s="1371">
        <v>0</v>
      </c>
      <c r="BZ1119" s="1371">
        <v>0</v>
      </c>
      <c r="CA1119">
        <v>0</v>
      </c>
      <c r="CB1119">
        <v>0</v>
      </c>
      <c r="CC1119">
        <v>0</v>
      </c>
      <c r="CD1119">
        <v>0</v>
      </c>
      <c r="CE1119">
        <v>0</v>
      </c>
      <c r="CF1119">
        <v>0</v>
      </c>
      <c r="CG1119">
        <v>0</v>
      </c>
      <c r="CH1119">
        <v>0</v>
      </c>
      <c r="CI1119">
        <v>0</v>
      </c>
      <c r="CJ1119">
        <v>0</v>
      </c>
      <c r="CK1119">
        <v>0</v>
      </c>
      <c r="CL1119">
        <v>0</v>
      </c>
      <c r="CM1119">
        <v>0</v>
      </c>
      <c r="CR1119" t="s">
        <v>2325</v>
      </c>
      <c r="CS1119" s="1369" t="str">
        <f>INDEX([8]Sheet1!$H:$H,MATCH(CR:CR,[8]Sheet1!$AU:$AU,0))</f>
        <v>Asset Management</v>
      </c>
    </row>
    <row r="1120" spans="1:97" x14ac:dyDescent="0.2">
      <c r="A1120" t="s">
        <v>4007</v>
      </c>
      <c r="B1120">
        <v>1192</v>
      </c>
      <c r="C1120" t="s">
        <v>4007</v>
      </c>
      <c r="D1120">
        <v>30423</v>
      </c>
      <c r="E1120" t="s">
        <v>4008</v>
      </c>
      <c r="F1120" t="s">
        <v>2364</v>
      </c>
      <c r="G1120" t="s">
        <v>2364</v>
      </c>
      <c r="H1120" t="s">
        <v>2365</v>
      </c>
      <c r="I1120" t="s">
        <v>2365</v>
      </c>
      <c r="J1120" t="s">
        <v>2365</v>
      </c>
      <c r="K1120" t="s">
        <v>2365</v>
      </c>
      <c r="L1120">
        <v>1200</v>
      </c>
      <c r="M1120" t="s">
        <v>1480</v>
      </c>
      <c r="N1120">
        <v>1204</v>
      </c>
      <c r="O1120" t="s">
        <v>1487</v>
      </c>
      <c r="P1120" t="s">
        <v>2366</v>
      </c>
      <c r="Q1120" t="s">
        <v>2364</v>
      </c>
      <c r="R1120" t="s">
        <v>2364</v>
      </c>
      <c r="S1120" t="s">
        <v>553</v>
      </c>
      <c r="T1120" t="s">
        <v>2175</v>
      </c>
      <c r="U1120" t="s">
        <v>2366</v>
      </c>
      <c r="V1120" t="s">
        <v>2366</v>
      </c>
      <c r="W1120" t="s">
        <v>2366</v>
      </c>
      <c r="X1120" t="s">
        <v>2366</v>
      </c>
      <c r="Y1120" t="s">
        <v>2365</v>
      </c>
      <c r="Z1120" t="s">
        <v>2365</v>
      </c>
      <c r="AA1120" t="s">
        <v>2365</v>
      </c>
      <c r="AB1120" t="s">
        <v>2365</v>
      </c>
      <c r="AC1120" s="813" t="s">
        <v>2365</v>
      </c>
      <c r="AD1120" s="813" t="s">
        <v>2365</v>
      </c>
      <c r="AE1120" s="813" t="s">
        <v>2365</v>
      </c>
      <c r="AF1120" t="s">
        <v>2365</v>
      </c>
      <c r="AG1120" t="s">
        <v>2365</v>
      </c>
      <c r="AH1120" t="s">
        <v>2365</v>
      </c>
      <c r="AI1120" t="s">
        <v>2365</v>
      </c>
      <c r="AJ1120" t="s">
        <v>2365</v>
      </c>
      <c r="AK1120">
        <v>146</v>
      </c>
      <c r="AL1120" t="s">
        <v>1199</v>
      </c>
      <c r="AM1120">
        <v>146</v>
      </c>
      <c r="AN1120" t="s">
        <v>1199</v>
      </c>
      <c r="AR1120" t="s">
        <v>2365</v>
      </c>
      <c r="AS1120" t="s">
        <v>2365</v>
      </c>
      <c r="AT1120" t="s">
        <v>2365</v>
      </c>
      <c r="AU1120" t="s">
        <v>2365</v>
      </c>
      <c r="AV1120" t="s">
        <v>2365</v>
      </c>
      <c r="AW1120" t="s">
        <v>2365</v>
      </c>
      <c r="AX1120" t="s">
        <v>2365</v>
      </c>
      <c r="AY1120" t="s">
        <v>2365</v>
      </c>
      <c r="AZ1120" t="s">
        <v>2365</v>
      </c>
      <c r="BA1120" t="s">
        <v>2365</v>
      </c>
      <c r="BB1120" t="s">
        <v>2365</v>
      </c>
      <c r="BC1120" t="s">
        <v>2365</v>
      </c>
      <c r="BD1120" t="s">
        <v>2366</v>
      </c>
      <c r="BE1120" t="s">
        <v>2365</v>
      </c>
      <c r="BF1120" t="s">
        <v>2365</v>
      </c>
      <c r="BG1120" t="s">
        <v>2365</v>
      </c>
      <c r="BH1120" t="s">
        <v>2365</v>
      </c>
      <c r="BI1120" t="s">
        <v>2366</v>
      </c>
      <c r="BJ1120" t="s">
        <v>2365</v>
      </c>
      <c r="BK1120" t="s">
        <v>2365</v>
      </c>
      <c r="BL1120" t="s">
        <v>2365</v>
      </c>
      <c r="BM1120" t="s">
        <v>2365</v>
      </c>
      <c r="BO1120">
        <v>1</v>
      </c>
      <c r="BP1120">
        <v>11</v>
      </c>
      <c r="BQ1120" t="s">
        <v>2369</v>
      </c>
      <c r="BR1120" t="s">
        <v>1487</v>
      </c>
      <c r="BU1120">
        <v>0</v>
      </c>
      <c r="BV1120">
        <v>0</v>
      </c>
      <c r="BW1120">
        <v>0</v>
      </c>
      <c r="BX1120">
        <v>0</v>
      </c>
      <c r="BY1120">
        <v>0</v>
      </c>
      <c r="BZ1120">
        <v>0</v>
      </c>
      <c r="CA1120">
        <v>0</v>
      </c>
      <c r="CB1120">
        <v>0</v>
      </c>
      <c r="CC1120">
        <v>0</v>
      </c>
      <c r="CD1120">
        <v>0</v>
      </c>
      <c r="CE1120">
        <v>0</v>
      </c>
      <c r="CF1120">
        <v>0</v>
      </c>
      <c r="CG1120">
        <v>0</v>
      </c>
      <c r="CH1120">
        <v>0</v>
      </c>
      <c r="CI1120">
        <v>0</v>
      </c>
      <c r="CJ1120">
        <v>0</v>
      </c>
      <c r="CK1120">
        <v>0</v>
      </c>
      <c r="CL1120">
        <v>0</v>
      </c>
      <c r="CM1120">
        <v>0</v>
      </c>
      <c r="CR1120" t="s">
        <v>2325</v>
      </c>
      <c r="CS1120" s="1369" t="str">
        <f>INDEX([8]Sheet1!$H:$H,MATCH(CR:CR,[8]Sheet1!$AU:$AU,0))</f>
        <v>Asset Management</v>
      </c>
    </row>
    <row r="1121" spans="1:97" x14ac:dyDescent="0.2">
      <c r="A1121" t="s">
        <v>4009</v>
      </c>
      <c r="B1121">
        <v>1193</v>
      </c>
      <c r="C1121" t="s">
        <v>4009</v>
      </c>
      <c r="D1121">
        <v>30424</v>
      </c>
      <c r="E1121" t="s">
        <v>4010</v>
      </c>
      <c r="F1121" t="s">
        <v>2364</v>
      </c>
      <c r="G1121" t="s">
        <v>2364</v>
      </c>
      <c r="H1121" t="s">
        <v>2365</v>
      </c>
      <c r="I1121" t="s">
        <v>2365</v>
      </c>
      <c r="J1121" t="s">
        <v>2365</v>
      </c>
      <c r="K1121" t="s">
        <v>2365</v>
      </c>
      <c r="L1121">
        <v>1200</v>
      </c>
      <c r="M1121" t="s">
        <v>1480</v>
      </c>
      <c r="N1121">
        <v>1204</v>
      </c>
      <c r="O1121" t="s">
        <v>1487</v>
      </c>
      <c r="P1121" t="s">
        <v>2366</v>
      </c>
      <c r="Q1121" t="s">
        <v>2364</v>
      </c>
      <c r="R1121" t="s">
        <v>2364</v>
      </c>
      <c r="S1121" t="s">
        <v>553</v>
      </c>
      <c r="T1121" t="s">
        <v>2175</v>
      </c>
      <c r="U1121">
        <v>140</v>
      </c>
      <c r="V1121" t="s">
        <v>693</v>
      </c>
      <c r="W1121">
        <v>140</v>
      </c>
      <c r="X1121" t="s">
        <v>693</v>
      </c>
      <c r="Y1121" t="s">
        <v>2365</v>
      </c>
      <c r="Z1121" t="s">
        <v>2365</v>
      </c>
      <c r="AA1121" t="s">
        <v>2365</v>
      </c>
      <c r="AB1121" t="s">
        <v>2365</v>
      </c>
      <c r="AC1121" s="813" t="s">
        <v>2365</v>
      </c>
      <c r="AD1121" s="813" t="s">
        <v>2365</v>
      </c>
      <c r="AE1121" s="813" t="s">
        <v>2365</v>
      </c>
      <c r="AF1121" t="s">
        <v>2365</v>
      </c>
      <c r="AG1121" t="s">
        <v>2365</v>
      </c>
      <c r="AH1121" t="s">
        <v>2365</v>
      </c>
      <c r="AI1121" t="s">
        <v>2365</v>
      </c>
      <c r="AJ1121" t="s">
        <v>2365</v>
      </c>
      <c r="AK1121" t="s">
        <v>2366</v>
      </c>
      <c r="AL1121" t="s">
        <v>2366</v>
      </c>
      <c r="AM1121" t="s">
        <v>2366</v>
      </c>
      <c r="AN1121" t="s">
        <v>2366</v>
      </c>
      <c r="AR1121" t="s">
        <v>2365</v>
      </c>
      <c r="AS1121" t="s">
        <v>2365</v>
      </c>
      <c r="AT1121" t="s">
        <v>2365</v>
      </c>
      <c r="AU1121" t="s">
        <v>2365</v>
      </c>
      <c r="AV1121" t="s">
        <v>2365</v>
      </c>
      <c r="AW1121" t="s">
        <v>2365</v>
      </c>
      <c r="AX1121" t="s">
        <v>2365</v>
      </c>
      <c r="AY1121" t="s">
        <v>2365</v>
      </c>
      <c r="AZ1121" t="s">
        <v>2365</v>
      </c>
      <c r="BA1121" t="s">
        <v>2365</v>
      </c>
      <c r="BB1121" t="s">
        <v>2365</v>
      </c>
      <c r="BC1121" t="s">
        <v>2365</v>
      </c>
      <c r="BD1121" t="s">
        <v>2366</v>
      </c>
      <c r="BE1121" t="s">
        <v>2365</v>
      </c>
      <c r="BF1121" t="s">
        <v>2365</v>
      </c>
      <c r="BG1121" t="s">
        <v>2365</v>
      </c>
      <c r="BH1121" t="s">
        <v>2365</v>
      </c>
      <c r="BI1121" t="s">
        <v>2366</v>
      </c>
      <c r="BJ1121" t="s">
        <v>2365</v>
      </c>
      <c r="BK1121" t="s">
        <v>2365</v>
      </c>
      <c r="BL1121" t="s">
        <v>2365</v>
      </c>
      <c r="BM1121" t="s">
        <v>2365</v>
      </c>
      <c r="BO1121">
        <v>1</v>
      </c>
      <c r="BP1121">
        <v>11</v>
      </c>
      <c r="BQ1121" t="s">
        <v>2369</v>
      </c>
      <c r="BR1121" t="s">
        <v>1487</v>
      </c>
      <c r="BU1121">
        <v>0</v>
      </c>
      <c r="BV1121">
        <v>0</v>
      </c>
      <c r="BW1121">
        <v>0</v>
      </c>
      <c r="BX1121">
        <v>0</v>
      </c>
      <c r="BY1121">
        <v>0</v>
      </c>
      <c r="BZ1121">
        <v>0</v>
      </c>
      <c r="CA1121">
        <v>0</v>
      </c>
      <c r="CB1121">
        <v>0</v>
      </c>
      <c r="CC1121">
        <v>0</v>
      </c>
      <c r="CD1121">
        <v>0</v>
      </c>
      <c r="CE1121">
        <v>0</v>
      </c>
      <c r="CF1121">
        <v>0</v>
      </c>
      <c r="CG1121">
        <v>0</v>
      </c>
      <c r="CH1121">
        <v>0</v>
      </c>
      <c r="CI1121">
        <v>0</v>
      </c>
      <c r="CJ1121">
        <v>0</v>
      </c>
      <c r="CK1121">
        <v>0</v>
      </c>
      <c r="CL1121">
        <v>0</v>
      </c>
      <c r="CM1121">
        <v>0</v>
      </c>
      <c r="CR1121" t="s">
        <v>2325</v>
      </c>
      <c r="CS1121" s="1369" t="str">
        <f>INDEX([8]Sheet1!$H:$H,MATCH(CR:CR,[8]Sheet1!$AU:$AU,0))</f>
        <v>Asset Management</v>
      </c>
    </row>
    <row r="1122" spans="1:97" x14ac:dyDescent="0.2">
      <c r="A1122" t="s">
        <v>4011</v>
      </c>
      <c r="B1122">
        <v>1194</v>
      </c>
      <c r="C1122" t="s">
        <v>4011</v>
      </c>
      <c r="D1122">
        <v>30425</v>
      </c>
      <c r="E1122" t="s">
        <v>4012</v>
      </c>
      <c r="F1122" t="s">
        <v>2364</v>
      </c>
      <c r="G1122" t="s">
        <v>2364</v>
      </c>
      <c r="H1122" t="s">
        <v>2365</v>
      </c>
      <c r="I1122" t="s">
        <v>2365</v>
      </c>
      <c r="J1122" t="s">
        <v>2365</v>
      </c>
      <c r="K1122" t="s">
        <v>2365</v>
      </c>
      <c r="L1122">
        <v>1200</v>
      </c>
      <c r="M1122" t="s">
        <v>1480</v>
      </c>
      <c r="N1122">
        <v>1204</v>
      </c>
      <c r="O1122" t="s">
        <v>1487</v>
      </c>
      <c r="P1122" t="s">
        <v>2366</v>
      </c>
      <c r="Q1122" t="s">
        <v>2364</v>
      </c>
      <c r="R1122" t="s">
        <v>2364</v>
      </c>
      <c r="S1122" t="s">
        <v>553</v>
      </c>
      <c r="T1122" t="s">
        <v>2175</v>
      </c>
      <c r="U1122">
        <v>140</v>
      </c>
      <c r="V1122" t="s">
        <v>693</v>
      </c>
      <c r="W1122">
        <v>140</v>
      </c>
      <c r="X1122" t="s">
        <v>693</v>
      </c>
      <c r="Y1122" t="s">
        <v>2365</v>
      </c>
      <c r="Z1122" t="s">
        <v>2365</v>
      </c>
      <c r="AA1122" t="s">
        <v>2365</v>
      </c>
      <c r="AB1122" t="s">
        <v>2365</v>
      </c>
      <c r="AC1122" s="813" t="s">
        <v>2365</v>
      </c>
      <c r="AD1122" s="813" t="s">
        <v>2365</v>
      </c>
      <c r="AE1122" s="813" t="s">
        <v>2365</v>
      </c>
      <c r="AF1122" t="s">
        <v>2365</v>
      </c>
      <c r="AG1122" t="s">
        <v>2365</v>
      </c>
      <c r="AH1122" t="s">
        <v>2365</v>
      </c>
      <c r="AI1122" t="s">
        <v>2365</v>
      </c>
      <c r="AJ1122" t="s">
        <v>2365</v>
      </c>
      <c r="AK1122" t="s">
        <v>2366</v>
      </c>
      <c r="AL1122" t="s">
        <v>2366</v>
      </c>
      <c r="AM1122" t="s">
        <v>2366</v>
      </c>
      <c r="AN1122" t="s">
        <v>2366</v>
      </c>
      <c r="AR1122" t="s">
        <v>2365</v>
      </c>
      <c r="AS1122" t="s">
        <v>2365</v>
      </c>
      <c r="AT1122" t="s">
        <v>2365</v>
      </c>
      <c r="AU1122" t="s">
        <v>2365</v>
      </c>
      <c r="AV1122" t="s">
        <v>2365</v>
      </c>
      <c r="AW1122" t="s">
        <v>2365</v>
      </c>
      <c r="AX1122" t="s">
        <v>2365</v>
      </c>
      <c r="AY1122" t="s">
        <v>2365</v>
      </c>
      <c r="AZ1122" t="s">
        <v>2365</v>
      </c>
      <c r="BA1122" t="s">
        <v>2365</v>
      </c>
      <c r="BB1122" t="s">
        <v>2365</v>
      </c>
      <c r="BC1122" t="s">
        <v>2365</v>
      </c>
      <c r="BD1122" t="s">
        <v>2366</v>
      </c>
      <c r="BE1122" t="s">
        <v>2365</v>
      </c>
      <c r="BF1122" t="s">
        <v>2365</v>
      </c>
      <c r="BG1122" t="s">
        <v>2365</v>
      </c>
      <c r="BH1122" t="s">
        <v>2365</v>
      </c>
      <c r="BI1122" t="s">
        <v>2366</v>
      </c>
      <c r="BJ1122" t="s">
        <v>2365</v>
      </c>
      <c r="BK1122" t="s">
        <v>2365</v>
      </c>
      <c r="BL1122" t="s">
        <v>2365</v>
      </c>
      <c r="BM1122" t="s">
        <v>2365</v>
      </c>
      <c r="BO1122">
        <v>1</v>
      </c>
      <c r="BP1122">
        <v>11</v>
      </c>
      <c r="BQ1122" t="s">
        <v>2369</v>
      </c>
      <c r="BR1122" t="s">
        <v>1487</v>
      </c>
      <c r="BU1122">
        <v>0</v>
      </c>
      <c r="BV1122">
        <v>0</v>
      </c>
      <c r="BW1122">
        <v>0</v>
      </c>
      <c r="BX1122">
        <v>0</v>
      </c>
      <c r="BY1122" s="1371">
        <v>0</v>
      </c>
      <c r="BZ1122" s="1371">
        <v>0</v>
      </c>
      <c r="CA1122">
        <v>0</v>
      </c>
      <c r="CB1122">
        <v>0</v>
      </c>
      <c r="CC1122">
        <v>0</v>
      </c>
      <c r="CD1122">
        <v>0</v>
      </c>
      <c r="CE1122">
        <v>0</v>
      </c>
      <c r="CF1122">
        <v>0</v>
      </c>
      <c r="CG1122">
        <v>0</v>
      </c>
      <c r="CH1122">
        <v>0</v>
      </c>
      <c r="CI1122">
        <v>0</v>
      </c>
      <c r="CJ1122">
        <v>0</v>
      </c>
      <c r="CK1122">
        <v>0</v>
      </c>
      <c r="CL1122">
        <v>0</v>
      </c>
      <c r="CM1122">
        <v>0</v>
      </c>
      <c r="CR1122" t="s">
        <v>2325</v>
      </c>
      <c r="CS1122" s="1369" t="str">
        <f>INDEX([8]Sheet1!$H:$H,MATCH(CR:CR,[8]Sheet1!$AU:$AU,0))</f>
        <v>Asset Management</v>
      </c>
    </row>
    <row r="1123" spans="1:97" x14ac:dyDescent="0.2">
      <c r="A1123" t="s">
        <v>4013</v>
      </c>
      <c r="B1123">
        <v>1195</v>
      </c>
      <c r="C1123" t="s">
        <v>4013</v>
      </c>
      <c r="D1123">
        <v>30426</v>
      </c>
      <c r="E1123" t="s">
        <v>4014</v>
      </c>
      <c r="F1123" t="s">
        <v>2364</v>
      </c>
      <c r="G1123" t="s">
        <v>2364</v>
      </c>
      <c r="H1123" t="s">
        <v>2365</v>
      </c>
      <c r="I1123" t="s">
        <v>2365</v>
      </c>
      <c r="J1123" t="s">
        <v>2365</v>
      </c>
      <c r="K1123" t="s">
        <v>2365</v>
      </c>
      <c r="L1123">
        <v>1200</v>
      </c>
      <c r="M1123" t="s">
        <v>1480</v>
      </c>
      <c r="N1123">
        <v>1204</v>
      </c>
      <c r="O1123" t="s">
        <v>1487</v>
      </c>
      <c r="P1123" t="s">
        <v>2366</v>
      </c>
      <c r="Q1123" t="s">
        <v>2364</v>
      </c>
      <c r="R1123" t="s">
        <v>2364</v>
      </c>
      <c r="S1123" t="s">
        <v>553</v>
      </c>
      <c r="T1123" t="s">
        <v>2175</v>
      </c>
      <c r="U1123">
        <v>140</v>
      </c>
      <c r="V1123" t="s">
        <v>693</v>
      </c>
      <c r="W1123">
        <v>140</v>
      </c>
      <c r="X1123" t="s">
        <v>693</v>
      </c>
      <c r="Y1123" t="s">
        <v>2365</v>
      </c>
      <c r="Z1123" t="s">
        <v>2365</v>
      </c>
      <c r="AA1123" t="s">
        <v>2365</v>
      </c>
      <c r="AB1123" t="s">
        <v>2365</v>
      </c>
      <c r="AC1123" s="813" t="s">
        <v>2365</v>
      </c>
      <c r="AD1123" s="813" t="s">
        <v>2365</v>
      </c>
      <c r="AE1123" s="813" t="s">
        <v>2365</v>
      </c>
      <c r="AF1123" t="s">
        <v>2365</v>
      </c>
      <c r="AG1123" t="s">
        <v>2365</v>
      </c>
      <c r="AH1123" t="s">
        <v>2365</v>
      </c>
      <c r="AI1123" t="s">
        <v>2365</v>
      </c>
      <c r="AJ1123" t="s">
        <v>2365</v>
      </c>
      <c r="AK1123">
        <v>147</v>
      </c>
      <c r="AL1123" t="s">
        <v>1200</v>
      </c>
      <c r="AM1123">
        <v>147</v>
      </c>
      <c r="AN1123" t="s">
        <v>1200</v>
      </c>
      <c r="AR1123" t="s">
        <v>2365</v>
      </c>
      <c r="AS1123" t="s">
        <v>2365</v>
      </c>
      <c r="AT1123" t="s">
        <v>2365</v>
      </c>
      <c r="AU1123" t="s">
        <v>2365</v>
      </c>
      <c r="AV1123" t="s">
        <v>2365</v>
      </c>
      <c r="AW1123" t="s">
        <v>2365</v>
      </c>
      <c r="AX1123" t="s">
        <v>2365</v>
      </c>
      <c r="AY1123" t="s">
        <v>2365</v>
      </c>
      <c r="AZ1123" t="s">
        <v>2365</v>
      </c>
      <c r="BA1123" t="s">
        <v>2365</v>
      </c>
      <c r="BB1123" t="s">
        <v>2365</v>
      </c>
      <c r="BC1123" t="s">
        <v>2365</v>
      </c>
      <c r="BD1123" t="s">
        <v>2366</v>
      </c>
      <c r="BE1123" t="s">
        <v>2365</v>
      </c>
      <c r="BF1123" t="s">
        <v>2365</v>
      </c>
      <c r="BG1123" t="s">
        <v>2365</v>
      </c>
      <c r="BH1123" t="s">
        <v>2365</v>
      </c>
      <c r="BI1123" t="s">
        <v>2366</v>
      </c>
      <c r="BJ1123" t="s">
        <v>2365</v>
      </c>
      <c r="BK1123" t="s">
        <v>2365</v>
      </c>
      <c r="BL1123" t="s">
        <v>2365</v>
      </c>
      <c r="BM1123" t="s">
        <v>2365</v>
      </c>
      <c r="BO1123">
        <v>1</v>
      </c>
      <c r="BP1123">
        <v>11</v>
      </c>
      <c r="BQ1123" t="s">
        <v>2369</v>
      </c>
      <c r="BR1123" t="s">
        <v>1487</v>
      </c>
      <c r="BU1123">
        <v>0</v>
      </c>
      <c r="BV1123">
        <v>0</v>
      </c>
      <c r="BW1123">
        <v>0</v>
      </c>
      <c r="BX1123">
        <v>0</v>
      </c>
      <c r="BY1123" s="1371">
        <v>0</v>
      </c>
      <c r="BZ1123" s="1371">
        <v>0</v>
      </c>
      <c r="CA1123">
        <v>0</v>
      </c>
      <c r="CB1123">
        <v>0</v>
      </c>
      <c r="CC1123">
        <v>0</v>
      </c>
      <c r="CD1123">
        <v>0</v>
      </c>
      <c r="CE1123">
        <v>0</v>
      </c>
      <c r="CF1123">
        <v>0</v>
      </c>
      <c r="CG1123">
        <v>0</v>
      </c>
      <c r="CH1123">
        <v>0</v>
      </c>
      <c r="CI1123">
        <v>0</v>
      </c>
      <c r="CJ1123">
        <v>0</v>
      </c>
      <c r="CK1123">
        <v>0</v>
      </c>
      <c r="CL1123">
        <v>0</v>
      </c>
      <c r="CM1123">
        <v>0</v>
      </c>
      <c r="CR1123" t="s">
        <v>2325</v>
      </c>
      <c r="CS1123" s="1369" t="str">
        <f>INDEX([8]Sheet1!$H:$H,MATCH(CR:CR,[8]Sheet1!$AU:$AU,0))</f>
        <v>Asset Management</v>
      </c>
    </row>
    <row r="1124" spans="1:97" x14ac:dyDescent="0.2">
      <c r="A1124" t="s">
        <v>4015</v>
      </c>
      <c r="B1124">
        <v>1196</v>
      </c>
      <c r="C1124" t="s">
        <v>4015</v>
      </c>
      <c r="D1124">
        <v>30427</v>
      </c>
      <c r="E1124" t="s">
        <v>4016</v>
      </c>
      <c r="F1124" t="s">
        <v>2364</v>
      </c>
      <c r="G1124" t="s">
        <v>2364</v>
      </c>
      <c r="H1124" t="s">
        <v>2365</v>
      </c>
      <c r="I1124" t="s">
        <v>2365</v>
      </c>
      <c r="J1124" t="s">
        <v>2365</v>
      </c>
      <c r="K1124" t="s">
        <v>2365</v>
      </c>
      <c r="L1124">
        <v>1200</v>
      </c>
      <c r="M1124" t="s">
        <v>1480</v>
      </c>
      <c r="N1124">
        <v>1204</v>
      </c>
      <c r="O1124" t="s">
        <v>1487</v>
      </c>
      <c r="P1124" t="s">
        <v>2366</v>
      </c>
      <c r="Q1124" t="s">
        <v>2364</v>
      </c>
      <c r="R1124" t="s">
        <v>2364</v>
      </c>
      <c r="S1124" t="s">
        <v>553</v>
      </c>
      <c r="T1124" t="s">
        <v>2175</v>
      </c>
      <c r="U1124">
        <v>140</v>
      </c>
      <c r="V1124" t="s">
        <v>693</v>
      </c>
      <c r="W1124">
        <v>140</v>
      </c>
      <c r="X1124" t="s">
        <v>693</v>
      </c>
      <c r="Y1124" t="s">
        <v>2365</v>
      </c>
      <c r="Z1124" t="s">
        <v>2365</v>
      </c>
      <c r="AA1124" t="s">
        <v>2365</v>
      </c>
      <c r="AB1124" t="s">
        <v>2365</v>
      </c>
      <c r="AC1124" s="813" t="s">
        <v>2365</v>
      </c>
      <c r="AD1124" s="813" t="s">
        <v>2365</v>
      </c>
      <c r="AE1124" s="813" t="s">
        <v>2365</v>
      </c>
      <c r="AF1124" t="s">
        <v>2365</v>
      </c>
      <c r="AG1124" t="s">
        <v>2365</v>
      </c>
      <c r="AH1124" t="s">
        <v>2365</v>
      </c>
      <c r="AI1124" t="s">
        <v>2365</v>
      </c>
      <c r="AJ1124" t="s">
        <v>2365</v>
      </c>
      <c r="AK1124" t="s">
        <v>2366</v>
      </c>
      <c r="AL1124" t="s">
        <v>2366</v>
      </c>
      <c r="AM1124" t="s">
        <v>2366</v>
      </c>
      <c r="AN1124" t="s">
        <v>2366</v>
      </c>
      <c r="AR1124" t="s">
        <v>2365</v>
      </c>
      <c r="AS1124" t="s">
        <v>2365</v>
      </c>
      <c r="AT1124" t="s">
        <v>2365</v>
      </c>
      <c r="AU1124" t="s">
        <v>2365</v>
      </c>
      <c r="AV1124" t="s">
        <v>2365</v>
      </c>
      <c r="AW1124" t="s">
        <v>2365</v>
      </c>
      <c r="AX1124" t="s">
        <v>2365</v>
      </c>
      <c r="AY1124" t="s">
        <v>2365</v>
      </c>
      <c r="AZ1124" t="s">
        <v>2365</v>
      </c>
      <c r="BA1124" t="s">
        <v>2365</v>
      </c>
      <c r="BB1124" t="s">
        <v>2365</v>
      </c>
      <c r="BC1124" t="s">
        <v>2365</v>
      </c>
      <c r="BD1124" t="s">
        <v>2366</v>
      </c>
      <c r="BE1124" t="s">
        <v>2365</v>
      </c>
      <c r="BF1124" t="s">
        <v>2365</v>
      </c>
      <c r="BG1124" t="s">
        <v>2365</v>
      </c>
      <c r="BH1124" t="s">
        <v>2365</v>
      </c>
      <c r="BI1124" t="s">
        <v>2366</v>
      </c>
      <c r="BJ1124" t="s">
        <v>2365</v>
      </c>
      <c r="BK1124" t="s">
        <v>2365</v>
      </c>
      <c r="BL1124" t="s">
        <v>2365</v>
      </c>
      <c r="BM1124" t="s">
        <v>2365</v>
      </c>
      <c r="BO1124">
        <v>1</v>
      </c>
      <c r="BP1124">
        <v>11</v>
      </c>
      <c r="BQ1124" t="s">
        <v>2369</v>
      </c>
      <c r="BR1124" t="s">
        <v>1487</v>
      </c>
      <c r="BU1124">
        <v>0</v>
      </c>
      <c r="BV1124">
        <v>0</v>
      </c>
      <c r="BW1124">
        <v>0</v>
      </c>
      <c r="BX1124">
        <v>0</v>
      </c>
      <c r="BY1124" s="1371">
        <v>0</v>
      </c>
      <c r="BZ1124" s="1371">
        <v>0</v>
      </c>
      <c r="CA1124">
        <v>0</v>
      </c>
      <c r="CB1124">
        <v>0</v>
      </c>
      <c r="CC1124">
        <v>0</v>
      </c>
      <c r="CD1124">
        <v>0</v>
      </c>
      <c r="CE1124">
        <v>0</v>
      </c>
      <c r="CF1124">
        <v>0</v>
      </c>
      <c r="CG1124">
        <v>0</v>
      </c>
      <c r="CH1124">
        <v>0</v>
      </c>
      <c r="CI1124">
        <v>0</v>
      </c>
      <c r="CJ1124">
        <v>0</v>
      </c>
      <c r="CK1124">
        <v>0</v>
      </c>
      <c r="CL1124">
        <v>0</v>
      </c>
      <c r="CM1124">
        <v>0</v>
      </c>
      <c r="CR1124" t="s">
        <v>2325</v>
      </c>
      <c r="CS1124" s="1369" t="str">
        <f>INDEX([8]Sheet1!$H:$H,MATCH(CR:CR,[8]Sheet1!$AU:$AU,0))</f>
        <v>Asset Management</v>
      </c>
    </row>
    <row r="1125" spans="1:97" x14ac:dyDescent="0.2">
      <c r="A1125" t="s">
        <v>4017</v>
      </c>
      <c r="B1125">
        <v>1197</v>
      </c>
      <c r="C1125" t="s">
        <v>4017</v>
      </c>
      <c r="D1125">
        <v>30428</v>
      </c>
      <c r="E1125" t="s">
        <v>4018</v>
      </c>
      <c r="F1125" t="s">
        <v>2364</v>
      </c>
      <c r="G1125" t="s">
        <v>2364</v>
      </c>
      <c r="H1125" t="s">
        <v>2365</v>
      </c>
      <c r="I1125" t="s">
        <v>2365</v>
      </c>
      <c r="J1125" t="s">
        <v>2365</v>
      </c>
      <c r="K1125" t="s">
        <v>2365</v>
      </c>
      <c r="L1125">
        <v>1200</v>
      </c>
      <c r="M1125" t="s">
        <v>1480</v>
      </c>
      <c r="N1125">
        <v>1204</v>
      </c>
      <c r="O1125" t="s">
        <v>1487</v>
      </c>
      <c r="P1125" t="s">
        <v>2366</v>
      </c>
      <c r="Q1125" t="s">
        <v>2364</v>
      </c>
      <c r="R1125" t="s">
        <v>2364</v>
      </c>
      <c r="S1125" t="s">
        <v>553</v>
      </c>
      <c r="T1125" t="s">
        <v>2175</v>
      </c>
      <c r="U1125">
        <v>140</v>
      </c>
      <c r="V1125" t="s">
        <v>693</v>
      </c>
      <c r="W1125">
        <v>140</v>
      </c>
      <c r="X1125" t="s">
        <v>693</v>
      </c>
      <c r="Y1125" t="s">
        <v>2365</v>
      </c>
      <c r="Z1125" t="s">
        <v>2365</v>
      </c>
      <c r="AA1125" t="s">
        <v>2365</v>
      </c>
      <c r="AB1125" t="s">
        <v>2365</v>
      </c>
      <c r="AC1125" s="813" t="s">
        <v>2365</v>
      </c>
      <c r="AD1125" s="813" t="s">
        <v>2365</v>
      </c>
      <c r="AE1125" s="813" t="s">
        <v>2365</v>
      </c>
      <c r="AF1125" t="s">
        <v>2365</v>
      </c>
      <c r="AG1125" t="s">
        <v>2365</v>
      </c>
      <c r="AH1125" t="s">
        <v>2365</v>
      </c>
      <c r="AI1125" t="s">
        <v>2365</v>
      </c>
      <c r="AJ1125" t="s">
        <v>2365</v>
      </c>
      <c r="AK1125" t="s">
        <v>2366</v>
      </c>
      <c r="AL1125" t="s">
        <v>2366</v>
      </c>
      <c r="AM1125" t="s">
        <v>2366</v>
      </c>
      <c r="AN1125" t="s">
        <v>2366</v>
      </c>
      <c r="AR1125" t="s">
        <v>2365</v>
      </c>
      <c r="AS1125" t="s">
        <v>2365</v>
      </c>
      <c r="AT1125" t="s">
        <v>2365</v>
      </c>
      <c r="AU1125" t="s">
        <v>2365</v>
      </c>
      <c r="AV1125" t="s">
        <v>2365</v>
      </c>
      <c r="AW1125" t="s">
        <v>2365</v>
      </c>
      <c r="AX1125" t="s">
        <v>2365</v>
      </c>
      <c r="AY1125" t="s">
        <v>2365</v>
      </c>
      <c r="AZ1125" t="s">
        <v>2365</v>
      </c>
      <c r="BA1125" t="s">
        <v>2365</v>
      </c>
      <c r="BB1125" t="s">
        <v>2365</v>
      </c>
      <c r="BC1125" t="s">
        <v>2365</v>
      </c>
      <c r="BD1125" t="s">
        <v>2366</v>
      </c>
      <c r="BE1125" t="s">
        <v>2365</v>
      </c>
      <c r="BF1125" t="s">
        <v>2365</v>
      </c>
      <c r="BG1125" t="s">
        <v>2365</v>
      </c>
      <c r="BH1125" t="s">
        <v>2365</v>
      </c>
      <c r="BI1125" t="s">
        <v>2366</v>
      </c>
      <c r="BJ1125" t="s">
        <v>2365</v>
      </c>
      <c r="BK1125" t="s">
        <v>2365</v>
      </c>
      <c r="BL1125" t="s">
        <v>2365</v>
      </c>
      <c r="BM1125" t="s">
        <v>2365</v>
      </c>
      <c r="BO1125">
        <v>1</v>
      </c>
      <c r="BP1125">
        <v>11</v>
      </c>
      <c r="BQ1125" t="s">
        <v>2369</v>
      </c>
      <c r="BR1125" t="s">
        <v>1487</v>
      </c>
      <c r="BU1125">
        <v>0</v>
      </c>
      <c r="BV1125">
        <v>0</v>
      </c>
      <c r="BW1125">
        <v>0</v>
      </c>
      <c r="BX1125">
        <v>0</v>
      </c>
      <c r="BY1125" s="1371">
        <v>0</v>
      </c>
      <c r="BZ1125" s="1371">
        <v>0</v>
      </c>
      <c r="CA1125">
        <v>0</v>
      </c>
      <c r="CB1125">
        <v>0</v>
      </c>
      <c r="CC1125">
        <v>0</v>
      </c>
      <c r="CD1125">
        <v>0</v>
      </c>
      <c r="CE1125">
        <v>0</v>
      </c>
      <c r="CF1125">
        <v>0</v>
      </c>
      <c r="CG1125">
        <v>0</v>
      </c>
      <c r="CH1125">
        <v>0</v>
      </c>
      <c r="CI1125">
        <v>0</v>
      </c>
      <c r="CJ1125">
        <v>0</v>
      </c>
      <c r="CK1125">
        <v>0</v>
      </c>
      <c r="CL1125">
        <v>0</v>
      </c>
      <c r="CM1125">
        <v>0</v>
      </c>
      <c r="CR1125" t="s">
        <v>2328</v>
      </c>
      <c r="CS1125" s="1369" t="str">
        <f>INDEX([8]Sheet1!$H:$H,MATCH(CR:CR,[8]Sheet1!$AU:$AU,0))</f>
        <v>Water Distribution</v>
      </c>
    </row>
    <row r="1126" spans="1:97" x14ac:dyDescent="0.2">
      <c r="A1126" t="s">
        <v>4019</v>
      </c>
      <c r="B1126">
        <v>1198</v>
      </c>
      <c r="C1126" t="s">
        <v>4019</v>
      </c>
      <c r="D1126">
        <v>30429</v>
      </c>
      <c r="E1126" t="s">
        <v>4020</v>
      </c>
      <c r="F1126" t="s">
        <v>2364</v>
      </c>
      <c r="G1126" t="s">
        <v>2364</v>
      </c>
      <c r="H1126" t="s">
        <v>2365</v>
      </c>
      <c r="I1126" t="s">
        <v>2365</v>
      </c>
      <c r="J1126" t="s">
        <v>2365</v>
      </c>
      <c r="K1126" t="s">
        <v>2365</v>
      </c>
      <c r="L1126">
        <v>1200</v>
      </c>
      <c r="M1126" t="s">
        <v>1480</v>
      </c>
      <c r="N1126">
        <v>1204</v>
      </c>
      <c r="O1126" t="s">
        <v>1487</v>
      </c>
      <c r="P1126" t="s">
        <v>2366</v>
      </c>
      <c r="Q1126" t="s">
        <v>2364</v>
      </c>
      <c r="R1126" t="s">
        <v>2364</v>
      </c>
      <c r="S1126" t="s">
        <v>553</v>
      </c>
      <c r="T1126" t="s">
        <v>2175</v>
      </c>
      <c r="U1126">
        <v>140</v>
      </c>
      <c r="V1126" t="s">
        <v>693</v>
      </c>
      <c r="W1126">
        <v>140</v>
      </c>
      <c r="X1126" t="s">
        <v>693</v>
      </c>
      <c r="Y1126" t="s">
        <v>2365</v>
      </c>
      <c r="Z1126" t="s">
        <v>2365</v>
      </c>
      <c r="AA1126" t="s">
        <v>2365</v>
      </c>
      <c r="AB1126" t="s">
        <v>2365</v>
      </c>
      <c r="AC1126" s="813" t="s">
        <v>2365</v>
      </c>
      <c r="AD1126" s="813" t="s">
        <v>2365</v>
      </c>
      <c r="AE1126" s="813" t="s">
        <v>2365</v>
      </c>
      <c r="AF1126" t="s">
        <v>2365</v>
      </c>
      <c r="AG1126" t="s">
        <v>2365</v>
      </c>
      <c r="AH1126" t="s">
        <v>2365</v>
      </c>
      <c r="AI1126" t="s">
        <v>2365</v>
      </c>
      <c r="AJ1126" t="s">
        <v>2365</v>
      </c>
      <c r="AK1126" t="s">
        <v>2366</v>
      </c>
      <c r="AL1126" t="s">
        <v>2366</v>
      </c>
      <c r="AM1126" t="s">
        <v>2366</v>
      </c>
      <c r="AN1126" t="s">
        <v>2366</v>
      </c>
      <c r="AR1126" t="s">
        <v>2365</v>
      </c>
      <c r="AS1126" t="s">
        <v>2365</v>
      </c>
      <c r="AT1126" t="s">
        <v>2365</v>
      </c>
      <c r="AU1126" t="s">
        <v>2365</v>
      </c>
      <c r="AV1126" t="s">
        <v>2365</v>
      </c>
      <c r="AW1126" t="s">
        <v>2365</v>
      </c>
      <c r="AX1126" t="s">
        <v>2365</v>
      </c>
      <c r="AY1126" t="s">
        <v>2365</v>
      </c>
      <c r="AZ1126" t="s">
        <v>2365</v>
      </c>
      <c r="BA1126" t="s">
        <v>2365</v>
      </c>
      <c r="BB1126" t="s">
        <v>2365</v>
      </c>
      <c r="BC1126" t="s">
        <v>2365</v>
      </c>
      <c r="BD1126" t="s">
        <v>2366</v>
      </c>
      <c r="BE1126" t="s">
        <v>2365</v>
      </c>
      <c r="BF1126" t="s">
        <v>2365</v>
      </c>
      <c r="BG1126" t="s">
        <v>2365</v>
      </c>
      <c r="BH1126" t="s">
        <v>2365</v>
      </c>
      <c r="BI1126" t="s">
        <v>2366</v>
      </c>
      <c r="BJ1126" t="s">
        <v>2365</v>
      </c>
      <c r="BK1126" t="s">
        <v>2365</v>
      </c>
      <c r="BL1126" t="s">
        <v>2365</v>
      </c>
      <c r="BM1126" t="s">
        <v>2365</v>
      </c>
      <c r="BO1126">
        <v>1</v>
      </c>
      <c r="BP1126">
        <v>11</v>
      </c>
      <c r="BQ1126" t="s">
        <v>2369</v>
      </c>
      <c r="BR1126" t="s">
        <v>1487</v>
      </c>
      <c r="BU1126">
        <v>0</v>
      </c>
      <c r="BV1126">
        <v>0</v>
      </c>
      <c r="BW1126">
        <v>0</v>
      </c>
      <c r="BX1126">
        <v>0</v>
      </c>
      <c r="BY1126" s="1371">
        <v>0</v>
      </c>
      <c r="BZ1126" s="1371">
        <v>0</v>
      </c>
      <c r="CA1126">
        <v>0</v>
      </c>
      <c r="CB1126">
        <v>0</v>
      </c>
      <c r="CC1126">
        <v>0</v>
      </c>
      <c r="CD1126">
        <v>0</v>
      </c>
      <c r="CE1126">
        <v>0</v>
      </c>
      <c r="CF1126">
        <v>0</v>
      </c>
      <c r="CG1126">
        <v>0</v>
      </c>
      <c r="CH1126">
        <v>0</v>
      </c>
      <c r="CI1126">
        <v>0</v>
      </c>
      <c r="CJ1126">
        <v>0</v>
      </c>
      <c r="CK1126">
        <v>0</v>
      </c>
      <c r="CL1126">
        <v>0</v>
      </c>
      <c r="CM1126">
        <v>0</v>
      </c>
      <c r="CR1126" t="s">
        <v>2335</v>
      </c>
      <c r="CS1126" s="1369" t="str">
        <f>INDEX([8]Sheet1!$H:$H,MATCH(CR:CR,[8]Sheet1!$AU:$AU,0))</f>
        <v>Economic Development/Planning</v>
      </c>
    </row>
    <row r="1127" spans="1:97" x14ac:dyDescent="0.2">
      <c r="A1127" t="s">
        <v>4021</v>
      </c>
      <c r="B1127">
        <v>1199</v>
      </c>
      <c r="C1127" t="s">
        <v>4021</v>
      </c>
      <c r="D1127">
        <v>30430</v>
      </c>
      <c r="E1127" t="s">
        <v>4022</v>
      </c>
      <c r="F1127" t="s">
        <v>2364</v>
      </c>
      <c r="G1127" t="s">
        <v>2364</v>
      </c>
      <c r="H1127" t="s">
        <v>2365</v>
      </c>
      <c r="I1127" t="s">
        <v>2365</v>
      </c>
      <c r="J1127" t="s">
        <v>2365</v>
      </c>
      <c r="K1127" t="s">
        <v>2365</v>
      </c>
      <c r="L1127">
        <v>1200</v>
      </c>
      <c r="M1127" t="s">
        <v>1480</v>
      </c>
      <c r="N1127">
        <v>1204</v>
      </c>
      <c r="O1127" t="s">
        <v>1487</v>
      </c>
      <c r="P1127" t="s">
        <v>2366</v>
      </c>
      <c r="Q1127" t="s">
        <v>2364</v>
      </c>
      <c r="R1127" t="s">
        <v>2364</v>
      </c>
      <c r="S1127" t="s">
        <v>553</v>
      </c>
      <c r="T1127" t="s">
        <v>2175</v>
      </c>
      <c r="U1127" t="s">
        <v>2366</v>
      </c>
      <c r="V1127" t="s">
        <v>2366</v>
      </c>
      <c r="W1127" t="s">
        <v>2366</v>
      </c>
      <c r="X1127" t="s">
        <v>2366</v>
      </c>
      <c r="Y1127" t="s">
        <v>2365</v>
      </c>
      <c r="Z1127" t="s">
        <v>2365</v>
      </c>
      <c r="AA1127" t="s">
        <v>2365</v>
      </c>
      <c r="AB1127" t="s">
        <v>2365</v>
      </c>
      <c r="AC1127" s="813" t="s">
        <v>2365</v>
      </c>
      <c r="AD1127" s="813" t="s">
        <v>2365</v>
      </c>
      <c r="AE1127" s="813" t="s">
        <v>2365</v>
      </c>
      <c r="AF1127" t="s">
        <v>2365</v>
      </c>
      <c r="AG1127" t="s">
        <v>2365</v>
      </c>
      <c r="AH1127" t="s">
        <v>2365</v>
      </c>
      <c r="AI1127" t="s">
        <v>2365</v>
      </c>
      <c r="AJ1127" t="s">
        <v>2365</v>
      </c>
      <c r="AK1127">
        <v>146</v>
      </c>
      <c r="AL1127" t="s">
        <v>1199</v>
      </c>
      <c r="AM1127">
        <v>146</v>
      </c>
      <c r="AN1127" t="s">
        <v>1199</v>
      </c>
      <c r="AR1127" t="s">
        <v>2365</v>
      </c>
      <c r="AS1127" t="s">
        <v>2365</v>
      </c>
      <c r="AT1127" t="s">
        <v>2365</v>
      </c>
      <c r="AU1127" t="s">
        <v>2365</v>
      </c>
      <c r="AV1127" t="s">
        <v>2365</v>
      </c>
      <c r="AW1127" t="s">
        <v>2365</v>
      </c>
      <c r="AX1127" t="s">
        <v>2365</v>
      </c>
      <c r="AY1127" t="s">
        <v>2365</v>
      </c>
      <c r="AZ1127" t="s">
        <v>2365</v>
      </c>
      <c r="BA1127" t="s">
        <v>2365</v>
      </c>
      <c r="BB1127" t="s">
        <v>2365</v>
      </c>
      <c r="BC1127" t="s">
        <v>2365</v>
      </c>
      <c r="BD1127" t="s">
        <v>2366</v>
      </c>
      <c r="BE1127" t="s">
        <v>2365</v>
      </c>
      <c r="BF1127" t="s">
        <v>2365</v>
      </c>
      <c r="BG1127" t="s">
        <v>2365</v>
      </c>
      <c r="BH1127" t="s">
        <v>2365</v>
      </c>
      <c r="BI1127" t="s">
        <v>2366</v>
      </c>
      <c r="BJ1127" t="s">
        <v>2365</v>
      </c>
      <c r="BK1127" t="s">
        <v>2365</v>
      </c>
      <c r="BL1127" t="s">
        <v>2365</v>
      </c>
      <c r="BM1127" t="s">
        <v>2365</v>
      </c>
      <c r="BO1127">
        <v>1</v>
      </c>
      <c r="BP1127">
        <v>11</v>
      </c>
      <c r="BQ1127" t="s">
        <v>2369</v>
      </c>
      <c r="BR1127" t="s">
        <v>1487</v>
      </c>
      <c r="BU1127">
        <v>0</v>
      </c>
      <c r="BV1127">
        <v>0</v>
      </c>
      <c r="BW1127">
        <v>0</v>
      </c>
      <c r="BX1127">
        <v>0</v>
      </c>
      <c r="BY1127">
        <v>0</v>
      </c>
      <c r="BZ1127">
        <v>0</v>
      </c>
      <c r="CA1127">
        <v>0</v>
      </c>
      <c r="CB1127">
        <v>0</v>
      </c>
      <c r="CC1127">
        <v>0</v>
      </c>
      <c r="CD1127">
        <v>0</v>
      </c>
      <c r="CE1127">
        <v>0</v>
      </c>
      <c r="CF1127">
        <v>0</v>
      </c>
      <c r="CG1127">
        <v>0</v>
      </c>
      <c r="CH1127">
        <v>0</v>
      </c>
      <c r="CI1127">
        <v>0</v>
      </c>
      <c r="CJ1127">
        <v>0</v>
      </c>
      <c r="CK1127">
        <v>0</v>
      </c>
      <c r="CL1127">
        <v>0</v>
      </c>
      <c r="CM1127">
        <v>0</v>
      </c>
      <c r="CR1127" t="s">
        <v>2335</v>
      </c>
      <c r="CS1127" s="1369" t="str">
        <f>INDEX([8]Sheet1!$H:$H,MATCH(CR:CR,[8]Sheet1!$AU:$AU,0))</f>
        <v>Economic Development/Planning</v>
      </c>
    </row>
    <row r="1128" spans="1:97" x14ac:dyDescent="0.2">
      <c r="A1128" t="s">
        <v>4023</v>
      </c>
      <c r="B1128">
        <v>1200</v>
      </c>
      <c r="C1128" t="s">
        <v>4023</v>
      </c>
      <c r="D1128">
        <v>30431</v>
      </c>
      <c r="E1128" t="s">
        <v>4024</v>
      </c>
      <c r="F1128" t="s">
        <v>2364</v>
      </c>
      <c r="G1128" t="s">
        <v>2364</v>
      </c>
      <c r="H1128" t="s">
        <v>2365</v>
      </c>
      <c r="I1128" t="s">
        <v>2365</v>
      </c>
      <c r="J1128" t="s">
        <v>2365</v>
      </c>
      <c r="K1128" t="s">
        <v>2365</v>
      </c>
      <c r="L1128">
        <v>1200</v>
      </c>
      <c r="M1128" t="s">
        <v>1480</v>
      </c>
      <c r="N1128">
        <v>1204</v>
      </c>
      <c r="O1128" t="s">
        <v>1487</v>
      </c>
      <c r="P1128" t="s">
        <v>2366</v>
      </c>
      <c r="Q1128" t="s">
        <v>2364</v>
      </c>
      <c r="R1128" t="s">
        <v>2364</v>
      </c>
      <c r="S1128" t="s">
        <v>553</v>
      </c>
      <c r="T1128" t="s">
        <v>2175</v>
      </c>
      <c r="U1128" t="s">
        <v>2366</v>
      </c>
      <c r="V1128" t="s">
        <v>2366</v>
      </c>
      <c r="W1128" t="s">
        <v>2366</v>
      </c>
      <c r="X1128" t="s">
        <v>2366</v>
      </c>
      <c r="Y1128" t="s">
        <v>2365</v>
      </c>
      <c r="Z1128" t="s">
        <v>2365</v>
      </c>
      <c r="AA1128" t="s">
        <v>2365</v>
      </c>
      <c r="AB1128" t="s">
        <v>2365</v>
      </c>
      <c r="AC1128" s="813" t="s">
        <v>2365</v>
      </c>
      <c r="AD1128" s="813" t="s">
        <v>2365</v>
      </c>
      <c r="AE1128" s="813" t="s">
        <v>2365</v>
      </c>
      <c r="AF1128" t="s">
        <v>2365</v>
      </c>
      <c r="AG1128" t="s">
        <v>2365</v>
      </c>
      <c r="AH1128" t="s">
        <v>2365</v>
      </c>
      <c r="AI1128" t="s">
        <v>2365</v>
      </c>
      <c r="AJ1128" t="s">
        <v>2365</v>
      </c>
      <c r="AK1128">
        <v>146</v>
      </c>
      <c r="AL1128" t="s">
        <v>1199</v>
      </c>
      <c r="AM1128">
        <v>146</v>
      </c>
      <c r="AN1128" t="s">
        <v>1199</v>
      </c>
      <c r="AR1128" t="s">
        <v>2365</v>
      </c>
      <c r="AS1128" t="s">
        <v>2365</v>
      </c>
      <c r="AT1128" t="s">
        <v>2365</v>
      </c>
      <c r="AU1128" t="s">
        <v>2365</v>
      </c>
      <c r="AV1128" t="s">
        <v>2365</v>
      </c>
      <c r="AW1128" t="s">
        <v>2365</v>
      </c>
      <c r="AX1128" t="s">
        <v>2365</v>
      </c>
      <c r="AY1128" t="s">
        <v>2365</v>
      </c>
      <c r="AZ1128" t="s">
        <v>2365</v>
      </c>
      <c r="BA1128" t="s">
        <v>2365</v>
      </c>
      <c r="BB1128" t="s">
        <v>2365</v>
      </c>
      <c r="BC1128" t="s">
        <v>2365</v>
      </c>
      <c r="BD1128" t="s">
        <v>2366</v>
      </c>
      <c r="BE1128" t="s">
        <v>2365</v>
      </c>
      <c r="BF1128" t="s">
        <v>2365</v>
      </c>
      <c r="BG1128" t="s">
        <v>2365</v>
      </c>
      <c r="BH1128" t="s">
        <v>2365</v>
      </c>
      <c r="BI1128" t="s">
        <v>2366</v>
      </c>
      <c r="BJ1128" t="s">
        <v>2365</v>
      </c>
      <c r="BK1128" t="s">
        <v>2365</v>
      </c>
      <c r="BL1128" t="s">
        <v>2365</v>
      </c>
      <c r="BM1128" t="s">
        <v>2365</v>
      </c>
      <c r="BO1128">
        <v>1</v>
      </c>
      <c r="BP1128">
        <v>11</v>
      </c>
      <c r="BQ1128" t="s">
        <v>2369</v>
      </c>
      <c r="BR1128" t="s">
        <v>1487</v>
      </c>
      <c r="BU1128">
        <v>0</v>
      </c>
      <c r="BV1128">
        <v>0</v>
      </c>
      <c r="BW1128">
        <v>0</v>
      </c>
      <c r="BX1128">
        <v>0</v>
      </c>
      <c r="BY1128">
        <v>0</v>
      </c>
      <c r="BZ1128">
        <v>0</v>
      </c>
      <c r="CA1128">
        <v>0</v>
      </c>
      <c r="CB1128">
        <v>0</v>
      </c>
      <c r="CC1128">
        <v>0</v>
      </c>
      <c r="CD1128">
        <v>0</v>
      </c>
      <c r="CE1128">
        <v>0</v>
      </c>
      <c r="CF1128">
        <v>0</v>
      </c>
      <c r="CG1128">
        <v>0</v>
      </c>
      <c r="CH1128">
        <v>0</v>
      </c>
      <c r="CI1128">
        <v>0</v>
      </c>
      <c r="CJ1128">
        <v>0</v>
      </c>
      <c r="CK1128">
        <v>0</v>
      </c>
      <c r="CL1128">
        <v>0</v>
      </c>
      <c r="CM1128">
        <v>0</v>
      </c>
      <c r="CR1128" t="s">
        <v>2340</v>
      </c>
      <c r="CS1128" s="1369" t="str">
        <f>INDEX([8]Sheet1!$H:$H,MATCH(CR:CR,[8]Sheet1!$AU:$AU,0))</f>
        <v>Disaster Management</v>
      </c>
    </row>
    <row r="1129" spans="1:97" x14ac:dyDescent="0.2">
      <c r="A1129" t="s">
        <v>4025</v>
      </c>
      <c r="B1129">
        <v>1201</v>
      </c>
      <c r="C1129" t="s">
        <v>4025</v>
      </c>
      <c r="D1129">
        <v>30432</v>
      </c>
      <c r="E1129" t="s">
        <v>4026</v>
      </c>
      <c r="F1129" t="s">
        <v>2364</v>
      </c>
      <c r="G1129" t="s">
        <v>2364</v>
      </c>
      <c r="H1129" t="s">
        <v>2365</v>
      </c>
      <c r="I1129" t="s">
        <v>2365</v>
      </c>
      <c r="J1129" t="s">
        <v>2365</v>
      </c>
      <c r="K1129" t="s">
        <v>2365</v>
      </c>
      <c r="L1129">
        <v>1200</v>
      </c>
      <c r="M1129" t="s">
        <v>1480</v>
      </c>
      <c r="N1129">
        <v>1204</v>
      </c>
      <c r="O1129" t="s">
        <v>1487</v>
      </c>
      <c r="P1129" t="s">
        <v>2366</v>
      </c>
      <c r="Q1129" t="s">
        <v>2364</v>
      </c>
      <c r="R1129" t="s">
        <v>2364</v>
      </c>
      <c r="S1129" t="s">
        <v>553</v>
      </c>
      <c r="T1129" t="s">
        <v>2175</v>
      </c>
      <c r="U1129">
        <v>140</v>
      </c>
      <c r="V1129" t="s">
        <v>693</v>
      </c>
      <c r="W1129">
        <v>140</v>
      </c>
      <c r="X1129" t="s">
        <v>693</v>
      </c>
      <c r="Y1129" t="s">
        <v>2365</v>
      </c>
      <c r="Z1129" t="s">
        <v>2365</v>
      </c>
      <c r="AA1129" t="s">
        <v>2365</v>
      </c>
      <c r="AB1129" t="s">
        <v>2365</v>
      </c>
      <c r="AC1129" s="813" t="s">
        <v>2365</v>
      </c>
      <c r="AD1129" s="813" t="s">
        <v>2365</v>
      </c>
      <c r="AE1129" s="813" t="s">
        <v>2365</v>
      </c>
      <c r="AF1129" t="s">
        <v>2365</v>
      </c>
      <c r="AG1129" t="s">
        <v>2365</v>
      </c>
      <c r="AH1129" t="s">
        <v>2365</v>
      </c>
      <c r="AI1129" t="s">
        <v>2365</v>
      </c>
      <c r="AJ1129" t="s">
        <v>2365</v>
      </c>
      <c r="AK1129" t="s">
        <v>2366</v>
      </c>
      <c r="AL1129" t="s">
        <v>2366</v>
      </c>
      <c r="AM1129" t="s">
        <v>2366</v>
      </c>
      <c r="AN1129" t="s">
        <v>2366</v>
      </c>
      <c r="AR1129" t="s">
        <v>2365</v>
      </c>
      <c r="AS1129" t="s">
        <v>2365</v>
      </c>
      <c r="AT1129" t="s">
        <v>2365</v>
      </c>
      <c r="AU1129" t="s">
        <v>2365</v>
      </c>
      <c r="AV1129" t="s">
        <v>2365</v>
      </c>
      <c r="AW1129" t="s">
        <v>2365</v>
      </c>
      <c r="AX1129" t="s">
        <v>2365</v>
      </c>
      <c r="AY1129" t="s">
        <v>2365</v>
      </c>
      <c r="AZ1129" t="s">
        <v>2365</v>
      </c>
      <c r="BA1129" t="s">
        <v>2365</v>
      </c>
      <c r="BB1129" t="s">
        <v>2365</v>
      </c>
      <c r="BC1129" t="s">
        <v>2365</v>
      </c>
      <c r="BD1129" t="s">
        <v>2366</v>
      </c>
      <c r="BE1129" t="s">
        <v>2365</v>
      </c>
      <c r="BF1129" t="s">
        <v>2365</v>
      </c>
      <c r="BG1129" t="s">
        <v>2365</v>
      </c>
      <c r="BH1129" t="s">
        <v>2365</v>
      </c>
      <c r="BI1129" t="s">
        <v>2366</v>
      </c>
      <c r="BJ1129" t="s">
        <v>2365</v>
      </c>
      <c r="BK1129" t="s">
        <v>2365</v>
      </c>
      <c r="BL1129" t="s">
        <v>2365</v>
      </c>
      <c r="BM1129" t="s">
        <v>2365</v>
      </c>
      <c r="BO1129">
        <v>1</v>
      </c>
      <c r="BP1129">
        <v>11</v>
      </c>
      <c r="BQ1129" t="s">
        <v>2369</v>
      </c>
      <c r="BR1129" t="s">
        <v>1487</v>
      </c>
      <c r="BU1129">
        <v>0</v>
      </c>
      <c r="BV1129">
        <v>0</v>
      </c>
      <c r="BW1129">
        <v>0</v>
      </c>
      <c r="BX1129">
        <v>0</v>
      </c>
      <c r="BY1129">
        <v>0</v>
      </c>
      <c r="BZ1129">
        <v>0</v>
      </c>
      <c r="CA1129">
        <v>0</v>
      </c>
      <c r="CB1129">
        <v>0</v>
      </c>
      <c r="CC1129">
        <v>0</v>
      </c>
      <c r="CD1129">
        <v>0</v>
      </c>
      <c r="CE1129">
        <v>0</v>
      </c>
      <c r="CF1129">
        <v>0</v>
      </c>
      <c r="CG1129">
        <v>0</v>
      </c>
      <c r="CH1129">
        <v>0</v>
      </c>
      <c r="CI1129">
        <v>0</v>
      </c>
      <c r="CJ1129">
        <v>0</v>
      </c>
      <c r="CK1129">
        <v>0</v>
      </c>
      <c r="CL1129">
        <v>0</v>
      </c>
      <c r="CM1129">
        <v>0</v>
      </c>
      <c r="CR1129" t="s">
        <v>2340</v>
      </c>
      <c r="CS1129" s="1369" t="str">
        <f>INDEX([8]Sheet1!$H:$H,MATCH(CR:CR,[8]Sheet1!$AU:$AU,0))</f>
        <v>Disaster Management</v>
      </c>
    </row>
    <row r="1130" spans="1:97" x14ac:dyDescent="0.2">
      <c r="A1130" t="s">
        <v>4027</v>
      </c>
      <c r="B1130">
        <v>1202</v>
      </c>
      <c r="C1130" t="s">
        <v>4027</v>
      </c>
      <c r="D1130">
        <v>30433</v>
      </c>
      <c r="E1130" t="s">
        <v>4028</v>
      </c>
      <c r="F1130" t="s">
        <v>2364</v>
      </c>
      <c r="G1130" t="s">
        <v>2364</v>
      </c>
      <c r="H1130" t="s">
        <v>2365</v>
      </c>
      <c r="I1130" t="s">
        <v>2365</v>
      </c>
      <c r="J1130" t="s">
        <v>2365</v>
      </c>
      <c r="K1130" t="s">
        <v>2365</v>
      </c>
      <c r="L1130">
        <v>1200</v>
      </c>
      <c r="M1130" t="s">
        <v>1480</v>
      </c>
      <c r="N1130">
        <v>1204</v>
      </c>
      <c r="O1130" t="s">
        <v>1487</v>
      </c>
      <c r="P1130" t="s">
        <v>2366</v>
      </c>
      <c r="Q1130" t="s">
        <v>2364</v>
      </c>
      <c r="R1130" t="s">
        <v>2364</v>
      </c>
      <c r="S1130" t="s">
        <v>553</v>
      </c>
      <c r="T1130" t="s">
        <v>2175</v>
      </c>
      <c r="U1130">
        <v>140</v>
      </c>
      <c r="V1130" t="s">
        <v>693</v>
      </c>
      <c r="W1130">
        <v>140</v>
      </c>
      <c r="X1130" t="s">
        <v>693</v>
      </c>
      <c r="Y1130" t="s">
        <v>2365</v>
      </c>
      <c r="Z1130" t="s">
        <v>2365</v>
      </c>
      <c r="AA1130" t="s">
        <v>2365</v>
      </c>
      <c r="AB1130" t="s">
        <v>2365</v>
      </c>
      <c r="AC1130" s="813" t="s">
        <v>2365</v>
      </c>
      <c r="AD1130" s="813" t="s">
        <v>2365</v>
      </c>
      <c r="AE1130" s="813" t="s">
        <v>2365</v>
      </c>
      <c r="AF1130" t="s">
        <v>2365</v>
      </c>
      <c r="AG1130" t="s">
        <v>2365</v>
      </c>
      <c r="AH1130" t="s">
        <v>2365</v>
      </c>
      <c r="AI1130" t="s">
        <v>2365</v>
      </c>
      <c r="AJ1130" t="s">
        <v>2365</v>
      </c>
      <c r="AK1130" t="s">
        <v>2366</v>
      </c>
      <c r="AL1130" t="s">
        <v>2366</v>
      </c>
      <c r="AM1130" t="s">
        <v>2366</v>
      </c>
      <c r="AN1130" t="s">
        <v>2366</v>
      </c>
      <c r="AR1130" t="s">
        <v>2365</v>
      </c>
      <c r="AS1130" t="s">
        <v>2365</v>
      </c>
      <c r="AT1130" t="s">
        <v>2365</v>
      </c>
      <c r="AU1130" t="s">
        <v>2365</v>
      </c>
      <c r="AV1130" t="s">
        <v>2365</v>
      </c>
      <c r="AW1130" t="s">
        <v>2365</v>
      </c>
      <c r="AX1130" t="s">
        <v>2365</v>
      </c>
      <c r="AY1130" t="s">
        <v>2365</v>
      </c>
      <c r="AZ1130" t="s">
        <v>2365</v>
      </c>
      <c r="BA1130" t="s">
        <v>2365</v>
      </c>
      <c r="BB1130" t="s">
        <v>2365</v>
      </c>
      <c r="BC1130" t="s">
        <v>2365</v>
      </c>
      <c r="BD1130" t="s">
        <v>2366</v>
      </c>
      <c r="BE1130" t="s">
        <v>2365</v>
      </c>
      <c r="BF1130" t="s">
        <v>2365</v>
      </c>
      <c r="BG1130" t="s">
        <v>2365</v>
      </c>
      <c r="BH1130" t="s">
        <v>2365</v>
      </c>
      <c r="BI1130" t="s">
        <v>2366</v>
      </c>
      <c r="BJ1130" t="s">
        <v>2365</v>
      </c>
      <c r="BK1130" t="s">
        <v>2365</v>
      </c>
      <c r="BL1130" t="s">
        <v>2365</v>
      </c>
      <c r="BM1130" t="s">
        <v>2365</v>
      </c>
      <c r="BO1130">
        <v>1</v>
      </c>
      <c r="BP1130">
        <v>11</v>
      </c>
      <c r="BQ1130" t="s">
        <v>2369</v>
      </c>
      <c r="BR1130" t="s">
        <v>1487</v>
      </c>
      <c r="BU1130">
        <v>0</v>
      </c>
      <c r="BV1130">
        <v>0</v>
      </c>
      <c r="BW1130">
        <v>0</v>
      </c>
      <c r="BX1130">
        <v>0</v>
      </c>
      <c r="BY1130" s="1371">
        <v>0</v>
      </c>
      <c r="BZ1130" s="1371">
        <v>0</v>
      </c>
      <c r="CA1130">
        <v>0</v>
      </c>
      <c r="CB1130">
        <v>0</v>
      </c>
      <c r="CC1130">
        <v>0</v>
      </c>
      <c r="CD1130">
        <v>0</v>
      </c>
      <c r="CE1130">
        <v>0</v>
      </c>
      <c r="CF1130">
        <v>0</v>
      </c>
      <c r="CG1130">
        <v>0</v>
      </c>
      <c r="CH1130">
        <v>0</v>
      </c>
      <c r="CI1130">
        <v>0</v>
      </c>
      <c r="CJ1130">
        <v>0</v>
      </c>
      <c r="CK1130">
        <v>0</v>
      </c>
      <c r="CL1130">
        <v>0</v>
      </c>
      <c r="CM1130">
        <v>0</v>
      </c>
      <c r="CR1130" t="s">
        <v>2330</v>
      </c>
      <c r="CS1130" s="1369" t="str">
        <f>INDEX([8]Sheet1!$H:$H,MATCH(CR:CR,[8]Sheet1!$AU:$AU,0))</f>
        <v>Water Treatment</v>
      </c>
    </row>
    <row r="1131" spans="1:97" x14ac:dyDescent="0.2">
      <c r="A1131" t="s">
        <v>4029</v>
      </c>
      <c r="B1131">
        <v>1203</v>
      </c>
      <c r="C1131" t="s">
        <v>4029</v>
      </c>
      <c r="D1131">
        <v>30434</v>
      </c>
      <c r="E1131" t="s">
        <v>4030</v>
      </c>
      <c r="F1131" t="s">
        <v>2364</v>
      </c>
      <c r="G1131" t="s">
        <v>2364</v>
      </c>
      <c r="H1131" t="s">
        <v>2365</v>
      </c>
      <c r="I1131" t="s">
        <v>2365</v>
      </c>
      <c r="J1131" t="s">
        <v>2365</v>
      </c>
      <c r="K1131" t="s">
        <v>2365</v>
      </c>
      <c r="L1131">
        <v>1200</v>
      </c>
      <c r="M1131" t="s">
        <v>1480</v>
      </c>
      <c r="N1131">
        <v>1204</v>
      </c>
      <c r="O1131" t="s">
        <v>1487</v>
      </c>
      <c r="P1131" t="s">
        <v>2366</v>
      </c>
      <c r="Q1131" t="s">
        <v>2364</v>
      </c>
      <c r="R1131" t="s">
        <v>2364</v>
      </c>
      <c r="S1131" t="s">
        <v>553</v>
      </c>
      <c r="T1131" t="s">
        <v>2175</v>
      </c>
      <c r="U1131">
        <v>140</v>
      </c>
      <c r="V1131" t="s">
        <v>693</v>
      </c>
      <c r="W1131">
        <v>140</v>
      </c>
      <c r="X1131" t="s">
        <v>693</v>
      </c>
      <c r="Y1131" t="s">
        <v>2365</v>
      </c>
      <c r="Z1131" t="s">
        <v>2365</v>
      </c>
      <c r="AA1131" t="s">
        <v>2365</v>
      </c>
      <c r="AB1131" t="s">
        <v>2365</v>
      </c>
      <c r="AC1131" s="813" t="s">
        <v>2365</v>
      </c>
      <c r="AD1131" s="813" t="s">
        <v>2365</v>
      </c>
      <c r="AE1131" s="813" t="s">
        <v>2365</v>
      </c>
      <c r="AF1131" t="s">
        <v>2365</v>
      </c>
      <c r="AG1131" t="s">
        <v>2365</v>
      </c>
      <c r="AH1131" t="s">
        <v>2365</v>
      </c>
      <c r="AI1131" t="s">
        <v>2365</v>
      </c>
      <c r="AJ1131" t="s">
        <v>2365</v>
      </c>
      <c r="AK1131">
        <v>147</v>
      </c>
      <c r="AL1131" t="s">
        <v>1200</v>
      </c>
      <c r="AM1131">
        <v>147</v>
      </c>
      <c r="AN1131" t="s">
        <v>1200</v>
      </c>
      <c r="AR1131" t="s">
        <v>2365</v>
      </c>
      <c r="AS1131" t="s">
        <v>2365</v>
      </c>
      <c r="AT1131" t="s">
        <v>2365</v>
      </c>
      <c r="AU1131" t="s">
        <v>2365</v>
      </c>
      <c r="AV1131" t="s">
        <v>2365</v>
      </c>
      <c r="AW1131" t="s">
        <v>2365</v>
      </c>
      <c r="AX1131" t="s">
        <v>2365</v>
      </c>
      <c r="AY1131" t="s">
        <v>2365</v>
      </c>
      <c r="AZ1131" t="s">
        <v>2365</v>
      </c>
      <c r="BA1131" t="s">
        <v>2365</v>
      </c>
      <c r="BB1131" t="s">
        <v>2365</v>
      </c>
      <c r="BC1131" t="s">
        <v>2365</v>
      </c>
      <c r="BD1131" t="s">
        <v>2366</v>
      </c>
      <c r="BE1131" t="s">
        <v>2365</v>
      </c>
      <c r="BF1131" t="s">
        <v>2365</v>
      </c>
      <c r="BG1131" t="s">
        <v>2365</v>
      </c>
      <c r="BH1131" t="s">
        <v>2365</v>
      </c>
      <c r="BI1131" t="s">
        <v>2366</v>
      </c>
      <c r="BJ1131" t="s">
        <v>2365</v>
      </c>
      <c r="BK1131" t="s">
        <v>2365</v>
      </c>
      <c r="BL1131" t="s">
        <v>2365</v>
      </c>
      <c r="BM1131" t="s">
        <v>2365</v>
      </c>
      <c r="BO1131">
        <v>1</v>
      </c>
      <c r="BP1131">
        <v>11</v>
      </c>
      <c r="BQ1131" t="s">
        <v>2369</v>
      </c>
      <c r="BR1131" t="s">
        <v>1487</v>
      </c>
      <c r="BU1131">
        <v>0</v>
      </c>
      <c r="BV1131">
        <v>0</v>
      </c>
      <c r="BW1131">
        <v>0</v>
      </c>
      <c r="BX1131">
        <v>0</v>
      </c>
      <c r="BY1131" s="1371">
        <v>0</v>
      </c>
      <c r="BZ1131" s="1371">
        <v>0</v>
      </c>
      <c r="CA1131">
        <v>0</v>
      </c>
      <c r="CB1131">
        <v>0</v>
      </c>
      <c r="CC1131">
        <v>0</v>
      </c>
      <c r="CD1131">
        <v>0</v>
      </c>
      <c r="CE1131">
        <v>0</v>
      </c>
      <c r="CF1131">
        <v>0</v>
      </c>
      <c r="CG1131">
        <v>0</v>
      </c>
      <c r="CH1131">
        <v>0</v>
      </c>
      <c r="CI1131">
        <v>0</v>
      </c>
      <c r="CJ1131">
        <v>0</v>
      </c>
      <c r="CK1131">
        <v>0</v>
      </c>
      <c r="CL1131">
        <v>0</v>
      </c>
      <c r="CM1131">
        <v>0</v>
      </c>
      <c r="CR1131" t="s">
        <v>2330</v>
      </c>
      <c r="CS1131" s="1369" t="str">
        <f>INDEX([8]Sheet1!$H:$H,MATCH(CR:CR,[8]Sheet1!$AU:$AU,0))</f>
        <v>Water Treatment</v>
      </c>
    </row>
    <row r="1132" spans="1:97" x14ac:dyDescent="0.2">
      <c r="A1132" t="s">
        <v>4031</v>
      </c>
      <c r="B1132">
        <v>1204</v>
      </c>
      <c r="C1132" t="s">
        <v>4031</v>
      </c>
      <c r="D1132">
        <v>30435</v>
      </c>
      <c r="E1132" t="s">
        <v>4032</v>
      </c>
      <c r="F1132" t="s">
        <v>2364</v>
      </c>
      <c r="G1132" t="s">
        <v>2364</v>
      </c>
      <c r="H1132" t="s">
        <v>2365</v>
      </c>
      <c r="I1132" t="s">
        <v>2365</v>
      </c>
      <c r="J1132" t="s">
        <v>2365</v>
      </c>
      <c r="K1132" t="s">
        <v>2365</v>
      </c>
      <c r="L1132">
        <v>1200</v>
      </c>
      <c r="M1132" t="s">
        <v>1480</v>
      </c>
      <c r="N1132">
        <v>1204</v>
      </c>
      <c r="O1132" t="s">
        <v>1487</v>
      </c>
      <c r="P1132" t="s">
        <v>2366</v>
      </c>
      <c r="Q1132" t="s">
        <v>2364</v>
      </c>
      <c r="R1132" t="s">
        <v>2364</v>
      </c>
      <c r="S1132" t="s">
        <v>553</v>
      </c>
      <c r="T1132" t="s">
        <v>2175</v>
      </c>
      <c r="U1132">
        <v>140</v>
      </c>
      <c r="V1132" t="s">
        <v>693</v>
      </c>
      <c r="W1132">
        <v>140</v>
      </c>
      <c r="X1132" t="s">
        <v>693</v>
      </c>
      <c r="Y1132" t="s">
        <v>2365</v>
      </c>
      <c r="Z1132" t="s">
        <v>2365</v>
      </c>
      <c r="AA1132" t="s">
        <v>2365</v>
      </c>
      <c r="AB1132" t="s">
        <v>2365</v>
      </c>
      <c r="AC1132" s="813" t="s">
        <v>2365</v>
      </c>
      <c r="AD1132" s="813" t="s">
        <v>2365</v>
      </c>
      <c r="AE1132" s="813" t="s">
        <v>2365</v>
      </c>
      <c r="AF1132" t="s">
        <v>2365</v>
      </c>
      <c r="AG1132" t="s">
        <v>2365</v>
      </c>
      <c r="AH1132" t="s">
        <v>2365</v>
      </c>
      <c r="AI1132" t="s">
        <v>2365</v>
      </c>
      <c r="AJ1132" t="s">
        <v>2365</v>
      </c>
      <c r="AK1132" t="s">
        <v>2366</v>
      </c>
      <c r="AL1132" t="s">
        <v>2366</v>
      </c>
      <c r="AM1132" t="s">
        <v>2366</v>
      </c>
      <c r="AN1132" t="s">
        <v>2366</v>
      </c>
      <c r="AR1132" t="s">
        <v>2365</v>
      </c>
      <c r="AS1132" t="s">
        <v>2365</v>
      </c>
      <c r="AT1132" t="s">
        <v>2365</v>
      </c>
      <c r="AU1132" t="s">
        <v>2365</v>
      </c>
      <c r="AV1132" t="s">
        <v>2365</v>
      </c>
      <c r="AW1132" t="s">
        <v>2365</v>
      </c>
      <c r="AX1132" t="s">
        <v>2365</v>
      </c>
      <c r="AY1132" t="s">
        <v>2365</v>
      </c>
      <c r="AZ1132" t="s">
        <v>2365</v>
      </c>
      <c r="BA1132" t="s">
        <v>2365</v>
      </c>
      <c r="BB1132" t="s">
        <v>2365</v>
      </c>
      <c r="BC1132" t="s">
        <v>2365</v>
      </c>
      <c r="BD1132" t="s">
        <v>2366</v>
      </c>
      <c r="BE1132" t="s">
        <v>2365</v>
      </c>
      <c r="BF1132" t="s">
        <v>2365</v>
      </c>
      <c r="BG1132" t="s">
        <v>2365</v>
      </c>
      <c r="BH1132" t="s">
        <v>2365</v>
      </c>
      <c r="BI1132" t="s">
        <v>2366</v>
      </c>
      <c r="BJ1132" t="s">
        <v>2365</v>
      </c>
      <c r="BK1132" t="s">
        <v>2365</v>
      </c>
      <c r="BL1132" t="s">
        <v>2365</v>
      </c>
      <c r="BM1132" t="s">
        <v>2365</v>
      </c>
      <c r="BO1132">
        <v>1</v>
      </c>
      <c r="BP1132">
        <v>11</v>
      </c>
      <c r="BQ1132" t="s">
        <v>2369</v>
      </c>
      <c r="BR1132" t="s">
        <v>1487</v>
      </c>
      <c r="BU1132">
        <v>0</v>
      </c>
      <c r="BV1132">
        <v>0</v>
      </c>
      <c r="BW1132">
        <v>0</v>
      </c>
      <c r="BX1132">
        <v>0</v>
      </c>
      <c r="BY1132">
        <v>0</v>
      </c>
      <c r="BZ1132">
        <v>0</v>
      </c>
      <c r="CA1132">
        <v>0</v>
      </c>
      <c r="CB1132">
        <v>0</v>
      </c>
      <c r="CC1132">
        <v>0</v>
      </c>
      <c r="CD1132">
        <v>0</v>
      </c>
      <c r="CE1132">
        <v>0</v>
      </c>
      <c r="CF1132">
        <v>0</v>
      </c>
      <c r="CG1132">
        <v>0</v>
      </c>
      <c r="CH1132">
        <v>0</v>
      </c>
      <c r="CI1132">
        <v>0</v>
      </c>
      <c r="CJ1132">
        <v>0</v>
      </c>
      <c r="CK1132">
        <v>0</v>
      </c>
      <c r="CL1132">
        <v>0</v>
      </c>
      <c r="CM1132">
        <v>0</v>
      </c>
      <c r="CR1132" t="s">
        <v>2333</v>
      </c>
      <c r="CS1132" s="1369" t="str">
        <f>INDEX([8]Sheet1!$H:$H,MATCH(CR:CR,[8]Sheet1!$AU:$AU,0))</f>
        <v>Municipal Manager, Town Secretary and Chief Executive</v>
      </c>
    </row>
    <row r="1133" spans="1:97" x14ac:dyDescent="0.2">
      <c r="A1133" t="s">
        <v>4033</v>
      </c>
      <c r="B1133">
        <v>1205</v>
      </c>
      <c r="C1133" t="s">
        <v>4033</v>
      </c>
      <c r="D1133">
        <v>30436</v>
      </c>
      <c r="E1133" t="s">
        <v>4034</v>
      </c>
      <c r="F1133" t="s">
        <v>2364</v>
      </c>
      <c r="G1133" t="s">
        <v>2364</v>
      </c>
      <c r="H1133" t="s">
        <v>2365</v>
      </c>
      <c r="I1133" t="s">
        <v>2365</v>
      </c>
      <c r="J1133" t="s">
        <v>2365</v>
      </c>
      <c r="K1133" t="s">
        <v>2365</v>
      </c>
      <c r="L1133">
        <v>1200</v>
      </c>
      <c r="M1133" t="s">
        <v>1480</v>
      </c>
      <c r="N1133">
        <v>1204</v>
      </c>
      <c r="O1133" t="s">
        <v>1487</v>
      </c>
      <c r="P1133" t="s">
        <v>2366</v>
      </c>
      <c r="Q1133" t="s">
        <v>2364</v>
      </c>
      <c r="R1133" t="s">
        <v>2364</v>
      </c>
      <c r="S1133" t="s">
        <v>553</v>
      </c>
      <c r="T1133" t="s">
        <v>2175</v>
      </c>
      <c r="U1133">
        <v>140</v>
      </c>
      <c r="V1133" t="s">
        <v>693</v>
      </c>
      <c r="W1133">
        <v>140</v>
      </c>
      <c r="X1133" t="s">
        <v>693</v>
      </c>
      <c r="Y1133" t="s">
        <v>2365</v>
      </c>
      <c r="Z1133" t="s">
        <v>2365</v>
      </c>
      <c r="AA1133" t="s">
        <v>2365</v>
      </c>
      <c r="AB1133" t="s">
        <v>2365</v>
      </c>
      <c r="AC1133" s="813" t="s">
        <v>2365</v>
      </c>
      <c r="AD1133" s="813" t="s">
        <v>2365</v>
      </c>
      <c r="AE1133" s="813" t="s">
        <v>2365</v>
      </c>
      <c r="AF1133" t="s">
        <v>2365</v>
      </c>
      <c r="AG1133" t="s">
        <v>2365</v>
      </c>
      <c r="AH1133" t="s">
        <v>2365</v>
      </c>
      <c r="AI1133" t="s">
        <v>2365</v>
      </c>
      <c r="AJ1133" t="s">
        <v>2365</v>
      </c>
      <c r="AK1133" t="s">
        <v>2366</v>
      </c>
      <c r="AL1133" t="s">
        <v>2366</v>
      </c>
      <c r="AM1133" t="s">
        <v>2366</v>
      </c>
      <c r="AN1133" t="s">
        <v>2366</v>
      </c>
      <c r="AR1133" t="s">
        <v>2365</v>
      </c>
      <c r="AS1133" t="s">
        <v>2365</v>
      </c>
      <c r="AT1133" t="s">
        <v>2365</v>
      </c>
      <c r="AU1133" t="s">
        <v>2365</v>
      </c>
      <c r="AV1133" t="s">
        <v>2365</v>
      </c>
      <c r="AW1133" t="s">
        <v>2365</v>
      </c>
      <c r="AX1133" t="s">
        <v>2365</v>
      </c>
      <c r="AY1133" t="s">
        <v>2365</v>
      </c>
      <c r="AZ1133" t="s">
        <v>2365</v>
      </c>
      <c r="BA1133" t="s">
        <v>2365</v>
      </c>
      <c r="BB1133" t="s">
        <v>2365</v>
      </c>
      <c r="BC1133" t="s">
        <v>2365</v>
      </c>
      <c r="BD1133" t="s">
        <v>2366</v>
      </c>
      <c r="BE1133" t="s">
        <v>2365</v>
      </c>
      <c r="BF1133" t="s">
        <v>2365</v>
      </c>
      <c r="BG1133" t="s">
        <v>2365</v>
      </c>
      <c r="BH1133" t="s">
        <v>2365</v>
      </c>
      <c r="BI1133" t="s">
        <v>2366</v>
      </c>
      <c r="BJ1133" t="s">
        <v>2365</v>
      </c>
      <c r="BK1133" t="s">
        <v>2365</v>
      </c>
      <c r="BL1133" t="s">
        <v>2365</v>
      </c>
      <c r="BM1133" t="s">
        <v>2365</v>
      </c>
      <c r="BO1133">
        <v>1</v>
      </c>
      <c r="BP1133">
        <v>11</v>
      </c>
      <c r="BQ1133" t="s">
        <v>2369</v>
      </c>
      <c r="BR1133" t="s">
        <v>1487</v>
      </c>
      <c r="BU1133">
        <v>0</v>
      </c>
      <c r="BV1133">
        <v>0</v>
      </c>
      <c r="BW1133">
        <v>0</v>
      </c>
      <c r="BX1133">
        <v>0</v>
      </c>
      <c r="BY1133" s="1371">
        <v>0</v>
      </c>
      <c r="BZ1133" s="1371">
        <v>0</v>
      </c>
      <c r="CA1133">
        <v>0</v>
      </c>
      <c r="CB1133">
        <v>0</v>
      </c>
      <c r="CC1133">
        <v>0</v>
      </c>
      <c r="CD1133">
        <v>0</v>
      </c>
      <c r="CE1133">
        <v>0</v>
      </c>
      <c r="CF1133">
        <v>0</v>
      </c>
      <c r="CG1133">
        <v>0</v>
      </c>
      <c r="CH1133">
        <v>0</v>
      </c>
      <c r="CI1133">
        <v>0</v>
      </c>
      <c r="CJ1133">
        <v>0</v>
      </c>
      <c r="CK1133">
        <v>0</v>
      </c>
      <c r="CL1133">
        <v>0</v>
      </c>
      <c r="CM1133">
        <v>0</v>
      </c>
      <c r="CR1133" t="s">
        <v>2333</v>
      </c>
      <c r="CS1133" s="1369" t="str">
        <f>INDEX([8]Sheet1!$H:$H,MATCH(CR:CR,[8]Sheet1!$AU:$AU,0))</f>
        <v>Municipal Manager, Town Secretary and Chief Executive</v>
      </c>
    </row>
    <row r="1134" spans="1:97" x14ac:dyDescent="0.2">
      <c r="A1134" t="s">
        <v>4035</v>
      </c>
      <c r="B1134">
        <v>1206</v>
      </c>
      <c r="C1134" t="s">
        <v>4035</v>
      </c>
      <c r="D1134">
        <v>30437</v>
      </c>
      <c r="E1134" t="s">
        <v>4036</v>
      </c>
      <c r="F1134" t="s">
        <v>2364</v>
      </c>
      <c r="G1134" t="s">
        <v>2364</v>
      </c>
      <c r="H1134" t="s">
        <v>2365</v>
      </c>
      <c r="I1134" t="s">
        <v>2365</v>
      </c>
      <c r="J1134" t="s">
        <v>2365</v>
      </c>
      <c r="K1134" t="s">
        <v>2365</v>
      </c>
      <c r="L1134">
        <v>1200</v>
      </c>
      <c r="M1134" t="s">
        <v>1480</v>
      </c>
      <c r="N1134">
        <v>1204</v>
      </c>
      <c r="O1134" t="s">
        <v>1487</v>
      </c>
      <c r="P1134" t="s">
        <v>2366</v>
      </c>
      <c r="Q1134" t="s">
        <v>2364</v>
      </c>
      <c r="R1134" t="s">
        <v>2364</v>
      </c>
      <c r="S1134" t="s">
        <v>553</v>
      </c>
      <c r="T1134" t="s">
        <v>2175</v>
      </c>
      <c r="U1134">
        <v>140</v>
      </c>
      <c r="V1134" t="s">
        <v>693</v>
      </c>
      <c r="W1134">
        <v>140</v>
      </c>
      <c r="X1134" t="s">
        <v>693</v>
      </c>
      <c r="Y1134" t="s">
        <v>2365</v>
      </c>
      <c r="Z1134" t="s">
        <v>2365</v>
      </c>
      <c r="AA1134" t="s">
        <v>2365</v>
      </c>
      <c r="AB1134" t="s">
        <v>2365</v>
      </c>
      <c r="AC1134" s="813" t="s">
        <v>2365</v>
      </c>
      <c r="AD1134" s="813" t="s">
        <v>2365</v>
      </c>
      <c r="AE1134" s="813" t="s">
        <v>2365</v>
      </c>
      <c r="AF1134" t="s">
        <v>2365</v>
      </c>
      <c r="AG1134" t="s">
        <v>2365</v>
      </c>
      <c r="AH1134" t="s">
        <v>2365</v>
      </c>
      <c r="AI1134" t="s">
        <v>2365</v>
      </c>
      <c r="AJ1134" t="s">
        <v>2365</v>
      </c>
      <c r="AK1134" t="s">
        <v>2366</v>
      </c>
      <c r="AL1134" t="s">
        <v>2366</v>
      </c>
      <c r="AM1134" t="s">
        <v>2366</v>
      </c>
      <c r="AN1134" t="s">
        <v>2366</v>
      </c>
      <c r="AR1134" t="s">
        <v>2365</v>
      </c>
      <c r="AS1134" t="s">
        <v>2365</v>
      </c>
      <c r="AT1134" t="s">
        <v>2365</v>
      </c>
      <c r="AU1134" t="s">
        <v>2365</v>
      </c>
      <c r="AV1134" t="s">
        <v>2365</v>
      </c>
      <c r="AW1134" t="s">
        <v>2365</v>
      </c>
      <c r="AX1134" t="s">
        <v>2365</v>
      </c>
      <c r="AY1134" t="s">
        <v>2365</v>
      </c>
      <c r="AZ1134" t="s">
        <v>2365</v>
      </c>
      <c r="BA1134" t="s">
        <v>2365</v>
      </c>
      <c r="BB1134" t="s">
        <v>2365</v>
      </c>
      <c r="BC1134" t="s">
        <v>2365</v>
      </c>
      <c r="BD1134" t="s">
        <v>2366</v>
      </c>
      <c r="BE1134" t="s">
        <v>2365</v>
      </c>
      <c r="BF1134" t="s">
        <v>2365</v>
      </c>
      <c r="BG1134" t="s">
        <v>2365</v>
      </c>
      <c r="BH1134" t="s">
        <v>2365</v>
      </c>
      <c r="BI1134" t="s">
        <v>2366</v>
      </c>
      <c r="BJ1134" t="s">
        <v>2365</v>
      </c>
      <c r="BK1134" t="s">
        <v>2365</v>
      </c>
      <c r="BL1134" t="s">
        <v>2365</v>
      </c>
      <c r="BM1134" t="s">
        <v>2365</v>
      </c>
      <c r="BO1134">
        <v>1</v>
      </c>
      <c r="BP1134">
        <v>11</v>
      </c>
      <c r="BQ1134" t="s">
        <v>2369</v>
      </c>
      <c r="BR1134" t="s">
        <v>1487</v>
      </c>
      <c r="BU1134">
        <v>0</v>
      </c>
      <c r="BV1134">
        <v>0</v>
      </c>
      <c r="BW1134">
        <v>0</v>
      </c>
      <c r="BX1134">
        <v>0</v>
      </c>
      <c r="BY1134">
        <v>0</v>
      </c>
      <c r="BZ1134">
        <v>0</v>
      </c>
      <c r="CA1134">
        <v>0</v>
      </c>
      <c r="CB1134">
        <v>0</v>
      </c>
      <c r="CC1134">
        <v>0</v>
      </c>
      <c r="CD1134">
        <v>0</v>
      </c>
      <c r="CE1134">
        <v>0</v>
      </c>
      <c r="CF1134">
        <v>0</v>
      </c>
      <c r="CG1134">
        <v>0</v>
      </c>
      <c r="CH1134">
        <v>0</v>
      </c>
      <c r="CI1134">
        <v>0</v>
      </c>
      <c r="CJ1134">
        <v>0</v>
      </c>
      <c r="CK1134">
        <v>0</v>
      </c>
      <c r="CL1134">
        <v>0</v>
      </c>
      <c r="CM1134">
        <v>0</v>
      </c>
      <c r="CR1134" t="s">
        <v>2340</v>
      </c>
      <c r="CS1134" s="1369" t="str">
        <f>INDEX([8]Sheet1!$H:$H,MATCH(CR:CR,[8]Sheet1!$AU:$AU,0))</f>
        <v>Disaster Management</v>
      </c>
    </row>
    <row r="1135" spans="1:97" x14ac:dyDescent="0.2">
      <c r="A1135" t="s">
        <v>4037</v>
      </c>
      <c r="B1135">
        <v>1207</v>
      </c>
      <c r="C1135" t="s">
        <v>4037</v>
      </c>
      <c r="D1135">
        <v>30438</v>
      </c>
      <c r="E1135" t="s">
        <v>4038</v>
      </c>
      <c r="F1135" t="s">
        <v>2364</v>
      </c>
      <c r="G1135" t="s">
        <v>2364</v>
      </c>
      <c r="H1135" t="s">
        <v>2365</v>
      </c>
      <c r="I1135" t="s">
        <v>2365</v>
      </c>
      <c r="J1135" t="s">
        <v>2365</v>
      </c>
      <c r="K1135" t="s">
        <v>2365</v>
      </c>
      <c r="L1135">
        <v>1200</v>
      </c>
      <c r="M1135" t="s">
        <v>1480</v>
      </c>
      <c r="N1135">
        <v>1204</v>
      </c>
      <c r="O1135" t="s">
        <v>1487</v>
      </c>
      <c r="P1135" t="s">
        <v>2366</v>
      </c>
      <c r="Q1135" t="s">
        <v>2364</v>
      </c>
      <c r="R1135" t="s">
        <v>2364</v>
      </c>
      <c r="S1135" t="s">
        <v>553</v>
      </c>
      <c r="T1135" t="s">
        <v>2175</v>
      </c>
      <c r="U1135" t="s">
        <v>2366</v>
      </c>
      <c r="V1135" t="s">
        <v>2366</v>
      </c>
      <c r="W1135" t="s">
        <v>2366</v>
      </c>
      <c r="X1135" t="s">
        <v>2366</v>
      </c>
      <c r="Y1135" t="s">
        <v>2365</v>
      </c>
      <c r="Z1135" t="s">
        <v>2365</v>
      </c>
      <c r="AA1135" t="s">
        <v>2365</v>
      </c>
      <c r="AB1135" t="s">
        <v>2365</v>
      </c>
      <c r="AC1135" s="813" t="s">
        <v>2365</v>
      </c>
      <c r="AD1135" s="813" t="s">
        <v>2365</v>
      </c>
      <c r="AE1135" s="813" t="s">
        <v>2365</v>
      </c>
      <c r="AF1135" t="s">
        <v>2365</v>
      </c>
      <c r="AG1135" t="s">
        <v>2365</v>
      </c>
      <c r="AH1135" t="s">
        <v>2365</v>
      </c>
      <c r="AI1135" t="s">
        <v>2365</v>
      </c>
      <c r="AJ1135" t="s">
        <v>2365</v>
      </c>
      <c r="AK1135">
        <v>146</v>
      </c>
      <c r="AL1135" t="s">
        <v>1199</v>
      </c>
      <c r="AM1135">
        <v>146</v>
      </c>
      <c r="AN1135" t="s">
        <v>1199</v>
      </c>
      <c r="AR1135" t="s">
        <v>2365</v>
      </c>
      <c r="AS1135" t="s">
        <v>2365</v>
      </c>
      <c r="AT1135" t="s">
        <v>2365</v>
      </c>
      <c r="AU1135" t="s">
        <v>2365</v>
      </c>
      <c r="AV1135" t="s">
        <v>2365</v>
      </c>
      <c r="AW1135" t="s">
        <v>2365</v>
      </c>
      <c r="AX1135" t="s">
        <v>2365</v>
      </c>
      <c r="AY1135" t="s">
        <v>2365</v>
      </c>
      <c r="AZ1135" t="s">
        <v>2365</v>
      </c>
      <c r="BA1135" t="s">
        <v>2365</v>
      </c>
      <c r="BB1135" t="s">
        <v>2365</v>
      </c>
      <c r="BC1135" t="s">
        <v>2365</v>
      </c>
      <c r="BD1135" t="s">
        <v>2366</v>
      </c>
      <c r="BE1135" t="s">
        <v>2365</v>
      </c>
      <c r="BF1135" t="s">
        <v>2365</v>
      </c>
      <c r="BG1135" t="s">
        <v>2365</v>
      </c>
      <c r="BH1135" t="s">
        <v>2365</v>
      </c>
      <c r="BI1135" t="s">
        <v>2366</v>
      </c>
      <c r="BJ1135" t="s">
        <v>2365</v>
      </c>
      <c r="BK1135" t="s">
        <v>2365</v>
      </c>
      <c r="BL1135" t="s">
        <v>2365</v>
      </c>
      <c r="BM1135" t="s">
        <v>2365</v>
      </c>
      <c r="BO1135">
        <v>1</v>
      </c>
      <c r="BP1135">
        <v>11</v>
      </c>
      <c r="BQ1135" t="s">
        <v>2369</v>
      </c>
      <c r="BR1135" t="s">
        <v>1487</v>
      </c>
      <c r="BU1135">
        <v>0</v>
      </c>
      <c r="BV1135">
        <v>0</v>
      </c>
      <c r="BW1135">
        <v>0</v>
      </c>
      <c r="BX1135">
        <v>0</v>
      </c>
      <c r="BY1135">
        <v>0</v>
      </c>
      <c r="BZ1135">
        <v>0</v>
      </c>
      <c r="CA1135">
        <v>0</v>
      </c>
      <c r="CB1135">
        <v>0</v>
      </c>
      <c r="CC1135">
        <v>0</v>
      </c>
      <c r="CD1135">
        <v>0</v>
      </c>
      <c r="CE1135">
        <v>0</v>
      </c>
      <c r="CF1135">
        <v>0</v>
      </c>
      <c r="CG1135">
        <v>0</v>
      </c>
      <c r="CH1135">
        <v>0</v>
      </c>
      <c r="CI1135">
        <v>0</v>
      </c>
      <c r="CJ1135">
        <v>0</v>
      </c>
      <c r="CK1135">
        <v>0</v>
      </c>
      <c r="CL1135">
        <v>0</v>
      </c>
      <c r="CM1135">
        <v>0</v>
      </c>
      <c r="CR1135" t="s">
        <v>2340</v>
      </c>
      <c r="CS1135" s="1369" t="str">
        <f>INDEX([8]Sheet1!$H:$H,MATCH(CR:CR,[8]Sheet1!$AU:$AU,0))</f>
        <v>Disaster Management</v>
      </c>
    </row>
    <row r="1136" spans="1:97" x14ac:dyDescent="0.2">
      <c r="A1136" t="s">
        <v>4039</v>
      </c>
      <c r="B1136">
        <v>1208</v>
      </c>
      <c r="C1136" t="s">
        <v>4039</v>
      </c>
      <c r="D1136">
        <v>30439</v>
      </c>
      <c r="E1136" t="s">
        <v>4040</v>
      </c>
      <c r="F1136" t="s">
        <v>2364</v>
      </c>
      <c r="G1136" t="s">
        <v>2364</v>
      </c>
      <c r="H1136" t="s">
        <v>2365</v>
      </c>
      <c r="I1136" t="s">
        <v>2365</v>
      </c>
      <c r="J1136" t="s">
        <v>2365</v>
      </c>
      <c r="K1136" t="s">
        <v>2365</v>
      </c>
      <c r="L1136">
        <v>1200</v>
      </c>
      <c r="M1136" t="s">
        <v>1480</v>
      </c>
      <c r="N1136">
        <v>1204</v>
      </c>
      <c r="O1136" t="s">
        <v>1487</v>
      </c>
      <c r="P1136" t="s">
        <v>2366</v>
      </c>
      <c r="Q1136" t="s">
        <v>2364</v>
      </c>
      <c r="R1136" t="s">
        <v>2364</v>
      </c>
      <c r="S1136" t="s">
        <v>553</v>
      </c>
      <c r="T1136" t="s">
        <v>2175</v>
      </c>
      <c r="U1136" t="s">
        <v>2366</v>
      </c>
      <c r="V1136" t="s">
        <v>2366</v>
      </c>
      <c r="W1136" t="s">
        <v>2366</v>
      </c>
      <c r="X1136" t="s">
        <v>2366</v>
      </c>
      <c r="Y1136" t="s">
        <v>2365</v>
      </c>
      <c r="Z1136" t="s">
        <v>2365</v>
      </c>
      <c r="AA1136" t="s">
        <v>2365</v>
      </c>
      <c r="AB1136" t="s">
        <v>2365</v>
      </c>
      <c r="AC1136" s="813" t="s">
        <v>2365</v>
      </c>
      <c r="AD1136" s="813" t="s">
        <v>2365</v>
      </c>
      <c r="AE1136" s="813" t="s">
        <v>2365</v>
      </c>
      <c r="AF1136" t="s">
        <v>2365</v>
      </c>
      <c r="AG1136" t="s">
        <v>2365</v>
      </c>
      <c r="AH1136" t="s">
        <v>2365</v>
      </c>
      <c r="AI1136" t="s">
        <v>2365</v>
      </c>
      <c r="AJ1136" t="s">
        <v>2365</v>
      </c>
      <c r="AK1136">
        <v>146</v>
      </c>
      <c r="AL1136" t="s">
        <v>1199</v>
      </c>
      <c r="AM1136">
        <v>146</v>
      </c>
      <c r="AN1136" t="s">
        <v>1199</v>
      </c>
      <c r="AR1136" t="s">
        <v>2365</v>
      </c>
      <c r="AS1136" t="s">
        <v>2365</v>
      </c>
      <c r="AT1136" t="s">
        <v>2365</v>
      </c>
      <c r="AU1136" t="s">
        <v>2365</v>
      </c>
      <c r="AV1136" t="s">
        <v>2365</v>
      </c>
      <c r="AW1136" t="s">
        <v>2365</v>
      </c>
      <c r="AX1136" t="s">
        <v>2365</v>
      </c>
      <c r="AY1136" t="s">
        <v>2365</v>
      </c>
      <c r="AZ1136" t="s">
        <v>2365</v>
      </c>
      <c r="BA1136" t="s">
        <v>2365</v>
      </c>
      <c r="BB1136" t="s">
        <v>2365</v>
      </c>
      <c r="BC1136" t="s">
        <v>2365</v>
      </c>
      <c r="BD1136" t="s">
        <v>2366</v>
      </c>
      <c r="BE1136" t="s">
        <v>2365</v>
      </c>
      <c r="BF1136" t="s">
        <v>2365</v>
      </c>
      <c r="BG1136" t="s">
        <v>2365</v>
      </c>
      <c r="BH1136" t="s">
        <v>2365</v>
      </c>
      <c r="BI1136" t="s">
        <v>2366</v>
      </c>
      <c r="BJ1136" t="s">
        <v>2365</v>
      </c>
      <c r="BK1136" t="s">
        <v>2365</v>
      </c>
      <c r="BL1136" t="s">
        <v>2365</v>
      </c>
      <c r="BM1136" t="s">
        <v>2365</v>
      </c>
      <c r="BO1136">
        <v>1</v>
      </c>
      <c r="BP1136">
        <v>11</v>
      </c>
      <c r="BQ1136" t="s">
        <v>2369</v>
      </c>
      <c r="BR1136" t="s">
        <v>1487</v>
      </c>
      <c r="BU1136">
        <v>0</v>
      </c>
      <c r="BV1136">
        <v>0</v>
      </c>
      <c r="BW1136">
        <v>0</v>
      </c>
      <c r="BX1136">
        <v>0</v>
      </c>
      <c r="BY1136">
        <v>0</v>
      </c>
      <c r="BZ1136">
        <v>0</v>
      </c>
      <c r="CA1136">
        <v>0</v>
      </c>
      <c r="CB1136">
        <v>0</v>
      </c>
      <c r="CC1136">
        <v>0</v>
      </c>
      <c r="CD1136">
        <v>0</v>
      </c>
      <c r="CE1136">
        <v>0</v>
      </c>
      <c r="CF1136">
        <v>0</v>
      </c>
      <c r="CG1136">
        <v>0</v>
      </c>
      <c r="CH1136">
        <v>0</v>
      </c>
      <c r="CI1136">
        <v>0</v>
      </c>
      <c r="CJ1136">
        <v>0</v>
      </c>
      <c r="CK1136">
        <v>0</v>
      </c>
      <c r="CL1136">
        <v>0</v>
      </c>
      <c r="CM1136">
        <v>0</v>
      </c>
      <c r="CR1136" t="s">
        <v>2340</v>
      </c>
      <c r="CS1136" s="1369" t="str">
        <f>INDEX([8]Sheet1!$H:$H,MATCH(CR:CR,[8]Sheet1!$AU:$AU,0))</f>
        <v>Disaster Management</v>
      </c>
    </row>
    <row r="1137" spans="1:97" x14ac:dyDescent="0.2">
      <c r="A1137" t="s">
        <v>4041</v>
      </c>
      <c r="B1137">
        <v>1209</v>
      </c>
      <c r="C1137" t="s">
        <v>4041</v>
      </c>
      <c r="D1137">
        <v>30440</v>
      </c>
      <c r="E1137" t="s">
        <v>4042</v>
      </c>
      <c r="F1137" t="s">
        <v>2364</v>
      </c>
      <c r="G1137" t="s">
        <v>2364</v>
      </c>
      <c r="H1137" t="s">
        <v>2365</v>
      </c>
      <c r="I1137" t="s">
        <v>2365</v>
      </c>
      <c r="J1137" t="s">
        <v>2365</v>
      </c>
      <c r="K1137" t="s">
        <v>2365</v>
      </c>
      <c r="L1137">
        <v>1200</v>
      </c>
      <c r="M1137" t="s">
        <v>1480</v>
      </c>
      <c r="N1137">
        <v>1204</v>
      </c>
      <c r="O1137" t="s">
        <v>1487</v>
      </c>
      <c r="P1137" t="s">
        <v>2366</v>
      </c>
      <c r="Q1137" t="s">
        <v>2364</v>
      </c>
      <c r="R1137" t="s">
        <v>2364</v>
      </c>
      <c r="S1137" t="s">
        <v>553</v>
      </c>
      <c r="T1137" t="s">
        <v>2175</v>
      </c>
      <c r="U1137">
        <v>140</v>
      </c>
      <c r="V1137" t="s">
        <v>693</v>
      </c>
      <c r="W1137">
        <v>140</v>
      </c>
      <c r="X1137" t="s">
        <v>693</v>
      </c>
      <c r="Y1137" t="s">
        <v>2365</v>
      </c>
      <c r="Z1137" t="s">
        <v>2365</v>
      </c>
      <c r="AA1137" t="s">
        <v>2365</v>
      </c>
      <c r="AB1137" t="s">
        <v>2365</v>
      </c>
      <c r="AC1137" s="813" t="s">
        <v>2365</v>
      </c>
      <c r="AD1137" s="813" t="s">
        <v>2365</v>
      </c>
      <c r="AE1137" s="813" t="s">
        <v>2365</v>
      </c>
      <c r="AF1137" t="s">
        <v>2365</v>
      </c>
      <c r="AG1137" t="s">
        <v>2365</v>
      </c>
      <c r="AH1137" t="s">
        <v>2365</v>
      </c>
      <c r="AI1137" t="s">
        <v>2365</v>
      </c>
      <c r="AJ1137" t="s">
        <v>2365</v>
      </c>
      <c r="AK1137" t="s">
        <v>2366</v>
      </c>
      <c r="AL1137" t="s">
        <v>2366</v>
      </c>
      <c r="AM1137" t="s">
        <v>2366</v>
      </c>
      <c r="AN1137" t="s">
        <v>2366</v>
      </c>
      <c r="AR1137" t="s">
        <v>2365</v>
      </c>
      <c r="AS1137" t="s">
        <v>2365</v>
      </c>
      <c r="AT1137" t="s">
        <v>2365</v>
      </c>
      <c r="AU1137" t="s">
        <v>2365</v>
      </c>
      <c r="AV1137" t="s">
        <v>2365</v>
      </c>
      <c r="AW1137" t="s">
        <v>2365</v>
      </c>
      <c r="AX1137" t="s">
        <v>2365</v>
      </c>
      <c r="AY1137" t="s">
        <v>2365</v>
      </c>
      <c r="AZ1137" t="s">
        <v>2365</v>
      </c>
      <c r="BA1137" t="s">
        <v>2365</v>
      </c>
      <c r="BB1137" t="s">
        <v>2365</v>
      </c>
      <c r="BC1137" t="s">
        <v>2365</v>
      </c>
      <c r="BD1137" t="s">
        <v>2366</v>
      </c>
      <c r="BE1137" t="s">
        <v>2365</v>
      </c>
      <c r="BF1137" t="s">
        <v>2365</v>
      </c>
      <c r="BG1137" t="s">
        <v>2365</v>
      </c>
      <c r="BH1137" t="s">
        <v>2365</v>
      </c>
      <c r="BI1137" t="s">
        <v>2366</v>
      </c>
      <c r="BJ1137" t="s">
        <v>2365</v>
      </c>
      <c r="BK1137" t="s">
        <v>2365</v>
      </c>
      <c r="BL1137" t="s">
        <v>2365</v>
      </c>
      <c r="BM1137" t="s">
        <v>2365</v>
      </c>
      <c r="BO1137">
        <v>1</v>
      </c>
      <c r="BP1137">
        <v>11</v>
      </c>
      <c r="BQ1137" t="s">
        <v>2369</v>
      </c>
      <c r="BR1137" t="s">
        <v>1487</v>
      </c>
      <c r="BU1137">
        <v>0</v>
      </c>
      <c r="BV1137">
        <v>0</v>
      </c>
      <c r="BW1137">
        <v>0</v>
      </c>
      <c r="BX1137">
        <v>0</v>
      </c>
      <c r="BY1137">
        <v>0</v>
      </c>
      <c r="BZ1137">
        <v>0</v>
      </c>
      <c r="CA1137">
        <v>0</v>
      </c>
      <c r="CB1137">
        <v>0</v>
      </c>
      <c r="CC1137">
        <v>0</v>
      </c>
      <c r="CD1137">
        <v>0</v>
      </c>
      <c r="CE1137">
        <v>0</v>
      </c>
      <c r="CF1137">
        <v>0</v>
      </c>
      <c r="CG1137">
        <v>0</v>
      </c>
      <c r="CH1137">
        <v>0</v>
      </c>
      <c r="CI1137">
        <v>0</v>
      </c>
      <c r="CJ1137">
        <v>0</v>
      </c>
      <c r="CK1137">
        <v>0</v>
      </c>
      <c r="CL1137">
        <v>0</v>
      </c>
      <c r="CM1137">
        <v>0</v>
      </c>
      <c r="CR1137" t="s">
        <v>2324</v>
      </c>
      <c r="CS1137" s="1369" t="str">
        <f>INDEX([8]Sheet1!$H:$H,MATCH(CR:CR,[8]Sheet1!$AU:$AU,0))</f>
        <v>Finance</v>
      </c>
    </row>
    <row r="1138" spans="1:97" x14ac:dyDescent="0.2">
      <c r="A1138" t="s">
        <v>4043</v>
      </c>
      <c r="B1138">
        <v>1210</v>
      </c>
      <c r="C1138" t="s">
        <v>4043</v>
      </c>
      <c r="D1138">
        <v>30441</v>
      </c>
      <c r="E1138" t="s">
        <v>4044</v>
      </c>
      <c r="F1138" t="s">
        <v>2364</v>
      </c>
      <c r="G1138" t="s">
        <v>2364</v>
      </c>
      <c r="H1138" t="s">
        <v>2365</v>
      </c>
      <c r="I1138" t="s">
        <v>2365</v>
      </c>
      <c r="J1138" t="s">
        <v>2365</v>
      </c>
      <c r="K1138" t="s">
        <v>2365</v>
      </c>
      <c r="L1138">
        <v>1200</v>
      </c>
      <c r="M1138" t="s">
        <v>1480</v>
      </c>
      <c r="N1138">
        <v>1204</v>
      </c>
      <c r="O1138" t="s">
        <v>1487</v>
      </c>
      <c r="P1138" t="s">
        <v>2366</v>
      </c>
      <c r="Q1138" t="s">
        <v>2364</v>
      </c>
      <c r="R1138" t="s">
        <v>2364</v>
      </c>
      <c r="S1138" t="s">
        <v>553</v>
      </c>
      <c r="T1138" t="s">
        <v>2175</v>
      </c>
      <c r="U1138">
        <v>140</v>
      </c>
      <c r="V1138" t="s">
        <v>693</v>
      </c>
      <c r="W1138">
        <v>140</v>
      </c>
      <c r="X1138" t="s">
        <v>693</v>
      </c>
      <c r="Y1138" t="s">
        <v>2365</v>
      </c>
      <c r="Z1138" t="s">
        <v>2365</v>
      </c>
      <c r="AA1138" t="s">
        <v>2365</v>
      </c>
      <c r="AB1138" t="s">
        <v>2365</v>
      </c>
      <c r="AC1138" s="813" t="s">
        <v>2365</v>
      </c>
      <c r="AD1138" s="813" t="s">
        <v>2365</v>
      </c>
      <c r="AE1138" s="813" t="s">
        <v>2365</v>
      </c>
      <c r="AF1138" t="s">
        <v>2365</v>
      </c>
      <c r="AG1138" t="s">
        <v>2365</v>
      </c>
      <c r="AH1138" t="s">
        <v>2365</v>
      </c>
      <c r="AI1138" t="s">
        <v>2365</v>
      </c>
      <c r="AJ1138" t="s">
        <v>2365</v>
      </c>
      <c r="AK1138" t="s">
        <v>2366</v>
      </c>
      <c r="AL1138" t="s">
        <v>2366</v>
      </c>
      <c r="AM1138" t="s">
        <v>2366</v>
      </c>
      <c r="AN1138" t="s">
        <v>2366</v>
      </c>
      <c r="AR1138" t="s">
        <v>2365</v>
      </c>
      <c r="AS1138" t="s">
        <v>2365</v>
      </c>
      <c r="AT1138" t="s">
        <v>2365</v>
      </c>
      <c r="AU1138" t="s">
        <v>2365</v>
      </c>
      <c r="AV1138" t="s">
        <v>2365</v>
      </c>
      <c r="AW1138" t="s">
        <v>2365</v>
      </c>
      <c r="AX1138" t="s">
        <v>2365</v>
      </c>
      <c r="AY1138" t="s">
        <v>2365</v>
      </c>
      <c r="AZ1138" t="s">
        <v>2365</v>
      </c>
      <c r="BA1138" t="s">
        <v>2365</v>
      </c>
      <c r="BB1138" t="s">
        <v>2365</v>
      </c>
      <c r="BC1138" t="s">
        <v>2365</v>
      </c>
      <c r="BD1138" t="s">
        <v>2366</v>
      </c>
      <c r="BE1138" t="s">
        <v>2365</v>
      </c>
      <c r="BF1138" t="s">
        <v>2365</v>
      </c>
      <c r="BG1138" t="s">
        <v>2365</v>
      </c>
      <c r="BH1138" t="s">
        <v>2365</v>
      </c>
      <c r="BI1138" t="s">
        <v>2366</v>
      </c>
      <c r="BJ1138" t="s">
        <v>2365</v>
      </c>
      <c r="BK1138" t="s">
        <v>2365</v>
      </c>
      <c r="BL1138" t="s">
        <v>2365</v>
      </c>
      <c r="BM1138" t="s">
        <v>2365</v>
      </c>
      <c r="BO1138">
        <v>1</v>
      </c>
      <c r="BP1138">
        <v>11</v>
      </c>
      <c r="BQ1138" t="s">
        <v>2369</v>
      </c>
      <c r="BR1138" t="s">
        <v>1487</v>
      </c>
      <c r="BU1138">
        <v>0</v>
      </c>
      <c r="BV1138">
        <v>0</v>
      </c>
      <c r="BW1138">
        <v>0</v>
      </c>
      <c r="BX1138">
        <v>0</v>
      </c>
      <c r="BY1138">
        <v>0</v>
      </c>
      <c r="BZ1138">
        <v>0</v>
      </c>
      <c r="CA1138">
        <v>0</v>
      </c>
      <c r="CB1138">
        <v>0</v>
      </c>
      <c r="CC1138">
        <v>0</v>
      </c>
      <c r="CD1138">
        <v>0</v>
      </c>
      <c r="CE1138">
        <v>0</v>
      </c>
      <c r="CF1138">
        <v>0</v>
      </c>
      <c r="CG1138">
        <v>0</v>
      </c>
      <c r="CH1138">
        <v>0</v>
      </c>
      <c r="CI1138">
        <v>0</v>
      </c>
      <c r="CJ1138">
        <v>0</v>
      </c>
      <c r="CK1138">
        <v>0</v>
      </c>
      <c r="CL1138">
        <v>0</v>
      </c>
      <c r="CM1138">
        <v>0</v>
      </c>
      <c r="CR1138" t="s">
        <v>2324</v>
      </c>
      <c r="CS1138" s="1369" t="str">
        <f>INDEX([8]Sheet1!$H:$H,MATCH(CR:CR,[8]Sheet1!$AU:$AU,0))</f>
        <v>Finance</v>
      </c>
    </row>
    <row r="1139" spans="1:97" x14ac:dyDescent="0.2">
      <c r="A1139" t="s">
        <v>4045</v>
      </c>
      <c r="B1139">
        <v>1211</v>
      </c>
      <c r="C1139" t="s">
        <v>4045</v>
      </c>
      <c r="D1139">
        <v>30442</v>
      </c>
      <c r="E1139" t="s">
        <v>4046</v>
      </c>
      <c r="F1139" t="s">
        <v>2364</v>
      </c>
      <c r="G1139" t="s">
        <v>2364</v>
      </c>
      <c r="H1139" t="s">
        <v>2365</v>
      </c>
      <c r="I1139" t="s">
        <v>2365</v>
      </c>
      <c r="J1139" t="s">
        <v>2365</v>
      </c>
      <c r="K1139" t="s">
        <v>2365</v>
      </c>
      <c r="L1139">
        <v>1200</v>
      </c>
      <c r="M1139" t="s">
        <v>1480</v>
      </c>
      <c r="N1139">
        <v>1204</v>
      </c>
      <c r="O1139" t="s">
        <v>1487</v>
      </c>
      <c r="P1139" t="s">
        <v>2366</v>
      </c>
      <c r="Q1139" t="s">
        <v>2364</v>
      </c>
      <c r="R1139" t="s">
        <v>2364</v>
      </c>
      <c r="S1139" t="s">
        <v>553</v>
      </c>
      <c r="T1139" t="s">
        <v>2175</v>
      </c>
      <c r="U1139">
        <v>140</v>
      </c>
      <c r="V1139" t="s">
        <v>693</v>
      </c>
      <c r="W1139">
        <v>140</v>
      </c>
      <c r="X1139" t="s">
        <v>693</v>
      </c>
      <c r="Y1139" t="s">
        <v>2365</v>
      </c>
      <c r="Z1139" t="s">
        <v>2365</v>
      </c>
      <c r="AA1139" t="s">
        <v>2365</v>
      </c>
      <c r="AB1139" t="s">
        <v>2365</v>
      </c>
      <c r="AC1139" s="813" t="s">
        <v>2365</v>
      </c>
      <c r="AD1139" s="813" t="s">
        <v>2365</v>
      </c>
      <c r="AE1139" s="813" t="s">
        <v>2365</v>
      </c>
      <c r="AF1139" t="s">
        <v>2365</v>
      </c>
      <c r="AG1139" t="s">
        <v>2365</v>
      </c>
      <c r="AH1139" t="s">
        <v>2365</v>
      </c>
      <c r="AI1139" t="s">
        <v>2365</v>
      </c>
      <c r="AJ1139" t="s">
        <v>2365</v>
      </c>
      <c r="AK1139">
        <v>147</v>
      </c>
      <c r="AL1139" t="s">
        <v>1200</v>
      </c>
      <c r="AM1139">
        <v>147</v>
      </c>
      <c r="AN1139" t="s">
        <v>1200</v>
      </c>
      <c r="AR1139" t="s">
        <v>2365</v>
      </c>
      <c r="AS1139" t="s">
        <v>2365</v>
      </c>
      <c r="AT1139" t="s">
        <v>2365</v>
      </c>
      <c r="AU1139" t="s">
        <v>2365</v>
      </c>
      <c r="AV1139" t="s">
        <v>2365</v>
      </c>
      <c r="AW1139" t="s">
        <v>2365</v>
      </c>
      <c r="AX1139" t="s">
        <v>2365</v>
      </c>
      <c r="AY1139" t="s">
        <v>2365</v>
      </c>
      <c r="AZ1139" t="s">
        <v>2365</v>
      </c>
      <c r="BA1139" t="s">
        <v>2365</v>
      </c>
      <c r="BB1139" t="s">
        <v>2365</v>
      </c>
      <c r="BC1139" t="s">
        <v>2365</v>
      </c>
      <c r="BD1139" t="s">
        <v>2366</v>
      </c>
      <c r="BE1139" t="s">
        <v>2365</v>
      </c>
      <c r="BF1139" t="s">
        <v>2365</v>
      </c>
      <c r="BG1139" t="s">
        <v>2365</v>
      </c>
      <c r="BH1139" t="s">
        <v>2365</v>
      </c>
      <c r="BI1139" t="s">
        <v>2366</v>
      </c>
      <c r="BJ1139" t="s">
        <v>2365</v>
      </c>
      <c r="BK1139" t="s">
        <v>2365</v>
      </c>
      <c r="BL1139" t="s">
        <v>2365</v>
      </c>
      <c r="BM1139" t="s">
        <v>2365</v>
      </c>
      <c r="BO1139">
        <v>1</v>
      </c>
      <c r="BP1139">
        <v>11</v>
      </c>
      <c r="BQ1139" t="s">
        <v>2369</v>
      </c>
      <c r="BR1139" t="s">
        <v>1487</v>
      </c>
      <c r="BU1139">
        <v>0</v>
      </c>
      <c r="BV1139">
        <v>0</v>
      </c>
      <c r="BW1139">
        <v>0</v>
      </c>
      <c r="BX1139">
        <v>0</v>
      </c>
      <c r="BY1139" s="1371">
        <v>0</v>
      </c>
      <c r="BZ1139" s="1371">
        <v>0</v>
      </c>
      <c r="CA1139">
        <v>0</v>
      </c>
      <c r="CB1139">
        <v>0</v>
      </c>
      <c r="CC1139">
        <v>0</v>
      </c>
      <c r="CD1139">
        <v>0</v>
      </c>
      <c r="CE1139">
        <v>0</v>
      </c>
      <c r="CF1139">
        <v>0</v>
      </c>
      <c r="CG1139">
        <v>0</v>
      </c>
      <c r="CH1139">
        <v>0</v>
      </c>
      <c r="CI1139">
        <v>0</v>
      </c>
      <c r="CJ1139">
        <v>0</v>
      </c>
      <c r="CK1139">
        <v>0</v>
      </c>
      <c r="CL1139">
        <v>0</v>
      </c>
      <c r="CM1139">
        <v>0</v>
      </c>
      <c r="CR1139" t="s">
        <v>2333</v>
      </c>
      <c r="CS1139" s="1369" t="str">
        <f>INDEX([8]Sheet1!$H:$H,MATCH(CR:CR,[8]Sheet1!$AU:$AU,0))</f>
        <v>Municipal Manager, Town Secretary and Chief Executive</v>
      </c>
    </row>
    <row r="1140" spans="1:97" x14ac:dyDescent="0.2">
      <c r="A1140" t="s">
        <v>4047</v>
      </c>
      <c r="B1140">
        <v>1212</v>
      </c>
      <c r="C1140" t="s">
        <v>4047</v>
      </c>
      <c r="D1140">
        <v>30443</v>
      </c>
      <c r="E1140" t="s">
        <v>4048</v>
      </c>
      <c r="F1140" t="s">
        <v>2364</v>
      </c>
      <c r="G1140" t="s">
        <v>2364</v>
      </c>
      <c r="H1140" t="s">
        <v>2365</v>
      </c>
      <c r="I1140" t="s">
        <v>2365</v>
      </c>
      <c r="J1140" t="s">
        <v>2365</v>
      </c>
      <c r="K1140" t="s">
        <v>2365</v>
      </c>
      <c r="L1140">
        <v>1200</v>
      </c>
      <c r="M1140" t="s">
        <v>1480</v>
      </c>
      <c r="N1140">
        <v>1204</v>
      </c>
      <c r="O1140" t="s">
        <v>1487</v>
      </c>
      <c r="P1140" t="s">
        <v>2366</v>
      </c>
      <c r="Q1140" t="s">
        <v>2364</v>
      </c>
      <c r="R1140" t="s">
        <v>2364</v>
      </c>
      <c r="S1140" t="s">
        <v>553</v>
      </c>
      <c r="T1140" t="s">
        <v>2175</v>
      </c>
      <c r="U1140">
        <v>140</v>
      </c>
      <c r="V1140" t="s">
        <v>693</v>
      </c>
      <c r="W1140">
        <v>140</v>
      </c>
      <c r="X1140" t="s">
        <v>693</v>
      </c>
      <c r="Y1140" t="s">
        <v>2365</v>
      </c>
      <c r="Z1140" t="s">
        <v>2365</v>
      </c>
      <c r="AA1140" t="s">
        <v>2365</v>
      </c>
      <c r="AB1140" t="s">
        <v>2365</v>
      </c>
      <c r="AC1140" s="813" t="s">
        <v>2365</v>
      </c>
      <c r="AD1140" s="813" t="s">
        <v>2365</v>
      </c>
      <c r="AE1140" s="813" t="s">
        <v>2365</v>
      </c>
      <c r="AF1140" t="s">
        <v>2365</v>
      </c>
      <c r="AG1140" t="s">
        <v>2365</v>
      </c>
      <c r="AH1140" t="s">
        <v>2365</v>
      </c>
      <c r="AI1140" t="s">
        <v>2365</v>
      </c>
      <c r="AJ1140" t="s">
        <v>2365</v>
      </c>
      <c r="AK1140" t="s">
        <v>2366</v>
      </c>
      <c r="AL1140" t="s">
        <v>2366</v>
      </c>
      <c r="AM1140" t="s">
        <v>2366</v>
      </c>
      <c r="AN1140" t="s">
        <v>2366</v>
      </c>
      <c r="AR1140" t="s">
        <v>2365</v>
      </c>
      <c r="AS1140" t="s">
        <v>2365</v>
      </c>
      <c r="AT1140" t="s">
        <v>2365</v>
      </c>
      <c r="AU1140" t="s">
        <v>2365</v>
      </c>
      <c r="AV1140" t="s">
        <v>2365</v>
      </c>
      <c r="AW1140" t="s">
        <v>2365</v>
      </c>
      <c r="AX1140" t="s">
        <v>2365</v>
      </c>
      <c r="AY1140" t="s">
        <v>2365</v>
      </c>
      <c r="AZ1140" t="s">
        <v>2365</v>
      </c>
      <c r="BA1140" t="s">
        <v>2365</v>
      </c>
      <c r="BB1140" t="s">
        <v>2365</v>
      </c>
      <c r="BC1140" t="s">
        <v>2365</v>
      </c>
      <c r="BD1140" t="s">
        <v>2366</v>
      </c>
      <c r="BE1140" t="s">
        <v>2365</v>
      </c>
      <c r="BF1140" t="s">
        <v>2365</v>
      </c>
      <c r="BG1140" t="s">
        <v>2365</v>
      </c>
      <c r="BH1140" t="s">
        <v>2365</v>
      </c>
      <c r="BI1140" t="s">
        <v>2366</v>
      </c>
      <c r="BJ1140" t="s">
        <v>2365</v>
      </c>
      <c r="BK1140" t="s">
        <v>2365</v>
      </c>
      <c r="BL1140" t="s">
        <v>2365</v>
      </c>
      <c r="BM1140" t="s">
        <v>2365</v>
      </c>
      <c r="BO1140">
        <v>1</v>
      </c>
      <c r="BP1140">
        <v>11</v>
      </c>
      <c r="BQ1140" t="s">
        <v>2369</v>
      </c>
      <c r="BR1140" t="s">
        <v>1487</v>
      </c>
      <c r="BU1140">
        <v>0</v>
      </c>
      <c r="BV1140">
        <v>0</v>
      </c>
      <c r="BW1140">
        <v>0</v>
      </c>
      <c r="BX1140">
        <v>0</v>
      </c>
      <c r="BY1140">
        <v>0</v>
      </c>
      <c r="BZ1140">
        <v>0</v>
      </c>
      <c r="CA1140">
        <v>0</v>
      </c>
      <c r="CB1140">
        <v>0</v>
      </c>
      <c r="CC1140">
        <v>0</v>
      </c>
      <c r="CD1140">
        <v>0</v>
      </c>
      <c r="CE1140">
        <v>0</v>
      </c>
      <c r="CF1140">
        <v>0</v>
      </c>
      <c r="CG1140">
        <v>0</v>
      </c>
      <c r="CH1140">
        <v>0</v>
      </c>
      <c r="CI1140">
        <v>0</v>
      </c>
      <c r="CJ1140">
        <v>0</v>
      </c>
      <c r="CK1140">
        <v>0</v>
      </c>
      <c r="CL1140">
        <v>0</v>
      </c>
      <c r="CM1140">
        <v>0</v>
      </c>
      <c r="CR1140" t="s">
        <v>2320</v>
      </c>
      <c r="CS1140" s="1369" t="str">
        <f>INDEX([8]Sheet1!$H:$H,MATCH(CR:CR,[8]Sheet1!$AU:$AU,0))</f>
        <v>Administrative and Corporate Support</v>
      </c>
    </row>
    <row r="1141" spans="1:97" x14ac:dyDescent="0.2">
      <c r="A1141" t="s">
        <v>4049</v>
      </c>
      <c r="B1141">
        <v>1213</v>
      </c>
      <c r="C1141" t="s">
        <v>4049</v>
      </c>
      <c r="D1141">
        <v>30444</v>
      </c>
      <c r="E1141" t="s">
        <v>4050</v>
      </c>
      <c r="F1141" t="s">
        <v>2364</v>
      </c>
      <c r="G1141" t="s">
        <v>2364</v>
      </c>
      <c r="H1141" t="s">
        <v>2365</v>
      </c>
      <c r="I1141" t="s">
        <v>2365</v>
      </c>
      <c r="J1141" t="s">
        <v>2365</v>
      </c>
      <c r="K1141" t="s">
        <v>2365</v>
      </c>
      <c r="L1141">
        <v>1200</v>
      </c>
      <c r="M1141" t="s">
        <v>1480</v>
      </c>
      <c r="N1141">
        <v>1204</v>
      </c>
      <c r="O1141" t="s">
        <v>1487</v>
      </c>
      <c r="P1141" t="s">
        <v>2366</v>
      </c>
      <c r="Q1141" t="s">
        <v>2364</v>
      </c>
      <c r="R1141" t="s">
        <v>2364</v>
      </c>
      <c r="S1141" t="s">
        <v>553</v>
      </c>
      <c r="T1141" t="s">
        <v>2175</v>
      </c>
      <c r="U1141">
        <v>140</v>
      </c>
      <c r="V1141" t="s">
        <v>693</v>
      </c>
      <c r="W1141">
        <v>140</v>
      </c>
      <c r="X1141" t="s">
        <v>693</v>
      </c>
      <c r="Y1141" t="s">
        <v>2365</v>
      </c>
      <c r="Z1141" t="s">
        <v>2365</v>
      </c>
      <c r="AA1141" t="s">
        <v>2365</v>
      </c>
      <c r="AB1141" t="s">
        <v>2365</v>
      </c>
      <c r="AC1141" s="813" t="s">
        <v>2365</v>
      </c>
      <c r="AD1141" s="813" t="s">
        <v>2365</v>
      </c>
      <c r="AE1141" s="813" t="s">
        <v>2365</v>
      </c>
      <c r="AF1141" t="s">
        <v>2365</v>
      </c>
      <c r="AG1141" t="s">
        <v>2365</v>
      </c>
      <c r="AH1141" t="s">
        <v>2365</v>
      </c>
      <c r="AI1141" t="s">
        <v>2365</v>
      </c>
      <c r="AJ1141" t="s">
        <v>2365</v>
      </c>
      <c r="AK1141" t="s">
        <v>2366</v>
      </c>
      <c r="AL1141" t="s">
        <v>2366</v>
      </c>
      <c r="AM1141" t="s">
        <v>2366</v>
      </c>
      <c r="AN1141" t="s">
        <v>2366</v>
      </c>
      <c r="AR1141" t="s">
        <v>2365</v>
      </c>
      <c r="AS1141" t="s">
        <v>2365</v>
      </c>
      <c r="AT1141" t="s">
        <v>2365</v>
      </c>
      <c r="AU1141" t="s">
        <v>2365</v>
      </c>
      <c r="AV1141" t="s">
        <v>2365</v>
      </c>
      <c r="AW1141" t="s">
        <v>2365</v>
      </c>
      <c r="AX1141" t="s">
        <v>2365</v>
      </c>
      <c r="AY1141" t="s">
        <v>2365</v>
      </c>
      <c r="AZ1141" t="s">
        <v>2365</v>
      </c>
      <c r="BA1141" t="s">
        <v>2365</v>
      </c>
      <c r="BB1141" t="s">
        <v>2365</v>
      </c>
      <c r="BC1141" t="s">
        <v>2365</v>
      </c>
      <c r="BD1141" t="s">
        <v>2366</v>
      </c>
      <c r="BE1141" t="s">
        <v>2365</v>
      </c>
      <c r="BF1141" t="s">
        <v>2365</v>
      </c>
      <c r="BG1141" t="s">
        <v>2365</v>
      </c>
      <c r="BH1141" t="s">
        <v>2365</v>
      </c>
      <c r="BI1141" t="s">
        <v>2366</v>
      </c>
      <c r="BJ1141" t="s">
        <v>2365</v>
      </c>
      <c r="BK1141" t="s">
        <v>2365</v>
      </c>
      <c r="BL1141" t="s">
        <v>2365</v>
      </c>
      <c r="BM1141" t="s">
        <v>2365</v>
      </c>
      <c r="BO1141">
        <v>1</v>
      </c>
      <c r="BP1141">
        <v>11</v>
      </c>
      <c r="BQ1141" t="s">
        <v>2369</v>
      </c>
      <c r="BR1141" t="s">
        <v>1487</v>
      </c>
      <c r="BU1141">
        <v>0</v>
      </c>
      <c r="BV1141">
        <v>0</v>
      </c>
      <c r="BW1141">
        <v>0</v>
      </c>
      <c r="BX1141">
        <v>0</v>
      </c>
      <c r="BY1141" s="1371">
        <v>0</v>
      </c>
      <c r="BZ1141" s="1371">
        <v>0</v>
      </c>
      <c r="CA1141">
        <v>0</v>
      </c>
      <c r="CB1141">
        <v>0</v>
      </c>
      <c r="CC1141">
        <v>0</v>
      </c>
      <c r="CD1141">
        <v>0</v>
      </c>
      <c r="CE1141">
        <v>0</v>
      </c>
      <c r="CF1141">
        <v>0</v>
      </c>
      <c r="CG1141">
        <v>0</v>
      </c>
      <c r="CH1141">
        <v>0</v>
      </c>
      <c r="CI1141">
        <v>0</v>
      </c>
      <c r="CJ1141">
        <v>0</v>
      </c>
      <c r="CK1141">
        <v>0</v>
      </c>
      <c r="CL1141">
        <v>0</v>
      </c>
      <c r="CM1141">
        <v>0</v>
      </c>
      <c r="CR1141" t="s">
        <v>2320</v>
      </c>
      <c r="CS1141" s="1369" t="str">
        <f>INDEX([8]Sheet1!$H:$H,MATCH(CR:CR,[8]Sheet1!$AU:$AU,0))</f>
        <v>Administrative and Corporate Support</v>
      </c>
    </row>
    <row r="1142" spans="1:97" x14ac:dyDescent="0.2">
      <c r="A1142" t="s">
        <v>4051</v>
      </c>
      <c r="B1142">
        <v>1214</v>
      </c>
      <c r="C1142" t="s">
        <v>4051</v>
      </c>
      <c r="D1142">
        <v>30445</v>
      </c>
      <c r="E1142" t="s">
        <v>4052</v>
      </c>
      <c r="F1142" t="s">
        <v>2364</v>
      </c>
      <c r="G1142" t="s">
        <v>2364</v>
      </c>
      <c r="H1142" t="s">
        <v>2365</v>
      </c>
      <c r="I1142" t="s">
        <v>2365</v>
      </c>
      <c r="J1142" t="s">
        <v>2365</v>
      </c>
      <c r="K1142" t="s">
        <v>2365</v>
      </c>
      <c r="L1142">
        <v>1200</v>
      </c>
      <c r="M1142" t="s">
        <v>1480</v>
      </c>
      <c r="N1142">
        <v>1204</v>
      </c>
      <c r="O1142" t="s">
        <v>1487</v>
      </c>
      <c r="P1142" t="s">
        <v>2366</v>
      </c>
      <c r="Q1142" t="s">
        <v>2364</v>
      </c>
      <c r="R1142" t="s">
        <v>2364</v>
      </c>
      <c r="S1142" t="s">
        <v>553</v>
      </c>
      <c r="T1142" t="s">
        <v>2175</v>
      </c>
      <c r="U1142">
        <v>140</v>
      </c>
      <c r="V1142" t="s">
        <v>693</v>
      </c>
      <c r="W1142">
        <v>140</v>
      </c>
      <c r="X1142" t="s">
        <v>693</v>
      </c>
      <c r="Y1142" t="s">
        <v>2365</v>
      </c>
      <c r="Z1142" t="s">
        <v>2365</v>
      </c>
      <c r="AA1142" t="s">
        <v>2365</v>
      </c>
      <c r="AB1142" t="s">
        <v>2365</v>
      </c>
      <c r="AC1142" s="813" t="s">
        <v>2365</v>
      </c>
      <c r="AD1142" s="813" t="s">
        <v>2365</v>
      </c>
      <c r="AE1142" s="813" t="s">
        <v>2365</v>
      </c>
      <c r="AF1142" t="s">
        <v>2365</v>
      </c>
      <c r="AG1142" t="s">
        <v>2365</v>
      </c>
      <c r="AH1142" t="s">
        <v>2365</v>
      </c>
      <c r="AI1142" t="s">
        <v>2365</v>
      </c>
      <c r="AJ1142" t="s">
        <v>2365</v>
      </c>
      <c r="AK1142" t="s">
        <v>2366</v>
      </c>
      <c r="AL1142" t="s">
        <v>2366</v>
      </c>
      <c r="AM1142" t="s">
        <v>2366</v>
      </c>
      <c r="AN1142" t="s">
        <v>2366</v>
      </c>
      <c r="AR1142" t="s">
        <v>2365</v>
      </c>
      <c r="AS1142" t="s">
        <v>2365</v>
      </c>
      <c r="AT1142" t="s">
        <v>2365</v>
      </c>
      <c r="AU1142" t="s">
        <v>2365</v>
      </c>
      <c r="AV1142" t="s">
        <v>2365</v>
      </c>
      <c r="AW1142" t="s">
        <v>2365</v>
      </c>
      <c r="AX1142" t="s">
        <v>2365</v>
      </c>
      <c r="AY1142" t="s">
        <v>2365</v>
      </c>
      <c r="AZ1142" t="s">
        <v>2365</v>
      </c>
      <c r="BA1142" t="s">
        <v>2365</v>
      </c>
      <c r="BB1142" t="s">
        <v>2365</v>
      </c>
      <c r="BC1142" t="s">
        <v>2365</v>
      </c>
      <c r="BD1142" t="s">
        <v>2366</v>
      </c>
      <c r="BE1142" t="s">
        <v>2365</v>
      </c>
      <c r="BF1142" t="s">
        <v>2365</v>
      </c>
      <c r="BG1142" t="s">
        <v>2365</v>
      </c>
      <c r="BH1142" t="s">
        <v>2365</v>
      </c>
      <c r="BI1142" t="s">
        <v>2366</v>
      </c>
      <c r="BJ1142" t="s">
        <v>2365</v>
      </c>
      <c r="BK1142" t="s">
        <v>2365</v>
      </c>
      <c r="BL1142" t="s">
        <v>2365</v>
      </c>
      <c r="BM1142" t="s">
        <v>2365</v>
      </c>
      <c r="BO1142">
        <v>1</v>
      </c>
      <c r="BP1142">
        <v>11</v>
      </c>
      <c r="BQ1142" t="s">
        <v>2369</v>
      </c>
      <c r="BR1142" t="s">
        <v>1487</v>
      </c>
      <c r="BU1142">
        <v>0</v>
      </c>
      <c r="BV1142">
        <v>0</v>
      </c>
      <c r="BW1142">
        <v>0</v>
      </c>
      <c r="BX1142">
        <v>0</v>
      </c>
      <c r="BY1142" s="1371">
        <v>0</v>
      </c>
      <c r="BZ1142" s="1371">
        <v>0</v>
      </c>
      <c r="CA1142">
        <v>0</v>
      </c>
      <c r="CB1142">
        <v>0</v>
      </c>
      <c r="CC1142">
        <v>0</v>
      </c>
      <c r="CD1142">
        <v>0</v>
      </c>
      <c r="CE1142">
        <v>0</v>
      </c>
      <c r="CF1142">
        <v>0</v>
      </c>
      <c r="CG1142">
        <v>0</v>
      </c>
      <c r="CH1142">
        <v>0</v>
      </c>
      <c r="CI1142">
        <v>0</v>
      </c>
      <c r="CJ1142">
        <v>0</v>
      </c>
      <c r="CK1142">
        <v>0</v>
      </c>
      <c r="CL1142">
        <v>0</v>
      </c>
      <c r="CM1142">
        <v>0</v>
      </c>
      <c r="CR1142" t="s">
        <v>2320</v>
      </c>
      <c r="CS1142" s="1369" t="str">
        <f>INDEX([8]Sheet1!$H:$H,MATCH(CR:CR,[8]Sheet1!$AU:$AU,0))</f>
        <v>Administrative and Corporate Support</v>
      </c>
    </row>
    <row r="1143" spans="1:97" x14ac:dyDescent="0.2">
      <c r="A1143" t="s">
        <v>4053</v>
      </c>
      <c r="B1143">
        <v>1215</v>
      </c>
      <c r="C1143" t="s">
        <v>4053</v>
      </c>
      <c r="D1143">
        <v>30446</v>
      </c>
      <c r="E1143" t="s">
        <v>4054</v>
      </c>
      <c r="F1143" t="s">
        <v>2364</v>
      </c>
      <c r="G1143" t="s">
        <v>2364</v>
      </c>
      <c r="H1143" t="s">
        <v>2365</v>
      </c>
      <c r="I1143" t="s">
        <v>2365</v>
      </c>
      <c r="J1143" t="s">
        <v>2365</v>
      </c>
      <c r="K1143" t="s">
        <v>2365</v>
      </c>
      <c r="L1143">
        <v>1200</v>
      </c>
      <c r="M1143" t="s">
        <v>1480</v>
      </c>
      <c r="N1143">
        <v>1204</v>
      </c>
      <c r="O1143" t="s">
        <v>1487</v>
      </c>
      <c r="P1143" t="s">
        <v>2366</v>
      </c>
      <c r="Q1143" t="s">
        <v>2364</v>
      </c>
      <c r="R1143" t="s">
        <v>2364</v>
      </c>
      <c r="S1143" t="s">
        <v>553</v>
      </c>
      <c r="T1143" t="s">
        <v>2175</v>
      </c>
      <c r="U1143" t="s">
        <v>2366</v>
      </c>
      <c r="V1143" t="s">
        <v>2366</v>
      </c>
      <c r="W1143" t="s">
        <v>2366</v>
      </c>
      <c r="X1143" t="s">
        <v>2366</v>
      </c>
      <c r="Y1143" t="s">
        <v>2365</v>
      </c>
      <c r="Z1143" t="s">
        <v>2365</v>
      </c>
      <c r="AA1143" t="s">
        <v>2365</v>
      </c>
      <c r="AB1143" t="s">
        <v>2365</v>
      </c>
      <c r="AC1143" s="813" t="s">
        <v>2365</v>
      </c>
      <c r="AD1143" s="813" t="s">
        <v>2365</v>
      </c>
      <c r="AE1143" s="813" t="s">
        <v>2365</v>
      </c>
      <c r="AF1143" t="s">
        <v>2365</v>
      </c>
      <c r="AG1143" t="s">
        <v>2365</v>
      </c>
      <c r="AH1143" t="s">
        <v>2365</v>
      </c>
      <c r="AI1143" t="s">
        <v>2365</v>
      </c>
      <c r="AJ1143" t="s">
        <v>2365</v>
      </c>
      <c r="AK1143">
        <v>146</v>
      </c>
      <c r="AL1143" t="s">
        <v>1199</v>
      </c>
      <c r="AM1143">
        <v>146</v>
      </c>
      <c r="AN1143" t="s">
        <v>1199</v>
      </c>
      <c r="AR1143" t="s">
        <v>2365</v>
      </c>
      <c r="AS1143" t="s">
        <v>2365</v>
      </c>
      <c r="AT1143" t="s">
        <v>2365</v>
      </c>
      <c r="AU1143" t="s">
        <v>2365</v>
      </c>
      <c r="AV1143" t="s">
        <v>2365</v>
      </c>
      <c r="AW1143" t="s">
        <v>2365</v>
      </c>
      <c r="AX1143" t="s">
        <v>2365</v>
      </c>
      <c r="AY1143" t="s">
        <v>2365</v>
      </c>
      <c r="AZ1143" t="s">
        <v>2365</v>
      </c>
      <c r="BA1143" t="s">
        <v>2365</v>
      </c>
      <c r="BB1143" t="s">
        <v>2365</v>
      </c>
      <c r="BC1143" t="s">
        <v>2365</v>
      </c>
      <c r="BD1143" t="s">
        <v>2366</v>
      </c>
      <c r="BE1143" t="s">
        <v>2365</v>
      </c>
      <c r="BF1143" t="s">
        <v>2365</v>
      </c>
      <c r="BG1143" t="s">
        <v>2365</v>
      </c>
      <c r="BH1143" t="s">
        <v>2365</v>
      </c>
      <c r="BI1143" t="s">
        <v>2366</v>
      </c>
      <c r="BJ1143" t="s">
        <v>2365</v>
      </c>
      <c r="BK1143" t="s">
        <v>2365</v>
      </c>
      <c r="BL1143" t="s">
        <v>2365</v>
      </c>
      <c r="BM1143" t="s">
        <v>2365</v>
      </c>
      <c r="BO1143">
        <v>1</v>
      </c>
      <c r="BP1143">
        <v>11</v>
      </c>
      <c r="BQ1143" t="s">
        <v>2369</v>
      </c>
      <c r="BR1143" t="s">
        <v>1487</v>
      </c>
      <c r="BU1143">
        <v>0</v>
      </c>
      <c r="BV1143">
        <v>0</v>
      </c>
      <c r="BW1143">
        <v>0</v>
      </c>
      <c r="BX1143">
        <v>0</v>
      </c>
      <c r="BY1143" s="1371">
        <v>0</v>
      </c>
      <c r="BZ1143" s="1371">
        <v>0</v>
      </c>
      <c r="CA1143">
        <v>0</v>
      </c>
      <c r="CB1143">
        <v>0</v>
      </c>
      <c r="CC1143">
        <v>0</v>
      </c>
      <c r="CD1143">
        <v>0</v>
      </c>
      <c r="CE1143">
        <v>0</v>
      </c>
      <c r="CF1143">
        <v>0</v>
      </c>
      <c r="CG1143">
        <v>0</v>
      </c>
      <c r="CH1143">
        <v>0</v>
      </c>
      <c r="CI1143">
        <v>0</v>
      </c>
      <c r="CJ1143">
        <v>0</v>
      </c>
      <c r="CK1143">
        <v>0</v>
      </c>
      <c r="CL1143">
        <v>0</v>
      </c>
      <c r="CM1143">
        <v>0</v>
      </c>
      <c r="CR1143" t="s">
        <v>2320</v>
      </c>
      <c r="CS1143" s="1369" t="str">
        <f>INDEX([8]Sheet1!$H:$H,MATCH(CR:CR,[8]Sheet1!$AU:$AU,0))</f>
        <v>Administrative and Corporate Support</v>
      </c>
    </row>
    <row r="1144" spans="1:97" x14ac:dyDescent="0.2">
      <c r="A1144" t="s">
        <v>4055</v>
      </c>
      <c r="B1144">
        <v>1216</v>
      </c>
      <c r="C1144" t="s">
        <v>4055</v>
      </c>
      <c r="D1144">
        <v>30447</v>
      </c>
      <c r="E1144" t="s">
        <v>4056</v>
      </c>
      <c r="F1144" t="s">
        <v>2364</v>
      </c>
      <c r="G1144" t="s">
        <v>2364</v>
      </c>
      <c r="H1144" t="s">
        <v>2365</v>
      </c>
      <c r="I1144" t="s">
        <v>2365</v>
      </c>
      <c r="J1144" t="s">
        <v>2365</v>
      </c>
      <c r="K1144" t="s">
        <v>2365</v>
      </c>
      <c r="L1144">
        <v>1200</v>
      </c>
      <c r="M1144" t="s">
        <v>1480</v>
      </c>
      <c r="N1144">
        <v>1204</v>
      </c>
      <c r="O1144" t="s">
        <v>1487</v>
      </c>
      <c r="P1144" t="s">
        <v>2366</v>
      </c>
      <c r="Q1144" t="s">
        <v>2364</v>
      </c>
      <c r="R1144" t="s">
        <v>2364</v>
      </c>
      <c r="S1144" t="s">
        <v>553</v>
      </c>
      <c r="T1144" t="s">
        <v>2175</v>
      </c>
      <c r="U1144" t="s">
        <v>2366</v>
      </c>
      <c r="V1144" t="s">
        <v>2366</v>
      </c>
      <c r="W1144" t="s">
        <v>2366</v>
      </c>
      <c r="X1144" t="s">
        <v>2366</v>
      </c>
      <c r="Y1144" t="s">
        <v>2365</v>
      </c>
      <c r="Z1144" t="s">
        <v>2365</v>
      </c>
      <c r="AA1144" t="s">
        <v>2365</v>
      </c>
      <c r="AB1144" t="s">
        <v>2365</v>
      </c>
      <c r="AC1144" s="813" t="s">
        <v>2365</v>
      </c>
      <c r="AD1144" s="813" t="s">
        <v>2365</v>
      </c>
      <c r="AE1144" s="813" t="s">
        <v>2365</v>
      </c>
      <c r="AF1144" t="s">
        <v>2365</v>
      </c>
      <c r="AG1144" t="s">
        <v>2365</v>
      </c>
      <c r="AH1144" t="s">
        <v>2365</v>
      </c>
      <c r="AI1144" t="s">
        <v>2365</v>
      </c>
      <c r="AJ1144" t="s">
        <v>2365</v>
      </c>
      <c r="AK1144">
        <v>146</v>
      </c>
      <c r="AL1144" t="s">
        <v>1199</v>
      </c>
      <c r="AM1144">
        <v>146</v>
      </c>
      <c r="AN1144" t="s">
        <v>1199</v>
      </c>
      <c r="AR1144" t="s">
        <v>2365</v>
      </c>
      <c r="AS1144" t="s">
        <v>2365</v>
      </c>
      <c r="AT1144" t="s">
        <v>2365</v>
      </c>
      <c r="AU1144" t="s">
        <v>2365</v>
      </c>
      <c r="AV1144" t="s">
        <v>2365</v>
      </c>
      <c r="AW1144" t="s">
        <v>2365</v>
      </c>
      <c r="AX1144" t="s">
        <v>2365</v>
      </c>
      <c r="AY1144" t="s">
        <v>2365</v>
      </c>
      <c r="AZ1144" t="s">
        <v>2365</v>
      </c>
      <c r="BA1144" t="s">
        <v>2365</v>
      </c>
      <c r="BB1144" t="s">
        <v>2365</v>
      </c>
      <c r="BC1144" t="s">
        <v>2365</v>
      </c>
      <c r="BD1144" t="s">
        <v>2366</v>
      </c>
      <c r="BE1144" t="s">
        <v>2365</v>
      </c>
      <c r="BF1144" t="s">
        <v>2365</v>
      </c>
      <c r="BG1144" t="s">
        <v>2365</v>
      </c>
      <c r="BH1144" t="s">
        <v>2365</v>
      </c>
      <c r="BI1144" t="s">
        <v>2366</v>
      </c>
      <c r="BJ1144" t="s">
        <v>2365</v>
      </c>
      <c r="BK1144" t="s">
        <v>2365</v>
      </c>
      <c r="BL1144" t="s">
        <v>2365</v>
      </c>
      <c r="BM1144" t="s">
        <v>2365</v>
      </c>
      <c r="BO1144">
        <v>1</v>
      </c>
      <c r="BP1144">
        <v>11</v>
      </c>
      <c r="BQ1144" t="s">
        <v>2369</v>
      </c>
      <c r="BR1144" t="s">
        <v>1487</v>
      </c>
      <c r="BU1144">
        <v>0</v>
      </c>
      <c r="BV1144">
        <v>0</v>
      </c>
      <c r="BW1144">
        <v>0</v>
      </c>
      <c r="BX1144">
        <v>0</v>
      </c>
      <c r="BY1144">
        <v>0</v>
      </c>
      <c r="BZ1144">
        <v>0</v>
      </c>
      <c r="CA1144">
        <v>0</v>
      </c>
      <c r="CB1144">
        <v>0</v>
      </c>
      <c r="CC1144">
        <v>0</v>
      </c>
      <c r="CD1144">
        <v>0</v>
      </c>
      <c r="CE1144">
        <v>0</v>
      </c>
      <c r="CF1144">
        <v>0</v>
      </c>
      <c r="CG1144">
        <v>0</v>
      </c>
      <c r="CH1144">
        <v>0</v>
      </c>
      <c r="CI1144">
        <v>0</v>
      </c>
      <c r="CJ1144">
        <v>0</v>
      </c>
      <c r="CK1144">
        <v>0</v>
      </c>
      <c r="CL1144">
        <v>0</v>
      </c>
      <c r="CM1144">
        <v>0</v>
      </c>
      <c r="CR1144" t="s">
        <v>2320</v>
      </c>
      <c r="CS1144" s="1369" t="str">
        <f>INDEX([8]Sheet1!$H:$H,MATCH(CR:CR,[8]Sheet1!$AU:$AU,0))</f>
        <v>Administrative and Corporate Support</v>
      </c>
    </row>
    <row r="1145" spans="1:97" x14ac:dyDescent="0.2">
      <c r="A1145" t="s">
        <v>4057</v>
      </c>
      <c r="B1145">
        <v>1217</v>
      </c>
      <c r="C1145" t="s">
        <v>4057</v>
      </c>
      <c r="D1145">
        <v>30448</v>
      </c>
      <c r="E1145" t="s">
        <v>4058</v>
      </c>
      <c r="F1145" t="s">
        <v>2364</v>
      </c>
      <c r="G1145" t="s">
        <v>2364</v>
      </c>
      <c r="H1145" t="s">
        <v>2365</v>
      </c>
      <c r="I1145" t="s">
        <v>2365</v>
      </c>
      <c r="J1145" t="s">
        <v>2365</v>
      </c>
      <c r="K1145" t="s">
        <v>2365</v>
      </c>
      <c r="L1145">
        <v>1200</v>
      </c>
      <c r="M1145" t="s">
        <v>1480</v>
      </c>
      <c r="N1145">
        <v>1204</v>
      </c>
      <c r="O1145" t="s">
        <v>1487</v>
      </c>
      <c r="P1145" t="s">
        <v>2366</v>
      </c>
      <c r="Q1145" t="s">
        <v>2364</v>
      </c>
      <c r="R1145" t="s">
        <v>2364</v>
      </c>
      <c r="S1145" t="s">
        <v>553</v>
      </c>
      <c r="T1145" t="s">
        <v>2175</v>
      </c>
      <c r="U1145">
        <v>140</v>
      </c>
      <c r="V1145" t="s">
        <v>693</v>
      </c>
      <c r="W1145">
        <v>140</v>
      </c>
      <c r="X1145" t="s">
        <v>693</v>
      </c>
      <c r="Y1145" t="s">
        <v>2365</v>
      </c>
      <c r="Z1145" t="s">
        <v>2365</v>
      </c>
      <c r="AA1145" t="s">
        <v>2365</v>
      </c>
      <c r="AB1145" t="s">
        <v>2365</v>
      </c>
      <c r="AC1145" s="813" t="s">
        <v>2365</v>
      </c>
      <c r="AD1145" s="813" t="s">
        <v>2365</v>
      </c>
      <c r="AE1145" s="813" t="s">
        <v>2365</v>
      </c>
      <c r="AF1145" t="s">
        <v>2365</v>
      </c>
      <c r="AG1145" t="s">
        <v>2365</v>
      </c>
      <c r="AH1145" t="s">
        <v>2365</v>
      </c>
      <c r="AI1145" t="s">
        <v>2365</v>
      </c>
      <c r="AJ1145" t="s">
        <v>2365</v>
      </c>
      <c r="AK1145" t="s">
        <v>2366</v>
      </c>
      <c r="AL1145" t="s">
        <v>2366</v>
      </c>
      <c r="AM1145" t="s">
        <v>2366</v>
      </c>
      <c r="AN1145" t="s">
        <v>2366</v>
      </c>
      <c r="AR1145" t="s">
        <v>2365</v>
      </c>
      <c r="AS1145" t="s">
        <v>2365</v>
      </c>
      <c r="AT1145" t="s">
        <v>2365</v>
      </c>
      <c r="AU1145" t="s">
        <v>2365</v>
      </c>
      <c r="AV1145" t="s">
        <v>2365</v>
      </c>
      <c r="AW1145" t="s">
        <v>2365</v>
      </c>
      <c r="AX1145" t="s">
        <v>2365</v>
      </c>
      <c r="AY1145" t="s">
        <v>2365</v>
      </c>
      <c r="AZ1145" t="s">
        <v>2365</v>
      </c>
      <c r="BA1145" t="s">
        <v>2365</v>
      </c>
      <c r="BB1145" t="s">
        <v>2365</v>
      </c>
      <c r="BC1145" t="s">
        <v>2365</v>
      </c>
      <c r="BD1145" t="s">
        <v>2366</v>
      </c>
      <c r="BE1145" t="s">
        <v>2365</v>
      </c>
      <c r="BF1145" t="s">
        <v>2365</v>
      </c>
      <c r="BG1145" t="s">
        <v>2365</v>
      </c>
      <c r="BH1145" t="s">
        <v>2365</v>
      </c>
      <c r="BI1145" t="s">
        <v>2366</v>
      </c>
      <c r="BJ1145" t="s">
        <v>2365</v>
      </c>
      <c r="BK1145" t="s">
        <v>2365</v>
      </c>
      <c r="BL1145" t="s">
        <v>2365</v>
      </c>
      <c r="BM1145" t="s">
        <v>2365</v>
      </c>
      <c r="BO1145">
        <v>1</v>
      </c>
      <c r="BP1145">
        <v>11</v>
      </c>
      <c r="BQ1145" t="s">
        <v>2369</v>
      </c>
      <c r="BR1145" t="s">
        <v>1487</v>
      </c>
      <c r="BU1145">
        <v>0</v>
      </c>
      <c r="BV1145">
        <v>0</v>
      </c>
      <c r="BW1145">
        <v>0</v>
      </c>
      <c r="BX1145">
        <v>0</v>
      </c>
      <c r="BY1145">
        <v>0</v>
      </c>
      <c r="BZ1145">
        <v>0</v>
      </c>
      <c r="CA1145">
        <v>0</v>
      </c>
      <c r="CB1145">
        <v>0</v>
      </c>
      <c r="CC1145">
        <v>0</v>
      </c>
      <c r="CD1145">
        <v>0</v>
      </c>
      <c r="CE1145">
        <v>0</v>
      </c>
      <c r="CF1145">
        <v>0</v>
      </c>
      <c r="CG1145">
        <v>0</v>
      </c>
      <c r="CH1145">
        <v>0</v>
      </c>
      <c r="CI1145">
        <v>0</v>
      </c>
      <c r="CJ1145">
        <v>0</v>
      </c>
      <c r="CK1145">
        <v>0</v>
      </c>
      <c r="CL1145">
        <v>0</v>
      </c>
      <c r="CM1145">
        <v>0</v>
      </c>
      <c r="CR1145" t="s">
        <v>2320</v>
      </c>
      <c r="CS1145" s="1369" t="str">
        <f>INDEX([8]Sheet1!$H:$H,MATCH(CR:CR,[8]Sheet1!$AU:$AU,0))</f>
        <v>Administrative and Corporate Support</v>
      </c>
    </row>
    <row r="1146" spans="1:97" x14ac:dyDescent="0.2">
      <c r="A1146" t="s">
        <v>4059</v>
      </c>
      <c r="B1146">
        <v>1218</v>
      </c>
      <c r="C1146" t="s">
        <v>4059</v>
      </c>
      <c r="D1146">
        <v>30449</v>
      </c>
      <c r="E1146" t="s">
        <v>4060</v>
      </c>
      <c r="F1146" t="s">
        <v>2364</v>
      </c>
      <c r="G1146" t="s">
        <v>2364</v>
      </c>
      <c r="H1146" t="s">
        <v>2365</v>
      </c>
      <c r="I1146" t="s">
        <v>2365</v>
      </c>
      <c r="J1146" t="s">
        <v>2365</v>
      </c>
      <c r="K1146" t="s">
        <v>2365</v>
      </c>
      <c r="L1146">
        <v>1200</v>
      </c>
      <c r="M1146" t="s">
        <v>1480</v>
      </c>
      <c r="N1146">
        <v>1204</v>
      </c>
      <c r="O1146" t="s">
        <v>1487</v>
      </c>
      <c r="P1146" t="s">
        <v>2366</v>
      </c>
      <c r="Q1146" t="s">
        <v>2364</v>
      </c>
      <c r="R1146" t="s">
        <v>2364</v>
      </c>
      <c r="S1146" t="s">
        <v>553</v>
      </c>
      <c r="T1146" t="s">
        <v>2175</v>
      </c>
      <c r="U1146">
        <v>140</v>
      </c>
      <c r="V1146" t="s">
        <v>693</v>
      </c>
      <c r="W1146">
        <v>140</v>
      </c>
      <c r="X1146" t="s">
        <v>693</v>
      </c>
      <c r="Y1146" t="s">
        <v>2365</v>
      </c>
      <c r="Z1146" t="s">
        <v>2365</v>
      </c>
      <c r="AA1146" t="s">
        <v>2365</v>
      </c>
      <c r="AB1146" t="s">
        <v>2365</v>
      </c>
      <c r="AC1146" s="813" t="s">
        <v>2365</v>
      </c>
      <c r="AD1146" s="813" t="s">
        <v>2365</v>
      </c>
      <c r="AE1146" s="813" t="s">
        <v>2365</v>
      </c>
      <c r="AF1146" t="s">
        <v>2365</v>
      </c>
      <c r="AG1146" t="s">
        <v>2365</v>
      </c>
      <c r="AH1146" t="s">
        <v>2365</v>
      </c>
      <c r="AI1146" t="s">
        <v>2365</v>
      </c>
      <c r="AJ1146" t="s">
        <v>2365</v>
      </c>
      <c r="AK1146" t="s">
        <v>2366</v>
      </c>
      <c r="AL1146" t="s">
        <v>2366</v>
      </c>
      <c r="AM1146" t="s">
        <v>2366</v>
      </c>
      <c r="AN1146" t="s">
        <v>2366</v>
      </c>
      <c r="AR1146" t="s">
        <v>2365</v>
      </c>
      <c r="AS1146" t="s">
        <v>2365</v>
      </c>
      <c r="AT1146" t="s">
        <v>2365</v>
      </c>
      <c r="AU1146" t="s">
        <v>2365</v>
      </c>
      <c r="AV1146" t="s">
        <v>2365</v>
      </c>
      <c r="AW1146" t="s">
        <v>2365</v>
      </c>
      <c r="AX1146" t="s">
        <v>2365</v>
      </c>
      <c r="AY1146" t="s">
        <v>2365</v>
      </c>
      <c r="AZ1146" t="s">
        <v>2365</v>
      </c>
      <c r="BA1146" t="s">
        <v>2365</v>
      </c>
      <c r="BB1146" t="s">
        <v>2365</v>
      </c>
      <c r="BC1146" t="s">
        <v>2365</v>
      </c>
      <c r="BD1146" t="s">
        <v>2366</v>
      </c>
      <c r="BE1146" t="s">
        <v>2365</v>
      </c>
      <c r="BF1146" t="s">
        <v>2365</v>
      </c>
      <c r="BG1146" t="s">
        <v>2365</v>
      </c>
      <c r="BH1146" t="s">
        <v>2365</v>
      </c>
      <c r="BI1146" t="s">
        <v>2366</v>
      </c>
      <c r="BJ1146" t="s">
        <v>2365</v>
      </c>
      <c r="BK1146" t="s">
        <v>2365</v>
      </c>
      <c r="BL1146" t="s">
        <v>2365</v>
      </c>
      <c r="BM1146" t="s">
        <v>2365</v>
      </c>
      <c r="BO1146">
        <v>1</v>
      </c>
      <c r="BP1146">
        <v>11</v>
      </c>
      <c r="BQ1146" t="s">
        <v>2369</v>
      </c>
      <c r="BR1146" t="s">
        <v>1487</v>
      </c>
      <c r="BU1146">
        <v>0</v>
      </c>
      <c r="BV1146">
        <v>0</v>
      </c>
      <c r="BW1146">
        <v>0</v>
      </c>
      <c r="BX1146">
        <v>0</v>
      </c>
      <c r="BY1146" s="1371">
        <v>0</v>
      </c>
      <c r="BZ1146" s="1371">
        <v>0</v>
      </c>
      <c r="CA1146">
        <v>0</v>
      </c>
      <c r="CB1146">
        <v>0</v>
      </c>
      <c r="CC1146">
        <v>0</v>
      </c>
      <c r="CD1146">
        <v>0</v>
      </c>
      <c r="CE1146">
        <v>0</v>
      </c>
      <c r="CF1146">
        <v>0</v>
      </c>
      <c r="CG1146">
        <v>0</v>
      </c>
      <c r="CH1146">
        <v>0</v>
      </c>
      <c r="CI1146">
        <v>0</v>
      </c>
      <c r="CJ1146">
        <v>0</v>
      </c>
      <c r="CK1146">
        <v>0</v>
      </c>
      <c r="CL1146">
        <v>0</v>
      </c>
      <c r="CM1146">
        <v>0</v>
      </c>
      <c r="CR1146" t="s">
        <v>2320</v>
      </c>
      <c r="CS1146" s="1369" t="str">
        <f>INDEX([8]Sheet1!$H:$H,MATCH(CR:CR,[8]Sheet1!$AU:$AU,0))</f>
        <v>Administrative and Corporate Support</v>
      </c>
    </row>
    <row r="1147" spans="1:97" x14ac:dyDescent="0.2">
      <c r="A1147" t="s">
        <v>4061</v>
      </c>
      <c r="B1147">
        <v>1219</v>
      </c>
      <c r="C1147" t="s">
        <v>4061</v>
      </c>
      <c r="D1147">
        <v>30450</v>
      </c>
      <c r="E1147" t="s">
        <v>4062</v>
      </c>
      <c r="F1147" t="s">
        <v>2364</v>
      </c>
      <c r="G1147" t="s">
        <v>2364</v>
      </c>
      <c r="H1147" t="s">
        <v>2365</v>
      </c>
      <c r="I1147" t="s">
        <v>2365</v>
      </c>
      <c r="J1147" t="s">
        <v>2365</v>
      </c>
      <c r="K1147" t="s">
        <v>2365</v>
      </c>
      <c r="L1147">
        <v>1200</v>
      </c>
      <c r="M1147" t="s">
        <v>1480</v>
      </c>
      <c r="N1147">
        <v>1204</v>
      </c>
      <c r="O1147" t="s">
        <v>1487</v>
      </c>
      <c r="P1147" t="s">
        <v>2366</v>
      </c>
      <c r="Q1147" t="s">
        <v>2364</v>
      </c>
      <c r="R1147" t="s">
        <v>2364</v>
      </c>
      <c r="S1147" t="s">
        <v>553</v>
      </c>
      <c r="T1147" t="s">
        <v>2175</v>
      </c>
      <c r="U1147">
        <v>140</v>
      </c>
      <c r="V1147" t="s">
        <v>693</v>
      </c>
      <c r="W1147">
        <v>140</v>
      </c>
      <c r="X1147" t="s">
        <v>693</v>
      </c>
      <c r="Y1147" t="s">
        <v>2365</v>
      </c>
      <c r="Z1147" t="s">
        <v>2365</v>
      </c>
      <c r="AA1147" t="s">
        <v>2365</v>
      </c>
      <c r="AB1147" t="s">
        <v>2365</v>
      </c>
      <c r="AC1147" s="813" t="s">
        <v>2365</v>
      </c>
      <c r="AD1147" s="813" t="s">
        <v>2365</v>
      </c>
      <c r="AE1147" s="813" t="s">
        <v>2365</v>
      </c>
      <c r="AF1147" t="s">
        <v>2365</v>
      </c>
      <c r="AG1147" t="s">
        <v>2365</v>
      </c>
      <c r="AH1147" t="s">
        <v>2365</v>
      </c>
      <c r="AI1147" t="s">
        <v>2365</v>
      </c>
      <c r="AJ1147" t="s">
        <v>2365</v>
      </c>
      <c r="AK1147">
        <v>147</v>
      </c>
      <c r="AL1147" t="s">
        <v>1200</v>
      </c>
      <c r="AM1147">
        <v>147</v>
      </c>
      <c r="AN1147" t="s">
        <v>1200</v>
      </c>
      <c r="AR1147" t="s">
        <v>2365</v>
      </c>
      <c r="AS1147" t="s">
        <v>2365</v>
      </c>
      <c r="AT1147" t="s">
        <v>2365</v>
      </c>
      <c r="AU1147" t="s">
        <v>2365</v>
      </c>
      <c r="AV1147" t="s">
        <v>2365</v>
      </c>
      <c r="AW1147" t="s">
        <v>2365</v>
      </c>
      <c r="AX1147" t="s">
        <v>2365</v>
      </c>
      <c r="AY1147" t="s">
        <v>2365</v>
      </c>
      <c r="AZ1147" t="s">
        <v>2365</v>
      </c>
      <c r="BA1147" t="s">
        <v>2365</v>
      </c>
      <c r="BB1147" t="s">
        <v>2365</v>
      </c>
      <c r="BC1147" t="s">
        <v>2365</v>
      </c>
      <c r="BD1147" t="s">
        <v>2366</v>
      </c>
      <c r="BE1147" t="s">
        <v>2365</v>
      </c>
      <c r="BF1147" t="s">
        <v>2365</v>
      </c>
      <c r="BG1147" t="s">
        <v>2365</v>
      </c>
      <c r="BH1147" t="s">
        <v>2365</v>
      </c>
      <c r="BI1147" t="s">
        <v>2366</v>
      </c>
      <c r="BJ1147" t="s">
        <v>2365</v>
      </c>
      <c r="BK1147" t="s">
        <v>2365</v>
      </c>
      <c r="BL1147" t="s">
        <v>2365</v>
      </c>
      <c r="BM1147" t="s">
        <v>2365</v>
      </c>
      <c r="BO1147">
        <v>1</v>
      </c>
      <c r="BP1147">
        <v>11</v>
      </c>
      <c r="BQ1147" t="s">
        <v>2369</v>
      </c>
      <c r="BR1147" t="s">
        <v>1487</v>
      </c>
      <c r="BU1147">
        <v>0</v>
      </c>
      <c r="BV1147">
        <v>0</v>
      </c>
      <c r="BW1147">
        <v>0</v>
      </c>
      <c r="BX1147">
        <v>0</v>
      </c>
      <c r="BY1147" s="1371">
        <v>0</v>
      </c>
      <c r="BZ1147" s="1371">
        <v>0</v>
      </c>
      <c r="CA1147">
        <v>0</v>
      </c>
      <c r="CB1147">
        <v>0</v>
      </c>
      <c r="CC1147">
        <v>0</v>
      </c>
      <c r="CD1147">
        <v>0</v>
      </c>
      <c r="CE1147">
        <v>0</v>
      </c>
      <c r="CF1147">
        <v>0</v>
      </c>
      <c r="CG1147">
        <v>0</v>
      </c>
      <c r="CH1147">
        <v>0</v>
      </c>
      <c r="CI1147">
        <v>0</v>
      </c>
      <c r="CJ1147">
        <v>0</v>
      </c>
      <c r="CK1147">
        <v>0</v>
      </c>
      <c r="CL1147">
        <v>0</v>
      </c>
      <c r="CM1147">
        <v>0</v>
      </c>
      <c r="CR1147" t="s">
        <v>2327</v>
      </c>
      <c r="CS1147" s="1369" t="str">
        <f>INDEX([8]Sheet1!$H:$H,MATCH(CR:CR,[8]Sheet1!$AU:$AU,0))</f>
        <v>Education</v>
      </c>
    </row>
    <row r="1148" spans="1:97" x14ac:dyDescent="0.2">
      <c r="A1148" t="s">
        <v>4063</v>
      </c>
      <c r="B1148">
        <v>1220</v>
      </c>
      <c r="C1148" t="s">
        <v>4063</v>
      </c>
      <c r="D1148">
        <v>30451</v>
      </c>
      <c r="E1148" t="s">
        <v>4064</v>
      </c>
      <c r="F1148" t="s">
        <v>2364</v>
      </c>
      <c r="G1148" t="s">
        <v>2364</v>
      </c>
      <c r="H1148" t="s">
        <v>2365</v>
      </c>
      <c r="I1148" t="s">
        <v>2365</v>
      </c>
      <c r="J1148" t="s">
        <v>2365</v>
      </c>
      <c r="K1148" t="s">
        <v>2365</v>
      </c>
      <c r="L1148">
        <v>1200</v>
      </c>
      <c r="M1148" t="s">
        <v>1480</v>
      </c>
      <c r="N1148">
        <v>1204</v>
      </c>
      <c r="O1148" t="s">
        <v>1487</v>
      </c>
      <c r="P1148" t="s">
        <v>2366</v>
      </c>
      <c r="Q1148" t="s">
        <v>2364</v>
      </c>
      <c r="R1148" t="s">
        <v>2364</v>
      </c>
      <c r="S1148" t="s">
        <v>553</v>
      </c>
      <c r="T1148" t="s">
        <v>2175</v>
      </c>
      <c r="U1148">
        <v>140</v>
      </c>
      <c r="V1148" t="s">
        <v>693</v>
      </c>
      <c r="W1148">
        <v>140</v>
      </c>
      <c r="X1148" t="s">
        <v>693</v>
      </c>
      <c r="Y1148" t="s">
        <v>2365</v>
      </c>
      <c r="Z1148" t="s">
        <v>2365</v>
      </c>
      <c r="AA1148" t="s">
        <v>2365</v>
      </c>
      <c r="AB1148" t="s">
        <v>2365</v>
      </c>
      <c r="AC1148" s="813" t="s">
        <v>2365</v>
      </c>
      <c r="AD1148" s="813" t="s">
        <v>2365</v>
      </c>
      <c r="AE1148" s="813" t="s">
        <v>2365</v>
      </c>
      <c r="AF1148" t="s">
        <v>2365</v>
      </c>
      <c r="AG1148" t="s">
        <v>2365</v>
      </c>
      <c r="AH1148" t="s">
        <v>2365</v>
      </c>
      <c r="AI1148" t="s">
        <v>2365</v>
      </c>
      <c r="AJ1148" t="s">
        <v>2365</v>
      </c>
      <c r="AK1148" t="s">
        <v>2366</v>
      </c>
      <c r="AL1148" t="s">
        <v>2366</v>
      </c>
      <c r="AM1148" t="s">
        <v>2366</v>
      </c>
      <c r="AN1148" t="s">
        <v>2366</v>
      </c>
      <c r="AR1148" t="s">
        <v>2365</v>
      </c>
      <c r="AS1148" t="s">
        <v>2365</v>
      </c>
      <c r="AT1148" t="s">
        <v>2365</v>
      </c>
      <c r="AU1148" t="s">
        <v>2365</v>
      </c>
      <c r="AV1148" t="s">
        <v>2365</v>
      </c>
      <c r="AW1148" t="s">
        <v>2365</v>
      </c>
      <c r="AX1148" t="s">
        <v>2365</v>
      </c>
      <c r="AY1148" t="s">
        <v>2365</v>
      </c>
      <c r="AZ1148" t="s">
        <v>2365</v>
      </c>
      <c r="BA1148" t="s">
        <v>2365</v>
      </c>
      <c r="BB1148" t="s">
        <v>2365</v>
      </c>
      <c r="BC1148" t="s">
        <v>2365</v>
      </c>
      <c r="BD1148" t="s">
        <v>2366</v>
      </c>
      <c r="BE1148" t="s">
        <v>2365</v>
      </c>
      <c r="BF1148" t="s">
        <v>2365</v>
      </c>
      <c r="BG1148" t="s">
        <v>2365</v>
      </c>
      <c r="BH1148" t="s">
        <v>2365</v>
      </c>
      <c r="BI1148" t="s">
        <v>2366</v>
      </c>
      <c r="BJ1148" t="s">
        <v>2365</v>
      </c>
      <c r="BK1148" t="s">
        <v>2365</v>
      </c>
      <c r="BL1148" t="s">
        <v>2365</v>
      </c>
      <c r="BM1148" t="s">
        <v>2365</v>
      </c>
      <c r="BO1148">
        <v>1</v>
      </c>
      <c r="BP1148">
        <v>11</v>
      </c>
      <c r="BQ1148" t="s">
        <v>2369</v>
      </c>
      <c r="BR1148" t="s">
        <v>1487</v>
      </c>
      <c r="BU1148">
        <v>0</v>
      </c>
      <c r="BV1148">
        <v>0</v>
      </c>
      <c r="BW1148">
        <v>0</v>
      </c>
      <c r="BX1148">
        <v>0</v>
      </c>
      <c r="BY1148">
        <v>0</v>
      </c>
      <c r="BZ1148">
        <v>0</v>
      </c>
      <c r="CA1148">
        <v>0</v>
      </c>
      <c r="CB1148">
        <v>0</v>
      </c>
      <c r="CC1148">
        <v>0</v>
      </c>
      <c r="CD1148">
        <v>0</v>
      </c>
      <c r="CE1148">
        <v>0</v>
      </c>
      <c r="CF1148">
        <v>0</v>
      </c>
      <c r="CG1148">
        <v>0</v>
      </c>
      <c r="CH1148">
        <v>0</v>
      </c>
      <c r="CI1148">
        <v>0</v>
      </c>
      <c r="CJ1148">
        <v>0</v>
      </c>
      <c r="CK1148">
        <v>0</v>
      </c>
      <c r="CL1148">
        <v>0</v>
      </c>
      <c r="CM1148">
        <v>0</v>
      </c>
      <c r="CR1148" t="s">
        <v>2320</v>
      </c>
      <c r="CS1148" s="1369" t="str">
        <f>INDEX([8]Sheet1!$H:$H,MATCH(CR:CR,[8]Sheet1!$AU:$AU,0))</f>
        <v>Administrative and Corporate Support</v>
      </c>
    </row>
    <row r="1149" spans="1:97" x14ac:dyDescent="0.2">
      <c r="A1149" t="s">
        <v>4065</v>
      </c>
      <c r="B1149">
        <v>1222</v>
      </c>
      <c r="C1149" t="s">
        <v>4065</v>
      </c>
      <c r="D1149">
        <v>30453</v>
      </c>
      <c r="E1149" t="s">
        <v>4066</v>
      </c>
      <c r="F1149" t="s">
        <v>2364</v>
      </c>
      <c r="G1149" t="s">
        <v>2364</v>
      </c>
      <c r="H1149" t="s">
        <v>2365</v>
      </c>
      <c r="I1149" t="s">
        <v>2365</v>
      </c>
      <c r="J1149" t="s">
        <v>2365</v>
      </c>
      <c r="K1149" t="s">
        <v>2365</v>
      </c>
      <c r="L1149">
        <v>1200</v>
      </c>
      <c r="M1149" t="s">
        <v>1480</v>
      </c>
      <c r="N1149">
        <v>1204</v>
      </c>
      <c r="O1149" t="s">
        <v>1487</v>
      </c>
      <c r="P1149" t="s">
        <v>2366</v>
      </c>
      <c r="Q1149" t="s">
        <v>2364</v>
      </c>
      <c r="R1149" t="s">
        <v>2364</v>
      </c>
      <c r="S1149" t="s">
        <v>553</v>
      </c>
      <c r="T1149" t="s">
        <v>2175</v>
      </c>
      <c r="U1149">
        <v>140</v>
      </c>
      <c r="V1149" t="s">
        <v>693</v>
      </c>
      <c r="W1149">
        <v>140</v>
      </c>
      <c r="X1149" t="s">
        <v>693</v>
      </c>
      <c r="Y1149" t="s">
        <v>2365</v>
      </c>
      <c r="Z1149" t="s">
        <v>2365</v>
      </c>
      <c r="AA1149" t="s">
        <v>2365</v>
      </c>
      <c r="AB1149" t="s">
        <v>2365</v>
      </c>
      <c r="AC1149" s="813" t="s">
        <v>2365</v>
      </c>
      <c r="AD1149" s="813" t="s">
        <v>2365</v>
      </c>
      <c r="AE1149" s="813" t="s">
        <v>2365</v>
      </c>
      <c r="AF1149" t="s">
        <v>2365</v>
      </c>
      <c r="AG1149" t="s">
        <v>2365</v>
      </c>
      <c r="AH1149" t="s">
        <v>2365</v>
      </c>
      <c r="AI1149" t="s">
        <v>2365</v>
      </c>
      <c r="AJ1149" t="s">
        <v>2365</v>
      </c>
      <c r="AK1149" t="s">
        <v>2366</v>
      </c>
      <c r="AL1149" t="s">
        <v>2366</v>
      </c>
      <c r="AM1149" t="s">
        <v>2366</v>
      </c>
      <c r="AN1149" t="s">
        <v>2366</v>
      </c>
      <c r="AR1149" t="s">
        <v>2365</v>
      </c>
      <c r="AS1149" t="s">
        <v>2365</v>
      </c>
      <c r="AT1149" t="s">
        <v>2365</v>
      </c>
      <c r="AU1149" t="s">
        <v>2365</v>
      </c>
      <c r="AV1149" t="s">
        <v>2365</v>
      </c>
      <c r="AW1149" t="s">
        <v>2365</v>
      </c>
      <c r="AX1149" t="s">
        <v>2365</v>
      </c>
      <c r="AY1149" t="s">
        <v>2365</v>
      </c>
      <c r="AZ1149" t="s">
        <v>2365</v>
      </c>
      <c r="BA1149" t="s">
        <v>2365</v>
      </c>
      <c r="BB1149" t="s">
        <v>2365</v>
      </c>
      <c r="BC1149" t="s">
        <v>2365</v>
      </c>
      <c r="BD1149" t="s">
        <v>2366</v>
      </c>
      <c r="BE1149" t="s">
        <v>2365</v>
      </c>
      <c r="BF1149" t="s">
        <v>2365</v>
      </c>
      <c r="BG1149" t="s">
        <v>2365</v>
      </c>
      <c r="BH1149" t="s">
        <v>2365</v>
      </c>
      <c r="BI1149" t="s">
        <v>2366</v>
      </c>
      <c r="BJ1149" t="s">
        <v>2365</v>
      </c>
      <c r="BK1149" t="s">
        <v>2365</v>
      </c>
      <c r="BL1149" t="s">
        <v>2365</v>
      </c>
      <c r="BM1149" t="s">
        <v>2365</v>
      </c>
      <c r="BO1149">
        <v>1</v>
      </c>
      <c r="BP1149">
        <v>11</v>
      </c>
      <c r="BQ1149" t="s">
        <v>2369</v>
      </c>
      <c r="BR1149" t="s">
        <v>1487</v>
      </c>
      <c r="BU1149">
        <v>0</v>
      </c>
      <c r="BV1149">
        <v>0</v>
      </c>
      <c r="BW1149">
        <v>0</v>
      </c>
      <c r="BX1149">
        <v>0</v>
      </c>
      <c r="BY1149" s="1371">
        <v>0</v>
      </c>
      <c r="BZ1149" s="1371">
        <v>0</v>
      </c>
      <c r="CA1149">
        <v>0</v>
      </c>
      <c r="CB1149">
        <v>0</v>
      </c>
      <c r="CC1149">
        <v>0</v>
      </c>
      <c r="CD1149">
        <v>0</v>
      </c>
      <c r="CE1149">
        <v>0</v>
      </c>
      <c r="CF1149">
        <v>0</v>
      </c>
      <c r="CG1149">
        <v>0</v>
      </c>
      <c r="CH1149">
        <v>0</v>
      </c>
      <c r="CI1149">
        <v>0</v>
      </c>
      <c r="CJ1149">
        <v>0</v>
      </c>
      <c r="CK1149">
        <v>0</v>
      </c>
      <c r="CL1149">
        <v>0</v>
      </c>
      <c r="CM1149">
        <v>0</v>
      </c>
      <c r="CR1149" t="s">
        <v>2320</v>
      </c>
      <c r="CS1149" s="1369" t="str">
        <f>INDEX([8]Sheet1!$H:$H,MATCH(CR:CR,[8]Sheet1!$AU:$AU,0))</f>
        <v>Administrative and Corporate Support</v>
      </c>
    </row>
    <row r="1150" spans="1:97" x14ac:dyDescent="0.2">
      <c r="A1150" t="s">
        <v>4067</v>
      </c>
      <c r="B1150">
        <v>1223</v>
      </c>
      <c r="C1150" t="s">
        <v>4067</v>
      </c>
      <c r="D1150">
        <v>30454</v>
      </c>
      <c r="E1150" t="s">
        <v>4068</v>
      </c>
      <c r="F1150" t="s">
        <v>2364</v>
      </c>
      <c r="G1150" t="s">
        <v>2364</v>
      </c>
      <c r="H1150" t="s">
        <v>2365</v>
      </c>
      <c r="I1150" t="s">
        <v>2365</v>
      </c>
      <c r="J1150" t="s">
        <v>2365</v>
      </c>
      <c r="K1150" t="s">
        <v>2365</v>
      </c>
      <c r="L1150">
        <v>1200</v>
      </c>
      <c r="M1150" t="s">
        <v>1480</v>
      </c>
      <c r="N1150">
        <v>1204</v>
      </c>
      <c r="O1150" t="s">
        <v>1487</v>
      </c>
      <c r="P1150" t="s">
        <v>2366</v>
      </c>
      <c r="Q1150" t="s">
        <v>2364</v>
      </c>
      <c r="R1150" t="s">
        <v>2364</v>
      </c>
      <c r="S1150" t="s">
        <v>553</v>
      </c>
      <c r="T1150" t="s">
        <v>2175</v>
      </c>
      <c r="U1150" t="s">
        <v>2366</v>
      </c>
      <c r="V1150" t="s">
        <v>2366</v>
      </c>
      <c r="W1150" t="s">
        <v>2366</v>
      </c>
      <c r="X1150" t="s">
        <v>2366</v>
      </c>
      <c r="Y1150" t="s">
        <v>2365</v>
      </c>
      <c r="Z1150" t="s">
        <v>2365</v>
      </c>
      <c r="AA1150" t="s">
        <v>2365</v>
      </c>
      <c r="AB1150" t="s">
        <v>2365</v>
      </c>
      <c r="AC1150" s="813" t="s">
        <v>2365</v>
      </c>
      <c r="AD1150" s="813" t="s">
        <v>2365</v>
      </c>
      <c r="AE1150" s="813" t="s">
        <v>2365</v>
      </c>
      <c r="AF1150" t="s">
        <v>2365</v>
      </c>
      <c r="AG1150" t="s">
        <v>2365</v>
      </c>
      <c r="AH1150" t="s">
        <v>2365</v>
      </c>
      <c r="AI1150" t="s">
        <v>2365</v>
      </c>
      <c r="AJ1150" t="s">
        <v>2365</v>
      </c>
      <c r="AK1150">
        <v>146</v>
      </c>
      <c r="AL1150" t="s">
        <v>1199</v>
      </c>
      <c r="AM1150">
        <v>146</v>
      </c>
      <c r="AN1150" t="s">
        <v>1199</v>
      </c>
      <c r="AR1150" t="s">
        <v>2365</v>
      </c>
      <c r="AS1150" t="s">
        <v>2365</v>
      </c>
      <c r="AT1150" t="s">
        <v>2365</v>
      </c>
      <c r="AU1150" t="s">
        <v>2365</v>
      </c>
      <c r="AV1150" t="s">
        <v>2365</v>
      </c>
      <c r="AW1150" t="s">
        <v>2365</v>
      </c>
      <c r="AX1150" t="s">
        <v>2365</v>
      </c>
      <c r="AY1150" t="s">
        <v>2365</v>
      </c>
      <c r="AZ1150" t="s">
        <v>2365</v>
      </c>
      <c r="BA1150" t="s">
        <v>2365</v>
      </c>
      <c r="BB1150" t="s">
        <v>2365</v>
      </c>
      <c r="BC1150" t="s">
        <v>2365</v>
      </c>
      <c r="BD1150" t="s">
        <v>2366</v>
      </c>
      <c r="BE1150" t="s">
        <v>2365</v>
      </c>
      <c r="BF1150" t="s">
        <v>2365</v>
      </c>
      <c r="BG1150" t="s">
        <v>2365</v>
      </c>
      <c r="BH1150" t="s">
        <v>2365</v>
      </c>
      <c r="BI1150" t="s">
        <v>2366</v>
      </c>
      <c r="BJ1150" t="s">
        <v>2365</v>
      </c>
      <c r="BK1150" t="s">
        <v>2365</v>
      </c>
      <c r="BL1150" t="s">
        <v>2365</v>
      </c>
      <c r="BM1150" t="s">
        <v>2365</v>
      </c>
      <c r="BO1150">
        <v>1</v>
      </c>
      <c r="BP1150">
        <v>11</v>
      </c>
      <c r="BQ1150" t="s">
        <v>2369</v>
      </c>
      <c r="BR1150" t="s">
        <v>1487</v>
      </c>
      <c r="BU1150">
        <v>0</v>
      </c>
      <c r="BV1150">
        <v>0</v>
      </c>
      <c r="BW1150">
        <v>0</v>
      </c>
      <c r="BX1150">
        <v>0</v>
      </c>
      <c r="BY1150">
        <v>0</v>
      </c>
      <c r="BZ1150">
        <v>0</v>
      </c>
      <c r="CA1150">
        <v>0</v>
      </c>
      <c r="CB1150">
        <v>0</v>
      </c>
      <c r="CC1150">
        <v>0</v>
      </c>
      <c r="CD1150">
        <v>0</v>
      </c>
      <c r="CE1150">
        <v>0</v>
      </c>
      <c r="CF1150">
        <v>0</v>
      </c>
      <c r="CG1150">
        <v>0</v>
      </c>
      <c r="CH1150">
        <v>0</v>
      </c>
      <c r="CI1150">
        <v>0</v>
      </c>
      <c r="CJ1150">
        <v>0</v>
      </c>
      <c r="CK1150">
        <v>0</v>
      </c>
      <c r="CL1150">
        <v>0</v>
      </c>
      <c r="CM1150">
        <v>0</v>
      </c>
      <c r="CR1150" t="s">
        <v>2327</v>
      </c>
      <c r="CS1150" s="1369" t="str">
        <f>INDEX([8]Sheet1!$H:$H,MATCH(CR:CR,[8]Sheet1!$AU:$AU,0))</f>
        <v>Education</v>
      </c>
    </row>
    <row r="1151" spans="1:97" x14ac:dyDescent="0.2">
      <c r="A1151" t="s">
        <v>4069</v>
      </c>
      <c r="B1151">
        <v>1224</v>
      </c>
      <c r="C1151" t="s">
        <v>4069</v>
      </c>
      <c r="D1151">
        <v>30455</v>
      </c>
      <c r="E1151" t="s">
        <v>4070</v>
      </c>
      <c r="F1151" t="s">
        <v>2364</v>
      </c>
      <c r="G1151" t="s">
        <v>2364</v>
      </c>
      <c r="H1151" t="s">
        <v>2365</v>
      </c>
      <c r="I1151" t="s">
        <v>2365</v>
      </c>
      <c r="J1151" t="s">
        <v>2365</v>
      </c>
      <c r="K1151" t="s">
        <v>2365</v>
      </c>
      <c r="L1151">
        <v>1200</v>
      </c>
      <c r="M1151" t="s">
        <v>1480</v>
      </c>
      <c r="N1151">
        <v>1204</v>
      </c>
      <c r="O1151" t="s">
        <v>1487</v>
      </c>
      <c r="P1151" t="s">
        <v>2366</v>
      </c>
      <c r="Q1151" t="s">
        <v>2364</v>
      </c>
      <c r="R1151" t="s">
        <v>2364</v>
      </c>
      <c r="S1151" t="s">
        <v>553</v>
      </c>
      <c r="T1151" t="s">
        <v>2175</v>
      </c>
      <c r="U1151" t="s">
        <v>2366</v>
      </c>
      <c r="V1151" t="s">
        <v>2366</v>
      </c>
      <c r="W1151" t="s">
        <v>2366</v>
      </c>
      <c r="X1151" t="s">
        <v>2366</v>
      </c>
      <c r="Y1151" t="s">
        <v>2365</v>
      </c>
      <c r="Z1151" t="s">
        <v>2365</v>
      </c>
      <c r="AA1151" t="s">
        <v>2365</v>
      </c>
      <c r="AB1151" t="s">
        <v>2365</v>
      </c>
      <c r="AC1151" s="813" t="s">
        <v>2365</v>
      </c>
      <c r="AD1151" s="813" t="s">
        <v>2365</v>
      </c>
      <c r="AE1151" s="813" t="s">
        <v>2365</v>
      </c>
      <c r="AF1151" t="s">
        <v>2365</v>
      </c>
      <c r="AG1151" t="s">
        <v>2365</v>
      </c>
      <c r="AH1151" t="s">
        <v>2365</v>
      </c>
      <c r="AI1151" t="s">
        <v>2365</v>
      </c>
      <c r="AJ1151" t="s">
        <v>2365</v>
      </c>
      <c r="AK1151">
        <v>146</v>
      </c>
      <c r="AL1151" t="s">
        <v>1199</v>
      </c>
      <c r="AM1151">
        <v>146</v>
      </c>
      <c r="AN1151" t="s">
        <v>1199</v>
      </c>
      <c r="AR1151" t="s">
        <v>2365</v>
      </c>
      <c r="AS1151" t="s">
        <v>2365</v>
      </c>
      <c r="AT1151" t="s">
        <v>2365</v>
      </c>
      <c r="AU1151" t="s">
        <v>2365</v>
      </c>
      <c r="AV1151" t="s">
        <v>2365</v>
      </c>
      <c r="AW1151" t="s">
        <v>2365</v>
      </c>
      <c r="AX1151" t="s">
        <v>2365</v>
      </c>
      <c r="AY1151" t="s">
        <v>2365</v>
      </c>
      <c r="AZ1151" t="s">
        <v>2365</v>
      </c>
      <c r="BA1151" t="s">
        <v>2365</v>
      </c>
      <c r="BB1151" t="s">
        <v>2365</v>
      </c>
      <c r="BC1151" t="s">
        <v>2365</v>
      </c>
      <c r="BD1151" t="s">
        <v>2366</v>
      </c>
      <c r="BE1151" t="s">
        <v>2365</v>
      </c>
      <c r="BF1151" t="s">
        <v>2365</v>
      </c>
      <c r="BG1151" t="s">
        <v>2365</v>
      </c>
      <c r="BH1151" t="s">
        <v>2365</v>
      </c>
      <c r="BI1151" t="s">
        <v>2366</v>
      </c>
      <c r="BJ1151" t="s">
        <v>2365</v>
      </c>
      <c r="BK1151" t="s">
        <v>2365</v>
      </c>
      <c r="BL1151" t="s">
        <v>2365</v>
      </c>
      <c r="BM1151" t="s">
        <v>2365</v>
      </c>
      <c r="BO1151">
        <v>1</v>
      </c>
      <c r="BP1151">
        <v>11</v>
      </c>
      <c r="BQ1151" t="s">
        <v>2369</v>
      </c>
      <c r="BR1151" t="s">
        <v>1487</v>
      </c>
      <c r="BU1151">
        <v>0</v>
      </c>
      <c r="BV1151">
        <v>0</v>
      </c>
      <c r="BW1151">
        <v>0</v>
      </c>
      <c r="BX1151">
        <v>0</v>
      </c>
      <c r="BY1151" s="1371">
        <v>0</v>
      </c>
      <c r="BZ1151" s="1371">
        <v>0</v>
      </c>
      <c r="CA1151">
        <v>0</v>
      </c>
      <c r="CB1151">
        <v>0</v>
      </c>
      <c r="CC1151">
        <v>0</v>
      </c>
      <c r="CD1151">
        <v>0</v>
      </c>
      <c r="CE1151">
        <v>0</v>
      </c>
      <c r="CF1151">
        <v>0</v>
      </c>
      <c r="CG1151">
        <v>0</v>
      </c>
      <c r="CH1151">
        <v>0</v>
      </c>
      <c r="CI1151">
        <v>0</v>
      </c>
      <c r="CJ1151">
        <v>0</v>
      </c>
      <c r="CK1151">
        <v>0</v>
      </c>
      <c r="CL1151">
        <v>0</v>
      </c>
      <c r="CM1151">
        <v>0</v>
      </c>
      <c r="CR1151" t="s">
        <v>2327</v>
      </c>
      <c r="CS1151" s="1369" t="str">
        <f>INDEX([8]Sheet1!$H:$H,MATCH(CR:CR,[8]Sheet1!$AU:$AU,0))</f>
        <v>Education</v>
      </c>
    </row>
    <row r="1152" spans="1:97" x14ac:dyDescent="0.2">
      <c r="A1152" t="s">
        <v>4071</v>
      </c>
      <c r="B1152">
        <v>1225</v>
      </c>
      <c r="C1152" t="s">
        <v>4071</v>
      </c>
      <c r="D1152">
        <v>30456</v>
      </c>
      <c r="E1152" t="s">
        <v>4072</v>
      </c>
      <c r="F1152" t="s">
        <v>2364</v>
      </c>
      <c r="G1152" t="s">
        <v>2364</v>
      </c>
      <c r="H1152" t="s">
        <v>2365</v>
      </c>
      <c r="I1152" t="s">
        <v>2365</v>
      </c>
      <c r="J1152" t="s">
        <v>2365</v>
      </c>
      <c r="K1152" t="s">
        <v>2365</v>
      </c>
      <c r="L1152">
        <v>1200</v>
      </c>
      <c r="M1152" t="s">
        <v>1480</v>
      </c>
      <c r="N1152">
        <v>1204</v>
      </c>
      <c r="O1152" t="s">
        <v>1487</v>
      </c>
      <c r="P1152" t="s">
        <v>2366</v>
      </c>
      <c r="Q1152" t="s">
        <v>2364</v>
      </c>
      <c r="R1152" t="s">
        <v>2364</v>
      </c>
      <c r="S1152" t="s">
        <v>553</v>
      </c>
      <c r="T1152" t="s">
        <v>2175</v>
      </c>
      <c r="U1152">
        <v>140</v>
      </c>
      <c r="V1152" t="s">
        <v>693</v>
      </c>
      <c r="W1152">
        <v>140</v>
      </c>
      <c r="X1152" t="s">
        <v>693</v>
      </c>
      <c r="Y1152" t="s">
        <v>2365</v>
      </c>
      <c r="Z1152" t="s">
        <v>2365</v>
      </c>
      <c r="AA1152" t="s">
        <v>2365</v>
      </c>
      <c r="AB1152" t="s">
        <v>2365</v>
      </c>
      <c r="AC1152" s="813" t="s">
        <v>2365</v>
      </c>
      <c r="AD1152" s="813" t="s">
        <v>2365</v>
      </c>
      <c r="AE1152" s="813" t="s">
        <v>2365</v>
      </c>
      <c r="AF1152" t="s">
        <v>2365</v>
      </c>
      <c r="AG1152" t="s">
        <v>2365</v>
      </c>
      <c r="AH1152" t="s">
        <v>2365</v>
      </c>
      <c r="AI1152" t="s">
        <v>2365</v>
      </c>
      <c r="AJ1152" t="s">
        <v>2365</v>
      </c>
      <c r="AK1152" t="s">
        <v>2366</v>
      </c>
      <c r="AL1152" t="s">
        <v>2366</v>
      </c>
      <c r="AM1152" t="s">
        <v>2366</v>
      </c>
      <c r="AN1152" t="s">
        <v>2366</v>
      </c>
      <c r="AR1152" t="s">
        <v>2365</v>
      </c>
      <c r="AS1152" t="s">
        <v>2365</v>
      </c>
      <c r="AT1152" t="s">
        <v>2365</v>
      </c>
      <c r="AU1152" t="s">
        <v>2365</v>
      </c>
      <c r="AV1152" t="s">
        <v>2365</v>
      </c>
      <c r="AW1152" t="s">
        <v>2365</v>
      </c>
      <c r="AX1152" t="s">
        <v>2365</v>
      </c>
      <c r="AY1152" t="s">
        <v>2365</v>
      </c>
      <c r="AZ1152" t="s">
        <v>2365</v>
      </c>
      <c r="BA1152" t="s">
        <v>2365</v>
      </c>
      <c r="BB1152" t="s">
        <v>2365</v>
      </c>
      <c r="BC1152" t="s">
        <v>2365</v>
      </c>
      <c r="BD1152" t="s">
        <v>2366</v>
      </c>
      <c r="BE1152" t="s">
        <v>2365</v>
      </c>
      <c r="BF1152" t="s">
        <v>2365</v>
      </c>
      <c r="BG1152" t="s">
        <v>2365</v>
      </c>
      <c r="BH1152" t="s">
        <v>2365</v>
      </c>
      <c r="BI1152" t="s">
        <v>2366</v>
      </c>
      <c r="BJ1152" t="s">
        <v>2365</v>
      </c>
      <c r="BK1152" t="s">
        <v>2365</v>
      </c>
      <c r="BL1152" t="s">
        <v>2365</v>
      </c>
      <c r="BM1152" t="s">
        <v>2365</v>
      </c>
      <c r="BO1152">
        <v>1</v>
      </c>
      <c r="BP1152">
        <v>11</v>
      </c>
      <c r="BQ1152" t="s">
        <v>2369</v>
      </c>
      <c r="BR1152" t="s">
        <v>1487</v>
      </c>
      <c r="BU1152">
        <v>0</v>
      </c>
      <c r="BV1152">
        <v>0</v>
      </c>
      <c r="BW1152">
        <v>0</v>
      </c>
      <c r="BX1152">
        <v>0</v>
      </c>
      <c r="BY1152" s="1371">
        <v>0</v>
      </c>
      <c r="BZ1152" s="1371">
        <v>0</v>
      </c>
      <c r="CA1152">
        <v>0</v>
      </c>
      <c r="CB1152">
        <v>0</v>
      </c>
      <c r="CC1152">
        <v>0</v>
      </c>
      <c r="CD1152">
        <v>0</v>
      </c>
      <c r="CE1152">
        <v>0</v>
      </c>
      <c r="CF1152">
        <v>0</v>
      </c>
      <c r="CG1152">
        <v>0</v>
      </c>
      <c r="CH1152">
        <v>0</v>
      </c>
      <c r="CI1152">
        <v>0</v>
      </c>
      <c r="CJ1152">
        <v>0</v>
      </c>
      <c r="CK1152">
        <v>0</v>
      </c>
      <c r="CL1152">
        <v>0</v>
      </c>
      <c r="CM1152">
        <v>0</v>
      </c>
      <c r="CR1152" t="s">
        <v>2327</v>
      </c>
      <c r="CS1152" s="1369" t="str">
        <f>INDEX([8]Sheet1!$H:$H,MATCH(CR:CR,[8]Sheet1!$AU:$AU,0))</f>
        <v>Education</v>
      </c>
    </row>
    <row r="1153" spans="1:97" x14ac:dyDescent="0.2">
      <c r="A1153" t="s">
        <v>4073</v>
      </c>
      <c r="B1153">
        <v>1226</v>
      </c>
      <c r="C1153" t="s">
        <v>4073</v>
      </c>
      <c r="D1153">
        <v>30457</v>
      </c>
      <c r="E1153" t="s">
        <v>4074</v>
      </c>
      <c r="F1153" t="s">
        <v>2364</v>
      </c>
      <c r="G1153" t="s">
        <v>2364</v>
      </c>
      <c r="H1153" s="1373" t="s">
        <v>2365</v>
      </c>
      <c r="I1153" t="s">
        <v>2365</v>
      </c>
      <c r="J1153" t="s">
        <v>2365</v>
      </c>
      <c r="K1153" t="s">
        <v>2365</v>
      </c>
      <c r="L1153" s="1373">
        <v>1200</v>
      </c>
      <c r="M1153" t="s">
        <v>1480</v>
      </c>
      <c r="N1153">
        <v>1204</v>
      </c>
      <c r="O1153" t="s">
        <v>1487</v>
      </c>
      <c r="P1153" t="s">
        <v>2366</v>
      </c>
      <c r="Q1153" t="s">
        <v>2364</v>
      </c>
      <c r="R1153" t="s">
        <v>2364</v>
      </c>
      <c r="S1153" t="s">
        <v>553</v>
      </c>
      <c r="T1153" t="s">
        <v>2175</v>
      </c>
      <c r="U1153">
        <v>140</v>
      </c>
      <c r="V1153" t="s">
        <v>693</v>
      </c>
      <c r="W1153">
        <v>140</v>
      </c>
      <c r="X1153" t="s">
        <v>693</v>
      </c>
      <c r="Y1153" t="s">
        <v>2365</v>
      </c>
      <c r="Z1153" t="s">
        <v>2365</v>
      </c>
      <c r="AA1153" t="s">
        <v>2365</v>
      </c>
      <c r="AB1153" t="s">
        <v>2365</v>
      </c>
      <c r="AC1153" s="813" t="s">
        <v>2365</v>
      </c>
      <c r="AD1153" s="813" t="s">
        <v>2365</v>
      </c>
      <c r="AE1153" s="813" t="s">
        <v>2365</v>
      </c>
      <c r="AF1153" t="s">
        <v>2365</v>
      </c>
      <c r="AG1153" t="s">
        <v>2365</v>
      </c>
      <c r="AH1153" t="s">
        <v>2365</v>
      </c>
      <c r="AI1153" t="s">
        <v>2365</v>
      </c>
      <c r="AJ1153" t="s">
        <v>2365</v>
      </c>
      <c r="AK1153" t="s">
        <v>2366</v>
      </c>
      <c r="AL1153" t="s">
        <v>2366</v>
      </c>
      <c r="AM1153" t="s">
        <v>2366</v>
      </c>
      <c r="AN1153" t="s">
        <v>2366</v>
      </c>
      <c r="AR1153" t="s">
        <v>2365</v>
      </c>
      <c r="AS1153" t="s">
        <v>2365</v>
      </c>
      <c r="AT1153" t="s">
        <v>2365</v>
      </c>
      <c r="AU1153" t="s">
        <v>2365</v>
      </c>
      <c r="AV1153" t="s">
        <v>2365</v>
      </c>
      <c r="AW1153" t="s">
        <v>2365</v>
      </c>
      <c r="AX1153" t="s">
        <v>2365</v>
      </c>
      <c r="AY1153" t="s">
        <v>2365</v>
      </c>
      <c r="AZ1153" t="s">
        <v>2365</v>
      </c>
      <c r="BA1153" t="s">
        <v>2365</v>
      </c>
      <c r="BB1153" t="s">
        <v>2365</v>
      </c>
      <c r="BC1153" t="s">
        <v>2365</v>
      </c>
      <c r="BD1153" t="s">
        <v>2366</v>
      </c>
      <c r="BE1153" t="s">
        <v>2365</v>
      </c>
      <c r="BF1153" t="s">
        <v>2365</v>
      </c>
      <c r="BG1153" t="s">
        <v>2365</v>
      </c>
      <c r="BH1153" t="s">
        <v>2365</v>
      </c>
      <c r="BI1153" t="s">
        <v>2366</v>
      </c>
      <c r="BJ1153" t="s">
        <v>2365</v>
      </c>
      <c r="BK1153" t="s">
        <v>2365</v>
      </c>
      <c r="BL1153" t="s">
        <v>2365</v>
      </c>
      <c r="BM1153" t="s">
        <v>2365</v>
      </c>
      <c r="BO1153">
        <v>1</v>
      </c>
      <c r="BP1153">
        <v>11</v>
      </c>
      <c r="BQ1153" t="s">
        <v>2369</v>
      </c>
      <c r="BR1153" t="s">
        <v>1487</v>
      </c>
      <c r="BU1153" s="1371">
        <v>0</v>
      </c>
      <c r="BV1153" s="1371">
        <v>0</v>
      </c>
      <c r="BW1153" s="1371">
        <v>0</v>
      </c>
      <c r="BX1153" s="1371">
        <v>0</v>
      </c>
      <c r="BY1153" s="1371">
        <v>0</v>
      </c>
      <c r="BZ1153">
        <v>0</v>
      </c>
      <c r="CA1153">
        <v>0</v>
      </c>
      <c r="CB1153">
        <v>0</v>
      </c>
      <c r="CC1153">
        <v>0</v>
      </c>
      <c r="CD1153">
        <v>0</v>
      </c>
      <c r="CE1153">
        <v>0</v>
      </c>
      <c r="CF1153">
        <v>0</v>
      </c>
      <c r="CG1153">
        <v>0</v>
      </c>
      <c r="CH1153">
        <v>0</v>
      </c>
      <c r="CI1153">
        <v>0</v>
      </c>
      <c r="CJ1153">
        <v>0</v>
      </c>
      <c r="CK1153">
        <v>0</v>
      </c>
      <c r="CL1153">
        <v>0</v>
      </c>
      <c r="CM1153">
        <v>0</v>
      </c>
      <c r="CR1153" t="s">
        <v>2320</v>
      </c>
      <c r="CS1153" s="1369" t="str">
        <f>INDEX([8]Sheet1!$H:$H,MATCH(CR:CR,[8]Sheet1!$AU:$AU,0))</f>
        <v>Administrative and Corporate Support</v>
      </c>
    </row>
    <row r="1154" spans="1:97" x14ac:dyDescent="0.2">
      <c r="A1154" t="s">
        <v>4075</v>
      </c>
      <c r="B1154">
        <v>1227</v>
      </c>
      <c r="C1154" t="s">
        <v>4075</v>
      </c>
      <c r="D1154">
        <v>30458</v>
      </c>
      <c r="E1154" t="s">
        <v>4076</v>
      </c>
      <c r="F1154" t="s">
        <v>2364</v>
      </c>
      <c r="G1154" t="s">
        <v>2364</v>
      </c>
      <c r="H1154" t="s">
        <v>2365</v>
      </c>
      <c r="I1154" t="s">
        <v>2365</v>
      </c>
      <c r="J1154" t="s">
        <v>2365</v>
      </c>
      <c r="K1154" t="s">
        <v>2365</v>
      </c>
      <c r="L1154">
        <v>1200</v>
      </c>
      <c r="M1154" t="s">
        <v>1480</v>
      </c>
      <c r="N1154">
        <v>1204</v>
      </c>
      <c r="O1154" t="s">
        <v>1487</v>
      </c>
      <c r="P1154" t="s">
        <v>2366</v>
      </c>
      <c r="Q1154" t="s">
        <v>2364</v>
      </c>
      <c r="R1154" t="s">
        <v>2364</v>
      </c>
      <c r="S1154" t="s">
        <v>553</v>
      </c>
      <c r="T1154" t="s">
        <v>2175</v>
      </c>
      <c r="U1154">
        <v>140</v>
      </c>
      <c r="V1154" t="s">
        <v>693</v>
      </c>
      <c r="W1154">
        <v>140</v>
      </c>
      <c r="X1154" t="s">
        <v>693</v>
      </c>
      <c r="Y1154" t="s">
        <v>2365</v>
      </c>
      <c r="Z1154" t="s">
        <v>2365</v>
      </c>
      <c r="AA1154" t="s">
        <v>2365</v>
      </c>
      <c r="AB1154" t="s">
        <v>2365</v>
      </c>
      <c r="AC1154" s="813" t="s">
        <v>2365</v>
      </c>
      <c r="AD1154" s="813" t="s">
        <v>2365</v>
      </c>
      <c r="AE1154" s="813" t="s">
        <v>2365</v>
      </c>
      <c r="AF1154" t="s">
        <v>2365</v>
      </c>
      <c r="AG1154" t="s">
        <v>2365</v>
      </c>
      <c r="AH1154" t="s">
        <v>2365</v>
      </c>
      <c r="AI1154" t="s">
        <v>2365</v>
      </c>
      <c r="AJ1154" t="s">
        <v>2365</v>
      </c>
      <c r="AK1154">
        <v>147</v>
      </c>
      <c r="AL1154" t="s">
        <v>1200</v>
      </c>
      <c r="AM1154">
        <v>147</v>
      </c>
      <c r="AN1154" t="s">
        <v>1200</v>
      </c>
      <c r="AR1154" t="s">
        <v>2365</v>
      </c>
      <c r="AS1154" t="s">
        <v>2365</v>
      </c>
      <c r="AT1154" t="s">
        <v>2365</v>
      </c>
      <c r="AU1154" t="s">
        <v>2365</v>
      </c>
      <c r="AV1154" t="s">
        <v>2365</v>
      </c>
      <c r="AW1154" t="s">
        <v>2365</v>
      </c>
      <c r="AX1154" t="s">
        <v>2365</v>
      </c>
      <c r="AY1154" t="s">
        <v>2365</v>
      </c>
      <c r="AZ1154" t="s">
        <v>2365</v>
      </c>
      <c r="BA1154" t="s">
        <v>2365</v>
      </c>
      <c r="BB1154" t="s">
        <v>2365</v>
      </c>
      <c r="BC1154" t="s">
        <v>2365</v>
      </c>
      <c r="BD1154" t="s">
        <v>2366</v>
      </c>
      <c r="BE1154" t="s">
        <v>2365</v>
      </c>
      <c r="BF1154" t="s">
        <v>2365</v>
      </c>
      <c r="BG1154" t="s">
        <v>2365</v>
      </c>
      <c r="BH1154" t="s">
        <v>2365</v>
      </c>
      <c r="BI1154" t="s">
        <v>2366</v>
      </c>
      <c r="BJ1154" t="s">
        <v>2365</v>
      </c>
      <c r="BK1154" t="s">
        <v>2365</v>
      </c>
      <c r="BL1154" t="s">
        <v>2365</v>
      </c>
      <c r="BM1154" t="s">
        <v>2365</v>
      </c>
      <c r="BO1154">
        <v>1</v>
      </c>
      <c r="BP1154">
        <v>11</v>
      </c>
      <c r="BQ1154" t="s">
        <v>2369</v>
      </c>
      <c r="BR1154" t="s">
        <v>1487</v>
      </c>
      <c r="BU1154">
        <v>0</v>
      </c>
      <c r="BV1154">
        <v>0</v>
      </c>
      <c r="BW1154">
        <v>0</v>
      </c>
      <c r="BX1154">
        <v>0</v>
      </c>
      <c r="BY1154" s="1371">
        <v>0</v>
      </c>
      <c r="BZ1154" s="1371">
        <v>0</v>
      </c>
      <c r="CA1154">
        <v>0</v>
      </c>
      <c r="CB1154">
        <v>0</v>
      </c>
      <c r="CC1154">
        <v>0</v>
      </c>
      <c r="CD1154">
        <v>0</v>
      </c>
      <c r="CE1154">
        <v>0</v>
      </c>
      <c r="CF1154">
        <v>0</v>
      </c>
      <c r="CG1154">
        <v>0</v>
      </c>
      <c r="CH1154">
        <v>0</v>
      </c>
      <c r="CI1154">
        <v>0</v>
      </c>
      <c r="CJ1154">
        <v>0</v>
      </c>
      <c r="CK1154">
        <v>0</v>
      </c>
      <c r="CL1154">
        <v>0</v>
      </c>
      <c r="CM1154">
        <v>0</v>
      </c>
      <c r="CR1154" t="s">
        <v>2327</v>
      </c>
      <c r="CS1154" s="1369" t="str">
        <f>INDEX([8]Sheet1!$H:$H,MATCH(CR:CR,[8]Sheet1!$AU:$AU,0))</f>
        <v>Education</v>
      </c>
    </row>
    <row r="1155" spans="1:97" x14ac:dyDescent="0.2">
      <c r="A1155" t="s">
        <v>4077</v>
      </c>
      <c r="B1155">
        <v>1228</v>
      </c>
      <c r="C1155" t="s">
        <v>4077</v>
      </c>
      <c r="D1155">
        <v>30459</v>
      </c>
      <c r="E1155" t="s">
        <v>4078</v>
      </c>
      <c r="F1155" t="s">
        <v>2364</v>
      </c>
      <c r="G1155" t="s">
        <v>2364</v>
      </c>
      <c r="H1155" t="s">
        <v>2365</v>
      </c>
      <c r="I1155" t="s">
        <v>2365</v>
      </c>
      <c r="J1155" t="s">
        <v>2365</v>
      </c>
      <c r="K1155" t="s">
        <v>2365</v>
      </c>
      <c r="L1155">
        <v>1200</v>
      </c>
      <c r="M1155" t="s">
        <v>1480</v>
      </c>
      <c r="N1155">
        <v>1204</v>
      </c>
      <c r="O1155" t="s">
        <v>1487</v>
      </c>
      <c r="P1155" t="s">
        <v>2366</v>
      </c>
      <c r="Q1155" t="s">
        <v>2364</v>
      </c>
      <c r="R1155" t="s">
        <v>2364</v>
      </c>
      <c r="S1155" t="s">
        <v>553</v>
      </c>
      <c r="T1155" t="s">
        <v>2175</v>
      </c>
      <c r="U1155">
        <v>140</v>
      </c>
      <c r="V1155" t="s">
        <v>693</v>
      </c>
      <c r="W1155">
        <v>140</v>
      </c>
      <c r="X1155" t="s">
        <v>693</v>
      </c>
      <c r="Y1155" t="s">
        <v>2365</v>
      </c>
      <c r="Z1155" t="s">
        <v>2365</v>
      </c>
      <c r="AA1155" t="s">
        <v>2365</v>
      </c>
      <c r="AB1155" t="s">
        <v>2365</v>
      </c>
      <c r="AC1155" s="813" t="s">
        <v>2365</v>
      </c>
      <c r="AD1155" s="813" t="s">
        <v>2365</v>
      </c>
      <c r="AE1155" s="813" t="s">
        <v>2365</v>
      </c>
      <c r="AF1155" t="s">
        <v>2365</v>
      </c>
      <c r="AG1155" t="s">
        <v>2365</v>
      </c>
      <c r="AH1155" t="s">
        <v>2365</v>
      </c>
      <c r="AI1155" t="s">
        <v>2365</v>
      </c>
      <c r="AJ1155" t="s">
        <v>2365</v>
      </c>
      <c r="AK1155" t="s">
        <v>2366</v>
      </c>
      <c r="AL1155" t="s">
        <v>2366</v>
      </c>
      <c r="AM1155" t="s">
        <v>2366</v>
      </c>
      <c r="AN1155" t="s">
        <v>2366</v>
      </c>
      <c r="AR1155" t="s">
        <v>2365</v>
      </c>
      <c r="AS1155" t="s">
        <v>2365</v>
      </c>
      <c r="AT1155" t="s">
        <v>2365</v>
      </c>
      <c r="AU1155" t="s">
        <v>2365</v>
      </c>
      <c r="AV1155" t="s">
        <v>2365</v>
      </c>
      <c r="AW1155" t="s">
        <v>2365</v>
      </c>
      <c r="AX1155" t="s">
        <v>2365</v>
      </c>
      <c r="AY1155" t="s">
        <v>2365</v>
      </c>
      <c r="AZ1155" t="s">
        <v>2365</v>
      </c>
      <c r="BA1155" t="s">
        <v>2365</v>
      </c>
      <c r="BB1155" t="s">
        <v>2365</v>
      </c>
      <c r="BC1155" t="s">
        <v>2365</v>
      </c>
      <c r="BD1155" t="s">
        <v>2366</v>
      </c>
      <c r="BE1155" t="s">
        <v>2365</v>
      </c>
      <c r="BF1155" t="s">
        <v>2365</v>
      </c>
      <c r="BG1155" t="s">
        <v>2365</v>
      </c>
      <c r="BH1155" t="s">
        <v>2365</v>
      </c>
      <c r="BI1155" t="s">
        <v>2366</v>
      </c>
      <c r="BJ1155" t="s">
        <v>2365</v>
      </c>
      <c r="BK1155" t="s">
        <v>2365</v>
      </c>
      <c r="BL1155" t="s">
        <v>2365</v>
      </c>
      <c r="BM1155" t="s">
        <v>2365</v>
      </c>
      <c r="BO1155">
        <v>1</v>
      </c>
      <c r="BP1155">
        <v>11</v>
      </c>
      <c r="BQ1155" t="s">
        <v>2369</v>
      </c>
      <c r="BR1155" t="s">
        <v>1487</v>
      </c>
      <c r="BU1155">
        <v>0</v>
      </c>
      <c r="BV1155">
        <v>0</v>
      </c>
      <c r="BW1155">
        <v>0</v>
      </c>
      <c r="BX1155">
        <v>0</v>
      </c>
      <c r="BY1155">
        <v>0</v>
      </c>
      <c r="BZ1155">
        <v>0</v>
      </c>
      <c r="CA1155">
        <v>0</v>
      </c>
      <c r="CB1155">
        <v>0</v>
      </c>
      <c r="CC1155">
        <v>0</v>
      </c>
      <c r="CD1155">
        <v>0</v>
      </c>
      <c r="CE1155">
        <v>0</v>
      </c>
      <c r="CF1155">
        <v>0</v>
      </c>
      <c r="CG1155">
        <v>0</v>
      </c>
      <c r="CH1155">
        <v>0</v>
      </c>
      <c r="CI1155">
        <v>0</v>
      </c>
      <c r="CJ1155">
        <v>0</v>
      </c>
      <c r="CK1155">
        <v>0</v>
      </c>
      <c r="CL1155">
        <v>0</v>
      </c>
      <c r="CM1155">
        <v>0</v>
      </c>
      <c r="CR1155" t="s">
        <v>2320</v>
      </c>
      <c r="CS1155" s="1369" t="str">
        <f>INDEX([8]Sheet1!$H:$H,MATCH(CR:CR,[8]Sheet1!$AU:$AU,0))</f>
        <v>Administrative and Corporate Support</v>
      </c>
    </row>
    <row r="1156" spans="1:97" x14ac:dyDescent="0.2">
      <c r="A1156" t="s">
        <v>4079</v>
      </c>
      <c r="B1156">
        <v>1229</v>
      </c>
      <c r="C1156" t="s">
        <v>4079</v>
      </c>
      <c r="D1156">
        <v>30460</v>
      </c>
      <c r="E1156" t="s">
        <v>4080</v>
      </c>
      <c r="F1156" t="s">
        <v>2364</v>
      </c>
      <c r="G1156" t="s">
        <v>2364</v>
      </c>
      <c r="H1156" t="s">
        <v>2365</v>
      </c>
      <c r="I1156" t="s">
        <v>2365</v>
      </c>
      <c r="J1156" t="s">
        <v>2365</v>
      </c>
      <c r="K1156" t="s">
        <v>2365</v>
      </c>
      <c r="L1156">
        <v>1200</v>
      </c>
      <c r="M1156" t="s">
        <v>1480</v>
      </c>
      <c r="N1156">
        <v>1204</v>
      </c>
      <c r="O1156" t="s">
        <v>1487</v>
      </c>
      <c r="P1156" t="s">
        <v>2366</v>
      </c>
      <c r="Q1156" t="s">
        <v>2364</v>
      </c>
      <c r="R1156" t="s">
        <v>2364</v>
      </c>
      <c r="S1156" t="s">
        <v>553</v>
      </c>
      <c r="T1156" t="s">
        <v>2175</v>
      </c>
      <c r="U1156">
        <v>140</v>
      </c>
      <c r="V1156" t="s">
        <v>693</v>
      </c>
      <c r="W1156">
        <v>140</v>
      </c>
      <c r="X1156" t="s">
        <v>693</v>
      </c>
      <c r="Y1156" t="s">
        <v>2365</v>
      </c>
      <c r="Z1156" t="s">
        <v>2365</v>
      </c>
      <c r="AA1156" t="s">
        <v>2365</v>
      </c>
      <c r="AB1156" t="s">
        <v>2365</v>
      </c>
      <c r="AC1156" s="813" t="s">
        <v>2365</v>
      </c>
      <c r="AD1156" s="813" t="s">
        <v>2365</v>
      </c>
      <c r="AE1156" s="813" t="s">
        <v>2365</v>
      </c>
      <c r="AF1156" t="s">
        <v>2365</v>
      </c>
      <c r="AG1156" t="s">
        <v>2365</v>
      </c>
      <c r="AH1156" t="s">
        <v>2365</v>
      </c>
      <c r="AI1156" t="s">
        <v>2365</v>
      </c>
      <c r="AJ1156" t="s">
        <v>2365</v>
      </c>
      <c r="AK1156" t="s">
        <v>2366</v>
      </c>
      <c r="AL1156" t="s">
        <v>2366</v>
      </c>
      <c r="AM1156" t="s">
        <v>2366</v>
      </c>
      <c r="AN1156" t="s">
        <v>2366</v>
      </c>
      <c r="AR1156" t="s">
        <v>2365</v>
      </c>
      <c r="AS1156" t="s">
        <v>2365</v>
      </c>
      <c r="AT1156" t="s">
        <v>2365</v>
      </c>
      <c r="AU1156" t="s">
        <v>2365</v>
      </c>
      <c r="AV1156" t="s">
        <v>2365</v>
      </c>
      <c r="AW1156" t="s">
        <v>2365</v>
      </c>
      <c r="AX1156" t="s">
        <v>2365</v>
      </c>
      <c r="AY1156" t="s">
        <v>2365</v>
      </c>
      <c r="AZ1156" t="s">
        <v>2365</v>
      </c>
      <c r="BA1156" t="s">
        <v>2365</v>
      </c>
      <c r="BB1156" t="s">
        <v>2365</v>
      </c>
      <c r="BC1156" t="s">
        <v>2365</v>
      </c>
      <c r="BD1156" t="s">
        <v>2366</v>
      </c>
      <c r="BE1156" t="s">
        <v>2365</v>
      </c>
      <c r="BF1156" t="s">
        <v>2365</v>
      </c>
      <c r="BG1156" t="s">
        <v>2365</v>
      </c>
      <c r="BH1156" t="s">
        <v>2365</v>
      </c>
      <c r="BI1156" t="s">
        <v>2366</v>
      </c>
      <c r="BJ1156" t="s">
        <v>2365</v>
      </c>
      <c r="BK1156" t="s">
        <v>2365</v>
      </c>
      <c r="BL1156" t="s">
        <v>2365</v>
      </c>
      <c r="BM1156" t="s">
        <v>2365</v>
      </c>
      <c r="BO1156">
        <v>1</v>
      </c>
      <c r="BP1156">
        <v>11</v>
      </c>
      <c r="BQ1156" t="s">
        <v>2369</v>
      </c>
      <c r="BR1156" t="s">
        <v>1487</v>
      </c>
      <c r="BU1156">
        <v>0</v>
      </c>
      <c r="BV1156">
        <v>0</v>
      </c>
      <c r="BW1156">
        <v>0</v>
      </c>
      <c r="BX1156">
        <v>0</v>
      </c>
      <c r="BY1156">
        <v>0</v>
      </c>
      <c r="BZ1156">
        <v>0</v>
      </c>
      <c r="CA1156">
        <v>0</v>
      </c>
      <c r="CB1156">
        <v>0</v>
      </c>
      <c r="CC1156">
        <v>0</v>
      </c>
      <c r="CD1156">
        <v>0</v>
      </c>
      <c r="CE1156">
        <v>0</v>
      </c>
      <c r="CF1156">
        <v>0</v>
      </c>
      <c r="CG1156">
        <v>0</v>
      </c>
      <c r="CH1156">
        <v>0</v>
      </c>
      <c r="CI1156">
        <v>0</v>
      </c>
      <c r="CJ1156">
        <v>0</v>
      </c>
      <c r="CK1156">
        <v>0</v>
      </c>
      <c r="CL1156">
        <v>0</v>
      </c>
      <c r="CM1156">
        <v>0</v>
      </c>
      <c r="CR1156" t="s">
        <v>2335</v>
      </c>
      <c r="CS1156" s="1369" t="str">
        <f>INDEX([8]Sheet1!$H:$H,MATCH(CR:CR,[8]Sheet1!$AU:$AU,0))</f>
        <v>Economic Development/Planning</v>
      </c>
    </row>
    <row r="1157" spans="1:97" x14ac:dyDescent="0.2">
      <c r="A1157" t="s">
        <v>4081</v>
      </c>
      <c r="B1157">
        <v>1230</v>
      </c>
      <c r="C1157" t="s">
        <v>4081</v>
      </c>
      <c r="D1157">
        <v>30461</v>
      </c>
      <c r="E1157" t="s">
        <v>4082</v>
      </c>
      <c r="F1157" t="s">
        <v>2364</v>
      </c>
      <c r="G1157" t="s">
        <v>2364</v>
      </c>
      <c r="H1157" t="s">
        <v>2365</v>
      </c>
      <c r="I1157" t="s">
        <v>2365</v>
      </c>
      <c r="J1157" t="s">
        <v>2365</v>
      </c>
      <c r="K1157" t="s">
        <v>2365</v>
      </c>
      <c r="L1157">
        <v>1200</v>
      </c>
      <c r="M1157" t="s">
        <v>1480</v>
      </c>
      <c r="N1157">
        <v>1204</v>
      </c>
      <c r="O1157" t="s">
        <v>1487</v>
      </c>
      <c r="P1157" t="s">
        <v>2366</v>
      </c>
      <c r="Q1157" t="s">
        <v>2364</v>
      </c>
      <c r="R1157" t="s">
        <v>2364</v>
      </c>
      <c r="S1157" t="s">
        <v>553</v>
      </c>
      <c r="T1157" t="s">
        <v>2175</v>
      </c>
      <c r="U1157">
        <v>140</v>
      </c>
      <c r="V1157" t="s">
        <v>693</v>
      </c>
      <c r="W1157">
        <v>140</v>
      </c>
      <c r="X1157" t="s">
        <v>693</v>
      </c>
      <c r="Y1157" t="s">
        <v>2365</v>
      </c>
      <c r="Z1157" t="s">
        <v>2365</v>
      </c>
      <c r="AA1157" t="s">
        <v>2365</v>
      </c>
      <c r="AB1157" t="s">
        <v>2365</v>
      </c>
      <c r="AC1157" s="813" t="s">
        <v>2365</v>
      </c>
      <c r="AD1157" s="813" t="s">
        <v>2365</v>
      </c>
      <c r="AE1157" s="813" t="s">
        <v>2365</v>
      </c>
      <c r="AF1157" t="s">
        <v>2365</v>
      </c>
      <c r="AG1157" t="s">
        <v>2365</v>
      </c>
      <c r="AH1157" t="s">
        <v>2365</v>
      </c>
      <c r="AI1157" t="s">
        <v>2365</v>
      </c>
      <c r="AJ1157" t="s">
        <v>2365</v>
      </c>
      <c r="AK1157" t="s">
        <v>2366</v>
      </c>
      <c r="AL1157" t="s">
        <v>2366</v>
      </c>
      <c r="AM1157" t="s">
        <v>2366</v>
      </c>
      <c r="AN1157" t="s">
        <v>2366</v>
      </c>
      <c r="AR1157" t="s">
        <v>2365</v>
      </c>
      <c r="AS1157" t="s">
        <v>2365</v>
      </c>
      <c r="AT1157" t="s">
        <v>2365</v>
      </c>
      <c r="AU1157" t="s">
        <v>2365</v>
      </c>
      <c r="AV1157" t="s">
        <v>2365</v>
      </c>
      <c r="AW1157" t="s">
        <v>2365</v>
      </c>
      <c r="AX1157" t="s">
        <v>2365</v>
      </c>
      <c r="AY1157" t="s">
        <v>2365</v>
      </c>
      <c r="AZ1157" t="s">
        <v>2365</v>
      </c>
      <c r="BA1157" t="s">
        <v>2365</v>
      </c>
      <c r="BB1157" t="s">
        <v>2365</v>
      </c>
      <c r="BC1157" t="s">
        <v>2365</v>
      </c>
      <c r="BD1157" t="s">
        <v>2366</v>
      </c>
      <c r="BE1157" t="s">
        <v>2365</v>
      </c>
      <c r="BF1157" t="s">
        <v>2365</v>
      </c>
      <c r="BG1157" t="s">
        <v>2365</v>
      </c>
      <c r="BH1157" t="s">
        <v>2365</v>
      </c>
      <c r="BI1157" t="s">
        <v>2366</v>
      </c>
      <c r="BJ1157" t="s">
        <v>2365</v>
      </c>
      <c r="BK1157" t="s">
        <v>2365</v>
      </c>
      <c r="BL1157" t="s">
        <v>2365</v>
      </c>
      <c r="BM1157" t="s">
        <v>2365</v>
      </c>
      <c r="BO1157">
        <v>1</v>
      </c>
      <c r="BP1157">
        <v>11</v>
      </c>
      <c r="BQ1157" t="s">
        <v>2369</v>
      </c>
      <c r="BR1157" t="s">
        <v>1487</v>
      </c>
      <c r="BU1157">
        <v>0</v>
      </c>
      <c r="BV1157">
        <v>0</v>
      </c>
      <c r="BW1157">
        <v>0</v>
      </c>
      <c r="BX1157">
        <v>0</v>
      </c>
      <c r="BY1157" s="1371">
        <v>0</v>
      </c>
      <c r="BZ1157" s="1371">
        <v>0</v>
      </c>
      <c r="CA1157">
        <v>0</v>
      </c>
      <c r="CB1157">
        <v>0</v>
      </c>
      <c r="CC1157">
        <v>0</v>
      </c>
      <c r="CD1157">
        <v>0</v>
      </c>
      <c r="CE1157">
        <v>0</v>
      </c>
      <c r="CF1157">
        <v>0</v>
      </c>
      <c r="CG1157">
        <v>0</v>
      </c>
      <c r="CH1157">
        <v>0</v>
      </c>
      <c r="CI1157">
        <v>0</v>
      </c>
      <c r="CJ1157">
        <v>0</v>
      </c>
      <c r="CK1157">
        <v>0</v>
      </c>
      <c r="CL1157">
        <v>0</v>
      </c>
      <c r="CM1157">
        <v>0</v>
      </c>
      <c r="CR1157" t="s">
        <v>2320</v>
      </c>
      <c r="CS1157" s="1369" t="str">
        <f>INDEX([8]Sheet1!$H:$H,MATCH(CR:CR,[8]Sheet1!$AU:$AU,0))</f>
        <v>Administrative and Corporate Support</v>
      </c>
    </row>
    <row r="1158" spans="1:97" x14ac:dyDescent="0.2">
      <c r="A1158" t="s">
        <v>4083</v>
      </c>
      <c r="B1158">
        <v>1231</v>
      </c>
      <c r="C1158" t="s">
        <v>4083</v>
      </c>
      <c r="D1158">
        <v>30462</v>
      </c>
      <c r="E1158" t="s">
        <v>4084</v>
      </c>
      <c r="F1158" t="s">
        <v>2364</v>
      </c>
      <c r="G1158" t="s">
        <v>2364</v>
      </c>
      <c r="H1158" t="s">
        <v>2365</v>
      </c>
      <c r="I1158" t="s">
        <v>2365</v>
      </c>
      <c r="J1158" t="s">
        <v>2365</v>
      </c>
      <c r="K1158" t="s">
        <v>2365</v>
      </c>
      <c r="L1158">
        <v>1200</v>
      </c>
      <c r="M1158" t="s">
        <v>1480</v>
      </c>
      <c r="N1158">
        <v>1204</v>
      </c>
      <c r="O1158" t="s">
        <v>1487</v>
      </c>
      <c r="P1158" t="s">
        <v>2366</v>
      </c>
      <c r="Q1158" t="s">
        <v>2364</v>
      </c>
      <c r="R1158" t="s">
        <v>2364</v>
      </c>
      <c r="S1158" t="s">
        <v>553</v>
      </c>
      <c r="T1158" t="s">
        <v>2175</v>
      </c>
      <c r="U1158" t="s">
        <v>2366</v>
      </c>
      <c r="V1158" t="s">
        <v>2366</v>
      </c>
      <c r="W1158" t="s">
        <v>2366</v>
      </c>
      <c r="X1158" t="s">
        <v>2366</v>
      </c>
      <c r="Y1158" t="s">
        <v>2365</v>
      </c>
      <c r="Z1158" t="s">
        <v>2365</v>
      </c>
      <c r="AA1158" t="s">
        <v>2365</v>
      </c>
      <c r="AB1158" t="s">
        <v>2365</v>
      </c>
      <c r="AC1158" s="813" t="s">
        <v>2365</v>
      </c>
      <c r="AD1158" s="813" t="s">
        <v>2365</v>
      </c>
      <c r="AE1158" s="813" t="s">
        <v>2365</v>
      </c>
      <c r="AF1158" t="s">
        <v>2365</v>
      </c>
      <c r="AG1158" t="s">
        <v>2365</v>
      </c>
      <c r="AH1158" t="s">
        <v>2365</v>
      </c>
      <c r="AI1158" t="s">
        <v>2365</v>
      </c>
      <c r="AJ1158" t="s">
        <v>2365</v>
      </c>
      <c r="AK1158">
        <v>146</v>
      </c>
      <c r="AL1158" t="s">
        <v>1199</v>
      </c>
      <c r="AM1158">
        <v>146</v>
      </c>
      <c r="AN1158" t="s">
        <v>1199</v>
      </c>
      <c r="AR1158" t="s">
        <v>2365</v>
      </c>
      <c r="AS1158" t="s">
        <v>2365</v>
      </c>
      <c r="AT1158" t="s">
        <v>2365</v>
      </c>
      <c r="AU1158" t="s">
        <v>2365</v>
      </c>
      <c r="AV1158" t="s">
        <v>2365</v>
      </c>
      <c r="AW1158" t="s">
        <v>2365</v>
      </c>
      <c r="AX1158" t="s">
        <v>2365</v>
      </c>
      <c r="AY1158" t="s">
        <v>2365</v>
      </c>
      <c r="AZ1158" t="s">
        <v>2365</v>
      </c>
      <c r="BA1158" t="s">
        <v>2365</v>
      </c>
      <c r="BB1158" t="s">
        <v>2365</v>
      </c>
      <c r="BC1158" t="s">
        <v>2365</v>
      </c>
      <c r="BD1158" t="s">
        <v>2366</v>
      </c>
      <c r="BE1158" t="s">
        <v>2365</v>
      </c>
      <c r="BF1158" t="s">
        <v>2365</v>
      </c>
      <c r="BG1158" t="s">
        <v>2365</v>
      </c>
      <c r="BH1158" t="s">
        <v>2365</v>
      </c>
      <c r="BI1158" t="s">
        <v>2366</v>
      </c>
      <c r="BJ1158" t="s">
        <v>2365</v>
      </c>
      <c r="BK1158" t="s">
        <v>2365</v>
      </c>
      <c r="BL1158" t="s">
        <v>2365</v>
      </c>
      <c r="BM1158" t="s">
        <v>2365</v>
      </c>
      <c r="BO1158">
        <v>1</v>
      </c>
      <c r="BP1158">
        <v>11</v>
      </c>
      <c r="BQ1158" t="s">
        <v>2369</v>
      </c>
      <c r="BR1158" t="s">
        <v>1487</v>
      </c>
      <c r="BU1158">
        <v>0</v>
      </c>
      <c r="BV1158">
        <v>0</v>
      </c>
      <c r="BW1158">
        <v>0</v>
      </c>
      <c r="BX1158">
        <v>0</v>
      </c>
      <c r="BY1158" s="1371">
        <v>0</v>
      </c>
      <c r="BZ1158" s="1371">
        <v>0</v>
      </c>
      <c r="CA1158">
        <v>0</v>
      </c>
      <c r="CB1158">
        <v>0</v>
      </c>
      <c r="CC1158">
        <v>0</v>
      </c>
      <c r="CD1158">
        <v>0</v>
      </c>
      <c r="CE1158">
        <v>0</v>
      </c>
      <c r="CF1158">
        <v>0</v>
      </c>
      <c r="CG1158">
        <v>0</v>
      </c>
      <c r="CH1158">
        <v>0</v>
      </c>
      <c r="CI1158">
        <v>0</v>
      </c>
      <c r="CJ1158">
        <v>0</v>
      </c>
      <c r="CK1158">
        <v>0</v>
      </c>
      <c r="CL1158">
        <v>0</v>
      </c>
      <c r="CM1158">
        <v>0</v>
      </c>
      <c r="CR1158" t="s">
        <v>2320</v>
      </c>
      <c r="CS1158" s="1369" t="str">
        <f>INDEX([8]Sheet1!$H:$H,MATCH(CR:CR,[8]Sheet1!$AU:$AU,0))</f>
        <v>Administrative and Corporate Support</v>
      </c>
    </row>
    <row r="1159" spans="1:97" x14ac:dyDescent="0.2">
      <c r="A1159" t="s">
        <v>4085</v>
      </c>
      <c r="B1159">
        <v>1232</v>
      </c>
      <c r="C1159" t="s">
        <v>4085</v>
      </c>
      <c r="D1159">
        <v>30463</v>
      </c>
      <c r="E1159" t="s">
        <v>4086</v>
      </c>
      <c r="F1159" t="s">
        <v>2364</v>
      </c>
      <c r="G1159" t="s">
        <v>2364</v>
      </c>
      <c r="H1159" t="s">
        <v>2365</v>
      </c>
      <c r="I1159" t="s">
        <v>2365</v>
      </c>
      <c r="J1159" t="s">
        <v>2365</v>
      </c>
      <c r="K1159" t="s">
        <v>2365</v>
      </c>
      <c r="L1159">
        <v>1200</v>
      </c>
      <c r="M1159" t="s">
        <v>1480</v>
      </c>
      <c r="N1159">
        <v>1204</v>
      </c>
      <c r="O1159" t="s">
        <v>1487</v>
      </c>
      <c r="P1159" t="s">
        <v>2366</v>
      </c>
      <c r="Q1159" t="s">
        <v>2364</v>
      </c>
      <c r="R1159" t="s">
        <v>2364</v>
      </c>
      <c r="S1159" t="s">
        <v>553</v>
      </c>
      <c r="T1159" t="s">
        <v>2175</v>
      </c>
      <c r="U1159" t="s">
        <v>2366</v>
      </c>
      <c r="V1159" t="s">
        <v>2366</v>
      </c>
      <c r="W1159" t="s">
        <v>2366</v>
      </c>
      <c r="X1159" t="s">
        <v>2366</v>
      </c>
      <c r="Y1159" t="s">
        <v>2365</v>
      </c>
      <c r="Z1159" t="s">
        <v>2365</v>
      </c>
      <c r="AA1159" t="s">
        <v>2365</v>
      </c>
      <c r="AB1159" t="s">
        <v>2365</v>
      </c>
      <c r="AC1159" s="813" t="s">
        <v>2365</v>
      </c>
      <c r="AD1159" s="813" t="s">
        <v>2365</v>
      </c>
      <c r="AE1159" s="813" t="s">
        <v>2365</v>
      </c>
      <c r="AF1159" t="s">
        <v>2365</v>
      </c>
      <c r="AG1159" t="s">
        <v>2365</v>
      </c>
      <c r="AH1159" t="s">
        <v>2365</v>
      </c>
      <c r="AI1159" t="s">
        <v>2365</v>
      </c>
      <c r="AJ1159" t="s">
        <v>2365</v>
      </c>
      <c r="AK1159">
        <v>146</v>
      </c>
      <c r="AL1159" t="s">
        <v>1199</v>
      </c>
      <c r="AM1159">
        <v>146</v>
      </c>
      <c r="AN1159" t="s">
        <v>1199</v>
      </c>
      <c r="AR1159" t="s">
        <v>2365</v>
      </c>
      <c r="AS1159" t="s">
        <v>2365</v>
      </c>
      <c r="AT1159" t="s">
        <v>2365</v>
      </c>
      <c r="AU1159" t="s">
        <v>2365</v>
      </c>
      <c r="AV1159" t="s">
        <v>2365</v>
      </c>
      <c r="AW1159" t="s">
        <v>2365</v>
      </c>
      <c r="AX1159" t="s">
        <v>2365</v>
      </c>
      <c r="AY1159" t="s">
        <v>2365</v>
      </c>
      <c r="AZ1159" t="s">
        <v>2365</v>
      </c>
      <c r="BA1159" t="s">
        <v>2365</v>
      </c>
      <c r="BB1159" t="s">
        <v>2365</v>
      </c>
      <c r="BC1159" t="s">
        <v>2365</v>
      </c>
      <c r="BD1159" t="s">
        <v>2366</v>
      </c>
      <c r="BE1159" t="s">
        <v>2365</v>
      </c>
      <c r="BF1159" t="s">
        <v>2365</v>
      </c>
      <c r="BG1159" t="s">
        <v>2365</v>
      </c>
      <c r="BH1159" t="s">
        <v>2365</v>
      </c>
      <c r="BI1159" t="s">
        <v>2366</v>
      </c>
      <c r="BJ1159" t="s">
        <v>2365</v>
      </c>
      <c r="BK1159" t="s">
        <v>2365</v>
      </c>
      <c r="BL1159" t="s">
        <v>2365</v>
      </c>
      <c r="BM1159" t="s">
        <v>2365</v>
      </c>
      <c r="BO1159">
        <v>1</v>
      </c>
      <c r="BP1159">
        <v>11</v>
      </c>
      <c r="BQ1159" t="s">
        <v>2369</v>
      </c>
      <c r="BR1159" t="s">
        <v>1487</v>
      </c>
      <c r="BU1159">
        <v>0</v>
      </c>
      <c r="BV1159">
        <v>0</v>
      </c>
      <c r="BW1159">
        <v>0</v>
      </c>
      <c r="BX1159">
        <v>0</v>
      </c>
      <c r="BY1159">
        <v>0</v>
      </c>
      <c r="BZ1159">
        <v>0</v>
      </c>
      <c r="CA1159">
        <v>0</v>
      </c>
      <c r="CB1159">
        <v>0</v>
      </c>
      <c r="CC1159">
        <v>0</v>
      </c>
      <c r="CD1159">
        <v>0</v>
      </c>
      <c r="CE1159">
        <v>0</v>
      </c>
      <c r="CF1159">
        <v>0</v>
      </c>
      <c r="CG1159">
        <v>0</v>
      </c>
      <c r="CH1159">
        <v>0</v>
      </c>
      <c r="CI1159">
        <v>0</v>
      </c>
      <c r="CJ1159">
        <v>0</v>
      </c>
      <c r="CK1159">
        <v>0</v>
      </c>
      <c r="CL1159">
        <v>0</v>
      </c>
      <c r="CM1159">
        <v>0</v>
      </c>
      <c r="CR1159" t="s">
        <v>2320</v>
      </c>
      <c r="CS1159" s="1369" t="str">
        <f>INDEX([8]Sheet1!$H:$H,MATCH(CR:CR,[8]Sheet1!$AU:$AU,0))</f>
        <v>Administrative and Corporate Support</v>
      </c>
    </row>
    <row r="1160" spans="1:97" x14ac:dyDescent="0.2">
      <c r="A1160" t="s">
        <v>4087</v>
      </c>
      <c r="B1160">
        <v>1233</v>
      </c>
      <c r="C1160" t="s">
        <v>4087</v>
      </c>
      <c r="D1160">
        <v>30464</v>
      </c>
      <c r="E1160" t="s">
        <v>4088</v>
      </c>
      <c r="F1160" t="s">
        <v>2364</v>
      </c>
      <c r="G1160" t="s">
        <v>2364</v>
      </c>
      <c r="H1160" t="s">
        <v>2365</v>
      </c>
      <c r="I1160" t="s">
        <v>2365</v>
      </c>
      <c r="J1160" t="s">
        <v>2365</v>
      </c>
      <c r="K1160" t="s">
        <v>2365</v>
      </c>
      <c r="L1160">
        <v>1200</v>
      </c>
      <c r="M1160" t="s">
        <v>1480</v>
      </c>
      <c r="N1160">
        <v>1204</v>
      </c>
      <c r="O1160" t="s">
        <v>1487</v>
      </c>
      <c r="P1160" t="s">
        <v>2366</v>
      </c>
      <c r="Q1160" t="s">
        <v>2364</v>
      </c>
      <c r="R1160" t="s">
        <v>2364</v>
      </c>
      <c r="S1160" t="s">
        <v>553</v>
      </c>
      <c r="T1160" t="s">
        <v>2175</v>
      </c>
      <c r="U1160">
        <v>140</v>
      </c>
      <c r="V1160" t="s">
        <v>693</v>
      </c>
      <c r="W1160">
        <v>140</v>
      </c>
      <c r="X1160" t="s">
        <v>693</v>
      </c>
      <c r="Y1160" t="s">
        <v>2365</v>
      </c>
      <c r="Z1160" t="s">
        <v>2365</v>
      </c>
      <c r="AA1160" t="s">
        <v>2365</v>
      </c>
      <c r="AB1160" t="s">
        <v>2365</v>
      </c>
      <c r="AC1160" s="813" t="s">
        <v>2365</v>
      </c>
      <c r="AD1160" s="813" t="s">
        <v>2365</v>
      </c>
      <c r="AE1160" s="813" t="s">
        <v>2365</v>
      </c>
      <c r="AF1160" t="s">
        <v>2365</v>
      </c>
      <c r="AG1160" t="s">
        <v>2365</v>
      </c>
      <c r="AH1160" t="s">
        <v>2365</v>
      </c>
      <c r="AI1160" t="s">
        <v>2365</v>
      </c>
      <c r="AJ1160" t="s">
        <v>2365</v>
      </c>
      <c r="AK1160" t="s">
        <v>2366</v>
      </c>
      <c r="AL1160" t="s">
        <v>2366</v>
      </c>
      <c r="AM1160" t="s">
        <v>2366</v>
      </c>
      <c r="AN1160" t="s">
        <v>2366</v>
      </c>
      <c r="AR1160" t="s">
        <v>2365</v>
      </c>
      <c r="AS1160" t="s">
        <v>2365</v>
      </c>
      <c r="AT1160" t="s">
        <v>2365</v>
      </c>
      <c r="AU1160" t="s">
        <v>2365</v>
      </c>
      <c r="AV1160" t="s">
        <v>2365</v>
      </c>
      <c r="AW1160" t="s">
        <v>2365</v>
      </c>
      <c r="AX1160" t="s">
        <v>2365</v>
      </c>
      <c r="AY1160" t="s">
        <v>2365</v>
      </c>
      <c r="AZ1160" t="s">
        <v>2365</v>
      </c>
      <c r="BA1160" t="s">
        <v>2365</v>
      </c>
      <c r="BB1160" t="s">
        <v>2365</v>
      </c>
      <c r="BC1160" t="s">
        <v>2365</v>
      </c>
      <c r="BD1160" t="s">
        <v>2366</v>
      </c>
      <c r="BE1160" t="s">
        <v>2365</v>
      </c>
      <c r="BF1160" t="s">
        <v>2365</v>
      </c>
      <c r="BG1160" t="s">
        <v>2365</v>
      </c>
      <c r="BH1160" t="s">
        <v>2365</v>
      </c>
      <c r="BI1160" t="s">
        <v>2366</v>
      </c>
      <c r="BJ1160" t="s">
        <v>2365</v>
      </c>
      <c r="BK1160" t="s">
        <v>2365</v>
      </c>
      <c r="BL1160" t="s">
        <v>2365</v>
      </c>
      <c r="BM1160" t="s">
        <v>2365</v>
      </c>
      <c r="BO1160">
        <v>1</v>
      </c>
      <c r="BP1160">
        <v>11</v>
      </c>
      <c r="BQ1160" t="s">
        <v>2369</v>
      </c>
      <c r="BR1160" t="s">
        <v>1487</v>
      </c>
      <c r="BU1160">
        <v>0</v>
      </c>
      <c r="BV1160">
        <v>0</v>
      </c>
      <c r="BW1160">
        <v>0</v>
      </c>
      <c r="BX1160">
        <v>0</v>
      </c>
      <c r="BY1160">
        <v>0</v>
      </c>
      <c r="BZ1160">
        <v>0</v>
      </c>
      <c r="CA1160">
        <v>0</v>
      </c>
      <c r="CB1160">
        <v>0</v>
      </c>
      <c r="CC1160">
        <v>0</v>
      </c>
      <c r="CD1160">
        <v>0</v>
      </c>
      <c r="CE1160">
        <v>0</v>
      </c>
      <c r="CF1160">
        <v>0</v>
      </c>
      <c r="CG1160">
        <v>0</v>
      </c>
      <c r="CH1160">
        <v>0</v>
      </c>
      <c r="CI1160">
        <v>0</v>
      </c>
      <c r="CJ1160">
        <v>0</v>
      </c>
      <c r="CK1160">
        <v>0</v>
      </c>
      <c r="CL1160">
        <v>0</v>
      </c>
      <c r="CM1160">
        <v>0</v>
      </c>
      <c r="CR1160" t="s">
        <v>2320</v>
      </c>
      <c r="CS1160" s="1369" t="str">
        <f>INDEX([8]Sheet1!$H:$H,MATCH(CR:CR,[8]Sheet1!$AU:$AU,0))</f>
        <v>Administrative and Corporate Support</v>
      </c>
    </row>
    <row r="1161" spans="1:97" x14ac:dyDescent="0.2">
      <c r="A1161" t="s">
        <v>4089</v>
      </c>
      <c r="B1161">
        <v>1234</v>
      </c>
      <c r="C1161" t="s">
        <v>4089</v>
      </c>
      <c r="D1161">
        <v>30465</v>
      </c>
      <c r="E1161" t="s">
        <v>4090</v>
      </c>
      <c r="F1161" t="s">
        <v>2364</v>
      </c>
      <c r="G1161" t="s">
        <v>2364</v>
      </c>
      <c r="H1161" t="s">
        <v>2365</v>
      </c>
      <c r="I1161" t="s">
        <v>2365</v>
      </c>
      <c r="J1161" t="s">
        <v>2365</v>
      </c>
      <c r="K1161" t="s">
        <v>2365</v>
      </c>
      <c r="L1161">
        <v>1200</v>
      </c>
      <c r="M1161" t="s">
        <v>1480</v>
      </c>
      <c r="N1161">
        <v>1204</v>
      </c>
      <c r="O1161" t="s">
        <v>1487</v>
      </c>
      <c r="P1161" t="s">
        <v>2366</v>
      </c>
      <c r="Q1161" t="s">
        <v>2364</v>
      </c>
      <c r="R1161" t="s">
        <v>2364</v>
      </c>
      <c r="S1161" t="s">
        <v>553</v>
      </c>
      <c r="T1161" t="s">
        <v>2175</v>
      </c>
      <c r="U1161">
        <v>140</v>
      </c>
      <c r="V1161" t="s">
        <v>693</v>
      </c>
      <c r="W1161">
        <v>140</v>
      </c>
      <c r="X1161" t="s">
        <v>693</v>
      </c>
      <c r="Y1161" t="s">
        <v>2365</v>
      </c>
      <c r="Z1161" t="s">
        <v>2365</v>
      </c>
      <c r="AA1161" t="s">
        <v>2365</v>
      </c>
      <c r="AB1161" t="s">
        <v>2365</v>
      </c>
      <c r="AC1161" s="813" t="s">
        <v>2365</v>
      </c>
      <c r="AD1161" s="813" t="s">
        <v>2365</v>
      </c>
      <c r="AE1161" s="813" t="s">
        <v>2365</v>
      </c>
      <c r="AF1161" t="s">
        <v>2365</v>
      </c>
      <c r="AG1161" t="s">
        <v>2365</v>
      </c>
      <c r="AH1161" t="s">
        <v>2365</v>
      </c>
      <c r="AI1161" t="s">
        <v>2365</v>
      </c>
      <c r="AJ1161" t="s">
        <v>2365</v>
      </c>
      <c r="AK1161" t="s">
        <v>2366</v>
      </c>
      <c r="AL1161" t="s">
        <v>2366</v>
      </c>
      <c r="AM1161" t="s">
        <v>2366</v>
      </c>
      <c r="AN1161" t="s">
        <v>2366</v>
      </c>
      <c r="AR1161" t="s">
        <v>2365</v>
      </c>
      <c r="AS1161" t="s">
        <v>2365</v>
      </c>
      <c r="AT1161" t="s">
        <v>2365</v>
      </c>
      <c r="AU1161" t="s">
        <v>2365</v>
      </c>
      <c r="AV1161" t="s">
        <v>2365</v>
      </c>
      <c r="AW1161" t="s">
        <v>2365</v>
      </c>
      <c r="AX1161" t="s">
        <v>2365</v>
      </c>
      <c r="AY1161" t="s">
        <v>2365</v>
      </c>
      <c r="AZ1161" t="s">
        <v>2365</v>
      </c>
      <c r="BA1161" t="s">
        <v>2365</v>
      </c>
      <c r="BB1161" t="s">
        <v>2365</v>
      </c>
      <c r="BC1161" t="s">
        <v>2365</v>
      </c>
      <c r="BD1161" t="s">
        <v>2366</v>
      </c>
      <c r="BE1161" t="s">
        <v>2365</v>
      </c>
      <c r="BF1161" t="s">
        <v>2365</v>
      </c>
      <c r="BG1161" t="s">
        <v>2365</v>
      </c>
      <c r="BH1161" t="s">
        <v>2365</v>
      </c>
      <c r="BI1161" t="s">
        <v>2366</v>
      </c>
      <c r="BJ1161" t="s">
        <v>2365</v>
      </c>
      <c r="BK1161" t="s">
        <v>2365</v>
      </c>
      <c r="BL1161" t="s">
        <v>2365</v>
      </c>
      <c r="BM1161" t="s">
        <v>2365</v>
      </c>
      <c r="BO1161">
        <v>1</v>
      </c>
      <c r="BP1161">
        <v>11</v>
      </c>
      <c r="BQ1161" t="s">
        <v>2369</v>
      </c>
      <c r="BR1161" t="s">
        <v>1487</v>
      </c>
      <c r="BU1161">
        <v>0</v>
      </c>
      <c r="BV1161">
        <v>0</v>
      </c>
      <c r="BW1161">
        <v>0</v>
      </c>
      <c r="BX1161">
        <v>0</v>
      </c>
      <c r="BY1161">
        <v>0</v>
      </c>
      <c r="BZ1161">
        <v>0</v>
      </c>
      <c r="CA1161">
        <v>0</v>
      </c>
      <c r="CB1161">
        <v>0</v>
      </c>
      <c r="CC1161">
        <v>0</v>
      </c>
      <c r="CD1161">
        <v>0</v>
      </c>
      <c r="CE1161">
        <v>0</v>
      </c>
      <c r="CF1161">
        <v>0</v>
      </c>
      <c r="CG1161">
        <v>0</v>
      </c>
      <c r="CH1161">
        <v>0</v>
      </c>
      <c r="CI1161">
        <v>0</v>
      </c>
      <c r="CJ1161">
        <v>0</v>
      </c>
      <c r="CK1161">
        <v>0</v>
      </c>
      <c r="CL1161">
        <v>0</v>
      </c>
      <c r="CM1161">
        <v>0</v>
      </c>
      <c r="CR1161" t="s">
        <v>2320</v>
      </c>
      <c r="CS1161" s="1369" t="str">
        <f>INDEX([8]Sheet1!$H:$H,MATCH(CR:CR,[8]Sheet1!$AU:$AU,0))</f>
        <v>Administrative and Corporate Support</v>
      </c>
    </row>
    <row r="1162" spans="1:97" x14ac:dyDescent="0.2">
      <c r="A1162" t="s">
        <v>4091</v>
      </c>
      <c r="B1162">
        <v>1235</v>
      </c>
      <c r="C1162" t="s">
        <v>4091</v>
      </c>
      <c r="D1162">
        <v>30466</v>
      </c>
      <c r="E1162" t="s">
        <v>4092</v>
      </c>
      <c r="F1162" t="s">
        <v>2364</v>
      </c>
      <c r="G1162" t="s">
        <v>2364</v>
      </c>
      <c r="H1162" t="s">
        <v>2365</v>
      </c>
      <c r="I1162" t="s">
        <v>2365</v>
      </c>
      <c r="J1162" t="s">
        <v>2365</v>
      </c>
      <c r="K1162" t="s">
        <v>2365</v>
      </c>
      <c r="L1162">
        <v>1200</v>
      </c>
      <c r="M1162" t="s">
        <v>1480</v>
      </c>
      <c r="N1162">
        <v>1204</v>
      </c>
      <c r="O1162" t="s">
        <v>1487</v>
      </c>
      <c r="P1162" t="s">
        <v>2366</v>
      </c>
      <c r="Q1162" t="s">
        <v>2364</v>
      </c>
      <c r="R1162" t="s">
        <v>2364</v>
      </c>
      <c r="S1162" t="s">
        <v>553</v>
      </c>
      <c r="T1162" t="s">
        <v>2175</v>
      </c>
      <c r="U1162">
        <v>140</v>
      </c>
      <c r="V1162" t="s">
        <v>693</v>
      </c>
      <c r="W1162">
        <v>140</v>
      </c>
      <c r="X1162" t="s">
        <v>693</v>
      </c>
      <c r="Y1162" t="s">
        <v>2365</v>
      </c>
      <c r="Z1162" t="s">
        <v>2365</v>
      </c>
      <c r="AA1162" t="s">
        <v>2365</v>
      </c>
      <c r="AB1162" t="s">
        <v>2365</v>
      </c>
      <c r="AC1162" s="813" t="s">
        <v>2365</v>
      </c>
      <c r="AD1162" s="813" t="s">
        <v>2365</v>
      </c>
      <c r="AE1162" s="813" t="s">
        <v>2365</v>
      </c>
      <c r="AF1162" t="s">
        <v>2365</v>
      </c>
      <c r="AG1162" t="s">
        <v>2365</v>
      </c>
      <c r="AH1162" t="s">
        <v>2365</v>
      </c>
      <c r="AI1162" t="s">
        <v>2365</v>
      </c>
      <c r="AJ1162" t="s">
        <v>2365</v>
      </c>
      <c r="AK1162">
        <v>147</v>
      </c>
      <c r="AL1162" t="s">
        <v>1200</v>
      </c>
      <c r="AM1162">
        <v>147</v>
      </c>
      <c r="AN1162" t="s">
        <v>1200</v>
      </c>
      <c r="AR1162" t="s">
        <v>2365</v>
      </c>
      <c r="AS1162" t="s">
        <v>2365</v>
      </c>
      <c r="AT1162" t="s">
        <v>2365</v>
      </c>
      <c r="AU1162" t="s">
        <v>2365</v>
      </c>
      <c r="AV1162" t="s">
        <v>2365</v>
      </c>
      <c r="AW1162" t="s">
        <v>2365</v>
      </c>
      <c r="AX1162" t="s">
        <v>2365</v>
      </c>
      <c r="AY1162" t="s">
        <v>2365</v>
      </c>
      <c r="AZ1162" t="s">
        <v>2365</v>
      </c>
      <c r="BA1162" t="s">
        <v>2365</v>
      </c>
      <c r="BB1162" t="s">
        <v>2365</v>
      </c>
      <c r="BC1162" t="s">
        <v>2365</v>
      </c>
      <c r="BD1162" t="s">
        <v>2366</v>
      </c>
      <c r="BE1162" t="s">
        <v>2365</v>
      </c>
      <c r="BF1162" t="s">
        <v>2365</v>
      </c>
      <c r="BG1162" t="s">
        <v>2365</v>
      </c>
      <c r="BH1162" t="s">
        <v>2365</v>
      </c>
      <c r="BI1162" t="s">
        <v>2366</v>
      </c>
      <c r="BJ1162" t="s">
        <v>2365</v>
      </c>
      <c r="BK1162" t="s">
        <v>2365</v>
      </c>
      <c r="BL1162" t="s">
        <v>2365</v>
      </c>
      <c r="BM1162" t="s">
        <v>2365</v>
      </c>
      <c r="BO1162">
        <v>1</v>
      </c>
      <c r="BP1162">
        <v>11</v>
      </c>
      <c r="BQ1162" t="s">
        <v>2369</v>
      </c>
      <c r="BR1162" t="s">
        <v>1487</v>
      </c>
      <c r="BU1162">
        <v>0</v>
      </c>
      <c r="BV1162">
        <v>0</v>
      </c>
      <c r="BW1162">
        <v>0</v>
      </c>
      <c r="BX1162">
        <v>0</v>
      </c>
      <c r="BY1162">
        <v>0</v>
      </c>
      <c r="BZ1162">
        <v>0</v>
      </c>
      <c r="CA1162">
        <v>0</v>
      </c>
      <c r="CB1162">
        <v>0</v>
      </c>
      <c r="CC1162">
        <v>0</v>
      </c>
      <c r="CD1162">
        <v>0</v>
      </c>
      <c r="CE1162">
        <v>0</v>
      </c>
      <c r="CF1162">
        <v>0</v>
      </c>
      <c r="CG1162">
        <v>0</v>
      </c>
      <c r="CH1162">
        <v>0</v>
      </c>
      <c r="CI1162">
        <v>0</v>
      </c>
      <c r="CJ1162">
        <v>0</v>
      </c>
      <c r="CK1162">
        <v>0</v>
      </c>
      <c r="CL1162">
        <v>0</v>
      </c>
      <c r="CM1162">
        <v>0</v>
      </c>
      <c r="CR1162" t="s">
        <v>2320</v>
      </c>
      <c r="CS1162" s="1369" t="str">
        <f>INDEX([8]Sheet1!$H:$H,MATCH(CR:CR,[8]Sheet1!$AU:$AU,0))</f>
        <v>Administrative and Corporate Support</v>
      </c>
    </row>
    <row r="1163" spans="1:97" x14ac:dyDescent="0.2">
      <c r="A1163" t="s">
        <v>4093</v>
      </c>
      <c r="B1163">
        <v>1236</v>
      </c>
      <c r="C1163" t="s">
        <v>4093</v>
      </c>
      <c r="D1163">
        <v>30467</v>
      </c>
      <c r="E1163" t="s">
        <v>4094</v>
      </c>
      <c r="F1163" t="s">
        <v>2364</v>
      </c>
      <c r="G1163" t="s">
        <v>2364</v>
      </c>
      <c r="H1163" t="s">
        <v>2365</v>
      </c>
      <c r="I1163" t="s">
        <v>2365</v>
      </c>
      <c r="J1163" t="s">
        <v>2365</v>
      </c>
      <c r="K1163" t="s">
        <v>2365</v>
      </c>
      <c r="L1163">
        <v>1200</v>
      </c>
      <c r="M1163" t="s">
        <v>1480</v>
      </c>
      <c r="N1163">
        <v>1204</v>
      </c>
      <c r="O1163" t="s">
        <v>1487</v>
      </c>
      <c r="P1163" t="s">
        <v>2366</v>
      </c>
      <c r="Q1163" t="s">
        <v>2364</v>
      </c>
      <c r="R1163" t="s">
        <v>2364</v>
      </c>
      <c r="S1163" t="s">
        <v>553</v>
      </c>
      <c r="T1163" t="s">
        <v>2175</v>
      </c>
      <c r="U1163">
        <v>140</v>
      </c>
      <c r="V1163" t="s">
        <v>693</v>
      </c>
      <c r="W1163">
        <v>140</v>
      </c>
      <c r="X1163" t="s">
        <v>693</v>
      </c>
      <c r="Y1163" t="s">
        <v>2365</v>
      </c>
      <c r="Z1163" t="s">
        <v>2365</v>
      </c>
      <c r="AA1163" t="s">
        <v>2365</v>
      </c>
      <c r="AB1163" t="s">
        <v>2365</v>
      </c>
      <c r="AC1163" s="813" t="s">
        <v>2365</v>
      </c>
      <c r="AD1163" s="813" t="s">
        <v>2365</v>
      </c>
      <c r="AE1163" s="813" t="s">
        <v>2365</v>
      </c>
      <c r="AF1163" t="s">
        <v>2365</v>
      </c>
      <c r="AG1163" t="s">
        <v>2365</v>
      </c>
      <c r="AH1163" t="s">
        <v>2365</v>
      </c>
      <c r="AI1163" t="s">
        <v>2365</v>
      </c>
      <c r="AJ1163" t="s">
        <v>2365</v>
      </c>
      <c r="AK1163" t="s">
        <v>2366</v>
      </c>
      <c r="AL1163" t="s">
        <v>2366</v>
      </c>
      <c r="AM1163" t="s">
        <v>2366</v>
      </c>
      <c r="AN1163" t="s">
        <v>2366</v>
      </c>
      <c r="AR1163" t="s">
        <v>2365</v>
      </c>
      <c r="AS1163" t="s">
        <v>2365</v>
      </c>
      <c r="AT1163" t="s">
        <v>2365</v>
      </c>
      <c r="AU1163" t="s">
        <v>2365</v>
      </c>
      <c r="AV1163" t="s">
        <v>2365</v>
      </c>
      <c r="AW1163" t="s">
        <v>2365</v>
      </c>
      <c r="AX1163" t="s">
        <v>2365</v>
      </c>
      <c r="AY1163" t="s">
        <v>2365</v>
      </c>
      <c r="AZ1163" t="s">
        <v>2365</v>
      </c>
      <c r="BA1163" t="s">
        <v>2365</v>
      </c>
      <c r="BB1163" t="s">
        <v>2365</v>
      </c>
      <c r="BC1163" t="s">
        <v>2365</v>
      </c>
      <c r="BD1163" t="s">
        <v>2366</v>
      </c>
      <c r="BE1163" t="s">
        <v>2365</v>
      </c>
      <c r="BF1163" t="s">
        <v>2365</v>
      </c>
      <c r="BG1163" t="s">
        <v>2365</v>
      </c>
      <c r="BH1163" t="s">
        <v>2365</v>
      </c>
      <c r="BI1163" t="s">
        <v>2366</v>
      </c>
      <c r="BJ1163" t="s">
        <v>2365</v>
      </c>
      <c r="BK1163" t="s">
        <v>2365</v>
      </c>
      <c r="BL1163" t="s">
        <v>2365</v>
      </c>
      <c r="BM1163" t="s">
        <v>2365</v>
      </c>
      <c r="BO1163">
        <v>1</v>
      </c>
      <c r="BP1163">
        <v>11</v>
      </c>
      <c r="BQ1163" t="s">
        <v>2369</v>
      </c>
      <c r="BR1163" t="s">
        <v>1487</v>
      </c>
      <c r="BU1163">
        <v>0</v>
      </c>
      <c r="BV1163">
        <v>0</v>
      </c>
      <c r="BW1163">
        <v>0</v>
      </c>
      <c r="BX1163">
        <v>0</v>
      </c>
      <c r="BY1163" s="1371">
        <v>0</v>
      </c>
      <c r="BZ1163" s="1371">
        <v>0</v>
      </c>
      <c r="CA1163">
        <v>0</v>
      </c>
      <c r="CB1163">
        <v>0</v>
      </c>
      <c r="CC1163">
        <v>0</v>
      </c>
      <c r="CD1163">
        <v>0</v>
      </c>
      <c r="CE1163">
        <v>0</v>
      </c>
      <c r="CF1163">
        <v>0</v>
      </c>
      <c r="CG1163">
        <v>0</v>
      </c>
      <c r="CH1163">
        <v>0</v>
      </c>
      <c r="CI1163">
        <v>0</v>
      </c>
      <c r="CJ1163">
        <v>0</v>
      </c>
      <c r="CK1163">
        <v>0</v>
      </c>
      <c r="CL1163">
        <v>0</v>
      </c>
      <c r="CM1163">
        <v>0</v>
      </c>
      <c r="CR1163" t="s">
        <v>2320</v>
      </c>
      <c r="CS1163" s="1369" t="str">
        <f>INDEX([8]Sheet1!$H:$H,MATCH(CR:CR,[8]Sheet1!$AU:$AU,0))</f>
        <v>Administrative and Corporate Support</v>
      </c>
    </row>
    <row r="1164" spans="1:97" x14ac:dyDescent="0.2">
      <c r="A1164" t="s">
        <v>4095</v>
      </c>
      <c r="B1164">
        <v>1237</v>
      </c>
      <c r="C1164" t="s">
        <v>4095</v>
      </c>
      <c r="D1164">
        <v>30468</v>
      </c>
      <c r="E1164" t="s">
        <v>4096</v>
      </c>
      <c r="F1164" t="s">
        <v>2364</v>
      </c>
      <c r="G1164" t="s">
        <v>2364</v>
      </c>
      <c r="H1164" t="s">
        <v>2365</v>
      </c>
      <c r="I1164" t="s">
        <v>2365</v>
      </c>
      <c r="J1164" t="s">
        <v>2365</v>
      </c>
      <c r="K1164" t="s">
        <v>2365</v>
      </c>
      <c r="L1164">
        <v>1200</v>
      </c>
      <c r="M1164" t="s">
        <v>1480</v>
      </c>
      <c r="N1164">
        <v>1204</v>
      </c>
      <c r="O1164" t="s">
        <v>1487</v>
      </c>
      <c r="P1164" t="s">
        <v>2366</v>
      </c>
      <c r="Q1164" t="s">
        <v>2364</v>
      </c>
      <c r="R1164" t="s">
        <v>2364</v>
      </c>
      <c r="S1164" t="s">
        <v>553</v>
      </c>
      <c r="T1164" t="s">
        <v>2175</v>
      </c>
      <c r="U1164">
        <v>140</v>
      </c>
      <c r="V1164" t="s">
        <v>693</v>
      </c>
      <c r="W1164">
        <v>140</v>
      </c>
      <c r="X1164" t="s">
        <v>693</v>
      </c>
      <c r="Y1164" t="s">
        <v>2365</v>
      </c>
      <c r="Z1164" t="s">
        <v>2365</v>
      </c>
      <c r="AA1164" t="s">
        <v>2365</v>
      </c>
      <c r="AB1164" t="s">
        <v>2365</v>
      </c>
      <c r="AC1164" s="813" t="s">
        <v>2365</v>
      </c>
      <c r="AD1164" s="813" t="s">
        <v>2365</v>
      </c>
      <c r="AE1164" s="813" t="s">
        <v>2365</v>
      </c>
      <c r="AF1164" t="s">
        <v>2365</v>
      </c>
      <c r="AG1164" t="s">
        <v>2365</v>
      </c>
      <c r="AH1164" t="s">
        <v>2365</v>
      </c>
      <c r="AI1164" t="s">
        <v>2365</v>
      </c>
      <c r="AJ1164" t="s">
        <v>2365</v>
      </c>
      <c r="AK1164" t="s">
        <v>2366</v>
      </c>
      <c r="AL1164" t="s">
        <v>2366</v>
      </c>
      <c r="AM1164" t="s">
        <v>2366</v>
      </c>
      <c r="AN1164" t="s">
        <v>2366</v>
      </c>
      <c r="AR1164" t="s">
        <v>2365</v>
      </c>
      <c r="AS1164" t="s">
        <v>2365</v>
      </c>
      <c r="AT1164" t="s">
        <v>2365</v>
      </c>
      <c r="AU1164" t="s">
        <v>2365</v>
      </c>
      <c r="AV1164" t="s">
        <v>2365</v>
      </c>
      <c r="AW1164" t="s">
        <v>2365</v>
      </c>
      <c r="AX1164" t="s">
        <v>2365</v>
      </c>
      <c r="AY1164" t="s">
        <v>2365</v>
      </c>
      <c r="AZ1164" t="s">
        <v>2365</v>
      </c>
      <c r="BA1164" t="s">
        <v>2365</v>
      </c>
      <c r="BB1164" t="s">
        <v>2365</v>
      </c>
      <c r="BC1164" t="s">
        <v>2365</v>
      </c>
      <c r="BD1164" t="s">
        <v>2366</v>
      </c>
      <c r="BE1164" t="s">
        <v>2365</v>
      </c>
      <c r="BF1164" t="s">
        <v>2365</v>
      </c>
      <c r="BG1164" t="s">
        <v>2365</v>
      </c>
      <c r="BH1164" t="s">
        <v>2365</v>
      </c>
      <c r="BI1164" t="s">
        <v>2366</v>
      </c>
      <c r="BJ1164" t="s">
        <v>2365</v>
      </c>
      <c r="BK1164" t="s">
        <v>2365</v>
      </c>
      <c r="BL1164" t="s">
        <v>2365</v>
      </c>
      <c r="BM1164" t="s">
        <v>2365</v>
      </c>
      <c r="BO1164">
        <v>1</v>
      </c>
      <c r="BP1164">
        <v>11</v>
      </c>
      <c r="BQ1164" t="s">
        <v>2369</v>
      </c>
      <c r="BR1164" t="s">
        <v>1487</v>
      </c>
      <c r="BU1164">
        <v>0</v>
      </c>
      <c r="BV1164">
        <v>0</v>
      </c>
      <c r="BW1164">
        <v>0</v>
      </c>
      <c r="BX1164">
        <v>0</v>
      </c>
      <c r="BY1164">
        <v>0</v>
      </c>
      <c r="BZ1164">
        <v>0</v>
      </c>
      <c r="CA1164">
        <v>0</v>
      </c>
      <c r="CB1164">
        <v>0</v>
      </c>
      <c r="CC1164">
        <v>0</v>
      </c>
      <c r="CD1164">
        <v>0</v>
      </c>
      <c r="CE1164">
        <v>0</v>
      </c>
      <c r="CF1164">
        <v>0</v>
      </c>
      <c r="CG1164">
        <v>0</v>
      </c>
      <c r="CH1164">
        <v>0</v>
      </c>
      <c r="CI1164">
        <v>0</v>
      </c>
      <c r="CJ1164">
        <v>0</v>
      </c>
      <c r="CK1164">
        <v>0</v>
      </c>
      <c r="CL1164">
        <v>0</v>
      </c>
      <c r="CM1164">
        <v>0</v>
      </c>
      <c r="CR1164" t="s">
        <v>2320</v>
      </c>
      <c r="CS1164" s="1369" t="str">
        <f>INDEX([8]Sheet1!$H:$H,MATCH(CR:CR,[8]Sheet1!$AU:$AU,0))</f>
        <v>Administrative and Corporate Support</v>
      </c>
    </row>
    <row r="1165" spans="1:97" x14ac:dyDescent="0.2">
      <c r="A1165" t="s">
        <v>4097</v>
      </c>
      <c r="B1165">
        <v>1238</v>
      </c>
      <c r="C1165" t="s">
        <v>4097</v>
      </c>
      <c r="D1165">
        <v>30469</v>
      </c>
      <c r="E1165" t="s">
        <v>4098</v>
      </c>
      <c r="F1165" t="s">
        <v>2364</v>
      </c>
      <c r="G1165" t="s">
        <v>2364</v>
      </c>
      <c r="H1165" t="s">
        <v>2365</v>
      </c>
      <c r="I1165" t="s">
        <v>2365</v>
      </c>
      <c r="J1165" t="s">
        <v>2365</v>
      </c>
      <c r="K1165" t="s">
        <v>2365</v>
      </c>
      <c r="L1165">
        <v>1200</v>
      </c>
      <c r="M1165" t="s">
        <v>1480</v>
      </c>
      <c r="N1165">
        <v>1204</v>
      </c>
      <c r="O1165" t="s">
        <v>1487</v>
      </c>
      <c r="P1165" t="s">
        <v>2366</v>
      </c>
      <c r="Q1165" t="s">
        <v>2364</v>
      </c>
      <c r="R1165" t="s">
        <v>2364</v>
      </c>
      <c r="S1165" t="s">
        <v>553</v>
      </c>
      <c r="T1165" t="s">
        <v>2175</v>
      </c>
      <c r="U1165">
        <v>140</v>
      </c>
      <c r="V1165" t="s">
        <v>693</v>
      </c>
      <c r="W1165">
        <v>140</v>
      </c>
      <c r="X1165" t="s">
        <v>693</v>
      </c>
      <c r="Y1165" t="s">
        <v>2365</v>
      </c>
      <c r="Z1165" t="s">
        <v>2365</v>
      </c>
      <c r="AA1165" t="s">
        <v>2365</v>
      </c>
      <c r="AB1165" t="s">
        <v>2365</v>
      </c>
      <c r="AC1165" s="813" t="s">
        <v>2365</v>
      </c>
      <c r="AD1165" s="813" t="s">
        <v>2365</v>
      </c>
      <c r="AE1165" s="813" t="s">
        <v>2365</v>
      </c>
      <c r="AF1165" t="s">
        <v>2365</v>
      </c>
      <c r="AG1165" t="s">
        <v>2365</v>
      </c>
      <c r="AH1165" t="s">
        <v>2365</v>
      </c>
      <c r="AI1165" t="s">
        <v>2365</v>
      </c>
      <c r="AJ1165" t="s">
        <v>2365</v>
      </c>
      <c r="AK1165" t="s">
        <v>2366</v>
      </c>
      <c r="AL1165" t="s">
        <v>2366</v>
      </c>
      <c r="AM1165" t="s">
        <v>2366</v>
      </c>
      <c r="AN1165" t="s">
        <v>2366</v>
      </c>
      <c r="AR1165" t="s">
        <v>2365</v>
      </c>
      <c r="AS1165" t="s">
        <v>2365</v>
      </c>
      <c r="AT1165" t="s">
        <v>2365</v>
      </c>
      <c r="AU1165" t="s">
        <v>2365</v>
      </c>
      <c r="AV1165" t="s">
        <v>2365</v>
      </c>
      <c r="AW1165" t="s">
        <v>2365</v>
      </c>
      <c r="AX1165" t="s">
        <v>2365</v>
      </c>
      <c r="AY1165" t="s">
        <v>2365</v>
      </c>
      <c r="AZ1165" t="s">
        <v>2365</v>
      </c>
      <c r="BA1165" t="s">
        <v>2365</v>
      </c>
      <c r="BB1165" t="s">
        <v>2365</v>
      </c>
      <c r="BC1165" t="s">
        <v>2365</v>
      </c>
      <c r="BD1165" t="s">
        <v>2366</v>
      </c>
      <c r="BE1165" t="s">
        <v>2365</v>
      </c>
      <c r="BF1165" t="s">
        <v>2365</v>
      </c>
      <c r="BG1165" t="s">
        <v>2365</v>
      </c>
      <c r="BH1165" t="s">
        <v>2365</v>
      </c>
      <c r="BI1165" t="s">
        <v>2366</v>
      </c>
      <c r="BJ1165" t="s">
        <v>2365</v>
      </c>
      <c r="BK1165" t="s">
        <v>2365</v>
      </c>
      <c r="BL1165" t="s">
        <v>2365</v>
      </c>
      <c r="BM1165" t="s">
        <v>2365</v>
      </c>
      <c r="BO1165">
        <v>1</v>
      </c>
      <c r="BP1165">
        <v>11</v>
      </c>
      <c r="BQ1165" t="s">
        <v>2369</v>
      </c>
      <c r="BR1165" t="s">
        <v>1487</v>
      </c>
      <c r="BU1165">
        <v>0</v>
      </c>
      <c r="BV1165">
        <v>0</v>
      </c>
      <c r="BW1165">
        <v>0</v>
      </c>
      <c r="BX1165">
        <v>0</v>
      </c>
      <c r="BY1165">
        <v>0</v>
      </c>
      <c r="BZ1165">
        <v>0</v>
      </c>
      <c r="CA1165">
        <v>0</v>
      </c>
      <c r="CB1165">
        <v>0</v>
      </c>
      <c r="CC1165">
        <v>0</v>
      </c>
      <c r="CD1165">
        <v>0</v>
      </c>
      <c r="CE1165">
        <v>0</v>
      </c>
      <c r="CF1165">
        <v>0</v>
      </c>
      <c r="CG1165">
        <v>0</v>
      </c>
      <c r="CH1165">
        <v>0</v>
      </c>
      <c r="CI1165">
        <v>0</v>
      </c>
      <c r="CJ1165">
        <v>0</v>
      </c>
      <c r="CK1165">
        <v>0</v>
      </c>
      <c r="CL1165">
        <v>0</v>
      </c>
      <c r="CM1165">
        <v>0</v>
      </c>
      <c r="CR1165" t="s">
        <v>2320</v>
      </c>
      <c r="CS1165" s="1369" t="str">
        <f>INDEX([8]Sheet1!$H:$H,MATCH(CR:CR,[8]Sheet1!$AU:$AU,0))</f>
        <v>Administrative and Corporate Support</v>
      </c>
    </row>
    <row r="1166" spans="1:97" x14ac:dyDescent="0.2">
      <c r="A1166" t="s">
        <v>4099</v>
      </c>
      <c r="B1166">
        <v>1239</v>
      </c>
      <c r="C1166" t="s">
        <v>4099</v>
      </c>
      <c r="D1166">
        <v>30470</v>
      </c>
      <c r="E1166" t="s">
        <v>3721</v>
      </c>
      <c r="F1166" t="s">
        <v>2364</v>
      </c>
      <c r="G1166" t="s">
        <v>2364</v>
      </c>
      <c r="H1166" t="s">
        <v>2365</v>
      </c>
      <c r="I1166" t="s">
        <v>2365</v>
      </c>
      <c r="J1166" t="s">
        <v>2365</v>
      </c>
      <c r="K1166" t="s">
        <v>2365</v>
      </c>
      <c r="L1166">
        <v>1200</v>
      </c>
      <c r="M1166" t="s">
        <v>1480</v>
      </c>
      <c r="N1166">
        <v>1204</v>
      </c>
      <c r="O1166" t="s">
        <v>1487</v>
      </c>
      <c r="P1166" t="s">
        <v>2366</v>
      </c>
      <c r="Q1166" t="s">
        <v>2364</v>
      </c>
      <c r="R1166" t="s">
        <v>2364</v>
      </c>
      <c r="S1166" t="s">
        <v>553</v>
      </c>
      <c r="T1166" t="s">
        <v>2175</v>
      </c>
      <c r="U1166" t="s">
        <v>2366</v>
      </c>
      <c r="V1166" t="s">
        <v>2366</v>
      </c>
      <c r="W1166" t="s">
        <v>2366</v>
      </c>
      <c r="X1166" t="s">
        <v>2366</v>
      </c>
      <c r="Y1166" t="s">
        <v>2365</v>
      </c>
      <c r="Z1166" t="s">
        <v>2365</v>
      </c>
      <c r="AA1166" t="s">
        <v>2365</v>
      </c>
      <c r="AB1166" t="s">
        <v>2365</v>
      </c>
      <c r="AC1166" s="813" t="s">
        <v>2365</v>
      </c>
      <c r="AD1166" s="813" t="s">
        <v>2365</v>
      </c>
      <c r="AE1166" s="813" t="s">
        <v>2365</v>
      </c>
      <c r="AF1166" t="s">
        <v>2365</v>
      </c>
      <c r="AG1166" t="s">
        <v>2365</v>
      </c>
      <c r="AH1166" t="s">
        <v>2365</v>
      </c>
      <c r="AI1166" t="s">
        <v>2365</v>
      </c>
      <c r="AJ1166" t="s">
        <v>2365</v>
      </c>
      <c r="AK1166">
        <v>146</v>
      </c>
      <c r="AL1166" t="s">
        <v>1199</v>
      </c>
      <c r="AM1166">
        <v>146</v>
      </c>
      <c r="AN1166" t="s">
        <v>1199</v>
      </c>
      <c r="AR1166" t="s">
        <v>2365</v>
      </c>
      <c r="AS1166" t="s">
        <v>2365</v>
      </c>
      <c r="AT1166" t="s">
        <v>2365</v>
      </c>
      <c r="AU1166" t="s">
        <v>2365</v>
      </c>
      <c r="AV1166" t="s">
        <v>2365</v>
      </c>
      <c r="AW1166" t="s">
        <v>2365</v>
      </c>
      <c r="AX1166" t="s">
        <v>2365</v>
      </c>
      <c r="AY1166" t="s">
        <v>2365</v>
      </c>
      <c r="AZ1166" t="s">
        <v>2365</v>
      </c>
      <c r="BA1166" t="s">
        <v>2365</v>
      </c>
      <c r="BB1166" t="s">
        <v>2365</v>
      </c>
      <c r="BC1166" t="s">
        <v>2365</v>
      </c>
      <c r="BD1166" t="s">
        <v>2366</v>
      </c>
      <c r="BE1166" t="s">
        <v>2365</v>
      </c>
      <c r="BF1166" t="s">
        <v>2365</v>
      </c>
      <c r="BG1166" t="s">
        <v>2365</v>
      </c>
      <c r="BH1166" t="s">
        <v>2365</v>
      </c>
      <c r="BI1166" t="s">
        <v>2366</v>
      </c>
      <c r="BJ1166" t="s">
        <v>2365</v>
      </c>
      <c r="BK1166" t="s">
        <v>2365</v>
      </c>
      <c r="BL1166" t="s">
        <v>2365</v>
      </c>
      <c r="BM1166" t="s">
        <v>2365</v>
      </c>
      <c r="BO1166">
        <v>1</v>
      </c>
      <c r="BP1166">
        <v>11</v>
      </c>
      <c r="BQ1166" t="s">
        <v>2369</v>
      </c>
      <c r="BR1166" t="s">
        <v>1487</v>
      </c>
      <c r="BU1166">
        <v>0</v>
      </c>
      <c r="BV1166">
        <v>0</v>
      </c>
      <c r="BW1166">
        <v>0</v>
      </c>
      <c r="BX1166">
        <v>0</v>
      </c>
      <c r="BY1166" s="1371">
        <v>0</v>
      </c>
      <c r="BZ1166" s="1371">
        <v>0</v>
      </c>
      <c r="CA1166">
        <v>0</v>
      </c>
      <c r="CB1166">
        <v>0</v>
      </c>
      <c r="CC1166">
        <v>0</v>
      </c>
      <c r="CD1166">
        <v>0</v>
      </c>
      <c r="CE1166">
        <v>0</v>
      </c>
      <c r="CF1166">
        <v>0</v>
      </c>
      <c r="CG1166">
        <v>0</v>
      </c>
      <c r="CH1166">
        <v>0</v>
      </c>
      <c r="CI1166">
        <v>0</v>
      </c>
      <c r="CJ1166">
        <v>0</v>
      </c>
      <c r="CK1166">
        <v>0</v>
      </c>
      <c r="CL1166">
        <v>0</v>
      </c>
      <c r="CM1166">
        <v>0</v>
      </c>
      <c r="CR1166" t="s">
        <v>2320</v>
      </c>
      <c r="CS1166" s="1369" t="str">
        <f>INDEX([8]Sheet1!$H:$H,MATCH(CR:CR,[8]Sheet1!$AU:$AU,0))</f>
        <v>Administrative and Corporate Support</v>
      </c>
    </row>
    <row r="1167" spans="1:97" x14ac:dyDescent="0.2">
      <c r="A1167" t="s">
        <v>4100</v>
      </c>
      <c r="B1167">
        <v>1240</v>
      </c>
      <c r="C1167" t="s">
        <v>4100</v>
      </c>
      <c r="D1167">
        <v>30471</v>
      </c>
      <c r="E1167" t="s">
        <v>3725</v>
      </c>
      <c r="F1167" t="s">
        <v>2364</v>
      </c>
      <c r="G1167" t="s">
        <v>2364</v>
      </c>
      <c r="H1167" t="s">
        <v>2365</v>
      </c>
      <c r="I1167" t="s">
        <v>2365</v>
      </c>
      <c r="J1167" t="s">
        <v>2365</v>
      </c>
      <c r="K1167" t="s">
        <v>2365</v>
      </c>
      <c r="L1167">
        <v>1200</v>
      </c>
      <c r="M1167" t="s">
        <v>1480</v>
      </c>
      <c r="N1167">
        <v>1204</v>
      </c>
      <c r="O1167" t="s">
        <v>1487</v>
      </c>
      <c r="P1167" t="s">
        <v>2366</v>
      </c>
      <c r="Q1167" t="s">
        <v>2364</v>
      </c>
      <c r="R1167" t="s">
        <v>2364</v>
      </c>
      <c r="S1167" t="s">
        <v>553</v>
      </c>
      <c r="T1167" t="s">
        <v>2175</v>
      </c>
      <c r="U1167" t="s">
        <v>2366</v>
      </c>
      <c r="V1167" t="s">
        <v>2366</v>
      </c>
      <c r="W1167" t="s">
        <v>2366</v>
      </c>
      <c r="X1167" t="s">
        <v>2366</v>
      </c>
      <c r="Y1167" t="s">
        <v>2365</v>
      </c>
      <c r="Z1167" t="s">
        <v>2365</v>
      </c>
      <c r="AA1167" t="s">
        <v>2365</v>
      </c>
      <c r="AB1167" t="s">
        <v>2365</v>
      </c>
      <c r="AC1167" s="813" t="s">
        <v>2365</v>
      </c>
      <c r="AD1167" s="813" t="s">
        <v>2365</v>
      </c>
      <c r="AE1167" s="813" t="s">
        <v>2365</v>
      </c>
      <c r="AF1167" t="s">
        <v>2365</v>
      </c>
      <c r="AG1167" t="s">
        <v>2365</v>
      </c>
      <c r="AH1167" t="s">
        <v>2365</v>
      </c>
      <c r="AI1167" t="s">
        <v>2365</v>
      </c>
      <c r="AJ1167" t="s">
        <v>2365</v>
      </c>
      <c r="AK1167">
        <v>146</v>
      </c>
      <c r="AL1167" t="s">
        <v>1199</v>
      </c>
      <c r="AM1167">
        <v>146</v>
      </c>
      <c r="AN1167" t="s">
        <v>1199</v>
      </c>
      <c r="AR1167" t="s">
        <v>2365</v>
      </c>
      <c r="AS1167" t="s">
        <v>2365</v>
      </c>
      <c r="AT1167" t="s">
        <v>2365</v>
      </c>
      <c r="AU1167" t="s">
        <v>2365</v>
      </c>
      <c r="AV1167" t="s">
        <v>2365</v>
      </c>
      <c r="AW1167" t="s">
        <v>2365</v>
      </c>
      <c r="AX1167" t="s">
        <v>2365</v>
      </c>
      <c r="AY1167" t="s">
        <v>2365</v>
      </c>
      <c r="AZ1167" t="s">
        <v>2365</v>
      </c>
      <c r="BA1167" t="s">
        <v>2365</v>
      </c>
      <c r="BB1167" t="s">
        <v>2365</v>
      </c>
      <c r="BC1167" t="s">
        <v>2365</v>
      </c>
      <c r="BD1167" t="s">
        <v>2366</v>
      </c>
      <c r="BE1167" t="s">
        <v>2365</v>
      </c>
      <c r="BF1167" t="s">
        <v>2365</v>
      </c>
      <c r="BG1167" t="s">
        <v>2365</v>
      </c>
      <c r="BH1167" t="s">
        <v>2365</v>
      </c>
      <c r="BI1167" t="s">
        <v>2366</v>
      </c>
      <c r="BJ1167" t="s">
        <v>2365</v>
      </c>
      <c r="BK1167" t="s">
        <v>2365</v>
      </c>
      <c r="BL1167" t="s">
        <v>2365</v>
      </c>
      <c r="BM1167" t="s">
        <v>2365</v>
      </c>
      <c r="BO1167">
        <v>1</v>
      </c>
      <c r="BP1167">
        <v>11</v>
      </c>
      <c r="BQ1167" t="s">
        <v>2369</v>
      </c>
      <c r="BR1167" t="s">
        <v>1487</v>
      </c>
      <c r="BU1167">
        <v>0</v>
      </c>
      <c r="BV1167">
        <v>0</v>
      </c>
      <c r="BW1167">
        <v>0</v>
      </c>
      <c r="BX1167">
        <v>0</v>
      </c>
      <c r="BY1167">
        <v>0</v>
      </c>
      <c r="BZ1167">
        <v>0</v>
      </c>
      <c r="CA1167">
        <v>0</v>
      </c>
      <c r="CB1167">
        <v>0</v>
      </c>
      <c r="CC1167">
        <v>0</v>
      </c>
      <c r="CD1167">
        <v>0</v>
      </c>
      <c r="CE1167">
        <v>0</v>
      </c>
      <c r="CF1167">
        <v>0</v>
      </c>
      <c r="CG1167">
        <v>0</v>
      </c>
      <c r="CH1167">
        <v>0</v>
      </c>
      <c r="CI1167">
        <v>0</v>
      </c>
      <c r="CJ1167">
        <v>0</v>
      </c>
      <c r="CK1167">
        <v>0</v>
      </c>
      <c r="CL1167">
        <v>0</v>
      </c>
      <c r="CM1167">
        <v>0</v>
      </c>
      <c r="CR1167" t="s">
        <v>2320</v>
      </c>
      <c r="CS1167" s="1369" t="str">
        <f>INDEX([8]Sheet1!$H:$H,MATCH(CR:CR,[8]Sheet1!$AU:$AU,0))</f>
        <v>Administrative and Corporate Support</v>
      </c>
    </row>
    <row r="1168" spans="1:97" x14ac:dyDescent="0.2">
      <c r="A1168" t="s">
        <v>4101</v>
      </c>
      <c r="B1168">
        <v>1241</v>
      </c>
      <c r="C1168" t="s">
        <v>4101</v>
      </c>
      <c r="D1168">
        <v>30472</v>
      </c>
      <c r="E1168" t="s">
        <v>3569</v>
      </c>
      <c r="F1168" t="s">
        <v>2364</v>
      </c>
      <c r="G1168" t="s">
        <v>2364</v>
      </c>
      <c r="H1168" t="s">
        <v>2365</v>
      </c>
      <c r="I1168" t="s">
        <v>2365</v>
      </c>
      <c r="J1168" t="s">
        <v>2365</v>
      </c>
      <c r="K1168" t="s">
        <v>2365</v>
      </c>
      <c r="L1168">
        <v>1200</v>
      </c>
      <c r="M1168" t="s">
        <v>1480</v>
      </c>
      <c r="N1168">
        <v>1204</v>
      </c>
      <c r="O1168" t="s">
        <v>1487</v>
      </c>
      <c r="P1168" t="s">
        <v>2366</v>
      </c>
      <c r="Q1168" t="s">
        <v>2364</v>
      </c>
      <c r="R1168" t="s">
        <v>2364</v>
      </c>
      <c r="S1168" t="s">
        <v>553</v>
      </c>
      <c r="T1168" t="s">
        <v>2175</v>
      </c>
      <c r="U1168">
        <v>140</v>
      </c>
      <c r="V1168" t="s">
        <v>693</v>
      </c>
      <c r="W1168">
        <v>140</v>
      </c>
      <c r="X1168" t="s">
        <v>693</v>
      </c>
      <c r="Y1168" t="s">
        <v>2365</v>
      </c>
      <c r="Z1168" t="s">
        <v>2365</v>
      </c>
      <c r="AA1168" t="s">
        <v>2365</v>
      </c>
      <c r="AB1168" t="s">
        <v>2365</v>
      </c>
      <c r="AC1168" s="813" t="s">
        <v>2365</v>
      </c>
      <c r="AD1168" s="813" t="s">
        <v>2365</v>
      </c>
      <c r="AE1168" s="813" t="s">
        <v>2365</v>
      </c>
      <c r="AF1168" t="s">
        <v>2365</v>
      </c>
      <c r="AG1168" t="s">
        <v>2365</v>
      </c>
      <c r="AH1168" t="s">
        <v>2365</v>
      </c>
      <c r="AI1168" t="s">
        <v>2365</v>
      </c>
      <c r="AJ1168" t="s">
        <v>2365</v>
      </c>
      <c r="AK1168" t="s">
        <v>2366</v>
      </c>
      <c r="AL1168" t="s">
        <v>2366</v>
      </c>
      <c r="AM1168" t="s">
        <v>2366</v>
      </c>
      <c r="AN1168" t="s">
        <v>2366</v>
      </c>
      <c r="AR1168" t="s">
        <v>2365</v>
      </c>
      <c r="AS1168" t="s">
        <v>2365</v>
      </c>
      <c r="AT1168" t="s">
        <v>2365</v>
      </c>
      <c r="AU1168" t="s">
        <v>2365</v>
      </c>
      <c r="AV1168" t="s">
        <v>2365</v>
      </c>
      <c r="AW1168" t="s">
        <v>2365</v>
      </c>
      <c r="AX1168" t="s">
        <v>2365</v>
      </c>
      <c r="AY1168" t="s">
        <v>2365</v>
      </c>
      <c r="AZ1168" t="s">
        <v>2365</v>
      </c>
      <c r="BA1168" t="s">
        <v>2365</v>
      </c>
      <c r="BB1168" t="s">
        <v>2365</v>
      </c>
      <c r="BC1168" t="s">
        <v>2365</v>
      </c>
      <c r="BD1168" t="s">
        <v>2366</v>
      </c>
      <c r="BE1168" t="s">
        <v>2365</v>
      </c>
      <c r="BF1168" t="s">
        <v>2365</v>
      </c>
      <c r="BG1168" t="s">
        <v>2365</v>
      </c>
      <c r="BH1168" t="s">
        <v>2365</v>
      </c>
      <c r="BI1168" t="s">
        <v>2366</v>
      </c>
      <c r="BJ1168" t="s">
        <v>2365</v>
      </c>
      <c r="BK1168" t="s">
        <v>2365</v>
      </c>
      <c r="BL1168" t="s">
        <v>2365</v>
      </c>
      <c r="BM1168" t="s">
        <v>2365</v>
      </c>
      <c r="BO1168">
        <v>1</v>
      </c>
      <c r="BP1168">
        <v>11</v>
      </c>
      <c r="BQ1168" t="s">
        <v>2369</v>
      </c>
      <c r="BR1168" t="s">
        <v>1487</v>
      </c>
      <c r="BU1168">
        <v>0</v>
      </c>
      <c r="BV1168">
        <v>0</v>
      </c>
      <c r="BW1168">
        <v>0</v>
      </c>
      <c r="BX1168">
        <v>0</v>
      </c>
      <c r="BY1168" s="1371">
        <v>0</v>
      </c>
      <c r="BZ1168" s="1371">
        <v>0</v>
      </c>
      <c r="CA1168">
        <v>0</v>
      </c>
      <c r="CB1168">
        <v>0</v>
      </c>
      <c r="CC1168">
        <v>0</v>
      </c>
      <c r="CD1168">
        <v>0</v>
      </c>
      <c r="CE1168">
        <v>0</v>
      </c>
      <c r="CF1168">
        <v>0</v>
      </c>
      <c r="CG1168">
        <v>0</v>
      </c>
      <c r="CH1168">
        <v>0</v>
      </c>
      <c r="CI1168">
        <v>0</v>
      </c>
      <c r="CJ1168">
        <v>0</v>
      </c>
      <c r="CK1168">
        <v>0</v>
      </c>
      <c r="CL1168">
        <v>0</v>
      </c>
      <c r="CM1168">
        <v>0</v>
      </c>
      <c r="CR1168" t="s">
        <v>2320</v>
      </c>
      <c r="CS1168" s="1369" t="str">
        <f>INDEX([8]Sheet1!$H:$H,MATCH(CR:CR,[8]Sheet1!$AU:$AU,0))</f>
        <v>Administrative and Corporate Support</v>
      </c>
    </row>
    <row r="1169" spans="1:97" x14ac:dyDescent="0.2">
      <c r="A1169" t="s">
        <v>4102</v>
      </c>
      <c r="B1169">
        <v>1242</v>
      </c>
      <c r="C1169" t="s">
        <v>4102</v>
      </c>
      <c r="D1169">
        <v>30473</v>
      </c>
      <c r="E1169" t="s">
        <v>3573</v>
      </c>
      <c r="F1169" t="s">
        <v>2364</v>
      </c>
      <c r="G1169" t="s">
        <v>2364</v>
      </c>
      <c r="H1169" t="s">
        <v>2365</v>
      </c>
      <c r="I1169" t="s">
        <v>2365</v>
      </c>
      <c r="J1169" t="s">
        <v>2365</v>
      </c>
      <c r="K1169" t="s">
        <v>2365</v>
      </c>
      <c r="L1169">
        <v>1200</v>
      </c>
      <c r="M1169" t="s">
        <v>1480</v>
      </c>
      <c r="N1169">
        <v>1204</v>
      </c>
      <c r="O1169" t="s">
        <v>1487</v>
      </c>
      <c r="P1169" t="s">
        <v>2366</v>
      </c>
      <c r="Q1169" t="s">
        <v>2364</v>
      </c>
      <c r="R1169" t="s">
        <v>2364</v>
      </c>
      <c r="S1169" t="s">
        <v>553</v>
      </c>
      <c r="T1169" t="s">
        <v>2175</v>
      </c>
      <c r="U1169">
        <v>140</v>
      </c>
      <c r="V1169" t="s">
        <v>693</v>
      </c>
      <c r="W1169">
        <v>140</v>
      </c>
      <c r="X1169" t="s">
        <v>693</v>
      </c>
      <c r="Y1169" t="s">
        <v>2365</v>
      </c>
      <c r="Z1169" t="s">
        <v>2365</v>
      </c>
      <c r="AA1169" t="s">
        <v>2365</v>
      </c>
      <c r="AB1169" t="s">
        <v>2365</v>
      </c>
      <c r="AC1169" s="813" t="s">
        <v>2365</v>
      </c>
      <c r="AD1169" s="813" t="s">
        <v>2365</v>
      </c>
      <c r="AE1169" s="813" t="s">
        <v>2365</v>
      </c>
      <c r="AF1169" t="s">
        <v>2365</v>
      </c>
      <c r="AG1169" t="s">
        <v>2365</v>
      </c>
      <c r="AH1169" t="s">
        <v>2365</v>
      </c>
      <c r="AI1169" t="s">
        <v>2365</v>
      </c>
      <c r="AJ1169" t="s">
        <v>2365</v>
      </c>
      <c r="AK1169" t="s">
        <v>2366</v>
      </c>
      <c r="AL1169" t="s">
        <v>2366</v>
      </c>
      <c r="AM1169" t="s">
        <v>2366</v>
      </c>
      <c r="AN1169" t="s">
        <v>2366</v>
      </c>
      <c r="AR1169" t="s">
        <v>2365</v>
      </c>
      <c r="AS1169" t="s">
        <v>2365</v>
      </c>
      <c r="AT1169" t="s">
        <v>2365</v>
      </c>
      <c r="AU1169" t="s">
        <v>2365</v>
      </c>
      <c r="AV1169" t="s">
        <v>2365</v>
      </c>
      <c r="AW1169" t="s">
        <v>2365</v>
      </c>
      <c r="AX1169" t="s">
        <v>2365</v>
      </c>
      <c r="AY1169" t="s">
        <v>2365</v>
      </c>
      <c r="AZ1169" t="s">
        <v>2365</v>
      </c>
      <c r="BA1169" t="s">
        <v>2365</v>
      </c>
      <c r="BB1169" t="s">
        <v>2365</v>
      </c>
      <c r="BC1169" t="s">
        <v>2365</v>
      </c>
      <c r="BD1169" t="s">
        <v>2366</v>
      </c>
      <c r="BE1169" t="s">
        <v>2365</v>
      </c>
      <c r="BF1169" t="s">
        <v>2365</v>
      </c>
      <c r="BG1169" t="s">
        <v>2365</v>
      </c>
      <c r="BH1169" t="s">
        <v>2365</v>
      </c>
      <c r="BI1169" t="s">
        <v>2366</v>
      </c>
      <c r="BJ1169" t="s">
        <v>2365</v>
      </c>
      <c r="BK1169" t="s">
        <v>2365</v>
      </c>
      <c r="BL1169" t="s">
        <v>2365</v>
      </c>
      <c r="BM1169" t="s">
        <v>2365</v>
      </c>
      <c r="BO1169">
        <v>1</v>
      </c>
      <c r="BP1169">
        <v>11</v>
      </c>
      <c r="BQ1169" t="s">
        <v>2369</v>
      </c>
      <c r="BR1169" t="s">
        <v>1487</v>
      </c>
      <c r="BU1169">
        <v>0</v>
      </c>
      <c r="BV1169">
        <v>0</v>
      </c>
      <c r="BW1169">
        <v>0</v>
      </c>
      <c r="BX1169">
        <v>0</v>
      </c>
      <c r="BY1169">
        <v>0</v>
      </c>
      <c r="BZ1169">
        <v>0</v>
      </c>
      <c r="CA1169">
        <v>0</v>
      </c>
      <c r="CB1169">
        <v>0</v>
      </c>
      <c r="CC1169">
        <v>0</v>
      </c>
      <c r="CD1169">
        <v>0</v>
      </c>
      <c r="CE1169">
        <v>0</v>
      </c>
      <c r="CF1169">
        <v>0</v>
      </c>
      <c r="CG1169">
        <v>0</v>
      </c>
      <c r="CH1169">
        <v>0</v>
      </c>
      <c r="CI1169">
        <v>0</v>
      </c>
      <c r="CJ1169">
        <v>0</v>
      </c>
      <c r="CK1169">
        <v>0</v>
      </c>
      <c r="CL1169">
        <v>0</v>
      </c>
      <c r="CM1169">
        <v>0</v>
      </c>
      <c r="CR1169" t="s">
        <v>2320</v>
      </c>
      <c r="CS1169" s="1369" t="str">
        <f>INDEX([8]Sheet1!$H:$H,MATCH(CR:CR,[8]Sheet1!$AU:$AU,0))</f>
        <v>Administrative and Corporate Support</v>
      </c>
    </row>
    <row r="1170" spans="1:97" x14ac:dyDescent="0.2">
      <c r="A1170" t="s">
        <v>4103</v>
      </c>
      <c r="B1170">
        <v>1243</v>
      </c>
      <c r="C1170" t="s">
        <v>4103</v>
      </c>
      <c r="D1170">
        <v>30474</v>
      </c>
      <c r="E1170" t="s">
        <v>3577</v>
      </c>
      <c r="F1170" t="s">
        <v>2364</v>
      </c>
      <c r="G1170" t="s">
        <v>2364</v>
      </c>
      <c r="H1170" t="s">
        <v>2365</v>
      </c>
      <c r="I1170" t="s">
        <v>2365</v>
      </c>
      <c r="J1170" t="s">
        <v>2365</v>
      </c>
      <c r="K1170" t="s">
        <v>2365</v>
      </c>
      <c r="L1170">
        <v>1200</v>
      </c>
      <c r="M1170" t="s">
        <v>1480</v>
      </c>
      <c r="N1170">
        <v>1204</v>
      </c>
      <c r="O1170" t="s">
        <v>1487</v>
      </c>
      <c r="P1170" t="s">
        <v>2366</v>
      </c>
      <c r="Q1170" t="s">
        <v>2364</v>
      </c>
      <c r="R1170" t="s">
        <v>2364</v>
      </c>
      <c r="S1170" t="s">
        <v>553</v>
      </c>
      <c r="T1170" t="s">
        <v>2175</v>
      </c>
      <c r="U1170">
        <v>140</v>
      </c>
      <c r="V1170" t="s">
        <v>693</v>
      </c>
      <c r="W1170">
        <v>140</v>
      </c>
      <c r="X1170" t="s">
        <v>693</v>
      </c>
      <c r="Y1170" t="s">
        <v>2365</v>
      </c>
      <c r="Z1170" t="s">
        <v>2365</v>
      </c>
      <c r="AA1170" t="s">
        <v>2365</v>
      </c>
      <c r="AB1170" t="s">
        <v>2365</v>
      </c>
      <c r="AC1170" s="813" t="s">
        <v>2365</v>
      </c>
      <c r="AD1170" s="813" t="s">
        <v>2365</v>
      </c>
      <c r="AE1170" s="813" t="s">
        <v>2365</v>
      </c>
      <c r="AF1170" t="s">
        <v>2365</v>
      </c>
      <c r="AG1170" t="s">
        <v>2365</v>
      </c>
      <c r="AH1170" t="s">
        <v>2365</v>
      </c>
      <c r="AI1170" t="s">
        <v>2365</v>
      </c>
      <c r="AJ1170" t="s">
        <v>2365</v>
      </c>
      <c r="AK1170">
        <v>147</v>
      </c>
      <c r="AL1170" t="s">
        <v>1200</v>
      </c>
      <c r="AM1170">
        <v>147</v>
      </c>
      <c r="AN1170" t="s">
        <v>1200</v>
      </c>
      <c r="AR1170" t="s">
        <v>2365</v>
      </c>
      <c r="AS1170" t="s">
        <v>2365</v>
      </c>
      <c r="AT1170" t="s">
        <v>2365</v>
      </c>
      <c r="AU1170" t="s">
        <v>2365</v>
      </c>
      <c r="AV1170" t="s">
        <v>2365</v>
      </c>
      <c r="AW1170" t="s">
        <v>2365</v>
      </c>
      <c r="AX1170" t="s">
        <v>2365</v>
      </c>
      <c r="AY1170" t="s">
        <v>2365</v>
      </c>
      <c r="AZ1170" t="s">
        <v>2365</v>
      </c>
      <c r="BA1170" t="s">
        <v>2365</v>
      </c>
      <c r="BB1170" t="s">
        <v>2365</v>
      </c>
      <c r="BC1170" t="s">
        <v>2365</v>
      </c>
      <c r="BD1170" t="s">
        <v>2366</v>
      </c>
      <c r="BE1170" t="s">
        <v>2365</v>
      </c>
      <c r="BF1170" t="s">
        <v>2365</v>
      </c>
      <c r="BG1170" t="s">
        <v>2365</v>
      </c>
      <c r="BH1170" t="s">
        <v>2365</v>
      </c>
      <c r="BI1170" t="s">
        <v>2366</v>
      </c>
      <c r="BJ1170" t="s">
        <v>2365</v>
      </c>
      <c r="BK1170" t="s">
        <v>2365</v>
      </c>
      <c r="BL1170" t="s">
        <v>2365</v>
      </c>
      <c r="BM1170" t="s">
        <v>2365</v>
      </c>
      <c r="BO1170">
        <v>1</v>
      </c>
      <c r="BP1170">
        <v>11</v>
      </c>
      <c r="BQ1170" t="s">
        <v>2369</v>
      </c>
      <c r="BR1170" t="s">
        <v>1487</v>
      </c>
      <c r="BU1170">
        <v>0</v>
      </c>
      <c r="BV1170">
        <v>0</v>
      </c>
      <c r="BW1170">
        <v>0</v>
      </c>
      <c r="BX1170">
        <v>0</v>
      </c>
      <c r="BY1170">
        <v>0</v>
      </c>
      <c r="BZ1170">
        <v>0</v>
      </c>
      <c r="CA1170">
        <v>0</v>
      </c>
      <c r="CB1170">
        <v>0</v>
      </c>
      <c r="CC1170">
        <v>0</v>
      </c>
      <c r="CD1170">
        <v>0</v>
      </c>
      <c r="CE1170">
        <v>0</v>
      </c>
      <c r="CF1170">
        <v>0</v>
      </c>
      <c r="CG1170">
        <v>0</v>
      </c>
      <c r="CH1170">
        <v>0</v>
      </c>
      <c r="CI1170">
        <v>0</v>
      </c>
      <c r="CJ1170">
        <v>0</v>
      </c>
      <c r="CK1170">
        <v>0</v>
      </c>
      <c r="CL1170">
        <v>0</v>
      </c>
      <c r="CM1170">
        <v>0</v>
      </c>
      <c r="CR1170" t="s">
        <v>2320</v>
      </c>
      <c r="CS1170" s="1369" t="str">
        <f>INDEX([8]Sheet1!$H:$H,MATCH(CR:CR,[8]Sheet1!$AU:$AU,0))</f>
        <v>Administrative and Corporate Support</v>
      </c>
    </row>
    <row r="1171" spans="1:97" x14ac:dyDescent="0.2">
      <c r="A1171" t="s">
        <v>4104</v>
      </c>
      <c r="B1171">
        <v>1244</v>
      </c>
      <c r="C1171" t="s">
        <v>4104</v>
      </c>
      <c r="D1171">
        <v>30475</v>
      </c>
      <c r="E1171" t="s">
        <v>3581</v>
      </c>
      <c r="F1171" t="s">
        <v>2364</v>
      </c>
      <c r="G1171" t="s">
        <v>2364</v>
      </c>
      <c r="H1171" t="s">
        <v>2365</v>
      </c>
      <c r="I1171" t="s">
        <v>2365</v>
      </c>
      <c r="J1171" t="s">
        <v>2365</v>
      </c>
      <c r="K1171" t="s">
        <v>2365</v>
      </c>
      <c r="L1171">
        <v>1200</v>
      </c>
      <c r="M1171" t="s">
        <v>1480</v>
      </c>
      <c r="N1171">
        <v>1204</v>
      </c>
      <c r="O1171" t="s">
        <v>1487</v>
      </c>
      <c r="P1171" t="s">
        <v>2366</v>
      </c>
      <c r="Q1171" t="s">
        <v>2364</v>
      </c>
      <c r="R1171" t="s">
        <v>2364</v>
      </c>
      <c r="S1171" t="s">
        <v>553</v>
      </c>
      <c r="T1171" t="s">
        <v>2175</v>
      </c>
      <c r="U1171">
        <v>140</v>
      </c>
      <c r="V1171" t="s">
        <v>693</v>
      </c>
      <c r="W1171">
        <v>140</v>
      </c>
      <c r="X1171" t="s">
        <v>693</v>
      </c>
      <c r="Y1171" t="s">
        <v>2365</v>
      </c>
      <c r="Z1171" t="s">
        <v>2365</v>
      </c>
      <c r="AA1171" t="s">
        <v>2365</v>
      </c>
      <c r="AB1171" t="s">
        <v>2365</v>
      </c>
      <c r="AC1171" s="813" t="s">
        <v>2365</v>
      </c>
      <c r="AD1171" s="813" t="s">
        <v>2365</v>
      </c>
      <c r="AE1171" s="813" t="s">
        <v>2365</v>
      </c>
      <c r="AF1171" t="s">
        <v>2365</v>
      </c>
      <c r="AG1171" t="s">
        <v>2365</v>
      </c>
      <c r="AH1171" t="s">
        <v>2365</v>
      </c>
      <c r="AI1171" t="s">
        <v>2365</v>
      </c>
      <c r="AJ1171" t="s">
        <v>2365</v>
      </c>
      <c r="AK1171" t="s">
        <v>2366</v>
      </c>
      <c r="AL1171" t="s">
        <v>2366</v>
      </c>
      <c r="AM1171" t="s">
        <v>2366</v>
      </c>
      <c r="AN1171" t="s">
        <v>2366</v>
      </c>
      <c r="AR1171" t="s">
        <v>2365</v>
      </c>
      <c r="AS1171" t="s">
        <v>2365</v>
      </c>
      <c r="AT1171" t="s">
        <v>2365</v>
      </c>
      <c r="AU1171" t="s">
        <v>2365</v>
      </c>
      <c r="AV1171" t="s">
        <v>2365</v>
      </c>
      <c r="AW1171" t="s">
        <v>2365</v>
      </c>
      <c r="AX1171" t="s">
        <v>2365</v>
      </c>
      <c r="AY1171" t="s">
        <v>2365</v>
      </c>
      <c r="AZ1171" t="s">
        <v>2365</v>
      </c>
      <c r="BA1171" t="s">
        <v>2365</v>
      </c>
      <c r="BB1171" t="s">
        <v>2365</v>
      </c>
      <c r="BC1171" t="s">
        <v>2365</v>
      </c>
      <c r="BD1171" t="s">
        <v>2366</v>
      </c>
      <c r="BE1171" t="s">
        <v>2365</v>
      </c>
      <c r="BF1171" t="s">
        <v>2365</v>
      </c>
      <c r="BG1171" t="s">
        <v>2365</v>
      </c>
      <c r="BH1171" t="s">
        <v>2365</v>
      </c>
      <c r="BI1171" t="s">
        <v>2366</v>
      </c>
      <c r="BJ1171" t="s">
        <v>2365</v>
      </c>
      <c r="BK1171" t="s">
        <v>2365</v>
      </c>
      <c r="BL1171" t="s">
        <v>2365</v>
      </c>
      <c r="BM1171" t="s">
        <v>2365</v>
      </c>
      <c r="BO1171">
        <v>1</v>
      </c>
      <c r="BP1171">
        <v>11</v>
      </c>
      <c r="BQ1171" t="s">
        <v>2369</v>
      </c>
      <c r="BR1171" t="s">
        <v>1487</v>
      </c>
      <c r="BU1171">
        <v>0</v>
      </c>
      <c r="BV1171">
        <v>0</v>
      </c>
      <c r="BW1171">
        <v>0</v>
      </c>
      <c r="BX1171">
        <v>0</v>
      </c>
      <c r="BY1171">
        <v>0</v>
      </c>
      <c r="BZ1171">
        <v>0</v>
      </c>
      <c r="CA1171">
        <v>0</v>
      </c>
      <c r="CB1171">
        <v>0</v>
      </c>
      <c r="CC1171">
        <v>0</v>
      </c>
      <c r="CD1171">
        <v>0</v>
      </c>
      <c r="CE1171">
        <v>0</v>
      </c>
      <c r="CF1171">
        <v>0</v>
      </c>
      <c r="CG1171">
        <v>0</v>
      </c>
      <c r="CH1171">
        <v>0</v>
      </c>
      <c r="CI1171">
        <v>0</v>
      </c>
      <c r="CJ1171">
        <v>0</v>
      </c>
      <c r="CK1171">
        <v>0</v>
      </c>
      <c r="CL1171">
        <v>0</v>
      </c>
      <c r="CM1171">
        <v>0</v>
      </c>
      <c r="CR1171" t="s">
        <v>2320</v>
      </c>
      <c r="CS1171" s="1369" t="str">
        <f>INDEX([8]Sheet1!$H:$H,MATCH(CR:CR,[8]Sheet1!$AU:$AU,0))</f>
        <v>Administrative and Corporate Support</v>
      </c>
    </row>
    <row r="1172" spans="1:97" x14ac:dyDescent="0.2">
      <c r="A1172" t="s">
        <v>4105</v>
      </c>
      <c r="B1172">
        <v>1245</v>
      </c>
      <c r="C1172" t="s">
        <v>4105</v>
      </c>
      <c r="D1172">
        <v>30476</v>
      </c>
      <c r="E1172" t="s">
        <v>3585</v>
      </c>
      <c r="F1172" t="s">
        <v>2364</v>
      </c>
      <c r="G1172" t="s">
        <v>2364</v>
      </c>
      <c r="H1172" t="s">
        <v>2365</v>
      </c>
      <c r="I1172" t="s">
        <v>2365</v>
      </c>
      <c r="J1172" t="s">
        <v>2365</v>
      </c>
      <c r="K1172" t="s">
        <v>2365</v>
      </c>
      <c r="L1172">
        <v>1200</v>
      </c>
      <c r="M1172" t="s">
        <v>1480</v>
      </c>
      <c r="N1172">
        <v>1204</v>
      </c>
      <c r="O1172" t="s">
        <v>1487</v>
      </c>
      <c r="P1172" t="s">
        <v>2366</v>
      </c>
      <c r="Q1172" t="s">
        <v>2364</v>
      </c>
      <c r="R1172" t="s">
        <v>2364</v>
      </c>
      <c r="S1172" t="s">
        <v>553</v>
      </c>
      <c r="T1172" t="s">
        <v>2175</v>
      </c>
      <c r="U1172">
        <v>140</v>
      </c>
      <c r="V1172" t="s">
        <v>693</v>
      </c>
      <c r="W1172">
        <v>140</v>
      </c>
      <c r="X1172" t="s">
        <v>693</v>
      </c>
      <c r="Y1172" t="s">
        <v>2365</v>
      </c>
      <c r="Z1172" t="s">
        <v>2365</v>
      </c>
      <c r="AA1172" t="s">
        <v>2365</v>
      </c>
      <c r="AB1172" t="s">
        <v>2365</v>
      </c>
      <c r="AC1172" s="813" t="s">
        <v>2365</v>
      </c>
      <c r="AD1172" s="813" t="s">
        <v>2365</v>
      </c>
      <c r="AE1172" s="813" t="s">
        <v>2365</v>
      </c>
      <c r="AF1172" t="s">
        <v>2365</v>
      </c>
      <c r="AG1172" t="s">
        <v>2365</v>
      </c>
      <c r="AH1172" t="s">
        <v>2365</v>
      </c>
      <c r="AI1172" t="s">
        <v>2365</v>
      </c>
      <c r="AJ1172" t="s">
        <v>2365</v>
      </c>
      <c r="AK1172" t="s">
        <v>2366</v>
      </c>
      <c r="AL1172" t="s">
        <v>2366</v>
      </c>
      <c r="AM1172" t="s">
        <v>2366</v>
      </c>
      <c r="AN1172" t="s">
        <v>2366</v>
      </c>
      <c r="AR1172" t="s">
        <v>2365</v>
      </c>
      <c r="AS1172" t="s">
        <v>2365</v>
      </c>
      <c r="AT1172" t="s">
        <v>2365</v>
      </c>
      <c r="AU1172" t="s">
        <v>2365</v>
      </c>
      <c r="AV1172" t="s">
        <v>2365</v>
      </c>
      <c r="AW1172" t="s">
        <v>2365</v>
      </c>
      <c r="AX1172" t="s">
        <v>2365</v>
      </c>
      <c r="AY1172" t="s">
        <v>2365</v>
      </c>
      <c r="AZ1172" t="s">
        <v>2365</v>
      </c>
      <c r="BA1172" t="s">
        <v>2365</v>
      </c>
      <c r="BB1172" t="s">
        <v>2365</v>
      </c>
      <c r="BC1172" t="s">
        <v>2365</v>
      </c>
      <c r="BD1172" t="s">
        <v>2366</v>
      </c>
      <c r="BE1172" t="s">
        <v>2365</v>
      </c>
      <c r="BF1172" t="s">
        <v>2365</v>
      </c>
      <c r="BG1172" t="s">
        <v>2365</v>
      </c>
      <c r="BH1172" t="s">
        <v>2365</v>
      </c>
      <c r="BI1172" t="s">
        <v>2366</v>
      </c>
      <c r="BJ1172" t="s">
        <v>2365</v>
      </c>
      <c r="BK1172" t="s">
        <v>2365</v>
      </c>
      <c r="BL1172" t="s">
        <v>2365</v>
      </c>
      <c r="BM1172" t="s">
        <v>2365</v>
      </c>
      <c r="BO1172">
        <v>1</v>
      </c>
      <c r="BP1172">
        <v>11</v>
      </c>
      <c r="BQ1172" t="s">
        <v>2369</v>
      </c>
      <c r="BR1172" t="s">
        <v>1487</v>
      </c>
      <c r="BU1172">
        <v>0</v>
      </c>
      <c r="BV1172">
        <v>0</v>
      </c>
      <c r="BW1172">
        <v>0</v>
      </c>
      <c r="BX1172">
        <v>0</v>
      </c>
      <c r="BY1172" s="1371">
        <v>0</v>
      </c>
      <c r="BZ1172" s="1371">
        <v>0</v>
      </c>
      <c r="CA1172">
        <v>0</v>
      </c>
      <c r="CB1172">
        <v>0</v>
      </c>
      <c r="CC1172">
        <v>0</v>
      </c>
      <c r="CD1172">
        <v>0</v>
      </c>
      <c r="CE1172">
        <v>0</v>
      </c>
      <c r="CF1172">
        <v>0</v>
      </c>
      <c r="CG1172">
        <v>0</v>
      </c>
      <c r="CH1172">
        <v>0</v>
      </c>
      <c r="CI1172">
        <v>0</v>
      </c>
      <c r="CJ1172">
        <v>0</v>
      </c>
      <c r="CK1172">
        <v>0</v>
      </c>
      <c r="CL1172">
        <v>0</v>
      </c>
      <c r="CM1172">
        <v>0</v>
      </c>
      <c r="CR1172" t="s">
        <v>2340</v>
      </c>
      <c r="CS1172" s="1369" t="str">
        <f>INDEX([8]Sheet1!$H:$H,MATCH(CR:CR,[8]Sheet1!$AU:$AU,0))</f>
        <v>Disaster Management</v>
      </c>
    </row>
    <row r="1173" spans="1:97" x14ac:dyDescent="0.2">
      <c r="A1173" t="s">
        <v>4106</v>
      </c>
      <c r="B1173">
        <v>1246</v>
      </c>
      <c r="C1173" t="s">
        <v>4106</v>
      </c>
      <c r="D1173">
        <v>30477</v>
      </c>
      <c r="E1173" t="s">
        <v>3589</v>
      </c>
      <c r="F1173" t="s">
        <v>2364</v>
      </c>
      <c r="G1173" t="s">
        <v>2364</v>
      </c>
      <c r="H1173" t="s">
        <v>2365</v>
      </c>
      <c r="I1173" t="s">
        <v>2365</v>
      </c>
      <c r="J1173" t="s">
        <v>2365</v>
      </c>
      <c r="K1173" t="s">
        <v>2365</v>
      </c>
      <c r="L1173">
        <v>1200</v>
      </c>
      <c r="M1173" t="s">
        <v>1480</v>
      </c>
      <c r="N1173">
        <v>1204</v>
      </c>
      <c r="O1173" t="s">
        <v>1487</v>
      </c>
      <c r="P1173" t="s">
        <v>2366</v>
      </c>
      <c r="Q1173" t="s">
        <v>2364</v>
      </c>
      <c r="R1173" t="s">
        <v>2364</v>
      </c>
      <c r="S1173" t="s">
        <v>553</v>
      </c>
      <c r="T1173" t="s">
        <v>2175</v>
      </c>
      <c r="U1173">
        <v>140</v>
      </c>
      <c r="V1173" t="s">
        <v>693</v>
      </c>
      <c r="W1173">
        <v>140</v>
      </c>
      <c r="X1173" t="s">
        <v>693</v>
      </c>
      <c r="Y1173" t="s">
        <v>2365</v>
      </c>
      <c r="Z1173" t="s">
        <v>2365</v>
      </c>
      <c r="AA1173" t="s">
        <v>2365</v>
      </c>
      <c r="AB1173" t="s">
        <v>2365</v>
      </c>
      <c r="AC1173" s="813" t="s">
        <v>2365</v>
      </c>
      <c r="AD1173" s="813" t="s">
        <v>2365</v>
      </c>
      <c r="AE1173" s="813" t="s">
        <v>2365</v>
      </c>
      <c r="AF1173" t="s">
        <v>2365</v>
      </c>
      <c r="AG1173" t="s">
        <v>2365</v>
      </c>
      <c r="AH1173" t="s">
        <v>2365</v>
      </c>
      <c r="AI1173" t="s">
        <v>2365</v>
      </c>
      <c r="AJ1173" t="s">
        <v>2365</v>
      </c>
      <c r="AK1173" t="s">
        <v>2366</v>
      </c>
      <c r="AL1173" t="s">
        <v>2366</v>
      </c>
      <c r="AM1173" t="s">
        <v>2366</v>
      </c>
      <c r="AN1173" t="s">
        <v>2366</v>
      </c>
      <c r="AR1173" t="s">
        <v>2365</v>
      </c>
      <c r="AS1173" t="s">
        <v>2365</v>
      </c>
      <c r="AT1173" t="s">
        <v>2365</v>
      </c>
      <c r="AU1173" t="s">
        <v>2365</v>
      </c>
      <c r="AV1173" t="s">
        <v>2365</v>
      </c>
      <c r="AW1173" t="s">
        <v>2365</v>
      </c>
      <c r="AX1173" t="s">
        <v>2365</v>
      </c>
      <c r="AY1173" t="s">
        <v>2365</v>
      </c>
      <c r="AZ1173" t="s">
        <v>2365</v>
      </c>
      <c r="BA1173" t="s">
        <v>2365</v>
      </c>
      <c r="BB1173" t="s">
        <v>2365</v>
      </c>
      <c r="BC1173" t="s">
        <v>2365</v>
      </c>
      <c r="BD1173" t="s">
        <v>2366</v>
      </c>
      <c r="BE1173" t="s">
        <v>2365</v>
      </c>
      <c r="BF1173" t="s">
        <v>2365</v>
      </c>
      <c r="BG1173" t="s">
        <v>2365</v>
      </c>
      <c r="BH1173" t="s">
        <v>2365</v>
      </c>
      <c r="BI1173" t="s">
        <v>2366</v>
      </c>
      <c r="BJ1173" t="s">
        <v>2365</v>
      </c>
      <c r="BK1173" t="s">
        <v>2365</v>
      </c>
      <c r="BL1173" t="s">
        <v>2365</v>
      </c>
      <c r="BM1173" t="s">
        <v>2365</v>
      </c>
      <c r="BO1173">
        <v>1</v>
      </c>
      <c r="BP1173">
        <v>11</v>
      </c>
      <c r="BQ1173" t="s">
        <v>2369</v>
      </c>
      <c r="BR1173" t="s">
        <v>1487</v>
      </c>
      <c r="BU1173">
        <v>0</v>
      </c>
      <c r="BV1173">
        <v>0</v>
      </c>
      <c r="BW1173">
        <v>0</v>
      </c>
      <c r="BX1173">
        <v>0</v>
      </c>
      <c r="BY1173" s="1371">
        <v>0</v>
      </c>
      <c r="BZ1173" s="1371">
        <v>0</v>
      </c>
      <c r="CA1173">
        <v>0</v>
      </c>
      <c r="CB1173">
        <v>0</v>
      </c>
      <c r="CC1173">
        <v>0</v>
      </c>
      <c r="CD1173">
        <v>0</v>
      </c>
      <c r="CE1173">
        <v>0</v>
      </c>
      <c r="CF1173">
        <v>0</v>
      </c>
      <c r="CG1173">
        <v>0</v>
      </c>
      <c r="CH1173">
        <v>0</v>
      </c>
      <c r="CI1173">
        <v>0</v>
      </c>
      <c r="CJ1173">
        <v>0</v>
      </c>
      <c r="CK1173">
        <v>0</v>
      </c>
      <c r="CL1173">
        <v>0</v>
      </c>
      <c r="CM1173">
        <v>0</v>
      </c>
      <c r="CR1173" t="s">
        <v>2343</v>
      </c>
      <c r="CS1173" s="1369" t="str">
        <f>INDEX([8]Sheet1!$H:$H,MATCH(CR:CR,[8]Sheet1!$AU:$AU,0))</f>
        <v>Pollution Control</v>
      </c>
    </row>
    <row r="1174" spans="1:97" x14ac:dyDescent="0.2">
      <c r="A1174" t="s">
        <v>4107</v>
      </c>
      <c r="B1174">
        <v>1247</v>
      </c>
      <c r="C1174" t="s">
        <v>4107</v>
      </c>
      <c r="D1174">
        <v>30478</v>
      </c>
      <c r="E1174" t="s">
        <v>3713</v>
      </c>
      <c r="F1174" t="s">
        <v>2364</v>
      </c>
      <c r="G1174" t="s">
        <v>2364</v>
      </c>
      <c r="H1174" t="s">
        <v>2365</v>
      </c>
      <c r="I1174" t="s">
        <v>2365</v>
      </c>
      <c r="J1174" t="s">
        <v>2365</v>
      </c>
      <c r="K1174" t="s">
        <v>2365</v>
      </c>
      <c r="L1174">
        <v>1200</v>
      </c>
      <c r="M1174" t="s">
        <v>1480</v>
      </c>
      <c r="N1174">
        <v>1204</v>
      </c>
      <c r="O1174" t="s">
        <v>1487</v>
      </c>
      <c r="P1174" t="s">
        <v>2366</v>
      </c>
      <c r="Q1174" t="s">
        <v>2364</v>
      </c>
      <c r="R1174" t="s">
        <v>2364</v>
      </c>
      <c r="S1174" t="s">
        <v>553</v>
      </c>
      <c r="T1174" t="s">
        <v>2175</v>
      </c>
      <c r="U1174" t="s">
        <v>2366</v>
      </c>
      <c r="V1174" t="s">
        <v>2366</v>
      </c>
      <c r="W1174" t="s">
        <v>2366</v>
      </c>
      <c r="X1174" t="s">
        <v>2366</v>
      </c>
      <c r="Y1174" t="s">
        <v>2365</v>
      </c>
      <c r="Z1174" t="s">
        <v>2365</v>
      </c>
      <c r="AA1174" t="s">
        <v>2365</v>
      </c>
      <c r="AB1174" t="s">
        <v>2365</v>
      </c>
      <c r="AC1174" s="813" t="s">
        <v>2365</v>
      </c>
      <c r="AD1174" s="813" t="s">
        <v>2365</v>
      </c>
      <c r="AE1174" s="813" t="s">
        <v>2365</v>
      </c>
      <c r="AF1174" t="s">
        <v>2365</v>
      </c>
      <c r="AG1174" t="s">
        <v>2365</v>
      </c>
      <c r="AH1174" t="s">
        <v>2365</v>
      </c>
      <c r="AI1174" t="s">
        <v>2365</v>
      </c>
      <c r="AJ1174" t="s">
        <v>2365</v>
      </c>
      <c r="AK1174">
        <v>146</v>
      </c>
      <c r="AL1174" t="s">
        <v>1199</v>
      </c>
      <c r="AM1174">
        <v>146</v>
      </c>
      <c r="AN1174" t="s">
        <v>1199</v>
      </c>
      <c r="AR1174" t="s">
        <v>2365</v>
      </c>
      <c r="AS1174" t="s">
        <v>2365</v>
      </c>
      <c r="AT1174" t="s">
        <v>2365</v>
      </c>
      <c r="AU1174" t="s">
        <v>2365</v>
      </c>
      <c r="AV1174" t="s">
        <v>2365</v>
      </c>
      <c r="AW1174" t="s">
        <v>2365</v>
      </c>
      <c r="AX1174" t="s">
        <v>2365</v>
      </c>
      <c r="AY1174" t="s">
        <v>2365</v>
      </c>
      <c r="AZ1174" t="s">
        <v>2365</v>
      </c>
      <c r="BA1174" t="s">
        <v>2365</v>
      </c>
      <c r="BB1174" t="s">
        <v>2365</v>
      </c>
      <c r="BC1174" t="s">
        <v>2365</v>
      </c>
      <c r="BD1174" t="s">
        <v>2366</v>
      </c>
      <c r="BE1174" t="s">
        <v>2365</v>
      </c>
      <c r="BF1174" t="s">
        <v>2365</v>
      </c>
      <c r="BG1174" t="s">
        <v>2365</v>
      </c>
      <c r="BH1174" t="s">
        <v>2365</v>
      </c>
      <c r="BI1174" t="s">
        <v>2366</v>
      </c>
      <c r="BJ1174" t="s">
        <v>2365</v>
      </c>
      <c r="BK1174" t="s">
        <v>2365</v>
      </c>
      <c r="BL1174" t="s">
        <v>2365</v>
      </c>
      <c r="BM1174" t="s">
        <v>2365</v>
      </c>
      <c r="BO1174">
        <v>1</v>
      </c>
      <c r="BP1174">
        <v>11</v>
      </c>
      <c r="BQ1174" t="s">
        <v>2369</v>
      </c>
      <c r="BR1174" t="s">
        <v>1487</v>
      </c>
      <c r="BU1174">
        <v>0</v>
      </c>
      <c r="BV1174">
        <v>0</v>
      </c>
      <c r="BW1174">
        <v>0</v>
      </c>
      <c r="BX1174">
        <v>0</v>
      </c>
      <c r="BY1174">
        <v>0</v>
      </c>
      <c r="BZ1174">
        <v>0</v>
      </c>
      <c r="CA1174">
        <v>0</v>
      </c>
      <c r="CB1174">
        <v>0</v>
      </c>
      <c r="CC1174">
        <v>0</v>
      </c>
      <c r="CD1174">
        <v>0</v>
      </c>
      <c r="CE1174">
        <v>0</v>
      </c>
      <c r="CF1174">
        <v>0</v>
      </c>
      <c r="CG1174">
        <v>0</v>
      </c>
      <c r="CH1174">
        <v>0</v>
      </c>
      <c r="CI1174">
        <v>0</v>
      </c>
      <c r="CJ1174">
        <v>0</v>
      </c>
      <c r="CK1174">
        <v>0</v>
      </c>
      <c r="CL1174">
        <v>0</v>
      </c>
      <c r="CM1174">
        <v>0</v>
      </c>
      <c r="CR1174" t="s">
        <v>2343</v>
      </c>
      <c r="CS1174" s="1369" t="str">
        <f>INDEX([8]Sheet1!$H:$H,MATCH(CR:CR,[8]Sheet1!$AU:$AU,0))</f>
        <v>Pollution Control</v>
      </c>
    </row>
    <row r="1175" spans="1:97" x14ac:dyDescent="0.2">
      <c r="A1175" t="s">
        <v>4108</v>
      </c>
      <c r="B1175">
        <v>1248</v>
      </c>
      <c r="C1175" t="s">
        <v>4108</v>
      </c>
      <c r="D1175">
        <v>30479</v>
      </c>
      <c r="E1175" t="s">
        <v>3719</v>
      </c>
      <c r="F1175" t="s">
        <v>2364</v>
      </c>
      <c r="G1175" t="s">
        <v>2364</v>
      </c>
      <c r="H1175" t="s">
        <v>2365</v>
      </c>
      <c r="I1175" t="s">
        <v>2365</v>
      </c>
      <c r="J1175" t="s">
        <v>2365</v>
      </c>
      <c r="K1175" t="s">
        <v>2365</v>
      </c>
      <c r="L1175">
        <v>1200</v>
      </c>
      <c r="M1175" t="s">
        <v>1480</v>
      </c>
      <c r="N1175">
        <v>1204</v>
      </c>
      <c r="O1175" t="s">
        <v>1487</v>
      </c>
      <c r="P1175" t="s">
        <v>2366</v>
      </c>
      <c r="Q1175" t="s">
        <v>2364</v>
      </c>
      <c r="R1175" t="s">
        <v>2364</v>
      </c>
      <c r="S1175" t="s">
        <v>553</v>
      </c>
      <c r="T1175" t="s">
        <v>2175</v>
      </c>
      <c r="U1175" t="s">
        <v>2366</v>
      </c>
      <c r="V1175" t="s">
        <v>2366</v>
      </c>
      <c r="W1175" t="s">
        <v>2366</v>
      </c>
      <c r="X1175" t="s">
        <v>2366</v>
      </c>
      <c r="Y1175" t="s">
        <v>2365</v>
      </c>
      <c r="Z1175" t="s">
        <v>2365</v>
      </c>
      <c r="AA1175" t="s">
        <v>2365</v>
      </c>
      <c r="AB1175" t="s">
        <v>2365</v>
      </c>
      <c r="AC1175" s="813" t="s">
        <v>2365</v>
      </c>
      <c r="AD1175" s="813" t="s">
        <v>2365</v>
      </c>
      <c r="AE1175" s="813" t="s">
        <v>2365</v>
      </c>
      <c r="AF1175" t="s">
        <v>2365</v>
      </c>
      <c r="AG1175" t="s">
        <v>2365</v>
      </c>
      <c r="AH1175" t="s">
        <v>2365</v>
      </c>
      <c r="AI1175" t="s">
        <v>2365</v>
      </c>
      <c r="AJ1175" t="s">
        <v>2365</v>
      </c>
      <c r="AK1175">
        <v>146</v>
      </c>
      <c r="AL1175" t="s">
        <v>1199</v>
      </c>
      <c r="AM1175">
        <v>146</v>
      </c>
      <c r="AN1175" t="s">
        <v>1199</v>
      </c>
      <c r="AR1175" t="s">
        <v>2365</v>
      </c>
      <c r="AS1175" t="s">
        <v>2365</v>
      </c>
      <c r="AT1175" t="s">
        <v>2365</v>
      </c>
      <c r="AU1175" t="s">
        <v>2365</v>
      </c>
      <c r="AV1175" t="s">
        <v>2365</v>
      </c>
      <c r="AW1175" t="s">
        <v>2365</v>
      </c>
      <c r="AX1175" t="s">
        <v>2365</v>
      </c>
      <c r="AY1175" t="s">
        <v>2365</v>
      </c>
      <c r="AZ1175" t="s">
        <v>2365</v>
      </c>
      <c r="BA1175" t="s">
        <v>2365</v>
      </c>
      <c r="BB1175" t="s">
        <v>2365</v>
      </c>
      <c r="BC1175" t="s">
        <v>2365</v>
      </c>
      <c r="BD1175" t="s">
        <v>2366</v>
      </c>
      <c r="BE1175" t="s">
        <v>2365</v>
      </c>
      <c r="BF1175" t="s">
        <v>2365</v>
      </c>
      <c r="BG1175" t="s">
        <v>2365</v>
      </c>
      <c r="BH1175" t="s">
        <v>2365</v>
      </c>
      <c r="BI1175" t="s">
        <v>2366</v>
      </c>
      <c r="BJ1175" t="s">
        <v>2365</v>
      </c>
      <c r="BK1175" t="s">
        <v>2365</v>
      </c>
      <c r="BL1175" t="s">
        <v>2365</v>
      </c>
      <c r="BM1175" t="s">
        <v>2365</v>
      </c>
      <c r="BO1175">
        <v>1</v>
      </c>
      <c r="BP1175">
        <v>11</v>
      </c>
      <c r="BQ1175" t="s">
        <v>2369</v>
      </c>
      <c r="BR1175" t="s">
        <v>1487</v>
      </c>
      <c r="BU1175">
        <v>0</v>
      </c>
      <c r="BV1175">
        <v>0</v>
      </c>
      <c r="BW1175">
        <v>0</v>
      </c>
      <c r="BX1175">
        <v>0</v>
      </c>
      <c r="BY1175" s="1371">
        <v>0</v>
      </c>
      <c r="BZ1175" s="1371">
        <v>0</v>
      </c>
      <c r="CA1175">
        <v>0</v>
      </c>
      <c r="CB1175">
        <v>0</v>
      </c>
      <c r="CC1175">
        <v>0</v>
      </c>
      <c r="CD1175">
        <v>0</v>
      </c>
      <c r="CE1175">
        <v>0</v>
      </c>
      <c r="CF1175">
        <v>0</v>
      </c>
      <c r="CG1175">
        <v>0</v>
      </c>
      <c r="CH1175">
        <v>0</v>
      </c>
      <c r="CI1175">
        <v>0</v>
      </c>
      <c r="CJ1175">
        <v>0</v>
      </c>
      <c r="CK1175">
        <v>0</v>
      </c>
      <c r="CL1175">
        <v>0</v>
      </c>
      <c r="CM1175">
        <v>0</v>
      </c>
      <c r="CR1175" t="s">
        <v>2343</v>
      </c>
      <c r="CS1175" s="1369" t="str">
        <f>INDEX([8]Sheet1!$H:$H,MATCH(CR:CR,[8]Sheet1!$AU:$AU,0))</f>
        <v>Pollution Control</v>
      </c>
    </row>
    <row r="1176" spans="1:97" x14ac:dyDescent="0.2">
      <c r="A1176" t="s">
        <v>4109</v>
      </c>
      <c r="B1176">
        <v>1249</v>
      </c>
      <c r="C1176" t="s">
        <v>4109</v>
      </c>
      <c r="D1176">
        <v>30480</v>
      </c>
      <c r="E1176" t="s">
        <v>3545</v>
      </c>
      <c r="F1176" t="s">
        <v>2364</v>
      </c>
      <c r="G1176" t="s">
        <v>2364</v>
      </c>
      <c r="H1176" t="s">
        <v>2365</v>
      </c>
      <c r="I1176" t="s">
        <v>2365</v>
      </c>
      <c r="J1176" t="s">
        <v>2365</v>
      </c>
      <c r="K1176" t="s">
        <v>2365</v>
      </c>
      <c r="L1176">
        <v>1200</v>
      </c>
      <c r="M1176" t="s">
        <v>1480</v>
      </c>
      <c r="N1176">
        <v>1204</v>
      </c>
      <c r="O1176" t="s">
        <v>1487</v>
      </c>
      <c r="P1176" t="s">
        <v>2366</v>
      </c>
      <c r="Q1176" t="s">
        <v>2364</v>
      </c>
      <c r="R1176" t="s">
        <v>2364</v>
      </c>
      <c r="S1176" t="s">
        <v>553</v>
      </c>
      <c r="T1176" t="s">
        <v>2175</v>
      </c>
      <c r="U1176">
        <v>140</v>
      </c>
      <c r="V1176" t="s">
        <v>693</v>
      </c>
      <c r="W1176">
        <v>140</v>
      </c>
      <c r="X1176" t="s">
        <v>693</v>
      </c>
      <c r="Y1176" t="s">
        <v>2365</v>
      </c>
      <c r="Z1176" t="s">
        <v>2365</v>
      </c>
      <c r="AA1176" t="s">
        <v>2365</v>
      </c>
      <c r="AB1176" t="s">
        <v>2365</v>
      </c>
      <c r="AC1176" s="813" t="s">
        <v>2365</v>
      </c>
      <c r="AD1176" s="813" t="s">
        <v>2365</v>
      </c>
      <c r="AE1176" s="813" t="s">
        <v>2365</v>
      </c>
      <c r="AF1176" t="s">
        <v>2365</v>
      </c>
      <c r="AG1176" t="s">
        <v>2365</v>
      </c>
      <c r="AH1176" t="s">
        <v>2365</v>
      </c>
      <c r="AI1176" t="s">
        <v>2365</v>
      </c>
      <c r="AJ1176" t="s">
        <v>2365</v>
      </c>
      <c r="AK1176" t="s">
        <v>2366</v>
      </c>
      <c r="AL1176" t="s">
        <v>2366</v>
      </c>
      <c r="AM1176" t="s">
        <v>2366</v>
      </c>
      <c r="AN1176" t="s">
        <v>2366</v>
      </c>
      <c r="AR1176" t="s">
        <v>2365</v>
      </c>
      <c r="AS1176" t="s">
        <v>2365</v>
      </c>
      <c r="AT1176" t="s">
        <v>2365</v>
      </c>
      <c r="AU1176" t="s">
        <v>2365</v>
      </c>
      <c r="AV1176" t="s">
        <v>2365</v>
      </c>
      <c r="AW1176" t="s">
        <v>2365</v>
      </c>
      <c r="AX1176" t="s">
        <v>2365</v>
      </c>
      <c r="AY1176" t="s">
        <v>2365</v>
      </c>
      <c r="AZ1176" t="s">
        <v>2365</v>
      </c>
      <c r="BA1176" t="s">
        <v>2365</v>
      </c>
      <c r="BB1176" t="s">
        <v>2365</v>
      </c>
      <c r="BC1176" t="s">
        <v>2365</v>
      </c>
      <c r="BD1176" t="s">
        <v>2366</v>
      </c>
      <c r="BE1176" t="s">
        <v>2365</v>
      </c>
      <c r="BF1176" t="s">
        <v>2365</v>
      </c>
      <c r="BG1176" t="s">
        <v>2365</v>
      </c>
      <c r="BH1176" t="s">
        <v>2365</v>
      </c>
      <c r="BI1176" t="s">
        <v>2366</v>
      </c>
      <c r="BJ1176" t="s">
        <v>2365</v>
      </c>
      <c r="BK1176" t="s">
        <v>2365</v>
      </c>
      <c r="BL1176" t="s">
        <v>2365</v>
      </c>
      <c r="BM1176" t="s">
        <v>2365</v>
      </c>
      <c r="BO1176">
        <v>1</v>
      </c>
      <c r="BP1176">
        <v>11</v>
      </c>
      <c r="BQ1176" t="s">
        <v>2369</v>
      </c>
      <c r="BR1176" t="s">
        <v>1487</v>
      </c>
      <c r="BU1176">
        <v>0</v>
      </c>
      <c r="BV1176">
        <v>0</v>
      </c>
      <c r="BW1176">
        <v>0</v>
      </c>
      <c r="BX1176">
        <v>0</v>
      </c>
      <c r="BY1176">
        <v>0</v>
      </c>
      <c r="BZ1176">
        <v>0</v>
      </c>
      <c r="CA1176">
        <v>0</v>
      </c>
      <c r="CB1176">
        <v>0</v>
      </c>
      <c r="CC1176">
        <v>0</v>
      </c>
      <c r="CD1176">
        <v>0</v>
      </c>
      <c r="CE1176">
        <v>0</v>
      </c>
      <c r="CF1176">
        <v>0</v>
      </c>
      <c r="CG1176">
        <v>0</v>
      </c>
      <c r="CH1176">
        <v>0</v>
      </c>
      <c r="CI1176">
        <v>0</v>
      </c>
      <c r="CJ1176">
        <v>0</v>
      </c>
      <c r="CK1176">
        <v>0</v>
      </c>
      <c r="CL1176">
        <v>0</v>
      </c>
      <c r="CM1176">
        <v>0</v>
      </c>
      <c r="CR1176" t="s">
        <v>2335</v>
      </c>
      <c r="CS1176" s="1369" t="str">
        <f>INDEX([8]Sheet1!$H:$H,MATCH(CR:CR,[8]Sheet1!$AU:$AU,0))</f>
        <v>Economic Development/Planning</v>
      </c>
    </row>
    <row r="1177" spans="1:97" x14ac:dyDescent="0.2">
      <c r="A1177" t="s">
        <v>4110</v>
      </c>
      <c r="B1177">
        <v>1251</v>
      </c>
      <c r="C1177" t="s">
        <v>4110</v>
      </c>
      <c r="D1177">
        <v>30482</v>
      </c>
      <c r="E1177" t="s">
        <v>3553</v>
      </c>
      <c r="F1177" t="s">
        <v>2364</v>
      </c>
      <c r="G1177" t="s">
        <v>2364</v>
      </c>
      <c r="H1177" t="s">
        <v>2365</v>
      </c>
      <c r="I1177" t="s">
        <v>2365</v>
      </c>
      <c r="J1177" t="s">
        <v>2365</v>
      </c>
      <c r="K1177" t="s">
        <v>2365</v>
      </c>
      <c r="L1177">
        <v>1200</v>
      </c>
      <c r="M1177" t="s">
        <v>1480</v>
      </c>
      <c r="N1177">
        <v>1204</v>
      </c>
      <c r="O1177" t="s">
        <v>1487</v>
      </c>
      <c r="P1177" t="s">
        <v>2366</v>
      </c>
      <c r="Q1177" t="s">
        <v>2364</v>
      </c>
      <c r="R1177" t="s">
        <v>2364</v>
      </c>
      <c r="S1177" t="s">
        <v>553</v>
      </c>
      <c r="T1177" t="s">
        <v>2175</v>
      </c>
      <c r="U1177">
        <v>140</v>
      </c>
      <c r="V1177" t="s">
        <v>693</v>
      </c>
      <c r="W1177">
        <v>140</v>
      </c>
      <c r="X1177" t="s">
        <v>693</v>
      </c>
      <c r="Y1177" t="s">
        <v>2365</v>
      </c>
      <c r="Z1177" t="s">
        <v>2365</v>
      </c>
      <c r="AA1177" t="s">
        <v>2365</v>
      </c>
      <c r="AB1177" t="s">
        <v>2365</v>
      </c>
      <c r="AC1177" s="813" t="s">
        <v>2365</v>
      </c>
      <c r="AD1177" s="813" t="s">
        <v>2365</v>
      </c>
      <c r="AE1177" s="813" t="s">
        <v>2365</v>
      </c>
      <c r="AF1177" t="s">
        <v>2365</v>
      </c>
      <c r="AG1177" t="s">
        <v>2365</v>
      </c>
      <c r="AH1177" t="s">
        <v>2365</v>
      </c>
      <c r="AI1177" t="s">
        <v>2365</v>
      </c>
      <c r="AJ1177" t="s">
        <v>2365</v>
      </c>
      <c r="AK1177">
        <v>147</v>
      </c>
      <c r="AL1177" t="s">
        <v>1200</v>
      </c>
      <c r="AM1177">
        <v>147</v>
      </c>
      <c r="AN1177" t="s">
        <v>1200</v>
      </c>
      <c r="AR1177" t="s">
        <v>2365</v>
      </c>
      <c r="AS1177" t="s">
        <v>2365</v>
      </c>
      <c r="AT1177" t="s">
        <v>2365</v>
      </c>
      <c r="AU1177" t="s">
        <v>2365</v>
      </c>
      <c r="AV1177" t="s">
        <v>2365</v>
      </c>
      <c r="AW1177" t="s">
        <v>2365</v>
      </c>
      <c r="AX1177" t="s">
        <v>2365</v>
      </c>
      <c r="AY1177" t="s">
        <v>2365</v>
      </c>
      <c r="AZ1177" t="s">
        <v>2365</v>
      </c>
      <c r="BA1177" t="s">
        <v>2365</v>
      </c>
      <c r="BB1177" t="s">
        <v>2365</v>
      </c>
      <c r="BC1177" t="s">
        <v>2365</v>
      </c>
      <c r="BD1177" t="s">
        <v>2366</v>
      </c>
      <c r="BE1177" t="s">
        <v>2365</v>
      </c>
      <c r="BF1177" t="s">
        <v>2365</v>
      </c>
      <c r="BG1177" t="s">
        <v>2365</v>
      </c>
      <c r="BH1177" t="s">
        <v>2365</v>
      </c>
      <c r="BI1177" t="s">
        <v>2366</v>
      </c>
      <c r="BJ1177" t="s">
        <v>2365</v>
      </c>
      <c r="BK1177" t="s">
        <v>2365</v>
      </c>
      <c r="BL1177" t="s">
        <v>2365</v>
      </c>
      <c r="BM1177" t="s">
        <v>2365</v>
      </c>
      <c r="BO1177">
        <v>1</v>
      </c>
      <c r="BP1177">
        <v>11</v>
      </c>
      <c r="BQ1177" t="s">
        <v>2369</v>
      </c>
      <c r="BR1177" t="s">
        <v>1487</v>
      </c>
      <c r="BU1177">
        <v>0</v>
      </c>
      <c r="BV1177">
        <v>0</v>
      </c>
      <c r="BW1177">
        <v>0</v>
      </c>
      <c r="BX1177">
        <v>0</v>
      </c>
      <c r="BY1177">
        <v>0</v>
      </c>
      <c r="BZ1177">
        <v>0</v>
      </c>
      <c r="CA1177">
        <v>0</v>
      </c>
      <c r="CB1177">
        <v>0</v>
      </c>
      <c r="CC1177">
        <v>0</v>
      </c>
      <c r="CD1177">
        <v>0</v>
      </c>
      <c r="CE1177">
        <v>0</v>
      </c>
      <c r="CF1177">
        <v>0</v>
      </c>
      <c r="CG1177">
        <v>0</v>
      </c>
      <c r="CH1177">
        <v>0</v>
      </c>
      <c r="CI1177">
        <v>0</v>
      </c>
      <c r="CJ1177">
        <v>0</v>
      </c>
      <c r="CK1177">
        <v>0</v>
      </c>
      <c r="CL1177">
        <v>0</v>
      </c>
      <c r="CM1177">
        <v>0</v>
      </c>
      <c r="CR1177" t="s">
        <v>2335</v>
      </c>
      <c r="CS1177" s="1369" t="str">
        <f>INDEX([8]Sheet1!$H:$H,MATCH(CR:CR,[8]Sheet1!$AU:$AU,0))</f>
        <v>Economic Development/Planning</v>
      </c>
    </row>
    <row r="1178" spans="1:97" x14ac:dyDescent="0.2">
      <c r="A1178" t="s">
        <v>4111</v>
      </c>
      <c r="B1178">
        <v>1252</v>
      </c>
      <c r="C1178" t="s">
        <v>4111</v>
      </c>
      <c r="D1178">
        <v>30483</v>
      </c>
      <c r="E1178" t="s">
        <v>3557</v>
      </c>
      <c r="F1178" t="s">
        <v>2364</v>
      </c>
      <c r="G1178" t="s">
        <v>2364</v>
      </c>
      <c r="H1178" t="s">
        <v>2365</v>
      </c>
      <c r="I1178" t="s">
        <v>2365</v>
      </c>
      <c r="J1178" t="s">
        <v>2365</v>
      </c>
      <c r="K1178" t="s">
        <v>2365</v>
      </c>
      <c r="L1178">
        <v>1200</v>
      </c>
      <c r="M1178" t="s">
        <v>1480</v>
      </c>
      <c r="N1178">
        <v>1204</v>
      </c>
      <c r="O1178" t="s">
        <v>1487</v>
      </c>
      <c r="P1178" t="s">
        <v>2366</v>
      </c>
      <c r="Q1178" t="s">
        <v>2364</v>
      </c>
      <c r="R1178" t="s">
        <v>2364</v>
      </c>
      <c r="S1178" t="s">
        <v>553</v>
      </c>
      <c r="T1178" t="s">
        <v>2175</v>
      </c>
      <c r="U1178">
        <v>140</v>
      </c>
      <c r="V1178" t="s">
        <v>693</v>
      </c>
      <c r="W1178">
        <v>140</v>
      </c>
      <c r="X1178" t="s">
        <v>693</v>
      </c>
      <c r="Y1178" t="s">
        <v>2365</v>
      </c>
      <c r="Z1178" t="s">
        <v>2365</v>
      </c>
      <c r="AA1178" t="s">
        <v>2365</v>
      </c>
      <c r="AB1178" t="s">
        <v>2365</v>
      </c>
      <c r="AC1178" s="813" t="s">
        <v>2365</v>
      </c>
      <c r="AD1178" s="813" t="s">
        <v>2365</v>
      </c>
      <c r="AE1178" s="813" t="s">
        <v>2365</v>
      </c>
      <c r="AF1178" t="s">
        <v>2365</v>
      </c>
      <c r="AG1178" t="s">
        <v>2365</v>
      </c>
      <c r="AH1178" t="s">
        <v>2365</v>
      </c>
      <c r="AI1178" t="s">
        <v>2365</v>
      </c>
      <c r="AJ1178" t="s">
        <v>2365</v>
      </c>
      <c r="AK1178" t="s">
        <v>2366</v>
      </c>
      <c r="AL1178" t="s">
        <v>2366</v>
      </c>
      <c r="AM1178" t="s">
        <v>2366</v>
      </c>
      <c r="AN1178" t="s">
        <v>2366</v>
      </c>
      <c r="AR1178" t="s">
        <v>2365</v>
      </c>
      <c r="AS1178" t="s">
        <v>2365</v>
      </c>
      <c r="AT1178" t="s">
        <v>2365</v>
      </c>
      <c r="AU1178" t="s">
        <v>2365</v>
      </c>
      <c r="AV1178" t="s">
        <v>2365</v>
      </c>
      <c r="AW1178" t="s">
        <v>2365</v>
      </c>
      <c r="AX1178" t="s">
        <v>2365</v>
      </c>
      <c r="AY1178" t="s">
        <v>2365</v>
      </c>
      <c r="AZ1178" t="s">
        <v>2365</v>
      </c>
      <c r="BA1178" t="s">
        <v>2365</v>
      </c>
      <c r="BB1178" t="s">
        <v>2365</v>
      </c>
      <c r="BC1178" t="s">
        <v>2365</v>
      </c>
      <c r="BD1178" t="s">
        <v>2366</v>
      </c>
      <c r="BE1178" t="s">
        <v>2365</v>
      </c>
      <c r="BF1178" t="s">
        <v>2365</v>
      </c>
      <c r="BG1178" t="s">
        <v>2365</v>
      </c>
      <c r="BH1178" t="s">
        <v>2365</v>
      </c>
      <c r="BI1178" t="s">
        <v>2366</v>
      </c>
      <c r="BJ1178" t="s">
        <v>2365</v>
      </c>
      <c r="BK1178" t="s">
        <v>2365</v>
      </c>
      <c r="BL1178" t="s">
        <v>2365</v>
      </c>
      <c r="BM1178" t="s">
        <v>2365</v>
      </c>
      <c r="BO1178">
        <v>1</v>
      </c>
      <c r="BP1178">
        <v>11</v>
      </c>
      <c r="BQ1178" t="s">
        <v>2369</v>
      </c>
      <c r="BR1178" t="s">
        <v>1487</v>
      </c>
      <c r="BU1178">
        <v>0</v>
      </c>
      <c r="BV1178">
        <v>0</v>
      </c>
      <c r="BW1178">
        <v>0</v>
      </c>
      <c r="BX1178">
        <v>0</v>
      </c>
      <c r="BY1178" s="1371">
        <v>0</v>
      </c>
      <c r="BZ1178" s="1371">
        <v>0</v>
      </c>
      <c r="CA1178">
        <v>0</v>
      </c>
      <c r="CB1178">
        <v>0</v>
      </c>
      <c r="CC1178">
        <v>0</v>
      </c>
      <c r="CD1178">
        <v>0</v>
      </c>
      <c r="CE1178">
        <v>0</v>
      </c>
      <c r="CF1178">
        <v>0</v>
      </c>
      <c r="CG1178">
        <v>0</v>
      </c>
      <c r="CH1178">
        <v>0</v>
      </c>
      <c r="CI1178">
        <v>0</v>
      </c>
      <c r="CJ1178">
        <v>0</v>
      </c>
      <c r="CK1178">
        <v>0</v>
      </c>
      <c r="CL1178">
        <v>0</v>
      </c>
      <c r="CM1178">
        <v>0</v>
      </c>
      <c r="CR1178" t="s">
        <v>2337</v>
      </c>
      <c r="CS1178" s="1369" t="str">
        <f>INDEX([8]Sheet1!$H:$H,MATCH(CR:CR,[8]Sheet1!$AU:$AU,0))</f>
        <v>Corporate Wide Strategic Planning (IDPs, LEDs)</v>
      </c>
    </row>
    <row r="1179" spans="1:97" x14ac:dyDescent="0.2">
      <c r="A1179" t="s">
        <v>4112</v>
      </c>
      <c r="B1179">
        <v>1254</v>
      </c>
      <c r="C1179" t="s">
        <v>4112</v>
      </c>
      <c r="D1179">
        <v>30485</v>
      </c>
      <c r="E1179" t="s">
        <v>3565</v>
      </c>
      <c r="F1179" t="s">
        <v>2364</v>
      </c>
      <c r="G1179" t="s">
        <v>2364</v>
      </c>
      <c r="H1179" t="s">
        <v>2365</v>
      </c>
      <c r="I1179" t="s">
        <v>2365</v>
      </c>
      <c r="J1179" t="s">
        <v>2365</v>
      </c>
      <c r="K1179" t="s">
        <v>2365</v>
      </c>
      <c r="L1179">
        <v>1200</v>
      </c>
      <c r="M1179" t="s">
        <v>1480</v>
      </c>
      <c r="N1179">
        <v>1204</v>
      </c>
      <c r="O1179" t="s">
        <v>1487</v>
      </c>
      <c r="P1179" t="s">
        <v>2366</v>
      </c>
      <c r="Q1179" t="s">
        <v>2364</v>
      </c>
      <c r="R1179" t="s">
        <v>2364</v>
      </c>
      <c r="S1179" t="s">
        <v>553</v>
      </c>
      <c r="T1179" t="s">
        <v>2175</v>
      </c>
      <c r="U1179">
        <v>140</v>
      </c>
      <c r="V1179" t="s">
        <v>693</v>
      </c>
      <c r="W1179">
        <v>140</v>
      </c>
      <c r="X1179" t="s">
        <v>693</v>
      </c>
      <c r="Y1179" t="s">
        <v>2365</v>
      </c>
      <c r="Z1179" t="s">
        <v>2365</v>
      </c>
      <c r="AA1179" t="s">
        <v>2365</v>
      </c>
      <c r="AB1179" t="s">
        <v>2365</v>
      </c>
      <c r="AC1179" s="813" t="s">
        <v>2365</v>
      </c>
      <c r="AD1179" s="813" t="s">
        <v>2365</v>
      </c>
      <c r="AE1179" s="813" t="s">
        <v>2365</v>
      </c>
      <c r="AF1179" t="s">
        <v>2365</v>
      </c>
      <c r="AG1179" t="s">
        <v>2365</v>
      </c>
      <c r="AH1179" t="s">
        <v>2365</v>
      </c>
      <c r="AI1179" t="s">
        <v>2365</v>
      </c>
      <c r="AJ1179" t="s">
        <v>2365</v>
      </c>
      <c r="AK1179" t="s">
        <v>2366</v>
      </c>
      <c r="AL1179" t="s">
        <v>2366</v>
      </c>
      <c r="AM1179" t="s">
        <v>2366</v>
      </c>
      <c r="AN1179" t="s">
        <v>2366</v>
      </c>
      <c r="AR1179" t="s">
        <v>2365</v>
      </c>
      <c r="AS1179" t="s">
        <v>2365</v>
      </c>
      <c r="AT1179" t="s">
        <v>2365</v>
      </c>
      <c r="AU1179" t="s">
        <v>2365</v>
      </c>
      <c r="AV1179" t="s">
        <v>2365</v>
      </c>
      <c r="AW1179" t="s">
        <v>2365</v>
      </c>
      <c r="AX1179" t="s">
        <v>2365</v>
      </c>
      <c r="AY1179" t="s">
        <v>2365</v>
      </c>
      <c r="AZ1179" t="s">
        <v>2365</v>
      </c>
      <c r="BA1179" t="s">
        <v>2365</v>
      </c>
      <c r="BB1179" t="s">
        <v>2365</v>
      </c>
      <c r="BC1179" t="s">
        <v>2365</v>
      </c>
      <c r="BD1179" t="s">
        <v>2366</v>
      </c>
      <c r="BE1179" t="s">
        <v>2365</v>
      </c>
      <c r="BF1179" t="s">
        <v>2365</v>
      </c>
      <c r="BG1179" t="s">
        <v>2365</v>
      </c>
      <c r="BH1179" t="s">
        <v>2365</v>
      </c>
      <c r="BI1179" t="s">
        <v>2366</v>
      </c>
      <c r="BJ1179" t="s">
        <v>2365</v>
      </c>
      <c r="BK1179" t="s">
        <v>2365</v>
      </c>
      <c r="BL1179" t="s">
        <v>2365</v>
      </c>
      <c r="BM1179" t="s">
        <v>2365</v>
      </c>
      <c r="BO1179">
        <v>1</v>
      </c>
      <c r="BP1179">
        <v>11</v>
      </c>
      <c r="BQ1179" t="s">
        <v>2369</v>
      </c>
      <c r="BR1179" t="s">
        <v>1487</v>
      </c>
      <c r="BU1179">
        <v>0</v>
      </c>
      <c r="BV1179">
        <v>0</v>
      </c>
      <c r="BW1179">
        <v>0</v>
      </c>
      <c r="BX1179">
        <v>0</v>
      </c>
      <c r="BY1179">
        <v>0</v>
      </c>
      <c r="BZ1179">
        <v>0</v>
      </c>
      <c r="CA1179">
        <v>0</v>
      </c>
      <c r="CB1179">
        <v>0</v>
      </c>
      <c r="CC1179">
        <v>0</v>
      </c>
      <c r="CD1179">
        <v>0</v>
      </c>
      <c r="CE1179">
        <v>0</v>
      </c>
      <c r="CF1179">
        <v>0</v>
      </c>
      <c r="CG1179">
        <v>0</v>
      </c>
      <c r="CH1179">
        <v>0</v>
      </c>
      <c r="CI1179">
        <v>0</v>
      </c>
      <c r="CJ1179">
        <v>0</v>
      </c>
      <c r="CK1179">
        <v>0</v>
      </c>
      <c r="CL1179">
        <v>0</v>
      </c>
      <c r="CM1179">
        <v>0</v>
      </c>
      <c r="CR1179" t="s">
        <v>2337</v>
      </c>
      <c r="CS1179" s="1369" t="str">
        <f>INDEX([8]Sheet1!$H:$H,MATCH(CR:CR,[8]Sheet1!$AU:$AU,0))</f>
        <v>Corporate Wide Strategic Planning (IDPs, LEDs)</v>
      </c>
    </row>
    <row r="1180" spans="1:97" x14ac:dyDescent="0.2">
      <c r="A1180" t="s">
        <v>4113</v>
      </c>
      <c r="B1180">
        <v>1255</v>
      </c>
      <c r="C1180" t="s">
        <v>4113</v>
      </c>
      <c r="D1180">
        <v>30486</v>
      </c>
      <c r="E1180" t="s">
        <v>3537</v>
      </c>
      <c r="F1180" t="s">
        <v>2364</v>
      </c>
      <c r="G1180" t="s">
        <v>2364</v>
      </c>
      <c r="H1180" t="s">
        <v>2365</v>
      </c>
      <c r="I1180" t="s">
        <v>2365</v>
      </c>
      <c r="J1180" t="s">
        <v>2365</v>
      </c>
      <c r="K1180" t="s">
        <v>2365</v>
      </c>
      <c r="L1180">
        <v>1200</v>
      </c>
      <c r="M1180" t="s">
        <v>1480</v>
      </c>
      <c r="N1180">
        <v>1204</v>
      </c>
      <c r="O1180" t="s">
        <v>1487</v>
      </c>
      <c r="P1180" t="s">
        <v>2366</v>
      </c>
      <c r="Q1180" t="s">
        <v>2364</v>
      </c>
      <c r="R1180" t="s">
        <v>2364</v>
      </c>
      <c r="S1180" t="s">
        <v>553</v>
      </c>
      <c r="T1180" t="s">
        <v>2175</v>
      </c>
      <c r="U1180" t="s">
        <v>2366</v>
      </c>
      <c r="V1180" t="s">
        <v>2366</v>
      </c>
      <c r="W1180" t="s">
        <v>2366</v>
      </c>
      <c r="X1180" t="s">
        <v>2366</v>
      </c>
      <c r="Y1180" t="s">
        <v>2365</v>
      </c>
      <c r="Z1180" t="s">
        <v>2365</v>
      </c>
      <c r="AA1180" t="s">
        <v>2365</v>
      </c>
      <c r="AB1180" t="s">
        <v>2365</v>
      </c>
      <c r="AC1180" s="813" t="s">
        <v>2365</v>
      </c>
      <c r="AD1180" s="813" t="s">
        <v>2365</v>
      </c>
      <c r="AE1180" s="813" t="s">
        <v>2365</v>
      </c>
      <c r="AF1180" t="s">
        <v>2365</v>
      </c>
      <c r="AG1180" t="s">
        <v>2365</v>
      </c>
      <c r="AH1180" t="s">
        <v>2365</v>
      </c>
      <c r="AI1180" t="s">
        <v>2365</v>
      </c>
      <c r="AJ1180" t="s">
        <v>2365</v>
      </c>
      <c r="AK1180">
        <v>146</v>
      </c>
      <c r="AL1180" t="s">
        <v>1199</v>
      </c>
      <c r="AM1180">
        <v>146</v>
      </c>
      <c r="AN1180" t="s">
        <v>1199</v>
      </c>
      <c r="AR1180" t="s">
        <v>2365</v>
      </c>
      <c r="AS1180" t="s">
        <v>2365</v>
      </c>
      <c r="AT1180" t="s">
        <v>2365</v>
      </c>
      <c r="AU1180" t="s">
        <v>2365</v>
      </c>
      <c r="AV1180" t="s">
        <v>2365</v>
      </c>
      <c r="AW1180" t="s">
        <v>2365</v>
      </c>
      <c r="AX1180" t="s">
        <v>2365</v>
      </c>
      <c r="AY1180" t="s">
        <v>2365</v>
      </c>
      <c r="AZ1180" t="s">
        <v>2365</v>
      </c>
      <c r="BA1180" t="s">
        <v>2365</v>
      </c>
      <c r="BB1180" t="s">
        <v>2365</v>
      </c>
      <c r="BC1180" t="s">
        <v>2365</v>
      </c>
      <c r="BD1180" t="s">
        <v>2366</v>
      </c>
      <c r="BE1180" t="s">
        <v>2365</v>
      </c>
      <c r="BF1180" t="s">
        <v>2365</v>
      </c>
      <c r="BG1180" t="s">
        <v>2365</v>
      </c>
      <c r="BH1180" t="s">
        <v>2365</v>
      </c>
      <c r="BI1180" t="s">
        <v>2366</v>
      </c>
      <c r="BJ1180" t="s">
        <v>2365</v>
      </c>
      <c r="BK1180" t="s">
        <v>2365</v>
      </c>
      <c r="BL1180" t="s">
        <v>2365</v>
      </c>
      <c r="BM1180" t="s">
        <v>2365</v>
      </c>
      <c r="BO1180">
        <v>1</v>
      </c>
      <c r="BP1180">
        <v>11</v>
      </c>
      <c r="BQ1180" t="s">
        <v>2369</v>
      </c>
      <c r="BR1180" t="s">
        <v>1487</v>
      </c>
      <c r="BU1180">
        <v>0</v>
      </c>
      <c r="BV1180">
        <v>0</v>
      </c>
      <c r="BW1180">
        <v>0</v>
      </c>
      <c r="BX1180">
        <v>0</v>
      </c>
      <c r="BY1180">
        <v>0</v>
      </c>
      <c r="BZ1180">
        <v>0</v>
      </c>
      <c r="CA1180">
        <v>0</v>
      </c>
      <c r="CB1180">
        <v>0</v>
      </c>
      <c r="CC1180">
        <v>0</v>
      </c>
      <c r="CD1180">
        <v>0</v>
      </c>
      <c r="CE1180">
        <v>0</v>
      </c>
      <c r="CF1180">
        <v>0</v>
      </c>
      <c r="CG1180">
        <v>0</v>
      </c>
      <c r="CH1180">
        <v>0</v>
      </c>
      <c r="CI1180">
        <v>0</v>
      </c>
      <c r="CJ1180">
        <v>0</v>
      </c>
      <c r="CK1180">
        <v>0</v>
      </c>
      <c r="CL1180">
        <v>0</v>
      </c>
      <c r="CM1180">
        <v>0</v>
      </c>
      <c r="CR1180" t="s">
        <v>2328</v>
      </c>
      <c r="CS1180" s="1369" t="str">
        <f>INDEX([8]Sheet1!$H:$H,MATCH(CR:CR,[8]Sheet1!$AU:$AU,0))</f>
        <v>Water Distribution</v>
      </c>
    </row>
    <row r="1181" spans="1:97" x14ac:dyDescent="0.2">
      <c r="A1181" t="s">
        <v>4114</v>
      </c>
      <c r="B1181">
        <v>1256</v>
      </c>
      <c r="C1181" t="s">
        <v>4114</v>
      </c>
      <c r="D1181">
        <v>30487</v>
      </c>
      <c r="E1181" t="s">
        <v>3541</v>
      </c>
      <c r="F1181" t="s">
        <v>2364</v>
      </c>
      <c r="G1181" t="s">
        <v>2364</v>
      </c>
      <c r="H1181" t="s">
        <v>2365</v>
      </c>
      <c r="I1181" t="s">
        <v>2365</v>
      </c>
      <c r="J1181" t="s">
        <v>2365</v>
      </c>
      <c r="K1181" t="s">
        <v>2365</v>
      </c>
      <c r="L1181">
        <v>1200</v>
      </c>
      <c r="M1181" t="s">
        <v>1480</v>
      </c>
      <c r="N1181">
        <v>1204</v>
      </c>
      <c r="O1181" t="s">
        <v>1487</v>
      </c>
      <c r="P1181" t="s">
        <v>2366</v>
      </c>
      <c r="Q1181" t="s">
        <v>2364</v>
      </c>
      <c r="R1181" t="s">
        <v>2364</v>
      </c>
      <c r="S1181" t="s">
        <v>553</v>
      </c>
      <c r="T1181" t="s">
        <v>2175</v>
      </c>
      <c r="U1181" t="s">
        <v>2366</v>
      </c>
      <c r="V1181" t="s">
        <v>2366</v>
      </c>
      <c r="W1181" t="s">
        <v>2366</v>
      </c>
      <c r="X1181" t="s">
        <v>2366</v>
      </c>
      <c r="Y1181" t="s">
        <v>2365</v>
      </c>
      <c r="Z1181" t="s">
        <v>2365</v>
      </c>
      <c r="AA1181" t="s">
        <v>2365</v>
      </c>
      <c r="AB1181" t="s">
        <v>2365</v>
      </c>
      <c r="AC1181" s="813" t="s">
        <v>2365</v>
      </c>
      <c r="AD1181" s="813" t="s">
        <v>2365</v>
      </c>
      <c r="AE1181" s="813" t="s">
        <v>2365</v>
      </c>
      <c r="AF1181" t="s">
        <v>2365</v>
      </c>
      <c r="AG1181" t="s">
        <v>2365</v>
      </c>
      <c r="AH1181" t="s">
        <v>2365</v>
      </c>
      <c r="AI1181" t="s">
        <v>2365</v>
      </c>
      <c r="AJ1181" t="s">
        <v>2365</v>
      </c>
      <c r="AK1181">
        <v>146</v>
      </c>
      <c r="AL1181" t="s">
        <v>1199</v>
      </c>
      <c r="AM1181">
        <v>146</v>
      </c>
      <c r="AN1181" t="s">
        <v>1199</v>
      </c>
      <c r="AR1181" t="s">
        <v>2365</v>
      </c>
      <c r="AS1181" t="s">
        <v>2365</v>
      </c>
      <c r="AT1181" t="s">
        <v>2365</v>
      </c>
      <c r="AU1181" t="s">
        <v>2365</v>
      </c>
      <c r="AV1181" t="s">
        <v>2365</v>
      </c>
      <c r="AW1181" t="s">
        <v>2365</v>
      </c>
      <c r="AX1181" t="s">
        <v>2365</v>
      </c>
      <c r="AY1181" t="s">
        <v>2365</v>
      </c>
      <c r="AZ1181" t="s">
        <v>2365</v>
      </c>
      <c r="BA1181" t="s">
        <v>2365</v>
      </c>
      <c r="BB1181" t="s">
        <v>2365</v>
      </c>
      <c r="BC1181" t="s">
        <v>2365</v>
      </c>
      <c r="BD1181" t="s">
        <v>2366</v>
      </c>
      <c r="BE1181" t="s">
        <v>2365</v>
      </c>
      <c r="BF1181" t="s">
        <v>2365</v>
      </c>
      <c r="BG1181" t="s">
        <v>2365</v>
      </c>
      <c r="BH1181" t="s">
        <v>2365</v>
      </c>
      <c r="BI1181" t="s">
        <v>2366</v>
      </c>
      <c r="BJ1181" t="s">
        <v>2365</v>
      </c>
      <c r="BK1181" t="s">
        <v>2365</v>
      </c>
      <c r="BL1181" t="s">
        <v>2365</v>
      </c>
      <c r="BM1181" t="s">
        <v>2365</v>
      </c>
      <c r="BO1181">
        <v>1</v>
      </c>
      <c r="BP1181">
        <v>11</v>
      </c>
      <c r="BQ1181" t="s">
        <v>2369</v>
      </c>
      <c r="BR1181" t="s">
        <v>1487</v>
      </c>
      <c r="BU1181">
        <v>0</v>
      </c>
      <c r="BV1181">
        <v>0</v>
      </c>
      <c r="BW1181">
        <v>0</v>
      </c>
      <c r="BX1181">
        <v>0</v>
      </c>
      <c r="BY1181" s="1371">
        <v>0</v>
      </c>
      <c r="BZ1181" s="1371">
        <v>0</v>
      </c>
      <c r="CA1181">
        <v>0</v>
      </c>
      <c r="CB1181">
        <v>0</v>
      </c>
      <c r="CC1181">
        <v>0</v>
      </c>
      <c r="CD1181">
        <v>0</v>
      </c>
      <c r="CE1181">
        <v>0</v>
      </c>
      <c r="CF1181">
        <v>0</v>
      </c>
      <c r="CG1181">
        <v>0</v>
      </c>
      <c r="CH1181">
        <v>0</v>
      </c>
      <c r="CI1181">
        <v>0</v>
      </c>
      <c r="CJ1181">
        <v>0</v>
      </c>
      <c r="CK1181">
        <v>0</v>
      </c>
      <c r="CL1181">
        <v>0</v>
      </c>
      <c r="CM1181">
        <v>0</v>
      </c>
      <c r="CR1181" t="s">
        <v>2328</v>
      </c>
      <c r="CS1181" s="1369" t="str">
        <f>INDEX([8]Sheet1!$H:$H,MATCH(CR:CR,[8]Sheet1!$AU:$AU,0))</f>
        <v>Water Distribution</v>
      </c>
    </row>
    <row r="1182" spans="1:97" x14ac:dyDescent="0.2">
      <c r="A1182" t="s">
        <v>4115</v>
      </c>
      <c r="B1182">
        <v>1257</v>
      </c>
      <c r="C1182" t="s">
        <v>4115</v>
      </c>
      <c r="D1182">
        <v>30488</v>
      </c>
      <c r="E1182" t="s">
        <v>3623</v>
      </c>
      <c r="F1182" t="s">
        <v>2364</v>
      </c>
      <c r="G1182" t="s">
        <v>2364</v>
      </c>
      <c r="H1182" t="s">
        <v>2365</v>
      </c>
      <c r="I1182" t="s">
        <v>2365</v>
      </c>
      <c r="J1182" t="s">
        <v>2365</v>
      </c>
      <c r="K1182" t="s">
        <v>2365</v>
      </c>
      <c r="L1182">
        <v>1200</v>
      </c>
      <c r="M1182" t="s">
        <v>1480</v>
      </c>
      <c r="N1182">
        <v>1204</v>
      </c>
      <c r="O1182" t="s">
        <v>1487</v>
      </c>
      <c r="P1182" t="s">
        <v>2366</v>
      </c>
      <c r="Q1182" t="s">
        <v>2364</v>
      </c>
      <c r="R1182" t="s">
        <v>2364</v>
      </c>
      <c r="S1182" t="s">
        <v>553</v>
      </c>
      <c r="T1182" t="s">
        <v>2175</v>
      </c>
      <c r="U1182">
        <v>140</v>
      </c>
      <c r="V1182" t="s">
        <v>693</v>
      </c>
      <c r="W1182">
        <v>140</v>
      </c>
      <c r="X1182" t="s">
        <v>693</v>
      </c>
      <c r="Y1182" t="s">
        <v>2365</v>
      </c>
      <c r="Z1182" t="s">
        <v>2365</v>
      </c>
      <c r="AA1182" t="s">
        <v>2365</v>
      </c>
      <c r="AB1182" t="s">
        <v>2365</v>
      </c>
      <c r="AC1182" s="813" t="s">
        <v>2365</v>
      </c>
      <c r="AD1182" s="813" t="s">
        <v>2365</v>
      </c>
      <c r="AE1182" s="813" t="s">
        <v>2365</v>
      </c>
      <c r="AF1182" t="s">
        <v>2365</v>
      </c>
      <c r="AG1182" t="s">
        <v>2365</v>
      </c>
      <c r="AH1182" t="s">
        <v>2365</v>
      </c>
      <c r="AI1182" t="s">
        <v>2365</v>
      </c>
      <c r="AJ1182" t="s">
        <v>2365</v>
      </c>
      <c r="AK1182" t="s">
        <v>2366</v>
      </c>
      <c r="AL1182" t="s">
        <v>2366</v>
      </c>
      <c r="AM1182" t="s">
        <v>2366</v>
      </c>
      <c r="AN1182" t="s">
        <v>2366</v>
      </c>
      <c r="AR1182" t="s">
        <v>2365</v>
      </c>
      <c r="AS1182" t="s">
        <v>2365</v>
      </c>
      <c r="AT1182" t="s">
        <v>2365</v>
      </c>
      <c r="AU1182" t="s">
        <v>2365</v>
      </c>
      <c r="AV1182" t="s">
        <v>2365</v>
      </c>
      <c r="AW1182" t="s">
        <v>2365</v>
      </c>
      <c r="AX1182" t="s">
        <v>2365</v>
      </c>
      <c r="AY1182" t="s">
        <v>2365</v>
      </c>
      <c r="AZ1182" t="s">
        <v>2365</v>
      </c>
      <c r="BA1182" t="s">
        <v>2365</v>
      </c>
      <c r="BB1182" t="s">
        <v>2365</v>
      </c>
      <c r="BC1182" t="s">
        <v>2365</v>
      </c>
      <c r="BD1182" t="s">
        <v>2366</v>
      </c>
      <c r="BE1182" t="s">
        <v>2365</v>
      </c>
      <c r="BF1182" t="s">
        <v>2365</v>
      </c>
      <c r="BG1182" t="s">
        <v>2365</v>
      </c>
      <c r="BH1182" t="s">
        <v>2365</v>
      </c>
      <c r="BI1182" t="s">
        <v>2366</v>
      </c>
      <c r="BJ1182" t="s">
        <v>2365</v>
      </c>
      <c r="BK1182" t="s">
        <v>2365</v>
      </c>
      <c r="BL1182" t="s">
        <v>2365</v>
      </c>
      <c r="BM1182" t="s">
        <v>2365</v>
      </c>
      <c r="BO1182">
        <v>1</v>
      </c>
      <c r="BP1182">
        <v>11</v>
      </c>
      <c r="BQ1182" t="s">
        <v>2369</v>
      </c>
      <c r="BR1182" t="s">
        <v>1487</v>
      </c>
      <c r="BU1182">
        <v>0</v>
      </c>
      <c r="BV1182">
        <v>0</v>
      </c>
      <c r="BW1182">
        <v>0</v>
      </c>
      <c r="BX1182">
        <v>0</v>
      </c>
      <c r="BY1182">
        <v>0</v>
      </c>
      <c r="BZ1182">
        <v>0</v>
      </c>
      <c r="CA1182">
        <v>0</v>
      </c>
      <c r="CB1182">
        <v>0</v>
      </c>
      <c r="CC1182">
        <v>0</v>
      </c>
      <c r="CD1182">
        <v>0</v>
      </c>
      <c r="CE1182">
        <v>0</v>
      </c>
      <c r="CF1182">
        <v>0</v>
      </c>
      <c r="CG1182">
        <v>0</v>
      </c>
      <c r="CH1182">
        <v>0</v>
      </c>
      <c r="CI1182">
        <v>0</v>
      </c>
      <c r="CJ1182">
        <v>0</v>
      </c>
      <c r="CK1182">
        <v>0</v>
      </c>
      <c r="CL1182">
        <v>0</v>
      </c>
      <c r="CM1182">
        <v>0</v>
      </c>
      <c r="CR1182" t="s">
        <v>2328</v>
      </c>
      <c r="CS1182" s="1369" t="str">
        <f>INDEX([8]Sheet1!$H:$H,MATCH(CR:CR,[8]Sheet1!$AU:$AU,0))</f>
        <v>Water Distribution</v>
      </c>
    </row>
    <row r="1183" spans="1:97" x14ac:dyDescent="0.2">
      <c r="A1183" t="s">
        <v>4116</v>
      </c>
      <c r="B1183">
        <v>1259</v>
      </c>
      <c r="C1183" t="s">
        <v>4116</v>
      </c>
      <c r="D1183">
        <v>30490</v>
      </c>
      <c r="E1183" t="s">
        <v>3631</v>
      </c>
      <c r="F1183" t="s">
        <v>2364</v>
      </c>
      <c r="G1183" t="s">
        <v>2364</v>
      </c>
      <c r="H1183" t="s">
        <v>2365</v>
      </c>
      <c r="I1183" t="s">
        <v>2365</v>
      </c>
      <c r="J1183" t="s">
        <v>2365</v>
      </c>
      <c r="K1183" t="s">
        <v>2365</v>
      </c>
      <c r="L1183">
        <v>1200</v>
      </c>
      <c r="M1183" t="s">
        <v>1480</v>
      </c>
      <c r="N1183">
        <v>1204</v>
      </c>
      <c r="O1183" t="s">
        <v>1487</v>
      </c>
      <c r="P1183" t="s">
        <v>2366</v>
      </c>
      <c r="Q1183" t="s">
        <v>2364</v>
      </c>
      <c r="R1183" t="s">
        <v>2364</v>
      </c>
      <c r="S1183" t="s">
        <v>553</v>
      </c>
      <c r="T1183" t="s">
        <v>2175</v>
      </c>
      <c r="U1183">
        <v>140</v>
      </c>
      <c r="V1183" t="s">
        <v>693</v>
      </c>
      <c r="W1183">
        <v>140</v>
      </c>
      <c r="X1183" t="s">
        <v>693</v>
      </c>
      <c r="Y1183" t="s">
        <v>2365</v>
      </c>
      <c r="Z1183" t="s">
        <v>2365</v>
      </c>
      <c r="AA1183" t="s">
        <v>2365</v>
      </c>
      <c r="AB1183" t="s">
        <v>2365</v>
      </c>
      <c r="AC1183" s="813" t="s">
        <v>2365</v>
      </c>
      <c r="AD1183" s="813" t="s">
        <v>2365</v>
      </c>
      <c r="AE1183" s="813" t="s">
        <v>2365</v>
      </c>
      <c r="AF1183" t="s">
        <v>2365</v>
      </c>
      <c r="AG1183" t="s">
        <v>2365</v>
      </c>
      <c r="AH1183" t="s">
        <v>2365</v>
      </c>
      <c r="AI1183" t="s">
        <v>2365</v>
      </c>
      <c r="AJ1183" t="s">
        <v>2365</v>
      </c>
      <c r="AK1183">
        <v>147</v>
      </c>
      <c r="AL1183" t="s">
        <v>1200</v>
      </c>
      <c r="AM1183">
        <v>147</v>
      </c>
      <c r="AN1183" t="s">
        <v>1200</v>
      </c>
      <c r="AR1183" t="s">
        <v>2365</v>
      </c>
      <c r="AS1183" t="s">
        <v>2365</v>
      </c>
      <c r="AT1183" t="s">
        <v>2365</v>
      </c>
      <c r="AU1183" t="s">
        <v>2365</v>
      </c>
      <c r="AV1183" t="s">
        <v>2365</v>
      </c>
      <c r="AW1183" t="s">
        <v>2365</v>
      </c>
      <c r="AX1183" t="s">
        <v>2365</v>
      </c>
      <c r="AY1183" t="s">
        <v>2365</v>
      </c>
      <c r="AZ1183" t="s">
        <v>2365</v>
      </c>
      <c r="BA1183" t="s">
        <v>2365</v>
      </c>
      <c r="BB1183" t="s">
        <v>2365</v>
      </c>
      <c r="BC1183" t="s">
        <v>2365</v>
      </c>
      <c r="BD1183" t="s">
        <v>2366</v>
      </c>
      <c r="BE1183" t="s">
        <v>2365</v>
      </c>
      <c r="BF1183" t="s">
        <v>2365</v>
      </c>
      <c r="BG1183" t="s">
        <v>2365</v>
      </c>
      <c r="BH1183" t="s">
        <v>2365</v>
      </c>
      <c r="BI1183" t="s">
        <v>2366</v>
      </c>
      <c r="BJ1183" t="s">
        <v>2365</v>
      </c>
      <c r="BK1183" t="s">
        <v>2365</v>
      </c>
      <c r="BL1183" t="s">
        <v>2365</v>
      </c>
      <c r="BM1183" t="s">
        <v>2365</v>
      </c>
      <c r="BO1183">
        <v>1</v>
      </c>
      <c r="BP1183">
        <v>11</v>
      </c>
      <c r="BQ1183" t="s">
        <v>2369</v>
      </c>
      <c r="BR1183" t="s">
        <v>1487</v>
      </c>
      <c r="BU1183">
        <v>0</v>
      </c>
      <c r="BV1183">
        <v>0</v>
      </c>
      <c r="BW1183">
        <v>0</v>
      </c>
      <c r="BX1183">
        <v>0</v>
      </c>
      <c r="BY1183">
        <v>0</v>
      </c>
      <c r="BZ1183">
        <v>0</v>
      </c>
      <c r="CA1183">
        <v>0</v>
      </c>
      <c r="CB1183">
        <v>0</v>
      </c>
      <c r="CC1183">
        <v>0</v>
      </c>
      <c r="CD1183">
        <v>0</v>
      </c>
      <c r="CE1183">
        <v>0</v>
      </c>
      <c r="CF1183">
        <v>0</v>
      </c>
      <c r="CG1183">
        <v>0</v>
      </c>
      <c r="CH1183">
        <v>0</v>
      </c>
      <c r="CI1183">
        <v>0</v>
      </c>
      <c r="CJ1183">
        <v>0</v>
      </c>
      <c r="CK1183">
        <v>0</v>
      </c>
      <c r="CL1183">
        <v>0</v>
      </c>
      <c r="CM1183">
        <v>0</v>
      </c>
      <c r="CR1183" t="s">
        <v>2328</v>
      </c>
      <c r="CS1183" s="1369" t="str">
        <f>INDEX([8]Sheet1!$H:$H,MATCH(CR:CR,[8]Sheet1!$AU:$AU,0))</f>
        <v>Water Distribution</v>
      </c>
    </row>
    <row r="1184" spans="1:97" x14ac:dyDescent="0.2">
      <c r="A1184" t="s">
        <v>4117</v>
      </c>
      <c r="B1184">
        <v>1260</v>
      </c>
      <c r="C1184" t="s">
        <v>4117</v>
      </c>
      <c r="D1184">
        <v>30491</v>
      </c>
      <c r="E1184" t="s">
        <v>3635</v>
      </c>
      <c r="F1184" t="s">
        <v>2364</v>
      </c>
      <c r="G1184" t="s">
        <v>2364</v>
      </c>
      <c r="H1184" t="s">
        <v>2365</v>
      </c>
      <c r="I1184" t="s">
        <v>2365</v>
      </c>
      <c r="J1184" t="s">
        <v>2365</v>
      </c>
      <c r="K1184" t="s">
        <v>2365</v>
      </c>
      <c r="L1184">
        <v>1200</v>
      </c>
      <c r="M1184" t="s">
        <v>1480</v>
      </c>
      <c r="N1184">
        <v>1204</v>
      </c>
      <c r="O1184" t="s">
        <v>1487</v>
      </c>
      <c r="P1184" t="s">
        <v>2366</v>
      </c>
      <c r="Q1184" t="s">
        <v>2364</v>
      </c>
      <c r="R1184" t="s">
        <v>2364</v>
      </c>
      <c r="S1184" t="s">
        <v>553</v>
      </c>
      <c r="T1184" t="s">
        <v>2175</v>
      </c>
      <c r="U1184">
        <v>140</v>
      </c>
      <c r="V1184" t="s">
        <v>693</v>
      </c>
      <c r="W1184">
        <v>140</v>
      </c>
      <c r="X1184" t="s">
        <v>693</v>
      </c>
      <c r="Y1184" t="s">
        <v>2365</v>
      </c>
      <c r="Z1184" t="s">
        <v>2365</v>
      </c>
      <c r="AA1184" t="s">
        <v>2365</v>
      </c>
      <c r="AB1184" t="s">
        <v>2365</v>
      </c>
      <c r="AC1184" s="813" t="s">
        <v>2365</v>
      </c>
      <c r="AD1184" s="813" t="s">
        <v>2365</v>
      </c>
      <c r="AE1184" s="813" t="s">
        <v>2365</v>
      </c>
      <c r="AF1184" t="s">
        <v>2365</v>
      </c>
      <c r="AG1184" t="s">
        <v>2365</v>
      </c>
      <c r="AH1184" t="s">
        <v>2365</v>
      </c>
      <c r="AI1184" t="s">
        <v>2365</v>
      </c>
      <c r="AJ1184" t="s">
        <v>2365</v>
      </c>
      <c r="AK1184" t="s">
        <v>2366</v>
      </c>
      <c r="AL1184" t="s">
        <v>2366</v>
      </c>
      <c r="AM1184" t="s">
        <v>2366</v>
      </c>
      <c r="AN1184" t="s">
        <v>2366</v>
      </c>
      <c r="AR1184" t="s">
        <v>2365</v>
      </c>
      <c r="AS1184" t="s">
        <v>2365</v>
      </c>
      <c r="AT1184" t="s">
        <v>2365</v>
      </c>
      <c r="AU1184" t="s">
        <v>2365</v>
      </c>
      <c r="AV1184" t="s">
        <v>2365</v>
      </c>
      <c r="AW1184" t="s">
        <v>2365</v>
      </c>
      <c r="AX1184" t="s">
        <v>2365</v>
      </c>
      <c r="AY1184" t="s">
        <v>2365</v>
      </c>
      <c r="AZ1184" t="s">
        <v>2365</v>
      </c>
      <c r="BA1184" t="s">
        <v>2365</v>
      </c>
      <c r="BB1184" t="s">
        <v>2365</v>
      </c>
      <c r="BC1184" t="s">
        <v>2365</v>
      </c>
      <c r="BD1184" t="s">
        <v>2366</v>
      </c>
      <c r="BE1184" t="s">
        <v>2365</v>
      </c>
      <c r="BF1184" t="s">
        <v>2365</v>
      </c>
      <c r="BG1184" t="s">
        <v>2365</v>
      </c>
      <c r="BH1184" t="s">
        <v>2365</v>
      </c>
      <c r="BI1184" t="s">
        <v>2366</v>
      </c>
      <c r="BJ1184" t="s">
        <v>2365</v>
      </c>
      <c r="BK1184" t="s">
        <v>2365</v>
      </c>
      <c r="BL1184" t="s">
        <v>2365</v>
      </c>
      <c r="BM1184" t="s">
        <v>2365</v>
      </c>
      <c r="BO1184">
        <v>1</v>
      </c>
      <c r="BP1184">
        <v>11</v>
      </c>
      <c r="BQ1184" t="s">
        <v>2369</v>
      </c>
      <c r="BR1184" t="s">
        <v>1487</v>
      </c>
      <c r="BU1184">
        <v>0</v>
      </c>
      <c r="BV1184">
        <v>0</v>
      </c>
      <c r="BW1184">
        <v>0</v>
      </c>
      <c r="BX1184">
        <v>0</v>
      </c>
      <c r="BY1184" s="1371">
        <v>0</v>
      </c>
      <c r="BZ1184" s="1371">
        <v>0</v>
      </c>
      <c r="CA1184">
        <v>0</v>
      </c>
      <c r="CB1184">
        <v>0</v>
      </c>
      <c r="CC1184">
        <v>0</v>
      </c>
      <c r="CD1184">
        <v>0</v>
      </c>
      <c r="CE1184">
        <v>0</v>
      </c>
      <c r="CF1184">
        <v>0</v>
      </c>
      <c r="CG1184">
        <v>0</v>
      </c>
      <c r="CH1184">
        <v>0</v>
      </c>
      <c r="CI1184">
        <v>0</v>
      </c>
      <c r="CJ1184">
        <v>0</v>
      </c>
      <c r="CK1184">
        <v>0</v>
      </c>
      <c r="CL1184">
        <v>0</v>
      </c>
      <c r="CM1184">
        <v>0</v>
      </c>
      <c r="CR1184" t="s">
        <v>2328</v>
      </c>
      <c r="CS1184" s="1369" t="str">
        <f>INDEX([8]Sheet1!$H:$H,MATCH(CR:CR,[8]Sheet1!$AU:$AU,0))</f>
        <v>Water Distribution</v>
      </c>
    </row>
    <row r="1185" spans="1:97" x14ac:dyDescent="0.2">
      <c r="A1185" t="s">
        <v>4118</v>
      </c>
      <c r="B1185">
        <v>1262</v>
      </c>
      <c r="C1185" t="s">
        <v>4118</v>
      </c>
      <c r="D1185">
        <v>30493</v>
      </c>
      <c r="E1185" t="s">
        <v>3643</v>
      </c>
      <c r="F1185" t="s">
        <v>2364</v>
      </c>
      <c r="G1185" t="s">
        <v>2364</v>
      </c>
      <c r="H1185" t="s">
        <v>2365</v>
      </c>
      <c r="I1185" t="s">
        <v>2365</v>
      </c>
      <c r="J1185" t="s">
        <v>2365</v>
      </c>
      <c r="K1185" t="s">
        <v>2365</v>
      </c>
      <c r="L1185">
        <v>1200</v>
      </c>
      <c r="M1185" t="s">
        <v>1480</v>
      </c>
      <c r="N1185">
        <v>1204</v>
      </c>
      <c r="O1185" t="s">
        <v>1487</v>
      </c>
      <c r="P1185" t="s">
        <v>2366</v>
      </c>
      <c r="Q1185" t="s">
        <v>2364</v>
      </c>
      <c r="R1185" t="s">
        <v>2364</v>
      </c>
      <c r="S1185" t="s">
        <v>553</v>
      </c>
      <c r="T1185" t="s">
        <v>2175</v>
      </c>
      <c r="U1185">
        <v>140</v>
      </c>
      <c r="V1185" t="s">
        <v>693</v>
      </c>
      <c r="W1185">
        <v>140</v>
      </c>
      <c r="X1185" t="s">
        <v>693</v>
      </c>
      <c r="Y1185" t="s">
        <v>2365</v>
      </c>
      <c r="Z1185" t="s">
        <v>2365</v>
      </c>
      <c r="AA1185" t="s">
        <v>2365</v>
      </c>
      <c r="AB1185" t="s">
        <v>2365</v>
      </c>
      <c r="AC1185" s="813" t="s">
        <v>2365</v>
      </c>
      <c r="AD1185" s="813" t="s">
        <v>2365</v>
      </c>
      <c r="AE1185" s="813" t="s">
        <v>2365</v>
      </c>
      <c r="AF1185" t="s">
        <v>2365</v>
      </c>
      <c r="AG1185" t="s">
        <v>2365</v>
      </c>
      <c r="AH1185" t="s">
        <v>2365</v>
      </c>
      <c r="AI1185" t="s">
        <v>2365</v>
      </c>
      <c r="AJ1185" t="s">
        <v>2365</v>
      </c>
      <c r="AK1185" t="s">
        <v>2366</v>
      </c>
      <c r="AL1185" t="s">
        <v>2366</v>
      </c>
      <c r="AM1185" t="s">
        <v>2366</v>
      </c>
      <c r="AN1185" t="s">
        <v>2366</v>
      </c>
      <c r="AR1185" t="s">
        <v>2365</v>
      </c>
      <c r="AS1185" t="s">
        <v>2365</v>
      </c>
      <c r="AT1185" t="s">
        <v>2365</v>
      </c>
      <c r="AU1185" t="s">
        <v>2365</v>
      </c>
      <c r="AV1185" t="s">
        <v>2365</v>
      </c>
      <c r="AW1185" t="s">
        <v>2365</v>
      </c>
      <c r="AX1185" t="s">
        <v>2365</v>
      </c>
      <c r="AY1185" t="s">
        <v>2365</v>
      </c>
      <c r="AZ1185" t="s">
        <v>2365</v>
      </c>
      <c r="BA1185" t="s">
        <v>2365</v>
      </c>
      <c r="BB1185" t="s">
        <v>2365</v>
      </c>
      <c r="BC1185" t="s">
        <v>2365</v>
      </c>
      <c r="BD1185" t="s">
        <v>2366</v>
      </c>
      <c r="BE1185" t="s">
        <v>2365</v>
      </c>
      <c r="BF1185" t="s">
        <v>2365</v>
      </c>
      <c r="BG1185" t="s">
        <v>2365</v>
      </c>
      <c r="BH1185" t="s">
        <v>2365</v>
      </c>
      <c r="BI1185" t="s">
        <v>2366</v>
      </c>
      <c r="BJ1185" t="s">
        <v>2365</v>
      </c>
      <c r="BK1185" t="s">
        <v>2365</v>
      </c>
      <c r="BL1185" t="s">
        <v>2365</v>
      </c>
      <c r="BM1185" t="s">
        <v>2365</v>
      </c>
      <c r="BO1185">
        <v>1</v>
      </c>
      <c r="BP1185">
        <v>11</v>
      </c>
      <c r="BQ1185" t="s">
        <v>2369</v>
      </c>
      <c r="BR1185" t="s">
        <v>1487</v>
      </c>
      <c r="BU1185">
        <v>0</v>
      </c>
      <c r="BV1185">
        <v>0</v>
      </c>
      <c r="BW1185">
        <v>0</v>
      </c>
      <c r="BX1185">
        <v>0</v>
      </c>
      <c r="BY1185">
        <v>0</v>
      </c>
      <c r="BZ1185">
        <v>0</v>
      </c>
      <c r="CA1185">
        <v>0</v>
      </c>
      <c r="CB1185">
        <v>0</v>
      </c>
      <c r="CC1185">
        <v>0</v>
      </c>
      <c r="CD1185">
        <v>0</v>
      </c>
      <c r="CE1185">
        <v>0</v>
      </c>
      <c r="CF1185">
        <v>0</v>
      </c>
      <c r="CG1185">
        <v>0</v>
      </c>
      <c r="CH1185">
        <v>0</v>
      </c>
      <c r="CI1185">
        <v>0</v>
      </c>
      <c r="CJ1185">
        <v>0</v>
      </c>
      <c r="CK1185">
        <v>0</v>
      </c>
      <c r="CL1185">
        <v>0</v>
      </c>
      <c r="CM1185">
        <v>0</v>
      </c>
      <c r="CR1185" t="s">
        <v>2329</v>
      </c>
      <c r="CS1185" s="1369" t="str">
        <f>INDEX([8]Sheet1!$H:$H,MATCH(CR:CR,[8]Sheet1!$AU:$AU,0))</f>
        <v>Sewerage</v>
      </c>
    </row>
    <row r="1186" spans="1:97" x14ac:dyDescent="0.2">
      <c r="A1186" t="s">
        <v>4119</v>
      </c>
      <c r="B1186">
        <v>1263</v>
      </c>
      <c r="C1186" t="s">
        <v>4119</v>
      </c>
      <c r="D1186">
        <v>30494</v>
      </c>
      <c r="E1186" t="s">
        <v>3529</v>
      </c>
      <c r="F1186" t="s">
        <v>2364</v>
      </c>
      <c r="G1186" t="s">
        <v>2364</v>
      </c>
      <c r="H1186" t="s">
        <v>2365</v>
      </c>
      <c r="I1186" t="s">
        <v>2365</v>
      </c>
      <c r="J1186" t="s">
        <v>2365</v>
      </c>
      <c r="K1186" t="s">
        <v>2365</v>
      </c>
      <c r="L1186">
        <v>1200</v>
      </c>
      <c r="M1186" t="s">
        <v>1480</v>
      </c>
      <c r="N1186">
        <v>1204</v>
      </c>
      <c r="O1186" t="s">
        <v>1487</v>
      </c>
      <c r="P1186" t="s">
        <v>2366</v>
      </c>
      <c r="Q1186" t="s">
        <v>2364</v>
      </c>
      <c r="R1186" t="s">
        <v>2364</v>
      </c>
      <c r="S1186" t="s">
        <v>553</v>
      </c>
      <c r="T1186" t="s">
        <v>2175</v>
      </c>
      <c r="U1186" t="s">
        <v>2366</v>
      </c>
      <c r="V1186" t="s">
        <v>2366</v>
      </c>
      <c r="W1186" t="s">
        <v>2366</v>
      </c>
      <c r="X1186" t="s">
        <v>2366</v>
      </c>
      <c r="Y1186" t="s">
        <v>2365</v>
      </c>
      <c r="Z1186" t="s">
        <v>2365</v>
      </c>
      <c r="AA1186" t="s">
        <v>2365</v>
      </c>
      <c r="AB1186" t="s">
        <v>2365</v>
      </c>
      <c r="AC1186" s="813" t="s">
        <v>2365</v>
      </c>
      <c r="AD1186" s="813" t="s">
        <v>2365</v>
      </c>
      <c r="AE1186" s="813" t="s">
        <v>2365</v>
      </c>
      <c r="AF1186" t="s">
        <v>2365</v>
      </c>
      <c r="AG1186" t="s">
        <v>2365</v>
      </c>
      <c r="AH1186" t="s">
        <v>2365</v>
      </c>
      <c r="AI1186" t="s">
        <v>2365</v>
      </c>
      <c r="AJ1186" t="s">
        <v>2365</v>
      </c>
      <c r="AK1186">
        <v>146</v>
      </c>
      <c r="AL1186" t="s">
        <v>1199</v>
      </c>
      <c r="AM1186">
        <v>146</v>
      </c>
      <c r="AN1186" t="s">
        <v>1199</v>
      </c>
      <c r="AR1186" t="s">
        <v>2365</v>
      </c>
      <c r="AS1186" t="s">
        <v>2365</v>
      </c>
      <c r="AT1186" t="s">
        <v>2365</v>
      </c>
      <c r="AU1186" t="s">
        <v>2365</v>
      </c>
      <c r="AV1186" t="s">
        <v>2365</v>
      </c>
      <c r="AW1186" t="s">
        <v>2365</v>
      </c>
      <c r="AX1186" t="s">
        <v>2365</v>
      </c>
      <c r="AY1186" t="s">
        <v>2365</v>
      </c>
      <c r="AZ1186" t="s">
        <v>2365</v>
      </c>
      <c r="BA1186" t="s">
        <v>2365</v>
      </c>
      <c r="BB1186" t="s">
        <v>2365</v>
      </c>
      <c r="BC1186" t="s">
        <v>2365</v>
      </c>
      <c r="BD1186" t="s">
        <v>2366</v>
      </c>
      <c r="BE1186" t="s">
        <v>2365</v>
      </c>
      <c r="BF1186" t="s">
        <v>2365</v>
      </c>
      <c r="BG1186" t="s">
        <v>2365</v>
      </c>
      <c r="BH1186" t="s">
        <v>2365</v>
      </c>
      <c r="BI1186" t="s">
        <v>2366</v>
      </c>
      <c r="BJ1186" t="s">
        <v>2365</v>
      </c>
      <c r="BK1186" t="s">
        <v>2365</v>
      </c>
      <c r="BL1186" t="s">
        <v>2365</v>
      </c>
      <c r="BM1186" t="s">
        <v>2365</v>
      </c>
      <c r="BO1186">
        <v>1</v>
      </c>
      <c r="BP1186">
        <v>11</v>
      </c>
      <c r="BQ1186" t="s">
        <v>2369</v>
      </c>
      <c r="BR1186" t="s">
        <v>1487</v>
      </c>
      <c r="BU1186">
        <v>0</v>
      </c>
      <c r="BV1186">
        <v>0</v>
      </c>
      <c r="BW1186" s="1371">
        <v>0</v>
      </c>
      <c r="BX1186" s="1372">
        <v>0</v>
      </c>
      <c r="BY1186">
        <v>0</v>
      </c>
      <c r="BZ1186">
        <v>0</v>
      </c>
      <c r="CA1186">
        <v>0</v>
      </c>
      <c r="CB1186">
        <v>0</v>
      </c>
      <c r="CC1186">
        <v>0</v>
      </c>
      <c r="CD1186">
        <v>0</v>
      </c>
      <c r="CE1186">
        <v>0</v>
      </c>
      <c r="CF1186">
        <v>0</v>
      </c>
      <c r="CG1186">
        <v>0</v>
      </c>
      <c r="CH1186">
        <v>0</v>
      </c>
      <c r="CI1186">
        <v>0</v>
      </c>
      <c r="CJ1186">
        <v>0</v>
      </c>
      <c r="CK1186">
        <v>0</v>
      </c>
      <c r="CL1186">
        <v>0</v>
      </c>
      <c r="CM1186">
        <v>0</v>
      </c>
      <c r="CR1186" t="s">
        <v>2324</v>
      </c>
      <c r="CS1186" s="1369" t="str">
        <f>INDEX([8]Sheet1!$H:$H,MATCH(CR:CR,[8]Sheet1!$AU:$AU,0))</f>
        <v>Finance</v>
      </c>
    </row>
    <row r="1187" spans="1:97" x14ac:dyDescent="0.2">
      <c r="A1187" t="s">
        <v>4120</v>
      </c>
      <c r="B1187">
        <v>1264</v>
      </c>
      <c r="C1187" t="s">
        <v>4120</v>
      </c>
      <c r="D1187">
        <v>30495</v>
      </c>
      <c r="E1187" t="s">
        <v>3533</v>
      </c>
      <c r="F1187" t="s">
        <v>2364</v>
      </c>
      <c r="G1187" t="s">
        <v>2364</v>
      </c>
      <c r="H1187" t="s">
        <v>2365</v>
      </c>
      <c r="I1187" t="s">
        <v>2365</v>
      </c>
      <c r="J1187" t="s">
        <v>2365</v>
      </c>
      <c r="K1187" t="s">
        <v>2365</v>
      </c>
      <c r="L1187">
        <v>1200</v>
      </c>
      <c r="M1187" t="s">
        <v>1480</v>
      </c>
      <c r="N1187">
        <v>1204</v>
      </c>
      <c r="O1187" t="s">
        <v>1487</v>
      </c>
      <c r="P1187" t="s">
        <v>2366</v>
      </c>
      <c r="Q1187" t="s">
        <v>2364</v>
      </c>
      <c r="R1187" t="s">
        <v>2364</v>
      </c>
      <c r="S1187" t="s">
        <v>553</v>
      </c>
      <c r="T1187" t="s">
        <v>2175</v>
      </c>
      <c r="U1187" t="s">
        <v>2366</v>
      </c>
      <c r="V1187" t="s">
        <v>2366</v>
      </c>
      <c r="W1187" t="s">
        <v>2366</v>
      </c>
      <c r="X1187" t="s">
        <v>2366</v>
      </c>
      <c r="Y1187" t="s">
        <v>2365</v>
      </c>
      <c r="Z1187" t="s">
        <v>2365</v>
      </c>
      <c r="AA1187" t="s">
        <v>2365</v>
      </c>
      <c r="AB1187" t="s">
        <v>2365</v>
      </c>
      <c r="AC1187" s="813" t="s">
        <v>2365</v>
      </c>
      <c r="AD1187" s="813" t="s">
        <v>2365</v>
      </c>
      <c r="AE1187" s="813" t="s">
        <v>2365</v>
      </c>
      <c r="AF1187" t="s">
        <v>2365</v>
      </c>
      <c r="AG1187" t="s">
        <v>2365</v>
      </c>
      <c r="AH1187" t="s">
        <v>2365</v>
      </c>
      <c r="AI1187" t="s">
        <v>2365</v>
      </c>
      <c r="AJ1187" t="s">
        <v>2365</v>
      </c>
      <c r="AK1187">
        <v>146</v>
      </c>
      <c r="AL1187" t="s">
        <v>1199</v>
      </c>
      <c r="AM1187">
        <v>146</v>
      </c>
      <c r="AN1187" t="s">
        <v>1199</v>
      </c>
      <c r="AR1187" t="s">
        <v>2365</v>
      </c>
      <c r="AS1187" t="s">
        <v>2365</v>
      </c>
      <c r="AT1187" t="s">
        <v>2365</v>
      </c>
      <c r="AU1187" t="s">
        <v>2365</v>
      </c>
      <c r="AV1187" t="s">
        <v>2365</v>
      </c>
      <c r="AW1187" t="s">
        <v>2365</v>
      </c>
      <c r="AX1187" t="s">
        <v>2365</v>
      </c>
      <c r="AY1187" t="s">
        <v>2365</v>
      </c>
      <c r="AZ1187" t="s">
        <v>2365</v>
      </c>
      <c r="BA1187" t="s">
        <v>2365</v>
      </c>
      <c r="BB1187" t="s">
        <v>2365</v>
      </c>
      <c r="BC1187" t="s">
        <v>2365</v>
      </c>
      <c r="BD1187" t="s">
        <v>2366</v>
      </c>
      <c r="BE1187" t="s">
        <v>2365</v>
      </c>
      <c r="BF1187" t="s">
        <v>2365</v>
      </c>
      <c r="BG1187" t="s">
        <v>2365</v>
      </c>
      <c r="BH1187" t="s">
        <v>2365</v>
      </c>
      <c r="BI1187" t="s">
        <v>2366</v>
      </c>
      <c r="BJ1187" t="s">
        <v>2365</v>
      </c>
      <c r="BK1187" t="s">
        <v>2365</v>
      </c>
      <c r="BL1187" t="s">
        <v>2365</v>
      </c>
      <c r="BM1187" t="s">
        <v>2365</v>
      </c>
      <c r="BO1187">
        <v>1</v>
      </c>
      <c r="BP1187">
        <v>11</v>
      </c>
      <c r="BQ1187" t="s">
        <v>2369</v>
      </c>
      <c r="BR1187" t="s">
        <v>1487</v>
      </c>
      <c r="BU1187">
        <v>0</v>
      </c>
      <c r="BV1187">
        <v>0</v>
      </c>
      <c r="BW1187" s="1371">
        <v>0</v>
      </c>
      <c r="BX1187" s="1372">
        <v>0</v>
      </c>
      <c r="BY1187" s="1371">
        <v>0</v>
      </c>
      <c r="BZ1187" s="1371">
        <v>0</v>
      </c>
      <c r="CA1187">
        <v>0</v>
      </c>
      <c r="CB1187">
        <v>0</v>
      </c>
      <c r="CC1187">
        <v>0</v>
      </c>
      <c r="CD1187">
        <v>0</v>
      </c>
      <c r="CE1187">
        <v>0</v>
      </c>
      <c r="CF1187">
        <v>0</v>
      </c>
      <c r="CG1187">
        <v>0</v>
      </c>
      <c r="CH1187">
        <v>0</v>
      </c>
      <c r="CI1187">
        <v>0</v>
      </c>
      <c r="CJ1187">
        <v>0</v>
      </c>
      <c r="CK1187">
        <v>0</v>
      </c>
      <c r="CL1187">
        <v>0</v>
      </c>
      <c r="CM1187">
        <v>0</v>
      </c>
      <c r="CR1187" t="s">
        <v>2324</v>
      </c>
      <c r="CS1187" s="1369" t="str">
        <f>INDEX([8]Sheet1!$H:$H,MATCH(CR:CR,[8]Sheet1!$AU:$AU,0))</f>
        <v>Finance</v>
      </c>
    </row>
    <row r="1188" spans="1:97" x14ac:dyDescent="0.2">
      <c r="A1188" t="s">
        <v>4121</v>
      </c>
      <c r="B1188">
        <v>1265</v>
      </c>
      <c r="C1188" t="s">
        <v>4121</v>
      </c>
      <c r="D1188">
        <v>30496</v>
      </c>
      <c r="E1188" t="s">
        <v>3599</v>
      </c>
      <c r="F1188" t="s">
        <v>2364</v>
      </c>
      <c r="G1188" t="s">
        <v>2364</v>
      </c>
      <c r="H1188" t="s">
        <v>2365</v>
      </c>
      <c r="I1188" t="s">
        <v>2365</v>
      </c>
      <c r="J1188" t="s">
        <v>2365</v>
      </c>
      <c r="K1188" t="s">
        <v>2365</v>
      </c>
      <c r="L1188">
        <v>1200</v>
      </c>
      <c r="M1188" t="s">
        <v>1480</v>
      </c>
      <c r="N1188">
        <v>1204</v>
      </c>
      <c r="O1188" t="s">
        <v>1487</v>
      </c>
      <c r="P1188" t="s">
        <v>2366</v>
      </c>
      <c r="Q1188" t="s">
        <v>2364</v>
      </c>
      <c r="R1188" t="s">
        <v>2364</v>
      </c>
      <c r="S1188" t="s">
        <v>553</v>
      </c>
      <c r="T1188" t="s">
        <v>2175</v>
      </c>
      <c r="U1188">
        <v>140</v>
      </c>
      <c r="V1188" t="s">
        <v>693</v>
      </c>
      <c r="W1188">
        <v>140</v>
      </c>
      <c r="X1188" t="s">
        <v>693</v>
      </c>
      <c r="Y1188" t="s">
        <v>2365</v>
      </c>
      <c r="Z1188" t="s">
        <v>2365</v>
      </c>
      <c r="AA1188" t="s">
        <v>2365</v>
      </c>
      <c r="AB1188" t="s">
        <v>2365</v>
      </c>
      <c r="AC1188" s="813" t="s">
        <v>2365</v>
      </c>
      <c r="AD1188" s="813" t="s">
        <v>2365</v>
      </c>
      <c r="AE1188" s="813" t="s">
        <v>2365</v>
      </c>
      <c r="AF1188" t="s">
        <v>2365</v>
      </c>
      <c r="AG1188" t="s">
        <v>2365</v>
      </c>
      <c r="AH1188" t="s">
        <v>2365</v>
      </c>
      <c r="AI1188" t="s">
        <v>2365</v>
      </c>
      <c r="AJ1188" t="s">
        <v>2365</v>
      </c>
      <c r="AK1188" t="s">
        <v>2366</v>
      </c>
      <c r="AL1188" t="s">
        <v>2366</v>
      </c>
      <c r="AM1188" t="s">
        <v>2366</v>
      </c>
      <c r="AN1188" t="s">
        <v>2366</v>
      </c>
      <c r="AR1188" t="s">
        <v>2365</v>
      </c>
      <c r="AS1188" t="s">
        <v>2365</v>
      </c>
      <c r="AT1188" t="s">
        <v>2365</v>
      </c>
      <c r="AU1188" t="s">
        <v>2365</v>
      </c>
      <c r="AV1188" t="s">
        <v>2365</v>
      </c>
      <c r="AW1188" t="s">
        <v>2365</v>
      </c>
      <c r="AX1188" t="s">
        <v>2365</v>
      </c>
      <c r="AY1188" t="s">
        <v>2365</v>
      </c>
      <c r="AZ1188" t="s">
        <v>2365</v>
      </c>
      <c r="BA1188" t="s">
        <v>2365</v>
      </c>
      <c r="BB1188" t="s">
        <v>2365</v>
      </c>
      <c r="BC1188" t="s">
        <v>2365</v>
      </c>
      <c r="BD1188" t="s">
        <v>2366</v>
      </c>
      <c r="BE1188" t="s">
        <v>2365</v>
      </c>
      <c r="BF1188" t="s">
        <v>2365</v>
      </c>
      <c r="BG1188" t="s">
        <v>2365</v>
      </c>
      <c r="BH1188" t="s">
        <v>2365</v>
      </c>
      <c r="BI1188" t="s">
        <v>2366</v>
      </c>
      <c r="BJ1188" t="s">
        <v>2365</v>
      </c>
      <c r="BK1188" t="s">
        <v>2365</v>
      </c>
      <c r="BL1188" t="s">
        <v>2365</v>
      </c>
      <c r="BM1188" t="s">
        <v>2365</v>
      </c>
      <c r="BO1188">
        <v>1</v>
      </c>
      <c r="BP1188">
        <v>11</v>
      </c>
      <c r="BQ1188" t="s">
        <v>2369</v>
      </c>
      <c r="BR1188" t="s">
        <v>1487</v>
      </c>
      <c r="BU1188">
        <v>0</v>
      </c>
      <c r="BV1188">
        <v>0</v>
      </c>
      <c r="BW1188" s="1371">
        <v>0</v>
      </c>
      <c r="BX1188" s="1372">
        <v>0</v>
      </c>
      <c r="BY1188">
        <v>0</v>
      </c>
      <c r="BZ1188">
        <v>0</v>
      </c>
      <c r="CA1188">
        <v>0</v>
      </c>
      <c r="CB1188">
        <v>0</v>
      </c>
      <c r="CC1188">
        <v>0</v>
      </c>
      <c r="CD1188">
        <v>0</v>
      </c>
      <c r="CE1188">
        <v>0</v>
      </c>
      <c r="CF1188">
        <v>0</v>
      </c>
      <c r="CG1188">
        <v>0</v>
      </c>
      <c r="CH1188">
        <v>0</v>
      </c>
      <c r="CI1188">
        <v>0</v>
      </c>
      <c r="CJ1188">
        <v>0</v>
      </c>
      <c r="CK1188">
        <v>0</v>
      </c>
      <c r="CL1188">
        <v>0</v>
      </c>
      <c r="CM1188">
        <v>0</v>
      </c>
      <c r="CR1188" t="s">
        <v>2324</v>
      </c>
      <c r="CS1188" s="1369" t="str">
        <f>INDEX([8]Sheet1!$H:$H,MATCH(CR:CR,[8]Sheet1!$AU:$AU,0))</f>
        <v>Finance</v>
      </c>
    </row>
    <row r="1189" spans="1:97" x14ac:dyDescent="0.2">
      <c r="A1189" t="s">
        <v>4122</v>
      </c>
      <c r="B1189">
        <v>1266</v>
      </c>
      <c r="C1189" t="s">
        <v>4122</v>
      </c>
      <c r="D1189">
        <v>30497</v>
      </c>
      <c r="E1189" t="s">
        <v>3603</v>
      </c>
      <c r="F1189" t="s">
        <v>2364</v>
      </c>
      <c r="G1189" t="s">
        <v>2364</v>
      </c>
      <c r="H1189" t="s">
        <v>2365</v>
      </c>
      <c r="I1189" t="s">
        <v>2365</v>
      </c>
      <c r="J1189" t="s">
        <v>2365</v>
      </c>
      <c r="K1189" t="s">
        <v>2365</v>
      </c>
      <c r="L1189">
        <v>1200</v>
      </c>
      <c r="M1189" t="s">
        <v>1480</v>
      </c>
      <c r="N1189">
        <v>1204</v>
      </c>
      <c r="O1189" t="s">
        <v>1487</v>
      </c>
      <c r="P1189" t="s">
        <v>2366</v>
      </c>
      <c r="Q1189" t="s">
        <v>2364</v>
      </c>
      <c r="R1189" t="s">
        <v>2364</v>
      </c>
      <c r="S1189" t="s">
        <v>553</v>
      </c>
      <c r="T1189" t="s">
        <v>2175</v>
      </c>
      <c r="U1189">
        <v>140</v>
      </c>
      <c r="V1189" t="s">
        <v>693</v>
      </c>
      <c r="W1189">
        <v>140</v>
      </c>
      <c r="X1189" t="s">
        <v>693</v>
      </c>
      <c r="Y1189" t="s">
        <v>2365</v>
      </c>
      <c r="Z1189" t="s">
        <v>2365</v>
      </c>
      <c r="AA1189" t="s">
        <v>2365</v>
      </c>
      <c r="AB1189" t="s">
        <v>2365</v>
      </c>
      <c r="AC1189" s="813" t="s">
        <v>2365</v>
      </c>
      <c r="AD1189" s="813" t="s">
        <v>2365</v>
      </c>
      <c r="AE1189" s="813" t="s">
        <v>2365</v>
      </c>
      <c r="AF1189" t="s">
        <v>2365</v>
      </c>
      <c r="AG1189" t="s">
        <v>2365</v>
      </c>
      <c r="AH1189" t="s">
        <v>2365</v>
      </c>
      <c r="AI1189" t="s">
        <v>2365</v>
      </c>
      <c r="AJ1189" t="s">
        <v>2365</v>
      </c>
      <c r="AK1189" t="s">
        <v>2366</v>
      </c>
      <c r="AL1189" t="s">
        <v>2366</v>
      </c>
      <c r="AM1189" t="s">
        <v>2366</v>
      </c>
      <c r="AN1189" t="s">
        <v>2366</v>
      </c>
      <c r="AR1189" t="s">
        <v>2365</v>
      </c>
      <c r="AS1189" t="s">
        <v>2365</v>
      </c>
      <c r="AT1189" t="s">
        <v>2365</v>
      </c>
      <c r="AU1189" t="s">
        <v>2365</v>
      </c>
      <c r="AV1189" t="s">
        <v>2365</v>
      </c>
      <c r="AW1189" t="s">
        <v>2365</v>
      </c>
      <c r="AX1189" t="s">
        <v>2365</v>
      </c>
      <c r="AY1189" t="s">
        <v>2365</v>
      </c>
      <c r="AZ1189" t="s">
        <v>2365</v>
      </c>
      <c r="BA1189" t="s">
        <v>2365</v>
      </c>
      <c r="BB1189" t="s">
        <v>2365</v>
      </c>
      <c r="BC1189" t="s">
        <v>2365</v>
      </c>
      <c r="BD1189" t="s">
        <v>2366</v>
      </c>
      <c r="BE1189" t="s">
        <v>2365</v>
      </c>
      <c r="BF1189" t="s">
        <v>2365</v>
      </c>
      <c r="BG1189" t="s">
        <v>2365</v>
      </c>
      <c r="BH1189" t="s">
        <v>2365</v>
      </c>
      <c r="BI1189" t="s">
        <v>2366</v>
      </c>
      <c r="BJ1189" t="s">
        <v>2365</v>
      </c>
      <c r="BK1189" t="s">
        <v>2365</v>
      </c>
      <c r="BL1189" t="s">
        <v>2365</v>
      </c>
      <c r="BM1189" t="s">
        <v>2365</v>
      </c>
      <c r="BO1189">
        <v>1</v>
      </c>
      <c r="BP1189">
        <v>11</v>
      </c>
      <c r="BQ1189" t="s">
        <v>2369</v>
      </c>
      <c r="BR1189" t="s">
        <v>1487</v>
      </c>
      <c r="BU1189">
        <v>0</v>
      </c>
      <c r="BV1189">
        <v>0</v>
      </c>
      <c r="BW1189" s="1371">
        <v>0</v>
      </c>
      <c r="BX1189" s="1372">
        <v>0</v>
      </c>
      <c r="BY1189" s="1371">
        <v>0</v>
      </c>
      <c r="BZ1189" s="1371">
        <v>0</v>
      </c>
      <c r="CA1189">
        <v>0</v>
      </c>
      <c r="CB1189">
        <v>0</v>
      </c>
      <c r="CC1189">
        <v>0</v>
      </c>
      <c r="CD1189">
        <v>0</v>
      </c>
      <c r="CE1189">
        <v>0</v>
      </c>
      <c r="CF1189">
        <v>0</v>
      </c>
      <c r="CG1189">
        <v>0</v>
      </c>
      <c r="CH1189">
        <v>0</v>
      </c>
      <c r="CI1189">
        <v>0</v>
      </c>
      <c r="CJ1189">
        <v>0</v>
      </c>
      <c r="CK1189">
        <v>0</v>
      </c>
      <c r="CL1189">
        <v>0</v>
      </c>
      <c r="CM1189">
        <v>0</v>
      </c>
      <c r="CR1189" t="s">
        <v>2324</v>
      </c>
      <c r="CS1189" s="1369" t="str">
        <f>INDEX([8]Sheet1!$H:$H,MATCH(CR:CR,[8]Sheet1!$AU:$AU,0))</f>
        <v>Finance</v>
      </c>
    </row>
    <row r="1190" spans="1:97" x14ac:dyDescent="0.2">
      <c r="A1190" t="s">
        <v>4123</v>
      </c>
      <c r="B1190">
        <v>1267</v>
      </c>
      <c r="C1190" t="s">
        <v>4123</v>
      </c>
      <c r="D1190">
        <v>30498</v>
      </c>
      <c r="E1190" t="s">
        <v>3607</v>
      </c>
      <c r="F1190" t="s">
        <v>2364</v>
      </c>
      <c r="G1190" t="s">
        <v>2364</v>
      </c>
      <c r="H1190" t="s">
        <v>2365</v>
      </c>
      <c r="I1190" t="s">
        <v>2365</v>
      </c>
      <c r="J1190" t="s">
        <v>2365</v>
      </c>
      <c r="K1190" t="s">
        <v>2365</v>
      </c>
      <c r="L1190">
        <v>1200</v>
      </c>
      <c r="M1190" t="s">
        <v>1480</v>
      </c>
      <c r="N1190">
        <v>1204</v>
      </c>
      <c r="O1190" t="s">
        <v>1487</v>
      </c>
      <c r="P1190" t="s">
        <v>2366</v>
      </c>
      <c r="Q1190" t="s">
        <v>2364</v>
      </c>
      <c r="R1190" t="s">
        <v>2364</v>
      </c>
      <c r="S1190" t="s">
        <v>553</v>
      </c>
      <c r="T1190" t="s">
        <v>2175</v>
      </c>
      <c r="U1190">
        <v>140</v>
      </c>
      <c r="V1190" t="s">
        <v>693</v>
      </c>
      <c r="W1190">
        <v>140</v>
      </c>
      <c r="X1190" t="s">
        <v>693</v>
      </c>
      <c r="Y1190" t="s">
        <v>2365</v>
      </c>
      <c r="Z1190" t="s">
        <v>2365</v>
      </c>
      <c r="AA1190" t="s">
        <v>2365</v>
      </c>
      <c r="AB1190" t="s">
        <v>2365</v>
      </c>
      <c r="AC1190" s="813" t="s">
        <v>2365</v>
      </c>
      <c r="AD1190" s="813" t="s">
        <v>2365</v>
      </c>
      <c r="AE1190" s="813" t="s">
        <v>2365</v>
      </c>
      <c r="AF1190" t="s">
        <v>2365</v>
      </c>
      <c r="AG1190" t="s">
        <v>2365</v>
      </c>
      <c r="AH1190" t="s">
        <v>2365</v>
      </c>
      <c r="AI1190" t="s">
        <v>2365</v>
      </c>
      <c r="AJ1190" t="s">
        <v>2365</v>
      </c>
      <c r="AK1190">
        <v>147</v>
      </c>
      <c r="AL1190" t="s">
        <v>1200</v>
      </c>
      <c r="AM1190">
        <v>147</v>
      </c>
      <c r="AN1190" t="s">
        <v>1200</v>
      </c>
      <c r="AR1190" t="s">
        <v>2365</v>
      </c>
      <c r="AS1190" t="s">
        <v>2365</v>
      </c>
      <c r="AT1190" t="s">
        <v>2365</v>
      </c>
      <c r="AU1190" t="s">
        <v>2365</v>
      </c>
      <c r="AV1190" t="s">
        <v>2365</v>
      </c>
      <c r="AW1190" t="s">
        <v>2365</v>
      </c>
      <c r="AX1190" t="s">
        <v>2365</v>
      </c>
      <c r="AY1190" t="s">
        <v>2365</v>
      </c>
      <c r="AZ1190" t="s">
        <v>2365</v>
      </c>
      <c r="BA1190" t="s">
        <v>2365</v>
      </c>
      <c r="BB1190" t="s">
        <v>2365</v>
      </c>
      <c r="BC1190" t="s">
        <v>2365</v>
      </c>
      <c r="BD1190" t="s">
        <v>2366</v>
      </c>
      <c r="BE1190" t="s">
        <v>2365</v>
      </c>
      <c r="BF1190" t="s">
        <v>2365</v>
      </c>
      <c r="BG1190" t="s">
        <v>2365</v>
      </c>
      <c r="BH1190" t="s">
        <v>2365</v>
      </c>
      <c r="BI1190" t="s">
        <v>2366</v>
      </c>
      <c r="BJ1190" t="s">
        <v>2365</v>
      </c>
      <c r="BK1190" t="s">
        <v>2365</v>
      </c>
      <c r="BL1190" t="s">
        <v>2365</v>
      </c>
      <c r="BM1190" t="s">
        <v>2365</v>
      </c>
      <c r="BO1190">
        <v>1</v>
      </c>
      <c r="BP1190">
        <v>11</v>
      </c>
      <c r="BQ1190" t="s">
        <v>2369</v>
      </c>
      <c r="BR1190" t="s">
        <v>1487</v>
      </c>
      <c r="BU1190">
        <v>0</v>
      </c>
      <c r="BV1190">
        <v>0</v>
      </c>
      <c r="BW1190" s="1371">
        <v>0</v>
      </c>
      <c r="BX1190" s="1372">
        <v>0</v>
      </c>
      <c r="BY1190">
        <v>0</v>
      </c>
      <c r="BZ1190">
        <v>0</v>
      </c>
      <c r="CA1190">
        <v>0</v>
      </c>
      <c r="CB1190">
        <v>0</v>
      </c>
      <c r="CC1190">
        <v>0</v>
      </c>
      <c r="CD1190">
        <v>0</v>
      </c>
      <c r="CE1190">
        <v>0</v>
      </c>
      <c r="CF1190">
        <v>0</v>
      </c>
      <c r="CG1190">
        <v>0</v>
      </c>
      <c r="CH1190">
        <v>0</v>
      </c>
      <c r="CI1190">
        <v>0</v>
      </c>
      <c r="CJ1190">
        <v>0</v>
      </c>
      <c r="CK1190">
        <v>0</v>
      </c>
      <c r="CL1190">
        <v>0</v>
      </c>
      <c r="CM1190">
        <v>0</v>
      </c>
      <c r="CR1190" t="s">
        <v>2324</v>
      </c>
      <c r="CS1190" s="1369" t="str">
        <f>INDEX([8]Sheet1!$H:$H,MATCH(CR:CR,[8]Sheet1!$AU:$AU,0))</f>
        <v>Finance</v>
      </c>
    </row>
    <row r="1191" spans="1:97" x14ac:dyDescent="0.2">
      <c r="A1191" t="s">
        <v>4124</v>
      </c>
      <c r="B1191">
        <v>1268</v>
      </c>
      <c r="C1191" t="s">
        <v>4124</v>
      </c>
      <c r="D1191">
        <v>30499</v>
      </c>
      <c r="E1191" t="s">
        <v>3611</v>
      </c>
      <c r="F1191" t="s">
        <v>2364</v>
      </c>
      <c r="G1191" t="s">
        <v>2364</v>
      </c>
      <c r="H1191" s="1373" t="s">
        <v>2365</v>
      </c>
      <c r="I1191" t="s">
        <v>2365</v>
      </c>
      <c r="J1191" t="s">
        <v>2365</v>
      </c>
      <c r="K1191" t="s">
        <v>2365</v>
      </c>
      <c r="L1191" s="1373">
        <v>1200</v>
      </c>
      <c r="M1191" t="s">
        <v>1480</v>
      </c>
      <c r="N1191">
        <v>1204</v>
      </c>
      <c r="O1191" t="s">
        <v>1487</v>
      </c>
      <c r="P1191" t="s">
        <v>2366</v>
      </c>
      <c r="Q1191" t="s">
        <v>2364</v>
      </c>
      <c r="R1191" t="s">
        <v>2364</v>
      </c>
      <c r="S1191" t="s">
        <v>553</v>
      </c>
      <c r="T1191" t="s">
        <v>2175</v>
      </c>
      <c r="U1191">
        <v>140</v>
      </c>
      <c r="V1191" t="s">
        <v>693</v>
      </c>
      <c r="W1191">
        <v>140</v>
      </c>
      <c r="X1191" t="s">
        <v>693</v>
      </c>
      <c r="Y1191" t="s">
        <v>2365</v>
      </c>
      <c r="Z1191" t="s">
        <v>2365</v>
      </c>
      <c r="AA1191" t="s">
        <v>2365</v>
      </c>
      <c r="AB1191" t="s">
        <v>2365</v>
      </c>
      <c r="AC1191" s="813" t="s">
        <v>2365</v>
      </c>
      <c r="AD1191" s="813" t="s">
        <v>2365</v>
      </c>
      <c r="AE1191" s="813" t="s">
        <v>2365</v>
      </c>
      <c r="AF1191" t="s">
        <v>2365</v>
      </c>
      <c r="AG1191" t="s">
        <v>2365</v>
      </c>
      <c r="AH1191" t="s">
        <v>2365</v>
      </c>
      <c r="AI1191" t="s">
        <v>2365</v>
      </c>
      <c r="AJ1191" t="s">
        <v>2365</v>
      </c>
      <c r="AK1191" t="s">
        <v>2366</v>
      </c>
      <c r="AL1191" t="s">
        <v>2366</v>
      </c>
      <c r="AM1191" t="s">
        <v>2366</v>
      </c>
      <c r="AN1191" t="s">
        <v>2366</v>
      </c>
      <c r="AR1191" t="s">
        <v>2365</v>
      </c>
      <c r="AS1191" t="s">
        <v>2365</v>
      </c>
      <c r="AT1191" t="s">
        <v>2365</v>
      </c>
      <c r="AU1191" t="s">
        <v>2365</v>
      </c>
      <c r="AV1191" t="s">
        <v>2365</v>
      </c>
      <c r="AW1191" t="s">
        <v>2365</v>
      </c>
      <c r="AX1191" t="s">
        <v>2365</v>
      </c>
      <c r="AY1191" t="s">
        <v>2365</v>
      </c>
      <c r="AZ1191" t="s">
        <v>2365</v>
      </c>
      <c r="BA1191" t="s">
        <v>2365</v>
      </c>
      <c r="BB1191" t="s">
        <v>2365</v>
      </c>
      <c r="BC1191" t="s">
        <v>2365</v>
      </c>
      <c r="BD1191" t="s">
        <v>2366</v>
      </c>
      <c r="BE1191" t="s">
        <v>2365</v>
      </c>
      <c r="BF1191" t="s">
        <v>2365</v>
      </c>
      <c r="BG1191" t="s">
        <v>2365</v>
      </c>
      <c r="BH1191" t="s">
        <v>2365</v>
      </c>
      <c r="BI1191" t="s">
        <v>2366</v>
      </c>
      <c r="BJ1191" t="s">
        <v>2365</v>
      </c>
      <c r="BK1191" t="s">
        <v>2365</v>
      </c>
      <c r="BL1191" t="s">
        <v>2365</v>
      </c>
      <c r="BM1191" t="s">
        <v>2365</v>
      </c>
      <c r="BO1191">
        <v>1</v>
      </c>
      <c r="BP1191">
        <v>11</v>
      </c>
      <c r="BQ1191" t="s">
        <v>2369</v>
      </c>
      <c r="BR1191" t="s">
        <v>1487</v>
      </c>
      <c r="BU1191" s="1371">
        <v>0</v>
      </c>
      <c r="BV1191" s="1371">
        <v>0</v>
      </c>
      <c r="BW1191" s="1371">
        <v>0</v>
      </c>
      <c r="BX1191" s="1371">
        <v>0</v>
      </c>
      <c r="BY1191" s="1371">
        <v>0</v>
      </c>
      <c r="BZ1191">
        <v>0</v>
      </c>
      <c r="CA1191">
        <v>0</v>
      </c>
      <c r="CB1191">
        <v>0</v>
      </c>
      <c r="CC1191">
        <v>0</v>
      </c>
      <c r="CD1191">
        <v>0</v>
      </c>
      <c r="CE1191">
        <v>0</v>
      </c>
      <c r="CF1191">
        <v>0</v>
      </c>
      <c r="CG1191">
        <v>0</v>
      </c>
      <c r="CH1191">
        <v>0</v>
      </c>
      <c r="CI1191">
        <v>0</v>
      </c>
      <c r="CJ1191">
        <v>0</v>
      </c>
      <c r="CK1191">
        <v>0</v>
      </c>
      <c r="CL1191">
        <v>0</v>
      </c>
      <c r="CM1191">
        <v>0</v>
      </c>
      <c r="CR1191" t="s">
        <v>2324</v>
      </c>
      <c r="CS1191" s="1369" t="str">
        <f>INDEX([8]Sheet1!$H:$H,MATCH(CR:CR,[8]Sheet1!$AU:$AU,0))</f>
        <v>Finance</v>
      </c>
    </row>
    <row r="1192" spans="1:97" x14ac:dyDescent="0.2">
      <c r="A1192" t="s">
        <v>4125</v>
      </c>
      <c r="B1192">
        <v>1270</v>
      </c>
      <c r="C1192" t="s">
        <v>4125</v>
      </c>
      <c r="D1192">
        <v>30501</v>
      </c>
      <c r="E1192" t="s">
        <v>3617</v>
      </c>
      <c r="F1192" t="s">
        <v>2364</v>
      </c>
      <c r="G1192" t="s">
        <v>2364</v>
      </c>
      <c r="H1192" t="s">
        <v>2365</v>
      </c>
      <c r="I1192" t="s">
        <v>2365</v>
      </c>
      <c r="J1192" t="s">
        <v>2365</v>
      </c>
      <c r="K1192" t="s">
        <v>2365</v>
      </c>
      <c r="L1192">
        <v>1200</v>
      </c>
      <c r="M1192" t="s">
        <v>1480</v>
      </c>
      <c r="N1192">
        <v>1204</v>
      </c>
      <c r="O1192" t="s">
        <v>1487</v>
      </c>
      <c r="P1192" t="s">
        <v>2366</v>
      </c>
      <c r="Q1192" t="s">
        <v>2364</v>
      </c>
      <c r="R1192" t="s">
        <v>2364</v>
      </c>
      <c r="S1192" t="s">
        <v>553</v>
      </c>
      <c r="T1192" t="s">
        <v>2175</v>
      </c>
      <c r="U1192">
        <v>140</v>
      </c>
      <c r="V1192" t="s">
        <v>693</v>
      </c>
      <c r="W1192">
        <v>140</v>
      </c>
      <c r="X1192" t="s">
        <v>693</v>
      </c>
      <c r="Y1192" t="s">
        <v>2365</v>
      </c>
      <c r="Z1192" t="s">
        <v>2365</v>
      </c>
      <c r="AA1192" t="s">
        <v>2365</v>
      </c>
      <c r="AB1192" t="s">
        <v>2365</v>
      </c>
      <c r="AC1192" s="813" t="s">
        <v>2365</v>
      </c>
      <c r="AD1192" s="813" t="s">
        <v>2365</v>
      </c>
      <c r="AE1192" s="813" t="s">
        <v>2365</v>
      </c>
      <c r="AF1192" t="s">
        <v>2365</v>
      </c>
      <c r="AG1192" t="s">
        <v>2365</v>
      </c>
      <c r="AH1192" t="s">
        <v>2365</v>
      </c>
      <c r="AI1192" t="s">
        <v>2365</v>
      </c>
      <c r="AJ1192" t="s">
        <v>2365</v>
      </c>
      <c r="AK1192" t="s">
        <v>2366</v>
      </c>
      <c r="AL1192" t="s">
        <v>2366</v>
      </c>
      <c r="AM1192" t="s">
        <v>2366</v>
      </c>
      <c r="AN1192" t="s">
        <v>2366</v>
      </c>
      <c r="AR1192" t="s">
        <v>2365</v>
      </c>
      <c r="AS1192" t="s">
        <v>2365</v>
      </c>
      <c r="AT1192" t="s">
        <v>2365</v>
      </c>
      <c r="AU1192" t="s">
        <v>2365</v>
      </c>
      <c r="AV1192" t="s">
        <v>2365</v>
      </c>
      <c r="AW1192" t="s">
        <v>2365</v>
      </c>
      <c r="AX1192" t="s">
        <v>2365</v>
      </c>
      <c r="AY1192" t="s">
        <v>2365</v>
      </c>
      <c r="AZ1192" t="s">
        <v>2365</v>
      </c>
      <c r="BA1192" t="s">
        <v>2365</v>
      </c>
      <c r="BB1192" t="s">
        <v>2365</v>
      </c>
      <c r="BC1192" t="s">
        <v>2365</v>
      </c>
      <c r="BD1192" t="s">
        <v>2366</v>
      </c>
      <c r="BE1192" t="s">
        <v>2365</v>
      </c>
      <c r="BF1192" t="s">
        <v>2365</v>
      </c>
      <c r="BG1192" t="s">
        <v>2365</v>
      </c>
      <c r="BH1192" t="s">
        <v>2365</v>
      </c>
      <c r="BI1192" t="s">
        <v>2366</v>
      </c>
      <c r="BJ1192" t="s">
        <v>2365</v>
      </c>
      <c r="BK1192" t="s">
        <v>2365</v>
      </c>
      <c r="BL1192" t="s">
        <v>2365</v>
      </c>
      <c r="BM1192" t="s">
        <v>2365</v>
      </c>
      <c r="BO1192">
        <v>1</v>
      </c>
      <c r="BP1192">
        <v>11</v>
      </c>
      <c r="BQ1192" t="s">
        <v>2369</v>
      </c>
      <c r="BR1192" t="s">
        <v>1487</v>
      </c>
      <c r="BU1192">
        <v>0</v>
      </c>
      <c r="BV1192">
        <v>0</v>
      </c>
      <c r="BW1192" s="1371">
        <v>0</v>
      </c>
      <c r="BX1192" s="1372">
        <v>0</v>
      </c>
      <c r="BY1192">
        <v>0</v>
      </c>
      <c r="BZ1192">
        <v>0</v>
      </c>
      <c r="CA1192">
        <v>0</v>
      </c>
      <c r="CB1192">
        <v>0</v>
      </c>
      <c r="CC1192">
        <v>0</v>
      </c>
      <c r="CD1192">
        <v>0</v>
      </c>
      <c r="CE1192">
        <v>0</v>
      </c>
      <c r="CF1192">
        <v>0</v>
      </c>
      <c r="CG1192">
        <v>0</v>
      </c>
      <c r="CH1192">
        <v>0</v>
      </c>
      <c r="CI1192">
        <v>0</v>
      </c>
      <c r="CJ1192">
        <v>0</v>
      </c>
      <c r="CK1192">
        <v>0</v>
      </c>
      <c r="CL1192">
        <v>0</v>
      </c>
      <c r="CM1192">
        <v>0</v>
      </c>
      <c r="CR1192" t="s">
        <v>2324</v>
      </c>
      <c r="CS1192" s="1369" t="str">
        <f>INDEX([8]Sheet1!$H:$H,MATCH(CR:CR,[8]Sheet1!$AU:$AU,0))</f>
        <v>Finance</v>
      </c>
    </row>
    <row r="1193" spans="1:97" x14ac:dyDescent="0.2">
      <c r="A1193" t="s">
        <v>4126</v>
      </c>
      <c r="B1193">
        <v>1271</v>
      </c>
      <c r="C1193" t="s">
        <v>4126</v>
      </c>
      <c r="D1193">
        <v>30502</v>
      </c>
      <c r="E1193" t="s">
        <v>4127</v>
      </c>
      <c r="F1193" t="s">
        <v>2364</v>
      </c>
      <c r="G1193" t="s">
        <v>2364</v>
      </c>
      <c r="H1193" t="s">
        <v>2365</v>
      </c>
      <c r="I1193" t="s">
        <v>2365</v>
      </c>
      <c r="J1193" t="s">
        <v>2365</v>
      </c>
      <c r="K1193" t="s">
        <v>2365</v>
      </c>
      <c r="L1193">
        <v>1200</v>
      </c>
      <c r="M1193" t="s">
        <v>1480</v>
      </c>
      <c r="N1193">
        <v>1204</v>
      </c>
      <c r="O1193" t="s">
        <v>1487</v>
      </c>
      <c r="P1193" t="s">
        <v>2366</v>
      </c>
      <c r="Q1193" t="s">
        <v>2364</v>
      </c>
      <c r="R1193" t="s">
        <v>2364</v>
      </c>
      <c r="S1193" t="s">
        <v>553</v>
      </c>
      <c r="T1193" t="s">
        <v>2175</v>
      </c>
      <c r="U1193" t="s">
        <v>2366</v>
      </c>
      <c r="V1193" t="s">
        <v>2366</v>
      </c>
      <c r="W1193" t="s">
        <v>2366</v>
      </c>
      <c r="X1193" t="s">
        <v>2366</v>
      </c>
      <c r="Y1193" t="s">
        <v>2365</v>
      </c>
      <c r="Z1193" t="s">
        <v>2365</v>
      </c>
      <c r="AA1193" t="s">
        <v>2365</v>
      </c>
      <c r="AB1193" t="s">
        <v>2365</v>
      </c>
      <c r="AC1193" s="813" t="s">
        <v>2365</v>
      </c>
      <c r="AD1193" s="813" t="s">
        <v>2365</v>
      </c>
      <c r="AE1193" s="813" t="s">
        <v>2365</v>
      </c>
      <c r="AF1193" t="s">
        <v>2365</v>
      </c>
      <c r="AG1193" t="s">
        <v>2365</v>
      </c>
      <c r="AH1193" t="s">
        <v>2365</v>
      </c>
      <c r="AI1193" t="s">
        <v>2365</v>
      </c>
      <c r="AJ1193" t="s">
        <v>2365</v>
      </c>
      <c r="AK1193">
        <v>146</v>
      </c>
      <c r="AL1193" t="s">
        <v>1199</v>
      </c>
      <c r="AM1193">
        <v>146</v>
      </c>
      <c r="AN1193" t="s">
        <v>1199</v>
      </c>
      <c r="AR1193" t="s">
        <v>2365</v>
      </c>
      <c r="AS1193" t="s">
        <v>2365</v>
      </c>
      <c r="AT1193" t="s">
        <v>2365</v>
      </c>
      <c r="AU1193" t="s">
        <v>2365</v>
      </c>
      <c r="AV1193" t="s">
        <v>2365</v>
      </c>
      <c r="AW1193" t="s">
        <v>2365</v>
      </c>
      <c r="AX1193" t="s">
        <v>2365</v>
      </c>
      <c r="AY1193" t="s">
        <v>2365</v>
      </c>
      <c r="AZ1193" t="s">
        <v>2365</v>
      </c>
      <c r="BA1193" t="s">
        <v>2365</v>
      </c>
      <c r="BB1193" t="s">
        <v>2365</v>
      </c>
      <c r="BC1193" t="s">
        <v>2365</v>
      </c>
      <c r="BD1193" t="s">
        <v>2366</v>
      </c>
      <c r="BE1193" t="s">
        <v>2365</v>
      </c>
      <c r="BF1193" t="s">
        <v>2365</v>
      </c>
      <c r="BG1193" t="s">
        <v>2365</v>
      </c>
      <c r="BH1193" t="s">
        <v>2365</v>
      </c>
      <c r="BI1193" t="s">
        <v>2366</v>
      </c>
      <c r="BJ1193" t="s">
        <v>2365</v>
      </c>
      <c r="BK1193" t="s">
        <v>2365</v>
      </c>
      <c r="BL1193" t="s">
        <v>2365</v>
      </c>
      <c r="BM1193" t="s">
        <v>2365</v>
      </c>
      <c r="BO1193">
        <v>1</v>
      </c>
      <c r="BP1193">
        <v>11</v>
      </c>
      <c r="BQ1193" t="s">
        <v>2369</v>
      </c>
      <c r="BR1193" t="s">
        <v>1487</v>
      </c>
      <c r="BU1193">
        <v>0</v>
      </c>
      <c r="BV1193">
        <v>0</v>
      </c>
      <c r="BW1193" s="1371">
        <v>0</v>
      </c>
      <c r="BX1193" s="1372">
        <v>0</v>
      </c>
      <c r="BY1193">
        <v>0</v>
      </c>
      <c r="BZ1193">
        <v>0</v>
      </c>
      <c r="CA1193">
        <v>0</v>
      </c>
      <c r="CB1193">
        <v>0</v>
      </c>
      <c r="CC1193">
        <v>0</v>
      </c>
      <c r="CD1193">
        <v>0</v>
      </c>
      <c r="CE1193">
        <v>0</v>
      </c>
      <c r="CF1193">
        <v>0</v>
      </c>
      <c r="CG1193">
        <v>0</v>
      </c>
      <c r="CH1193">
        <v>0</v>
      </c>
      <c r="CI1193">
        <v>0</v>
      </c>
      <c r="CJ1193">
        <v>0</v>
      </c>
      <c r="CK1193">
        <v>0</v>
      </c>
      <c r="CL1193">
        <v>0</v>
      </c>
      <c r="CM1193">
        <v>0</v>
      </c>
      <c r="CR1193" t="s">
        <v>2324</v>
      </c>
      <c r="CS1193" s="1369" t="str">
        <f>INDEX([8]Sheet1!$H:$H,MATCH(CR:CR,[8]Sheet1!$AU:$AU,0))</f>
        <v>Finance</v>
      </c>
    </row>
    <row r="1194" spans="1:97" x14ac:dyDescent="0.2">
      <c r="A1194" t="s">
        <v>4128</v>
      </c>
      <c r="B1194">
        <v>1272</v>
      </c>
      <c r="C1194" t="s">
        <v>4128</v>
      </c>
      <c r="D1194">
        <v>30503</v>
      </c>
      <c r="E1194" t="s">
        <v>4129</v>
      </c>
      <c r="F1194" t="s">
        <v>2364</v>
      </c>
      <c r="G1194" t="s">
        <v>2364</v>
      </c>
      <c r="H1194" t="s">
        <v>2365</v>
      </c>
      <c r="I1194" t="s">
        <v>2365</v>
      </c>
      <c r="J1194" t="s">
        <v>2365</v>
      </c>
      <c r="K1194" t="s">
        <v>2365</v>
      </c>
      <c r="L1194">
        <v>1200</v>
      </c>
      <c r="M1194" t="s">
        <v>1480</v>
      </c>
      <c r="N1194">
        <v>1204</v>
      </c>
      <c r="O1194" t="s">
        <v>1487</v>
      </c>
      <c r="P1194" t="s">
        <v>2366</v>
      </c>
      <c r="Q1194" t="s">
        <v>2364</v>
      </c>
      <c r="R1194" t="s">
        <v>2364</v>
      </c>
      <c r="S1194" t="s">
        <v>553</v>
      </c>
      <c r="T1194" t="s">
        <v>2175</v>
      </c>
      <c r="U1194" t="s">
        <v>2366</v>
      </c>
      <c r="V1194" t="s">
        <v>2366</v>
      </c>
      <c r="W1194" t="s">
        <v>2366</v>
      </c>
      <c r="X1194" t="s">
        <v>2366</v>
      </c>
      <c r="Y1194" t="s">
        <v>2365</v>
      </c>
      <c r="Z1194" t="s">
        <v>2365</v>
      </c>
      <c r="AA1194" t="s">
        <v>2365</v>
      </c>
      <c r="AB1194" t="s">
        <v>2365</v>
      </c>
      <c r="AC1194" s="813" t="s">
        <v>2365</v>
      </c>
      <c r="AD1194" s="813" t="s">
        <v>2365</v>
      </c>
      <c r="AE1194" s="813" t="s">
        <v>2365</v>
      </c>
      <c r="AF1194" t="s">
        <v>2365</v>
      </c>
      <c r="AG1194" t="s">
        <v>2365</v>
      </c>
      <c r="AH1194" t="s">
        <v>2365</v>
      </c>
      <c r="AI1194" t="s">
        <v>2365</v>
      </c>
      <c r="AJ1194" t="s">
        <v>2365</v>
      </c>
      <c r="AK1194">
        <v>146</v>
      </c>
      <c r="AL1194" t="s">
        <v>1199</v>
      </c>
      <c r="AM1194">
        <v>146</v>
      </c>
      <c r="AN1194" t="s">
        <v>1199</v>
      </c>
      <c r="AR1194" t="s">
        <v>2365</v>
      </c>
      <c r="AS1194" t="s">
        <v>2365</v>
      </c>
      <c r="AT1194" t="s">
        <v>2365</v>
      </c>
      <c r="AU1194" t="s">
        <v>2365</v>
      </c>
      <c r="AV1194" t="s">
        <v>2365</v>
      </c>
      <c r="AW1194" t="s">
        <v>2365</v>
      </c>
      <c r="AX1194" t="s">
        <v>2365</v>
      </c>
      <c r="AY1194" t="s">
        <v>2365</v>
      </c>
      <c r="AZ1194" t="s">
        <v>2365</v>
      </c>
      <c r="BA1194" t="s">
        <v>2365</v>
      </c>
      <c r="BB1194" t="s">
        <v>2365</v>
      </c>
      <c r="BC1194" t="s">
        <v>2365</v>
      </c>
      <c r="BD1194" t="s">
        <v>2366</v>
      </c>
      <c r="BE1194" t="s">
        <v>2365</v>
      </c>
      <c r="BF1194" t="s">
        <v>2365</v>
      </c>
      <c r="BG1194" t="s">
        <v>2365</v>
      </c>
      <c r="BH1194" t="s">
        <v>2365</v>
      </c>
      <c r="BI1194" t="s">
        <v>2366</v>
      </c>
      <c r="BJ1194" t="s">
        <v>2365</v>
      </c>
      <c r="BK1194" t="s">
        <v>2365</v>
      </c>
      <c r="BL1194" t="s">
        <v>2365</v>
      </c>
      <c r="BM1194" t="s">
        <v>2365</v>
      </c>
      <c r="BO1194">
        <v>1</v>
      </c>
      <c r="BP1194">
        <v>11</v>
      </c>
      <c r="BQ1194" t="s">
        <v>2369</v>
      </c>
      <c r="BR1194" t="s">
        <v>1487</v>
      </c>
      <c r="BU1194">
        <v>0</v>
      </c>
      <c r="BV1194">
        <v>0</v>
      </c>
      <c r="BW1194" s="1371">
        <v>0</v>
      </c>
      <c r="BX1194" s="1372">
        <v>0</v>
      </c>
      <c r="BY1194">
        <v>0</v>
      </c>
      <c r="BZ1194">
        <v>0</v>
      </c>
      <c r="CA1194">
        <v>0</v>
      </c>
      <c r="CB1194">
        <v>0</v>
      </c>
      <c r="CC1194">
        <v>0</v>
      </c>
      <c r="CD1194">
        <v>0</v>
      </c>
      <c r="CE1194">
        <v>0</v>
      </c>
      <c r="CF1194">
        <v>0</v>
      </c>
      <c r="CG1194">
        <v>0</v>
      </c>
      <c r="CH1194">
        <v>0</v>
      </c>
      <c r="CI1194">
        <v>0</v>
      </c>
      <c r="CJ1194">
        <v>0</v>
      </c>
      <c r="CK1194">
        <v>0</v>
      </c>
      <c r="CL1194">
        <v>0</v>
      </c>
      <c r="CM1194">
        <v>0</v>
      </c>
      <c r="CR1194" t="s">
        <v>2324</v>
      </c>
      <c r="CS1194" s="1369" t="str">
        <f>INDEX([8]Sheet1!$H:$H,MATCH(CR:CR,[8]Sheet1!$AU:$AU,0))</f>
        <v>Finance</v>
      </c>
    </row>
    <row r="1195" spans="1:97" x14ac:dyDescent="0.2">
      <c r="A1195" t="s">
        <v>4130</v>
      </c>
      <c r="B1195">
        <v>1273</v>
      </c>
      <c r="C1195" t="s">
        <v>4130</v>
      </c>
      <c r="D1195">
        <v>30504</v>
      </c>
      <c r="E1195" t="s">
        <v>4131</v>
      </c>
      <c r="F1195" t="s">
        <v>2364</v>
      </c>
      <c r="G1195" t="s">
        <v>2364</v>
      </c>
      <c r="H1195" t="s">
        <v>2365</v>
      </c>
      <c r="I1195" t="s">
        <v>2365</v>
      </c>
      <c r="J1195" t="s">
        <v>2365</v>
      </c>
      <c r="K1195" t="s">
        <v>2365</v>
      </c>
      <c r="L1195">
        <v>1200</v>
      </c>
      <c r="M1195" t="s">
        <v>1480</v>
      </c>
      <c r="N1195">
        <v>1204</v>
      </c>
      <c r="O1195" t="s">
        <v>1487</v>
      </c>
      <c r="P1195" t="s">
        <v>2366</v>
      </c>
      <c r="Q1195" t="s">
        <v>2364</v>
      </c>
      <c r="R1195" t="s">
        <v>2364</v>
      </c>
      <c r="S1195" t="s">
        <v>553</v>
      </c>
      <c r="T1195" t="s">
        <v>2175</v>
      </c>
      <c r="U1195">
        <v>140</v>
      </c>
      <c r="V1195" t="s">
        <v>693</v>
      </c>
      <c r="W1195">
        <v>140</v>
      </c>
      <c r="X1195" t="s">
        <v>693</v>
      </c>
      <c r="Y1195" t="s">
        <v>2365</v>
      </c>
      <c r="Z1195" t="s">
        <v>2365</v>
      </c>
      <c r="AA1195" t="s">
        <v>2365</v>
      </c>
      <c r="AB1195" t="s">
        <v>2365</v>
      </c>
      <c r="AC1195" s="813" t="s">
        <v>2365</v>
      </c>
      <c r="AD1195" s="813" t="s">
        <v>2365</v>
      </c>
      <c r="AE1195" s="813" t="s">
        <v>2365</v>
      </c>
      <c r="AF1195" t="s">
        <v>2365</v>
      </c>
      <c r="AG1195" t="s">
        <v>2365</v>
      </c>
      <c r="AH1195" t="s">
        <v>2365</v>
      </c>
      <c r="AI1195" t="s">
        <v>2365</v>
      </c>
      <c r="AJ1195" t="s">
        <v>2365</v>
      </c>
      <c r="AK1195" t="s">
        <v>2366</v>
      </c>
      <c r="AL1195" t="s">
        <v>2366</v>
      </c>
      <c r="AM1195" t="s">
        <v>2366</v>
      </c>
      <c r="AN1195" t="s">
        <v>2366</v>
      </c>
      <c r="AR1195" t="s">
        <v>2365</v>
      </c>
      <c r="AS1195" t="s">
        <v>2365</v>
      </c>
      <c r="AT1195" t="s">
        <v>2365</v>
      </c>
      <c r="AU1195" t="s">
        <v>2365</v>
      </c>
      <c r="AV1195" t="s">
        <v>2365</v>
      </c>
      <c r="AW1195" t="s">
        <v>2365</v>
      </c>
      <c r="AX1195" t="s">
        <v>2365</v>
      </c>
      <c r="AY1195" t="s">
        <v>2365</v>
      </c>
      <c r="AZ1195" t="s">
        <v>2365</v>
      </c>
      <c r="BA1195" t="s">
        <v>2365</v>
      </c>
      <c r="BB1195" t="s">
        <v>2365</v>
      </c>
      <c r="BC1195" t="s">
        <v>2365</v>
      </c>
      <c r="BD1195" t="s">
        <v>2366</v>
      </c>
      <c r="BE1195" t="s">
        <v>2365</v>
      </c>
      <c r="BF1195" t="s">
        <v>2365</v>
      </c>
      <c r="BG1195" t="s">
        <v>2365</v>
      </c>
      <c r="BH1195" t="s">
        <v>2365</v>
      </c>
      <c r="BI1195" t="s">
        <v>2366</v>
      </c>
      <c r="BJ1195" t="s">
        <v>2365</v>
      </c>
      <c r="BK1195" t="s">
        <v>2365</v>
      </c>
      <c r="BL1195" t="s">
        <v>2365</v>
      </c>
      <c r="BM1195" t="s">
        <v>2365</v>
      </c>
      <c r="BO1195">
        <v>1</v>
      </c>
      <c r="BP1195">
        <v>11</v>
      </c>
      <c r="BQ1195" t="s">
        <v>2369</v>
      </c>
      <c r="BR1195" t="s">
        <v>1487</v>
      </c>
      <c r="BU1195">
        <v>0</v>
      </c>
      <c r="BV1195">
        <v>0</v>
      </c>
      <c r="BW1195" s="1371">
        <v>0</v>
      </c>
      <c r="BX1195" s="1372">
        <v>0</v>
      </c>
      <c r="BY1195">
        <v>0</v>
      </c>
      <c r="BZ1195">
        <v>0</v>
      </c>
      <c r="CA1195">
        <v>0</v>
      </c>
      <c r="CB1195">
        <v>0</v>
      </c>
      <c r="CC1195">
        <v>0</v>
      </c>
      <c r="CD1195">
        <v>0</v>
      </c>
      <c r="CE1195">
        <v>0</v>
      </c>
      <c r="CF1195">
        <v>0</v>
      </c>
      <c r="CG1195">
        <v>0</v>
      </c>
      <c r="CH1195">
        <v>0</v>
      </c>
      <c r="CI1195">
        <v>0</v>
      </c>
      <c r="CJ1195">
        <v>0</v>
      </c>
      <c r="CK1195">
        <v>0</v>
      </c>
      <c r="CL1195">
        <v>0</v>
      </c>
      <c r="CM1195">
        <v>0</v>
      </c>
      <c r="CR1195" t="s">
        <v>2324</v>
      </c>
      <c r="CS1195" s="1369" t="str">
        <f>INDEX([8]Sheet1!$H:$H,MATCH(CR:CR,[8]Sheet1!$AU:$AU,0))</f>
        <v>Finance</v>
      </c>
    </row>
    <row r="1196" spans="1:97" x14ac:dyDescent="0.2">
      <c r="A1196" t="s">
        <v>4132</v>
      </c>
      <c r="B1196">
        <v>1274</v>
      </c>
      <c r="C1196" t="s">
        <v>4132</v>
      </c>
      <c r="D1196">
        <v>30505</v>
      </c>
      <c r="E1196" t="s">
        <v>4133</v>
      </c>
      <c r="F1196" t="s">
        <v>2364</v>
      </c>
      <c r="G1196" t="s">
        <v>2364</v>
      </c>
      <c r="H1196" t="s">
        <v>2365</v>
      </c>
      <c r="I1196" t="s">
        <v>2365</v>
      </c>
      <c r="J1196" t="s">
        <v>2365</v>
      </c>
      <c r="K1196" t="s">
        <v>2365</v>
      </c>
      <c r="L1196">
        <v>1200</v>
      </c>
      <c r="M1196" t="s">
        <v>1480</v>
      </c>
      <c r="N1196">
        <v>1204</v>
      </c>
      <c r="O1196" t="s">
        <v>1487</v>
      </c>
      <c r="P1196" t="s">
        <v>2366</v>
      </c>
      <c r="Q1196" t="s">
        <v>2364</v>
      </c>
      <c r="R1196" t="s">
        <v>2364</v>
      </c>
      <c r="S1196" t="s">
        <v>553</v>
      </c>
      <c r="T1196" t="s">
        <v>2175</v>
      </c>
      <c r="U1196">
        <v>140</v>
      </c>
      <c r="V1196" t="s">
        <v>693</v>
      </c>
      <c r="W1196">
        <v>140</v>
      </c>
      <c r="X1196" t="s">
        <v>693</v>
      </c>
      <c r="Y1196" t="s">
        <v>2365</v>
      </c>
      <c r="Z1196" t="s">
        <v>2365</v>
      </c>
      <c r="AA1196" t="s">
        <v>2365</v>
      </c>
      <c r="AB1196" t="s">
        <v>2365</v>
      </c>
      <c r="AC1196" s="813" t="s">
        <v>2365</v>
      </c>
      <c r="AD1196" s="813" t="s">
        <v>2365</v>
      </c>
      <c r="AE1196" s="813" t="s">
        <v>2365</v>
      </c>
      <c r="AF1196" t="s">
        <v>2365</v>
      </c>
      <c r="AG1196" t="s">
        <v>2365</v>
      </c>
      <c r="AH1196" t="s">
        <v>2365</v>
      </c>
      <c r="AI1196" t="s">
        <v>2365</v>
      </c>
      <c r="AJ1196" t="s">
        <v>2365</v>
      </c>
      <c r="AK1196" t="s">
        <v>2366</v>
      </c>
      <c r="AL1196" t="s">
        <v>2366</v>
      </c>
      <c r="AM1196" t="s">
        <v>2366</v>
      </c>
      <c r="AN1196" t="s">
        <v>2366</v>
      </c>
      <c r="AR1196" t="s">
        <v>2365</v>
      </c>
      <c r="AS1196" t="s">
        <v>2365</v>
      </c>
      <c r="AT1196" t="s">
        <v>2365</v>
      </c>
      <c r="AU1196" t="s">
        <v>2365</v>
      </c>
      <c r="AV1196" t="s">
        <v>2365</v>
      </c>
      <c r="AW1196" t="s">
        <v>2365</v>
      </c>
      <c r="AX1196" t="s">
        <v>2365</v>
      </c>
      <c r="AY1196" t="s">
        <v>2365</v>
      </c>
      <c r="AZ1196" t="s">
        <v>2365</v>
      </c>
      <c r="BA1196" t="s">
        <v>2365</v>
      </c>
      <c r="BB1196" t="s">
        <v>2365</v>
      </c>
      <c r="BC1196" t="s">
        <v>2365</v>
      </c>
      <c r="BD1196" t="s">
        <v>2366</v>
      </c>
      <c r="BE1196" t="s">
        <v>2365</v>
      </c>
      <c r="BF1196" t="s">
        <v>2365</v>
      </c>
      <c r="BG1196" t="s">
        <v>2365</v>
      </c>
      <c r="BH1196" t="s">
        <v>2365</v>
      </c>
      <c r="BI1196" t="s">
        <v>2366</v>
      </c>
      <c r="BJ1196" t="s">
        <v>2365</v>
      </c>
      <c r="BK1196" t="s">
        <v>2365</v>
      </c>
      <c r="BL1196" t="s">
        <v>2365</v>
      </c>
      <c r="BM1196" t="s">
        <v>2365</v>
      </c>
      <c r="BO1196">
        <v>1</v>
      </c>
      <c r="BP1196">
        <v>11</v>
      </c>
      <c r="BQ1196" t="s">
        <v>2369</v>
      </c>
      <c r="BR1196" t="s">
        <v>1487</v>
      </c>
      <c r="BU1196">
        <v>0</v>
      </c>
      <c r="BV1196">
        <v>0</v>
      </c>
      <c r="BW1196" s="1371">
        <v>0</v>
      </c>
      <c r="BX1196" s="1372">
        <v>0</v>
      </c>
      <c r="BY1196" s="1371">
        <v>0</v>
      </c>
      <c r="BZ1196" s="1371">
        <v>0</v>
      </c>
      <c r="CA1196">
        <v>0</v>
      </c>
      <c r="CB1196">
        <v>0</v>
      </c>
      <c r="CC1196">
        <v>0</v>
      </c>
      <c r="CD1196">
        <v>0</v>
      </c>
      <c r="CE1196">
        <v>0</v>
      </c>
      <c r="CF1196">
        <v>0</v>
      </c>
      <c r="CG1196">
        <v>0</v>
      </c>
      <c r="CH1196">
        <v>0</v>
      </c>
      <c r="CI1196">
        <v>0</v>
      </c>
      <c r="CJ1196">
        <v>0</v>
      </c>
      <c r="CK1196">
        <v>0</v>
      </c>
      <c r="CL1196">
        <v>0</v>
      </c>
      <c r="CM1196">
        <v>0</v>
      </c>
      <c r="CR1196" t="s">
        <v>2324</v>
      </c>
      <c r="CS1196" s="1369" t="str">
        <f>INDEX([8]Sheet1!$H:$H,MATCH(CR:CR,[8]Sheet1!$AU:$AU,0))</f>
        <v>Finance</v>
      </c>
    </row>
    <row r="1197" spans="1:97" x14ac:dyDescent="0.2">
      <c r="A1197" t="s">
        <v>4134</v>
      </c>
      <c r="B1197">
        <v>1275</v>
      </c>
      <c r="C1197" t="s">
        <v>4134</v>
      </c>
      <c r="D1197">
        <v>30506</v>
      </c>
      <c r="E1197" t="s">
        <v>4135</v>
      </c>
      <c r="F1197" t="s">
        <v>2364</v>
      </c>
      <c r="G1197" t="s">
        <v>2364</v>
      </c>
      <c r="H1197" t="s">
        <v>2365</v>
      </c>
      <c r="I1197" t="s">
        <v>2365</v>
      </c>
      <c r="J1197" t="s">
        <v>2365</v>
      </c>
      <c r="K1197" t="s">
        <v>2365</v>
      </c>
      <c r="L1197">
        <v>1200</v>
      </c>
      <c r="M1197" t="s">
        <v>1480</v>
      </c>
      <c r="N1197">
        <v>1204</v>
      </c>
      <c r="O1197" t="s">
        <v>1487</v>
      </c>
      <c r="P1197" t="s">
        <v>2366</v>
      </c>
      <c r="Q1197" t="s">
        <v>2364</v>
      </c>
      <c r="R1197" t="s">
        <v>2364</v>
      </c>
      <c r="S1197" t="s">
        <v>553</v>
      </c>
      <c r="T1197" t="s">
        <v>2175</v>
      </c>
      <c r="U1197">
        <v>140</v>
      </c>
      <c r="V1197" t="s">
        <v>693</v>
      </c>
      <c r="W1197">
        <v>140</v>
      </c>
      <c r="X1197" t="s">
        <v>693</v>
      </c>
      <c r="Y1197" t="s">
        <v>2365</v>
      </c>
      <c r="Z1197" t="s">
        <v>2365</v>
      </c>
      <c r="AA1197" t="s">
        <v>2365</v>
      </c>
      <c r="AB1197" t="s">
        <v>2365</v>
      </c>
      <c r="AC1197" s="813" t="s">
        <v>2365</v>
      </c>
      <c r="AD1197" s="813" t="s">
        <v>2365</v>
      </c>
      <c r="AE1197" s="813" t="s">
        <v>2365</v>
      </c>
      <c r="AF1197" t="s">
        <v>2365</v>
      </c>
      <c r="AG1197" t="s">
        <v>2365</v>
      </c>
      <c r="AH1197" t="s">
        <v>2365</v>
      </c>
      <c r="AI1197" t="s">
        <v>2365</v>
      </c>
      <c r="AJ1197" t="s">
        <v>2365</v>
      </c>
      <c r="AK1197">
        <v>147</v>
      </c>
      <c r="AL1197" t="s">
        <v>1200</v>
      </c>
      <c r="AM1197">
        <v>147</v>
      </c>
      <c r="AN1197" t="s">
        <v>1200</v>
      </c>
      <c r="AR1197" t="s">
        <v>2365</v>
      </c>
      <c r="AS1197" t="s">
        <v>2365</v>
      </c>
      <c r="AT1197" t="s">
        <v>2365</v>
      </c>
      <c r="AU1197" t="s">
        <v>2365</v>
      </c>
      <c r="AV1197" t="s">
        <v>2365</v>
      </c>
      <c r="AW1197" t="s">
        <v>2365</v>
      </c>
      <c r="AX1197" t="s">
        <v>2365</v>
      </c>
      <c r="AY1197" t="s">
        <v>2365</v>
      </c>
      <c r="AZ1197" t="s">
        <v>2365</v>
      </c>
      <c r="BA1197" t="s">
        <v>2365</v>
      </c>
      <c r="BB1197" t="s">
        <v>2365</v>
      </c>
      <c r="BC1197" t="s">
        <v>2365</v>
      </c>
      <c r="BD1197" t="s">
        <v>2366</v>
      </c>
      <c r="BE1197" t="s">
        <v>2365</v>
      </c>
      <c r="BF1197" t="s">
        <v>2365</v>
      </c>
      <c r="BG1197" t="s">
        <v>2365</v>
      </c>
      <c r="BH1197" t="s">
        <v>2365</v>
      </c>
      <c r="BI1197" t="s">
        <v>2366</v>
      </c>
      <c r="BJ1197" t="s">
        <v>2365</v>
      </c>
      <c r="BK1197" t="s">
        <v>2365</v>
      </c>
      <c r="BL1197" t="s">
        <v>2365</v>
      </c>
      <c r="BM1197" t="s">
        <v>2365</v>
      </c>
      <c r="BO1197">
        <v>1</v>
      </c>
      <c r="BP1197">
        <v>11</v>
      </c>
      <c r="BQ1197" t="s">
        <v>2369</v>
      </c>
      <c r="BR1197" t="s">
        <v>1487</v>
      </c>
      <c r="BU1197">
        <v>0</v>
      </c>
      <c r="BV1197">
        <v>0</v>
      </c>
      <c r="BW1197" s="1371">
        <v>0</v>
      </c>
      <c r="BX1197" s="1372">
        <v>0</v>
      </c>
      <c r="BY1197">
        <v>0</v>
      </c>
      <c r="BZ1197">
        <v>0</v>
      </c>
      <c r="CA1197">
        <v>0</v>
      </c>
      <c r="CB1197">
        <v>0</v>
      </c>
      <c r="CC1197">
        <v>0</v>
      </c>
      <c r="CD1197">
        <v>0</v>
      </c>
      <c r="CE1197">
        <v>0</v>
      </c>
      <c r="CF1197">
        <v>0</v>
      </c>
      <c r="CG1197">
        <v>0</v>
      </c>
      <c r="CH1197">
        <v>0</v>
      </c>
      <c r="CI1197">
        <v>0</v>
      </c>
      <c r="CJ1197">
        <v>0</v>
      </c>
      <c r="CK1197">
        <v>0</v>
      </c>
      <c r="CL1197">
        <v>0</v>
      </c>
      <c r="CM1197">
        <v>0</v>
      </c>
      <c r="CR1197" t="s">
        <v>2324</v>
      </c>
      <c r="CS1197" s="1369" t="str">
        <f>INDEX([8]Sheet1!$H:$H,MATCH(CR:CR,[8]Sheet1!$AU:$AU,0))</f>
        <v>Finance</v>
      </c>
    </row>
    <row r="1198" spans="1:97" x14ac:dyDescent="0.2">
      <c r="A1198" t="s">
        <v>4136</v>
      </c>
      <c r="B1198">
        <v>1276</v>
      </c>
      <c r="C1198" t="s">
        <v>4136</v>
      </c>
      <c r="D1198">
        <v>30507</v>
      </c>
      <c r="E1198" t="s">
        <v>4137</v>
      </c>
      <c r="F1198" t="s">
        <v>2364</v>
      </c>
      <c r="G1198" t="s">
        <v>2364</v>
      </c>
      <c r="H1198" t="s">
        <v>2365</v>
      </c>
      <c r="I1198" t="s">
        <v>2365</v>
      </c>
      <c r="J1198" t="s">
        <v>2365</v>
      </c>
      <c r="K1198" t="s">
        <v>2365</v>
      </c>
      <c r="L1198">
        <v>1200</v>
      </c>
      <c r="M1198" t="s">
        <v>1480</v>
      </c>
      <c r="N1198">
        <v>1204</v>
      </c>
      <c r="O1198" t="s">
        <v>1487</v>
      </c>
      <c r="P1198" t="s">
        <v>2366</v>
      </c>
      <c r="Q1198" t="s">
        <v>2364</v>
      </c>
      <c r="R1198" t="s">
        <v>2364</v>
      </c>
      <c r="S1198" t="s">
        <v>553</v>
      </c>
      <c r="T1198" t="s">
        <v>2175</v>
      </c>
      <c r="U1198">
        <v>140</v>
      </c>
      <c r="V1198" t="s">
        <v>693</v>
      </c>
      <c r="W1198">
        <v>140</v>
      </c>
      <c r="X1198" t="s">
        <v>693</v>
      </c>
      <c r="Y1198" t="s">
        <v>2365</v>
      </c>
      <c r="Z1198" t="s">
        <v>2365</v>
      </c>
      <c r="AA1198" t="s">
        <v>2365</v>
      </c>
      <c r="AB1198" t="s">
        <v>2365</v>
      </c>
      <c r="AC1198" s="813" t="s">
        <v>2365</v>
      </c>
      <c r="AD1198" s="813" t="s">
        <v>2365</v>
      </c>
      <c r="AE1198" s="813" t="s">
        <v>2365</v>
      </c>
      <c r="AF1198" t="s">
        <v>2365</v>
      </c>
      <c r="AG1198" t="s">
        <v>2365</v>
      </c>
      <c r="AH1198" t="s">
        <v>2365</v>
      </c>
      <c r="AI1198" t="s">
        <v>2365</v>
      </c>
      <c r="AJ1198" t="s">
        <v>2365</v>
      </c>
      <c r="AK1198" t="s">
        <v>2366</v>
      </c>
      <c r="AL1198" t="s">
        <v>2366</v>
      </c>
      <c r="AM1198" t="s">
        <v>2366</v>
      </c>
      <c r="AN1198" t="s">
        <v>2366</v>
      </c>
      <c r="AR1198" t="s">
        <v>2365</v>
      </c>
      <c r="AS1198" t="s">
        <v>2365</v>
      </c>
      <c r="AT1198" t="s">
        <v>2365</v>
      </c>
      <c r="AU1198" t="s">
        <v>2365</v>
      </c>
      <c r="AV1198" t="s">
        <v>2365</v>
      </c>
      <c r="AW1198" t="s">
        <v>2365</v>
      </c>
      <c r="AX1198" t="s">
        <v>2365</v>
      </c>
      <c r="AY1198" t="s">
        <v>2365</v>
      </c>
      <c r="AZ1198" t="s">
        <v>2365</v>
      </c>
      <c r="BA1198" t="s">
        <v>2365</v>
      </c>
      <c r="BB1198" t="s">
        <v>2365</v>
      </c>
      <c r="BC1198" t="s">
        <v>2365</v>
      </c>
      <c r="BD1198" t="s">
        <v>2366</v>
      </c>
      <c r="BE1198" t="s">
        <v>2365</v>
      </c>
      <c r="BF1198" t="s">
        <v>2365</v>
      </c>
      <c r="BG1198" t="s">
        <v>2365</v>
      </c>
      <c r="BH1198" t="s">
        <v>2365</v>
      </c>
      <c r="BI1198" t="s">
        <v>2366</v>
      </c>
      <c r="BJ1198" t="s">
        <v>2365</v>
      </c>
      <c r="BK1198" t="s">
        <v>2365</v>
      </c>
      <c r="BL1198" t="s">
        <v>2365</v>
      </c>
      <c r="BM1198" t="s">
        <v>2365</v>
      </c>
      <c r="BO1198">
        <v>1</v>
      </c>
      <c r="BP1198">
        <v>11</v>
      </c>
      <c r="BQ1198" t="s">
        <v>2369</v>
      </c>
      <c r="BR1198" t="s">
        <v>1487</v>
      </c>
      <c r="BU1198">
        <v>0</v>
      </c>
      <c r="BV1198">
        <v>0</v>
      </c>
      <c r="BW1198">
        <v>0</v>
      </c>
      <c r="BX1198">
        <v>0</v>
      </c>
      <c r="BY1198">
        <v>0</v>
      </c>
      <c r="BZ1198">
        <v>0</v>
      </c>
      <c r="CA1198">
        <v>0</v>
      </c>
      <c r="CB1198">
        <v>0</v>
      </c>
      <c r="CC1198">
        <v>0</v>
      </c>
      <c r="CD1198">
        <v>0</v>
      </c>
      <c r="CE1198">
        <v>0</v>
      </c>
      <c r="CF1198">
        <v>0</v>
      </c>
      <c r="CG1198">
        <v>0</v>
      </c>
      <c r="CH1198">
        <v>0</v>
      </c>
      <c r="CI1198">
        <v>0</v>
      </c>
      <c r="CJ1198">
        <v>0</v>
      </c>
      <c r="CK1198">
        <v>0</v>
      </c>
      <c r="CL1198">
        <v>0</v>
      </c>
      <c r="CM1198">
        <v>0</v>
      </c>
      <c r="CR1198" t="s">
        <v>2324</v>
      </c>
      <c r="CS1198" s="1369" t="str">
        <f>INDEX([8]Sheet1!$H:$H,MATCH(CR:CR,[8]Sheet1!$AU:$AU,0))</f>
        <v>Finance</v>
      </c>
    </row>
    <row r="1199" spans="1:97" x14ac:dyDescent="0.2">
      <c r="A1199" t="s">
        <v>4138</v>
      </c>
      <c r="B1199">
        <v>1277</v>
      </c>
      <c r="C1199" t="s">
        <v>4138</v>
      </c>
      <c r="D1199">
        <v>30508</v>
      </c>
      <c r="E1199" t="s">
        <v>4139</v>
      </c>
      <c r="F1199" t="s">
        <v>2364</v>
      </c>
      <c r="G1199" t="s">
        <v>2364</v>
      </c>
      <c r="H1199" t="s">
        <v>2365</v>
      </c>
      <c r="I1199" t="s">
        <v>2365</v>
      </c>
      <c r="J1199" t="s">
        <v>2365</v>
      </c>
      <c r="K1199" t="s">
        <v>2365</v>
      </c>
      <c r="L1199">
        <v>1200</v>
      </c>
      <c r="M1199" t="s">
        <v>1480</v>
      </c>
      <c r="N1199">
        <v>1204</v>
      </c>
      <c r="O1199" t="s">
        <v>1487</v>
      </c>
      <c r="P1199" t="s">
        <v>2366</v>
      </c>
      <c r="Q1199" t="s">
        <v>2364</v>
      </c>
      <c r="R1199" t="s">
        <v>2364</v>
      </c>
      <c r="S1199" t="s">
        <v>553</v>
      </c>
      <c r="T1199" t="s">
        <v>2175</v>
      </c>
      <c r="U1199">
        <v>140</v>
      </c>
      <c r="V1199" t="s">
        <v>693</v>
      </c>
      <c r="W1199">
        <v>140</v>
      </c>
      <c r="X1199" t="s">
        <v>693</v>
      </c>
      <c r="Y1199" t="s">
        <v>2365</v>
      </c>
      <c r="Z1199" t="s">
        <v>2365</v>
      </c>
      <c r="AA1199" t="s">
        <v>2365</v>
      </c>
      <c r="AB1199" t="s">
        <v>2365</v>
      </c>
      <c r="AC1199" s="813" t="s">
        <v>2365</v>
      </c>
      <c r="AD1199" s="813" t="s">
        <v>2365</v>
      </c>
      <c r="AE1199" s="813" t="s">
        <v>2365</v>
      </c>
      <c r="AF1199" t="s">
        <v>2365</v>
      </c>
      <c r="AG1199" t="s">
        <v>2365</v>
      </c>
      <c r="AH1199" t="s">
        <v>2365</v>
      </c>
      <c r="AI1199" t="s">
        <v>2365</v>
      </c>
      <c r="AJ1199" t="s">
        <v>2365</v>
      </c>
      <c r="AK1199" t="s">
        <v>2366</v>
      </c>
      <c r="AL1199" t="s">
        <v>2366</v>
      </c>
      <c r="AM1199" t="s">
        <v>2366</v>
      </c>
      <c r="AN1199" t="s">
        <v>2366</v>
      </c>
      <c r="AR1199" t="s">
        <v>2365</v>
      </c>
      <c r="AS1199" t="s">
        <v>2365</v>
      </c>
      <c r="AT1199" t="s">
        <v>2365</v>
      </c>
      <c r="AU1199" t="s">
        <v>2365</v>
      </c>
      <c r="AV1199" t="s">
        <v>2365</v>
      </c>
      <c r="AW1199" t="s">
        <v>2365</v>
      </c>
      <c r="AX1199" t="s">
        <v>2365</v>
      </c>
      <c r="AY1199" t="s">
        <v>2365</v>
      </c>
      <c r="AZ1199" t="s">
        <v>2365</v>
      </c>
      <c r="BA1199" t="s">
        <v>2365</v>
      </c>
      <c r="BB1199" t="s">
        <v>2365</v>
      </c>
      <c r="BC1199" t="s">
        <v>2365</v>
      </c>
      <c r="BD1199" t="s">
        <v>2366</v>
      </c>
      <c r="BE1199" t="s">
        <v>2365</v>
      </c>
      <c r="BF1199" t="s">
        <v>2365</v>
      </c>
      <c r="BG1199" t="s">
        <v>2365</v>
      </c>
      <c r="BH1199" t="s">
        <v>2365</v>
      </c>
      <c r="BI1199" t="s">
        <v>2366</v>
      </c>
      <c r="BJ1199" t="s">
        <v>2365</v>
      </c>
      <c r="BK1199" t="s">
        <v>2365</v>
      </c>
      <c r="BL1199" t="s">
        <v>2365</v>
      </c>
      <c r="BM1199" t="s">
        <v>2365</v>
      </c>
      <c r="BO1199">
        <v>1</v>
      </c>
      <c r="BP1199">
        <v>11</v>
      </c>
      <c r="BQ1199" t="s">
        <v>2369</v>
      </c>
      <c r="BR1199" t="s">
        <v>1487</v>
      </c>
      <c r="BU1199">
        <v>0</v>
      </c>
      <c r="BV1199">
        <v>0</v>
      </c>
      <c r="BW1199">
        <v>0</v>
      </c>
      <c r="BX1199">
        <v>0</v>
      </c>
      <c r="BY1199" s="1371">
        <v>0</v>
      </c>
      <c r="BZ1199" s="1371">
        <v>0</v>
      </c>
      <c r="CA1199">
        <v>0</v>
      </c>
      <c r="CB1199">
        <v>0</v>
      </c>
      <c r="CC1199">
        <v>0</v>
      </c>
      <c r="CD1199">
        <v>0</v>
      </c>
      <c r="CE1199">
        <v>0</v>
      </c>
      <c r="CF1199">
        <v>0</v>
      </c>
      <c r="CG1199">
        <v>0</v>
      </c>
      <c r="CH1199">
        <v>0</v>
      </c>
      <c r="CI1199">
        <v>0</v>
      </c>
      <c r="CJ1199">
        <v>0</v>
      </c>
      <c r="CK1199">
        <v>0</v>
      </c>
      <c r="CL1199">
        <v>0</v>
      </c>
      <c r="CM1199">
        <v>0</v>
      </c>
      <c r="CR1199" t="s">
        <v>2324</v>
      </c>
      <c r="CS1199" s="1369" t="str">
        <f>INDEX([8]Sheet1!$H:$H,MATCH(CR:CR,[8]Sheet1!$AU:$AU,0))</f>
        <v>Finance</v>
      </c>
    </row>
    <row r="1200" spans="1:97" x14ac:dyDescent="0.2">
      <c r="A1200" t="s">
        <v>4140</v>
      </c>
      <c r="B1200">
        <v>1278</v>
      </c>
      <c r="C1200" t="s">
        <v>4140</v>
      </c>
      <c r="D1200">
        <v>30509</v>
      </c>
      <c r="E1200" t="s">
        <v>4141</v>
      </c>
      <c r="F1200" t="s">
        <v>2364</v>
      </c>
      <c r="G1200" t="s">
        <v>2364</v>
      </c>
      <c r="H1200" t="s">
        <v>2365</v>
      </c>
      <c r="I1200" t="s">
        <v>2365</v>
      </c>
      <c r="J1200" t="s">
        <v>2365</v>
      </c>
      <c r="K1200" t="s">
        <v>2365</v>
      </c>
      <c r="L1200">
        <v>1200</v>
      </c>
      <c r="M1200" t="s">
        <v>1480</v>
      </c>
      <c r="N1200">
        <v>1204</v>
      </c>
      <c r="O1200" t="s">
        <v>1487</v>
      </c>
      <c r="P1200" t="s">
        <v>2366</v>
      </c>
      <c r="Q1200" t="s">
        <v>2364</v>
      </c>
      <c r="R1200" t="s">
        <v>2364</v>
      </c>
      <c r="S1200" t="s">
        <v>553</v>
      </c>
      <c r="T1200" t="s">
        <v>2175</v>
      </c>
      <c r="U1200">
        <v>140</v>
      </c>
      <c r="V1200" t="s">
        <v>693</v>
      </c>
      <c r="W1200">
        <v>140</v>
      </c>
      <c r="X1200" t="s">
        <v>693</v>
      </c>
      <c r="Y1200" t="s">
        <v>2365</v>
      </c>
      <c r="Z1200" t="s">
        <v>2365</v>
      </c>
      <c r="AA1200" t="s">
        <v>2365</v>
      </c>
      <c r="AB1200" t="s">
        <v>2365</v>
      </c>
      <c r="AC1200" s="813" t="s">
        <v>2365</v>
      </c>
      <c r="AD1200" s="813" t="s">
        <v>2365</v>
      </c>
      <c r="AE1200" s="813" t="s">
        <v>2365</v>
      </c>
      <c r="AF1200" t="s">
        <v>2365</v>
      </c>
      <c r="AG1200" t="s">
        <v>2365</v>
      </c>
      <c r="AH1200" t="s">
        <v>2365</v>
      </c>
      <c r="AI1200" t="s">
        <v>2365</v>
      </c>
      <c r="AJ1200" t="s">
        <v>2365</v>
      </c>
      <c r="AK1200" t="s">
        <v>2366</v>
      </c>
      <c r="AL1200" t="s">
        <v>2366</v>
      </c>
      <c r="AM1200" t="s">
        <v>2366</v>
      </c>
      <c r="AN1200" t="s">
        <v>2366</v>
      </c>
      <c r="AR1200" t="s">
        <v>2365</v>
      </c>
      <c r="AS1200" t="s">
        <v>2365</v>
      </c>
      <c r="AT1200" t="s">
        <v>2365</v>
      </c>
      <c r="AU1200" t="s">
        <v>2365</v>
      </c>
      <c r="AV1200" t="s">
        <v>2365</v>
      </c>
      <c r="AW1200" t="s">
        <v>2365</v>
      </c>
      <c r="AX1200" t="s">
        <v>2365</v>
      </c>
      <c r="AY1200" t="s">
        <v>2365</v>
      </c>
      <c r="AZ1200" t="s">
        <v>2365</v>
      </c>
      <c r="BA1200" t="s">
        <v>2365</v>
      </c>
      <c r="BB1200" t="s">
        <v>2365</v>
      </c>
      <c r="BC1200" t="s">
        <v>2365</v>
      </c>
      <c r="BD1200" t="s">
        <v>2366</v>
      </c>
      <c r="BE1200" t="s">
        <v>2365</v>
      </c>
      <c r="BF1200" t="s">
        <v>2365</v>
      </c>
      <c r="BG1200" t="s">
        <v>2365</v>
      </c>
      <c r="BH1200" t="s">
        <v>2365</v>
      </c>
      <c r="BI1200" t="s">
        <v>2366</v>
      </c>
      <c r="BJ1200" t="s">
        <v>2365</v>
      </c>
      <c r="BK1200" t="s">
        <v>2365</v>
      </c>
      <c r="BL1200" t="s">
        <v>2365</v>
      </c>
      <c r="BM1200" t="s">
        <v>2365</v>
      </c>
      <c r="BO1200">
        <v>1</v>
      </c>
      <c r="BP1200">
        <v>11</v>
      </c>
      <c r="BQ1200" t="s">
        <v>2369</v>
      </c>
      <c r="BR1200" t="s">
        <v>1487</v>
      </c>
      <c r="BU1200">
        <v>0</v>
      </c>
      <c r="BV1200">
        <v>0</v>
      </c>
      <c r="BW1200" s="1371">
        <v>0</v>
      </c>
      <c r="BX1200" s="1372">
        <v>0</v>
      </c>
      <c r="BY1200">
        <v>0</v>
      </c>
      <c r="BZ1200">
        <v>0</v>
      </c>
      <c r="CA1200">
        <v>0</v>
      </c>
      <c r="CB1200">
        <v>0</v>
      </c>
      <c r="CC1200">
        <v>0</v>
      </c>
      <c r="CD1200">
        <v>0</v>
      </c>
      <c r="CE1200">
        <v>0</v>
      </c>
      <c r="CF1200">
        <v>0</v>
      </c>
      <c r="CG1200">
        <v>0</v>
      </c>
      <c r="CH1200">
        <v>0</v>
      </c>
      <c r="CI1200">
        <v>0</v>
      </c>
      <c r="CJ1200">
        <v>0</v>
      </c>
      <c r="CK1200">
        <v>0</v>
      </c>
      <c r="CL1200">
        <v>0</v>
      </c>
      <c r="CM1200">
        <v>0</v>
      </c>
      <c r="CR1200" t="s">
        <v>2324</v>
      </c>
      <c r="CS1200" s="1369" t="str">
        <f>INDEX([8]Sheet1!$H:$H,MATCH(CR:CR,[8]Sheet1!$AU:$AU,0))</f>
        <v>Finance</v>
      </c>
    </row>
    <row r="1201" spans="1:97" x14ac:dyDescent="0.2">
      <c r="A1201" t="s">
        <v>4142</v>
      </c>
      <c r="B1201">
        <v>1279</v>
      </c>
      <c r="C1201" t="s">
        <v>4142</v>
      </c>
      <c r="D1201">
        <v>30510</v>
      </c>
      <c r="E1201" t="s">
        <v>4143</v>
      </c>
      <c r="F1201" t="s">
        <v>2364</v>
      </c>
      <c r="G1201" t="s">
        <v>2364</v>
      </c>
      <c r="H1201" s="1373" t="s">
        <v>2365</v>
      </c>
      <c r="I1201" t="s">
        <v>2365</v>
      </c>
      <c r="J1201" t="s">
        <v>2365</v>
      </c>
      <c r="K1201" t="s">
        <v>2365</v>
      </c>
      <c r="L1201" s="1373">
        <v>1200</v>
      </c>
      <c r="M1201" t="s">
        <v>1480</v>
      </c>
      <c r="N1201">
        <v>1204</v>
      </c>
      <c r="O1201" t="s">
        <v>1487</v>
      </c>
      <c r="P1201" t="s">
        <v>2366</v>
      </c>
      <c r="Q1201" t="s">
        <v>2364</v>
      </c>
      <c r="R1201" t="s">
        <v>2364</v>
      </c>
      <c r="S1201" t="s">
        <v>553</v>
      </c>
      <c r="T1201" t="s">
        <v>2175</v>
      </c>
      <c r="U1201" t="s">
        <v>2366</v>
      </c>
      <c r="V1201" t="s">
        <v>2366</v>
      </c>
      <c r="W1201" t="s">
        <v>2366</v>
      </c>
      <c r="X1201" t="s">
        <v>2366</v>
      </c>
      <c r="Y1201" t="s">
        <v>2365</v>
      </c>
      <c r="Z1201" t="s">
        <v>2365</v>
      </c>
      <c r="AA1201" t="s">
        <v>2365</v>
      </c>
      <c r="AB1201" t="s">
        <v>2365</v>
      </c>
      <c r="AC1201" s="813" t="s">
        <v>2365</v>
      </c>
      <c r="AD1201" s="813" t="s">
        <v>2365</v>
      </c>
      <c r="AE1201" s="813" t="s">
        <v>2365</v>
      </c>
      <c r="AF1201" t="s">
        <v>2365</v>
      </c>
      <c r="AG1201" t="s">
        <v>2365</v>
      </c>
      <c r="AH1201" t="s">
        <v>2365</v>
      </c>
      <c r="AI1201" t="s">
        <v>2365</v>
      </c>
      <c r="AJ1201" t="s">
        <v>2365</v>
      </c>
      <c r="AK1201">
        <v>146</v>
      </c>
      <c r="AL1201" t="s">
        <v>1199</v>
      </c>
      <c r="AM1201">
        <v>146</v>
      </c>
      <c r="AN1201" t="s">
        <v>1199</v>
      </c>
      <c r="AR1201" t="s">
        <v>2365</v>
      </c>
      <c r="AS1201" t="s">
        <v>2365</v>
      </c>
      <c r="AT1201" t="s">
        <v>2365</v>
      </c>
      <c r="AU1201" t="s">
        <v>2365</v>
      </c>
      <c r="AV1201" t="s">
        <v>2365</v>
      </c>
      <c r="AW1201" t="s">
        <v>2365</v>
      </c>
      <c r="AX1201" t="s">
        <v>2365</v>
      </c>
      <c r="AY1201" t="s">
        <v>2365</v>
      </c>
      <c r="AZ1201" t="s">
        <v>2365</v>
      </c>
      <c r="BA1201" t="s">
        <v>2365</v>
      </c>
      <c r="BB1201" t="s">
        <v>2365</v>
      </c>
      <c r="BC1201" t="s">
        <v>2365</v>
      </c>
      <c r="BD1201" t="s">
        <v>2366</v>
      </c>
      <c r="BE1201" t="s">
        <v>2365</v>
      </c>
      <c r="BF1201" t="s">
        <v>2365</v>
      </c>
      <c r="BG1201" t="s">
        <v>2365</v>
      </c>
      <c r="BH1201" t="s">
        <v>2365</v>
      </c>
      <c r="BI1201" t="s">
        <v>2366</v>
      </c>
      <c r="BJ1201" t="s">
        <v>2365</v>
      </c>
      <c r="BK1201" t="s">
        <v>2365</v>
      </c>
      <c r="BL1201" t="s">
        <v>2365</v>
      </c>
      <c r="BM1201" t="s">
        <v>2365</v>
      </c>
      <c r="BO1201">
        <v>1</v>
      </c>
      <c r="BP1201">
        <v>11</v>
      </c>
      <c r="BQ1201" t="s">
        <v>2369</v>
      </c>
      <c r="BR1201" t="s">
        <v>1487</v>
      </c>
      <c r="BU1201" s="1371">
        <v>0</v>
      </c>
      <c r="BV1201" s="1371">
        <v>0</v>
      </c>
      <c r="BW1201" s="1371">
        <v>0</v>
      </c>
      <c r="BX1201" s="1371">
        <v>0</v>
      </c>
      <c r="BY1201" s="1371">
        <v>0</v>
      </c>
      <c r="BZ1201">
        <v>0</v>
      </c>
      <c r="CA1201">
        <v>0</v>
      </c>
      <c r="CB1201">
        <v>0</v>
      </c>
      <c r="CC1201">
        <v>0</v>
      </c>
      <c r="CD1201">
        <v>0</v>
      </c>
      <c r="CE1201">
        <v>0</v>
      </c>
      <c r="CF1201">
        <v>0</v>
      </c>
      <c r="CG1201">
        <v>0</v>
      </c>
      <c r="CH1201">
        <v>0</v>
      </c>
      <c r="CI1201">
        <v>0</v>
      </c>
      <c r="CJ1201">
        <v>0</v>
      </c>
      <c r="CK1201">
        <v>0</v>
      </c>
      <c r="CL1201">
        <v>0</v>
      </c>
      <c r="CM1201">
        <v>0</v>
      </c>
      <c r="CR1201" t="s">
        <v>2324</v>
      </c>
      <c r="CS1201" s="1369" t="str">
        <f>INDEX([8]Sheet1!$H:$H,MATCH(CR:CR,[8]Sheet1!$AU:$AU,0))</f>
        <v>Finance</v>
      </c>
    </row>
    <row r="1202" spans="1:97" x14ac:dyDescent="0.2">
      <c r="A1202" t="s">
        <v>4144</v>
      </c>
      <c r="B1202">
        <v>1280</v>
      </c>
      <c r="C1202" t="s">
        <v>4144</v>
      </c>
      <c r="D1202">
        <v>30511</v>
      </c>
      <c r="E1202" t="s">
        <v>4145</v>
      </c>
      <c r="F1202" t="s">
        <v>2364</v>
      </c>
      <c r="G1202" t="s">
        <v>2364</v>
      </c>
      <c r="H1202" s="1373" t="s">
        <v>2365</v>
      </c>
      <c r="I1202" t="s">
        <v>2365</v>
      </c>
      <c r="J1202" t="s">
        <v>2365</v>
      </c>
      <c r="K1202" t="s">
        <v>2365</v>
      </c>
      <c r="L1202" s="1373">
        <v>1200</v>
      </c>
      <c r="M1202" t="s">
        <v>1480</v>
      </c>
      <c r="N1202">
        <v>1204</v>
      </c>
      <c r="O1202" t="s">
        <v>1487</v>
      </c>
      <c r="P1202" t="s">
        <v>2366</v>
      </c>
      <c r="Q1202" t="s">
        <v>2364</v>
      </c>
      <c r="R1202" t="s">
        <v>2364</v>
      </c>
      <c r="S1202" t="s">
        <v>553</v>
      </c>
      <c r="T1202" t="s">
        <v>2175</v>
      </c>
      <c r="U1202" t="s">
        <v>2366</v>
      </c>
      <c r="V1202" t="s">
        <v>2366</v>
      </c>
      <c r="W1202" t="s">
        <v>2366</v>
      </c>
      <c r="X1202" t="s">
        <v>2366</v>
      </c>
      <c r="Y1202" t="s">
        <v>2365</v>
      </c>
      <c r="Z1202" t="s">
        <v>2365</v>
      </c>
      <c r="AA1202" t="s">
        <v>2365</v>
      </c>
      <c r="AB1202" t="s">
        <v>2365</v>
      </c>
      <c r="AC1202" s="813" t="s">
        <v>2365</v>
      </c>
      <c r="AD1202" s="813" t="s">
        <v>2365</v>
      </c>
      <c r="AE1202" s="813" t="s">
        <v>2365</v>
      </c>
      <c r="AF1202" t="s">
        <v>2365</v>
      </c>
      <c r="AG1202" t="s">
        <v>2365</v>
      </c>
      <c r="AH1202" t="s">
        <v>2365</v>
      </c>
      <c r="AI1202" t="s">
        <v>2365</v>
      </c>
      <c r="AJ1202" t="s">
        <v>2365</v>
      </c>
      <c r="AK1202">
        <v>146</v>
      </c>
      <c r="AL1202" t="s">
        <v>1199</v>
      </c>
      <c r="AM1202">
        <v>146</v>
      </c>
      <c r="AN1202" t="s">
        <v>1199</v>
      </c>
      <c r="AR1202" t="s">
        <v>2365</v>
      </c>
      <c r="AS1202" t="s">
        <v>2365</v>
      </c>
      <c r="AT1202" t="s">
        <v>2365</v>
      </c>
      <c r="AU1202" t="s">
        <v>2365</v>
      </c>
      <c r="AV1202" t="s">
        <v>2365</v>
      </c>
      <c r="AW1202" t="s">
        <v>2365</v>
      </c>
      <c r="AX1202" t="s">
        <v>2365</v>
      </c>
      <c r="AY1202" t="s">
        <v>2365</v>
      </c>
      <c r="AZ1202" t="s">
        <v>2365</v>
      </c>
      <c r="BA1202" t="s">
        <v>2365</v>
      </c>
      <c r="BB1202" t="s">
        <v>2365</v>
      </c>
      <c r="BC1202" t="s">
        <v>2365</v>
      </c>
      <c r="BD1202" t="s">
        <v>2366</v>
      </c>
      <c r="BE1202" t="s">
        <v>2365</v>
      </c>
      <c r="BF1202" t="s">
        <v>2365</v>
      </c>
      <c r="BG1202" t="s">
        <v>2365</v>
      </c>
      <c r="BH1202" t="s">
        <v>2365</v>
      </c>
      <c r="BI1202" t="s">
        <v>2366</v>
      </c>
      <c r="BJ1202" t="s">
        <v>2365</v>
      </c>
      <c r="BK1202" t="s">
        <v>2365</v>
      </c>
      <c r="BL1202" t="s">
        <v>2365</v>
      </c>
      <c r="BM1202" t="s">
        <v>2365</v>
      </c>
      <c r="BO1202">
        <v>1</v>
      </c>
      <c r="BP1202">
        <v>11</v>
      </c>
      <c r="BQ1202" t="s">
        <v>2369</v>
      </c>
      <c r="BR1202" t="s">
        <v>1487</v>
      </c>
      <c r="BU1202" s="1371">
        <v>0</v>
      </c>
      <c r="BV1202" s="1371">
        <v>0</v>
      </c>
      <c r="BW1202" s="1371">
        <v>0</v>
      </c>
      <c r="BX1202" s="1371">
        <v>0</v>
      </c>
      <c r="BY1202" s="1371">
        <v>0</v>
      </c>
      <c r="BZ1202" s="1371">
        <v>0</v>
      </c>
      <c r="CA1202">
        <v>0</v>
      </c>
      <c r="CB1202">
        <v>0</v>
      </c>
      <c r="CC1202">
        <v>0</v>
      </c>
      <c r="CD1202">
        <v>0</v>
      </c>
      <c r="CE1202">
        <v>0</v>
      </c>
      <c r="CF1202">
        <v>0</v>
      </c>
      <c r="CG1202">
        <v>0</v>
      </c>
      <c r="CH1202">
        <v>0</v>
      </c>
      <c r="CI1202">
        <v>0</v>
      </c>
      <c r="CJ1202">
        <v>0</v>
      </c>
      <c r="CK1202">
        <v>0</v>
      </c>
      <c r="CL1202">
        <v>0</v>
      </c>
      <c r="CM1202">
        <v>0</v>
      </c>
      <c r="CR1202" t="s">
        <v>2324</v>
      </c>
      <c r="CS1202" s="1369" t="str">
        <f>INDEX([8]Sheet1!$H:$H,MATCH(CR:CR,[8]Sheet1!$AU:$AU,0))</f>
        <v>Finance</v>
      </c>
    </row>
    <row r="1203" spans="1:97" x14ac:dyDescent="0.2">
      <c r="A1203" t="s">
        <v>4146</v>
      </c>
      <c r="B1203">
        <v>1281</v>
      </c>
      <c r="C1203" t="s">
        <v>4146</v>
      </c>
      <c r="D1203">
        <v>30512</v>
      </c>
      <c r="E1203" t="s">
        <v>4147</v>
      </c>
      <c r="F1203" t="s">
        <v>2364</v>
      </c>
      <c r="G1203" t="s">
        <v>2364</v>
      </c>
      <c r="H1203" t="s">
        <v>2365</v>
      </c>
      <c r="I1203" t="s">
        <v>2365</v>
      </c>
      <c r="J1203" t="s">
        <v>2365</v>
      </c>
      <c r="K1203" t="s">
        <v>2365</v>
      </c>
      <c r="L1203">
        <v>1200</v>
      </c>
      <c r="M1203" t="s">
        <v>1480</v>
      </c>
      <c r="N1203">
        <v>1204</v>
      </c>
      <c r="O1203" t="s">
        <v>1487</v>
      </c>
      <c r="P1203" t="s">
        <v>2366</v>
      </c>
      <c r="Q1203" t="s">
        <v>2364</v>
      </c>
      <c r="R1203" t="s">
        <v>2364</v>
      </c>
      <c r="S1203" t="s">
        <v>553</v>
      </c>
      <c r="T1203" t="s">
        <v>2175</v>
      </c>
      <c r="U1203">
        <v>140</v>
      </c>
      <c r="V1203" t="s">
        <v>693</v>
      </c>
      <c r="W1203">
        <v>140</v>
      </c>
      <c r="X1203" t="s">
        <v>693</v>
      </c>
      <c r="Y1203" t="s">
        <v>2365</v>
      </c>
      <c r="Z1203" t="s">
        <v>2365</v>
      </c>
      <c r="AA1203" t="s">
        <v>2365</v>
      </c>
      <c r="AB1203" t="s">
        <v>2365</v>
      </c>
      <c r="AC1203" s="813" t="s">
        <v>2365</v>
      </c>
      <c r="AD1203" s="813" t="s">
        <v>2365</v>
      </c>
      <c r="AE1203" s="813" t="s">
        <v>2365</v>
      </c>
      <c r="AF1203" t="s">
        <v>2365</v>
      </c>
      <c r="AG1203" t="s">
        <v>2365</v>
      </c>
      <c r="AH1203" t="s">
        <v>2365</v>
      </c>
      <c r="AI1203" t="s">
        <v>2365</v>
      </c>
      <c r="AJ1203" t="s">
        <v>2365</v>
      </c>
      <c r="AK1203" t="s">
        <v>2366</v>
      </c>
      <c r="AL1203" t="s">
        <v>2366</v>
      </c>
      <c r="AM1203" t="s">
        <v>2366</v>
      </c>
      <c r="AN1203" t="s">
        <v>2366</v>
      </c>
      <c r="AR1203" t="s">
        <v>2365</v>
      </c>
      <c r="AS1203" t="s">
        <v>2365</v>
      </c>
      <c r="AT1203" t="s">
        <v>2365</v>
      </c>
      <c r="AU1203" t="s">
        <v>2365</v>
      </c>
      <c r="AV1203" t="s">
        <v>2365</v>
      </c>
      <c r="AW1203" t="s">
        <v>2365</v>
      </c>
      <c r="AX1203" t="s">
        <v>2365</v>
      </c>
      <c r="AY1203" t="s">
        <v>2365</v>
      </c>
      <c r="AZ1203" t="s">
        <v>2365</v>
      </c>
      <c r="BA1203" t="s">
        <v>2365</v>
      </c>
      <c r="BB1203" t="s">
        <v>2365</v>
      </c>
      <c r="BC1203" t="s">
        <v>2365</v>
      </c>
      <c r="BD1203" t="s">
        <v>2366</v>
      </c>
      <c r="BE1203" t="s">
        <v>2365</v>
      </c>
      <c r="BF1203" t="s">
        <v>2365</v>
      </c>
      <c r="BG1203" t="s">
        <v>2365</v>
      </c>
      <c r="BH1203" t="s">
        <v>2365</v>
      </c>
      <c r="BI1203" t="s">
        <v>2366</v>
      </c>
      <c r="BJ1203" t="s">
        <v>2365</v>
      </c>
      <c r="BK1203" t="s">
        <v>2365</v>
      </c>
      <c r="BL1203" t="s">
        <v>2365</v>
      </c>
      <c r="BM1203" t="s">
        <v>2365</v>
      </c>
      <c r="BO1203">
        <v>1</v>
      </c>
      <c r="BP1203">
        <v>11</v>
      </c>
      <c r="BQ1203" t="s">
        <v>2369</v>
      </c>
      <c r="BR1203" t="s">
        <v>1487</v>
      </c>
      <c r="BU1203">
        <v>0</v>
      </c>
      <c r="BV1203">
        <v>0</v>
      </c>
      <c r="BW1203">
        <v>0</v>
      </c>
      <c r="BX1203">
        <v>0</v>
      </c>
      <c r="BY1203">
        <v>0</v>
      </c>
      <c r="BZ1203">
        <v>0</v>
      </c>
      <c r="CA1203">
        <v>0</v>
      </c>
      <c r="CB1203">
        <v>0</v>
      </c>
      <c r="CC1203">
        <v>0</v>
      </c>
      <c r="CD1203">
        <v>0</v>
      </c>
      <c r="CE1203">
        <v>0</v>
      </c>
      <c r="CF1203">
        <v>0</v>
      </c>
      <c r="CG1203">
        <v>0</v>
      </c>
      <c r="CH1203">
        <v>0</v>
      </c>
      <c r="CI1203">
        <v>0</v>
      </c>
      <c r="CJ1203">
        <v>0</v>
      </c>
      <c r="CK1203">
        <v>0</v>
      </c>
      <c r="CL1203">
        <v>0</v>
      </c>
      <c r="CM1203">
        <v>0</v>
      </c>
      <c r="CR1203" t="s">
        <v>2324</v>
      </c>
      <c r="CS1203" s="1369" t="str">
        <f>INDEX([8]Sheet1!$H:$H,MATCH(CR:CR,[8]Sheet1!$AU:$AU,0))</f>
        <v>Finance</v>
      </c>
    </row>
    <row r="1204" spans="1:97" x14ac:dyDescent="0.2">
      <c r="A1204" t="s">
        <v>4148</v>
      </c>
      <c r="B1204">
        <v>1282</v>
      </c>
      <c r="C1204" t="s">
        <v>4148</v>
      </c>
      <c r="D1204">
        <v>30513</v>
      </c>
      <c r="E1204" t="s">
        <v>4149</v>
      </c>
      <c r="F1204" t="s">
        <v>2364</v>
      </c>
      <c r="G1204" t="s">
        <v>2364</v>
      </c>
      <c r="H1204" t="s">
        <v>2365</v>
      </c>
      <c r="I1204" t="s">
        <v>2365</v>
      </c>
      <c r="J1204" t="s">
        <v>2365</v>
      </c>
      <c r="K1204" t="s">
        <v>2365</v>
      </c>
      <c r="L1204">
        <v>1200</v>
      </c>
      <c r="M1204" t="s">
        <v>1480</v>
      </c>
      <c r="N1204">
        <v>1204</v>
      </c>
      <c r="O1204" t="s">
        <v>1487</v>
      </c>
      <c r="P1204" t="s">
        <v>2366</v>
      </c>
      <c r="Q1204" t="s">
        <v>2364</v>
      </c>
      <c r="R1204" t="s">
        <v>2364</v>
      </c>
      <c r="S1204" t="s">
        <v>553</v>
      </c>
      <c r="T1204" t="s">
        <v>2175</v>
      </c>
      <c r="U1204">
        <v>140</v>
      </c>
      <c r="V1204" t="s">
        <v>693</v>
      </c>
      <c r="W1204">
        <v>140</v>
      </c>
      <c r="X1204" t="s">
        <v>693</v>
      </c>
      <c r="Y1204" t="s">
        <v>2365</v>
      </c>
      <c r="Z1204" t="s">
        <v>2365</v>
      </c>
      <c r="AA1204" t="s">
        <v>2365</v>
      </c>
      <c r="AB1204" t="s">
        <v>2365</v>
      </c>
      <c r="AC1204" s="813" t="s">
        <v>2365</v>
      </c>
      <c r="AD1204" s="813" t="s">
        <v>2365</v>
      </c>
      <c r="AE1204" s="813" t="s">
        <v>2365</v>
      </c>
      <c r="AF1204" t="s">
        <v>2365</v>
      </c>
      <c r="AG1204" t="s">
        <v>2365</v>
      </c>
      <c r="AH1204" t="s">
        <v>2365</v>
      </c>
      <c r="AI1204" t="s">
        <v>2365</v>
      </c>
      <c r="AJ1204" t="s">
        <v>2365</v>
      </c>
      <c r="AK1204" t="s">
        <v>2366</v>
      </c>
      <c r="AL1204" t="s">
        <v>2366</v>
      </c>
      <c r="AM1204" t="s">
        <v>2366</v>
      </c>
      <c r="AN1204" t="s">
        <v>2366</v>
      </c>
      <c r="AR1204" t="s">
        <v>2365</v>
      </c>
      <c r="AS1204" t="s">
        <v>2365</v>
      </c>
      <c r="AT1204" t="s">
        <v>2365</v>
      </c>
      <c r="AU1204" t="s">
        <v>2365</v>
      </c>
      <c r="AV1204" t="s">
        <v>2365</v>
      </c>
      <c r="AW1204" t="s">
        <v>2365</v>
      </c>
      <c r="AX1204" t="s">
        <v>2365</v>
      </c>
      <c r="AY1204" t="s">
        <v>2365</v>
      </c>
      <c r="AZ1204" t="s">
        <v>2365</v>
      </c>
      <c r="BA1204" t="s">
        <v>2365</v>
      </c>
      <c r="BB1204" t="s">
        <v>2365</v>
      </c>
      <c r="BC1204" t="s">
        <v>2365</v>
      </c>
      <c r="BD1204" t="s">
        <v>2366</v>
      </c>
      <c r="BE1204" t="s">
        <v>2365</v>
      </c>
      <c r="BF1204" t="s">
        <v>2365</v>
      </c>
      <c r="BG1204" t="s">
        <v>2365</v>
      </c>
      <c r="BH1204" t="s">
        <v>2365</v>
      </c>
      <c r="BI1204" t="s">
        <v>2366</v>
      </c>
      <c r="BJ1204" t="s">
        <v>2365</v>
      </c>
      <c r="BK1204" t="s">
        <v>2365</v>
      </c>
      <c r="BL1204" t="s">
        <v>2365</v>
      </c>
      <c r="BM1204" t="s">
        <v>2365</v>
      </c>
      <c r="BO1204">
        <v>1</v>
      </c>
      <c r="BP1204">
        <v>11</v>
      </c>
      <c r="BQ1204" t="s">
        <v>2369</v>
      </c>
      <c r="BR1204" t="s">
        <v>1487</v>
      </c>
      <c r="BU1204">
        <v>0</v>
      </c>
      <c r="BV1204">
        <v>0</v>
      </c>
      <c r="BW1204" s="1371">
        <v>0</v>
      </c>
      <c r="BX1204" s="1372">
        <v>0</v>
      </c>
      <c r="BY1204">
        <v>0</v>
      </c>
      <c r="BZ1204">
        <v>0</v>
      </c>
      <c r="CA1204">
        <v>0</v>
      </c>
      <c r="CB1204">
        <v>0</v>
      </c>
      <c r="CC1204">
        <v>0</v>
      </c>
      <c r="CD1204">
        <v>0</v>
      </c>
      <c r="CE1204">
        <v>0</v>
      </c>
      <c r="CF1204">
        <v>0</v>
      </c>
      <c r="CG1204">
        <v>0</v>
      </c>
      <c r="CH1204">
        <v>0</v>
      </c>
      <c r="CI1204">
        <v>0</v>
      </c>
      <c r="CJ1204">
        <v>0</v>
      </c>
      <c r="CK1204">
        <v>0</v>
      </c>
      <c r="CL1204">
        <v>0</v>
      </c>
      <c r="CM1204">
        <v>0</v>
      </c>
      <c r="CR1204" t="s">
        <v>2324</v>
      </c>
      <c r="CS1204" s="1369" t="str">
        <f>INDEX([8]Sheet1!$H:$H,MATCH(CR:CR,[8]Sheet1!$AU:$AU,0))</f>
        <v>Finance</v>
      </c>
    </row>
    <row r="1205" spans="1:97" x14ac:dyDescent="0.2">
      <c r="A1205" t="s">
        <v>4150</v>
      </c>
      <c r="B1205">
        <v>1283</v>
      </c>
      <c r="C1205" t="s">
        <v>4150</v>
      </c>
      <c r="D1205">
        <v>30514</v>
      </c>
      <c r="E1205" t="s">
        <v>4151</v>
      </c>
      <c r="F1205" t="s">
        <v>2364</v>
      </c>
      <c r="G1205" t="s">
        <v>2364</v>
      </c>
      <c r="H1205" t="s">
        <v>2365</v>
      </c>
      <c r="I1205" t="s">
        <v>2365</v>
      </c>
      <c r="J1205" t="s">
        <v>2365</v>
      </c>
      <c r="K1205" t="s">
        <v>2365</v>
      </c>
      <c r="L1205">
        <v>1200</v>
      </c>
      <c r="M1205" t="s">
        <v>1480</v>
      </c>
      <c r="N1205">
        <v>1204</v>
      </c>
      <c r="O1205" t="s">
        <v>1487</v>
      </c>
      <c r="P1205" t="s">
        <v>2366</v>
      </c>
      <c r="Q1205" t="s">
        <v>2364</v>
      </c>
      <c r="R1205" t="s">
        <v>2364</v>
      </c>
      <c r="S1205" t="s">
        <v>553</v>
      </c>
      <c r="T1205" t="s">
        <v>2175</v>
      </c>
      <c r="U1205">
        <v>140</v>
      </c>
      <c r="V1205" t="s">
        <v>693</v>
      </c>
      <c r="W1205">
        <v>140</v>
      </c>
      <c r="X1205" t="s">
        <v>693</v>
      </c>
      <c r="Y1205" t="s">
        <v>2365</v>
      </c>
      <c r="Z1205" t="s">
        <v>2365</v>
      </c>
      <c r="AA1205" t="s">
        <v>2365</v>
      </c>
      <c r="AB1205" t="s">
        <v>2365</v>
      </c>
      <c r="AC1205" s="813" t="s">
        <v>2365</v>
      </c>
      <c r="AD1205" s="813" t="s">
        <v>2365</v>
      </c>
      <c r="AE1205" s="813" t="s">
        <v>2365</v>
      </c>
      <c r="AF1205" t="s">
        <v>2365</v>
      </c>
      <c r="AG1205" t="s">
        <v>2365</v>
      </c>
      <c r="AH1205" t="s">
        <v>2365</v>
      </c>
      <c r="AI1205" t="s">
        <v>2365</v>
      </c>
      <c r="AJ1205" t="s">
        <v>2365</v>
      </c>
      <c r="AK1205">
        <v>147</v>
      </c>
      <c r="AL1205" t="s">
        <v>1200</v>
      </c>
      <c r="AM1205">
        <v>147</v>
      </c>
      <c r="AN1205" t="s">
        <v>1200</v>
      </c>
      <c r="AR1205" t="s">
        <v>2365</v>
      </c>
      <c r="AS1205" t="s">
        <v>2365</v>
      </c>
      <c r="AT1205" t="s">
        <v>2365</v>
      </c>
      <c r="AU1205" t="s">
        <v>2365</v>
      </c>
      <c r="AV1205" t="s">
        <v>2365</v>
      </c>
      <c r="AW1205" t="s">
        <v>2365</v>
      </c>
      <c r="AX1205" t="s">
        <v>2365</v>
      </c>
      <c r="AY1205" t="s">
        <v>2365</v>
      </c>
      <c r="AZ1205" t="s">
        <v>2365</v>
      </c>
      <c r="BA1205" t="s">
        <v>2365</v>
      </c>
      <c r="BB1205" t="s">
        <v>2365</v>
      </c>
      <c r="BC1205" t="s">
        <v>2365</v>
      </c>
      <c r="BD1205" t="s">
        <v>2366</v>
      </c>
      <c r="BE1205" t="s">
        <v>2365</v>
      </c>
      <c r="BF1205" t="s">
        <v>2365</v>
      </c>
      <c r="BG1205" t="s">
        <v>2365</v>
      </c>
      <c r="BH1205" t="s">
        <v>2365</v>
      </c>
      <c r="BI1205" t="s">
        <v>2366</v>
      </c>
      <c r="BJ1205" t="s">
        <v>2365</v>
      </c>
      <c r="BK1205" t="s">
        <v>2365</v>
      </c>
      <c r="BL1205" t="s">
        <v>2365</v>
      </c>
      <c r="BM1205" t="s">
        <v>2365</v>
      </c>
      <c r="BO1205">
        <v>1</v>
      </c>
      <c r="BP1205">
        <v>11</v>
      </c>
      <c r="BQ1205" t="s">
        <v>2369</v>
      </c>
      <c r="BR1205" t="s">
        <v>1487</v>
      </c>
      <c r="BU1205">
        <v>0</v>
      </c>
      <c r="BV1205">
        <v>0</v>
      </c>
      <c r="BW1205">
        <v>0</v>
      </c>
      <c r="BX1205">
        <v>0</v>
      </c>
      <c r="BY1205">
        <v>0</v>
      </c>
      <c r="BZ1205">
        <v>0</v>
      </c>
      <c r="CA1205">
        <v>0</v>
      </c>
      <c r="CB1205">
        <v>0</v>
      </c>
      <c r="CC1205">
        <v>0</v>
      </c>
      <c r="CD1205">
        <v>0</v>
      </c>
      <c r="CE1205">
        <v>0</v>
      </c>
      <c r="CF1205">
        <v>0</v>
      </c>
      <c r="CG1205">
        <v>0</v>
      </c>
      <c r="CH1205">
        <v>0</v>
      </c>
      <c r="CI1205">
        <v>0</v>
      </c>
      <c r="CJ1205">
        <v>0</v>
      </c>
      <c r="CK1205">
        <v>0</v>
      </c>
      <c r="CL1205">
        <v>0</v>
      </c>
      <c r="CM1205">
        <v>0</v>
      </c>
      <c r="CR1205" t="s">
        <v>2324</v>
      </c>
      <c r="CS1205" s="1369" t="str">
        <f>INDEX([8]Sheet1!$H:$H,MATCH(CR:CR,[8]Sheet1!$AU:$AU,0))</f>
        <v>Finance</v>
      </c>
    </row>
    <row r="1206" spans="1:97" x14ac:dyDescent="0.2">
      <c r="A1206" t="s">
        <v>4152</v>
      </c>
      <c r="B1206">
        <v>1284</v>
      </c>
      <c r="C1206" t="s">
        <v>4152</v>
      </c>
      <c r="D1206">
        <v>30515</v>
      </c>
      <c r="E1206" t="s">
        <v>4153</v>
      </c>
      <c r="F1206" t="s">
        <v>2364</v>
      </c>
      <c r="G1206" t="s">
        <v>2364</v>
      </c>
      <c r="H1206" t="s">
        <v>2365</v>
      </c>
      <c r="I1206" t="s">
        <v>2365</v>
      </c>
      <c r="J1206" t="s">
        <v>2365</v>
      </c>
      <c r="K1206" t="s">
        <v>2365</v>
      </c>
      <c r="L1206">
        <v>1200</v>
      </c>
      <c r="M1206" t="s">
        <v>1480</v>
      </c>
      <c r="N1206">
        <v>1204</v>
      </c>
      <c r="O1206" t="s">
        <v>1487</v>
      </c>
      <c r="P1206" t="s">
        <v>2366</v>
      </c>
      <c r="Q1206" t="s">
        <v>2364</v>
      </c>
      <c r="R1206" t="s">
        <v>2364</v>
      </c>
      <c r="S1206" t="s">
        <v>553</v>
      </c>
      <c r="T1206" t="s">
        <v>2175</v>
      </c>
      <c r="U1206">
        <v>140</v>
      </c>
      <c r="V1206" t="s">
        <v>693</v>
      </c>
      <c r="W1206">
        <v>140</v>
      </c>
      <c r="X1206" t="s">
        <v>693</v>
      </c>
      <c r="Y1206" t="s">
        <v>2365</v>
      </c>
      <c r="Z1206" t="s">
        <v>2365</v>
      </c>
      <c r="AA1206" t="s">
        <v>2365</v>
      </c>
      <c r="AB1206" t="s">
        <v>2365</v>
      </c>
      <c r="AC1206" s="813" t="s">
        <v>2365</v>
      </c>
      <c r="AD1206" s="813" t="s">
        <v>2365</v>
      </c>
      <c r="AE1206" s="813" t="s">
        <v>2365</v>
      </c>
      <c r="AF1206" t="s">
        <v>2365</v>
      </c>
      <c r="AG1206" t="s">
        <v>2365</v>
      </c>
      <c r="AH1206" t="s">
        <v>2365</v>
      </c>
      <c r="AI1206" t="s">
        <v>2365</v>
      </c>
      <c r="AJ1206" t="s">
        <v>2365</v>
      </c>
      <c r="AK1206" t="s">
        <v>2366</v>
      </c>
      <c r="AL1206" t="s">
        <v>2366</v>
      </c>
      <c r="AM1206" t="s">
        <v>2366</v>
      </c>
      <c r="AN1206" t="s">
        <v>2366</v>
      </c>
      <c r="AR1206" t="s">
        <v>2365</v>
      </c>
      <c r="AS1206" t="s">
        <v>2365</v>
      </c>
      <c r="AT1206" t="s">
        <v>2365</v>
      </c>
      <c r="AU1206" t="s">
        <v>2365</v>
      </c>
      <c r="AV1206" t="s">
        <v>2365</v>
      </c>
      <c r="AW1206" t="s">
        <v>2365</v>
      </c>
      <c r="AX1206" t="s">
        <v>2365</v>
      </c>
      <c r="AY1206" t="s">
        <v>2365</v>
      </c>
      <c r="AZ1206" t="s">
        <v>2365</v>
      </c>
      <c r="BA1206" t="s">
        <v>2365</v>
      </c>
      <c r="BB1206" t="s">
        <v>2365</v>
      </c>
      <c r="BC1206" t="s">
        <v>2365</v>
      </c>
      <c r="BD1206" t="s">
        <v>2366</v>
      </c>
      <c r="BE1206" t="s">
        <v>2365</v>
      </c>
      <c r="BF1206" t="s">
        <v>2365</v>
      </c>
      <c r="BG1206" t="s">
        <v>2365</v>
      </c>
      <c r="BH1206" t="s">
        <v>2365</v>
      </c>
      <c r="BI1206" t="s">
        <v>2366</v>
      </c>
      <c r="BJ1206" t="s">
        <v>2365</v>
      </c>
      <c r="BK1206" t="s">
        <v>2365</v>
      </c>
      <c r="BL1206" t="s">
        <v>2365</v>
      </c>
      <c r="BM1206" t="s">
        <v>2365</v>
      </c>
      <c r="BO1206">
        <v>1</v>
      </c>
      <c r="BP1206">
        <v>11</v>
      </c>
      <c r="BQ1206" t="s">
        <v>2369</v>
      </c>
      <c r="BR1206" t="s">
        <v>1487</v>
      </c>
      <c r="BU1206">
        <v>0</v>
      </c>
      <c r="BV1206">
        <v>0</v>
      </c>
      <c r="BW1206">
        <v>0</v>
      </c>
      <c r="BX1206">
        <v>0</v>
      </c>
      <c r="BY1206" s="1371">
        <v>0</v>
      </c>
      <c r="BZ1206" s="1371">
        <v>0</v>
      </c>
      <c r="CA1206">
        <v>0</v>
      </c>
      <c r="CB1206">
        <v>0</v>
      </c>
      <c r="CC1206">
        <v>0</v>
      </c>
      <c r="CD1206">
        <v>0</v>
      </c>
      <c r="CE1206">
        <v>0</v>
      </c>
      <c r="CF1206">
        <v>0</v>
      </c>
      <c r="CG1206">
        <v>0</v>
      </c>
      <c r="CH1206">
        <v>0</v>
      </c>
      <c r="CI1206">
        <v>0</v>
      </c>
      <c r="CJ1206">
        <v>0</v>
      </c>
      <c r="CK1206">
        <v>0</v>
      </c>
      <c r="CL1206">
        <v>0</v>
      </c>
      <c r="CM1206">
        <v>0</v>
      </c>
      <c r="CR1206" t="s">
        <v>2324</v>
      </c>
      <c r="CS1206" s="1369" t="str">
        <f>INDEX([8]Sheet1!$H:$H,MATCH(CR:CR,[8]Sheet1!$AU:$AU,0))</f>
        <v>Finance</v>
      </c>
    </row>
    <row r="1207" spans="1:97" x14ac:dyDescent="0.2">
      <c r="A1207" t="s">
        <v>4154</v>
      </c>
      <c r="B1207">
        <v>1285</v>
      </c>
      <c r="C1207" t="s">
        <v>4154</v>
      </c>
      <c r="D1207">
        <v>30516</v>
      </c>
      <c r="E1207" t="s">
        <v>4155</v>
      </c>
      <c r="F1207" t="s">
        <v>2364</v>
      </c>
      <c r="G1207" t="s">
        <v>2364</v>
      </c>
      <c r="H1207" t="s">
        <v>2365</v>
      </c>
      <c r="I1207" t="s">
        <v>2365</v>
      </c>
      <c r="J1207" t="s">
        <v>2365</v>
      </c>
      <c r="K1207" t="s">
        <v>2365</v>
      </c>
      <c r="L1207">
        <v>1200</v>
      </c>
      <c r="M1207" t="s">
        <v>1480</v>
      </c>
      <c r="N1207">
        <v>1204</v>
      </c>
      <c r="O1207" t="s">
        <v>1487</v>
      </c>
      <c r="P1207" t="s">
        <v>2366</v>
      </c>
      <c r="Q1207" t="s">
        <v>2364</v>
      </c>
      <c r="R1207" t="s">
        <v>2364</v>
      </c>
      <c r="S1207" t="s">
        <v>553</v>
      </c>
      <c r="T1207" t="s">
        <v>2175</v>
      </c>
      <c r="U1207">
        <v>140</v>
      </c>
      <c r="V1207" t="s">
        <v>693</v>
      </c>
      <c r="W1207">
        <v>140</v>
      </c>
      <c r="X1207" t="s">
        <v>693</v>
      </c>
      <c r="Y1207" t="s">
        <v>2365</v>
      </c>
      <c r="Z1207" t="s">
        <v>2365</v>
      </c>
      <c r="AA1207" t="s">
        <v>2365</v>
      </c>
      <c r="AB1207" t="s">
        <v>2365</v>
      </c>
      <c r="AC1207" s="813" t="s">
        <v>2365</v>
      </c>
      <c r="AD1207" s="813" t="s">
        <v>2365</v>
      </c>
      <c r="AE1207" s="813" t="s">
        <v>2365</v>
      </c>
      <c r="AF1207" t="s">
        <v>2365</v>
      </c>
      <c r="AG1207" t="s">
        <v>2365</v>
      </c>
      <c r="AH1207" t="s">
        <v>2365</v>
      </c>
      <c r="AI1207" t="s">
        <v>2365</v>
      </c>
      <c r="AJ1207" t="s">
        <v>2365</v>
      </c>
      <c r="AK1207" t="s">
        <v>2366</v>
      </c>
      <c r="AL1207" t="s">
        <v>2366</v>
      </c>
      <c r="AM1207" t="s">
        <v>2366</v>
      </c>
      <c r="AN1207" t="s">
        <v>2366</v>
      </c>
      <c r="AR1207" t="s">
        <v>2365</v>
      </c>
      <c r="AS1207" t="s">
        <v>2365</v>
      </c>
      <c r="AT1207" t="s">
        <v>2365</v>
      </c>
      <c r="AU1207" t="s">
        <v>2365</v>
      </c>
      <c r="AV1207" t="s">
        <v>2365</v>
      </c>
      <c r="AW1207" t="s">
        <v>2365</v>
      </c>
      <c r="AX1207" t="s">
        <v>2365</v>
      </c>
      <c r="AY1207" t="s">
        <v>2365</v>
      </c>
      <c r="AZ1207" t="s">
        <v>2365</v>
      </c>
      <c r="BA1207" t="s">
        <v>2365</v>
      </c>
      <c r="BB1207" t="s">
        <v>2365</v>
      </c>
      <c r="BC1207" t="s">
        <v>2365</v>
      </c>
      <c r="BD1207" t="s">
        <v>2366</v>
      </c>
      <c r="BE1207" t="s">
        <v>2365</v>
      </c>
      <c r="BF1207" t="s">
        <v>2365</v>
      </c>
      <c r="BG1207" t="s">
        <v>2365</v>
      </c>
      <c r="BH1207" t="s">
        <v>2365</v>
      </c>
      <c r="BI1207" t="s">
        <v>2366</v>
      </c>
      <c r="BJ1207" t="s">
        <v>2365</v>
      </c>
      <c r="BK1207" t="s">
        <v>2365</v>
      </c>
      <c r="BL1207" t="s">
        <v>2365</v>
      </c>
      <c r="BM1207" t="s">
        <v>2365</v>
      </c>
      <c r="BO1207">
        <v>1</v>
      </c>
      <c r="BP1207">
        <v>11</v>
      </c>
      <c r="BQ1207" t="s">
        <v>2369</v>
      </c>
      <c r="BR1207" t="s">
        <v>1487</v>
      </c>
      <c r="BU1207">
        <v>0</v>
      </c>
      <c r="BV1207">
        <v>0</v>
      </c>
      <c r="BW1207" s="1371">
        <v>0</v>
      </c>
      <c r="BX1207" s="1372">
        <v>0</v>
      </c>
      <c r="BY1207">
        <v>0</v>
      </c>
      <c r="BZ1207">
        <v>0</v>
      </c>
      <c r="CA1207">
        <v>0</v>
      </c>
      <c r="CB1207">
        <v>0</v>
      </c>
      <c r="CC1207">
        <v>0</v>
      </c>
      <c r="CD1207">
        <v>0</v>
      </c>
      <c r="CE1207">
        <v>0</v>
      </c>
      <c r="CF1207">
        <v>0</v>
      </c>
      <c r="CG1207">
        <v>0</v>
      </c>
      <c r="CH1207">
        <v>0</v>
      </c>
      <c r="CI1207">
        <v>0</v>
      </c>
      <c r="CJ1207">
        <v>0</v>
      </c>
      <c r="CK1207">
        <v>0</v>
      </c>
      <c r="CL1207">
        <v>0</v>
      </c>
      <c r="CM1207">
        <v>0</v>
      </c>
      <c r="CR1207" t="s">
        <v>2324</v>
      </c>
      <c r="CS1207" s="1369" t="str">
        <f>INDEX([8]Sheet1!$H:$H,MATCH(CR:CR,[8]Sheet1!$AU:$AU,0))</f>
        <v>Finance</v>
      </c>
    </row>
    <row r="1208" spans="1:97" x14ac:dyDescent="0.2">
      <c r="A1208" t="s">
        <v>4156</v>
      </c>
      <c r="B1208">
        <v>1286</v>
      </c>
      <c r="C1208" t="s">
        <v>4156</v>
      </c>
      <c r="D1208">
        <v>30517</v>
      </c>
      <c r="E1208" t="s">
        <v>4157</v>
      </c>
      <c r="F1208" t="s">
        <v>2364</v>
      </c>
      <c r="G1208" t="s">
        <v>2364</v>
      </c>
      <c r="H1208" t="s">
        <v>2365</v>
      </c>
      <c r="I1208" t="s">
        <v>2365</v>
      </c>
      <c r="J1208" t="s">
        <v>2365</v>
      </c>
      <c r="K1208" t="s">
        <v>2365</v>
      </c>
      <c r="L1208">
        <v>1200</v>
      </c>
      <c r="M1208" t="s">
        <v>1480</v>
      </c>
      <c r="N1208">
        <v>1204</v>
      </c>
      <c r="O1208" t="s">
        <v>1487</v>
      </c>
      <c r="P1208" t="s">
        <v>2366</v>
      </c>
      <c r="Q1208" t="s">
        <v>2364</v>
      </c>
      <c r="R1208" t="s">
        <v>2364</v>
      </c>
      <c r="S1208" t="s">
        <v>553</v>
      </c>
      <c r="T1208" t="s">
        <v>2175</v>
      </c>
      <c r="U1208">
        <v>140</v>
      </c>
      <c r="V1208" t="s">
        <v>693</v>
      </c>
      <c r="W1208">
        <v>140</v>
      </c>
      <c r="X1208" t="s">
        <v>693</v>
      </c>
      <c r="Y1208" t="s">
        <v>2365</v>
      </c>
      <c r="Z1208" t="s">
        <v>2365</v>
      </c>
      <c r="AA1208" t="s">
        <v>2365</v>
      </c>
      <c r="AB1208" t="s">
        <v>2365</v>
      </c>
      <c r="AC1208" s="813" t="s">
        <v>2365</v>
      </c>
      <c r="AD1208" s="813" t="s">
        <v>2365</v>
      </c>
      <c r="AE1208" s="813" t="s">
        <v>2365</v>
      </c>
      <c r="AF1208" t="s">
        <v>2365</v>
      </c>
      <c r="AG1208" t="s">
        <v>2365</v>
      </c>
      <c r="AH1208" t="s">
        <v>2365</v>
      </c>
      <c r="AI1208" t="s">
        <v>2365</v>
      </c>
      <c r="AJ1208" t="s">
        <v>2365</v>
      </c>
      <c r="AK1208" t="s">
        <v>2366</v>
      </c>
      <c r="AL1208" t="s">
        <v>2366</v>
      </c>
      <c r="AM1208" t="s">
        <v>2366</v>
      </c>
      <c r="AN1208" t="s">
        <v>2366</v>
      </c>
      <c r="AR1208" t="s">
        <v>2365</v>
      </c>
      <c r="AS1208" t="s">
        <v>2365</v>
      </c>
      <c r="AT1208" t="s">
        <v>2365</v>
      </c>
      <c r="AU1208" t="s">
        <v>2365</v>
      </c>
      <c r="AV1208" t="s">
        <v>2365</v>
      </c>
      <c r="AW1208" t="s">
        <v>2365</v>
      </c>
      <c r="AX1208" t="s">
        <v>2365</v>
      </c>
      <c r="AY1208" t="s">
        <v>2365</v>
      </c>
      <c r="AZ1208" t="s">
        <v>2365</v>
      </c>
      <c r="BA1208" t="s">
        <v>2365</v>
      </c>
      <c r="BB1208" t="s">
        <v>2365</v>
      </c>
      <c r="BC1208" t="s">
        <v>2365</v>
      </c>
      <c r="BD1208" t="s">
        <v>2366</v>
      </c>
      <c r="BE1208" t="s">
        <v>2365</v>
      </c>
      <c r="BF1208" t="s">
        <v>2365</v>
      </c>
      <c r="BG1208" t="s">
        <v>2365</v>
      </c>
      <c r="BH1208" t="s">
        <v>2365</v>
      </c>
      <c r="BI1208" t="s">
        <v>2366</v>
      </c>
      <c r="BJ1208" t="s">
        <v>2365</v>
      </c>
      <c r="BK1208" t="s">
        <v>2365</v>
      </c>
      <c r="BL1208" t="s">
        <v>2365</v>
      </c>
      <c r="BM1208" t="s">
        <v>2365</v>
      </c>
      <c r="BO1208">
        <v>1</v>
      </c>
      <c r="BP1208">
        <v>11</v>
      </c>
      <c r="BQ1208" t="s">
        <v>2369</v>
      </c>
      <c r="BR1208" t="s">
        <v>1487</v>
      </c>
      <c r="BU1208">
        <v>0</v>
      </c>
      <c r="BV1208">
        <v>0</v>
      </c>
      <c r="BW1208" s="1371">
        <v>0</v>
      </c>
      <c r="BX1208" s="1372">
        <v>0</v>
      </c>
      <c r="BY1208">
        <v>0</v>
      </c>
      <c r="BZ1208">
        <v>0</v>
      </c>
      <c r="CA1208">
        <v>0</v>
      </c>
      <c r="CB1208">
        <v>0</v>
      </c>
      <c r="CC1208">
        <v>0</v>
      </c>
      <c r="CD1208">
        <v>0</v>
      </c>
      <c r="CE1208">
        <v>0</v>
      </c>
      <c r="CF1208">
        <v>0</v>
      </c>
      <c r="CG1208">
        <v>0</v>
      </c>
      <c r="CH1208">
        <v>0</v>
      </c>
      <c r="CI1208">
        <v>0</v>
      </c>
      <c r="CJ1208">
        <v>0</v>
      </c>
      <c r="CK1208">
        <v>0</v>
      </c>
      <c r="CL1208">
        <v>0</v>
      </c>
      <c r="CM1208">
        <v>0</v>
      </c>
      <c r="CR1208" t="s">
        <v>2324</v>
      </c>
      <c r="CS1208" s="1369" t="str">
        <f>INDEX([8]Sheet1!$H:$H,MATCH(CR:CR,[8]Sheet1!$AU:$AU,0))</f>
        <v>Finance</v>
      </c>
    </row>
    <row r="1209" spans="1:97" x14ac:dyDescent="0.2">
      <c r="A1209" t="s">
        <v>4158</v>
      </c>
      <c r="B1209">
        <v>1287</v>
      </c>
      <c r="C1209" t="s">
        <v>4158</v>
      </c>
      <c r="D1209">
        <v>30518</v>
      </c>
      <c r="E1209" t="s">
        <v>3521</v>
      </c>
      <c r="F1209" t="s">
        <v>2364</v>
      </c>
      <c r="G1209" t="s">
        <v>2364</v>
      </c>
      <c r="H1209" t="s">
        <v>2365</v>
      </c>
      <c r="I1209" t="s">
        <v>2365</v>
      </c>
      <c r="J1209" t="s">
        <v>2365</v>
      </c>
      <c r="K1209" t="s">
        <v>2365</v>
      </c>
      <c r="L1209">
        <v>1200</v>
      </c>
      <c r="M1209" t="s">
        <v>1480</v>
      </c>
      <c r="N1209">
        <v>1204</v>
      </c>
      <c r="O1209" t="s">
        <v>1487</v>
      </c>
      <c r="P1209" t="s">
        <v>2366</v>
      </c>
      <c r="Q1209" t="s">
        <v>2364</v>
      </c>
      <c r="R1209" t="s">
        <v>2364</v>
      </c>
      <c r="S1209" t="s">
        <v>553</v>
      </c>
      <c r="T1209" t="s">
        <v>2175</v>
      </c>
      <c r="U1209" t="s">
        <v>2366</v>
      </c>
      <c r="V1209" t="s">
        <v>2366</v>
      </c>
      <c r="W1209" t="s">
        <v>2366</v>
      </c>
      <c r="X1209" t="s">
        <v>2366</v>
      </c>
      <c r="Y1209" t="s">
        <v>2365</v>
      </c>
      <c r="Z1209" t="s">
        <v>2365</v>
      </c>
      <c r="AA1209" t="s">
        <v>2365</v>
      </c>
      <c r="AB1209" t="s">
        <v>2365</v>
      </c>
      <c r="AC1209" s="813" t="s">
        <v>2365</v>
      </c>
      <c r="AD1209" s="813" t="s">
        <v>2365</v>
      </c>
      <c r="AE1209" s="813" t="s">
        <v>2365</v>
      </c>
      <c r="AF1209" t="s">
        <v>2365</v>
      </c>
      <c r="AG1209" t="s">
        <v>2365</v>
      </c>
      <c r="AH1209" t="s">
        <v>2365</v>
      </c>
      <c r="AI1209" t="s">
        <v>2365</v>
      </c>
      <c r="AJ1209" t="s">
        <v>2365</v>
      </c>
      <c r="AK1209">
        <v>146</v>
      </c>
      <c r="AL1209" t="s">
        <v>1199</v>
      </c>
      <c r="AM1209">
        <v>146</v>
      </c>
      <c r="AN1209" t="s">
        <v>1199</v>
      </c>
      <c r="AR1209" t="s">
        <v>2365</v>
      </c>
      <c r="AS1209" t="s">
        <v>2365</v>
      </c>
      <c r="AT1209" t="s">
        <v>2365</v>
      </c>
      <c r="AU1209" t="s">
        <v>2365</v>
      </c>
      <c r="AV1209" t="s">
        <v>2365</v>
      </c>
      <c r="AW1209" t="s">
        <v>2365</v>
      </c>
      <c r="AX1209" t="s">
        <v>2365</v>
      </c>
      <c r="AY1209" t="s">
        <v>2365</v>
      </c>
      <c r="AZ1209" t="s">
        <v>2365</v>
      </c>
      <c r="BA1209" t="s">
        <v>2365</v>
      </c>
      <c r="BB1209" t="s">
        <v>2365</v>
      </c>
      <c r="BC1209" t="s">
        <v>2365</v>
      </c>
      <c r="BD1209" t="s">
        <v>2366</v>
      </c>
      <c r="BE1209" t="s">
        <v>2365</v>
      </c>
      <c r="BF1209" t="s">
        <v>2365</v>
      </c>
      <c r="BG1209" t="s">
        <v>2365</v>
      </c>
      <c r="BH1209" t="s">
        <v>2365</v>
      </c>
      <c r="BI1209" t="s">
        <v>2366</v>
      </c>
      <c r="BJ1209" t="s">
        <v>2365</v>
      </c>
      <c r="BK1209" t="s">
        <v>2365</v>
      </c>
      <c r="BL1209" t="s">
        <v>2365</v>
      </c>
      <c r="BM1209" t="s">
        <v>2365</v>
      </c>
      <c r="BO1209">
        <v>1</v>
      </c>
      <c r="BP1209">
        <v>11</v>
      </c>
      <c r="BQ1209" t="s">
        <v>2369</v>
      </c>
      <c r="BR1209" t="s">
        <v>1487</v>
      </c>
      <c r="BU1209">
        <v>0</v>
      </c>
      <c r="BV1209">
        <v>0</v>
      </c>
      <c r="BW1209" s="1371">
        <v>0</v>
      </c>
      <c r="BX1209" s="1372">
        <v>0</v>
      </c>
      <c r="BY1209" s="1371">
        <v>0</v>
      </c>
      <c r="BZ1209" s="1371">
        <v>0</v>
      </c>
      <c r="CA1209">
        <v>0</v>
      </c>
      <c r="CB1209">
        <v>0</v>
      </c>
      <c r="CC1209">
        <v>0</v>
      </c>
      <c r="CD1209">
        <v>0</v>
      </c>
      <c r="CE1209">
        <v>0</v>
      </c>
      <c r="CF1209">
        <v>0</v>
      </c>
      <c r="CG1209">
        <v>0</v>
      </c>
      <c r="CH1209">
        <v>0</v>
      </c>
      <c r="CI1209">
        <v>0</v>
      </c>
      <c r="CJ1209">
        <v>0</v>
      </c>
      <c r="CK1209">
        <v>0</v>
      </c>
      <c r="CL1209">
        <v>0</v>
      </c>
      <c r="CM1209">
        <v>0</v>
      </c>
      <c r="CR1209" t="s">
        <v>2324</v>
      </c>
      <c r="CS1209" s="1369" t="str">
        <f>INDEX([8]Sheet1!$H:$H,MATCH(CR:CR,[8]Sheet1!$AU:$AU,0))</f>
        <v>Finance</v>
      </c>
    </row>
    <row r="1210" spans="1:97" x14ac:dyDescent="0.2">
      <c r="A1210" t="s">
        <v>4159</v>
      </c>
      <c r="B1210">
        <v>1288</v>
      </c>
      <c r="C1210" t="s">
        <v>4159</v>
      </c>
      <c r="D1210">
        <v>30519</v>
      </c>
      <c r="E1210" t="s">
        <v>3525</v>
      </c>
      <c r="F1210" t="s">
        <v>2364</v>
      </c>
      <c r="G1210" t="s">
        <v>2364</v>
      </c>
      <c r="H1210" t="s">
        <v>2365</v>
      </c>
      <c r="I1210" t="s">
        <v>2365</v>
      </c>
      <c r="J1210" t="s">
        <v>2365</v>
      </c>
      <c r="K1210" t="s">
        <v>2365</v>
      </c>
      <c r="L1210">
        <v>1200</v>
      </c>
      <c r="M1210" t="s">
        <v>1480</v>
      </c>
      <c r="N1210">
        <v>1204</v>
      </c>
      <c r="O1210" t="s">
        <v>1487</v>
      </c>
      <c r="P1210" t="s">
        <v>2366</v>
      </c>
      <c r="Q1210" t="s">
        <v>2364</v>
      </c>
      <c r="R1210" t="s">
        <v>2364</v>
      </c>
      <c r="S1210" t="s">
        <v>553</v>
      </c>
      <c r="T1210" t="s">
        <v>2175</v>
      </c>
      <c r="U1210" t="s">
        <v>2366</v>
      </c>
      <c r="V1210" t="s">
        <v>2366</v>
      </c>
      <c r="W1210" t="s">
        <v>2366</v>
      </c>
      <c r="X1210" t="s">
        <v>2366</v>
      </c>
      <c r="Y1210" t="s">
        <v>2365</v>
      </c>
      <c r="Z1210" t="s">
        <v>2365</v>
      </c>
      <c r="AA1210" t="s">
        <v>2365</v>
      </c>
      <c r="AB1210" t="s">
        <v>2365</v>
      </c>
      <c r="AC1210" s="813" t="s">
        <v>2365</v>
      </c>
      <c r="AD1210" s="813" t="s">
        <v>2365</v>
      </c>
      <c r="AE1210" s="813" t="s">
        <v>2365</v>
      </c>
      <c r="AF1210" t="s">
        <v>2365</v>
      </c>
      <c r="AG1210" t="s">
        <v>2365</v>
      </c>
      <c r="AH1210" t="s">
        <v>2365</v>
      </c>
      <c r="AI1210" t="s">
        <v>2365</v>
      </c>
      <c r="AJ1210" t="s">
        <v>2365</v>
      </c>
      <c r="AK1210">
        <v>146</v>
      </c>
      <c r="AL1210" t="s">
        <v>1199</v>
      </c>
      <c r="AM1210">
        <v>146</v>
      </c>
      <c r="AN1210" t="s">
        <v>1199</v>
      </c>
      <c r="AR1210" t="s">
        <v>2365</v>
      </c>
      <c r="AS1210" t="s">
        <v>2365</v>
      </c>
      <c r="AT1210" t="s">
        <v>2365</v>
      </c>
      <c r="AU1210" t="s">
        <v>2365</v>
      </c>
      <c r="AV1210" t="s">
        <v>2365</v>
      </c>
      <c r="AW1210" t="s">
        <v>2365</v>
      </c>
      <c r="AX1210" t="s">
        <v>2365</v>
      </c>
      <c r="AY1210" t="s">
        <v>2365</v>
      </c>
      <c r="AZ1210" t="s">
        <v>2365</v>
      </c>
      <c r="BA1210" t="s">
        <v>2365</v>
      </c>
      <c r="BB1210" t="s">
        <v>2365</v>
      </c>
      <c r="BC1210" t="s">
        <v>2365</v>
      </c>
      <c r="BD1210" t="s">
        <v>2366</v>
      </c>
      <c r="BE1210" t="s">
        <v>2365</v>
      </c>
      <c r="BF1210" t="s">
        <v>2365</v>
      </c>
      <c r="BG1210" t="s">
        <v>2365</v>
      </c>
      <c r="BH1210" t="s">
        <v>2365</v>
      </c>
      <c r="BI1210" t="s">
        <v>2366</v>
      </c>
      <c r="BJ1210" t="s">
        <v>2365</v>
      </c>
      <c r="BK1210" t="s">
        <v>2365</v>
      </c>
      <c r="BL1210" t="s">
        <v>2365</v>
      </c>
      <c r="BM1210" t="s">
        <v>2365</v>
      </c>
      <c r="BO1210">
        <v>1</v>
      </c>
      <c r="BP1210">
        <v>11</v>
      </c>
      <c r="BQ1210" t="s">
        <v>2369</v>
      </c>
      <c r="BR1210" t="s">
        <v>1487</v>
      </c>
      <c r="BU1210">
        <v>0</v>
      </c>
      <c r="BV1210">
        <v>0</v>
      </c>
      <c r="BW1210" s="1371">
        <v>0</v>
      </c>
      <c r="BX1210" s="1372">
        <v>0</v>
      </c>
      <c r="BY1210">
        <v>0</v>
      </c>
      <c r="BZ1210">
        <v>0</v>
      </c>
      <c r="CA1210">
        <v>0</v>
      </c>
      <c r="CB1210">
        <v>0</v>
      </c>
      <c r="CC1210">
        <v>0</v>
      </c>
      <c r="CD1210">
        <v>0</v>
      </c>
      <c r="CE1210">
        <v>0</v>
      </c>
      <c r="CF1210">
        <v>0</v>
      </c>
      <c r="CG1210">
        <v>0</v>
      </c>
      <c r="CH1210">
        <v>0</v>
      </c>
      <c r="CI1210">
        <v>0</v>
      </c>
      <c r="CJ1210">
        <v>0</v>
      </c>
      <c r="CK1210">
        <v>0</v>
      </c>
      <c r="CL1210">
        <v>0</v>
      </c>
      <c r="CM1210">
        <v>0</v>
      </c>
      <c r="CR1210" t="s">
        <v>2324</v>
      </c>
      <c r="CS1210" s="1369" t="str">
        <f>INDEX([8]Sheet1!$H:$H,MATCH(CR:CR,[8]Sheet1!$AU:$AU,0))</f>
        <v>Finance</v>
      </c>
    </row>
    <row r="1211" spans="1:97" x14ac:dyDescent="0.2">
      <c r="A1211" t="s">
        <v>4160</v>
      </c>
      <c r="B1211">
        <v>1289</v>
      </c>
      <c r="C1211" t="s">
        <v>4160</v>
      </c>
      <c r="D1211">
        <v>30520</v>
      </c>
      <c r="E1211" t="s">
        <v>3575</v>
      </c>
      <c r="F1211" t="s">
        <v>2364</v>
      </c>
      <c r="G1211" t="s">
        <v>2364</v>
      </c>
      <c r="H1211" t="s">
        <v>2365</v>
      </c>
      <c r="I1211" t="s">
        <v>2365</v>
      </c>
      <c r="J1211" t="s">
        <v>2365</v>
      </c>
      <c r="K1211" t="s">
        <v>2365</v>
      </c>
      <c r="L1211">
        <v>1200</v>
      </c>
      <c r="M1211" t="s">
        <v>1480</v>
      </c>
      <c r="N1211">
        <v>1204</v>
      </c>
      <c r="O1211" t="s">
        <v>1487</v>
      </c>
      <c r="P1211" t="s">
        <v>2366</v>
      </c>
      <c r="Q1211" t="s">
        <v>2364</v>
      </c>
      <c r="R1211" t="s">
        <v>2364</v>
      </c>
      <c r="S1211" t="s">
        <v>553</v>
      </c>
      <c r="T1211" t="s">
        <v>2175</v>
      </c>
      <c r="U1211">
        <v>140</v>
      </c>
      <c r="V1211" t="s">
        <v>693</v>
      </c>
      <c r="W1211">
        <v>140</v>
      </c>
      <c r="X1211" t="s">
        <v>693</v>
      </c>
      <c r="Y1211" t="s">
        <v>2365</v>
      </c>
      <c r="Z1211" t="s">
        <v>2365</v>
      </c>
      <c r="AA1211" t="s">
        <v>2365</v>
      </c>
      <c r="AB1211" t="s">
        <v>2365</v>
      </c>
      <c r="AC1211" s="813" t="s">
        <v>2365</v>
      </c>
      <c r="AD1211" s="813" t="s">
        <v>2365</v>
      </c>
      <c r="AE1211" s="813" t="s">
        <v>2365</v>
      </c>
      <c r="AF1211" t="s">
        <v>2365</v>
      </c>
      <c r="AG1211" t="s">
        <v>2365</v>
      </c>
      <c r="AH1211" t="s">
        <v>2365</v>
      </c>
      <c r="AI1211" t="s">
        <v>2365</v>
      </c>
      <c r="AJ1211" t="s">
        <v>2365</v>
      </c>
      <c r="AK1211" t="s">
        <v>2366</v>
      </c>
      <c r="AL1211" t="s">
        <v>2366</v>
      </c>
      <c r="AM1211" t="s">
        <v>2366</v>
      </c>
      <c r="AN1211" t="s">
        <v>2366</v>
      </c>
      <c r="AR1211" t="s">
        <v>2365</v>
      </c>
      <c r="AS1211" t="s">
        <v>2365</v>
      </c>
      <c r="AT1211" t="s">
        <v>2365</v>
      </c>
      <c r="AU1211" t="s">
        <v>2365</v>
      </c>
      <c r="AV1211" t="s">
        <v>2365</v>
      </c>
      <c r="AW1211" t="s">
        <v>2365</v>
      </c>
      <c r="AX1211" t="s">
        <v>2365</v>
      </c>
      <c r="AY1211" t="s">
        <v>2365</v>
      </c>
      <c r="AZ1211" t="s">
        <v>2365</v>
      </c>
      <c r="BA1211" t="s">
        <v>2365</v>
      </c>
      <c r="BB1211" t="s">
        <v>2365</v>
      </c>
      <c r="BC1211" t="s">
        <v>2365</v>
      </c>
      <c r="BD1211" t="s">
        <v>2366</v>
      </c>
      <c r="BE1211" t="s">
        <v>2365</v>
      </c>
      <c r="BF1211" t="s">
        <v>2365</v>
      </c>
      <c r="BG1211" t="s">
        <v>2365</v>
      </c>
      <c r="BH1211" t="s">
        <v>2365</v>
      </c>
      <c r="BI1211" t="s">
        <v>2366</v>
      </c>
      <c r="BJ1211" t="s">
        <v>2365</v>
      </c>
      <c r="BK1211" t="s">
        <v>2365</v>
      </c>
      <c r="BL1211" t="s">
        <v>2365</v>
      </c>
      <c r="BM1211" t="s">
        <v>2365</v>
      </c>
      <c r="BO1211">
        <v>1</v>
      </c>
      <c r="BP1211">
        <v>11</v>
      </c>
      <c r="BQ1211" t="s">
        <v>2369</v>
      </c>
      <c r="BR1211" t="s">
        <v>1487</v>
      </c>
      <c r="BU1211">
        <v>0</v>
      </c>
      <c r="BV1211">
        <v>0</v>
      </c>
      <c r="BW1211" s="1371">
        <v>0</v>
      </c>
      <c r="BX1211" s="1372">
        <v>0</v>
      </c>
      <c r="BY1211">
        <v>0</v>
      </c>
      <c r="BZ1211">
        <v>0</v>
      </c>
      <c r="CA1211">
        <v>0</v>
      </c>
      <c r="CB1211">
        <v>0</v>
      </c>
      <c r="CC1211">
        <v>0</v>
      </c>
      <c r="CD1211">
        <v>0</v>
      </c>
      <c r="CE1211">
        <v>0</v>
      </c>
      <c r="CF1211">
        <v>0</v>
      </c>
      <c r="CG1211">
        <v>0</v>
      </c>
      <c r="CH1211">
        <v>0</v>
      </c>
      <c r="CI1211">
        <v>0</v>
      </c>
      <c r="CJ1211">
        <v>0</v>
      </c>
      <c r="CK1211">
        <v>0</v>
      </c>
      <c r="CL1211">
        <v>0</v>
      </c>
      <c r="CM1211">
        <v>0</v>
      </c>
      <c r="CR1211" t="s">
        <v>2324</v>
      </c>
      <c r="CS1211" s="1369" t="str">
        <f>INDEX([8]Sheet1!$H:$H,MATCH(CR:CR,[8]Sheet1!$AU:$AU,0))</f>
        <v>Finance</v>
      </c>
    </row>
    <row r="1212" spans="1:97" x14ac:dyDescent="0.2">
      <c r="A1212" t="s">
        <v>4161</v>
      </c>
      <c r="B1212">
        <v>1290</v>
      </c>
      <c r="C1212" t="s">
        <v>4161</v>
      </c>
      <c r="D1212">
        <v>30521</v>
      </c>
      <c r="E1212" t="s">
        <v>3579</v>
      </c>
      <c r="F1212" t="s">
        <v>2364</v>
      </c>
      <c r="G1212" t="s">
        <v>2364</v>
      </c>
      <c r="H1212" t="s">
        <v>2365</v>
      </c>
      <c r="I1212" t="s">
        <v>2365</v>
      </c>
      <c r="J1212" t="s">
        <v>2365</v>
      </c>
      <c r="K1212" t="s">
        <v>2365</v>
      </c>
      <c r="L1212">
        <v>1200</v>
      </c>
      <c r="M1212" t="s">
        <v>1480</v>
      </c>
      <c r="N1212">
        <v>1204</v>
      </c>
      <c r="O1212" t="s">
        <v>1487</v>
      </c>
      <c r="P1212" t="s">
        <v>2366</v>
      </c>
      <c r="Q1212" t="s">
        <v>2364</v>
      </c>
      <c r="R1212" t="s">
        <v>2364</v>
      </c>
      <c r="S1212" t="s">
        <v>553</v>
      </c>
      <c r="T1212" t="s">
        <v>2175</v>
      </c>
      <c r="U1212">
        <v>140</v>
      </c>
      <c r="V1212" t="s">
        <v>693</v>
      </c>
      <c r="W1212">
        <v>140</v>
      </c>
      <c r="X1212" t="s">
        <v>693</v>
      </c>
      <c r="Y1212" t="s">
        <v>2365</v>
      </c>
      <c r="Z1212" t="s">
        <v>2365</v>
      </c>
      <c r="AA1212" t="s">
        <v>2365</v>
      </c>
      <c r="AB1212" t="s">
        <v>2365</v>
      </c>
      <c r="AC1212" s="813" t="s">
        <v>2365</v>
      </c>
      <c r="AD1212" s="813" t="s">
        <v>2365</v>
      </c>
      <c r="AE1212" s="813" t="s">
        <v>2365</v>
      </c>
      <c r="AF1212" t="s">
        <v>2365</v>
      </c>
      <c r="AG1212" t="s">
        <v>2365</v>
      </c>
      <c r="AH1212" t="s">
        <v>2365</v>
      </c>
      <c r="AI1212" t="s">
        <v>2365</v>
      </c>
      <c r="AJ1212" t="s">
        <v>2365</v>
      </c>
      <c r="AK1212" t="s">
        <v>2366</v>
      </c>
      <c r="AL1212" t="s">
        <v>2366</v>
      </c>
      <c r="AM1212" t="s">
        <v>2366</v>
      </c>
      <c r="AN1212" t="s">
        <v>2366</v>
      </c>
      <c r="AR1212" t="s">
        <v>2365</v>
      </c>
      <c r="AS1212" t="s">
        <v>2365</v>
      </c>
      <c r="AT1212" t="s">
        <v>2365</v>
      </c>
      <c r="AU1212" t="s">
        <v>2365</v>
      </c>
      <c r="AV1212" t="s">
        <v>2365</v>
      </c>
      <c r="AW1212" t="s">
        <v>2365</v>
      </c>
      <c r="AX1212" t="s">
        <v>2365</v>
      </c>
      <c r="AY1212" t="s">
        <v>2365</v>
      </c>
      <c r="AZ1212" t="s">
        <v>2365</v>
      </c>
      <c r="BA1212" t="s">
        <v>2365</v>
      </c>
      <c r="BB1212" t="s">
        <v>2365</v>
      </c>
      <c r="BC1212" t="s">
        <v>2365</v>
      </c>
      <c r="BD1212" t="s">
        <v>2366</v>
      </c>
      <c r="BE1212" t="s">
        <v>2365</v>
      </c>
      <c r="BF1212" t="s">
        <v>2365</v>
      </c>
      <c r="BG1212" t="s">
        <v>2365</v>
      </c>
      <c r="BH1212" t="s">
        <v>2365</v>
      </c>
      <c r="BI1212" t="s">
        <v>2366</v>
      </c>
      <c r="BJ1212" t="s">
        <v>2365</v>
      </c>
      <c r="BK1212" t="s">
        <v>2365</v>
      </c>
      <c r="BL1212" t="s">
        <v>2365</v>
      </c>
      <c r="BM1212" t="s">
        <v>2365</v>
      </c>
      <c r="BO1212">
        <v>1</v>
      </c>
      <c r="BP1212">
        <v>11</v>
      </c>
      <c r="BQ1212" t="s">
        <v>2369</v>
      </c>
      <c r="BR1212" t="s">
        <v>1487</v>
      </c>
      <c r="BU1212">
        <v>0</v>
      </c>
      <c r="BV1212">
        <v>0</v>
      </c>
      <c r="BW1212" s="1371">
        <v>0</v>
      </c>
      <c r="BX1212" s="1372">
        <v>0</v>
      </c>
      <c r="BY1212" s="1371">
        <v>0</v>
      </c>
      <c r="BZ1212" s="1371">
        <v>0</v>
      </c>
      <c r="CA1212">
        <v>0</v>
      </c>
      <c r="CB1212">
        <v>0</v>
      </c>
      <c r="CC1212">
        <v>0</v>
      </c>
      <c r="CD1212">
        <v>0</v>
      </c>
      <c r="CE1212">
        <v>0</v>
      </c>
      <c r="CF1212">
        <v>0</v>
      </c>
      <c r="CG1212">
        <v>0</v>
      </c>
      <c r="CH1212">
        <v>0</v>
      </c>
      <c r="CI1212">
        <v>0</v>
      </c>
      <c r="CJ1212">
        <v>0</v>
      </c>
      <c r="CK1212">
        <v>0</v>
      </c>
      <c r="CL1212">
        <v>0</v>
      </c>
      <c r="CM1212">
        <v>0</v>
      </c>
      <c r="CR1212" t="s">
        <v>2324</v>
      </c>
      <c r="CS1212" s="1369" t="str">
        <f>INDEX([8]Sheet1!$H:$H,MATCH(CR:CR,[8]Sheet1!$AU:$AU,0))</f>
        <v>Finance</v>
      </c>
    </row>
    <row r="1213" spans="1:97" x14ac:dyDescent="0.2">
      <c r="A1213" t="s">
        <v>4162</v>
      </c>
      <c r="B1213">
        <v>1291</v>
      </c>
      <c r="C1213" t="s">
        <v>4162</v>
      </c>
      <c r="D1213">
        <v>30522</v>
      </c>
      <c r="E1213" t="s">
        <v>3583</v>
      </c>
      <c r="F1213" t="s">
        <v>2364</v>
      </c>
      <c r="G1213" t="s">
        <v>2364</v>
      </c>
      <c r="H1213" t="s">
        <v>2365</v>
      </c>
      <c r="I1213" t="s">
        <v>2365</v>
      </c>
      <c r="J1213" t="s">
        <v>2365</v>
      </c>
      <c r="K1213" t="s">
        <v>2365</v>
      </c>
      <c r="L1213">
        <v>1200</v>
      </c>
      <c r="M1213" t="s">
        <v>1480</v>
      </c>
      <c r="N1213">
        <v>1204</v>
      </c>
      <c r="O1213" t="s">
        <v>1487</v>
      </c>
      <c r="P1213" t="s">
        <v>2366</v>
      </c>
      <c r="Q1213" t="s">
        <v>2364</v>
      </c>
      <c r="R1213" t="s">
        <v>2364</v>
      </c>
      <c r="S1213" t="s">
        <v>553</v>
      </c>
      <c r="T1213" t="s">
        <v>2175</v>
      </c>
      <c r="U1213">
        <v>140</v>
      </c>
      <c r="V1213" t="s">
        <v>693</v>
      </c>
      <c r="W1213">
        <v>140</v>
      </c>
      <c r="X1213" t="s">
        <v>693</v>
      </c>
      <c r="Y1213" t="s">
        <v>2365</v>
      </c>
      <c r="Z1213" t="s">
        <v>2365</v>
      </c>
      <c r="AA1213" t="s">
        <v>2365</v>
      </c>
      <c r="AB1213" t="s">
        <v>2365</v>
      </c>
      <c r="AC1213" s="813" t="s">
        <v>2365</v>
      </c>
      <c r="AD1213" s="813" t="s">
        <v>2365</v>
      </c>
      <c r="AE1213" s="813" t="s">
        <v>2365</v>
      </c>
      <c r="AF1213" t="s">
        <v>2365</v>
      </c>
      <c r="AG1213" t="s">
        <v>2365</v>
      </c>
      <c r="AH1213" t="s">
        <v>2365</v>
      </c>
      <c r="AI1213" t="s">
        <v>2365</v>
      </c>
      <c r="AJ1213" t="s">
        <v>2365</v>
      </c>
      <c r="AK1213">
        <v>147</v>
      </c>
      <c r="AL1213" t="s">
        <v>1200</v>
      </c>
      <c r="AM1213">
        <v>147</v>
      </c>
      <c r="AN1213" t="s">
        <v>1200</v>
      </c>
      <c r="AR1213" t="s">
        <v>2365</v>
      </c>
      <c r="AS1213" t="s">
        <v>2365</v>
      </c>
      <c r="AT1213" t="s">
        <v>2365</v>
      </c>
      <c r="AU1213" t="s">
        <v>2365</v>
      </c>
      <c r="AV1213" t="s">
        <v>2365</v>
      </c>
      <c r="AW1213" t="s">
        <v>2365</v>
      </c>
      <c r="AX1213" t="s">
        <v>2365</v>
      </c>
      <c r="AY1213" t="s">
        <v>2365</v>
      </c>
      <c r="AZ1213" t="s">
        <v>2365</v>
      </c>
      <c r="BA1213" t="s">
        <v>2365</v>
      </c>
      <c r="BB1213" t="s">
        <v>2365</v>
      </c>
      <c r="BC1213" t="s">
        <v>2365</v>
      </c>
      <c r="BD1213" t="s">
        <v>2366</v>
      </c>
      <c r="BE1213" t="s">
        <v>2365</v>
      </c>
      <c r="BF1213" t="s">
        <v>2365</v>
      </c>
      <c r="BG1213" t="s">
        <v>2365</v>
      </c>
      <c r="BH1213" t="s">
        <v>2365</v>
      </c>
      <c r="BI1213" t="s">
        <v>2366</v>
      </c>
      <c r="BJ1213" t="s">
        <v>2365</v>
      </c>
      <c r="BK1213" t="s">
        <v>2365</v>
      </c>
      <c r="BL1213" t="s">
        <v>2365</v>
      </c>
      <c r="BM1213" t="s">
        <v>2365</v>
      </c>
      <c r="BO1213">
        <v>1</v>
      </c>
      <c r="BP1213">
        <v>11</v>
      </c>
      <c r="BQ1213" t="s">
        <v>2369</v>
      </c>
      <c r="BR1213" t="s">
        <v>1487</v>
      </c>
      <c r="BU1213">
        <v>0</v>
      </c>
      <c r="BV1213">
        <v>0</v>
      </c>
      <c r="BW1213" s="1371">
        <v>0</v>
      </c>
      <c r="BX1213" s="1372">
        <v>0</v>
      </c>
      <c r="BY1213" s="1371">
        <v>0</v>
      </c>
      <c r="BZ1213" s="1371">
        <v>0</v>
      </c>
      <c r="CA1213">
        <v>0</v>
      </c>
      <c r="CB1213">
        <v>0</v>
      </c>
      <c r="CC1213">
        <v>0</v>
      </c>
      <c r="CD1213">
        <v>0</v>
      </c>
      <c r="CE1213">
        <v>0</v>
      </c>
      <c r="CF1213">
        <v>0</v>
      </c>
      <c r="CG1213">
        <v>0</v>
      </c>
      <c r="CH1213">
        <v>0</v>
      </c>
      <c r="CI1213">
        <v>0</v>
      </c>
      <c r="CJ1213">
        <v>0</v>
      </c>
      <c r="CK1213">
        <v>0</v>
      </c>
      <c r="CL1213">
        <v>0</v>
      </c>
      <c r="CM1213">
        <v>0</v>
      </c>
      <c r="CR1213" t="s">
        <v>2324</v>
      </c>
      <c r="CS1213" s="1369" t="str">
        <f>INDEX([8]Sheet1!$H:$H,MATCH(CR:CR,[8]Sheet1!$AU:$AU,0))</f>
        <v>Finance</v>
      </c>
    </row>
    <row r="1214" spans="1:97" x14ac:dyDescent="0.2">
      <c r="A1214" t="s">
        <v>4163</v>
      </c>
      <c r="B1214">
        <v>1292</v>
      </c>
      <c r="C1214" t="s">
        <v>4163</v>
      </c>
      <c r="D1214">
        <v>30523</v>
      </c>
      <c r="E1214" t="s">
        <v>3587</v>
      </c>
      <c r="F1214" t="s">
        <v>2364</v>
      </c>
      <c r="G1214" t="s">
        <v>2364</v>
      </c>
      <c r="H1214" t="s">
        <v>2365</v>
      </c>
      <c r="I1214" t="s">
        <v>2365</v>
      </c>
      <c r="J1214" t="s">
        <v>2365</v>
      </c>
      <c r="K1214" t="s">
        <v>2365</v>
      </c>
      <c r="L1214">
        <v>1200</v>
      </c>
      <c r="M1214" t="s">
        <v>1480</v>
      </c>
      <c r="N1214">
        <v>1204</v>
      </c>
      <c r="O1214" t="s">
        <v>1487</v>
      </c>
      <c r="P1214" t="s">
        <v>2366</v>
      </c>
      <c r="Q1214" t="s">
        <v>2364</v>
      </c>
      <c r="R1214" t="s">
        <v>2364</v>
      </c>
      <c r="S1214" t="s">
        <v>553</v>
      </c>
      <c r="T1214" t="s">
        <v>2175</v>
      </c>
      <c r="U1214">
        <v>140</v>
      </c>
      <c r="V1214" t="s">
        <v>693</v>
      </c>
      <c r="W1214">
        <v>140</v>
      </c>
      <c r="X1214" t="s">
        <v>693</v>
      </c>
      <c r="Y1214" t="s">
        <v>2365</v>
      </c>
      <c r="Z1214" t="s">
        <v>2365</v>
      </c>
      <c r="AA1214" t="s">
        <v>2365</v>
      </c>
      <c r="AB1214" t="s">
        <v>2365</v>
      </c>
      <c r="AC1214" s="813" t="s">
        <v>2365</v>
      </c>
      <c r="AD1214" s="813" t="s">
        <v>2365</v>
      </c>
      <c r="AE1214" s="813" t="s">
        <v>2365</v>
      </c>
      <c r="AF1214" t="s">
        <v>2365</v>
      </c>
      <c r="AG1214" t="s">
        <v>2365</v>
      </c>
      <c r="AH1214" t="s">
        <v>2365</v>
      </c>
      <c r="AI1214" t="s">
        <v>2365</v>
      </c>
      <c r="AJ1214" t="s">
        <v>2365</v>
      </c>
      <c r="AK1214" t="s">
        <v>2366</v>
      </c>
      <c r="AL1214" t="s">
        <v>2366</v>
      </c>
      <c r="AM1214" t="s">
        <v>2366</v>
      </c>
      <c r="AN1214" t="s">
        <v>2366</v>
      </c>
      <c r="AR1214" t="s">
        <v>2365</v>
      </c>
      <c r="AS1214" t="s">
        <v>2365</v>
      </c>
      <c r="AT1214" t="s">
        <v>2365</v>
      </c>
      <c r="AU1214" t="s">
        <v>2365</v>
      </c>
      <c r="AV1214" t="s">
        <v>2365</v>
      </c>
      <c r="AW1214" t="s">
        <v>2365</v>
      </c>
      <c r="AX1214" t="s">
        <v>2365</v>
      </c>
      <c r="AY1214" t="s">
        <v>2365</v>
      </c>
      <c r="AZ1214" t="s">
        <v>2365</v>
      </c>
      <c r="BA1214" t="s">
        <v>2365</v>
      </c>
      <c r="BB1214" t="s">
        <v>2365</v>
      </c>
      <c r="BC1214" t="s">
        <v>2365</v>
      </c>
      <c r="BD1214" t="s">
        <v>2366</v>
      </c>
      <c r="BE1214" t="s">
        <v>2365</v>
      </c>
      <c r="BF1214" t="s">
        <v>2365</v>
      </c>
      <c r="BG1214" t="s">
        <v>2365</v>
      </c>
      <c r="BH1214" t="s">
        <v>2365</v>
      </c>
      <c r="BI1214" t="s">
        <v>2366</v>
      </c>
      <c r="BJ1214" t="s">
        <v>2365</v>
      </c>
      <c r="BK1214" t="s">
        <v>2365</v>
      </c>
      <c r="BL1214" t="s">
        <v>2365</v>
      </c>
      <c r="BM1214" t="s">
        <v>2365</v>
      </c>
      <c r="BO1214">
        <v>1</v>
      </c>
      <c r="BP1214">
        <v>11</v>
      </c>
      <c r="BQ1214" t="s">
        <v>2369</v>
      </c>
      <c r="BR1214" t="s">
        <v>1487</v>
      </c>
      <c r="BU1214">
        <v>0</v>
      </c>
      <c r="BV1214">
        <v>0</v>
      </c>
      <c r="BW1214" s="1371">
        <v>0</v>
      </c>
      <c r="BX1214" s="1372">
        <v>0</v>
      </c>
      <c r="BY1214" s="1371">
        <v>0</v>
      </c>
      <c r="BZ1214" s="1371">
        <v>0</v>
      </c>
      <c r="CA1214">
        <v>0</v>
      </c>
      <c r="CB1214">
        <v>0</v>
      </c>
      <c r="CC1214">
        <v>0</v>
      </c>
      <c r="CD1214">
        <v>0</v>
      </c>
      <c r="CE1214">
        <v>0</v>
      </c>
      <c r="CF1214">
        <v>0</v>
      </c>
      <c r="CG1214">
        <v>0</v>
      </c>
      <c r="CH1214">
        <v>0</v>
      </c>
      <c r="CI1214">
        <v>0</v>
      </c>
      <c r="CJ1214">
        <v>0</v>
      </c>
      <c r="CK1214">
        <v>0</v>
      </c>
      <c r="CL1214">
        <v>0</v>
      </c>
      <c r="CM1214">
        <v>0</v>
      </c>
      <c r="CR1214" t="s">
        <v>2324</v>
      </c>
      <c r="CS1214" s="1369" t="str">
        <f>INDEX([8]Sheet1!$H:$H,MATCH(CR:CR,[8]Sheet1!$AU:$AU,0))</f>
        <v>Finance</v>
      </c>
    </row>
    <row r="1215" spans="1:97" x14ac:dyDescent="0.2">
      <c r="A1215" t="s">
        <v>4164</v>
      </c>
      <c r="B1215">
        <v>1293</v>
      </c>
      <c r="C1215" t="s">
        <v>4164</v>
      </c>
      <c r="D1215">
        <v>30524</v>
      </c>
      <c r="E1215" t="s">
        <v>3591</v>
      </c>
      <c r="F1215" t="s">
        <v>2364</v>
      </c>
      <c r="G1215" t="s">
        <v>2364</v>
      </c>
      <c r="H1215" t="s">
        <v>2365</v>
      </c>
      <c r="I1215" t="s">
        <v>2365</v>
      </c>
      <c r="J1215" t="s">
        <v>2365</v>
      </c>
      <c r="K1215" t="s">
        <v>2365</v>
      </c>
      <c r="L1215">
        <v>1200</v>
      </c>
      <c r="M1215" t="s">
        <v>1480</v>
      </c>
      <c r="N1215">
        <v>1204</v>
      </c>
      <c r="O1215" t="s">
        <v>1487</v>
      </c>
      <c r="P1215" t="s">
        <v>2366</v>
      </c>
      <c r="Q1215" t="s">
        <v>2364</v>
      </c>
      <c r="R1215" t="s">
        <v>2364</v>
      </c>
      <c r="S1215" t="s">
        <v>553</v>
      </c>
      <c r="T1215" t="s">
        <v>2175</v>
      </c>
      <c r="U1215">
        <v>140</v>
      </c>
      <c r="V1215" t="s">
        <v>693</v>
      </c>
      <c r="W1215">
        <v>140</v>
      </c>
      <c r="X1215" t="s">
        <v>693</v>
      </c>
      <c r="Y1215" t="s">
        <v>2365</v>
      </c>
      <c r="Z1215" t="s">
        <v>2365</v>
      </c>
      <c r="AA1215" t="s">
        <v>2365</v>
      </c>
      <c r="AB1215" t="s">
        <v>2365</v>
      </c>
      <c r="AC1215" s="813" t="s">
        <v>2365</v>
      </c>
      <c r="AD1215" s="813" t="s">
        <v>2365</v>
      </c>
      <c r="AE1215" s="813" t="s">
        <v>2365</v>
      </c>
      <c r="AF1215" t="s">
        <v>2365</v>
      </c>
      <c r="AG1215" t="s">
        <v>2365</v>
      </c>
      <c r="AH1215" t="s">
        <v>2365</v>
      </c>
      <c r="AI1215" t="s">
        <v>2365</v>
      </c>
      <c r="AJ1215" t="s">
        <v>2365</v>
      </c>
      <c r="AK1215" t="s">
        <v>2366</v>
      </c>
      <c r="AL1215" t="s">
        <v>2366</v>
      </c>
      <c r="AM1215" t="s">
        <v>2366</v>
      </c>
      <c r="AN1215" t="s">
        <v>2366</v>
      </c>
      <c r="AR1215" t="s">
        <v>2365</v>
      </c>
      <c r="AS1215" t="s">
        <v>2365</v>
      </c>
      <c r="AT1215" t="s">
        <v>2365</v>
      </c>
      <c r="AU1215" t="s">
        <v>2365</v>
      </c>
      <c r="AV1215" t="s">
        <v>2365</v>
      </c>
      <c r="AW1215" t="s">
        <v>2365</v>
      </c>
      <c r="AX1215" t="s">
        <v>2365</v>
      </c>
      <c r="AY1215" t="s">
        <v>2365</v>
      </c>
      <c r="AZ1215" t="s">
        <v>2365</v>
      </c>
      <c r="BA1215" t="s">
        <v>2365</v>
      </c>
      <c r="BB1215" t="s">
        <v>2365</v>
      </c>
      <c r="BC1215" t="s">
        <v>2365</v>
      </c>
      <c r="BD1215" t="s">
        <v>2366</v>
      </c>
      <c r="BE1215" t="s">
        <v>2365</v>
      </c>
      <c r="BF1215" t="s">
        <v>2365</v>
      </c>
      <c r="BG1215" t="s">
        <v>2365</v>
      </c>
      <c r="BH1215" t="s">
        <v>2365</v>
      </c>
      <c r="BI1215" t="s">
        <v>2366</v>
      </c>
      <c r="BJ1215" t="s">
        <v>2365</v>
      </c>
      <c r="BK1215" t="s">
        <v>2365</v>
      </c>
      <c r="BL1215" t="s">
        <v>2365</v>
      </c>
      <c r="BM1215" t="s">
        <v>2365</v>
      </c>
      <c r="BO1215">
        <v>1</v>
      </c>
      <c r="BP1215">
        <v>11</v>
      </c>
      <c r="BQ1215" t="s">
        <v>2369</v>
      </c>
      <c r="BR1215" t="s">
        <v>1487</v>
      </c>
      <c r="BU1215">
        <v>0</v>
      </c>
      <c r="BV1215">
        <v>0</v>
      </c>
      <c r="BW1215" s="1371">
        <v>0</v>
      </c>
      <c r="BX1215" s="1372">
        <v>0</v>
      </c>
      <c r="BY1215">
        <v>0</v>
      </c>
      <c r="BZ1215">
        <v>0</v>
      </c>
      <c r="CA1215">
        <v>0</v>
      </c>
      <c r="CB1215">
        <v>0</v>
      </c>
      <c r="CC1215">
        <v>0</v>
      </c>
      <c r="CD1215">
        <v>0</v>
      </c>
      <c r="CE1215">
        <v>0</v>
      </c>
      <c r="CF1215">
        <v>0</v>
      </c>
      <c r="CG1215">
        <v>0</v>
      </c>
      <c r="CH1215">
        <v>0</v>
      </c>
      <c r="CI1215">
        <v>0</v>
      </c>
      <c r="CJ1215">
        <v>0</v>
      </c>
      <c r="CK1215">
        <v>0</v>
      </c>
      <c r="CL1215">
        <v>0</v>
      </c>
      <c r="CM1215">
        <v>0</v>
      </c>
      <c r="CR1215" t="s">
        <v>2324</v>
      </c>
      <c r="CS1215" s="1369" t="str">
        <f>INDEX([8]Sheet1!$H:$H,MATCH(CR:CR,[8]Sheet1!$AU:$AU,0))</f>
        <v>Finance</v>
      </c>
    </row>
    <row r="1216" spans="1:97" x14ac:dyDescent="0.2">
      <c r="A1216" t="s">
        <v>4165</v>
      </c>
      <c r="B1216">
        <v>1294</v>
      </c>
      <c r="C1216" t="s">
        <v>4165</v>
      </c>
      <c r="D1216">
        <v>30525</v>
      </c>
      <c r="E1216" t="s">
        <v>3595</v>
      </c>
      <c r="F1216" t="s">
        <v>2364</v>
      </c>
      <c r="G1216" t="s">
        <v>2364</v>
      </c>
      <c r="H1216" t="s">
        <v>2365</v>
      </c>
      <c r="I1216" t="s">
        <v>2365</v>
      </c>
      <c r="J1216" t="s">
        <v>2365</v>
      </c>
      <c r="K1216" t="s">
        <v>2365</v>
      </c>
      <c r="L1216">
        <v>1200</v>
      </c>
      <c r="M1216" t="s">
        <v>1480</v>
      </c>
      <c r="N1216">
        <v>1204</v>
      </c>
      <c r="O1216" t="s">
        <v>1487</v>
      </c>
      <c r="P1216" t="s">
        <v>2366</v>
      </c>
      <c r="Q1216" t="s">
        <v>2364</v>
      </c>
      <c r="R1216" t="s">
        <v>2364</v>
      </c>
      <c r="S1216" t="s">
        <v>553</v>
      </c>
      <c r="T1216" t="s">
        <v>2175</v>
      </c>
      <c r="U1216">
        <v>140</v>
      </c>
      <c r="V1216" t="s">
        <v>693</v>
      </c>
      <c r="W1216">
        <v>140</v>
      </c>
      <c r="X1216" t="s">
        <v>693</v>
      </c>
      <c r="Y1216" t="s">
        <v>2365</v>
      </c>
      <c r="Z1216" t="s">
        <v>2365</v>
      </c>
      <c r="AA1216" t="s">
        <v>2365</v>
      </c>
      <c r="AB1216" t="s">
        <v>2365</v>
      </c>
      <c r="AC1216" s="813" t="s">
        <v>2365</v>
      </c>
      <c r="AD1216" s="813" t="s">
        <v>2365</v>
      </c>
      <c r="AE1216" s="813" t="s">
        <v>2365</v>
      </c>
      <c r="AF1216" t="s">
        <v>2365</v>
      </c>
      <c r="AG1216" t="s">
        <v>2365</v>
      </c>
      <c r="AH1216" t="s">
        <v>2365</v>
      </c>
      <c r="AI1216" t="s">
        <v>2365</v>
      </c>
      <c r="AJ1216" t="s">
        <v>2365</v>
      </c>
      <c r="AK1216" t="s">
        <v>2366</v>
      </c>
      <c r="AL1216" t="s">
        <v>2366</v>
      </c>
      <c r="AM1216" t="s">
        <v>2366</v>
      </c>
      <c r="AN1216" t="s">
        <v>2366</v>
      </c>
      <c r="AR1216" t="s">
        <v>2365</v>
      </c>
      <c r="AS1216" t="s">
        <v>2365</v>
      </c>
      <c r="AT1216" t="s">
        <v>2365</v>
      </c>
      <c r="AU1216" t="s">
        <v>2365</v>
      </c>
      <c r="AV1216" t="s">
        <v>2365</v>
      </c>
      <c r="AW1216" t="s">
        <v>2365</v>
      </c>
      <c r="AX1216" t="s">
        <v>2365</v>
      </c>
      <c r="AY1216" t="s">
        <v>2365</v>
      </c>
      <c r="AZ1216" t="s">
        <v>2365</v>
      </c>
      <c r="BA1216" t="s">
        <v>2365</v>
      </c>
      <c r="BB1216" t="s">
        <v>2365</v>
      </c>
      <c r="BC1216" t="s">
        <v>2365</v>
      </c>
      <c r="BD1216" t="s">
        <v>2366</v>
      </c>
      <c r="BE1216" t="s">
        <v>2365</v>
      </c>
      <c r="BF1216" t="s">
        <v>2365</v>
      </c>
      <c r="BG1216" t="s">
        <v>2365</v>
      </c>
      <c r="BH1216" t="s">
        <v>2365</v>
      </c>
      <c r="BI1216" t="s">
        <v>2366</v>
      </c>
      <c r="BJ1216" t="s">
        <v>2365</v>
      </c>
      <c r="BK1216" t="s">
        <v>2365</v>
      </c>
      <c r="BL1216" t="s">
        <v>2365</v>
      </c>
      <c r="BM1216" t="s">
        <v>2365</v>
      </c>
      <c r="BO1216">
        <v>1</v>
      </c>
      <c r="BP1216">
        <v>11</v>
      </c>
      <c r="BQ1216" t="s">
        <v>2369</v>
      </c>
      <c r="BR1216" t="s">
        <v>1487</v>
      </c>
      <c r="BU1216">
        <v>0</v>
      </c>
      <c r="BV1216">
        <v>0</v>
      </c>
      <c r="BW1216" s="1371">
        <v>0</v>
      </c>
      <c r="BX1216" s="1372">
        <v>0</v>
      </c>
      <c r="BY1216" s="1371">
        <v>0</v>
      </c>
      <c r="BZ1216" s="1371">
        <v>0</v>
      </c>
      <c r="CA1216">
        <v>0</v>
      </c>
      <c r="CB1216">
        <v>0</v>
      </c>
      <c r="CC1216">
        <v>0</v>
      </c>
      <c r="CD1216">
        <v>0</v>
      </c>
      <c r="CE1216">
        <v>0</v>
      </c>
      <c r="CF1216">
        <v>0</v>
      </c>
      <c r="CG1216">
        <v>0</v>
      </c>
      <c r="CH1216">
        <v>0</v>
      </c>
      <c r="CI1216">
        <v>0</v>
      </c>
      <c r="CJ1216">
        <v>0</v>
      </c>
      <c r="CK1216">
        <v>0</v>
      </c>
      <c r="CL1216">
        <v>0</v>
      </c>
      <c r="CM1216">
        <v>0</v>
      </c>
      <c r="CR1216" t="s">
        <v>2324</v>
      </c>
      <c r="CS1216" s="1369" t="str">
        <f>INDEX([8]Sheet1!$H:$H,MATCH(CR:CR,[8]Sheet1!$AU:$AU,0))</f>
        <v>Finance</v>
      </c>
    </row>
    <row r="1217" spans="1:97" x14ac:dyDescent="0.2">
      <c r="A1217" t="s">
        <v>4166</v>
      </c>
      <c r="B1217">
        <v>1295</v>
      </c>
      <c r="C1217" t="s">
        <v>4166</v>
      </c>
      <c r="D1217">
        <v>30526</v>
      </c>
      <c r="E1217" t="s">
        <v>3513</v>
      </c>
      <c r="F1217" t="s">
        <v>2364</v>
      </c>
      <c r="G1217" t="s">
        <v>2364</v>
      </c>
      <c r="H1217" t="s">
        <v>2365</v>
      </c>
      <c r="I1217" t="s">
        <v>2365</v>
      </c>
      <c r="J1217" t="s">
        <v>2365</v>
      </c>
      <c r="K1217" t="s">
        <v>2365</v>
      </c>
      <c r="L1217">
        <v>1200</v>
      </c>
      <c r="M1217" t="s">
        <v>1480</v>
      </c>
      <c r="N1217">
        <v>1204</v>
      </c>
      <c r="O1217" t="s">
        <v>1487</v>
      </c>
      <c r="P1217" t="s">
        <v>2366</v>
      </c>
      <c r="Q1217" t="s">
        <v>2364</v>
      </c>
      <c r="R1217" t="s">
        <v>2364</v>
      </c>
      <c r="S1217" t="s">
        <v>553</v>
      </c>
      <c r="T1217" t="s">
        <v>2175</v>
      </c>
      <c r="U1217" t="s">
        <v>2366</v>
      </c>
      <c r="V1217" t="s">
        <v>2366</v>
      </c>
      <c r="W1217" t="s">
        <v>2366</v>
      </c>
      <c r="X1217" t="s">
        <v>2366</v>
      </c>
      <c r="Y1217" t="s">
        <v>2365</v>
      </c>
      <c r="Z1217" t="s">
        <v>2365</v>
      </c>
      <c r="AA1217" t="s">
        <v>2365</v>
      </c>
      <c r="AB1217" t="s">
        <v>2365</v>
      </c>
      <c r="AC1217" s="813" t="s">
        <v>2365</v>
      </c>
      <c r="AD1217" s="813" t="s">
        <v>2365</v>
      </c>
      <c r="AE1217" s="813" t="s">
        <v>2365</v>
      </c>
      <c r="AF1217" t="s">
        <v>2365</v>
      </c>
      <c r="AG1217" t="s">
        <v>2365</v>
      </c>
      <c r="AH1217" t="s">
        <v>2365</v>
      </c>
      <c r="AI1217" t="s">
        <v>2365</v>
      </c>
      <c r="AJ1217" t="s">
        <v>2365</v>
      </c>
      <c r="AK1217">
        <v>146</v>
      </c>
      <c r="AL1217" t="s">
        <v>1199</v>
      </c>
      <c r="AM1217">
        <v>146</v>
      </c>
      <c r="AN1217" t="s">
        <v>1199</v>
      </c>
      <c r="AR1217" t="s">
        <v>2365</v>
      </c>
      <c r="AS1217" t="s">
        <v>2365</v>
      </c>
      <c r="AT1217" t="s">
        <v>2365</v>
      </c>
      <c r="AU1217" t="s">
        <v>2365</v>
      </c>
      <c r="AV1217" t="s">
        <v>2365</v>
      </c>
      <c r="AW1217" t="s">
        <v>2365</v>
      </c>
      <c r="AX1217" t="s">
        <v>2365</v>
      </c>
      <c r="AY1217" t="s">
        <v>2365</v>
      </c>
      <c r="AZ1217" t="s">
        <v>2365</v>
      </c>
      <c r="BA1217" t="s">
        <v>2365</v>
      </c>
      <c r="BB1217" t="s">
        <v>2365</v>
      </c>
      <c r="BC1217" t="s">
        <v>2365</v>
      </c>
      <c r="BD1217" t="s">
        <v>2366</v>
      </c>
      <c r="BE1217" t="s">
        <v>2365</v>
      </c>
      <c r="BF1217" t="s">
        <v>2365</v>
      </c>
      <c r="BG1217" t="s">
        <v>2365</v>
      </c>
      <c r="BH1217" t="s">
        <v>2365</v>
      </c>
      <c r="BI1217" t="s">
        <v>2366</v>
      </c>
      <c r="BJ1217" t="s">
        <v>2365</v>
      </c>
      <c r="BK1217" t="s">
        <v>2365</v>
      </c>
      <c r="BL1217" t="s">
        <v>2365</v>
      </c>
      <c r="BM1217" t="s">
        <v>2365</v>
      </c>
      <c r="BO1217">
        <v>1</v>
      </c>
      <c r="BP1217">
        <v>11</v>
      </c>
      <c r="BQ1217" t="s">
        <v>2369</v>
      </c>
      <c r="BR1217" t="s">
        <v>1487</v>
      </c>
      <c r="BU1217">
        <v>0</v>
      </c>
      <c r="BV1217">
        <v>0</v>
      </c>
      <c r="BW1217" s="1371">
        <v>0</v>
      </c>
      <c r="BX1217" s="1372">
        <v>0</v>
      </c>
      <c r="BY1217" s="1371">
        <v>0</v>
      </c>
      <c r="BZ1217" s="1371">
        <v>0</v>
      </c>
      <c r="CA1217">
        <v>0</v>
      </c>
      <c r="CB1217">
        <v>0</v>
      </c>
      <c r="CC1217">
        <v>0</v>
      </c>
      <c r="CD1217">
        <v>0</v>
      </c>
      <c r="CE1217">
        <v>0</v>
      </c>
      <c r="CF1217">
        <v>0</v>
      </c>
      <c r="CG1217">
        <v>0</v>
      </c>
      <c r="CH1217">
        <v>0</v>
      </c>
      <c r="CI1217">
        <v>0</v>
      </c>
      <c r="CJ1217">
        <v>0</v>
      </c>
      <c r="CK1217">
        <v>0</v>
      </c>
      <c r="CL1217">
        <v>0</v>
      </c>
      <c r="CM1217">
        <v>0</v>
      </c>
      <c r="CR1217" t="s">
        <v>2324</v>
      </c>
      <c r="CS1217" s="1369" t="str">
        <f>INDEX([8]Sheet1!$H:$H,MATCH(CR:CR,[8]Sheet1!$AU:$AU,0))</f>
        <v>Finance</v>
      </c>
    </row>
    <row r="1218" spans="1:97" x14ac:dyDescent="0.2">
      <c r="A1218" t="s">
        <v>4167</v>
      </c>
      <c r="B1218">
        <v>1296</v>
      </c>
      <c r="C1218" t="s">
        <v>4167</v>
      </c>
      <c r="D1218">
        <v>30527</v>
      </c>
      <c r="E1218" t="s">
        <v>3517</v>
      </c>
      <c r="F1218" t="s">
        <v>2364</v>
      </c>
      <c r="G1218" t="s">
        <v>2364</v>
      </c>
      <c r="H1218" t="s">
        <v>2365</v>
      </c>
      <c r="I1218" t="s">
        <v>2365</v>
      </c>
      <c r="J1218" t="s">
        <v>2365</v>
      </c>
      <c r="K1218" t="s">
        <v>2365</v>
      </c>
      <c r="L1218">
        <v>1200</v>
      </c>
      <c r="M1218" t="s">
        <v>1480</v>
      </c>
      <c r="N1218">
        <v>1204</v>
      </c>
      <c r="O1218" t="s">
        <v>1487</v>
      </c>
      <c r="P1218" t="s">
        <v>2366</v>
      </c>
      <c r="Q1218" t="s">
        <v>2364</v>
      </c>
      <c r="R1218" t="s">
        <v>2364</v>
      </c>
      <c r="S1218" t="s">
        <v>553</v>
      </c>
      <c r="T1218" t="s">
        <v>2175</v>
      </c>
      <c r="U1218" t="s">
        <v>2366</v>
      </c>
      <c r="V1218" t="s">
        <v>2366</v>
      </c>
      <c r="W1218" t="s">
        <v>2366</v>
      </c>
      <c r="X1218" t="s">
        <v>2366</v>
      </c>
      <c r="Y1218" t="s">
        <v>2365</v>
      </c>
      <c r="Z1218" t="s">
        <v>2365</v>
      </c>
      <c r="AA1218" t="s">
        <v>2365</v>
      </c>
      <c r="AB1218" t="s">
        <v>2365</v>
      </c>
      <c r="AC1218" s="813" t="s">
        <v>2365</v>
      </c>
      <c r="AD1218" s="813" t="s">
        <v>2365</v>
      </c>
      <c r="AE1218" s="813" t="s">
        <v>2365</v>
      </c>
      <c r="AF1218" t="s">
        <v>2365</v>
      </c>
      <c r="AG1218" t="s">
        <v>2365</v>
      </c>
      <c r="AH1218" t="s">
        <v>2365</v>
      </c>
      <c r="AI1218" t="s">
        <v>2365</v>
      </c>
      <c r="AJ1218" t="s">
        <v>2365</v>
      </c>
      <c r="AK1218">
        <v>146</v>
      </c>
      <c r="AL1218" t="s">
        <v>1199</v>
      </c>
      <c r="AM1218">
        <v>146</v>
      </c>
      <c r="AN1218" t="s">
        <v>1199</v>
      </c>
      <c r="AR1218" t="s">
        <v>2365</v>
      </c>
      <c r="AS1218" t="s">
        <v>2365</v>
      </c>
      <c r="AT1218" t="s">
        <v>2365</v>
      </c>
      <c r="AU1218" t="s">
        <v>2365</v>
      </c>
      <c r="AV1218" t="s">
        <v>2365</v>
      </c>
      <c r="AW1218" t="s">
        <v>2365</v>
      </c>
      <c r="AX1218" t="s">
        <v>2365</v>
      </c>
      <c r="AY1218" t="s">
        <v>2365</v>
      </c>
      <c r="AZ1218" t="s">
        <v>2365</v>
      </c>
      <c r="BA1218" t="s">
        <v>2365</v>
      </c>
      <c r="BB1218" t="s">
        <v>2365</v>
      </c>
      <c r="BC1218" t="s">
        <v>2365</v>
      </c>
      <c r="BD1218" t="s">
        <v>2366</v>
      </c>
      <c r="BE1218" t="s">
        <v>2365</v>
      </c>
      <c r="BF1218" t="s">
        <v>2365</v>
      </c>
      <c r="BG1218" t="s">
        <v>2365</v>
      </c>
      <c r="BH1218" t="s">
        <v>2365</v>
      </c>
      <c r="BI1218" t="s">
        <v>2366</v>
      </c>
      <c r="BJ1218" t="s">
        <v>2365</v>
      </c>
      <c r="BK1218" t="s">
        <v>2365</v>
      </c>
      <c r="BL1218" t="s">
        <v>2365</v>
      </c>
      <c r="BM1218" t="s">
        <v>2365</v>
      </c>
      <c r="BO1218">
        <v>1</v>
      </c>
      <c r="BP1218">
        <v>11</v>
      </c>
      <c r="BQ1218" t="s">
        <v>2369</v>
      </c>
      <c r="BR1218" t="s">
        <v>1487</v>
      </c>
      <c r="BU1218">
        <v>0</v>
      </c>
      <c r="BV1218">
        <v>0</v>
      </c>
      <c r="BW1218" s="1371">
        <v>0</v>
      </c>
      <c r="BX1218" s="1372">
        <v>0</v>
      </c>
      <c r="BY1218" s="1371">
        <v>0</v>
      </c>
      <c r="BZ1218" s="1371">
        <v>0</v>
      </c>
      <c r="CA1218">
        <v>0</v>
      </c>
      <c r="CB1218">
        <v>0</v>
      </c>
      <c r="CC1218">
        <v>0</v>
      </c>
      <c r="CD1218">
        <v>0</v>
      </c>
      <c r="CE1218">
        <v>0</v>
      </c>
      <c r="CF1218">
        <v>0</v>
      </c>
      <c r="CG1218">
        <v>0</v>
      </c>
      <c r="CH1218">
        <v>0</v>
      </c>
      <c r="CI1218">
        <v>0</v>
      </c>
      <c r="CJ1218">
        <v>0</v>
      </c>
      <c r="CK1218">
        <v>0</v>
      </c>
      <c r="CL1218">
        <v>0</v>
      </c>
      <c r="CM1218">
        <v>0</v>
      </c>
      <c r="CR1218" t="s">
        <v>2324</v>
      </c>
      <c r="CS1218" s="1369" t="str">
        <f>INDEX([8]Sheet1!$H:$H,MATCH(CR:CR,[8]Sheet1!$AU:$AU,0))</f>
        <v>Finance</v>
      </c>
    </row>
    <row r="1219" spans="1:97" x14ac:dyDescent="0.2">
      <c r="A1219" t="s">
        <v>4168</v>
      </c>
      <c r="B1219">
        <v>1300</v>
      </c>
      <c r="C1219" t="s">
        <v>4168</v>
      </c>
      <c r="D1219">
        <v>30531</v>
      </c>
      <c r="E1219" t="s">
        <v>3563</v>
      </c>
      <c r="F1219" t="s">
        <v>2364</v>
      </c>
      <c r="G1219" t="s">
        <v>2364</v>
      </c>
      <c r="H1219" t="s">
        <v>2365</v>
      </c>
      <c r="I1219" t="s">
        <v>2365</v>
      </c>
      <c r="J1219" t="s">
        <v>2365</v>
      </c>
      <c r="K1219" t="s">
        <v>2365</v>
      </c>
      <c r="L1219">
        <v>1200</v>
      </c>
      <c r="M1219" t="s">
        <v>1480</v>
      </c>
      <c r="N1219">
        <v>1204</v>
      </c>
      <c r="O1219" t="s">
        <v>1487</v>
      </c>
      <c r="P1219" t="s">
        <v>2366</v>
      </c>
      <c r="Q1219" t="s">
        <v>2364</v>
      </c>
      <c r="R1219" t="s">
        <v>2364</v>
      </c>
      <c r="S1219" t="s">
        <v>553</v>
      </c>
      <c r="T1219" t="s">
        <v>2175</v>
      </c>
      <c r="U1219">
        <v>140</v>
      </c>
      <c r="V1219" t="s">
        <v>693</v>
      </c>
      <c r="W1219">
        <v>140</v>
      </c>
      <c r="X1219" t="s">
        <v>693</v>
      </c>
      <c r="Y1219" t="s">
        <v>2365</v>
      </c>
      <c r="Z1219" t="s">
        <v>2365</v>
      </c>
      <c r="AA1219" t="s">
        <v>2365</v>
      </c>
      <c r="AB1219" t="s">
        <v>2365</v>
      </c>
      <c r="AC1219" s="813" t="s">
        <v>2365</v>
      </c>
      <c r="AD1219" s="813" t="s">
        <v>2365</v>
      </c>
      <c r="AE1219" s="813" t="s">
        <v>2365</v>
      </c>
      <c r="AF1219" t="s">
        <v>2365</v>
      </c>
      <c r="AG1219" t="s">
        <v>2365</v>
      </c>
      <c r="AH1219" t="s">
        <v>2365</v>
      </c>
      <c r="AI1219" t="s">
        <v>2365</v>
      </c>
      <c r="AJ1219" t="s">
        <v>2365</v>
      </c>
      <c r="AK1219" t="s">
        <v>2366</v>
      </c>
      <c r="AL1219" t="s">
        <v>2366</v>
      </c>
      <c r="AM1219" t="s">
        <v>2366</v>
      </c>
      <c r="AN1219" t="s">
        <v>2366</v>
      </c>
      <c r="AR1219" t="s">
        <v>2365</v>
      </c>
      <c r="AS1219" t="s">
        <v>2365</v>
      </c>
      <c r="AT1219" t="s">
        <v>2365</v>
      </c>
      <c r="AU1219" t="s">
        <v>2365</v>
      </c>
      <c r="AV1219" t="s">
        <v>2365</v>
      </c>
      <c r="AW1219" t="s">
        <v>2365</v>
      </c>
      <c r="AX1219" t="s">
        <v>2365</v>
      </c>
      <c r="AY1219" t="s">
        <v>2365</v>
      </c>
      <c r="AZ1219" t="s">
        <v>2365</v>
      </c>
      <c r="BA1219" t="s">
        <v>2365</v>
      </c>
      <c r="BB1219" t="s">
        <v>2365</v>
      </c>
      <c r="BC1219" t="s">
        <v>2365</v>
      </c>
      <c r="BD1219" t="s">
        <v>2366</v>
      </c>
      <c r="BE1219" t="s">
        <v>2365</v>
      </c>
      <c r="BF1219" t="s">
        <v>2365</v>
      </c>
      <c r="BG1219" t="s">
        <v>2365</v>
      </c>
      <c r="BH1219" t="s">
        <v>2365</v>
      </c>
      <c r="BI1219" t="s">
        <v>2366</v>
      </c>
      <c r="BJ1219" t="s">
        <v>2365</v>
      </c>
      <c r="BK1219" t="s">
        <v>2365</v>
      </c>
      <c r="BL1219" t="s">
        <v>2365</v>
      </c>
      <c r="BM1219" t="s">
        <v>2365</v>
      </c>
      <c r="BO1219">
        <v>1</v>
      </c>
      <c r="BP1219">
        <v>11</v>
      </c>
      <c r="BQ1219" t="s">
        <v>2369</v>
      </c>
      <c r="BR1219" t="s">
        <v>1487</v>
      </c>
      <c r="BU1219">
        <v>0</v>
      </c>
      <c r="BV1219">
        <v>0</v>
      </c>
      <c r="BW1219" s="1371">
        <v>0</v>
      </c>
      <c r="BX1219" s="1372">
        <v>0</v>
      </c>
      <c r="BY1219" s="1371">
        <v>0</v>
      </c>
      <c r="BZ1219" s="1371">
        <v>0</v>
      </c>
      <c r="CA1219">
        <v>0</v>
      </c>
      <c r="CB1219">
        <v>0</v>
      </c>
      <c r="CC1219">
        <v>0</v>
      </c>
      <c r="CD1219">
        <v>0</v>
      </c>
      <c r="CE1219">
        <v>0</v>
      </c>
      <c r="CF1219">
        <v>0</v>
      </c>
      <c r="CG1219">
        <v>0</v>
      </c>
      <c r="CH1219">
        <v>0</v>
      </c>
      <c r="CI1219">
        <v>0</v>
      </c>
      <c r="CJ1219">
        <v>0</v>
      </c>
      <c r="CK1219">
        <v>0</v>
      </c>
      <c r="CL1219">
        <v>0</v>
      </c>
      <c r="CM1219">
        <v>0</v>
      </c>
      <c r="CR1219" t="s">
        <v>2324</v>
      </c>
      <c r="CS1219" s="1369" t="str">
        <f>INDEX([8]Sheet1!$H:$H,MATCH(CR:CR,[8]Sheet1!$AU:$AU,0))</f>
        <v>Finance</v>
      </c>
    </row>
    <row r="1220" spans="1:97" x14ac:dyDescent="0.2">
      <c r="A1220" t="s">
        <v>4169</v>
      </c>
      <c r="B1220">
        <v>1303</v>
      </c>
      <c r="C1220" t="s">
        <v>4169</v>
      </c>
      <c r="D1220">
        <v>30535</v>
      </c>
      <c r="E1220" t="s">
        <v>4170</v>
      </c>
      <c r="F1220" t="s">
        <v>2364</v>
      </c>
      <c r="G1220" t="s">
        <v>2364</v>
      </c>
      <c r="H1220" t="s">
        <v>2365</v>
      </c>
      <c r="I1220" t="s">
        <v>2365</v>
      </c>
      <c r="J1220" t="s">
        <v>2365</v>
      </c>
      <c r="K1220" t="s">
        <v>2365</v>
      </c>
      <c r="L1220">
        <v>4400</v>
      </c>
      <c r="M1220" t="s">
        <v>631</v>
      </c>
      <c r="N1220">
        <v>4403</v>
      </c>
      <c r="O1220" t="s">
        <v>1557</v>
      </c>
      <c r="P1220" t="s">
        <v>2366</v>
      </c>
      <c r="Q1220" t="s">
        <v>2364</v>
      </c>
      <c r="R1220" t="s">
        <v>2364</v>
      </c>
      <c r="S1220" t="s">
        <v>553</v>
      </c>
      <c r="T1220" t="s">
        <v>2175</v>
      </c>
      <c r="U1220" t="s">
        <v>2366</v>
      </c>
      <c r="V1220" t="s">
        <v>2366</v>
      </c>
      <c r="W1220" t="s">
        <v>2366</v>
      </c>
      <c r="X1220" t="s">
        <v>2366</v>
      </c>
      <c r="Y1220" t="s">
        <v>2365</v>
      </c>
      <c r="Z1220" t="s">
        <v>2365</v>
      </c>
      <c r="AA1220" t="s">
        <v>2365</v>
      </c>
      <c r="AB1220" t="s">
        <v>2365</v>
      </c>
      <c r="AC1220" s="813" t="s">
        <v>2365</v>
      </c>
      <c r="AD1220" s="813" t="s">
        <v>2365</v>
      </c>
      <c r="AE1220" s="813" t="s">
        <v>2365</v>
      </c>
      <c r="AF1220" t="s">
        <v>2365</v>
      </c>
      <c r="AG1220" t="s">
        <v>2365</v>
      </c>
      <c r="AH1220" t="s">
        <v>2365</v>
      </c>
      <c r="AI1220" t="s">
        <v>2365</v>
      </c>
      <c r="AJ1220" t="s">
        <v>2365</v>
      </c>
      <c r="AK1220">
        <v>146</v>
      </c>
      <c r="AL1220" t="s">
        <v>1199</v>
      </c>
      <c r="AM1220">
        <v>146</v>
      </c>
      <c r="AN1220" t="s">
        <v>1199</v>
      </c>
      <c r="AR1220" t="s">
        <v>2365</v>
      </c>
      <c r="AS1220" t="s">
        <v>2365</v>
      </c>
      <c r="AT1220" t="s">
        <v>2365</v>
      </c>
      <c r="AU1220" t="s">
        <v>2365</v>
      </c>
      <c r="AV1220" t="s">
        <v>2365</v>
      </c>
      <c r="AW1220" t="s">
        <v>2365</v>
      </c>
      <c r="AX1220" t="s">
        <v>2365</v>
      </c>
      <c r="AY1220" t="s">
        <v>2365</v>
      </c>
      <c r="AZ1220" t="s">
        <v>2365</v>
      </c>
      <c r="BA1220" t="s">
        <v>2365</v>
      </c>
      <c r="BB1220" t="s">
        <v>2365</v>
      </c>
      <c r="BC1220" t="s">
        <v>2365</v>
      </c>
      <c r="BD1220" t="s">
        <v>2366</v>
      </c>
      <c r="BE1220" t="s">
        <v>2365</v>
      </c>
      <c r="BF1220" t="s">
        <v>2365</v>
      </c>
      <c r="BG1220" t="s">
        <v>2365</v>
      </c>
      <c r="BH1220" t="s">
        <v>2365</v>
      </c>
      <c r="BI1220" t="s">
        <v>2366</v>
      </c>
      <c r="BJ1220" t="s">
        <v>2365</v>
      </c>
      <c r="BK1220" t="s">
        <v>2365</v>
      </c>
      <c r="BL1220" t="s">
        <v>2365</v>
      </c>
      <c r="BM1220" t="s">
        <v>2365</v>
      </c>
      <c r="BO1220">
        <v>12</v>
      </c>
      <c r="BP1220">
        <v>121</v>
      </c>
      <c r="BQ1220" t="s">
        <v>1369</v>
      </c>
      <c r="BR1220" t="s">
        <v>1557</v>
      </c>
      <c r="BU1220">
        <v>0</v>
      </c>
      <c r="BV1220">
        <v>0</v>
      </c>
      <c r="BW1220">
        <v>0</v>
      </c>
      <c r="BX1220">
        <v>0</v>
      </c>
      <c r="BY1220" s="1371">
        <v>0</v>
      </c>
      <c r="BZ1220" s="1371">
        <v>0</v>
      </c>
      <c r="CA1220">
        <v>0</v>
      </c>
      <c r="CB1220">
        <v>0</v>
      </c>
      <c r="CC1220">
        <v>0</v>
      </c>
      <c r="CD1220">
        <v>0</v>
      </c>
      <c r="CE1220">
        <v>0</v>
      </c>
      <c r="CF1220">
        <v>0</v>
      </c>
      <c r="CG1220">
        <v>0</v>
      </c>
      <c r="CH1220">
        <v>0</v>
      </c>
      <c r="CI1220">
        <v>0</v>
      </c>
      <c r="CJ1220">
        <v>0</v>
      </c>
      <c r="CK1220">
        <v>0</v>
      </c>
      <c r="CL1220">
        <v>0</v>
      </c>
      <c r="CM1220">
        <v>0</v>
      </c>
      <c r="CR1220" t="s">
        <v>2324</v>
      </c>
      <c r="CS1220" s="1369" t="str">
        <f>INDEX([8]Sheet1!$H:$H,MATCH(CR:CR,[8]Sheet1!$AU:$AU,0))</f>
        <v>Finance</v>
      </c>
    </row>
    <row r="1221" spans="1:97" x14ac:dyDescent="0.2">
      <c r="A1221" t="s">
        <v>4171</v>
      </c>
      <c r="B1221">
        <v>1304</v>
      </c>
      <c r="C1221" t="s">
        <v>4171</v>
      </c>
      <c r="D1221">
        <v>30536</v>
      </c>
      <c r="E1221" t="s">
        <v>4172</v>
      </c>
      <c r="F1221" t="s">
        <v>2364</v>
      </c>
      <c r="G1221" t="s">
        <v>2364</v>
      </c>
      <c r="H1221" t="s">
        <v>2365</v>
      </c>
      <c r="I1221" t="s">
        <v>2365</v>
      </c>
      <c r="J1221" t="s">
        <v>2365</v>
      </c>
      <c r="K1221" t="s">
        <v>2365</v>
      </c>
      <c r="L1221">
        <v>4400</v>
      </c>
      <c r="M1221" t="s">
        <v>631</v>
      </c>
      <c r="N1221">
        <v>4403</v>
      </c>
      <c r="O1221" t="s">
        <v>1557</v>
      </c>
      <c r="P1221" t="s">
        <v>2366</v>
      </c>
      <c r="Q1221" t="s">
        <v>2364</v>
      </c>
      <c r="R1221" t="s">
        <v>2364</v>
      </c>
      <c r="S1221" t="s">
        <v>553</v>
      </c>
      <c r="T1221" t="s">
        <v>2175</v>
      </c>
      <c r="U1221" t="s">
        <v>2366</v>
      </c>
      <c r="V1221" t="s">
        <v>2366</v>
      </c>
      <c r="W1221" t="s">
        <v>2366</v>
      </c>
      <c r="X1221" t="s">
        <v>2366</v>
      </c>
      <c r="Y1221" t="s">
        <v>2365</v>
      </c>
      <c r="Z1221" t="s">
        <v>2365</v>
      </c>
      <c r="AA1221" t="s">
        <v>2365</v>
      </c>
      <c r="AB1221" t="s">
        <v>2365</v>
      </c>
      <c r="AC1221" s="813" t="s">
        <v>2365</v>
      </c>
      <c r="AD1221" s="813" t="s">
        <v>2365</v>
      </c>
      <c r="AE1221" s="813" t="s">
        <v>2365</v>
      </c>
      <c r="AF1221" t="s">
        <v>2365</v>
      </c>
      <c r="AG1221" t="s">
        <v>2365</v>
      </c>
      <c r="AH1221" t="s">
        <v>2365</v>
      </c>
      <c r="AI1221" t="s">
        <v>2365</v>
      </c>
      <c r="AJ1221" t="s">
        <v>2365</v>
      </c>
      <c r="AK1221">
        <v>146</v>
      </c>
      <c r="AL1221" t="s">
        <v>1199</v>
      </c>
      <c r="AM1221">
        <v>146</v>
      </c>
      <c r="AN1221" t="s">
        <v>1199</v>
      </c>
      <c r="AR1221" t="s">
        <v>2365</v>
      </c>
      <c r="AS1221" t="s">
        <v>2365</v>
      </c>
      <c r="AT1221" t="s">
        <v>2365</v>
      </c>
      <c r="AU1221" t="s">
        <v>2365</v>
      </c>
      <c r="AV1221" t="s">
        <v>2365</v>
      </c>
      <c r="AW1221" t="s">
        <v>2365</v>
      </c>
      <c r="AX1221" t="s">
        <v>2365</v>
      </c>
      <c r="AY1221" t="s">
        <v>2365</v>
      </c>
      <c r="AZ1221" t="s">
        <v>2365</v>
      </c>
      <c r="BA1221" t="s">
        <v>2365</v>
      </c>
      <c r="BB1221" t="s">
        <v>2365</v>
      </c>
      <c r="BC1221" t="s">
        <v>2365</v>
      </c>
      <c r="BD1221" t="s">
        <v>2366</v>
      </c>
      <c r="BE1221" t="s">
        <v>2365</v>
      </c>
      <c r="BF1221" t="s">
        <v>2365</v>
      </c>
      <c r="BG1221" t="s">
        <v>2365</v>
      </c>
      <c r="BH1221" t="s">
        <v>2365</v>
      </c>
      <c r="BI1221" t="s">
        <v>2366</v>
      </c>
      <c r="BJ1221" t="s">
        <v>2365</v>
      </c>
      <c r="BK1221" t="s">
        <v>2365</v>
      </c>
      <c r="BL1221" t="s">
        <v>2365</v>
      </c>
      <c r="BM1221" t="s">
        <v>2365</v>
      </c>
      <c r="BO1221">
        <v>12</v>
      </c>
      <c r="BP1221">
        <v>121</v>
      </c>
      <c r="BQ1221" t="s">
        <v>1369</v>
      </c>
      <c r="BR1221" t="s">
        <v>1557</v>
      </c>
      <c r="BU1221">
        <v>0</v>
      </c>
      <c r="BV1221">
        <v>0</v>
      </c>
      <c r="BW1221">
        <v>0</v>
      </c>
      <c r="BX1221">
        <v>0</v>
      </c>
      <c r="BY1221" s="1371">
        <v>0</v>
      </c>
      <c r="BZ1221" s="1371">
        <v>0</v>
      </c>
      <c r="CA1221">
        <v>0</v>
      </c>
      <c r="CB1221">
        <v>0</v>
      </c>
      <c r="CC1221">
        <v>0</v>
      </c>
      <c r="CD1221">
        <v>0</v>
      </c>
      <c r="CE1221">
        <v>0</v>
      </c>
      <c r="CF1221">
        <v>0</v>
      </c>
      <c r="CG1221">
        <v>0</v>
      </c>
      <c r="CH1221">
        <v>0</v>
      </c>
      <c r="CI1221">
        <v>0</v>
      </c>
      <c r="CJ1221">
        <v>0</v>
      </c>
      <c r="CK1221">
        <v>0</v>
      </c>
      <c r="CL1221">
        <v>0</v>
      </c>
      <c r="CM1221">
        <v>0</v>
      </c>
      <c r="CR1221" t="s">
        <v>2328</v>
      </c>
      <c r="CS1221" s="1369" t="str">
        <f>INDEX([8]Sheet1!$H:$H,MATCH(CR:CR,[8]Sheet1!$AU:$AU,0))</f>
        <v>Water Distribution</v>
      </c>
    </row>
    <row r="1222" spans="1:97" x14ac:dyDescent="0.2">
      <c r="A1222" t="s">
        <v>4173</v>
      </c>
      <c r="B1222">
        <v>1305</v>
      </c>
      <c r="C1222" t="s">
        <v>4173</v>
      </c>
      <c r="D1222">
        <v>30537</v>
      </c>
      <c r="E1222" t="s">
        <v>4174</v>
      </c>
      <c r="F1222" t="s">
        <v>2364</v>
      </c>
      <c r="G1222" t="s">
        <v>2364</v>
      </c>
      <c r="H1222" t="s">
        <v>2365</v>
      </c>
      <c r="I1222" t="s">
        <v>2365</v>
      </c>
      <c r="J1222" t="s">
        <v>2365</v>
      </c>
      <c r="K1222" t="s">
        <v>2365</v>
      </c>
      <c r="L1222">
        <v>4400</v>
      </c>
      <c r="M1222" t="s">
        <v>631</v>
      </c>
      <c r="N1222">
        <v>4403</v>
      </c>
      <c r="O1222" t="s">
        <v>1557</v>
      </c>
      <c r="P1222" t="s">
        <v>2366</v>
      </c>
      <c r="Q1222" t="s">
        <v>2364</v>
      </c>
      <c r="R1222" t="s">
        <v>2364</v>
      </c>
      <c r="S1222" t="s">
        <v>553</v>
      </c>
      <c r="T1222" t="s">
        <v>2175</v>
      </c>
      <c r="U1222">
        <v>140</v>
      </c>
      <c r="V1222" t="s">
        <v>693</v>
      </c>
      <c r="W1222">
        <v>140</v>
      </c>
      <c r="X1222" t="s">
        <v>693</v>
      </c>
      <c r="Y1222" t="s">
        <v>2365</v>
      </c>
      <c r="Z1222" t="s">
        <v>2365</v>
      </c>
      <c r="AA1222" t="s">
        <v>2365</v>
      </c>
      <c r="AB1222" t="s">
        <v>2365</v>
      </c>
      <c r="AC1222" s="813" t="s">
        <v>2365</v>
      </c>
      <c r="AD1222" s="813" t="s">
        <v>2365</v>
      </c>
      <c r="AE1222" s="813" t="s">
        <v>2365</v>
      </c>
      <c r="AF1222" t="s">
        <v>2365</v>
      </c>
      <c r="AG1222" t="s">
        <v>2365</v>
      </c>
      <c r="AH1222" t="s">
        <v>2365</v>
      </c>
      <c r="AI1222" t="s">
        <v>2365</v>
      </c>
      <c r="AJ1222" t="s">
        <v>2365</v>
      </c>
      <c r="AK1222" t="s">
        <v>2366</v>
      </c>
      <c r="AL1222" t="s">
        <v>2366</v>
      </c>
      <c r="AM1222" t="s">
        <v>2366</v>
      </c>
      <c r="AN1222" t="s">
        <v>2366</v>
      </c>
      <c r="AR1222" t="s">
        <v>2365</v>
      </c>
      <c r="AS1222" t="s">
        <v>2365</v>
      </c>
      <c r="AT1222" t="s">
        <v>2365</v>
      </c>
      <c r="AU1222" t="s">
        <v>2365</v>
      </c>
      <c r="AV1222" t="s">
        <v>2365</v>
      </c>
      <c r="AW1222" t="s">
        <v>2365</v>
      </c>
      <c r="AX1222" t="s">
        <v>2365</v>
      </c>
      <c r="AY1222" t="s">
        <v>2365</v>
      </c>
      <c r="AZ1222" t="s">
        <v>2365</v>
      </c>
      <c r="BA1222" t="s">
        <v>2365</v>
      </c>
      <c r="BB1222" t="s">
        <v>2365</v>
      </c>
      <c r="BC1222" t="s">
        <v>2365</v>
      </c>
      <c r="BD1222" t="s">
        <v>2366</v>
      </c>
      <c r="BE1222" t="s">
        <v>2365</v>
      </c>
      <c r="BF1222" t="s">
        <v>2365</v>
      </c>
      <c r="BG1222" t="s">
        <v>2365</v>
      </c>
      <c r="BH1222" t="s">
        <v>2365</v>
      </c>
      <c r="BI1222" t="s">
        <v>2366</v>
      </c>
      <c r="BJ1222" t="s">
        <v>2365</v>
      </c>
      <c r="BK1222" t="s">
        <v>2365</v>
      </c>
      <c r="BL1222" t="s">
        <v>2365</v>
      </c>
      <c r="BM1222" t="s">
        <v>2365</v>
      </c>
      <c r="BO1222">
        <v>12</v>
      </c>
      <c r="BP1222">
        <v>121</v>
      </c>
      <c r="BQ1222" t="s">
        <v>1369</v>
      </c>
      <c r="BR1222" t="s">
        <v>1557</v>
      </c>
      <c r="BU1222">
        <v>0</v>
      </c>
      <c r="BV1222">
        <v>0</v>
      </c>
      <c r="BW1222">
        <v>0</v>
      </c>
      <c r="BX1222">
        <v>0</v>
      </c>
      <c r="BY1222" s="1371">
        <v>0</v>
      </c>
      <c r="BZ1222" s="1371">
        <v>0</v>
      </c>
      <c r="CA1222">
        <v>0</v>
      </c>
      <c r="CB1222">
        <v>0</v>
      </c>
      <c r="CC1222">
        <v>0</v>
      </c>
      <c r="CD1222">
        <v>0</v>
      </c>
      <c r="CE1222">
        <v>0</v>
      </c>
      <c r="CF1222">
        <v>0</v>
      </c>
      <c r="CG1222">
        <v>0</v>
      </c>
      <c r="CH1222">
        <v>0</v>
      </c>
      <c r="CI1222">
        <v>0</v>
      </c>
      <c r="CJ1222">
        <v>0</v>
      </c>
      <c r="CK1222">
        <v>0</v>
      </c>
      <c r="CL1222">
        <v>0</v>
      </c>
      <c r="CM1222">
        <v>0</v>
      </c>
      <c r="CR1222" t="s">
        <v>2328</v>
      </c>
      <c r="CS1222" s="1369" t="str">
        <f>INDEX([8]Sheet1!$H:$H,MATCH(CR:CR,[8]Sheet1!$AU:$AU,0))</f>
        <v>Water Distribution</v>
      </c>
    </row>
    <row r="1223" spans="1:97" x14ac:dyDescent="0.2">
      <c r="A1223" t="s">
        <v>4175</v>
      </c>
      <c r="B1223">
        <v>1306</v>
      </c>
      <c r="C1223" t="s">
        <v>4175</v>
      </c>
      <c r="D1223">
        <v>30538</v>
      </c>
      <c r="E1223" t="s">
        <v>4176</v>
      </c>
      <c r="F1223" t="s">
        <v>2364</v>
      </c>
      <c r="G1223" t="s">
        <v>2364</v>
      </c>
      <c r="H1223" t="s">
        <v>2365</v>
      </c>
      <c r="I1223" t="s">
        <v>2365</v>
      </c>
      <c r="J1223" t="s">
        <v>2365</v>
      </c>
      <c r="K1223" t="s">
        <v>2365</v>
      </c>
      <c r="L1223">
        <v>4400</v>
      </c>
      <c r="M1223" t="s">
        <v>631</v>
      </c>
      <c r="N1223">
        <v>4403</v>
      </c>
      <c r="O1223" t="s">
        <v>1557</v>
      </c>
      <c r="P1223" t="s">
        <v>2366</v>
      </c>
      <c r="Q1223" t="s">
        <v>2364</v>
      </c>
      <c r="R1223" t="s">
        <v>2364</v>
      </c>
      <c r="S1223" t="s">
        <v>553</v>
      </c>
      <c r="T1223" t="s">
        <v>2175</v>
      </c>
      <c r="U1223">
        <v>140</v>
      </c>
      <c r="V1223" t="s">
        <v>693</v>
      </c>
      <c r="W1223">
        <v>140</v>
      </c>
      <c r="X1223" t="s">
        <v>693</v>
      </c>
      <c r="Y1223" t="s">
        <v>2365</v>
      </c>
      <c r="Z1223" t="s">
        <v>2365</v>
      </c>
      <c r="AA1223" t="s">
        <v>2365</v>
      </c>
      <c r="AB1223" t="s">
        <v>2365</v>
      </c>
      <c r="AC1223" s="813" t="s">
        <v>2365</v>
      </c>
      <c r="AD1223" s="813" t="s">
        <v>2365</v>
      </c>
      <c r="AE1223" s="813" t="s">
        <v>2365</v>
      </c>
      <c r="AF1223" t="s">
        <v>2365</v>
      </c>
      <c r="AG1223" t="s">
        <v>2365</v>
      </c>
      <c r="AH1223" t="s">
        <v>2365</v>
      </c>
      <c r="AI1223" t="s">
        <v>2365</v>
      </c>
      <c r="AJ1223" t="s">
        <v>2365</v>
      </c>
      <c r="AK1223" t="s">
        <v>2366</v>
      </c>
      <c r="AL1223" t="s">
        <v>2366</v>
      </c>
      <c r="AM1223" t="s">
        <v>2366</v>
      </c>
      <c r="AN1223" t="s">
        <v>2366</v>
      </c>
      <c r="AR1223" t="s">
        <v>2365</v>
      </c>
      <c r="AS1223" t="s">
        <v>2365</v>
      </c>
      <c r="AT1223" t="s">
        <v>2365</v>
      </c>
      <c r="AU1223" t="s">
        <v>2365</v>
      </c>
      <c r="AV1223" t="s">
        <v>2365</v>
      </c>
      <c r="AW1223" t="s">
        <v>2365</v>
      </c>
      <c r="AX1223" t="s">
        <v>2365</v>
      </c>
      <c r="AY1223" t="s">
        <v>2365</v>
      </c>
      <c r="AZ1223" t="s">
        <v>2365</v>
      </c>
      <c r="BA1223" t="s">
        <v>2365</v>
      </c>
      <c r="BB1223" t="s">
        <v>2365</v>
      </c>
      <c r="BC1223" t="s">
        <v>2365</v>
      </c>
      <c r="BD1223" t="s">
        <v>2366</v>
      </c>
      <c r="BE1223" t="s">
        <v>2365</v>
      </c>
      <c r="BF1223" t="s">
        <v>2365</v>
      </c>
      <c r="BG1223" t="s">
        <v>2365</v>
      </c>
      <c r="BH1223" t="s">
        <v>2365</v>
      </c>
      <c r="BI1223" t="s">
        <v>2366</v>
      </c>
      <c r="BJ1223" t="s">
        <v>2365</v>
      </c>
      <c r="BK1223" t="s">
        <v>2365</v>
      </c>
      <c r="BL1223" t="s">
        <v>2365</v>
      </c>
      <c r="BM1223" t="s">
        <v>2365</v>
      </c>
      <c r="BO1223">
        <v>12</v>
      </c>
      <c r="BP1223">
        <v>121</v>
      </c>
      <c r="BQ1223" t="s">
        <v>1369</v>
      </c>
      <c r="BR1223" t="s">
        <v>1557</v>
      </c>
      <c r="BU1223">
        <v>0</v>
      </c>
      <c r="BV1223">
        <v>0</v>
      </c>
      <c r="BW1223">
        <v>0</v>
      </c>
      <c r="BX1223">
        <v>0</v>
      </c>
      <c r="BY1223" s="1371">
        <v>0</v>
      </c>
      <c r="BZ1223" s="1371">
        <v>0</v>
      </c>
      <c r="CA1223">
        <v>0</v>
      </c>
      <c r="CB1223">
        <v>0</v>
      </c>
      <c r="CC1223">
        <v>0</v>
      </c>
      <c r="CD1223">
        <v>0</v>
      </c>
      <c r="CE1223">
        <v>0</v>
      </c>
      <c r="CF1223">
        <v>0</v>
      </c>
      <c r="CG1223">
        <v>0</v>
      </c>
      <c r="CH1223">
        <v>0</v>
      </c>
      <c r="CI1223">
        <v>0</v>
      </c>
      <c r="CJ1223">
        <v>0</v>
      </c>
      <c r="CK1223">
        <v>0</v>
      </c>
      <c r="CL1223">
        <v>0</v>
      </c>
      <c r="CM1223">
        <v>0</v>
      </c>
      <c r="CR1223" t="s">
        <v>2328</v>
      </c>
      <c r="CS1223" s="1369" t="str">
        <f>INDEX([8]Sheet1!$H:$H,MATCH(CR:CR,[8]Sheet1!$AU:$AU,0))</f>
        <v>Water Distribution</v>
      </c>
    </row>
    <row r="1224" spans="1:97" x14ac:dyDescent="0.2">
      <c r="A1224" t="s">
        <v>4177</v>
      </c>
      <c r="B1224">
        <v>1307</v>
      </c>
      <c r="C1224" t="s">
        <v>4177</v>
      </c>
      <c r="D1224">
        <v>30539</v>
      </c>
      <c r="E1224" t="s">
        <v>4178</v>
      </c>
      <c r="F1224" t="s">
        <v>2364</v>
      </c>
      <c r="G1224" t="s">
        <v>2364</v>
      </c>
      <c r="H1224" t="s">
        <v>2365</v>
      </c>
      <c r="I1224" t="s">
        <v>2365</v>
      </c>
      <c r="J1224" t="s">
        <v>2365</v>
      </c>
      <c r="K1224" t="s">
        <v>2365</v>
      </c>
      <c r="L1224">
        <v>4400</v>
      </c>
      <c r="M1224" t="s">
        <v>631</v>
      </c>
      <c r="N1224">
        <v>4403</v>
      </c>
      <c r="O1224" t="s">
        <v>1557</v>
      </c>
      <c r="P1224" t="s">
        <v>2366</v>
      </c>
      <c r="Q1224" t="s">
        <v>2364</v>
      </c>
      <c r="R1224" t="s">
        <v>2364</v>
      </c>
      <c r="S1224" t="s">
        <v>553</v>
      </c>
      <c r="T1224" t="s">
        <v>2175</v>
      </c>
      <c r="U1224">
        <v>140</v>
      </c>
      <c r="V1224" t="s">
        <v>693</v>
      </c>
      <c r="W1224">
        <v>140</v>
      </c>
      <c r="X1224" t="s">
        <v>693</v>
      </c>
      <c r="Y1224" t="s">
        <v>2365</v>
      </c>
      <c r="Z1224" t="s">
        <v>2365</v>
      </c>
      <c r="AA1224" t="s">
        <v>2365</v>
      </c>
      <c r="AB1224" t="s">
        <v>2365</v>
      </c>
      <c r="AC1224" s="813" t="s">
        <v>2365</v>
      </c>
      <c r="AD1224" s="813" t="s">
        <v>2365</v>
      </c>
      <c r="AE1224" s="813" t="s">
        <v>2365</v>
      </c>
      <c r="AF1224" t="s">
        <v>2365</v>
      </c>
      <c r="AG1224" t="s">
        <v>2365</v>
      </c>
      <c r="AH1224" t="s">
        <v>2365</v>
      </c>
      <c r="AI1224" t="s">
        <v>2365</v>
      </c>
      <c r="AJ1224" t="s">
        <v>2365</v>
      </c>
      <c r="AK1224" t="s">
        <v>2366</v>
      </c>
      <c r="AL1224" t="s">
        <v>2366</v>
      </c>
      <c r="AM1224" t="s">
        <v>2366</v>
      </c>
      <c r="AN1224" t="s">
        <v>2366</v>
      </c>
      <c r="AR1224" t="s">
        <v>2365</v>
      </c>
      <c r="AS1224" t="s">
        <v>2365</v>
      </c>
      <c r="AT1224" t="s">
        <v>2365</v>
      </c>
      <c r="AU1224" t="s">
        <v>2365</v>
      </c>
      <c r="AV1224" t="s">
        <v>2365</v>
      </c>
      <c r="AW1224" t="s">
        <v>2365</v>
      </c>
      <c r="AX1224" t="s">
        <v>2365</v>
      </c>
      <c r="AY1224" t="s">
        <v>2365</v>
      </c>
      <c r="AZ1224" t="s">
        <v>2365</v>
      </c>
      <c r="BA1224" t="s">
        <v>2365</v>
      </c>
      <c r="BB1224" t="s">
        <v>2365</v>
      </c>
      <c r="BC1224" t="s">
        <v>2365</v>
      </c>
      <c r="BD1224" t="s">
        <v>2366</v>
      </c>
      <c r="BE1224" t="s">
        <v>2365</v>
      </c>
      <c r="BF1224" t="s">
        <v>2365</v>
      </c>
      <c r="BG1224" t="s">
        <v>2365</v>
      </c>
      <c r="BH1224" t="s">
        <v>2365</v>
      </c>
      <c r="BI1224" t="s">
        <v>2366</v>
      </c>
      <c r="BJ1224" t="s">
        <v>2365</v>
      </c>
      <c r="BK1224" t="s">
        <v>2365</v>
      </c>
      <c r="BL1224" t="s">
        <v>2365</v>
      </c>
      <c r="BM1224" t="s">
        <v>2365</v>
      </c>
      <c r="BO1224">
        <v>12</v>
      </c>
      <c r="BP1224">
        <v>121</v>
      </c>
      <c r="BQ1224" t="s">
        <v>1369</v>
      </c>
      <c r="BR1224" t="s">
        <v>1557</v>
      </c>
      <c r="BU1224">
        <v>0</v>
      </c>
      <c r="BV1224">
        <v>0</v>
      </c>
      <c r="BW1224">
        <v>0</v>
      </c>
      <c r="BX1224">
        <v>0</v>
      </c>
      <c r="BY1224" s="1371">
        <v>0</v>
      </c>
      <c r="BZ1224" s="1371">
        <v>0</v>
      </c>
      <c r="CA1224">
        <v>0</v>
      </c>
      <c r="CB1224">
        <v>5.8207660913467407E-11</v>
      </c>
      <c r="CC1224">
        <v>0</v>
      </c>
      <c r="CD1224">
        <v>0</v>
      </c>
      <c r="CE1224">
        <v>0</v>
      </c>
      <c r="CF1224">
        <v>0</v>
      </c>
      <c r="CG1224">
        <v>0</v>
      </c>
      <c r="CH1224">
        <v>0</v>
      </c>
      <c r="CI1224">
        <v>0</v>
      </c>
      <c r="CJ1224">
        <v>0</v>
      </c>
      <c r="CK1224">
        <v>0</v>
      </c>
      <c r="CL1224">
        <v>0</v>
      </c>
      <c r="CM1224">
        <v>0</v>
      </c>
      <c r="CR1224" t="s">
        <v>2328</v>
      </c>
      <c r="CS1224" s="1369" t="str">
        <f>INDEX([8]Sheet1!$H:$H,MATCH(CR:CR,[8]Sheet1!$AU:$AU,0))</f>
        <v>Water Distribution</v>
      </c>
    </row>
    <row r="1225" spans="1:97" x14ac:dyDescent="0.2">
      <c r="A1225" t="s">
        <v>4179</v>
      </c>
      <c r="B1225">
        <v>1308</v>
      </c>
      <c r="C1225" t="s">
        <v>4179</v>
      </c>
      <c r="D1225">
        <v>30540</v>
      </c>
      <c r="E1225" t="s">
        <v>4180</v>
      </c>
      <c r="F1225" t="s">
        <v>2364</v>
      </c>
      <c r="G1225" t="s">
        <v>2364</v>
      </c>
      <c r="H1225" t="s">
        <v>2365</v>
      </c>
      <c r="I1225" t="s">
        <v>2365</v>
      </c>
      <c r="J1225" t="s">
        <v>2365</v>
      </c>
      <c r="K1225" t="s">
        <v>2365</v>
      </c>
      <c r="L1225">
        <v>4400</v>
      </c>
      <c r="M1225" t="s">
        <v>631</v>
      </c>
      <c r="N1225">
        <v>4403</v>
      </c>
      <c r="O1225" t="s">
        <v>1557</v>
      </c>
      <c r="P1225" t="s">
        <v>2366</v>
      </c>
      <c r="Q1225" t="s">
        <v>2364</v>
      </c>
      <c r="R1225" t="s">
        <v>2364</v>
      </c>
      <c r="S1225" t="s">
        <v>553</v>
      </c>
      <c r="T1225" t="s">
        <v>2175</v>
      </c>
      <c r="U1225">
        <v>140</v>
      </c>
      <c r="V1225" t="s">
        <v>693</v>
      </c>
      <c r="W1225">
        <v>140</v>
      </c>
      <c r="X1225" t="s">
        <v>693</v>
      </c>
      <c r="Y1225" t="s">
        <v>2365</v>
      </c>
      <c r="Z1225" t="s">
        <v>2365</v>
      </c>
      <c r="AA1225" t="s">
        <v>2365</v>
      </c>
      <c r="AB1225" t="s">
        <v>2365</v>
      </c>
      <c r="AC1225" s="813" t="s">
        <v>2365</v>
      </c>
      <c r="AD1225" s="813" t="s">
        <v>2365</v>
      </c>
      <c r="AE1225" s="813" t="s">
        <v>2365</v>
      </c>
      <c r="AF1225" t="s">
        <v>2365</v>
      </c>
      <c r="AG1225" t="s">
        <v>2365</v>
      </c>
      <c r="AH1225" t="s">
        <v>2365</v>
      </c>
      <c r="AI1225" t="s">
        <v>2365</v>
      </c>
      <c r="AJ1225" t="s">
        <v>2365</v>
      </c>
      <c r="AK1225">
        <v>147</v>
      </c>
      <c r="AL1225" t="s">
        <v>1200</v>
      </c>
      <c r="AM1225">
        <v>147</v>
      </c>
      <c r="AN1225" t="s">
        <v>1200</v>
      </c>
      <c r="AR1225" t="s">
        <v>2365</v>
      </c>
      <c r="AS1225" t="s">
        <v>2365</v>
      </c>
      <c r="AT1225" t="s">
        <v>2365</v>
      </c>
      <c r="AU1225" t="s">
        <v>2365</v>
      </c>
      <c r="AV1225" t="s">
        <v>2365</v>
      </c>
      <c r="AW1225" t="s">
        <v>2365</v>
      </c>
      <c r="AX1225" t="s">
        <v>2365</v>
      </c>
      <c r="AY1225" t="s">
        <v>2365</v>
      </c>
      <c r="AZ1225" t="s">
        <v>2365</v>
      </c>
      <c r="BA1225" t="s">
        <v>2365</v>
      </c>
      <c r="BB1225" t="s">
        <v>2365</v>
      </c>
      <c r="BC1225" t="s">
        <v>2365</v>
      </c>
      <c r="BD1225" t="s">
        <v>2366</v>
      </c>
      <c r="BE1225" t="s">
        <v>2365</v>
      </c>
      <c r="BF1225" t="s">
        <v>2365</v>
      </c>
      <c r="BG1225" t="s">
        <v>2365</v>
      </c>
      <c r="BH1225" t="s">
        <v>2365</v>
      </c>
      <c r="BI1225" t="s">
        <v>2366</v>
      </c>
      <c r="BJ1225" t="s">
        <v>2365</v>
      </c>
      <c r="BK1225" t="s">
        <v>2365</v>
      </c>
      <c r="BL1225" t="s">
        <v>2365</v>
      </c>
      <c r="BM1225" t="s">
        <v>2365</v>
      </c>
      <c r="BO1225">
        <v>12</v>
      </c>
      <c r="BP1225">
        <v>121</v>
      </c>
      <c r="BQ1225" t="s">
        <v>1369</v>
      </c>
      <c r="BR1225" t="s">
        <v>1557</v>
      </c>
      <c r="BU1225">
        <v>0</v>
      </c>
      <c r="BV1225">
        <v>0</v>
      </c>
      <c r="BW1225">
        <v>0</v>
      </c>
      <c r="BX1225">
        <v>0</v>
      </c>
      <c r="BY1225" s="1371">
        <v>0</v>
      </c>
      <c r="BZ1225" s="1371">
        <v>0</v>
      </c>
      <c r="CA1225">
        <v>0</v>
      </c>
      <c r="CB1225">
        <v>0</v>
      </c>
      <c r="CC1225">
        <v>0</v>
      </c>
      <c r="CD1225">
        <v>0</v>
      </c>
      <c r="CE1225">
        <v>0</v>
      </c>
      <c r="CF1225">
        <v>0</v>
      </c>
      <c r="CG1225">
        <v>0</v>
      </c>
      <c r="CH1225">
        <v>0</v>
      </c>
      <c r="CI1225">
        <v>0</v>
      </c>
      <c r="CJ1225">
        <v>0</v>
      </c>
      <c r="CK1225">
        <v>0</v>
      </c>
      <c r="CL1225">
        <v>0</v>
      </c>
      <c r="CM1225">
        <v>0</v>
      </c>
      <c r="CR1225" t="s">
        <v>2328</v>
      </c>
      <c r="CS1225" s="1369" t="str">
        <f>INDEX([8]Sheet1!$H:$H,MATCH(CR:CR,[8]Sheet1!$AU:$AU,0))</f>
        <v>Water Distribution</v>
      </c>
    </row>
    <row r="1226" spans="1:97" x14ac:dyDescent="0.2">
      <c r="A1226" t="s">
        <v>4181</v>
      </c>
      <c r="B1226">
        <v>1309</v>
      </c>
      <c r="C1226" t="s">
        <v>4181</v>
      </c>
      <c r="D1226">
        <v>30541</v>
      </c>
      <c r="E1226" t="s">
        <v>4182</v>
      </c>
      <c r="F1226" t="s">
        <v>2364</v>
      </c>
      <c r="G1226" t="s">
        <v>2364</v>
      </c>
      <c r="H1226" t="s">
        <v>2365</v>
      </c>
      <c r="I1226" t="s">
        <v>2365</v>
      </c>
      <c r="J1226" t="s">
        <v>2365</v>
      </c>
      <c r="K1226" t="s">
        <v>2365</v>
      </c>
      <c r="L1226">
        <v>4400</v>
      </c>
      <c r="M1226" t="s">
        <v>631</v>
      </c>
      <c r="N1226">
        <v>4403</v>
      </c>
      <c r="O1226" t="s">
        <v>1557</v>
      </c>
      <c r="P1226" t="s">
        <v>2366</v>
      </c>
      <c r="Q1226" t="s">
        <v>2364</v>
      </c>
      <c r="R1226" t="s">
        <v>2364</v>
      </c>
      <c r="S1226" t="s">
        <v>553</v>
      </c>
      <c r="T1226" t="s">
        <v>2175</v>
      </c>
      <c r="U1226">
        <v>140</v>
      </c>
      <c r="V1226" t="s">
        <v>693</v>
      </c>
      <c r="W1226">
        <v>140</v>
      </c>
      <c r="X1226" t="s">
        <v>693</v>
      </c>
      <c r="Y1226" t="s">
        <v>2365</v>
      </c>
      <c r="Z1226" t="s">
        <v>2365</v>
      </c>
      <c r="AA1226" t="s">
        <v>2365</v>
      </c>
      <c r="AB1226" t="s">
        <v>2365</v>
      </c>
      <c r="AC1226" s="813" t="s">
        <v>2365</v>
      </c>
      <c r="AD1226" s="813" t="s">
        <v>2365</v>
      </c>
      <c r="AE1226" s="813" t="s">
        <v>2365</v>
      </c>
      <c r="AF1226" t="s">
        <v>2365</v>
      </c>
      <c r="AG1226" t="s">
        <v>2365</v>
      </c>
      <c r="AH1226" t="s">
        <v>2365</v>
      </c>
      <c r="AI1226" t="s">
        <v>2365</v>
      </c>
      <c r="AJ1226" t="s">
        <v>2365</v>
      </c>
      <c r="AK1226" t="s">
        <v>2366</v>
      </c>
      <c r="AL1226" t="s">
        <v>2366</v>
      </c>
      <c r="AM1226" t="s">
        <v>2366</v>
      </c>
      <c r="AN1226" t="s">
        <v>2366</v>
      </c>
      <c r="AR1226" t="s">
        <v>2365</v>
      </c>
      <c r="AS1226" t="s">
        <v>2365</v>
      </c>
      <c r="AT1226" t="s">
        <v>2365</v>
      </c>
      <c r="AU1226" t="s">
        <v>2365</v>
      </c>
      <c r="AV1226" t="s">
        <v>2365</v>
      </c>
      <c r="AW1226" t="s">
        <v>2365</v>
      </c>
      <c r="AX1226" t="s">
        <v>2365</v>
      </c>
      <c r="AY1226" t="s">
        <v>2365</v>
      </c>
      <c r="AZ1226" t="s">
        <v>2365</v>
      </c>
      <c r="BA1226" t="s">
        <v>2365</v>
      </c>
      <c r="BB1226" t="s">
        <v>2365</v>
      </c>
      <c r="BC1226" t="s">
        <v>2365</v>
      </c>
      <c r="BD1226" t="s">
        <v>2366</v>
      </c>
      <c r="BE1226" t="s">
        <v>2365</v>
      </c>
      <c r="BF1226" t="s">
        <v>2365</v>
      </c>
      <c r="BG1226" t="s">
        <v>2365</v>
      </c>
      <c r="BH1226" t="s">
        <v>2365</v>
      </c>
      <c r="BI1226" t="s">
        <v>2366</v>
      </c>
      <c r="BJ1226" t="s">
        <v>2365</v>
      </c>
      <c r="BK1226" t="s">
        <v>2365</v>
      </c>
      <c r="BL1226" t="s">
        <v>2365</v>
      </c>
      <c r="BM1226" t="s">
        <v>2365</v>
      </c>
      <c r="BO1226">
        <v>12</v>
      </c>
      <c r="BP1226">
        <v>121</v>
      </c>
      <c r="BQ1226" t="s">
        <v>1369</v>
      </c>
      <c r="BR1226" t="s">
        <v>1557</v>
      </c>
      <c r="BU1226">
        <v>0</v>
      </c>
      <c r="BV1226">
        <v>0</v>
      </c>
      <c r="BW1226">
        <v>0</v>
      </c>
      <c r="BX1226">
        <v>0</v>
      </c>
      <c r="BY1226">
        <v>0</v>
      </c>
      <c r="BZ1226">
        <v>0</v>
      </c>
      <c r="CA1226">
        <v>0</v>
      </c>
      <c r="CB1226">
        <v>0</v>
      </c>
      <c r="CC1226">
        <v>0</v>
      </c>
      <c r="CD1226">
        <v>0</v>
      </c>
      <c r="CE1226">
        <v>0</v>
      </c>
      <c r="CF1226">
        <v>0</v>
      </c>
      <c r="CG1226">
        <v>0</v>
      </c>
      <c r="CH1226">
        <v>0</v>
      </c>
      <c r="CI1226">
        <v>0</v>
      </c>
      <c r="CJ1226">
        <v>0</v>
      </c>
      <c r="CK1226">
        <v>0</v>
      </c>
      <c r="CL1226">
        <v>0</v>
      </c>
      <c r="CM1226">
        <v>0</v>
      </c>
      <c r="CR1226" t="s">
        <v>2328</v>
      </c>
      <c r="CS1226" s="1369" t="str">
        <f>INDEX([8]Sheet1!$H:$H,MATCH(CR:CR,[8]Sheet1!$AU:$AU,0))</f>
        <v>Water Distribution</v>
      </c>
    </row>
    <row r="1227" spans="1:97" x14ac:dyDescent="0.2">
      <c r="A1227" t="s">
        <v>4183</v>
      </c>
      <c r="B1227">
        <v>1310</v>
      </c>
      <c r="C1227" t="s">
        <v>4183</v>
      </c>
      <c r="D1227">
        <v>30542</v>
      </c>
      <c r="E1227" t="s">
        <v>4184</v>
      </c>
      <c r="F1227" t="s">
        <v>2364</v>
      </c>
      <c r="G1227" t="s">
        <v>2364</v>
      </c>
      <c r="H1227" t="s">
        <v>2365</v>
      </c>
      <c r="I1227" t="s">
        <v>2365</v>
      </c>
      <c r="J1227" t="s">
        <v>2365</v>
      </c>
      <c r="K1227" t="s">
        <v>2365</v>
      </c>
      <c r="L1227">
        <v>4400</v>
      </c>
      <c r="M1227" t="s">
        <v>631</v>
      </c>
      <c r="N1227">
        <v>4403</v>
      </c>
      <c r="O1227" t="s">
        <v>1557</v>
      </c>
      <c r="P1227" t="s">
        <v>2366</v>
      </c>
      <c r="Q1227" t="s">
        <v>2364</v>
      </c>
      <c r="R1227" t="s">
        <v>2364</v>
      </c>
      <c r="S1227" t="s">
        <v>553</v>
      </c>
      <c r="T1227" t="s">
        <v>2175</v>
      </c>
      <c r="U1227">
        <v>140</v>
      </c>
      <c r="V1227" t="s">
        <v>693</v>
      </c>
      <c r="W1227">
        <v>140</v>
      </c>
      <c r="X1227" t="s">
        <v>693</v>
      </c>
      <c r="Y1227" t="s">
        <v>2365</v>
      </c>
      <c r="Z1227" t="s">
        <v>2365</v>
      </c>
      <c r="AA1227" t="s">
        <v>2365</v>
      </c>
      <c r="AB1227" t="s">
        <v>2365</v>
      </c>
      <c r="AC1227" s="813" t="s">
        <v>2365</v>
      </c>
      <c r="AD1227" s="813" t="s">
        <v>2365</v>
      </c>
      <c r="AE1227" s="813" t="s">
        <v>2365</v>
      </c>
      <c r="AF1227" t="s">
        <v>2365</v>
      </c>
      <c r="AG1227" t="s">
        <v>2365</v>
      </c>
      <c r="AH1227" t="s">
        <v>2365</v>
      </c>
      <c r="AI1227" t="s">
        <v>2365</v>
      </c>
      <c r="AJ1227" t="s">
        <v>2365</v>
      </c>
      <c r="AK1227" t="s">
        <v>2366</v>
      </c>
      <c r="AL1227" t="s">
        <v>2366</v>
      </c>
      <c r="AM1227" t="s">
        <v>2366</v>
      </c>
      <c r="AN1227" t="s">
        <v>2366</v>
      </c>
      <c r="AR1227" t="s">
        <v>2365</v>
      </c>
      <c r="AS1227" t="s">
        <v>2365</v>
      </c>
      <c r="AT1227" t="s">
        <v>2365</v>
      </c>
      <c r="AU1227" t="s">
        <v>2365</v>
      </c>
      <c r="AV1227" t="s">
        <v>2365</v>
      </c>
      <c r="AW1227" t="s">
        <v>2365</v>
      </c>
      <c r="AX1227" t="s">
        <v>2365</v>
      </c>
      <c r="AY1227" t="s">
        <v>2365</v>
      </c>
      <c r="AZ1227" t="s">
        <v>2365</v>
      </c>
      <c r="BA1227" t="s">
        <v>2365</v>
      </c>
      <c r="BB1227" t="s">
        <v>2365</v>
      </c>
      <c r="BC1227" t="s">
        <v>2365</v>
      </c>
      <c r="BD1227" t="s">
        <v>2366</v>
      </c>
      <c r="BE1227" t="s">
        <v>2365</v>
      </c>
      <c r="BF1227" t="s">
        <v>2365</v>
      </c>
      <c r="BG1227" t="s">
        <v>2365</v>
      </c>
      <c r="BH1227" t="s">
        <v>2365</v>
      </c>
      <c r="BI1227" t="s">
        <v>2366</v>
      </c>
      <c r="BJ1227" t="s">
        <v>2365</v>
      </c>
      <c r="BK1227" t="s">
        <v>2365</v>
      </c>
      <c r="BL1227" t="s">
        <v>2365</v>
      </c>
      <c r="BM1227" t="s">
        <v>2365</v>
      </c>
      <c r="BO1227">
        <v>12</v>
      </c>
      <c r="BP1227">
        <v>121</v>
      </c>
      <c r="BQ1227" t="s">
        <v>1369</v>
      </c>
      <c r="BR1227" t="s">
        <v>1557</v>
      </c>
      <c r="BU1227">
        <v>0</v>
      </c>
      <c r="BV1227">
        <v>0</v>
      </c>
      <c r="BW1227">
        <v>0</v>
      </c>
      <c r="BX1227">
        <v>0</v>
      </c>
      <c r="BY1227">
        <v>0</v>
      </c>
      <c r="BZ1227">
        <v>0</v>
      </c>
      <c r="CA1227">
        <v>0</v>
      </c>
      <c r="CB1227">
        <v>0</v>
      </c>
      <c r="CC1227">
        <v>0</v>
      </c>
      <c r="CD1227">
        <v>0</v>
      </c>
      <c r="CE1227">
        <v>0</v>
      </c>
      <c r="CF1227">
        <v>0</v>
      </c>
      <c r="CG1227">
        <v>0</v>
      </c>
      <c r="CH1227">
        <v>0</v>
      </c>
      <c r="CI1227">
        <v>0</v>
      </c>
      <c r="CJ1227">
        <v>0</v>
      </c>
      <c r="CK1227">
        <v>0</v>
      </c>
      <c r="CL1227">
        <v>0</v>
      </c>
      <c r="CM1227">
        <v>0</v>
      </c>
      <c r="CR1227" t="s">
        <v>2320</v>
      </c>
      <c r="CS1227" s="1369" t="str">
        <f>INDEX([8]Sheet1!$H:$H,MATCH(CR:CR,[8]Sheet1!$AU:$AU,0))</f>
        <v>Administrative and Corporate Support</v>
      </c>
    </row>
    <row r="1228" spans="1:97" x14ac:dyDescent="0.2">
      <c r="A1228" t="s">
        <v>4185</v>
      </c>
      <c r="B1228">
        <v>1311</v>
      </c>
      <c r="C1228" t="s">
        <v>4185</v>
      </c>
      <c r="D1228">
        <v>30544</v>
      </c>
      <c r="E1228" t="s">
        <v>4186</v>
      </c>
      <c r="F1228" t="s">
        <v>2364</v>
      </c>
      <c r="G1228" t="s">
        <v>2364</v>
      </c>
      <c r="H1228" t="s">
        <v>2365</v>
      </c>
      <c r="I1228" t="s">
        <v>2365</v>
      </c>
      <c r="J1228" t="s">
        <v>2365</v>
      </c>
      <c r="K1228" t="s">
        <v>2365</v>
      </c>
      <c r="L1228">
        <v>1200</v>
      </c>
      <c r="M1228" t="s">
        <v>1480</v>
      </c>
      <c r="N1228">
        <v>1204</v>
      </c>
      <c r="O1228" t="s">
        <v>1487</v>
      </c>
      <c r="P1228" t="s">
        <v>2366</v>
      </c>
      <c r="Q1228" t="s">
        <v>2364</v>
      </c>
      <c r="R1228" t="s">
        <v>2364</v>
      </c>
      <c r="S1228" t="s">
        <v>553</v>
      </c>
      <c r="T1228" t="s">
        <v>2367</v>
      </c>
      <c r="U1228" t="s">
        <v>2366</v>
      </c>
      <c r="V1228" t="s">
        <v>2366</v>
      </c>
      <c r="W1228" t="s">
        <v>2366</v>
      </c>
      <c r="X1228" t="s">
        <v>2366</v>
      </c>
      <c r="Y1228" t="s">
        <v>2365</v>
      </c>
      <c r="Z1228" t="s">
        <v>2365</v>
      </c>
      <c r="AA1228" t="s">
        <v>2365</v>
      </c>
      <c r="AB1228" t="s">
        <v>2365</v>
      </c>
      <c r="AC1228" s="813" t="s">
        <v>2365</v>
      </c>
      <c r="AD1228" s="813" t="s">
        <v>2365</v>
      </c>
      <c r="AE1228" s="813" t="s">
        <v>2365</v>
      </c>
      <c r="AF1228" t="s">
        <v>2365</v>
      </c>
      <c r="AG1228" t="s">
        <v>2365</v>
      </c>
      <c r="AH1228" t="s">
        <v>2365</v>
      </c>
      <c r="AI1228" t="s">
        <v>2365</v>
      </c>
      <c r="AJ1228" t="s">
        <v>2365</v>
      </c>
      <c r="AK1228">
        <v>364</v>
      </c>
      <c r="AL1228" t="s">
        <v>1209</v>
      </c>
      <c r="AM1228">
        <v>364</v>
      </c>
      <c r="AN1228" t="s">
        <v>1209</v>
      </c>
      <c r="AR1228" t="s">
        <v>2365</v>
      </c>
      <c r="AS1228" t="s">
        <v>2365</v>
      </c>
      <c r="AT1228" t="s">
        <v>2365</v>
      </c>
      <c r="AU1228" t="s">
        <v>2365</v>
      </c>
      <c r="AV1228" t="s">
        <v>2365</v>
      </c>
      <c r="AW1228" t="s">
        <v>2365</v>
      </c>
      <c r="AX1228" t="s">
        <v>2365</v>
      </c>
      <c r="AY1228" t="s">
        <v>2365</v>
      </c>
      <c r="AZ1228" t="s">
        <v>2365</v>
      </c>
      <c r="BA1228" t="s">
        <v>2365</v>
      </c>
      <c r="BB1228" t="s">
        <v>2365</v>
      </c>
      <c r="BC1228" t="s">
        <v>2365</v>
      </c>
      <c r="BD1228" t="s">
        <v>2366</v>
      </c>
      <c r="BE1228" t="s">
        <v>2365</v>
      </c>
      <c r="BF1228" t="s">
        <v>2365</v>
      </c>
      <c r="BG1228" t="s">
        <v>2365</v>
      </c>
      <c r="BH1228" t="s">
        <v>2365</v>
      </c>
      <c r="BI1228" t="s">
        <v>2366</v>
      </c>
      <c r="BJ1228" t="s">
        <v>2365</v>
      </c>
      <c r="BK1228" t="s">
        <v>2365</v>
      </c>
      <c r="BL1228" t="s">
        <v>2365</v>
      </c>
      <c r="BM1228" t="s">
        <v>2365</v>
      </c>
      <c r="BO1228">
        <v>1</v>
      </c>
      <c r="BP1228">
        <v>11</v>
      </c>
      <c r="BQ1228" t="s">
        <v>2369</v>
      </c>
      <c r="BR1228" t="s">
        <v>1487</v>
      </c>
      <c r="BU1228">
        <v>0</v>
      </c>
      <c r="BV1228">
        <v>0</v>
      </c>
      <c r="BW1228">
        <v>0</v>
      </c>
      <c r="BX1228">
        <v>0</v>
      </c>
      <c r="BY1228">
        <v>0</v>
      </c>
      <c r="BZ1228">
        <v>0</v>
      </c>
      <c r="CA1228">
        <v>0</v>
      </c>
      <c r="CB1228">
        <v>0</v>
      </c>
      <c r="CC1228">
        <v>0</v>
      </c>
      <c r="CD1228">
        <v>0</v>
      </c>
      <c r="CE1228">
        <v>0</v>
      </c>
      <c r="CF1228">
        <v>0</v>
      </c>
      <c r="CG1228">
        <v>0</v>
      </c>
      <c r="CH1228">
        <v>0</v>
      </c>
      <c r="CI1228">
        <v>0</v>
      </c>
      <c r="CJ1228">
        <v>0</v>
      </c>
      <c r="CK1228">
        <v>0</v>
      </c>
      <c r="CL1228">
        <v>0</v>
      </c>
      <c r="CM1228">
        <v>0</v>
      </c>
      <c r="CR1228" t="s">
        <v>2324</v>
      </c>
      <c r="CS1228" s="1369" t="str">
        <f>INDEX([8]Sheet1!$H:$H,MATCH(CR:CR,[8]Sheet1!$AU:$AU,0))</f>
        <v>Finance</v>
      </c>
    </row>
    <row r="1229" spans="1:97" x14ac:dyDescent="0.2">
      <c r="A1229" t="s">
        <v>4187</v>
      </c>
      <c r="B1229">
        <v>1314</v>
      </c>
      <c r="C1229" t="s">
        <v>4187</v>
      </c>
      <c r="D1229">
        <v>30547</v>
      </c>
      <c r="E1229" t="s">
        <v>4188</v>
      </c>
      <c r="F1229" t="s">
        <v>2364</v>
      </c>
      <c r="G1229" t="s">
        <v>2364</v>
      </c>
      <c r="H1229" s="1373" t="s">
        <v>2365</v>
      </c>
      <c r="I1229" t="s">
        <v>2365</v>
      </c>
      <c r="J1229" t="s">
        <v>2365</v>
      </c>
      <c r="K1229" t="s">
        <v>2365</v>
      </c>
      <c r="L1229" s="1373">
        <v>1200</v>
      </c>
      <c r="M1229" t="s">
        <v>1480</v>
      </c>
      <c r="N1229">
        <v>1204</v>
      </c>
      <c r="O1229" t="s">
        <v>1487</v>
      </c>
      <c r="P1229" t="s">
        <v>2366</v>
      </c>
      <c r="Q1229" t="s">
        <v>2364</v>
      </c>
      <c r="R1229" t="s">
        <v>2364</v>
      </c>
      <c r="S1229" t="s">
        <v>553</v>
      </c>
      <c r="T1229" t="s">
        <v>2175</v>
      </c>
      <c r="U1229">
        <v>150</v>
      </c>
      <c r="V1229" t="s">
        <v>694</v>
      </c>
      <c r="W1229">
        <v>150</v>
      </c>
      <c r="X1229" t="s">
        <v>694</v>
      </c>
      <c r="Y1229" t="s">
        <v>2365</v>
      </c>
      <c r="Z1229" t="s">
        <v>2365</v>
      </c>
      <c r="AA1229" t="s">
        <v>2365</v>
      </c>
      <c r="AB1229" t="s">
        <v>2365</v>
      </c>
      <c r="AC1229" s="813" t="s">
        <v>2365</v>
      </c>
      <c r="AD1229" s="813" t="s">
        <v>2365</v>
      </c>
      <c r="AE1229" s="813" t="s">
        <v>2365</v>
      </c>
      <c r="AF1229" t="s">
        <v>2365</v>
      </c>
      <c r="AG1229" t="s">
        <v>2365</v>
      </c>
      <c r="AH1229" t="s">
        <v>2365</v>
      </c>
      <c r="AI1229" t="s">
        <v>2365</v>
      </c>
      <c r="AJ1229" t="s">
        <v>2365</v>
      </c>
      <c r="AK1229" t="s">
        <v>2365</v>
      </c>
      <c r="AL1229" t="s">
        <v>2365</v>
      </c>
      <c r="AM1229" t="s">
        <v>2365</v>
      </c>
      <c r="AN1229" t="s">
        <v>2365</v>
      </c>
      <c r="AR1229" t="s">
        <v>2365</v>
      </c>
      <c r="AS1229" t="s">
        <v>2365</v>
      </c>
      <c r="AT1229" t="s">
        <v>2365</v>
      </c>
      <c r="AU1229" t="s">
        <v>2365</v>
      </c>
      <c r="AV1229" t="s">
        <v>2365</v>
      </c>
      <c r="AW1229" t="s">
        <v>2365</v>
      </c>
      <c r="AX1229" t="s">
        <v>2365</v>
      </c>
      <c r="AY1229" t="s">
        <v>2365</v>
      </c>
      <c r="AZ1229" t="s">
        <v>2365</v>
      </c>
      <c r="BA1229" t="s">
        <v>2365</v>
      </c>
      <c r="BB1229" t="s">
        <v>2365</v>
      </c>
      <c r="BC1229" t="s">
        <v>2365</v>
      </c>
      <c r="BD1229" t="s">
        <v>2366</v>
      </c>
      <c r="BE1229" t="s">
        <v>2365</v>
      </c>
      <c r="BF1229" t="s">
        <v>2365</v>
      </c>
      <c r="BG1229" t="s">
        <v>2365</v>
      </c>
      <c r="BH1229" t="s">
        <v>2365</v>
      </c>
      <c r="BI1229" t="s">
        <v>2366</v>
      </c>
      <c r="BJ1229" t="s">
        <v>2365</v>
      </c>
      <c r="BK1229" t="s">
        <v>2365</v>
      </c>
      <c r="BL1229" t="s">
        <v>2365</v>
      </c>
      <c r="BM1229" t="s">
        <v>2365</v>
      </c>
      <c r="BO1229">
        <v>1</v>
      </c>
      <c r="BP1229">
        <v>11</v>
      </c>
      <c r="BQ1229" t="s">
        <v>2369</v>
      </c>
      <c r="BR1229" t="s">
        <v>1487</v>
      </c>
      <c r="BU1229" s="1371">
        <v>0</v>
      </c>
      <c r="BV1229" s="1371">
        <v>0</v>
      </c>
      <c r="BW1229" s="1371">
        <v>0</v>
      </c>
      <c r="BX1229" s="1371">
        <v>0</v>
      </c>
      <c r="BY1229" s="1371">
        <v>0</v>
      </c>
      <c r="BZ1229" s="1371">
        <v>0</v>
      </c>
      <c r="CA1229">
        <v>0</v>
      </c>
      <c r="CB1229">
        <v>0</v>
      </c>
      <c r="CC1229">
        <v>0</v>
      </c>
      <c r="CD1229">
        <v>0</v>
      </c>
      <c r="CE1229">
        <v>0</v>
      </c>
      <c r="CF1229">
        <v>0</v>
      </c>
      <c r="CG1229">
        <v>0</v>
      </c>
      <c r="CH1229">
        <v>0</v>
      </c>
      <c r="CI1229">
        <v>0</v>
      </c>
      <c r="CJ1229">
        <v>0</v>
      </c>
      <c r="CK1229">
        <v>0</v>
      </c>
      <c r="CL1229">
        <v>0</v>
      </c>
      <c r="CM1229">
        <v>0</v>
      </c>
      <c r="CR1229" t="s">
        <v>2324</v>
      </c>
      <c r="CS1229" s="1369" t="str">
        <f>INDEX([8]Sheet1!$H:$H,MATCH(CR:CR,[8]Sheet1!$AU:$AU,0))</f>
        <v>Finance</v>
      </c>
    </row>
    <row r="1230" spans="1:97" x14ac:dyDescent="0.2">
      <c r="A1230" t="s">
        <v>4189</v>
      </c>
      <c r="B1230">
        <v>1317</v>
      </c>
      <c r="C1230" t="s">
        <v>4189</v>
      </c>
      <c r="D1230">
        <v>30550</v>
      </c>
      <c r="E1230" t="s">
        <v>4190</v>
      </c>
      <c r="F1230" t="s">
        <v>2364</v>
      </c>
      <c r="G1230" t="s">
        <v>2364</v>
      </c>
      <c r="H1230" t="s">
        <v>2365</v>
      </c>
      <c r="I1230" t="s">
        <v>2365</v>
      </c>
      <c r="J1230" t="s">
        <v>2365</v>
      </c>
      <c r="K1230" t="s">
        <v>2365</v>
      </c>
      <c r="L1230">
        <v>1200</v>
      </c>
      <c r="M1230" t="s">
        <v>1480</v>
      </c>
      <c r="N1230">
        <v>1204</v>
      </c>
      <c r="O1230" t="s">
        <v>1487</v>
      </c>
      <c r="P1230" t="s">
        <v>2366</v>
      </c>
      <c r="Q1230" t="s">
        <v>2364</v>
      </c>
      <c r="R1230" t="s">
        <v>2364</v>
      </c>
      <c r="S1230" t="s">
        <v>553</v>
      </c>
      <c r="T1230" t="s">
        <v>2175</v>
      </c>
      <c r="U1230">
        <v>150</v>
      </c>
      <c r="V1230" t="s">
        <v>694</v>
      </c>
      <c r="W1230">
        <v>150</v>
      </c>
      <c r="X1230" t="s">
        <v>694</v>
      </c>
      <c r="Y1230" t="s">
        <v>2365</v>
      </c>
      <c r="Z1230" t="s">
        <v>2365</v>
      </c>
      <c r="AA1230" t="s">
        <v>2365</v>
      </c>
      <c r="AB1230" t="s">
        <v>2365</v>
      </c>
      <c r="AC1230" s="813" t="s">
        <v>2365</v>
      </c>
      <c r="AD1230" s="813" t="s">
        <v>2365</v>
      </c>
      <c r="AE1230" s="813" t="s">
        <v>2365</v>
      </c>
      <c r="AF1230" t="s">
        <v>2365</v>
      </c>
      <c r="AG1230" t="s">
        <v>2365</v>
      </c>
      <c r="AH1230" t="s">
        <v>2365</v>
      </c>
      <c r="AI1230" t="s">
        <v>2365</v>
      </c>
      <c r="AJ1230" t="s">
        <v>2365</v>
      </c>
      <c r="AK1230" t="s">
        <v>2365</v>
      </c>
      <c r="AL1230" t="s">
        <v>2365</v>
      </c>
      <c r="AM1230" t="s">
        <v>2365</v>
      </c>
      <c r="AN1230" t="s">
        <v>2365</v>
      </c>
      <c r="AR1230" t="s">
        <v>2365</v>
      </c>
      <c r="AS1230" t="s">
        <v>2365</v>
      </c>
      <c r="AT1230" t="s">
        <v>2365</v>
      </c>
      <c r="AU1230" t="s">
        <v>2365</v>
      </c>
      <c r="AV1230" t="s">
        <v>2365</v>
      </c>
      <c r="AW1230" t="s">
        <v>2365</v>
      </c>
      <c r="AX1230" t="s">
        <v>2365</v>
      </c>
      <c r="AY1230" t="s">
        <v>2365</v>
      </c>
      <c r="AZ1230" t="s">
        <v>2365</v>
      </c>
      <c r="BA1230" t="s">
        <v>2365</v>
      </c>
      <c r="BB1230" t="s">
        <v>2365</v>
      </c>
      <c r="BC1230" t="s">
        <v>2365</v>
      </c>
      <c r="BD1230" t="s">
        <v>2366</v>
      </c>
      <c r="BE1230" t="s">
        <v>2365</v>
      </c>
      <c r="BF1230" t="s">
        <v>2365</v>
      </c>
      <c r="BG1230" t="s">
        <v>2365</v>
      </c>
      <c r="BH1230" t="s">
        <v>2365</v>
      </c>
      <c r="BI1230" t="s">
        <v>2366</v>
      </c>
      <c r="BJ1230" t="s">
        <v>2365</v>
      </c>
      <c r="BK1230" t="s">
        <v>2365</v>
      </c>
      <c r="BL1230" t="s">
        <v>2365</v>
      </c>
      <c r="BM1230" t="s">
        <v>2365</v>
      </c>
      <c r="BO1230">
        <v>1</v>
      </c>
      <c r="BP1230">
        <v>11</v>
      </c>
      <c r="BQ1230" t="s">
        <v>2369</v>
      </c>
      <c r="BR1230" t="s">
        <v>1487</v>
      </c>
      <c r="BU1230">
        <v>0</v>
      </c>
      <c r="BV1230">
        <v>0</v>
      </c>
      <c r="BW1230">
        <v>0</v>
      </c>
      <c r="BX1230">
        <v>0</v>
      </c>
      <c r="BY1230">
        <v>0</v>
      </c>
      <c r="BZ1230">
        <v>0</v>
      </c>
      <c r="CA1230">
        <v>0</v>
      </c>
      <c r="CB1230">
        <v>0</v>
      </c>
      <c r="CC1230">
        <v>0</v>
      </c>
      <c r="CD1230">
        <v>0</v>
      </c>
      <c r="CE1230">
        <v>0</v>
      </c>
      <c r="CF1230">
        <v>0</v>
      </c>
      <c r="CG1230">
        <v>0</v>
      </c>
      <c r="CH1230">
        <v>0</v>
      </c>
      <c r="CI1230">
        <v>0</v>
      </c>
      <c r="CJ1230">
        <v>0</v>
      </c>
      <c r="CK1230">
        <v>0</v>
      </c>
      <c r="CL1230">
        <v>0</v>
      </c>
      <c r="CM1230">
        <v>0</v>
      </c>
      <c r="CR1230" t="s">
        <v>2324</v>
      </c>
      <c r="CS1230" s="1369" t="str">
        <f>INDEX([8]Sheet1!$H:$H,MATCH(CR:CR,[8]Sheet1!$AU:$AU,0))</f>
        <v>Finance</v>
      </c>
    </row>
    <row r="1231" spans="1:97" x14ac:dyDescent="0.2">
      <c r="A1231" t="s">
        <v>4191</v>
      </c>
      <c r="B1231">
        <v>1319</v>
      </c>
      <c r="C1231" t="s">
        <v>4191</v>
      </c>
      <c r="D1231">
        <v>30552</v>
      </c>
      <c r="E1231" t="s">
        <v>4192</v>
      </c>
      <c r="F1231" t="s">
        <v>2364</v>
      </c>
      <c r="G1231" t="s">
        <v>2364</v>
      </c>
      <c r="H1231" t="s">
        <v>2365</v>
      </c>
      <c r="I1231" t="s">
        <v>2365</v>
      </c>
      <c r="J1231" t="s">
        <v>2365</v>
      </c>
      <c r="K1231" t="s">
        <v>2365</v>
      </c>
      <c r="L1231">
        <v>1200</v>
      </c>
      <c r="M1231" t="s">
        <v>1480</v>
      </c>
      <c r="N1231">
        <v>1204</v>
      </c>
      <c r="O1231" t="s">
        <v>1487</v>
      </c>
      <c r="P1231" t="s">
        <v>2366</v>
      </c>
      <c r="Q1231" t="s">
        <v>2364</v>
      </c>
      <c r="R1231" t="s">
        <v>2364</v>
      </c>
      <c r="S1231" t="s">
        <v>553</v>
      </c>
      <c r="T1231" t="s">
        <v>2175</v>
      </c>
      <c r="U1231">
        <v>150</v>
      </c>
      <c r="V1231" t="s">
        <v>694</v>
      </c>
      <c r="W1231">
        <v>150</v>
      </c>
      <c r="X1231" t="s">
        <v>694</v>
      </c>
      <c r="Y1231" t="s">
        <v>2365</v>
      </c>
      <c r="Z1231" t="s">
        <v>2365</v>
      </c>
      <c r="AA1231" t="s">
        <v>2365</v>
      </c>
      <c r="AB1231" t="s">
        <v>2365</v>
      </c>
      <c r="AC1231" s="813" t="s">
        <v>2365</v>
      </c>
      <c r="AD1231" s="813" t="s">
        <v>2365</v>
      </c>
      <c r="AE1231" s="813" t="s">
        <v>2365</v>
      </c>
      <c r="AF1231" t="s">
        <v>2365</v>
      </c>
      <c r="AG1231" t="s">
        <v>2365</v>
      </c>
      <c r="AH1231" t="s">
        <v>2365</v>
      </c>
      <c r="AI1231" t="s">
        <v>2365</v>
      </c>
      <c r="AJ1231" t="s">
        <v>2365</v>
      </c>
      <c r="AK1231" t="s">
        <v>2365</v>
      </c>
      <c r="AL1231" t="s">
        <v>2365</v>
      </c>
      <c r="AM1231" t="s">
        <v>2365</v>
      </c>
      <c r="AN1231" t="s">
        <v>2365</v>
      </c>
      <c r="AR1231" t="s">
        <v>2365</v>
      </c>
      <c r="AS1231" t="s">
        <v>2365</v>
      </c>
      <c r="AT1231" t="s">
        <v>2365</v>
      </c>
      <c r="AU1231" t="s">
        <v>2365</v>
      </c>
      <c r="AV1231" t="s">
        <v>2365</v>
      </c>
      <c r="AW1231" t="s">
        <v>2365</v>
      </c>
      <c r="AX1231" t="s">
        <v>2365</v>
      </c>
      <c r="AY1231" t="s">
        <v>2365</v>
      </c>
      <c r="AZ1231" t="s">
        <v>2365</v>
      </c>
      <c r="BA1231" t="s">
        <v>2365</v>
      </c>
      <c r="BB1231" t="s">
        <v>2365</v>
      </c>
      <c r="BC1231" t="s">
        <v>2365</v>
      </c>
      <c r="BD1231" t="s">
        <v>2366</v>
      </c>
      <c r="BE1231" t="s">
        <v>2365</v>
      </c>
      <c r="BF1231" t="s">
        <v>2365</v>
      </c>
      <c r="BG1231" t="s">
        <v>2365</v>
      </c>
      <c r="BH1231" t="s">
        <v>2365</v>
      </c>
      <c r="BI1231" t="s">
        <v>2366</v>
      </c>
      <c r="BJ1231" t="s">
        <v>2365</v>
      </c>
      <c r="BK1231" t="s">
        <v>2365</v>
      </c>
      <c r="BL1231" t="s">
        <v>2365</v>
      </c>
      <c r="BM1231" t="s">
        <v>2365</v>
      </c>
      <c r="BO1231">
        <v>1</v>
      </c>
      <c r="BP1231">
        <v>11</v>
      </c>
      <c r="BQ1231" t="s">
        <v>2369</v>
      </c>
      <c r="BR1231" t="s">
        <v>1487</v>
      </c>
      <c r="BU1231">
        <v>0</v>
      </c>
      <c r="BV1231">
        <v>0</v>
      </c>
      <c r="BW1231">
        <v>0</v>
      </c>
      <c r="BX1231">
        <v>0</v>
      </c>
      <c r="BY1231">
        <v>0</v>
      </c>
      <c r="BZ1231">
        <v>0</v>
      </c>
      <c r="CA1231">
        <v>0</v>
      </c>
      <c r="CB1231">
        <v>-485694.6</v>
      </c>
      <c r="CC1231">
        <v>-1361714.47</v>
      </c>
      <c r="CD1231">
        <v>-887198.5</v>
      </c>
      <c r="CE1231">
        <v>-1071293.56</v>
      </c>
      <c r="CF1231">
        <v>0</v>
      </c>
      <c r="CG1231">
        <v>0</v>
      </c>
      <c r="CH1231">
        <v>0</v>
      </c>
      <c r="CI1231">
        <v>-1182486.06</v>
      </c>
      <c r="CJ1231">
        <v>0</v>
      </c>
      <c r="CK1231">
        <v>0</v>
      </c>
      <c r="CL1231">
        <v>0</v>
      </c>
      <c r="CM1231">
        <v>0</v>
      </c>
      <c r="CR1231" t="s">
        <v>2324</v>
      </c>
      <c r="CS1231" s="1369" t="str">
        <f>INDEX([8]Sheet1!$H:$H,MATCH(CR:CR,[8]Sheet1!$AU:$AU,0))</f>
        <v>Finance</v>
      </c>
    </row>
    <row r="1232" spans="1:97" x14ac:dyDescent="0.2">
      <c r="A1232" t="s">
        <v>4193</v>
      </c>
      <c r="B1232">
        <v>1320</v>
      </c>
      <c r="C1232" t="s">
        <v>4193</v>
      </c>
      <c r="D1232">
        <v>30553</v>
      </c>
      <c r="E1232" t="s">
        <v>4194</v>
      </c>
      <c r="F1232" t="s">
        <v>2364</v>
      </c>
      <c r="G1232" t="s">
        <v>2364</v>
      </c>
      <c r="H1232" t="s">
        <v>2365</v>
      </c>
      <c r="I1232" t="s">
        <v>2365</v>
      </c>
      <c r="J1232" t="s">
        <v>2365</v>
      </c>
      <c r="K1232" t="s">
        <v>2365</v>
      </c>
      <c r="L1232">
        <v>1200</v>
      </c>
      <c r="M1232" t="s">
        <v>1480</v>
      </c>
      <c r="N1232">
        <v>1204</v>
      </c>
      <c r="O1232" t="s">
        <v>1487</v>
      </c>
      <c r="P1232" t="s">
        <v>2366</v>
      </c>
      <c r="Q1232" t="s">
        <v>2364</v>
      </c>
      <c r="R1232" t="s">
        <v>2364</v>
      </c>
      <c r="S1232" t="s">
        <v>553</v>
      </c>
      <c r="T1232" t="s">
        <v>2367</v>
      </c>
      <c r="U1232">
        <v>360</v>
      </c>
      <c r="V1232" t="s">
        <v>2368</v>
      </c>
      <c r="W1232">
        <v>360</v>
      </c>
      <c r="X1232" t="s">
        <v>711</v>
      </c>
      <c r="Y1232" t="s">
        <v>2365</v>
      </c>
      <c r="Z1232" t="s">
        <v>2365</v>
      </c>
      <c r="AA1232" t="s">
        <v>2365</v>
      </c>
      <c r="AB1232" t="s">
        <v>2365</v>
      </c>
      <c r="AC1232" s="813" t="s">
        <v>2365</v>
      </c>
      <c r="AD1232" s="813" t="s">
        <v>2365</v>
      </c>
      <c r="AE1232" s="813" t="s">
        <v>2365</v>
      </c>
      <c r="AF1232" t="s">
        <v>2365</v>
      </c>
      <c r="AG1232" t="s">
        <v>2365</v>
      </c>
      <c r="AH1232" t="s">
        <v>2365</v>
      </c>
      <c r="AI1232" t="s">
        <v>2365</v>
      </c>
      <c r="AJ1232" t="s">
        <v>2365</v>
      </c>
      <c r="AK1232">
        <v>361</v>
      </c>
      <c r="AL1232" t="s">
        <v>1804</v>
      </c>
      <c r="AM1232">
        <v>361</v>
      </c>
      <c r="AN1232" t="s">
        <v>1804</v>
      </c>
      <c r="AR1232" t="s">
        <v>2365</v>
      </c>
      <c r="AS1232" t="s">
        <v>2365</v>
      </c>
      <c r="AT1232" t="s">
        <v>2365</v>
      </c>
      <c r="AU1232" t="s">
        <v>2365</v>
      </c>
      <c r="AV1232" t="s">
        <v>2365</v>
      </c>
      <c r="AW1232" t="s">
        <v>2365</v>
      </c>
      <c r="AX1232" t="s">
        <v>2365</v>
      </c>
      <c r="AY1232" t="s">
        <v>2365</v>
      </c>
      <c r="AZ1232" t="s">
        <v>2365</v>
      </c>
      <c r="BA1232" t="s">
        <v>2365</v>
      </c>
      <c r="BB1232" t="s">
        <v>2365</v>
      </c>
      <c r="BC1232" t="s">
        <v>2365</v>
      </c>
      <c r="BD1232" t="s">
        <v>2366</v>
      </c>
      <c r="BE1232" t="s">
        <v>2365</v>
      </c>
      <c r="BF1232" t="s">
        <v>2365</v>
      </c>
      <c r="BG1232" t="s">
        <v>2365</v>
      </c>
      <c r="BH1232" t="s">
        <v>2365</v>
      </c>
      <c r="BI1232" t="s">
        <v>2366</v>
      </c>
      <c r="BJ1232" t="s">
        <v>2365</v>
      </c>
      <c r="BK1232" t="s">
        <v>2365</v>
      </c>
      <c r="BL1232" t="s">
        <v>2365</v>
      </c>
      <c r="BM1232" t="s">
        <v>2365</v>
      </c>
      <c r="BO1232">
        <v>1</v>
      </c>
      <c r="BP1232">
        <v>11</v>
      </c>
      <c r="BQ1232" t="s">
        <v>2369</v>
      </c>
      <c r="BR1232" t="s">
        <v>1487</v>
      </c>
      <c r="BU1232">
        <v>0</v>
      </c>
      <c r="BV1232">
        <v>0</v>
      </c>
      <c r="BW1232">
        <v>0</v>
      </c>
      <c r="BX1232">
        <v>0</v>
      </c>
      <c r="BY1232">
        <v>0</v>
      </c>
      <c r="BZ1232">
        <v>0</v>
      </c>
      <c r="CA1232">
        <v>0</v>
      </c>
      <c r="CB1232">
        <v>0</v>
      </c>
      <c r="CC1232">
        <v>0</v>
      </c>
      <c r="CD1232">
        <v>0</v>
      </c>
      <c r="CE1232">
        <v>0</v>
      </c>
      <c r="CF1232">
        <v>0</v>
      </c>
      <c r="CG1232">
        <v>0</v>
      </c>
      <c r="CH1232">
        <v>0</v>
      </c>
      <c r="CI1232">
        <v>0</v>
      </c>
      <c r="CJ1232">
        <v>0</v>
      </c>
      <c r="CK1232">
        <v>0</v>
      </c>
      <c r="CL1232">
        <v>0</v>
      </c>
      <c r="CM1232">
        <v>0</v>
      </c>
      <c r="CR1232" t="s">
        <v>2324</v>
      </c>
      <c r="CS1232" s="1369" t="str">
        <f>INDEX([8]Sheet1!$H:$H,MATCH(CR:CR,[8]Sheet1!$AU:$AU,0))</f>
        <v>Finance</v>
      </c>
    </row>
    <row r="1233" spans="1:97" x14ac:dyDescent="0.2">
      <c r="A1233" t="s">
        <v>4195</v>
      </c>
      <c r="B1233">
        <v>1321</v>
      </c>
      <c r="C1233" t="s">
        <v>4195</v>
      </c>
      <c r="D1233">
        <v>30554</v>
      </c>
      <c r="E1233" t="s">
        <v>4196</v>
      </c>
      <c r="F1233" t="s">
        <v>2364</v>
      </c>
      <c r="G1233" t="s">
        <v>2364</v>
      </c>
      <c r="H1233" t="s">
        <v>2365</v>
      </c>
      <c r="I1233" t="s">
        <v>2365</v>
      </c>
      <c r="J1233" t="s">
        <v>2365</v>
      </c>
      <c r="K1233" t="s">
        <v>2365</v>
      </c>
      <c r="L1233">
        <v>1200</v>
      </c>
      <c r="M1233" t="s">
        <v>1480</v>
      </c>
      <c r="N1233">
        <v>1204</v>
      </c>
      <c r="O1233" t="s">
        <v>1487</v>
      </c>
      <c r="P1233" t="s">
        <v>2366</v>
      </c>
      <c r="Q1233" t="s">
        <v>2364</v>
      </c>
      <c r="R1233" t="s">
        <v>2364</v>
      </c>
      <c r="S1233" t="s">
        <v>553</v>
      </c>
      <c r="T1233" t="s">
        <v>2367</v>
      </c>
      <c r="U1233">
        <v>360</v>
      </c>
      <c r="V1233" t="s">
        <v>2368</v>
      </c>
      <c r="W1233">
        <v>360</v>
      </c>
      <c r="X1233" t="s">
        <v>711</v>
      </c>
      <c r="Y1233" t="s">
        <v>2365</v>
      </c>
      <c r="Z1233" t="s">
        <v>2365</v>
      </c>
      <c r="AA1233" t="s">
        <v>2365</v>
      </c>
      <c r="AB1233" t="s">
        <v>2365</v>
      </c>
      <c r="AC1233" s="813" t="s">
        <v>2365</v>
      </c>
      <c r="AD1233" s="813" t="s">
        <v>2365</v>
      </c>
      <c r="AE1233" s="813" t="s">
        <v>2365</v>
      </c>
      <c r="AF1233" t="s">
        <v>2365</v>
      </c>
      <c r="AG1233" t="s">
        <v>2365</v>
      </c>
      <c r="AH1233" t="s">
        <v>2365</v>
      </c>
      <c r="AI1233" t="s">
        <v>2365</v>
      </c>
      <c r="AJ1233" t="s">
        <v>2365</v>
      </c>
      <c r="AK1233">
        <v>361</v>
      </c>
      <c r="AL1233" t="s">
        <v>1804</v>
      </c>
      <c r="AM1233">
        <v>361</v>
      </c>
      <c r="AN1233" t="s">
        <v>1804</v>
      </c>
      <c r="AR1233" t="s">
        <v>2365</v>
      </c>
      <c r="AS1233" t="s">
        <v>2365</v>
      </c>
      <c r="AT1233" t="s">
        <v>2365</v>
      </c>
      <c r="AU1233" t="s">
        <v>2365</v>
      </c>
      <c r="AV1233" t="s">
        <v>2365</v>
      </c>
      <c r="AW1233" t="s">
        <v>2365</v>
      </c>
      <c r="AX1233" t="s">
        <v>2365</v>
      </c>
      <c r="AY1233" t="s">
        <v>2365</v>
      </c>
      <c r="AZ1233" t="s">
        <v>2365</v>
      </c>
      <c r="BA1233" t="s">
        <v>2365</v>
      </c>
      <c r="BB1233" t="s">
        <v>2365</v>
      </c>
      <c r="BC1233" t="s">
        <v>2365</v>
      </c>
      <c r="BD1233" t="s">
        <v>2366</v>
      </c>
      <c r="BE1233" t="s">
        <v>2365</v>
      </c>
      <c r="BF1233" t="s">
        <v>2365</v>
      </c>
      <c r="BG1233" t="s">
        <v>2365</v>
      </c>
      <c r="BH1233" t="s">
        <v>2365</v>
      </c>
      <c r="BI1233" t="s">
        <v>2366</v>
      </c>
      <c r="BJ1233" t="s">
        <v>2365</v>
      </c>
      <c r="BK1233" t="s">
        <v>2365</v>
      </c>
      <c r="BL1233" t="s">
        <v>2365</v>
      </c>
      <c r="BM1233" t="s">
        <v>2365</v>
      </c>
      <c r="BO1233">
        <v>1</v>
      </c>
      <c r="BP1233">
        <v>11</v>
      </c>
      <c r="BQ1233" t="s">
        <v>2369</v>
      </c>
      <c r="BR1233" t="s">
        <v>1487</v>
      </c>
      <c r="BU1233">
        <v>0</v>
      </c>
      <c r="BV1233">
        <v>0</v>
      </c>
      <c r="BW1233">
        <v>0</v>
      </c>
      <c r="BX1233">
        <v>0</v>
      </c>
      <c r="BY1233" s="1371">
        <v>0</v>
      </c>
      <c r="BZ1233" s="1371">
        <v>0</v>
      </c>
      <c r="CA1233">
        <v>0</v>
      </c>
      <c r="CB1233">
        <v>0</v>
      </c>
      <c r="CC1233">
        <v>0</v>
      </c>
      <c r="CD1233">
        <v>0</v>
      </c>
      <c r="CE1233">
        <v>0</v>
      </c>
      <c r="CF1233">
        <v>0</v>
      </c>
      <c r="CG1233">
        <v>0</v>
      </c>
      <c r="CH1233">
        <v>0</v>
      </c>
      <c r="CI1233">
        <v>0</v>
      </c>
      <c r="CJ1233">
        <v>0</v>
      </c>
      <c r="CK1233">
        <v>0</v>
      </c>
      <c r="CL1233">
        <v>0</v>
      </c>
      <c r="CM1233">
        <v>0</v>
      </c>
      <c r="CR1233" t="s">
        <v>2324</v>
      </c>
      <c r="CS1233" s="1369" t="str">
        <f>INDEX([8]Sheet1!$H:$H,MATCH(CR:CR,[8]Sheet1!$AU:$AU,0))</f>
        <v>Finance</v>
      </c>
    </row>
    <row r="1234" spans="1:97" x14ac:dyDescent="0.2">
      <c r="A1234" t="s">
        <v>4197</v>
      </c>
      <c r="B1234">
        <v>1322</v>
      </c>
      <c r="C1234" t="s">
        <v>4197</v>
      </c>
      <c r="D1234">
        <v>30555</v>
      </c>
      <c r="E1234" t="s">
        <v>4198</v>
      </c>
      <c r="F1234" t="s">
        <v>2364</v>
      </c>
      <c r="G1234" t="s">
        <v>2364</v>
      </c>
      <c r="H1234" t="s">
        <v>2365</v>
      </c>
      <c r="I1234" t="s">
        <v>2365</v>
      </c>
      <c r="J1234" t="s">
        <v>2365</v>
      </c>
      <c r="K1234" t="s">
        <v>2365</v>
      </c>
      <c r="L1234">
        <v>1200</v>
      </c>
      <c r="M1234" t="s">
        <v>1480</v>
      </c>
      <c r="N1234">
        <v>1204</v>
      </c>
      <c r="O1234" t="s">
        <v>1487</v>
      </c>
      <c r="P1234" t="s">
        <v>2366</v>
      </c>
      <c r="Q1234" t="s">
        <v>2364</v>
      </c>
      <c r="R1234" t="s">
        <v>2364</v>
      </c>
      <c r="S1234" t="s">
        <v>553</v>
      </c>
      <c r="T1234" t="s">
        <v>2367</v>
      </c>
      <c r="U1234">
        <v>360</v>
      </c>
      <c r="V1234" t="s">
        <v>2368</v>
      </c>
      <c r="W1234">
        <v>360</v>
      </c>
      <c r="X1234" t="s">
        <v>711</v>
      </c>
      <c r="Y1234" t="s">
        <v>2365</v>
      </c>
      <c r="Z1234" t="s">
        <v>2365</v>
      </c>
      <c r="AA1234" t="s">
        <v>2365</v>
      </c>
      <c r="AB1234" t="s">
        <v>2365</v>
      </c>
      <c r="AC1234" s="813" t="s">
        <v>2365</v>
      </c>
      <c r="AD1234" s="813" t="s">
        <v>2365</v>
      </c>
      <c r="AE1234" s="813" t="s">
        <v>2365</v>
      </c>
      <c r="AF1234" t="s">
        <v>2365</v>
      </c>
      <c r="AG1234" t="s">
        <v>2365</v>
      </c>
      <c r="AH1234" t="s">
        <v>2365</v>
      </c>
      <c r="AI1234" t="s">
        <v>2365</v>
      </c>
      <c r="AJ1234" t="s">
        <v>2365</v>
      </c>
      <c r="AK1234">
        <v>361</v>
      </c>
      <c r="AL1234" t="s">
        <v>1804</v>
      </c>
      <c r="AM1234">
        <v>361</v>
      </c>
      <c r="AN1234" t="s">
        <v>1804</v>
      </c>
      <c r="AR1234" t="s">
        <v>2365</v>
      </c>
      <c r="AS1234" t="s">
        <v>2365</v>
      </c>
      <c r="AT1234" t="s">
        <v>2365</v>
      </c>
      <c r="AU1234" t="s">
        <v>2365</v>
      </c>
      <c r="AV1234" t="s">
        <v>2365</v>
      </c>
      <c r="AW1234" t="s">
        <v>2365</v>
      </c>
      <c r="AX1234" t="s">
        <v>2365</v>
      </c>
      <c r="AY1234" t="s">
        <v>2365</v>
      </c>
      <c r="AZ1234" t="s">
        <v>2365</v>
      </c>
      <c r="BA1234" t="s">
        <v>2365</v>
      </c>
      <c r="BB1234" t="s">
        <v>2365</v>
      </c>
      <c r="BC1234" t="s">
        <v>2365</v>
      </c>
      <c r="BD1234" t="s">
        <v>2366</v>
      </c>
      <c r="BE1234" t="s">
        <v>2365</v>
      </c>
      <c r="BF1234" t="s">
        <v>2365</v>
      </c>
      <c r="BG1234" t="s">
        <v>2365</v>
      </c>
      <c r="BH1234" t="s">
        <v>2365</v>
      </c>
      <c r="BI1234" t="s">
        <v>2366</v>
      </c>
      <c r="BJ1234" t="s">
        <v>2365</v>
      </c>
      <c r="BK1234" t="s">
        <v>2365</v>
      </c>
      <c r="BL1234" t="s">
        <v>2365</v>
      </c>
      <c r="BM1234" t="s">
        <v>2365</v>
      </c>
      <c r="BO1234">
        <v>1</v>
      </c>
      <c r="BP1234">
        <v>11</v>
      </c>
      <c r="BQ1234" t="s">
        <v>2369</v>
      </c>
      <c r="BR1234" t="s">
        <v>1487</v>
      </c>
      <c r="BU1234">
        <v>0</v>
      </c>
      <c r="BV1234">
        <v>0</v>
      </c>
      <c r="BW1234">
        <v>0</v>
      </c>
      <c r="BX1234">
        <v>0</v>
      </c>
      <c r="BY1234" s="1371">
        <v>0</v>
      </c>
      <c r="BZ1234" s="1371">
        <v>0</v>
      </c>
      <c r="CA1234">
        <v>0</v>
      </c>
      <c r="CB1234">
        <v>-112003.10999999997</v>
      </c>
      <c r="CC1234">
        <v>-158130.16999999998</v>
      </c>
      <c r="CD1234">
        <v>-82657.129999999946</v>
      </c>
      <c r="CE1234">
        <v>-79184.849999999977</v>
      </c>
      <c r="CF1234">
        <v>-79545.37</v>
      </c>
      <c r="CG1234">
        <v>-82949.189999999959</v>
      </c>
      <c r="CH1234">
        <v>-73948.619999999981</v>
      </c>
      <c r="CI1234">
        <v>0</v>
      </c>
      <c r="CJ1234">
        <v>0</v>
      </c>
      <c r="CK1234">
        <v>0</v>
      </c>
      <c r="CL1234">
        <v>0</v>
      </c>
      <c r="CM1234">
        <v>0</v>
      </c>
      <c r="CR1234" t="s">
        <v>2324</v>
      </c>
      <c r="CS1234" s="1369" t="str">
        <f>INDEX([8]Sheet1!$H:$H,MATCH(CR:CR,[8]Sheet1!$AU:$AU,0))</f>
        <v>Finance</v>
      </c>
    </row>
    <row r="1235" spans="1:97" x14ac:dyDescent="0.2">
      <c r="A1235" t="s">
        <v>4199</v>
      </c>
      <c r="B1235">
        <v>1323</v>
      </c>
      <c r="C1235" t="s">
        <v>4199</v>
      </c>
      <c r="D1235">
        <v>30556</v>
      </c>
      <c r="E1235" t="s">
        <v>4200</v>
      </c>
      <c r="F1235" t="s">
        <v>2364</v>
      </c>
      <c r="G1235" t="s">
        <v>2364</v>
      </c>
      <c r="H1235" t="s">
        <v>2365</v>
      </c>
      <c r="I1235" t="s">
        <v>2365</v>
      </c>
      <c r="J1235" t="s">
        <v>2365</v>
      </c>
      <c r="K1235" t="s">
        <v>2365</v>
      </c>
      <c r="L1235">
        <v>1200</v>
      </c>
      <c r="M1235" t="s">
        <v>1480</v>
      </c>
      <c r="N1235">
        <v>1204</v>
      </c>
      <c r="O1235" t="s">
        <v>1487</v>
      </c>
      <c r="P1235" t="s">
        <v>2366</v>
      </c>
      <c r="Q1235" t="s">
        <v>2364</v>
      </c>
      <c r="R1235" t="s">
        <v>2364</v>
      </c>
      <c r="S1235" t="s">
        <v>553</v>
      </c>
      <c r="T1235" t="s">
        <v>2367</v>
      </c>
      <c r="U1235">
        <v>360</v>
      </c>
      <c r="V1235" t="s">
        <v>2368</v>
      </c>
      <c r="W1235">
        <v>360</v>
      </c>
      <c r="X1235" t="s">
        <v>711</v>
      </c>
      <c r="Y1235" t="s">
        <v>2365</v>
      </c>
      <c r="Z1235" t="s">
        <v>2365</v>
      </c>
      <c r="AA1235" t="s">
        <v>2365</v>
      </c>
      <c r="AB1235" t="s">
        <v>2365</v>
      </c>
      <c r="AC1235" s="813" t="s">
        <v>2365</v>
      </c>
      <c r="AD1235" s="813" t="s">
        <v>2365</v>
      </c>
      <c r="AE1235" s="813" t="s">
        <v>2365</v>
      </c>
      <c r="AF1235" t="s">
        <v>2365</v>
      </c>
      <c r="AG1235" t="s">
        <v>2365</v>
      </c>
      <c r="AH1235" t="s">
        <v>2365</v>
      </c>
      <c r="AI1235" t="s">
        <v>2365</v>
      </c>
      <c r="AJ1235" t="s">
        <v>2365</v>
      </c>
      <c r="AK1235">
        <v>361</v>
      </c>
      <c r="AL1235" t="s">
        <v>1804</v>
      </c>
      <c r="AM1235">
        <v>361</v>
      </c>
      <c r="AN1235" t="s">
        <v>1804</v>
      </c>
      <c r="AR1235" t="s">
        <v>2365</v>
      </c>
      <c r="AS1235" t="s">
        <v>2365</v>
      </c>
      <c r="AT1235" t="s">
        <v>2365</v>
      </c>
      <c r="AU1235" t="s">
        <v>2365</v>
      </c>
      <c r="AV1235" t="s">
        <v>2365</v>
      </c>
      <c r="AW1235" t="s">
        <v>2365</v>
      </c>
      <c r="AX1235" t="s">
        <v>2365</v>
      </c>
      <c r="AY1235" t="s">
        <v>2365</v>
      </c>
      <c r="AZ1235" t="s">
        <v>2365</v>
      </c>
      <c r="BA1235" t="s">
        <v>2365</v>
      </c>
      <c r="BB1235" t="s">
        <v>2365</v>
      </c>
      <c r="BC1235" t="s">
        <v>2365</v>
      </c>
      <c r="BD1235" t="s">
        <v>2366</v>
      </c>
      <c r="BE1235" t="s">
        <v>2365</v>
      </c>
      <c r="BF1235" t="s">
        <v>2365</v>
      </c>
      <c r="BG1235" t="s">
        <v>2365</v>
      </c>
      <c r="BH1235" t="s">
        <v>2365</v>
      </c>
      <c r="BI1235" t="s">
        <v>2366</v>
      </c>
      <c r="BJ1235" t="s">
        <v>2365</v>
      </c>
      <c r="BK1235" t="s">
        <v>2365</v>
      </c>
      <c r="BL1235" t="s">
        <v>2365</v>
      </c>
      <c r="BM1235" t="s">
        <v>2365</v>
      </c>
      <c r="BO1235">
        <v>1</v>
      </c>
      <c r="BP1235">
        <v>11</v>
      </c>
      <c r="BQ1235" t="s">
        <v>2369</v>
      </c>
      <c r="BR1235" t="s">
        <v>1487</v>
      </c>
      <c r="BU1235">
        <v>0</v>
      </c>
      <c r="BV1235">
        <v>0</v>
      </c>
      <c r="BW1235">
        <v>0</v>
      </c>
      <c r="BX1235">
        <v>0</v>
      </c>
      <c r="BY1235" s="1371">
        <v>0</v>
      </c>
      <c r="BZ1235" s="1371">
        <v>0</v>
      </c>
      <c r="CA1235">
        <v>0</v>
      </c>
      <c r="CB1235">
        <v>0</v>
      </c>
      <c r="CC1235">
        <v>0</v>
      </c>
      <c r="CD1235">
        <v>0</v>
      </c>
      <c r="CE1235">
        <v>0</v>
      </c>
      <c r="CF1235">
        <v>0</v>
      </c>
      <c r="CG1235">
        <v>0</v>
      </c>
      <c r="CH1235">
        <v>0</v>
      </c>
      <c r="CI1235">
        <v>0</v>
      </c>
      <c r="CJ1235">
        <v>0</v>
      </c>
      <c r="CK1235">
        <v>0</v>
      </c>
      <c r="CL1235">
        <v>0</v>
      </c>
      <c r="CM1235">
        <v>0</v>
      </c>
      <c r="CR1235" t="s">
        <v>2324</v>
      </c>
      <c r="CS1235" s="1369" t="str">
        <f>INDEX([8]Sheet1!$H:$H,MATCH(CR:CR,[8]Sheet1!$AU:$AU,0))</f>
        <v>Finance</v>
      </c>
    </row>
    <row r="1236" spans="1:97" s="813" customFormat="1" x14ac:dyDescent="0.2">
      <c r="A1236" s="813" t="s">
        <v>4201</v>
      </c>
      <c r="B1236" s="813">
        <v>1324</v>
      </c>
      <c r="C1236" s="813" t="s">
        <v>4201</v>
      </c>
      <c r="D1236" s="813">
        <v>30557</v>
      </c>
      <c r="E1236" s="813" t="s">
        <v>4202</v>
      </c>
      <c r="F1236" s="813" t="s">
        <v>2364</v>
      </c>
      <c r="G1236" s="813" t="s">
        <v>2364</v>
      </c>
      <c r="H1236" s="813" t="s">
        <v>2365</v>
      </c>
      <c r="I1236" s="813" t="s">
        <v>2365</v>
      </c>
      <c r="J1236" s="813" t="s">
        <v>2365</v>
      </c>
      <c r="K1236" s="813" t="s">
        <v>2365</v>
      </c>
      <c r="L1236" s="813">
        <v>1200</v>
      </c>
      <c r="M1236" s="813" t="s">
        <v>1480</v>
      </c>
      <c r="N1236" s="813">
        <v>1204</v>
      </c>
      <c r="O1236" s="813" t="s">
        <v>1487</v>
      </c>
      <c r="P1236" s="813" t="s">
        <v>2366</v>
      </c>
      <c r="Q1236" s="813" t="s">
        <v>2364</v>
      </c>
      <c r="R1236" s="813" t="s">
        <v>2364</v>
      </c>
      <c r="S1236" s="813" t="s">
        <v>553</v>
      </c>
      <c r="T1236" s="813" t="s">
        <v>2367</v>
      </c>
      <c r="U1236" s="813">
        <v>360</v>
      </c>
      <c r="V1236" s="813" t="s">
        <v>2368</v>
      </c>
      <c r="W1236" s="813">
        <v>360</v>
      </c>
      <c r="X1236" s="813" t="s">
        <v>711</v>
      </c>
      <c r="Y1236" s="813" t="s">
        <v>2365</v>
      </c>
      <c r="Z1236" s="813" t="s">
        <v>2365</v>
      </c>
      <c r="AA1236" s="813" t="s">
        <v>2365</v>
      </c>
      <c r="AB1236" s="813" t="s">
        <v>2365</v>
      </c>
      <c r="AC1236" s="813" t="s">
        <v>2365</v>
      </c>
      <c r="AD1236" s="813" t="s">
        <v>2365</v>
      </c>
      <c r="AE1236" s="813" t="s">
        <v>2365</v>
      </c>
      <c r="AF1236" s="813" t="s">
        <v>2365</v>
      </c>
      <c r="AG1236" s="813" t="s">
        <v>2365</v>
      </c>
      <c r="AH1236" s="813" t="s">
        <v>2365</v>
      </c>
      <c r="AI1236" s="813" t="s">
        <v>2365</v>
      </c>
      <c r="AJ1236" s="813" t="s">
        <v>2365</v>
      </c>
      <c r="AK1236" s="813">
        <v>361</v>
      </c>
      <c r="AL1236" s="813" t="s">
        <v>1804</v>
      </c>
      <c r="AM1236" s="813">
        <v>361</v>
      </c>
      <c r="AN1236" s="813" t="s">
        <v>1804</v>
      </c>
      <c r="AR1236" s="813" t="s">
        <v>2365</v>
      </c>
      <c r="AS1236" s="813" t="s">
        <v>2365</v>
      </c>
      <c r="AT1236" s="813" t="s">
        <v>2365</v>
      </c>
      <c r="AU1236" s="813" t="s">
        <v>2365</v>
      </c>
      <c r="AV1236" s="813" t="s">
        <v>2365</v>
      </c>
      <c r="AW1236" s="813" t="s">
        <v>2365</v>
      </c>
      <c r="AX1236" s="813" t="s">
        <v>2365</v>
      </c>
      <c r="AY1236" s="813" t="s">
        <v>2365</v>
      </c>
      <c r="AZ1236" s="813" t="s">
        <v>2365</v>
      </c>
      <c r="BA1236" s="813" t="s">
        <v>2365</v>
      </c>
      <c r="BB1236" s="813" t="s">
        <v>2365</v>
      </c>
      <c r="BC1236" s="813" t="s">
        <v>2365</v>
      </c>
      <c r="BD1236" s="813" t="s">
        <v>2366</v>
      </c>
      <c r="BE1236" s="813" t="s">
        <v>2365</v>
      </c>
      <c r="BF1236" s="813" t="s">
        <v>2365</v>
      </c>
      <c r="BG1236" s="813" t="s">
        <v>2365</v>
      </c>
      <c r="BH1236" s="813" t="s">
        <v>2365</v>
      </c>
      <c r="BI1236" s="813" t="s">
        <v>2366</v>
      </c>
      <c r="BJ1236" s="813" t="s">
        <v>2365</v>
      </c>
      <c r="BK1236" s="813" t="s">
        <v>2365</v>
      </c>
      <c r="BL1236" s="813" t="s">
        <v>2365</v>
      </c>
      <c r="BM1236" s="813" t="s">
        <v>2365</v>
      </c>
      <c r="BO1236" s="813">
        <v>1</v>
      </c>
      <c r="BP1236" s="813">
        <v>11</v>
      </c>
      <c r="BQ1236" s="813" t="s">
        <v>2369</v>
      </c>
      <c r="BR1236" s="813" t="s">
        <v>1487</v>
      </c>
      <c r="BU1236" s="813">
        <v>0</v>
      </c>
      <c r="BV1236" s="813">
        <v>0</v>
      </c>
      <c r="BW1236" s="813">
        <v>0</v>
      </c>
      <c r="BX1236" s="813">
        <v>0</v>
      </c>
      <c r="BY1236" s="813">
        <v>0</v>
      </c>
      <c r="BZ1236" s="813">
        <v>0</v>
      </c>
      <c r="CA1236" s="813">
        <v>0</v>
      </c>
      <c r="CB1236" s="813">
        <v>147.39999999996508</v>
      </c>
      <c r="CC1236" s="813">
        <v>865.79999999998836</v>
      </c>
      <c r="CD1236" s="813">
        <v>5165</v>
      </c>
      <c r="CE1236" s="813">
        <v>5165</v>
      </c>
      <c r="CF1236" s="813">
        <v>5165</v>
      </c>
      <c r="CG1236" s="813">
        <v>5165</v>
      </c>
      <c r="CH1236" s="813">
        <v>5502</v>
      </c>
      <c r="CI1236" s="813">
        <v>0</v>
      </c>
      <c r="CJ1236" s="813">
        <v>0</v>
      </c>
      <c r="CK1236" s="813">
        <v>0</v>
      </c>
      <c r="CL1236" s="813">
        <v>0</v>
      </c>
      <c r="CM1236" s="813">
        <v>0</v>
      </c>
      <c r="CR1236" s="813" t="s">
        <v>2324</v>
      </c>
      <c r="CS1236" s="1369" t="str">
        <f>INDEX([8]Sheet1!$H:$H,MATCH(CR:CR,[8]Sheet1!$AU:$AU,0))</f>
        <v>Finance</v>
      </c>
    </row>
    <row r="1237" spans="1:97" x14ac:dyDescent="0.2">
      <c r="A1237" t="s">
        <v>4203</v>
      </c>
      <c r="B1237">
        <v>1325</v>
      </c>
      <c r="C1237" t="s">
        <v>4203</v>
      </c>
      <c r="D1237">
        <v>30558</v>
      </c>
      <c r="E1237" t="s">
        <v>4204</v>
      </c>
      <c r="F1237" t="s">
        <v>2364</v>
      </c>
      <c r="G1237" t="s">
        <v>2364</v>
      </c>
      <c r="H1237" t="s">
        <v>2365</v>
      </c>
      <c r="I1237" t="s">
        <v>2365</v>
      </c>
      <c r="J1237" t="s">
        <v>2365</v>
      </c>
      <c r="K1237" t="s">
        <v>2365</v>
      </c>
      <c r="L1237">
        <v>1200</v>
      </c>
      <c r="M1237" t="s">
        <v>1480</v>
      </c>
      <c r="N1237">
        <v>1204</v>
      </c>
      <c r="O1237" t="s">
        <v>1487</v>
      </c>
      <c r="P1237" t="s">
        <v>2366</v>
      </c>
      <c r="Q1237" t="s">
        <v>2364</v>
      </c>
      <c r="R1237" t="s">
        <v>2364</v>
      </c>
      <c r="S1237" t="s">
        <v>553</v>
      </c>
      <c r="T1237" t="s">
        <v>2367</v>
      </c>
      <c r="U1237">
        <v>360</v>
      </c>
      <c r="V1237" t="s">
        <v>2368</v>
      </c>
      <c r="W1237">
        <v>360</v>
      </c>
      <c r="X1237" t="s">
        <v>711</v>
      </c>
      <c r="Y1237" t="s">
        <v>2365</v>
      </c>
      <c r="Z1237" t="s">
        <v>2365</v>
      </c>
      <c r="AA1237" t="s">
        <v>2365</v>
      </c>
      <c r="AB1237" t="s">
        <v>2365</v>
      </c>
      <c r="AC1237" s="813" t="s">
        <v>2365</v>
      </c>
      <c r="AD1237" s="813" t="s">
        <v>2365</v>
      </c>
      <c r="AE1237" s="813" t="s">
        <v>2365</v>
      </c>
      <c r="AF1237" t="s">
        <v>2365</v>
      </c>
      <c r="AG1237" t="s">
        <v>2365</v>
      </c>
      <c r="AH1237" t="s">
        <v>2365</v>
      </c>
      <c r="AI1237" t="s">
        <v>2365</v>
      </c>
      <c r="AJ1237" t="s">
        <v>2365</v>
      </c>
      <c r="AK1237">
        <v>361</v>
      </c>
      <c r="AL1237" t="s">
        <v>1804</v>
      </c>
      <c r="AM1237">
        <v>361</v>
      </c>
      <c r="AN1237" t="s">
        <v>1804</v>
      </c>
      <c r="AR1237" t="s">
        <v>2365</v>
      </c>
      <c r="AS1237" t="s">
        <v>2365</v>
      </c>
      <c r="AT1237" t="s">
        <v>2365</v>
      </c>
      <c r="AU1237" t="s">
        <v>2365</v>
      </c>
      <c r="AV1237" t="s">
        <v>2365</v>
      </c>
      <c r="AW1237" t="s">
        <v>2365</v>
      </c>
      <c r="AX1237" t="s">
        <v>2365</v>
      </c>
      <c r="AY1237" t="s">
        <v>2365</v>
      </c>
      <c r="AZ1237" t="s">
        <v>2365</v>
      </c>
      <c r="BA1237" t="s">
        <v>2365</v>
      </c>
      <c r="BB1237" t="s">
        <v>2365</v>
      </c>
      <c r="BC1237" t="s">
        <v>2365</v>
      </c>
      <c r="BD1237" t="s">
        <v>2366</v>
      </c>
      <c r="BE1237" t="s">
        <v>2365</v>
      </c>
      <c r="BF1237" t="s">
        <v>2365</v>
      </c>
      <c r="BG1237" t="s">
        <v>2365</v>
      </c>
      <c r="BH1237" t="s">
        <v>2365</v>
      </c>
      <c r="BI1237" t="s">
        <v>2366</v>
      </c>
      <c r="BJ1237" t="s">
        <v>2365</v>
      </c>
      <c r="BK1237" t="s">
        <v>2365</v>
      </c>
      <c r="BL1237" t="s">
        <v>2365</v>
      </c>
      <c r="BM1237" t="s">
        <v>2365</v>
      </c>
      <c r="BO1237">
        <v>1</v>
      </c>
      <c r="BP1237">
        <v>11</v>
      </c>
      <c r="BQ1237" t="s">
        <v>2369</v>
      </c>
      <c r="BR1237" t="s">
        <v>1487</v>
      </c>
      <c r="BU1237">
        <v>0</v>
      </c>
      <c r="BV1237">
        <v>0</v>
      </c>
      <c r="BW1237">
        <v>0</v>
      </c>
      <c r="BX1237">
        <v>0</v>
      </c>
      <c r="BY1237" s="1371">
        <v>0</v>
      </c>
      <c r="BZ1237" s="1371">
        <v>0</v>
      </c>
      <c r="CA1237">
        <v>0</v>
      </c>
      <c r="CB1237">
        <v>-385489.12000000005</v>
      </c>
      <c r="CC1237">
        <v>481760.69999999984</v>
      </c>
      <c r="CD1237">
        <v>-26754.210000000079</v>
      </c>
      <c r="CE1237">
        <v>-34724.949999999895</v>
      </c>
      <c r="CF1237">
        <v>-14205.309999999998</v>
      </c>
      <c r="CG1237">
        <v>-14205.310000000056</v>
      </c>
      <c r="CH1237">
        <v>-14205.310000000056</v>
      </c>
      <c r="CI1237">
        <v>0</v>
      </c>
      <c r="CJ1237">
        <v>0</v>
      </c>
      <c r="CK1237">
        <v>0</v>
      </c>
      <c r="CL1237">
        <v>0</v>
      </c>
      <c r="CM1237">
        <v>0</v>
      </c>
      <c r="CR1237" t="s">
        <v>2324</v>
      </c>
      <c r="CS1237" s="1369" t="str">
        <f>INDEX([8]Sheet1!$H:$H,MATCH(CR:CR,[8]Sheet1!$AU:$AU,0))</f>
        <v>Finance</v>
      </c>
    </row>
    <row r="1238" spans="1:97" x14ac:dyDescent="0.2">
      <c r="A1238" t="s">
        <v>4205</v>
      </c>
      <c r="B1238">
        <v>1326</v>
      </c>
      <c r="C1238" t="s">
        <v>4205</v>
      </c>
      <c r="D1238">
        <v>30559</v>
      </c>
      <c r="E1238" t="s">
        <v>4206</v>
      </c>
      <c r="F1238" t="s">
        <v>2364</v>
      </c>
      <c r="G1238" t="s">
        <v>2364</v>
      </c>
      <c r="H1238" t="s">
        <v>2365</v>
      </c>
      <c r="I1238" t="s">
        <v>2365</v>
      </c>
      <c r="J1238" t="s">
        <v>2365</v>
      </c>
      <c r="K1238" t="s">
        <v>2365</v>
      </c>
      <c r="L1238">
        <v>1200</v>
      </c>
      <c r="M1238" t="s">
        <v>1480</v>
      </c>
      <c r="N1238">
        <v>1204</v>
      </c>
      <c r="O1238" t="s">
        <v>1487</v>
      </c>
      <c r="P1238" t="s">
        <v>2366</v>
      </c>
      <c r="Q1238" t="s">
        <v>2364</v>
      </c>
      <c r="R1238" t="s">
        <v>2364</v>
      </c>
      <c r="S1238" t="s">
        <v>553</v>
      </c>
      <c r="T1238" t="s">
        <v>2367</v>
      </c>
      <c r="U1238">
        <v>360</v>
      </c>
      <c r="V1238" t="s">
        <v>2368</v>
      </c>
      <c r="W1238">
        <v>360</v>
      </c>
      <c r="X1238" t="s">
        <v>711</v>
      </c>
      <c r="Y1238" t="s">
        <v>2365</v>
      </c>
      <c r="Z1238" t="s">
        <v>2365</v>
      </c>
      <c r="AA1238" t="s">
        <v>2365</v>
      </c>
      <c r="AB1238" t="s">
        <v>2365</v>
      </c>
      <c r="AC1238" s="813" t="s">
        <v>2365</v>
      </c>
      <c r="AD1238" s="813" t="s">
        <v>2365</v>
      </c>
      <c r="AE1238" s="813" t="s">
        <v>2365</v>
      </c>
      <c r="AF1238" t="s">
        <v>2365</v>
      </c>
      <c r="AG1238" t="s">
        <v>2365</v>
      </c>
      <c r="AH1238" t="s">
        <v>2365</v>
      </c>
      <c r="AI1238" t="s">
        <v>2365</v>
      </c>
      <c r="AJ1238" t="s">
        <v>2365</v>
      </c>
      <c r="AK1238">
        <v>361</v>
      </c>
      <c r="AL1238" t="s">
        <v>1804</v>
      </c>
      <c r="AM1238">
        <v>361</v>
      </c>
      <c r="AN1238" t="s">
        <v>1804</v>
      </c>
      <c r="AR1238" t="s">
        <v>2365</v>
      </c>
      <c r="AS1238" t="s">
        <v>2365</v>
      </c>
      <c r="AT1238" t="s">
        <v>2365</v>
      </c>
      <c r="AU1238" t="s">
        <v>2365</v>
      </c>
      <c r="AV1238" t="s">
        <v>2365</v>
      </c>
      <c r="AW1238" t="s">
        <v>2365</v>
      </c>
      <c r="AX1238" t="s">
        <v>2365</v>
      </c>
      <c r="AY1238" t="s">
        <v>2365</v>
      </c>
      <c r="AZ1238" t="s">
        <v>2365</v>
      </c>
      <c r="BA1238" t="s">
        <v>2365</v>
      </c>
      <c r="BB1238" t="s">
        <v>2365</v>
      </c>
      <c r="BC1238" t="s">
        <v>2365</v>
      </c>
      <c r="BD1238" t="s">
        <v>2366</v>
      </c>
      <c r="BE1238" t="s">
        <v>2365</v>
      </c>
      <c r="BF1238" t="s">
        <v>2365</v>
      </c>
      <c r="BG1238" t="s">
        <v>2365</v>
      </c>
      <c r="BH1238" t="s">
        <v>2365</v>
      </c>
      <c r="BI1238" t="s">
        <v>2366</v>
      </c>
      <c r="BJ1238" t="s">
        <v>2365</v>
      </c>
      <c r="BK1238" t="s">
        <v>2365</v>
      </c>
      <c r="BL1238" t="s">
        <v>2365</v>
      </c>
      <c r="BM1238" t="s">
        <v>2365</v>
      </c>
      <c r="BO1238">
        <v>1</v>
      </c>
      <c r="BP1238">
        <v>11</v>
      </c>
      <c r="BQ1238" t="s">
        <v>2369</v>
      </c>
      <c r="BR1238" t="s">
        <v>1487</v>
      </c>
      <c r="BU1238">
        <v>0</v>
      </c>
      <c r="BV1238">
        <v>0</v>
      </c>
      <c r="BW1238">
        <v>0</v>
      </c>
      <c r="BX1238">
        <v>0</v>
      </c>
      <c r="BY1238" s="1371">
        <v>0</v>
      </c>
      <c r="BZ1238" s="1371">
        <v>0</v>
      </c>
      <c r="CA1238">
        <v>0</v>
      </c>
      <c r="CB1238">
        <v>524329.40999999875</v>
      </c>
      <c r="CC1238">
        <v>-190706.8600000008</v>
      </c>
      <c r="CD1238">
        <v>165507.25000000093</v>
      </c>
      <c r="CE1238">
        <v>95318.159999999218</v>
      </c>
      <c r="CF1238">
        <v>54303.680000000168</v>
      </c>
      <c r="CG1238">
        <v>56884.229999998584</v>
      </c>
      <c r="CH1238">
        <v>54303.660000000149</v>
      </c>
      <c r="CI1238">
        <v>2615444.2599999998</v>
      </c>
      <c r="CJ1238">
        <v>0</v>
      </c>
      <c r="CK1238">
        <v>0</v>
      </c>
      <c r="CL1238">
        <v>0</v>
      </c>
      <c r="CM1238">
        <v>0</v>
      </c>
      <c r="CR1238" t="s">
        <v>2324</v>
      </c>
      <c r="CS1238" s="1369" t="str">
        <f>INDEX([8]Sheet1!$H:$H,MATCH(CR:CR,[8]Sheet1!$AU:$AU,0))</f>
        <v>Finance</v>
      </c>
    </row>
    <row r="1239" spans="1:97" x14ac:dyDescent="0.2">
      <c r="A1239" t="s">
        <v>4207</v>
      </c>
      <c r="B1239">
        <v>1327</v>
      </c>
      <c r="C1239" t="s">
        <v>4207</v>
      </c>
      <c r="D1239">
        <v>30560</v>
      </c>
      <c r="E1239" t="s">
        <v>4208</v>
      </c>
      <c r="F1239" t="s">
        <v>2364</v>
      </c>
      <c r="G1239" t="s">
        <v>2364</v>
      </c>
      <c r="H1239" t="s">
        <v>2365</v>
      </c>
      <c r="I1239" t="s">
        <v>2365</v>
      </c>
      <c r="J1239" t="s">
        <v>2365</v>
      </c>
      <c r="K1239" t="s">
        <v>2365</v>
      </c>
      <c r="L1239">
        <v>1200</v>
      </c>
      <c r="M1239" t="s">
        <v>1480</v>
      </c>
      <c r="N1239">
        <v>1204</v>
      </c>
      <c r="O1239" t="s">
        <v>1487</v>
      </c>
      <c r="P1239" t="s">
        <v>2366</v>
      </c>
      <c r="Q1239" t="s">
        <v>2364</v>
      </c>
      <c r="R1239" t="s">
        <v>2364</v>
      </c>
      <c r="S1239" t="s">
        <v>553</v>
      </c>
      <c r="T1239" t="s">
        <v>2367</v>
      </c>
      <c r="U1239">
        <v>360</v>
      </c>
      <c r="V1239" t="s">
        <v>2368</v>
      </c>
      <c r="W1239">
        <v>360</v>
      </c>
      <c r="X1239" t="s">
        <v>711</v>
      </c>
      <c r="Y1239" t="s">
        <v>2365</v>
      </c>
      <c r="Z1239" t="s">
        <v>2365</v>
      </c>
      <c r="AA1239" t="s">
        <v>2365</v>
      </c>
      <c r="AB1239" t="s">
        <v>2365</v>
      </c>
      <c r="AC1239" s="813" t="s">
        <v>2365</v>
      </c>
      <c r="AD1239" s="813" t="s">
        <v>2365</v>
      </c>
      <c r="AE1239" s="813" t="s">
        <v>2365</v>
      </c>
      <c r="AF1239" t="s">
        <v>2365</v>
      </c>
      <c r="AG1239" t="s">
        <v>2365</v>
      </c>
      <c r="AH1239" t="s">
        <v>2365</v>
      </c>
      <c r="AI1239" t="s">
        <v>2365</v>
      </c>
      <c r="AJ1239" t="s">
        <v>2365</v>
      </c>
      <c r="AK1239">
        <v>361</v>
      </c>
      <c r="AL1239" t="s">
        <v>1804</v>
      </c>
      <c r="AM1239">
        <v>361</v>
      </c>
      <c r="AN1239" t="s">
        <v>1804</v>
      </c>
      <c r="AR1239" t="s">
        <v>2365</v>
      </c>
      <c r="AS1239" t="s">
        <v>2365</v>
      </c>
      <c r="AT1239" t="s">
        <v>2365</v>
      </c>
      <c r="AU1239" t="s">
        <v>2365</v>
      </c>
      <c r="AV1239" t="s">
        <v>2365</v>
      </c>
      <c r="AW1239" t="s">
        <v>2365</v>
      </c>
      <c r="AX1239" t="s">
        <v>2365</v>
      </c>
      <c r="AY1239" t="s">
        <v>2365</v>
      </c>
      <c r="AZ1239" t="s">
        <v>2365</v>
      </c>
      <c r="BA1239" t="s">
        <v>2365</v>
      </c>
      <c r="BB1239" t="s">
        <v>2365</v>
      </c>
      <c r="BC1239" t="s">
        <v>2365</v>
      </c>
      <c r="BD1239" t="s">
        <v>2366</v>
      </c>
      <c r="BE1239" t="s">
        <v>2365</v>
      </c>
      <c r="BF1239" t="s">
        <v>2365</v>
      </c>
      <c r="BG1239" t="s">
        <v>2365</v>
      </c>
      <c r="BH1239" t="s">
        <v>2365</v>
      </c>
      <c r="BI1239" t="s">
        <v>2366</v>
      </c>
      <c r="BJ1239" t="s">
        <v>2365</v>
      </c>
      <c r="BK1239" t="s">
        <v>2365</v>
      </c>
      <c r="BL1239" t="s">
        <v>2365</v>
      </c>
      <c r="BM1239" t="s">
        <v>2365</v>
      </c>
      <c r="BO1239">
        <v>1</v>
      </c>
      <c r="BP1239">
        <v>11</v>
      </c>
      <c r="BQ1239" t="s">
        <v>2369</v>
      </c>
      <c r="BR1239" t="s">
        <v>1487</v>
      </c>
      <c r="BU1239">
        <v>0</v>
      </c>
      <c r="BV1239">
        <v>0</v>
      </c>
      <c r="BW1239">
        <v>0</v>
      </c>
      <c r="BX1239">
        <v>0</v>
      </c>
      <c r="BY1239" s="1371">
        <v>0</v>
      </c>
      <c r="BZ1239" s="1371">
        <v>0</v>
      </c>
      <c r="CA1239">
        <v>0</v>
      </c>
      <c r="CB1239">
        <v>0</v>
      </c>
      <c r="CC1239">
        <v>0</v>
      </c>
      <c r="CD1239">
        <v>0</v>
      </c>
      <c r="CE1239">
        <v>0</v>
      </c>
      <c r="CF1239">
        <v>0</v>
      </c>
      <c r="CG1239">
        <v>0</v>
      </c>
      <c r="CH1239">
        <v>0</v>
      </c>
      <c r="CI1239">
        <v>0</v>
      </c>
      <c r="CJ1239">
        <v>0</v>
      </c>
      <c r="CK1239">
        <v>0</v>
      </c>
      <c r="CL1239">
        <v>0</v>
      </c>
      <c r="CM1239">
        <v>0</v>
      </c>
      <c r="CR1239" t="s">
        <v>2324</v>
      </c>
      <c r="CS1239" s="1369" t="str">
        <f>INDEX([8]Sheet1!$H:$H,MATCH(CR:CR,[8]Sheet1!$AU:$AU,0))</f>
        <v>Finance</v>
      </c>
    </row>
    <row r="1240" spans="1:97" x14ac:dyDescent="0.2">
      <c r="A1240" t="s">
        <v>4209</v>
      </c>
      <c r="B1240">
        <v>1328</v>
      </c>
      <c r="C1240" t="s">
        <v>4209</v>
      </c>
      <c r="D1240">
        <v>30561</v>
      </c>
      <c r="E1240" t="s">
        <v>4210</v>
      </c>
      <c r="F1240" t="s">
        <v>2364</v>
      </c>
      <c r="G1240" t="s">
        <v>2364</v>
      </c>
      <c r="H1240" t="s">
        <v>2365</v>
      </c>
      <c r="I1240" t="s">
        <v>2365</v>
      </c>
      <c r="J1240" t="s">
        <v>2365</v>
      </c>
      <c r="K1240" t="s">
        <v>2365</v>
      </c>
      <c r="L1240">
        <v>1200</v>
      </c>
      <c r="M1240" t="s">
        <v>1480</v>
      </c>
      <c r="N1240">
        <v>1204</v>
      </c>
      <c r="O1240" t="s">
        <v>1487</v>
      </c>
      <c r="P1240" t="s">
        <v>2366</v>
      </c>
      <c r="Q1240" t="s">
        <v>2364</v>
      </c>
      <c r="R1240" t="s">
        <v>2364</v>
      </c>
      <c r="S1240" t="s">
        <v>553</v>
      </c>
      <c r="T1240" t="s">
        <v>2367</v>
      </c>
      <c r="U1240">
        <v>360</v>
      </c>
      <c r="V1240" t="s">
        <v>2368</v>
      </c>
      <c r="W1240">
        <v>360</v>
      </c>
      <c r="X1240" t="s">
        <v>711</v>
      </c>
      <c r="Y1240" t="s">
        <v>2365</v>
      </c>
      <c r="Z1240" t="s">
        <v>2365</v>
      </c>
      <c r="AA1240" t="s">
        <v>2365</v>
      </c>
      <c r="AB1240" t="s">
        <v>2365</v>
      </c>
      <c r="AC1240" s="813" t="s">
        <v>2365</v>
      </c>
      <c r="AD1240" s="813" t="s">
        <v>2365</v>
      </c>
      <c r="AE1240" s="813" t="s">
        <v>2365</v>
      </c>
      <c r="AF1240" t="s">
        <v>2365</v>
      </c>
      <c r="AG1240" t="s">
        <v>2365</v>
      </c>
      <c r="AH1240" t="s">
        <v>2365</v>
      </c>
      <c r="AI1240" t="s">
        <v>2365</v>
      </c>
      <c r="AJ1240" t="s">
        <v>2365</v>
      </c>
      <c r="AK1240">
        <v>361</v>
      </c>
      <c r="AL1240" t="s">
        <v>1804</v>
      </c>
      <c r="AM1240">
        <v>361</v>
      </c>
      <c r="AN1240" t="s">
        <v>1804</v>
      </c>
      <c r="AR1240" t="s">
        <v>2365</v>
      </c>
      <c r="AS1240" t="s">
        <v>2365</v>
      </c>
      <c r="AT1240" t="s">
        <v>2365</v>
      </c>
      <c r="AU1240" t="s">
        <v>2365</v>
      </c>
      <c r="AV1240" t="s">
        <v>2365</v>
      </c>
      <c r="AW1240" t="s">
        <v>2365</v>
      </c>
      <c r="AX1240" t="s">
        <v>2365</v>
      </c>
      <c r="AY1240" t="s">
        <v>2365</v>
      </c>
      <c r="AZ1240" t="s">
        <v>2365</v>
      </c>
      <c r="BA1240" t="s">
        <v>2365</v>
      </c>
      <c r="BB1240" t="s">
        <v>2365</v>
      </c>
      <c r="BC1240" t="s">
        <v>2365</v>
      </c>
      <c r="BD1240" t="s">
        <v>2366</v>
      </c>
      <c r="BE1240" t="s">
        <v>2365</v>
      </c>
      <c r="BF1240" t="s">
        <v>2365</v>
      </c>
      <c r="BG1240" t="s">
        <v>2365</v>
      </c>
      <c r="BH1240" t="s">
        <v>2365</v>
      </c>
      <c r="BI1240" t="s">
        <v>2366</v>
      </c>
      <c r="BJ1240" t="s">
        <v>2365</v>
      </c>
      <c r="BK1240" t="s">
        <v>2365</v>
      </c>
      <c r="BL1240" t="s">
        <v>2365</v>
      </c>
      <c r="BM1240" t="s">
        <v>2365</v>
      </c>
      <c r="BO1240">
        <v>1</v>
      </c>
      <c r="BP1240">
        <v>11</v>
      </c>
      <c r="BQ1240" t="s">
        <v>2369</v>
      </c>
      <c r="BR1240" t="s">
        <v>1487</v>
      </c>
      <c r="BU1240">
        <v>0</v>
      </c>
      <c r="BV1240">
        <v>0</v>
      </c>
      <c r="BW1240">
        <v>0</v>
      </c>
      <c r="BX1240">
        <v>0</v>
      </c>
      <c r="BY1240" s="1371">
        <v>0</v>
      </c>
      <c r="BZ1240" s="1371">
        <v>0</v>
      </c>
      <c r="CA1240">
        <v>0</v>
      </c>
      <c r="CB1240">
        <v>-106831.43999999999</v>
      </c>
      <c r="CC1240">
        <v>556492.64</v>
      </c>
      <c r="CD1240">
        <v>1095756.1299999999</v>
      </c>
      <c r="CE1240">
        <v>-26768.470000000005</v>
      </c>
      <c r="CF1240">
        <v>493525.14</v>
      </c>
      <c r="CG1240">
        <v>1072245.7</v>
      </c>
      <c r="CH1240">
        <v>-29724.190000000006</v>
      </c>
      <c r="CI1240">
        <v>0</v>
      </c>
      <c r="CJ1240">
        <v>0</v>
      </c>
      <c r="CK1240">
        <v>0</v>
      </c>
      <c r="CL1240">
        <v>0</v>
      </c>
      <c r="CM1240">
        <v>0</v>
      </c>
      <c r="CR1240" t="s">
        <v>2324</v>
      </c>
      <c r="CS1240" s="1369" t="str">
        <f>INDEX([8]Sheet1!$H:$H,MATCH(CR:CR,[8]Sheet1!$AU:$AU,0))</f>
        <v>Finance</v>
      </c>
    </row>
    <row r="1241" spans="1:97" x14ac:dyDescent="0.2">
      <c r="A1241" t="s">
        <v>4211</v>
      </c>
      <c r="B1241">
        <v>1329</v>
      </c>
      <c r="C1241" t="s">
        <v>4211</v>
      </c>
      <c r="D1241">
        <v>30562</v>
      </c>
      <c r="E1241" t="s">
        <v>4212</v>
      </c>
      <c r="F1241" t="s">
        <v>2364</v>
      </c>
      <c r="G1241" t="s">
        <v>2364</v>
      </c>
      <c r="H1241" t="s">
        <v>2365</v>
      </c>
      <c r="I1241" t="s">
        <v>2365</v>
      </c>
      <c r="J1241" t="s">
        <v>2365</v>
      </c>
      <c r="K1241" t="s">
        <v>2365</v>
      </c>
      <c r="L1241">
        <v>1200</v>
      </c>
      <c r="M1241" t="s">
        <v>1480</v>
      </c>
      <c r="N1241">
        <v>1204</v>
      </c>
      <c r="O1241" t="s">
        <v>1487</v>
      </c>
      <c r="P1241" t="s">
        <v>2366</v>
      </c>
      <c r="Q1241" t="s">
        <v>2364</v>
      </c>
      <c r="R1241" t="s">
        <v>2364</v>
      </c>
      <c r="S1241" t="s">
        <v>553</v>
      </c>
      <c r="T1241" t="s">
        <v>2367</v>
      </c>
      <c r="U1241">
        <v>360</v>
      </c>
      <c r="V1241" t="s">
        <v>2368</v>
      </c>
      <c r="W1241">
        <v>360</v>
      </c>
      <c r="X1241" t="s">
        <v>711</v>
      </c>
      <c r="Y1241" t="s">
        <v>2365</v>
      </c>
      <c r="Z1241" t="s">
        <v>2365</v>
      </c>
      <c r="AA1241" t="s">
        <v>2365</v>
      </c>
      <c r="AB1241" t="s">
        <v>2365</v>
      </c>
      <c r="AC1241" s="813" t="s">
        <v>2365</v>
      </c>
      <c r="AD1241" s="813" t="s">
        <v>2365</v>
      </c>
      <c r="AE1241" s="813" t="s">
        <v>2365</v>
      </c>
      <c r="AF1241" t="s">
        <v>2365</v>
      </c>
      <c r="AG1241" t="s">
        <v>2365</v>
      </c>
      <c r="AH1241" t="s">
        <v>2365</v>
      </c>
      <c r="AI1241" t="s">
        <v>2365</v>
      </c>
      <c r="AJ1241" t="s">
        <v>2365</v>
      </c>
      <c r="AK1241">
        <v>361</v>
      </c>
      <c r="AL1241" t="s">
        <v>1804</v>
      </c>
      <c r="AM1241">
        <v>361</v>
      </c>
      <c r="AN1241" t="s">
        <v>1804</v>
      </c>
      <c r="AR1241" t="s">
        <v>2365</v>
      </c>
      <c r="AS1241" t="s">
        <v>2365</v>
      </c>
      <c r="AT1241" t="s">
        <v>2365</v>
      </c>
      <c r="AU1241" t="s">
        <v>2365</v>
      </c>
      <c r="AV1241" t="s">
        <v>2365</v>
      </c>
      <c r="AW1241" t="s">
        <v>2365</v>
      </c>
      <c r="AX1241" t="s">
        <v>2365</v>
      </c>
      <c r="AY1241" t="s">
        <v>2365</v>
      </c>
      <c r="AZ1241" t="s">
        <v>2365</v>
      </c>
      <c r="BA1241" t="s">
        <v>2365</v>
      </c>
      <c r="BB1241" t="s">
        <v>2365</v>
      </c>
      <c r="BC1241" t="s">
        <v>2365</v>
      </c>
      <c r="BD1241" t="s">
        <v>2366</v>
      </c>
      <c r="BE1241" t="s">
        <v>2365</v>
      </c>
      <c r="BF1241" t="s">
        <v>2365</v>
      </c>
      <c r="BG1241" t="s">
        <v>2365</v>
      </c>
      <c r="BH1241" t="s">
        <v>2365</v>
      </c>
      <c r="BI1241" t="s">
        <v>2366</v>
      </c>
      <c r="BJ1241" t="s">
        <v>2365</v>
      </c>
      <c r="BK1241" t="s">
        <v>2365</v>
      </c>
      <c r="BL1241" t="s">
        <v>2365</v>
      </c>
      <c r="BM1241" t="s">
        <v>2365</v>
      </c>
      <c r="BO1241">
        <v>1</v>
      </c>
      <c r="BP1241">
        <v>11</v>
      </c>
      <c r="BQ1241" t="s">
        <v>2369</v>
      </c>
      <c r="BR1241" t="s">
        <v>1487</v>
      </c>
      <c r="BU1241">
        <v>0</v>
      </c>
      <c r="BV1241">
        <v>0</v>
      </c>
      <c r="BW1241">
        <v>0</v>
      </c>
      <c r="BX1241">
        <v>0</v>
      </c>
      <c r="BY1241">
        <v>0</v>
      </c>
      <c r="BZ1241">
        <v>0</v>
      </c>
      <c r="CA1241">
        <v>0</v>
      </c>
      <c r="CB1241">
        <v>0</v>
      </c>
      <c r="CC1241">
        <v>0</v>
      </c>
      <c r="CD1241">
        <v>0</v>
      </c>
      <c r="CE1241">
        <v>0</v>
      </c>
      <c r="CF1241">
        <v>0</v>
      </c>
      <c r="CG1241">
        <v>0</v>
      </c>
      <c r="CH1241">
        <v>0</v>
      </c>
      <c r="CI1241">
        <v>0</v>
      </c>
      <c r="CJ1241">
        <v>0</v>
      </c>
      <c r="CK1241">
        <v>0</v>
      </c>
      <c r="CL1241">
        <v>0</v>
      </c>
      <c r="CM1241">
        <v>0</v>
      </c>
      <c r="CR1241" t="s">
        <v>2324</v>
      </c>
      <c r="CS1241" s="1369" t="str">
        <f>INDEX([8]Sheet1!$H:$H,MATCH(CR:CR,[8]Sheet1!$AU:$AU,0))</f>
        <v>Finance</v>
      </c>
    </row>
    <row r="1242" spans="1:97" x14ac:dyDescent="0.2">
      <c r="A1242" t="s">
        <v>4213</v>
      </c>
      <c r="B1242">
        <v>1330</v>
      </c>
      <c r="C1242" t="s">
        <v>4213</v>
      </c>
      <c r="D1242">
        <v>30563</v>
      </c>
      <c r="E1242" t="s">
        <v>2380</v>
      </c>
      <c r="F1242" t="s">
        <v>2364</v>
      </c>
      <c r="G1242" t="s">
        <v>2364</v>
      </c>
      <c r="H1242" t="s">
        <v>2365</v>
      </c>
      <c r="I1242" t="s">
        <v>2365</v>
      </c>
      <c r="J1242" t="s">
        <v>2365</v>
      </c>
      <c r="K1242" t="s">
        <v>2365</v>
      </c>
      <c r="L1242">
        <v>1200</v>
      </c>
      <c r="M1242" t="s">
        <v>1480</v>
      </c>
      <c r="N1242">
        <v>1204</v>
      </c>
      <c r="O1242" t="s">
        <v>1487</v>
      </c>
      <c r="P1242" t="s">
        <v>2366</v>
      </c>
      <c r="Q1242" t="s">
        <v>2364</v>
      </c>
      <c r="R1242" t="s">
        <v>2364</v>
      </c>
      <c r="S1242" t="s">
        <v>553</v>
      </c>
      <c r="T1242" t="s">
        <v>2367</v>
      </c>
      <c r="U1242">
        <v>360</v>
      </c>
      <c r="V1242" t="s">
        <v>2368</v>
      </c>
      <c r="W1242">
        <v>360</v>
      </c>
      <c r="X1242" t="s">
        <v>711</v>
      </c>
      <c r="Y1242" t="s">
        <v>2365</v>
      </c>
      <c r="Z1242" t="s">
        <v>2365</v>
      </c>
      <c r="AA1242" t="s">
        <v>2365</v>
      </c>
      <c r="AB1242" t="s">
        <v>2365</v>
      </c>
      <c r="AC1242" s="813" t="s">
        <v>2365</v>
      </c>
      <c r="AD1242" s="813" t="s">
        <v>2365</v>
      </c>
      <c r="AE1242" s="813" t="s">
        <v>2365</v>
      </c>
      <c r="AF1242" t="s">
        <v>2365</v>
      </c>
      <c r="AG1242" t="s">
        <v>2365</v>
      </c>
      <c r="AH1242" t="s">
        <v>2365</v>
      </c>
      <c r="AI1242" t="s">
        <v>2365</v>
      </c>
      <c r="AJ1242" t="s">
        <v>2365</v>
      </c>
      <c r="AK1242">
        <v>361</v>
      </c>
      <c r="AL1242" t="s">
        <v>1804</v>
      </c>
      <c r="AM1242">
        <v>361</v>
      </c>
      <c r="AN1242" t="s">
        <v>1804</v>
      </c>
      <c r="AR1242" t="s">
        <v>2365</v>
      </c>
      <c r="AS1242" t="s">
        <v>2365</v>
      </c>
      <c r="AT1242" t="s">
        <v>2365</v>
      </c>
      <c r="AU1242" t="s">
        <v>2365</v>
      </c>
      <c r="AV1242" t="s">
        <v>2365</v>
      </c>
      <c r="AW1242" t="s">
        <v>2365</v>
      </c>
      <c r="AX1242" t="s">
        <v>2365</v>
      </c>
      <c r="AY1242" t="s">
        <v>2365</v>
      </c>
      <c r="AZ1242" t="s">
        <v>2365</v>
      </c>
      <c r="BA1242" t="s">
        <v>2365</v>
      </c>
      <c r="BB1242" t="s">
        <v>2365</v>
      </c>
      <c r="BC1242" t="s">
        <v>2365</v>
      </c>
      <c r="BD1242" t="s">
        <v>2366</v>
      </c>
      <c r="BE1242" t="s">
        <v>2365</v>
      </c>
      <c r="BF1242" t="s">
        <v>2365</v>
      </c>
      <c r="BG1242" t="s">
        <v>2365</v>
      </c>
      <c r="BH1242" t="s">
        <v>2365</v>
      </c>
      <c r="BI1242" t="s">
        <v>2366</v>
      </c>
      <c r="BJ1242" t="s">
        <v>2365</v>
      </c>
      <c r="BK1242" t="s">
        <v>2365</v>
      </c>
      <c r="BL1242" t="s">
        <v>2365</v>
      </c>
      <c r="BM1242" t="s">
        <v>2365</v>
      </c>
      <c r="BO1242">
        <v>1</v>
      </c>
      <c r="BP1242">
        <v>11</v>
      </c>
      <c r="BQ1242" t="s">
        <v>2369</v>
      </c>
      <c r="BR1242" t="s">
        <v>1487</v>
      </c>
      <c r="BU1242">
        <v>0</v>
      </c>
      <c r="BV1242">
        <v>0</v>
      </c>
      <c r="BW1242">
        <v>0</v>
      </c>
      <c r="BX1242">
        <v>0</v>
      </c>
      <c r="BY1242" s="1371">
        <v>0</v>
      </c>
      <c r="BZ1242" s="1371">
        <v>0</v>
      </c>
      <c r="CA1242">
        <v>0</v>
      </c>
      <c r="CB1242">
        <v>-32050.84</v>
      </c>
      <c r="CC1242">
        <v>-32245.55</v>
      </c>
      <c r="CD1242">
        <v>-32755.9</v>
      </c>
      <c r="CE1242">
        <v>-32758.12</v>
      </c>
      <c r="CF1242">
        <v>-33833.55999999999</v>
      </c>
      <c r="CG1242">
        <v>-34493</v>
      </c>
      <c r="CH1242">
        <v>-35041.680000000008</v>
      </c>
      <c r="CI1242">
        <v>0</v>
      </c>
      <c r="CJ1242">
        <v>0</v>
      </c>
      <c r="CK1242">
        <v>0</v>
      </c>
      <c r="CL1242">
        <v>0</v>
      </c>
      <c r="CM1242">
        <v>0</v>
      </c>
      <c r="CR1242" t="s">
        <v>2324</v>
      </c>
      <c r="CS1242" s="1369" t="str">
        <f>INDEX([8]Sheet1!$H:$H,MATCH(CR:CR,[8]Sheet1!$AU:$AU,0))</f>
        <v>Finance</v>
      </c>
    </row>
    <row r="1243" spans="1:97" x14ac:dyDescent="0.2">
      <c r="A1243" t="s">
        <v>4214</v>
      </c>
      <c r="B1243">
        <v>1331</v>
      </c>
      <c r="C1243" t="s">
        <v>4214</v>
      </c>
      <c r="D1243">
        <v>30564</v>
      </c>
      <c r="E1243" t="s">
        <v>4215</v>
      </c>
      <c r="F1243" t="s">
        <v>2364</v>
      </c>
      <c r="G1243" t="s">
        <v>2364</v>
      </c>
      <c r="H1243" t="s">
        <v>2365</v>
      </c>
      <c r="I1243" t="s">
        <v>2365</v>
      </c>
      <c r="J1243" t="s">
        <v>2365</v>
      </c>
      <c r="K1243" t="s">
        <v>2365</v>
      </c>
      <c r="L1243">
        <v>1200</v>
      </c>
      <c r="M1243" t="s">
        <v>1480</v>
      </c>
      <c r="N1243">
        <v>1204</v>
      </c>
      <c r="O1243" t="s">
        <v>1487</v>
      </c>
      <c r="P1243" t="s">
        <v>2366</v>
      </c>
      <c r="Q1243" t="s">
        <v>2364</v>
      </c>
      <c r="R1243" t="s">
        <v>2364</v>
      </c>
      <c r="S1243" t="s">
        <v>553</v>
      </c>
      <c r="T1243" t="s">
        <v>2367</v>
      </c>
      <c r="U1243">
        <v>360</v>
      </c>
      <c r="V1243" t="s">
        <v>2368</v>
      </c>
      <c r="W1243">
        <v>360</v>
      </c>
      <c r="X1243" t="s">
        <v>711</v>
      </c>
      <c r="Y1243" t="s">
        <v>2365</v>
      </c>
      <c r="Z1243" t="s">
        <v>2365</v>
      </c>
      <c r="AA1243" t="s">
        <v>2365</v>
      </c>
      <c r="AB1243" t="s">
        <v>2365</v>
      </c>
      <c r="AC1243" s="813" t="s">
        <v>2365</v>
      </c>
      <c r="AD1243" s="813" t="s">
        <v>2365</v>
      </c>
      <c r="AE1243" s="813" t="s">
        <v>2365</v>
      </c>
      <c r="AF1243" t="s">
        <v>2365</v>
      </c>
      <c r="AG1243" t="s">
        <v>2365</v>
      </c>
      <c r="AH1243" t="s">
        <v>2365</v>
      </c>
      <c r="AI1243" t="s">
        <v>2365</v>
      </c>
      <c r="AJ1243" t="s">
        <v>2365</v>
      </c>
      <c r="AK1243">
        <v>361</v>
      </c>
      <c r="AL1243" t="s">
        <v>1804</v>
      </c>
      <c r="AM1243">
        <v>361</v>
      </c>
      <c r="AN1243" t="s">
        <v>1804</v>
      </c>
      <c r="AR1243" t="s">
        <v>2365</v>
      </c>
      <c r="AS1243" t="s">
        <v>2365</v>
      </c>
      <c r="AT1243" t="s">
        <v>2365</v>
      </c>
      <c r="AU1243" t="s">
        <v>2365</v>
      </c>
      <c r="AV1243" t="s">
        <v>2365</v>
      </c>
      <c r="AW1243" t="s">
        <v>2365</v>
      </c>
      <c r="AX1243" t="s">
        <v>2365</v>
      </c>
      <c r="AY1243" t="s">
        <v>2365</v>
      </c>
      <c r="AZ1243" t="s">
        <v>2365</v>
      </c>
      <c r="BA1243" t="s">
        <v>2365</v>
      </c>
      <c r="BB1243" t="s">
        <v>2365</v>
      </c>
      <c r="BC1243" t="s">
        <v>2365</v>
      </c>
      <c r="BD1243" t="s">
        <v>2366</v>
      </c>
      <c r="BE1243" t="s">
        <v>2365</v>
      </c>
      <c r="BF1243" t="s">
        <v>2365</v>
      </c>
      <c r="BG1243" t="s">
        <v>2365</v>
      </c>
      <c r="BH1243" t="s">
        <v>2365</v>
      </c>
      <c r="BI1243" t="s">
        <v>2366</v>
      </c>
      <c r="BJ1243" t="s">
        <v>2365</v>
      </c>
      <c r="BK1243" t="s">
        <v>2365</v>
      </c>
      <c r="BL1243" t="s">
        <v>2365</v>
      </c>
      <c r="BM1243" t="s">
        <v>2365</v>
      </c>
      <c r="BO1243">
        <v>1</v>
      </c>
      <c r="BP1243">
        <v>11</v>
      </c>
      <c r="BQ1243" t="s">
        <v>2369</v>
      </c>
      <c r="BR1243" t="s">
        <v>1487</v>
      </c>
      <c r="BU1243">
        <v>0</v>
      </c>
      <c r="BV1243">
        <v>0</v>
      </c>
      <c r="BW1243">
        <v>0</v>
      </c>
      <c r="BX1243">
        <v>0</v>
      </c>
      <c r="BY1243">
        <v>0</v>
      </c>
      <c r="BZ1243">
        <v>0</v>
      </c>
      <c r="CA1243">
        <v>0</v>
      </c>
      <c r="CB1243">
        <v>0</v>
      </c>
      <c r="CC1243">
        <v>0</v>
      </c>
      <c r="CD1243">
        <v>0</v>
      </c>
      <c r="CE1243">
        <v>0</v>
      </c>
      <c r="CF1243">
        <v>0</v>
      </c>
      <c r="CG1243">
        <v>0</v>
      </c>
      <c r="CH1243">
        <v>0</v>
      </c>
      <c r="CI1243">
        <v>0</v>
      </c>
      <c r="CJ1243">
        <v>0</v>
      </c>
      <c r="CK1243">
        <v>0</v>
      </c>
      <c r="CL1243">
        <v>0</v>
      </c>
      <c r="CM1243">
        <v>0</v>
      </c>
      <c r="CR1243" t="s">
        <v>2324</v>
      </c>
      <c r="CS1243" s="1369" t="str">
        <f>INDEX([8]Sheet1!$H:$H,MATCH(CR:CR,[8]Sheet1!$AU:$AU,0))</f>
        <v>Finance</v>
      </c>
    </row>
    <row r="1244" spans="1:97" x14ac:dyDescent="0.2">
      <c r="A1244" t="s">
        <v>4216</v>
      </c>
      <c r="B1244">
        <v>1332</v>
      </c>
      <c r="C1244" t="s">
        <v>4216</v>
      </c>
      <c r="D1244">
        <v>30565</v>
      </c>
      <c r="E1244" t="s">
        <v>2658</v>
      </c>
      <c r="F1244" t="s">
        <v>2364</v>
      </c>
      <c r="G1244" t="s">
        <v>2364</v>
      </c>
      <c r="H1244" t="s">
        <v>2365</v>
      </c>
      <c r="I1244" t="s">
        <v>2365</v>
      </c>
      <c r="J1244" t="s">
        <v>2365</v>
      </c>
      <c r="K1244" t="s">
        <v>2365</v>
      </c>
      <c r="L1244">
        <v>1200</v>
      </c>
      <c r="M1244" t="s">
        <v>1480</v>
      </c>
      <c r="N1244">
        <v>1204</v>
      </c>
      <c r="O1244" t="s">
        <v>1487</v>
      </c>
      <c r="P1244" t="s">
        <v>2366</v>
      </c>
      <c r="Q1244" t="s">
        <v>2364</v>
      </c>
      <c r="R1244" t="s">
        <v>2364</v>
      </c>
      <c r="S1244" t="s">
        <v>553</v>
      </c>
      <c r="T1244" t="s">
        <v>2367</v>
      </c>
      <c r="U1244">
        <v>360</v>
      </c>
      <c r="V1244" t="s">
        <v>2368</v>
      </c>
      <c r="W1244">
        <v>360</v>
      </c>
      <c r="X1244" t="s">
        <v>711</v>
      </c>
      <c r="Y1244" t="s">
        <v>2365</v>
      </c>
      <c r="Z1244" t="s">
        <v>2365</v>
      </c>
      <c r="AA1244" t="s">
        <v>2365</v>
      </c>
      <c r="AB1244" t="s">
        <v>2365</v>
      </c>
      <c r="AC1244" s="813" t="s">
        <v>2365</v>
      </c>
      <c r="AD1244" s="813" t="s">
        <v>2365</v>
      </c>
      <c r="AE1244" s="813" t="s">
        <v>2365</v>
      </c>
      <c r="AF1244" t="s">
        <v>2365</v>
      </c>
      <c r="AG1244" t="s">
        <v>2365</v>
      </c>
      <c r="AH1244" t="s">
        <v>2365</v>
      </c>
      <c r="AI1244" t="s">
        <v>2365</v>
      </c>
      <c r="AJ1244" t="s">
        <v>2365</v>
      </c>
      <c r="AK1244">
        <v>361</v>
      </c>
      <c r="AL1244" t="s">
        <v>1804</v>
      </c>
      <c r="AM1244">
        <v>361</v>
      </c>
      <c r="AN1244" t="s">
        <v>1804</v>
      </c>
      <c r="AR1244" t="s">
        <v>2365</v>
      </c>
      <c r="AS1244" t="s">
        <v>2365</v>
      </c>
      <c r="AT1244" t="s">
        <v>2365</v>
      </c>
      <c r="AU1244" t="s">
        <v>2365</v>
      </c>
      <c r="AV1244" t="s">
        <v>2365</v>
      </c>
      <c r="AW1244" t="s">
        <v>2365</v>
      </c>
      <c r="AX1244" t="s">
        <v>2365</v>
      </c>
      <c r="AY1244" t="s">
        <v>2365</v>
      </c>
      <c r="AZ1244" t="s">
        <v>2365</v>
      </c>
      <c r="BA1244" t="s">
        <v>2365</v>
      </c>
      <c r="BB1244" t="s">
        <v>2365</v>
      </c>
      <c r="BC1244" t="s">
        <v>2365</v>
      </c>
      <c r="BD1244" t="s">
        <v>2366</v>
      </c>
      <c r="BE1244" t="s">
        <v>2365</v>
      </c>
      <c r="BF1244" t="s">
        <v>2365</v>
      </c>
      <c r="BG1244" t="s">
        <v>2365</v>
      </c>
      <c r="BH1244" t="s">
        <v>2365</v>
      </c>
      <c r="BI1244" t="s">
        <v>2366</v>
      </c>
      <c r="BJ1244" t="s">
        <v>2365</v>
      </c>
      <c r="BK1244" t="s">
        <v>2365</v>
      </c>
      <c r="BL1244" t="s">
        <v>2365</v>
      </c>
      <c r="BM1244" t="s">
        <v>2365</v>
      </c>
      <c r="BO1244">
        <v>1</v>
      </c>
      <c r="BP1244">
        <v>11</v>
      </c>
      <c r="BQ1244" t="s">
        <v>2369</v>
      </c>
      <c r="BR1244" t="s">
        <v>1487</v>
      </c>
      <c r="BU1244">
        <v>0</v>
      </c>
      <c r="BV1244">
        <v>0</v>
      </c>
      <c r="BW1244">
        <v>0</v>
      </c>
      <c r="BX1244">
        <v>0</v>
      </c>
      <c r="BY1244" s="1371">
        <v>0</v>
      </c>
      <c r="BZ1244" s="1371">
        <v>0</v>
      </c>
      <c r="CA1244">
        <v>0</v>
      </c>
      <c r="CB1244">
        <v>0</v>
      </c>
      <c r="CC1244">
        <v>0</v>
      </c>
      <c r="CD1244">
        <v>0</v>
      </c>
      <c r="CE1244">
        <v>0</v>
      </c>
      <c r="CF1244">
        <v>0</v>
      </c>
      <c r="CG1244">
        <v>0</v>
      </c>
      <c r="CH1244">
        <v>0</v>
      </c>
      <c r="CI1244">
        <v>0</v>
      </c>
      <c r="CJ1244">
        <v>0</v>
      </c>
      <c r="CK1244">
        <v>0</v>
      </c>
      <c r="CL1244">
        <v>0</v>
      </c>
      <c r="CM1244">
        <v>0</v>
      </c>
      <c r="CR1244" t="s">
        <v>2324</v>
      </c>
      <c r="CS1244" s="1369" t="str">
        <f>INDEX([8]Sheet1!$H:$H,MATCH(CR:CR,[8]Sheet1!$AU:$AU,0))</f>
        <v>Finance</v>
      </c>
    </row>
    <row r="1245" spans="1:97" x14ac:dyDescent="0.2">
      <c r="A1245" t="s">
        <v>4217</v>
      </c>
      <c r="B1245">
        <v>1333</v>
      </c>
      <c r="C1245" t="s">
        <v>4217</v>
      </c>
      <c r="D1245">
        <v>30566</v>
      </c>
      <c r="E1245" t="s">
        <v>4218</v>
      </c>
      <c r="F1245" t="s">
        <v>2364</v>
      </c>
      <c r="G1245" t="s">
        <v>2364</v>
      </c>
      <c r="H1245" t="s">
        <v>2365</v>
      </c>
      <c r="I1245" t="s">
        <v>2365</v>
      </c>
      <c r="J1245" t="s">
        <v>2365</v>
      </c>
      <c r="K1245" t="s">
        <v>2365</v>
      </c>
      <c r="L1245">
        <v>1200</v>
      </c>
      <c r="M1245" t="s">
        <v>1480</v>
      </c>
      <c r="N1245">
        <v>1204</v>
      </c>
      <c r="O1245" t="s">
        <v>1487</v>
      </c>
      <c r="P1245" t="s">
        <v>2366</v>
      </c>
      <c r="Q1245" t="s">
        <v>2364</v>
      </c>
      <c r="R1245" t="s">
        <v>2364</v>
      </c>
      <c r="S1245" t="s">
        <v>553</v>
      </c>
      <c r="T1245" t="s">
        <v>2367</v>
      </c>
      <c r="U1245">
        <v>360</v>
      </c>
      <c r="V1245" t="s">
        <v>2368</v>
      </c>
      <c r="W1245">
        <v>360</v>
      </c>
      <c r="X1245" t="s">
        <v>711</v>
      </c>
      <c r="Y1245" t="s">
        <v>2365</v>
      </c>
      <c r="Z1245" t="s">
        <v>2365</v>
      </c>
      <c r="AA1245" t="s">
        <v>2365</v>
      </c>
      <c r="AB1245" t="s">
        <v>2365</v>
      </c>
      <c r="AC1245" s="813" t="s">
        <v>2365</v>
      </c>
      <c r="AD1245" s="813" t="s">
        <v>2365</v>
      </c>
      <c r="AE1245" s="813" t="s">
        <v>2365</v>
      </c>
      <c r="AF1245" t="s">
        <v>2365</v>
      </c>
      <c r="AG1245" t="s">
        <v>2365</v>
      </c>
      <c r="AH1245" t="s">
        <v>2365</v>
      </c>
      <c r="AI1245" t="s">
        <v>2365</v>
      </c>
      <c r="AJ1245" t="s">
        <v>2365</v>
      </c>
      <c r="AK1245">
        <v>361</v>
      </c>
      <c r="AL1245" t="s">
        <v>1804</v>
      </c>
      <c r="AM1245">
        <v>361</v>
      </c>
      <c r="AN1245" t="s">
        <v>1804</v>
      </c>
      <c r="AR1245" t="s">
        <v>2365</v>
      </c>
      <c r="AS1245" t="s">
        <v>2365</v>
      </c>
      <c r="AT1245" t="s">
        <v>2365</v>
      </c>
      <c r="AU1245" t="s">
        <v>2365</v>
      </c>
      <c r="AV1245" t="s">
        <v>2365</v>
      </c>
      <c r="AW1245" t="s">
        <v>2365</v>
      </c>
      <c r="AX1245" t="s">
        <v>2365</v>
      </c>
      <c r="AY1245" t="s">
        <v>2365</v>
      </c>
      <c r="AZ1245" t="s">
        <v>2365</v>
      </c>
      <c r="BA1245" t="s">
        <v>2365</v>
      </c>
      <c r="BB1245" t="s">
        <v>2365</v>
      </c>
      <c r="BC1245" t="s">
        <v>2365</v>
      </c>
      <c r="BD1245" t="s">
        <v>2366</v>
      </c>
      <c r="BE1245" t="s">
        <v>2365</v>
      </c>
      <c r="BF1245" t="s">
        <v>2365</v>
      </c>
      <c r="BG1245" t="s">
        <v>2365</v>
      </c>
      <c r="BH1245" t="s">
        <v>2365</v>
      </c>
      <c r="BI1245" t="s">
        <v>2366</v>
      </c>
      <c r="BJ1245" t="s">
        <v>2365</v>
      </c>
      <c r="BK1245" t="s">
        <v>2365</v>
      </c>
      <c r="BL1245" t="s">
        <v>2365</v>
      </c>
      <c r="BM1245" t="s">
        <v>2365</v>
      </c>
      <c r="BO1245">
        <v>1</v>
      </c>
      <c r="BP1245">
        <v>11</v>
      </c>
      <c r="BQ1245" t="s">
        <v>2369</v>
      </c>
      <c r="BR1245" t="s">
        <v>1487</v>
      </c>
      <c r="BU1245">
        <v>0</v>
      </c>
      <c r="BV1245">
        <v>0</v>
      </c>
      <c r="BW1245">
        <v>0</v>
      </c>
      <c r="BX1245">
        <v>0</v>
      </c>
      <c r="BY1245" s="1371">
        <v>0</v>
      </c>
      <c r="BZ1245" s="1371">
        <v>0</v>
      </c>
      <c r="CA1245">
        <v>0</v>
      </c>
      <c r="CB1245">
        <v>0</v>
      </c>
      <c r="CC1245">
        <v>0</v>
      </c>
      <c r="CD1245">
        <v>0</v>
      </c>
      <c r="CE1245">
        <v>0</v>
      </c>
      <c r="CF1245">
        <v>0</v>
      </c>
      <c r="CG1245">
        <v>0</v>
      </c>
      <c r="CH1245">
        <v>0</v>
      </c>
      <c r="CI1245">
        <v>0</v>
      </c>
      <c r="CJ1245">
        <v>0</v>
      </c>
      <c r="CK1245">
        <v>0</v>
      </c>
      <c r="CL1245">
        <v>0</v>
      </c>
      <c r="CM1245">
        <v>0</v>
      </c>
      <c r="CR1245" t="s">
        <v>2324</v>
      </c>
      <c r="CS1245" s="1369" t="str">
        <f>INDEX([8]Sheet1!$H:$H,MATCH(CR:CR,[8]Sheet1!$AU:$AU,0))</f>
        <v>Finance</v>
      </c>
    </row>
    <row r="1246" spans="1:97" x14ac:dyDescent="0.2">
      <c r="A1246" t="s">
        <v>4219</v>
      </c>
      <c r="B1246">
        <v>1334</v>
      </c>
      <c r="C1246" t="s">
        <v>4219</v>
      </c>
      <c r="D1246">
        <v>30567</v>
      </c>
      <c r="E1246" t="s">
        <v>4220</v>
      </c>
      <c r="F1246" t="s">
        <v>2364</v>
      </c>
      <c r="G1246" t="s">
        <v>2364</v>
      </c>
      <c r="H1246" t="s">
        <v>2365</v>
      </c>
      <c r="I1246" t="s">
        <v>2365</v>
      </c>
      <c r="J1246" t="s">
        <v>2365</v>
      </c>
      <c r="K1246" t="s">
        <v>2365</v>
      </c>
      <c r="L1246">
        <v>1200</v>
      </c>
      <c r="M1246" t="s">
        <v>1480</v>
      </c>
      <c r="N1246">
        <v>1204</v>
      </c>
      <c r="O1246" t="s">
        <v>1487</v>
      </c>
      <c r="P1246" t="s">
        <v>2366</v>
      </c>
      <c r="Q1246" t="s">
        <v>2364</v>
      </c>
      <c r="R1246" t="s">
        <v>2364</v>
      </c>
      <c r="S1246" t="s">
        <v>553</v>
      </c>
      <c r="T1246" t="s">
        <v>2367</v>
      </c>
      <c r="U1246">
        <v>360</v>
      </c>
      <c r="V1246" t="s">
        <v>2368</v>
      </c>
      <c r="W1246">
        <v>360</v>
      </c>
      <c r="X1246" t="s">
        <v>711</v>
      </c>
      <c r="Y1246" t="s">
        <v>2365</v>
      </c>
      <c r="Z1246" t="s">
        <v>2365</v>
      </c>
      <c r="AA1246" t="s">
        <v>2365</v>
      </c>
      <c r="AB1246" t="s">
        <v>2365</v>
      </c>
      <c r="AC1246" s="813" t="s">
        <v>2365</v>
      </c>
      <c r="AD1246" s="813" t="s">
        <v>2365</v>
      </c>
      <c r="AE1246" s="813" t="s">
        <v>2365</v>
      </c>
      <c r="AF1246" t="s">
        <v>2365</v>
      </c>
      <c r="AG1246" t="s">
        <v>2365</v>
      </c>
      <c r="AH1246" t="s">
        <v>2365</v>
      </c>
      <c r="AI1246" t="s">
        <v>2365</v>
      </c>
      <c r="AJ1246" t="s">
        <v>2365</v>
      </c>
      <c r="AK1246">
        <v>361</v>
      </c>
      <c r="AL1246" t="s">
        <v>1804</v>
      </c>
      <c r="AM1246">
        <v>361</v>
      </c>
      <c r="AN1246" t="s">
        <v>1804</v>
      </c>
      <c r="AR1246" t="s">
        <v>2365</v>
      </c>
      <c r="AS1246" t="s">
        <v>2365</v>
      </c>
      <c r="AT1246" t="s">
        <v>2365</v>
      </c>
      <c r="AU1246" t="s">
        <v>2365</v>
      </c>
      <c r="AV1246" t="s">
        <v>2365</v>
      </c>
      <c r="AW1246" t="s">
        <v>2365</v>
      </c>
      <c r="AX1246" t="s">
        <v>2365</v>
      </c>
      <c r="AY1246" t="s">
        <v>2365</v>
      </c>
      <c r="AZ1246" t="s">
        <v>2365</v>
      </c>
      <c r="BA1246" t="s">
        <v>2365</v>
      </c>
      <c r="BB1246" t="s">
        <v>2365</v>
      </c>
      <c r="BC1246" t="s">
        <v>2365</v>
      </c>
      <c r="BD1246" t="s">
        <v>2366</v>
      </c>
      <c r="BE1246" t="s">
        <v>2365</v>
      </c>
      <c r="BF1246" t="s">
        <v>2365</v>
      </c>
      <c r="BG1246" t="s">
        <v>2365</v>
      </c>
      <c r="BH1246" t="s">
        <v>2365</v>
      </c>
      <c r="BI1246" t="s">
        <v>2366</v>
      </c>
      <c r="BJ1246" t="s">
        <v>2365</v>
      </c>
      <c r="BK1246" t="s">
        <v>2365</v>
      </c>
      <c r="BL1246" t="s">
        <v>2365</v>
      </c>
      <c r="BM1246" t="s">
        <v>2365</v>
      </c>
      <c r="BO1246">
        <v>1</v>
      </c>
      <c r="BP1246">
        <v>11</v>
      </c>
      <c r="BQ1246" t="s">
        <v>2369</v>
      </c>
      <c r="BR1246" t="s">
        <v>1487</v>
      </c>
      <c r="BU1246">
        <v>0</v>
      </c>
      <c r="BV1246">
        <v>0</v>
      </c>
      <c r="BW1246">
        <v>0</v>
      </c>
      <c r="BX1246">
        <v>0</v>
      </c>
      <c r="BY1246" s="1371">
        <v>0</v>
      </c>
      <c r="BZ1246" s="1371">
        <v>0</v>
      </c>
      <c r="CA1246">
        <v>0</v>
      </c>
      <c r="CB1246">
        <v>-385577.06</v>
      </c>
      <c r="CC1246">
        <v>-541494.22000000009</v>
      </c>
      <c r="CD1246">
        <v>-371981.37000000005</v>
      </c>
      <c r="CE1246">
        <v>-400951.04000000004</v>
      </c>
      <c r="CF1246">
        <v>-427819.1</v>
      </c>
      <c r="CG1246">
        <v>-434925.45000000007</v>
      </c>
      <c r="CH1246">
        <v>-462323.39</v>
      </c>
      <c r="CI1246">
        <v>0</v>
      </c>
      <c r="CJ1246">
        <v>0</v>
      </c>
      <c r="CK1246">
        <v>0</v>
      </c>
      <c r="CL1246">
        <v>0</v>
      </c>
      <c r="CM1246">
        <v>0</v>
      </c>
      <c r="CR1246" t="s">
        <v>2324</v>
      </c>
      <c r="CS1246" s="1369" t="str">
        <f>INDEX([8]Sheet1!$H:$H,MATCH(CR:CR,[8]Sheet1!$AU:$AU,0))</f>
        <v>Finance</v>
      </c>
    </row>
    <row r="1247" spans="1:97" x14ac:dyDescent="0.2">
      <c r="A1247" t="s">
        <v>4221</v>
      </c>
      <c r="B1247">
        <v>1335</v>
      </c>
      <c r="C1247" t="s">
        <v>4221</v>
      </c>
      <c r="D1247">
        <v>30568</v>
      </c>
      <c r="E1247" t="s">
        <v>4222</v>
      </c>
      <c r="F1247" t="s">
        <v>2364</v>
      </c>
      <c r="G1247" t="s">
        <v>2364</v>
      </c>
      <c r="H1247" t="s">
        <v>2365</v>
      </c>
      <c r="I1247" t="s">
        <v>2365</v>
      </c>
      <c r="J1247" t="s">
        <v>2365</v>
      </c>
      <c r="K1247" t="s">
        <v>2365</v>
      </c>
      <c r="L1247">
        <v>1200</v>
      </c>
      <c r="M1247" t="s">
        <v>1480</v>
      </c>
      <c r="N1247">
        <v>1204</v>
      </c>
      <c r="O1247" t="s">
        <v>1487</v>
      </c>
      <c r="P1247" t="s">
        <v>2366</v>
      </c>
      <c r="Q1247" t="s">
        <v>2364</v>
      </c>
      <c r="R1247" t="s">
        <v>2364</v>
      </c>
      <c r="S1247" t="s">
        <v>553</v>
      </c>
      <c r="T1247" t="s">
        <v>2367</v>
      </c>
      <c r="U1247">
        <v>360</v>
      </c>
      <c r="V1247" t="s">
        <v>2368</v>
      </c>
      <c r="W1247">
        <v>360</v>
      </c>
      <c r="X1247" t="s">
        <v>711</v>
      </c>
      <c r="Y1247" t="s">
        <v>2365</v>
      </c>
      <c r="Z1247" t="s">
        <v>2365</v>
      </c>
      <c r="AA1247" t="s">
        <v>2365</v>
      </c>
      <c r="AB1247" t="s">
        <v>2365</v>
      </c>
      <c r="AC1247" s="813" t="s">
        <v>2365</v>
      </c>
      <c r="AD1247" s="813" t="s">
        <v>2365</v>
      </c>
      <c r="AE1247" s="813" t="s">
        <v>2365</v>
      </c>
      <c r="AF1247" t="s">
        <v>2365</v>
      </c>
      <c r="AG1247" t="s">
        <v>2365</v>
      </c>
      <c r="AH1247" t="s">
        <v>2365</v>
      </c>
      <c r="AI1247" t="s">
        <v>2365</v>
      </c>
      <c r="AJ1247" t="s">
        <v>2365</v>
      </c>
      <c r="AK1247">
        <v>361</v>
      </c>
      <c r="AL1247" t="s">
        <v>1804</v>
      </c>
      <c r="AM1247">
        <v>361</v>
      </c>
      <c r="AN1247" t="s">
        <v>1804</v>
      </c>
      <c r="AR1247" t="s">
        <v>2365</v>
      </c>
      <c r="AS1247" t="s">
        <v>2365</v>
      </c>
      <c r="AT1247" t="s">
        <v>2365</v>
      </c>
      <c r="AU1247" t="s">
        <v>2365</v>
      </c>
      <c r="AV1247" t="s">
        <v>2365</v>
      </c>
      <c r="AW1247" t="s">
        <v>2365</v>
      </c>
      <c r="AX1247" t="s">
        <v>2365</v>
      </c>
      <c r="AY1247" t="s">
        <v>2365</v>
      </c>
      <c r="AZ1247" t="s">
        <v>2365</v>
      </c>
      <c r="BA1247" t="s">
        <v>2365</v>
      </c>
      <c r="BB1247" t="s">
        <v>2365</v>
      </c>
      <c r="BC1247" t="s">
        <v>2365</v>
      </c>
      <c r="BD1247" t="s">
        <v>2366</v>
      </c>
      <c r="BE1247" t="s">
        <v>2365</v>
      </c>
      <c r="BF1247" t="s">
        <v>2365</v>
      </c>
      <c r="BG1247" t="s">
        <v>2365</v>
      </c>
      <c r="BH1247" t="s">
        <v>2365</v>
      </c>
      <c r="BI1247" t="s">
        <v>2366</v>
      </c>
      <c r="BJ1247" t="s">
        <v>2365</v>
      </c>
      <c r="BK1247" t="s">
        <v>2365</v>
      </c>
      <c r="BL1247" t="s">
        <v>2365</v>
      </c>
      <c r="BM1247" t="s">
        <v>2365</v>
      </c>
      <c r="BO1247">
        <v>1</v>
      </c>
      <c r="BP1247">
        <v>11</v>
      </c>
      <c r="BQ1247" t="s">
        <v>2369</v>
      </c>
      <c r="BR1247" t="s">
        <v>1487</v>
      </c>
      <c r="BU1247">
        <v>0</v>
      </c>
      <c r="BV1247">
        <v>0</v>
      </c>
      <c r="BW1247">
        <v>0</v>
      </c>
      <c r="BX1247">
        <v>0</v>
      </c>
      <c r="BY1247">
        <v>0</v>
      </c>
      <c r="BZ1247">
        <v>0</v>
      </c>
      <c r="CA1247">
        <v>0</v>
      </c>
      <c r="CB1247">
        <v>0</v>
      </c>
      <c r="CC1247">
        <v>0</v>
      </c>
      <c r="CD1247">
        <v>0</v>
      </c>
      <c r="CE1247">
        <v>0</v>
      </c>
      <c r="CF1247">
        <v>0</v>
      </c>
      <c r="CG1247">
        <v>0</v>
      </c>
      <c r="CH1247">
        <v>0</v>
      </c>
      <c r="CI1247">
        <v>0</v>
      </c>
      <c r="CJ1247">
        <v>0</v>
      </c>
      <c r="CK1247">
        <v>0</v>
      </c>
      <c r="CL1247">
        <v>0</v>
      </c>
      <c r="CM1247">
        <v>0</v>
      </c>
      <c r="CR1247" t="s">
        <v>2328</v>
      </c>
      <c r="CS1247" s="1369" t="str">
        <f>INDEX([8]Sheet1!$H:$H,MATCH(CR:CR,[8]Sheet1!$AU:$AU,0))</f>
        <v>Water Distribution</v>
      </c>
    </row>
    <row r="1248" spans="1:97" x14ac:dyDescent="0.2">
      <c r="A1248" t="s">
        <v>4223</v>
      </c>
      <c r="B1248">
        <v>1336</v>
      </c>
      <c r="C1248" t="s">
        <v>4223</v>
      </c>
      <c r="D1248">
        <v>30569</v>
      </c>
      <c r="E1248" t="s">
        <v>4224</v>
      </c>
      <c r="F1248" t="s">
        <v>2364</v>
      </c>
      <c r="G1248" t="s">
        <v>2364</v>
      </c>
      <c r="H1248" t="s">
        <v>2365</v>
      </c>
      <c r="I1248" t="s">
        <v>2365</v>
      </c>
      <c r="J1248" t="s">
        <v>2365</v>
      </c>
      <c r="K1248" t="s">
        <v>2365</v>
      </c>
      <c r="L1248">
        <v>1200</v>
      </c>
      <c r="M1248" t="s">
        <v>1480</v>
      </c>
      <c r="N1248">
        <v>1204</v>
      </c>
      <c r="O1248" t="s">
        <v>1487</v>
      </c>
      <c r="P1248" t="s">
        <v>2366</v>
      </c>
      <c r="Q1248" t="s">
        <v>2364</v>
      </c>
      <c r="R1248" t="s">
        <v>2364</v>
      </c>
      <c r="S1248" t="s">
        <v>553</v>
      </c>
      <c r="T1248" t="s">
        <v>2367</v>
      </c>
      <c r="U1248">
        <v>360</v>
      </c>
      <c r="V1248" t="s">
        <v>2368</v>
      </c>
      <c r="W1248">
        <v>360</v>
      </c>
      <c r="X1248" t="s">
        <v>711</v>
      </c>
      <c r="Y1248" t="s">
        <v>2365</v>
      </c>
      <c r="Z1248" t="s">
        <v>2365</v>
      </c>
      <c r="AA1248" t="s">
        <v>2365</v>
      </c>
      <c r="AB1248" t="s">
        <v>2365</v>
      </c>
      <c r="AC1248" s="813" t="s">
        <v>2365</v>
      </c>
      <c r="AD1248" s="813" t="s">
        <v>2365</v>
      </c>
      <c r="AE1248" s="813" t="s">
        <v>2365</v>
      </c>
      <c r="AF1248" t="s">
        <v>2365</v>
      </c>
      <c r="AG1248" t="s">
        <v>2365</v>
      </c>
      <c r="AH1248" t="s">
        <v>2365</v>
      </c>
      <c r="AI1248" t="s">
        <v>2365</v>
      </c>
      <c r="AJ1248" t="s">
        <v>2365</v>
      </c>
      <c r="AK1248">
        <v>361</v>
      </c>
      <c r="AL1248" t="s">
        <v>1804</v>
      </c>
      <c r="AM1248">
        <v>361</v>
      </c>
      <c r="AN1248" t="s">
        <v>1804</v>
      </c>
      <c r="AR1248" t="s">
        <v>2365</v>
      </c>
      <c r="AS1248" t="s">
        <v>2365</v>
      </c>
      <c r="AT1248" t="s">
        <v>2365</v>
      </c>
      <c r="AU1248" t="s">
        <v>2365</v>
      </c>
      <c r="AV1248" t="s">
        <v>2365</v>
      </c>
      <c r="AW1248" t="s">
        <v>2365</v>
      </c>
      <c r="AX1248" t="s">
        <v>2365</v>
      </c>
      <c r="AY1248" t="s">
        <v>2365</v>
      </c>
      <c r="AZ1248" t="s">
        <v>2365</v>
      </c>
      <c r="BA1248" t="s">
        <v>2365</v>
      </c>
      <c r="BB1248" t="s">
        <v>2365</v>
      </c>
      <c r="BC1248" t="s">
        <v>2365</v>
      </c>
      <c r="BD1248" t="s">
        <v>2366</v>
      </c>
      <c r="BE1248" t="s">
        <v>2365</v>
      </c>
      <c r="BF1248" t="s">
        <v>2365</v>
      </c>
      <c r="BG1248" t="s">
        <v>2365</v>
      </c>
      <c r="BH1248" t="s">
        <v>2365</v>
      </c>
      <c r="BI1248" t="s">
        <v>2366</v>
      </c>
      <c r="BJ1248" t="s">
        <v>2365</v>
      </c>
      <c r="BK1248" t="s">
        <v>2365</v>
      </c>
      <c r="BL1248" t="s">
        <v>2365</v>
      </c>
      <c r="BM1248" t="s">
        <v>2365</v>
      </c>
      <c r="BO1248">
        <v>1</v>
      </c>
      <c r="BP1248">
        <v>11</v>
      </c>
      <c r="BQ1248" t="s">
        <v>2369</v>
      </c>
      <c r="BR1248" t="s">
        <v>1487</v>
      </c>
      <c r="BU1248">
        <v>-1932192</v>
      </c>
      <c r="BV1248">
        <v>0</v>
      </c>
      <c r="BW1248">
        <v>-1932192</v>
      </c>
      <c r="BX1248">
        <v>-1932192</v>
      </c>
      <c r="BY1248" s="1371">
        <v>0</v>
      </c>
      <c r="BZ1248" s="1371">
        <v>0</v>
      </c>
      <c r="CA1248">
        <v>0</v>
      </c>
      <c r="CB1248">
        <v>0</v>
      </c>
      <c r="CC1248">
        <v>0</v>
      </c>
      <c r="CD1248">
        <v>103603.76000000001</v>
      </c>
      <c r="CE1248">
        <v>33768.829999999987</v>
      </c>
      <c r="CF1248">
        <v>0</v>
      </c>
      <c r="CG1248">
        <v>277365.61</v>
      </c>
      <c r="CH1248">
        <v>233683.89</v>
      </c>
      <c r="CI1248">
        <v>0</v>
      </c>
      <c r="CJ1248">
        <v>0</v>
      </c>
      <c r="CK1248">
        <v>0</v>
      </c>
      <c r="CL1248">
        <v>0</v>
      </c>
      <c r="CM1248">
        <v>0</v>
      </c>
      <c r="CR1248" t="s">
        <v>2328</v>
      </c>
      <c r="CS1248" s="1369" t="str">
        <f>INDEX([8]Sheet1!$H:$H,MATCH(CR:CR,[8]Sheet1!$AU:$AU,0))</f>
        <v>Water Distribution</v>
      </c>
    </row>
    <row r="1249" spans="1:97" x14ac:dyDescent="0.2">
      <c r="A1249" t="s">
        <v>4225</v>
      </c>
      <c r="B1249">
        <v>1337</v>
      </c>
      <c r="C1249" t="s">
        <v>4225</v>
      </c>
      <c r="D1249">
        <v>30570</v>
      </c>
      <c r="E1249" t="s">
        <v>4226</v>
      </c>
      <c r="F1249" t="s">
        <v>2364</v>
      </c>
      <c r="G1249" t="s">
        <v>2364</v>
      </c>
      <c r="H1249" t="s">
        <v>2365</v>
      </c>
      <c r="I1249" t="s">
        <v>2365</v>
      </c>
      <c r="J1249" t="s">
        <v>2365</v>
      </c>
      <c r="K1249" t="s">
        <v>2365</v>
      </c>
      <c r="L1249">
        <v>1200</v>
      </c>
      <c r="M1249" t="s">
        <v>1480</v>
      </c>
      <c r="N1249">
        <v>1204</v>
      </c>
      <c r="O1249" t="s">
        <v>1487</v>
      </c>
      <c r="P1249" t="s">
        <v>2366</v>
      </c>
      <c r="Q1249" t="s">
        <v>2364</v>
      </c>
      <c r="R1249" t="s">
        <v>2364</v>
      </c>
      <c r="S1249" t="s">
        <v>553</v>
      </c>
      <c r="T1249" t="s">
        <v>2367</v>
      </c>
      <c r="U1249">
        <v>360</v>
      </c>
      <c r="V1249" t="s">
        <v>2368</v>
      </c>
      <c r="W1249">
        <v>360</v>
      </c>
      <c r="X1249" t="s">
        <v>711</v>
      </c>
      <c r="Y1249" t="s">
        <v>2365</v>
      </c>
      <c r="Z1249" t="s">
        <v>2365</v>
      </c>
      <c r="AA1249" t="s">
        <v>2365</v>
      </c>
      <c r="AB1249" t="s">
        <v>2365</v>
      </c>
      <c r="AC1249" s="813" t="s">
        <v>2365</v>
      </c>
      <c r="AD1249" s="813" t="s">
        <v>2365</v>
      </c>
      <c r="AE1249" s="813" t="s">
        <v>2365</v>
      </c>
      <c r="AF1249" t="s">
        <v>2365</v>
      </c>
      <c r="AG1249" t="s">
        <v>2365</v>
      </c>
      <c r="AH1249" t="s">
        <v>2365</v>
      </c>
      <c r="AI1249" t="s">
        <v>2365</v>
      </c>
      <c r="AJ1249" t="s">
        <v>2365</v>
      </c>
      <c r="AK1249">
        <v>361</v>
      </c>
      <c r="AL1249" t="s">
        <v>1804</v>
      </c>
      <c r="AM1249">
        <v>361</v>
      </c>
      <c r="AN1249" t="s">
        <v>1804</v>
      </c>
      <c r="AR1249" t="s">
        <v>2365</v>
      </c>
      <c r="AS1249" t="s">
        <v>2365</v>
      </c>
      <c r="AT1249" t="s">
        <v>2365</v>
      </c>
      <c r="AU1249" t="s">
        <v>2365</v>
      </c>
      <c r="AV1249" t="s">
        <v>2365</v>
      </c>
      <c r="AW1249" t="s">
        <v>2365</v>
      </c>
      <c r="AX1249" t="s">
        <v>2365</v>
      </c>
      <c r="AY1249" t="s">
        <v>2365</v>
      </c>
      <c r="AZ1249" t="s">
        <v>2365</v>
      </c>
      <c r="BA1249" t="s">
        <v>2365</v>
      </c>
      <c r="BB1249" t="s">
        <v>2365</v>
      </c>
      <c r="BC1249" t="s">
        <v>2365</v>
      </c>
      <c r="BD1249" t="s">
        <v>2366</v>
      </c>
      <c r="BE1249" t="s">
        <v>2365</v>
      </c>
      <c r="BF1249" t="s">
        <v>2365</v>
      </c>
      <c r="BG1249" t="s">
        <v>2365</v>
      </c>
      <c r="BH1249" t="s">
        <v>2365</v>
      </c>
      <c r="BI1249" t="s">
        <v>2366</v>
      </c>
      <c r="BJ1249" t="s">
        <v>2365</v>
      </c>
      <c r="BK1249" t="s">
        <v>2365</v>
      </c>
      <c r="BL1249" t="s">
        <v>2365</v>
      </c>
      <c r="BM1249" t="s">
        <v>2365</v>
      </c>
      <c r="BO1249">
        <v>1</v>
      </c>
      <c r="BP1249">
        <v>11</v>
      </c>
      <c r="BQ1249" t="s">
        <v>2369</v>
      </c>
      <c r="BR1249" t="s">
        <v>1487</v>
      </c>
      <c r="BU1249">
        <v>0</v>
      </c>
      <c r="BV1249">
        <v>0</v>
      </c>
      <c r="BW1249">
        <v>0</v>
      </c>
      <c r="BX1249">
        <v>0</v>
      </c>
      <c r="BY1249" s="1371">
        <v>0</v>
      </c>
      <c r="BZ1249" s="1371">
        <v>0</v>
      </c>
      <c r="CA1249">
        <v>0</v>
      </c>
      <c r="CB1249">
        <v>0</v>
      </c>
      <c r="CC1249">
        <v>0</v>
      </c>
      <c r="CD1249">
        <v>0</v>
      </c>
      <c r="CE1249">
        <v>0</v>
      </c>
      <c r="CF1249">
        <v>0</v>
      </c>
      <c r="CG1249">
        <v>0</v>
      </c>
      <c r="CH1249">
        <v>0</v>
      </c>
      <c r="CI1249">
        <v>0</v>
      </c>
      <c r="CJ1249">
        <v>0</v>
      </c>
      <c r="CK1249">
        <v>0</v>
      </c>
      <c r="CL1249">
        <v>0</v>
      </c>
      <c r="CM1249">
        <v>0</v>
      </c>
      <c r="CR1249" t="s">
        <v>2328</v>
      </c>
      <c r="CS1249" s="1369" t="str">
        <f>INDEX([8]Sheet1!$H:$H,MATCH(CR:CR,[8]Sheet1!$AU:$AU,0))</f>
        <v>Water Distribution</v>
      </c>
    </row>
    <row r="1250" spans="1:97" x14ac:dyDescent="0.2">
      <c r="A1250" t="s">
        <v>4227</v>
      </c>
      <c r="B1250">
        <v>1338</v>
      </c>
      <c r="C1250" t="s">
        <v>4227</v>
      </c>
      <c r="D1250">
        <v>41512</v>
      </c>
      <c r="E1250" t="s">
        <v>4228</v>
      </c>
      <c r="F1250" t="s">
        <v>2364</v>
      </c>
      <c r="G1250" t="s">
        <v>2364</v>
      </c>
      <c r="H1250" t="s">
        <v>2365</v>
      </c>
      <c r="I1250" t="s">
        <v>2365</v>
      </c>
      <c r="J1250" t="s">
        <v>2365</v>
      </c>
      <c r="K1250" t="s">
        <v>2365</v>
      </c>
      <c r="L1250">
        <v>1200</v>
      </c>
      <c r="M1250" t="s">
        <v>1480</v>
      </c>
      <c r="N1250">
        <v>1204</v>
      </c>
      <c r="O1250" t="s">
        <v>1487</v>
      </c>
      <c r="P1250" t="s">
        <v>2366</v>
      </c>
      <c r="Q1250" t="s">
        <v>2364</v>
      </c>
      <c r="R1250" t="s">
        <v>2364</v>
      </c>
      <c r="S1250" t="s">
        <v>553</v>
      </c>
      <c r="T1250" t="s">
        <v>2367</v>
      </c>
      <c r="U1250">
        <v>360</v>
      </c>
      <c r="V1250" t="s">
        <v>2368</v>
      </c>
      <c r="W1250">
        <v>360</v>
      </c>
      <c r="X1250" t="s">
        <v>711</v>
      </c>
      <c r="Y1250" t="s">
        <v>2365</v>
      </c>
      <c r="Z1250" t="s">
        <v>2365</v>
      </c>
      <c r="AA1250" t="s">
        <v>2365</v>
      </c>
      <c r="AB1250" t="s">
        <v>2365</v>
      </c>
      <c r="AC1250" s="813" t="s">
        <v>2365</v>
      </c>
      <c r="AD1250" s="813" t="s">
        <v>2365</v>
      </c>
      <c r="AE1250" s="813" t="s">
        <v>2365</v>
      </c>
      <c r="AF1250" t="s">
        <v>2365</v>
      </c>
      <c r="AG1250" t="s">
        <v>2365</v>
      </c>
      <c r="AH1250" t="s">
        <v>2365</v>
      </c>
      <c r="AI1250" t="s">
        <v>2365</v>
      </c>
      <c r="AJ1250" t="s">
        <v>2365</v>
      </c>
      <c r="AK1250">
        <v>361</v>
      </c>
      <c r="AL1250" t="s">
        <v>1804</v>
      </c>
      <c r="AM1250">
        <v>361</v>
      </c>
      <c r="AN1250" t="s">
        <v>1804</v>
      </c>
      <c r="AR1250" t="s">
        <v>2365</v>
      </c>
      <c r="AS1250" t="s">
        <v>2365</v>
      </c>
      <c r="AT1250" t="s">
        <v>2365</v>
      </c>
      <c r="AU1250" t="s">
        <v>2365</v>
      </c>
      <c r="AV1250" t="s">
        <v>2365</v>
      </c>
      <c r="AW1250" t="s">
        <v>2365</v>
      </c>
      <c r="AX1250" t="s">
        <v>2365</v>
      </c>
      <c r="AY1250" t="s">
        <v>2365</v>
      </c>
      <c r="AZ1250" t="s">
        <v>2365</v>
      </c>
      <c r="BA1250" t="s">
        <v>2365</v>
      </c>
      <c r="BB1250" t="s">
        <v>2365</v>
      </c>
      <c r="BC1250" t="s">
        <v>2365</v>
      </c>
      <c r="BD1250" t="s">
        <v>2366</v>
      </c>
      <c r="BE1250" t="s">
        <v>2365</v>
      </c>
      <c r="BF1250" t="s">
        <v>2365</v>
      </c>
      <c r="BG1250" t="s">
        <v>2365</v>
      </c>
      <c r="BH1250" t="s">
        <v>2365</v>
      </c>
      <c r="BI1250" t="s">
        <v>2366</v>
      </c>
      <c r="BJ1250" t="s">
        <v>2365</v>
      </c>
      <c r="BK1250" t="s">
        <v>2365</v>
      </c>
      <c r="BL1250" t="s">
        <v>2365</v>
      </c>
      <c r="BM1250" t="s">
        <v>2365</v>
      </c>
      <c r="BO1250">
        <v>1</v>
      </c>
      <c r="BP1250">
        <v>11</v>
      </c>
      <c r="BQ1250" t="s">
        <v>2369</v>
      </c>
      <c r="BR1250" t="s">
        <v>1487</v>
      </c>
      <c r="BU1250">
        <v>0</v>
      </c>
      <c r="BV1250">
        <v>0</v>
      </c>
      <c r="BW1250">
        <v>0</v>
      </c>
      <c r="BX1250">
        <v>0</v>
      </c>
      <c r="BY1250" s="1371">
        <v>0</v>
      </c>
      <c r="BZ1250" s="1371">
        <v>0</v>
      </c>
      <c r="CA1250">
        <v>0</v>
      </c>
      <c r="CB1250">
        <v>106865.98</v>
      </c>
      <c r="CC1250">
        <v>117173.35000000002</v>
      </c>
      <c r="CD1250">
        <v>29788.799999999999</v>
      </c>
      <c r="CE1250">
        <v>29853.8</v>
      </c>
      <c r="CF1250">
        <v>30188.66</v>
      </c>
      <c r="CG1250">
        <v>30167.7</v>
      </c>
      <c r="CH1250">
        <v>30191.8</v>
      </c>
      <c r="CI1250">
        <v>0</v>
      </c>
      <c r="CJ1250">
        <v>0</v>
      </c>
      <c r="CK1250">
        <v>0</v>
      </c>
      <c r="CL1250">
        <v>0</v>
      </c>
      <c r="CM1250">
        <v>0</v>
      </c>
      <c r="CR1250" t="s">
        <v>2328</v>
      </c>
      <c r="CS1250" s="1369" t="str">
        <f>INDEX([8]Sheet1!$H:$H,MATCH(CR:CR,[8]Sheet1!$AU:$AU,0))</f>
        <v>Water Distribution</v>
      </c>
    </row>
    <row r="1251" spans="1:97" x14ac:dyDescent="0.2">
      <c r="A1251" t="s">
        <v>4229</v>
      </c>
      <c r="B1251">
        <v>1339</v>
      </c>
      <c r="C1251" t="s">
        <v>4229</v>
      </c>
      <c r="D1251">
        <v>51818</v>
      </c>
      <c r="E1251" t="s">
        <v>4230</v>
      </c>
      <c r="F1251">
        <v>200</v>
      </c>
      <c r="G1251" t="s">
        <v>559</v>
      </c>
      <c r="H1251">
        <v>200</v>
      </c>
      <c r="I1251" t="s">
        <v>2863</v>
      </c>
      <c r="J1251" t="s">
        <v>2365</v>
      </c>
      <c r="K1251" t="s">
        <v>2365</v>
      </c>
      <c r="L1251">
        <v>1200</v>
      </c>
      <c r="M1251" t="s">
        <v>1480</v>
      </c>
      <c r="N1251">
        <v>1204</v>
      </c>
      <c r="O1251" t="s">
        <v>1487</v>
      </c>
      <c r="P1251" t="s">
        <v>2366</v>
      </c>
      <c r="Q1251" t="s">
        <v>2364</v>
      </c>
      <c r="R1251" t="s">
        <v>2364</v>
      </c>
      <c r="S1251" t="s">
        <v>553</v>
      </c>
      <c r="T1251" t="s">
        <v>1811</v>
      </c>
      <c r="U1251" t="s">
        <v>2365</v>
      </c>
      <c r="V1251" t="s">
        <v>2365</v>
      </c>
      <c r="W1251" t="s">
        <v>2365</v>
      </c>
      <c r="X1251" t="s">
        <v>2365</v>
      </c>
      <c r="Y1251" t="s">
        <v>2365</v>
      </c>
      <c r="Z1251" t="s">
        <v>2365</v>
      </c>
      <c r="AA1251" t="s">
        <v>2365</v>
      </c>
      <c r="AB1251" t="s">
        <v>2365</v>
      </c>
      <c r="AC1251" s="813" t="s">
        <v>2365</v>
      </c>
      <c r="AD1251" s="813" t="s">
        <v>2365</v>
      </c>
      <c r="AE1251" s="813" t="s">
        <v>2365</v>
      </c>
      <c r="AF1251" t="s">
        <v>2365</v>
      </c>
      <c r="AG1251" t="s">
        <v>2365</v>
      </c>
      <c r="AH1251" t="s">
        <v>2365</v>
      </c>
      <c r="AI1251" t="s">
        <v>2365</v>
      </c>
      <c r="AJ1251" t="s">
        <v>2365</v>
      </c>
      <c r="AK1251" t="s">
        <v>2365</v>
      </c>
      <c r="AL1251" t="s">
        <v>2365</v>
      </c>
      <c r="AM1251" t="s">
        <v>2365</v>
      </c>
      <c r="AN1251" t="s">
        <v>2365</v>
      </c>
      <c r="AR1251" t="s">
        <v>2365</v>
      </c>
      <c r="AS1251" t="s">
        <v>2365</v>
      </c>
      <c r="AT1251" t="s">
        <v>2365</v>
      </c>
      <c r="AU1251" t="s">
        <v>2365</v>
      </c>
      <c r="AV1251" t="s">
        <v>2365</v>
      </c>
      <c r="AW1251" t="s">
        <v>2365</v>
      </c>
      <c r="AX1251" t="s">
        <v>2365</v>
      </c>
      <c r="AY1251" t="s">
        <v>2365</v>
      </c>
      <c r="AZ1251" t="s">
        <v>2365</v>
      </c>
      <c r="BA1251" t="s">
        <v>2365</v>
      </c>
      <c r="BB1251" t="s">
        <v>2365</v>
      </c>
      <c r="BC1251" t="s">
        <v>2365</v>
      </c>
      <c r="BD1251" t="s">
        <v>2366</v>
      </c>
      <c r="BE1251" t="s">
        <v>2365</v>
      </c>
      <c r="BF1251" t="s">
        <v>2365</v>
      </c>
      <c r="BG1251" t="s">
        <v>2365</v>
      </c>
      <c r="BH1251" t="s">
        <v>2365</v>
      </c>
      <c r="BI1251" t="s">
        <v>2366</v>
      </c>
      <c r="BJ1251" t="s">
        <v>2365</v>
      </c>
      <c r="BK1251" t="s">
        <v>2365</v>
      </c>
      <c r="BL1251" t="s">
        <v>2365</v>
      </c>
      <c r="BM1251" t="s">
        <v>2365</v>
      </c>
      <c r="BO1251">
        <v>1</v>
      </c>
      <c r="BP1251">
        <v>11</v>
      </c>
      <c r="BQ1251" t="s">
        <v>2369</v>
      </c>
      <c r="BR1251" t="s">
        <v>1487</v>
      </c>
      <c r="BU1251">
        <v>0</v>
      </c>
      <c r="BV1251">
        <v>0</v>
      </c>
      <c r="BW1251">
        <v>0</v>
      </c>
      <c r="BX1251">
        <v>0</v>
      </c>
      <c r="BY1251" s="1371">
        <v>0</v>
      </c>
      <c r="BZ1251" s="1371">
        <v>0</v>
      </c>
      <c r="CA1251">
        <v>0</v>
      </c>
      <c r="CB1251">
        <v>0</v>
      </c>
      <c r="CC1251">
        <v>0</v>
      </c>
      <c r="CD1251">
        <v>0</v>
      </c>
      <c r="CE1251">
        <v>0</v>
      </c>
      <c r="CF1251">
        <v>0</v>
      </c>
      <c r="CG1251">
        <v>0</v>
      </c>
      <c r="CH1251">
        <v>0</v>
      </c>
      <c r="CI1251">
        <v>0</v>
      </c>
      <c r="CJ1251">
        <v>0</v>
      </c>
      <c r="CK1251">
        <v>0</v>
      </c>
      <c r="CL1251">
        <v>0</v>
      </c>
      <c r="CM1251">
        <v>0</v>
      </c>
      <c r="CR1251" t="s">
        <v>2328</v>
      </c>
      <c r="CS1251" s="1369" t="str">
        <f>INDEX([8]Sheet1!$H:$H,MATCH(CR:CR,[8]Sheet1!$AU:$AU,0))</f>
        <v>Water Distribution</v>
      </c>
    </row>
    <row r="1252" spans="1:97" x14ac:dyDescent="0.2">
      <c r="A1252" t="s">
        <v>4231</v>
      </c>
      <c r="B1252">
        <v>1340</v>
      </c>
      <c r="C1252" t="s">
        <v>4231</v>
      </c>
      <c r="D1252">
        <v>51819</v>
      </c>
      <c r="E1252" t="s">
        <v>4232</v>
      </c>
      <c r="F1252">
        <v>200</v>
      </c>
      <c r="G1252" t="s">
        <v>559</v>
      </c>
      <c r="H1252">
        <v>200</v>
      </c>
      <c r="I1252" t="s">
        <v>2863</v>
      </c>
      <c r="J1252" t="s">
        <v>2365</v>
      </c>
      <c r="K1252" t="s">
        <v>2365</v>
      </c>
      <c r="L1252">
        <v>1200</v>
      </c>
      <c r="M1252" t="s">
        <v>1480</v>
      </c>
      <c r="N1252">
        <v>1204</v>
      </c>
      <c r="O1252" t="s">
        <v>1487</v>
      </c>
      <c r="P1252" t="s">
        <v>2366</v>
      </c>
      <c r="Q1252" t="s">
        <v>2364</v>
      </c>
      <c r="R1252" t="s">
        <v>2364</v>
      </c>
      <c r="S1252" t="s">
        <v>553</v>
      </c>
      <c r="T1252" t="s">
        <v>1811</v>
      </c>
      <c r="U1252" t="s">
        <v>2365</v>
      </c>
      <c r="V1252" t="s">
        <v>2365</v>
      </c>
      <c r="W1252" t="s">
        <v>2365</v>
      </c>
      <c r="X1252" t="s">
        <v>2365</v>
      </c>
      <c r="Y1252" t="s">
        <v>2365</v>
      </c>
      <c r="Z1252" t="s">
        <v>2365</v>
      </c>
      <c r="AA1252" t="s">
        <v>2365</v>
      </c>
      <c r="AB1252" t="s">
        <v>2365</v>
      </c>
      <c r="AC1252" s="813" t="s">
        <v>2365</v>
      </c>
      <c r="AD1252" s="813" t="s">
        <v>2365</v>
      </c>
      <c r="AE1252" s="813" t="s">
        <v>2365</v>
      </c>
      <c r="AF1252" t="s">
        <v>2365</v>
      </c>
      <c r="AG1252" t="s">
        <v>2365</v>
      </c>
      <c r="AH1252" t="s">
        <v>2365</v>
      </c>
      <c r="AI1252" t="s">
        <v>2365</v>
      </c>
      <c r="AJ1252" t="s">
        <v>2365</v>
      </c>
      <c r="AK1252" t="s">
        <v>2365</v>
      </c>
      <c r="AL1252" t="s">
        <v>2365</v>
      </c>
      <c r="AM1252" t="s">
        <v>2365</v>
      </c>
      <c r="AN1252" t="s">
        <v>2365</v>
      </c>
      <c r="AR1252" t="s">
        <v>2365</v>
      </c>
      <c r="AS1252" t="s">
        <v>2365</v>
      </c>
      <c r="AT1252" t="s">
        <v>2365</v>
      </c>
      <c r="AU1252" t="s">
        <v>2365</v>
      </c>
      <c r="AV1252" t="s">
        <v>2365</v>
      </c>
      <c r="AW1252" t="s">
        <v>2365</v>
      </c>
      <c r="AX1252" t="s">
        <v>2365</v>
      </c>
      <c r="AY1252" t="s">
        <v>2365</v>
      </c>
      <c r="AZ1252" t="s">
        <v>2365</v>
      </c>
      <c r="BA1252" t="s">
        <v>2365</v>
      </c>
      <c r="BB1252" t="s">
        <v>2365</v>
      </c>
      <c r="BC1252" t="s">
        <v>2365</v>
      </c>
      <c r="BD1252" t="s">
        <v>2366</v>
      </c>
      <c r="BE1252" t="s">
        <v>2365</v>
      </c>
      <c r="BF1252" t="s">
        <v>2365</v>
      </c>
      <c r="BG1252" t="s">
        <v>2365</v>
      </c>
      <c r="BH1252" t="s">
        <v>2365</v>
      </c>
      <c r="BI1252" t="s">
        <v>2366</v>
      </c>
      <c r="BJ1252" t="s">
        <v>2365</v>
      </c>
      <c r="BK1252" t="s">
        <v>2365</v>
      </c>
      <c r="BL1252" t="s">
        <v>2365</v>
      </c>
      <c r="BM1252" t="s">
        <v>2365</v>
      </c>
      <c r="BO1252">
        <v>1</v>
      </c>
      <c r="BP1252">
        <v>11</v>
      </c>
      <c r="BQ1252" t="s">
        <v>2369</v>
      </c>
      <c r="BR1252" t="s">
        <v>1487</v>
      </c>
      <c r="BU1252">
        <v>0</v>
      </c>
      <c r="BV1252">
        <v>0</v>
      </c>
      <c r="BW1252">
        <v>0</v>
      </c>
      <c r="BX1252">
        <v>0</v>
      </c>
      <c r="BY1252" s="1371">
        <v>0</v>
      </c>
      <c r="BZ1252" s="1371">
        <v>0</v>
      </c>
      <c r="CA1252">
        <v>0</v>
      </c>
      <c r="CB1252">
        <v>0</v>
      </c>
      <c r="CC1252">
        <v>0</v>
      </c>
      <c r="CD1252">
        <v>0</v>
      </c>
      <c r="CE1252">
        <v>0</v>
      </c>
      <c r="CF1252">
        <v>0</v>
      </c>
      <c r="CG1252">
        <v>0</v>
      </c>
      <c r="CH1252">
        <v>0</v>
      </c>
      <c r="CI1252">
        <v>0</v>
      </c>
      <c r="CJ1252">
        <v>0</v>
      </c>
      <c r="CK1252">
        <v>0</v>
      </c>
      <c r="CL1252">
        <v>0</v>
      </c>
      <c r="CM1252">
        <v>0</v>
      </c>
      <c r="CR1252" t="s">
        <v>2336</v>
      </c>
      <c r="CS1252" s="1369" t="str">
        <f>INDEX([8]Sheet1!$H:$H,MATCH(CR:CR,[8]Sheet1!$AU:$AU,0))</f>
        <v>Project Management Unit</v>
      </c>
    </row>
    <row r="1253" spans="1:97" x14ac:dyDescent="0.2">
      <c r="A1253" t="s">
        <v>4233</v>
      </c>
      <c r="B1253">
        <v>1341</v>
      </c>
      <c r="C1253" t="s">
        <v>4233</v>
      </c>
      <c r="D1253">
        <v>51820</v>
      </c>
      <c r="E1253" t="s">
        <v>4234</v>
      </c>
      <c r="F1253">
        <v>200</v>
      </c>
      <c r="G1253" t="s">
        <v>559</v>
      </c>
      <c r="H1253">
        <v>200</v>
      </c>
      <c r="I1253" t="s">
        <v>2863</v>
      </c>
      <c r="J1253" t="s">
        <v>2365</v>
      </c>
      <c r="K1253" t="s">
        <v>2365</v>
      </c>
      <c r="L1253">
        <v>1200</v>
      </c>
      <c r="M1253" t="s">
        <v>1480</v>
      </c>
      <c r="N1253">
        <v>1204</v>
      </c>
      <c r="O1253" t="s">
        <v>1487</v>
      </c>
      <c r="P1253" t="s">
        <v>2366</v>
      </c>
      <c r="Q1253" t="s">
        <v>2364</v>
      </c>
      <c r="R1253" t="s">
        <v>2364</v>
      </c>
      <c r="S1253" t="s">
        <v>553</v>
      </c>
      <c r="T1253" t="s">
        <v>1811</v>
      </c>
      <c r="U1253" t="s">
        <v>2365</v>
      </c>
      <c r="V1253" t="s">
        <v>2365</v>
      </c>
      <c r="W1253" t="s">
        <v>2365</v>
      </c>
      <c r="X1253" t="s">
        <v>2365</v>
      </c>
      <c r="Y1253" t="s">
        <v>2365</v>
      </c>
      <c r="Z1253" t="s">
        <v>2365</v>
      </c>
      <c r="AA1253" t="s">
        <v>2365</v>
      </c>
      <c r="AB1253" t="s">
        <v>2365</v>
      </c>
      <c r="AC1253" s="813" t="s">
        <v>2365</v>
      </c>
      <c r="AD1253" s="813" t="s">
        <v>2365</v>
      </c>
      <c r="AE1253" s="813" t="s">
        <v>2365</v>
      </c>
      <c r="AF1253" t="s">
        <v>2365</v>
      </c>
      <c r="AG1253" t="s">
        <v>2365</v>
      </c>
      <c r="AH1253" t="s">
        <v>2365</v>
      </c>
      <c r="AI1253" t="s">
        <v>2365</v>
      </c>
      <c r="AJ1253" t="s">
        <v>2365</v>
      </c>
      <c r="AK1253" t="s">
        <v>2365</v>
      </c>
      <c r="AL1253" t="s">
        <v>2365</v>
      </c>
      <c r="AM1253" t="s">
        <v>2365</v>
      </c>
      <c r="AN1253" t="s">
        <v>2365</v>
      </c>
      <c r="AR1253" t="s">
        <v>2365</v>
      </c>
      <c r="AS1253" t="s">
        <v>2365</v>
      </c>
      <c r="AT1253" t="s">
        <v>2365</v>
      </c>
      <c r="AU1253" t="s">
        <v>2365</v>
      </c>
      <c r="AV1253" t="s">
        <v>2365</v>
      </c>
      <c r="AW1253" t="s">
        <v>2365</v>
      </c>
      <c r="AX1253" t="s">
        <v>2365</v>
      </c>
      <c r="AY1253" t="s">
        <v>2365</v>
      </c>
      <c r="AZ1253" t="s">
        <v>2365</v>
      </c>
      <c r="BA1253" t="s">
        <v>2365</v>
      </c>
      <c r="BB1253" t="s">
        <v>2365</v>
      </c>
      <c r="BC1253" t="s">
        <v>2365</v>
      </c>
      <c r="BD1253" t="s">
        <v>2366</v>
      </c>
      <c r="BE1253" t="s">
        <v>2365</v>
      </c>
      <c r="BF1253" t="s">
        <v>2365</v>
      </c>
      <c r="BG1253" t="s">
        <v>2365</v>
      </c>
      <c r="BH1253" t="s">
        <v>2365</v>
      </c>
      <c r="BI1253" t="s">
        <v>2366</v>
      </c>
      <c r="BJ1253" t="s">
        <v>2365</v>
      </c>
      <c r="BK1253" t="s">
        <v>2365</v>
      </c>
      <c r="BL1253" t="s">
        <v>2365</v>
      </c>
      <c r="BM1253" t="s">
        <v>2365</v>
      </c>
      <c r="BO1253">
        <v>1</v>
      </c>
      <c r="BP1253">
        <v>11</v>
      </c>
      <c r="BQ1253" t="s">
        <v>2369</v>
      </c>
      <c r="BR1253" t="s">
        <v>1487</v>
      </c>
      <c r="BU1253">
        <v>0</v>
      </c>
      <c r="BV1253">
        <v>0</v>
      </c>
      <c r="BW1253">
        <v>0</v>
      </c>
      <c r="BX1253">
        <v>0</v>
      </c>
      <c r="BY1253" s="1371">
        <v>0</v>
      </c>
      <c r="BZ1253" s="1371">
        <v>0</v>
      </c>
      <c r="CA1253">
        <v>0</v>
      </c>
      <c r="CB1253">
        <v>0</v>
      </c>
      <c r="CC1253">
        <v>0</v>
      </c>
      <c r="CD1253">
        <v>0</v>
      </c>
      <c r="CE1253">
        <v>0</v>
      </c>
      <c r="CF1253">
        <v>0</v>
      </c>
      <c r="CG1253">
        <v>0</v>
      </c>
      <c r="CH1253">
        <v>0</v>
      </c>
      <c r="CI1253">
        <v>0</v>
      </c>
      <c r="CJ1253">
        <v>0</v>
      </c>
      <c r="CK1253">
        <v>0</v>
      </c>
      <c r="CL1253">
        <v>0</v>
      </c>
      <c r="CM1253">
        <v>0</v>
      </c>
      <c r="CR1253" t="s">
        <v>2324</v>
      </c>
      <c r="CS1253" s="1369" t="str">
        <f>INDEX([8]Sheet1!$H:$H,MATCH(CR:CR,[8]Sheet1!$AU:$AU,0))</f>
        <v>Finance</v>
      </c>
    </row>
    <row r="1254" spans="1:97" x14ac:dyDescent="0.2">
      <c r="A1254" t="s">
        <v>4235</v>
      </c>
      <c r="B1254">
        <v>1342</v>
      </c>
      <c r="C1254" t="s">
        <v>4235</v>
      </c>
      <c r="D1254">
        <v>51821</v>
      </c>
      <c r="E1254" t="s">
        <v>4236</v>
      </c>
      <c r="F1254">
        <v>200</v>
      </c>
      <c r="G1254" t="s">
        <v>559</v>
      </c>
      <c r="H1254">
        <v>200</v>
      </c>
      <c r="I1254" t="s">
        <v>2863</v>
      </c>
      <c r="J1254" t="s">
        <v>2365</v>
      </c>
      <c r="K1254" t="s">
        <v>2365</v>
      </c>
      <c r="L1254">
        <v>1200</v>
      </c>
      <c r="M1254" t="s">
        <v>1480</v>
      </c>
      <c r="N1254">
        <v>1204</v>
      </c>
      <c r="O1254" t="s">
        <v>1487</v>
      </c>
      <c r="P1254" t="s">
        <v>2366</v>
      </c>
      <c r="Q1254" t="s">
        <v>2364</v>
      </c>
      <c r="R1254" t="s">
        <v>2364</v>
      </c>
      <c r="S1254" t="s">
        <v>553</v>
      </c>
      <c r="T1254" t="s">
        <v>1811</v>
      </c>
      <c r="U1254" t="s">
        <v>2365</v>
      </c>
      <c r="V1254" t="s">
        <v>2365</v>
      </c>
      <c r="W1254" t="s">
        <v>2365</v>
      </c>
      <c r="X1254" t="s">
        <v>2365</v>
      </c>
      <c r="Y1254" t="s">
        <v>2365</v>
      </c>
      <c r="Z1254" t="s">
        <v>2365</v>
      </c>
      <c r="AA1254" t="s">
        <v>2365</v>
      </c>
      <c r="AB1254" t="s">
        <v>2365</v>
      </c>
      <c r="AC1254" s="813" t="s">
        <v>2365</v>
      </c>
      <c r="AD1254" s="813" t="s">
        <v>2365</v>
      </c>
      <c r="AE1254" s="813" t="s">
        <v>2365</v>
      </c>
      <c r="AF1254" t="s">
        <v>2365</v>
      </c>
      <c r="AG1254" t="s">
        <v>2365</v>
      </c>
      <c r="AH1254" t="s">
        <v>2365</v>
      </c>
      <c r="AI1254" t="s">
        <v>2365</v>
      </c>
      <c r="AJ1254" t="s">
        <v>2365</v>
      </c>
      <c r="AK1254" t="s">
        <v>2365</v>
      </c>
      <c r="AL1254" t="s">
        <v>2365</v>
      </c>
      <c r="AM1254" t="s">
        <v>2365</v>
      </c>
      <c r="AN1254" t="s">
        <v>2365</v>
      </c>
      <c r="AR1254" t="s">
        <v>2365</v>
      </c>
      <c r="AS1254" t="s">
        <v>2365</v>
      </c>
      <c r="AT1254" t="s">
        <v>2365</v>
      </c>
      <c r="AU1254" t="s">
        <v>2365</v>
      </c>
      <c r="AV1254" t="s">
        <v>2365</v>
      </c>
      <c r="AW1254" t="s">
        <v>2365</v>
      </c>
      <c r="AX1254" t="s">
        <v>2365</v>
      </c>
      <c r="AY1254" t="s">
        <v>2365</v>
      </c>
      <c r="AZ1254" t="s">
        <v>2365</v>
      </c>
      <c r="BA1254" t="s">
        <v>2365</v>
      </c>
      <c r="BB1254" t="s">
        <v>2365</v>
      </c>
      <c r="BC1254" t="s">
        <v>2365</v>
      </c>
      <c r="BD1254" t="s">
        <v>2366</v>
      </c>
      <c r="BE1254" t="s">
        <v>2365</v>
      </c>
      <c r="BF1254" t="s">
        <v>2365</v>
      </c>
      <c r="BG1254" t="s">
        <v>2365</v>
      </c>
      <c r="BH1254" t="s">
        <v>2365</v>
      </c>
      <c r="BI1254" t="s">
        <v>2366</v>
      </c>
      <c r="BJ1254" t="s">
        <v>2365</v>
      </c>
      <c r="BK1254" t="s">
        <v>2365</v>
      </c>
      <c r="BL1254" t="s">
        <v>2365</v>
      </c>
      <c r="BM1254" t="s">
        <v>2365</v>
      </c>
      <c r="BO1254">
        <v>1</v>
      </c>
      <c r="BP1254">
        <v>11</v>
      </c>
      <c r="BQ1254" t="s">
        <v>2369</v>
      </c>
      <c r="BR1254" t="s">
        <v>1487</v>
      </c>
      <c r="BU1254">
        <v>0</v>
      </c>
      <c r="BV1254">
        <v>0</v>
      </c>
      <c r="BW1254">
        <v>0</v>
      </c>
      <c r="BX1254">
        <v>0</v>
      </c>
      <c r="BY1254" s="1371">
        <v>0</v>
      </c>
      <c r="BZ1254" s="1371">
        <v>0</v>
      </c>
      <c r="CA1254">
        <v>0</v>
      </c>
      <c r="CB1254">
        <v>0</v>
      </c>
      <c r="CC1254">
        <v>0</v>
      </c>
      <c r="CD1254">
        <v>0</v>
      </c>
      <c r="CE1254">
        <v>0</v>
      </c>
      <c r="CF1254">
        <v>0</v>
      </c>
      <c r="CG1254">
        <v>0</v>
      </c>
      <c r="CH1254">
        <v>0</v>
      </c>
      <c r="CI1254">
        <v>0</v>
      </c>
      <c r="CJ1254">
        <v>0</v>
      </c>
      <c r="CK1254">
        <v>0</v>
      </c>
      <c r="CL1254">
        <v>0</v>
      </c>
      <c r="CM1254">
        <v>0</v>
      </c>
      <c r="CR1254" t="s">
        <v>2324</v>
      </c>
      <c r="CS1254" s="1369" t="str">
        <f>INDEX([8]Sheet1!$H:$H,MATCH(CR:CR,[8]Sheet1!$AU:$AU,0))</f>
        <v>Finance</v>
      </c>
    </row>
    <row r="1255" spans="1:97" x14ac:dyDescent="0.2">
      <c r="A1255" t="s">
        <v>4237</v>
      </c>
      <c r="B1255">
        <v>1343</v>
      </c>
      <c r="C1255" t="s">
        <v>4237</v>
      </c>
      <c r="D1255">
        <v>51822</v>
      </c>
      <c r="E1255" t="s">
        <v>4238</v>
      </c>
      <c r="F1255">
        <v>200</v>
      </c>
      <c r="G1255" t="s">
        <v>559</v>
      </c>
      <c r="H1255" s="1373">
        <v>200</v>
      </c>
      <c r="I1255" t="s">
        <v>2863</v>
      </c>
      <c r="J1255" t="s">
        <v>2365</v>
      </c>
      <c r="K1255" t="s">
        <v>2365</v>
      </c>
      <c r="L1255" s="1373">
        <v>1200</v>
      </c>
      <c r="M1255" t="s">
        <v>1480</v>
      </c>
      <c r="N1255">
        <v>1204</v>
      </c>
      <c r="O1255" t="s">
        <v>1487</v>
      </c>
      <c r="P1255" t="s">
        <v>2366</v>
      </c>
      <c r="Q1255" t="s">
        <v>2364</v>
      </c>
      <c r="R1255" t="s">
        <v>2364</v>
      </c>
      <c r="S1255" t="s">
        <v>553</v>
      </c>
      <c r="T1255" t="s">
        <v>1811</v>
      </c>
      <c r="U1255" t="s">
        <v>2365</v>
      </c>
      <c r="V1255" t="s">
        <v>2365</v>
      </c>
      <c r="W1255" t="s">
        <v>2365</v>
      </c>
      <c r="X1255" t="s">
        <v>2365</v>
      </c>
      <c r="Y1255" t="s">
        <v>2365</v>
      </c>
      <c r="Z1255" t="s">
        <v>2365</v>
      </c>
      <c r="AA1255" t="s">
        <v>2365</v>
      </c>
      <c r="AB1255" t="s">
        <v>2365</v>
      </c>
      <c r="AC1255" s="813" t="s">
        <v>2365</v>
      </c>
      <c r="AD1255" s="813" t="s">
        <v>2365</v>
      </c>
      <c r="AE1255" s="813" t="s">
        <v>2365</v>
      </c>
      <c r="AF1255" t="s">
        <v>2365</v>
      </c>
      <c r="AG1255" t="s">
        <v>2365</v>
      </c>
      <c r="AH1255" t="s">
        <v>2365</v>
      </c>
      <c r="AI1255" t="s">
        <v>2365</v>
      </c>
      <c r="AJ1255" t="s">
        <v>2365</v>
      </c>
      <c r="AK1255" t="s">
        <v>2365</v>
      </c>
      <c r="AL1255" t="s">
        <v>2365</v>
      </c>
      <c r="AM1255" t="s">
        <v>2365</v>
      </c>
      <c r="AN1255" t="s">
        <v>2365</v>
      </c>
      <c r="AR1255" t="s">
        <v>2365</v>
      </c>
      <c r="AS1255" t="s">
        <v>2365</v>
      </c>
      <c r="AT1255" t="s">
        <v>2365</v>
      </c>
      <c r="AU1255" t="s">
        <v>2365</v>
      </c>
      <c r="AV1255" t="s">
        <v>2365</v>
      </c>
      <c r="AW1255" t="s">
        <v>2365</v>
      </c>
      <c r="AX1255" t="s">
        <v>2365</v>
      </c>
      <c r="AY1255" t="s">
        <v>2365</v>
      </c>
      <c r="AZ1255" t="s">
        <v>2365</v>
      </c>
      <c r="BA1255" t="s">
        <v>2365</v>
      </c>
      <c r="BB1255" t="s">
        <v>2365</v>
      </c>
      <c r="BC1255" t="s">
        <v>2365</v>
      </c>
      <c r="BD1255" t="s">
        <v>2366</v>
      </c>
      <c r="BE1255" t="s">
        <v>2365</v>
      </c>
      <c r="BF1255" t="s">
        <v>2365</v>
      </c>
      <c r="BG1255" t="s">
        <v>2365</v>
      </c>
      <c r="BH1255" t="s">
        <v>2365</v>
      </c>
      <c r="BI1255" t="s">
        <v>2366</v>
      </c>
      <c r="BJ1255" t="s">
        <v>2365</v>
      </c>
      <c r="BK1255" t="s">
        <v>2365</v>
      </c>
      <c r="BL1255" t="s">
        <v>2365</v>
      </c>
      <c r="BM1255" t="s">
        <v>2365</v>
      </c>
      <c r="BO1255">
        <v>1</v>
      </c>
      <c r="BP1255">
        <v>11</v>
      </c>
      <c r="BQ1255" t="s">
        <v>2369</v>
      </c>
      <c r="BR1255" t="s">
        <v>1487</v>
      </c>
      <c r="BU1255" s="1371">
        <v>0</v>
      </c>
      <c r="BV1255" s="1371">
        <v>0</v>
      </c>
      <c r="BW1255" s="1371">
        <v>0</v>
      </c>
      <c r="BX1255" s="1371">
        <v>0</v>
      </c>
      <c r="BY1255" s="1371">
        <v>0</v>
      </c>
      <c r="BZ1255">
        <v>0</v>
      </c>
      <c r="CA1255">
        <v>0</v>
      </c>
      <c r="CB1255">
        <v>0</v>
      </c>
      <c r="CC1255">
        <v>0</v>
      </c>
      <c r="CD1255">
        <v>0</v>
      </c>
      <c r="CE1255">
        <v>0</v>
      </c>
      <c r="CF1255">
        <v>0</v>
      </c>
      <c r="CG1255">
        <v>0</v>
      </c>
      <c r="CH1255">
        <v>0</v>
      </c>
      <c r="CI1255">
        <v>0</v>
      </c>
      <c r="CJ1255">
        <v>0</v>
      </c>
      <c r="CK1255">
        <v>0</v>
      </c>
      <c r="CL1255">
        <v>0</v>
      </c>
      <c r="CM1255">
        <v>0</v>
      </c>
      <c r="CR1255" t="s">
        <v>2324</v>
      </c>
      <c r="CS1255" s="1369" t="str">
        <f>INDEX([8]Sheet1!$H:$H,MATCH(CR:CR,[8]Sheet1!$AU:$AU,0))</f>
        <v>Finance</v>
      </c>
    </row>
    <row r="1256" spans="1:97" x14ac:dyDescent="0.2">
      <c r="A1256" t="s">
        <v>4239</v>
      </c>
      <c r="B1256">
        <v>1344</v>
      </c>
      <c r="C1256" t="s">
        <v>4239</v>
      </c>
      <c r="D1256">
        <v>51823</v>
      </c>
      <c r="E1256" t="s">
        <v>4240</v>
      </c>
      <c r="F1256">
        <v>200</v>
      </c>
      <c r="G1256" t="s">
        <v>559</v>
      </c>
      <c r="H1256" s="1373">
        <v>200</v>
      </c>
      <c r="I1256" t="s">
        <v>2863</v>
      </c>
      <c r="J1256" t="s">
        <v>2365</v>
      </c>
      <c r="K1256" t="s">
        <v>2365</v>
      </c>
      <c r="L1256" s="1373">
        <v>1200</v>
      </c>
      <c r="M1256" t="s">
        <v>1480</v>
      </c>
      <c r="N1256">
        <v>1204</v>
      </c>
      <c r="O1256" t="s">
        <v>1487</v>
      </c>
      <c r="P1256" t="s">
        <v>2366</v>
      </c>
      <c r="Q1256" t="s">
        <v>2364</v>
      </c>
      <c r="R1256" t="s">
        <v>2364</v>
      </c>
      <c r="S1256" t="s">
        <v>553</v>
      </c>
      <c r="T1256" t="s">
        <v>1811</v>
      </c>
      <c r="U1256" t="s">
        <v>2365</v>
      </c>
      <c r="V1256" t="s">
        <v>2365</v>
      </c>
      <c r="W1256" t="s">
        <v>2365</v>
      </c>
      <c r="X1256" t="s">
        <v>2365</v>
      </c>
      <c r="Y1256" t="s">
        <v>2365</v>
      </c>
      <c r="Z1256" t="s">
        <v>2365</v>
      </c>
      <c r="AA1256" t="s">
        <v>2365</v>
      </c>
      <c r="AB1256" t="s">
        <v>2365</v>
      </c>
      <c r="AC1256" s="813" t="s">
        <v>2365</v>
      </c>
      <c r="AD1256" s="813" t="s">
        <v>2365</v>
      </c>
      <c r="AE1256" s="813" t="s">
        <v>2365</v>
      </c>
      <c r="AF1256" t="s">
        <v>2365</v>
      </c>
      <c r="AG1256" t="s">
        <v>2365</v>
      </c>
      <c r="AH1256" t="s">
        <v>2365</v>
      </c>
      <c r="AI1256" t="s">
        <v>2365</v>
      </c>
      <c r="AJ1256" t="s">
        <v>2365</v>
      </c>
      <c r="AK1256" t="s">
        <v>2365</v>
      </c>
      <c r="AL1256" t="s">
        <v>2365</v>
      </c>
      <c r="AM1256" t="s">
        <v>2365</v>
      </c>
      <c r="AN1256" t="s">
        <v>2365</v>
      </c>
      <c r="AR1256" t="s">
        <v>2365</v>
      </c>
      <c r="AS1256" t="s">
        <v>2365</v>
      </c>
      <c r="AT1256" t="s">
        <v>2365</v>
      </c>
      <c r="AU1256" t="s">
        <v>2365</v>
      </c>
      <c r="AV1256" t="s">
        <v>2365</v>
      </c>
      <c r="AW1256" t="s">
        <v>2365</v>
      </c>
      <c r="AX1256" t="s">
        <v>2365</v>
      </c>
      <c r="AY1256" t="s">
        <v>2365</v>
      </c>
      <c r="AZ1256" t="s">
        <v>2365</v>
      </c>
      <c r="BA1256" t="s">
        <v>2365</v>
      </c>
      <c r="BB1256" t="s">
        <v>2365</v>
      </c>
      <c r="BC1256" t="s">
        <v>2365</v>
      </c>
      <c r="BD1256" t="s">
        <v>2366</v>
      </c>
      <c r="BE1256" t="s">
        <v>2365</v>
      </c>
      <c r="BF1256" t="s">
        <v>2365</v>
      </c>
      <c r="BG1256" t="s">
        <v>2365</v>
      </c>
      <c r="BH1256" t="s">
        <v>2365</v>
      </c>
      <c r="BI1256" t="s">
        <v>2366</v>
      </c>
      <c r="BJ1256" t="s">
        <v>2365</v>
      </c>
      <c r="BK1256" t="s">
        <v>2365</v>
      </c>
      <c r="BL1256" t="s">
        <v>2365</v>
      </c>
      <c r="BM1256" t="s">
        <v>2365</v>
      </c>
      <c r="BO1256">
        <v>1</v>
      </c>
      <c r="BP1256">
        <v>11</v>
      </c>
      <c r="BQ1256" t="s">
        <v>2369</v>
      </c>
      <c r="BR1256" t="s">
        <v>1487</v>
      </c>
      <c r="BU1256" s="1371">
        <v>0</v>
      </c>
      <c r="BV1256" s="1371">
        <v>0</v>
      </c>
      <c r="BW1256" s="1371">
        <v>0</v>
      </c>
      <c r="BX1256" s="1371">
        <v>0</v>
      </c>
      <c r="BY1256" s="1371">
        <v>0</v>
      </c>
      <c r="BZ1256">
        <v>0</v>
      </c>
      <c r="CA1256">
        <v>0</v>
      </c>
      <c r="CB1256">
        <v>0</v>
      </c>
      <c r="CC1256">
        <v>0</v>
      </c>
      <c r="CD1256">
        <v>0</v>
      </c>
      <c r="CE1256">
        <v>0</v>
      </c>
      <c r="CF1256">
        <v>0</v>
      </c>
      <c r="CG1256">
        <v>0</v>
      </c>
      <c r="CH1256">
        <v>0</v>
      </c>
      <c r="CI1256">
        <v>0</v>
      </c>
      <c r="CJ1256">
        <v>0</v>
      </c>
      <c r="CK1256">
        <v>0</v>
      </c>
      <c r="CL1256">
        <v>0</v>
      </c>
      <c r="CM1256">
        <v>0</v>
      </c>
      <c r="CR1256" t="s">
        <v>2324</v>
      </c>
      <c r="CS1256" s="1369" t="str">
        <f>INDEX([8]Sheet1!$H:$H,MATCH(CR:CR,[8]Sheet1!$AU:$AU,0))</f>
        <v>Finance</v>
      </c>
    </row>
    <row r="1257" spans="1:97" x14ac:dyDescent="0.2">
      <c r="A1257" t="s">
        <v>4241</v>
      </c>
      <c r="B1257">
        <v>1345</v>
      </c>
      <c r="C1257" t="s">
        <v>4241</v>
      </c>
      <c r="D1257">
        <v>51824</v>
      </c>
      <c r="E1257" t="s">
        <v>4242</v>
      </c>
      <c r="F1257">
        <v>200</v>
      </c>
      <c r="G1257" t="s">
        <v>559</v>
      </c>
      <c r="H1257" s="1373">
        <v>200</v>
      </c>
      <c r="I1257" t="s">
        <v>2863</v>
      </c>
      <c r="J1257" t="s">
        <v>2365</v>
      </c>
      <c r="K1257" t="s">
        <v>2365</v>
      </c>
      <c r="L1257" s="1373">
        <v>1200</v>
      </c>
      <c r="M1257" t="s">
        <v>1480</v>
      </c>
      <c r="N1257">
        <v>1204</v>
      </c>
      <c r="O1257" t="s">
        <v>1487</v>
      </c>
      <c r="P1257" t="s">
        <v>2366</v>
      </c>
      <c r="Q1257" t="s">
        <v>2364</v>
      </c>
      <c r="R1257" t="s">
        <v>2364</v>
      </c>
      <c r="S1257" t="s">
        <v>553</v>
      </c>
      <c r="T1257" t="s">
        <v>1811</v>
      </c>
      <c r="U1257" t="s">
        <v>2365</v>
      </c>
      <c r="V1257" t="s">
        <v>2365</v>
      </c>
      <c r="W1257" t="s">
        <v>2365</v>
      </c>
      <c r="X1257" t="s">
        <v>2365</v>
      </c>
      <c r="Y1257" t="s">
        <v>2365</v>
      </c>
      <c r="Z1257" t="s">
        <v>2365</v>
      </c>
      <c r="AA1257" t="s">
        <v>2365</v>
      </c>
      <c r="AB1257" t="s">
        <v>2365</v>
      </c>
      <c r="AC1257" s="813" t="s">
        <v>2365</v>
      </c>
      <c r="AD1257" s="813" t="s">
        <v>2365</v>
      </c>
      <c r="AE1257" s="813" t="s">
        <v>2365</v>
      </c>
      <c r="AF1257" t="s">
        <v>2365</v>
      </c>
      <c r="AG1257" t="s">
        <v>2365</v>
      </c>
      <c r="AH1257" t="s">
        <v>2365</v>
      </c>
      <c r="AI1257" t="s">
        <v>2365</v>
      </c>
      <c r="AJ1257" t="s">
        <v>2365</v>
      </c>
      <c r="AK1257" t="s">
        <v>2365</v>
      </c>
      <c r="AL1257" t="s">
        <v>2365</v>
      </c>
      <c r="AM1257" t="s">
        <v>2365</v>
      </c>
      <c r="AN1257" t="s">
        <v>2365</v>
      </c>
      <c r="AR1257" t="s">
        <v>2365</v>
      </c>
      <c r="AS1257" t="s">
        <v>2365</v>
      </c>
      <c r="AT1257" t="s">
        <v>2365</v>
      </c>
      <c r="AU1257" t="s">
        <v>2365</v>
      </c>
      <c r="AV1257" t="s">
        <v>2365</v>
      </c>
      <c r="AW1257" t="s">
        <v>2365</v>
      </c>
      <c r="AX1257" t="s">
        <v>2365</v>
      </c>
      <c r="AY1257" t="s">
        <v>2365</v>
      </c>
      <c r="AZ1257" t="s">
        <v>2365</v>
      </c>
      <c r="BA1257" t="s">
        <v>2365</v>
      </c>
      <c r="BB1257" t="s">
        <v>2365</v>
      </c>
      <c r="BC1257" t="s">
        <v>2365</v>
      </c>
      <c r="BD1257" t="s">
        <v>2366</v>
      </c>
      <c r="BE1257" t="s">
        <v>2365</v>
      </c>
      <c r="BF1257" t="s">
        <v>2365</v>
      </c>
      <c r="BG1257" t="s">
        <v>2365</v>
      </c>
      <c r="BH1257" t="s">
        <v>2365</v>
      </c>
      <c r="BI1257" t="s">
        <v>2366</v>
      </c>
      <c r="BJ1257" t="s">
        <v>2365</v>
      </c>
      <c r="BK1257" t="s">
        <v>2365</v>
      </c>
      <c r="BL1257" t="s">
        <v>2365</v>
      </c>
      <c r="BM1257" t="s">
        <v>2365</v>
      </c>
      <c r="BO1257">
        <v>1</v>
      </c>
      <c r="BP1257">
        <v>11</v>
      </c>
      <c r="BQ1257" t="s">
        <v>2369</v>
      </c>
      <c r="BR1257" t="s">
        <v>1487</v>
      </c>
      <c r="BU1257" s="1371">
        <v>0</v>
      </c>
      <c r="BV1257" s="1371">
        <v>0</v>
      </c>
      <c r="BW1257" s="1371">
        <v>0</v>
      </c>
      <c r="BX1257" s="1371">
        <v>0</v>
      </c>
      <c r="BY1257" s="1371">
        <v>0</v>
      </c>
      <c r="BZ1257">
        <v>0</v>
      </c>
      <c r="CA1257">
        <v>0</v>
      </c>
      <c r="CB1257">
        <v>0</v>
      </c>
      <c r="CC1257">
        <v>0</v>
      </c>
      <c r="CD1257">
        <v>0</v>
      </c>
      <c r="CE1257">
        <v>0</v>
      </c>
      <c r="CF1257">
        <v>0</v>
      </c>
      <c r="CG1257">
        <v>0</v>
      </c>
      <c r="CH1257">
        <v>0</v>
      </c>
      <c r="CI1257">
        <v>0</v>
      </c>
      <c r="CJ1257">
        <v>0</v>
      </c>
      <c r="CK1257">
        <v>0</v>
      </c>
      <c r="CL1257">
        <v>0</v>
      </c>
      <c r="CM1257">
        <v>0</v>
      </c>
      <c r="CR1257" t="s">
        <v>2324</v>
      </c>
      <c r="CS1257" s="1369" t="str">
        <f>INDEX([8]Sheet1!$H:$H,MATCH(CR:CR,[8]Sheet1!$AU:$AU,0))</f>
        <v>Finance</v>
      </c>
    </row>
    <row r="1258" spans="1:97" x14ac:dyDescent="0.2">
      <c r="A1258" t="s">
        <v>4243</v>
      </c>
      <c r="B1258">
        <v>1346</v>
      </c>
      <c r="C1258" t="s">
        <v>4243</v>
      </c>
      <c r="D1258">
        <v>51825</v>
      </c>
      <c r="E1258" t="s">
        <v>4244</v>
      </c>
      <c r="F1258">
        <v>200</v>
      </c>
      <c r="G1258" t="s">
        <v>559</v>
      </c>
      <c r="H1258" s="1373">
        <v>200</v>
      </c>
      <c r="I1258" t="s">
        <v>2863</v>
      </c>
      <c r="J1258" t="s">
        <v>2365</v>
      </c>
      <c r="K1258" t="s">
        <v>2365</v>
      </c>
      <c r="L1258" s="1373">
        <v>1200</v>
      </c>
      <c r="M1258" t="s">
        <v>1480</v>
      </c>
      <c r="N1258">
        <v>1204</v>
      </c>
      <c r="O1258" t="s">
        <v>1487</v>
      </c>
      <c r="P1258" t="s">
        <v>2366</v>
      </c>
      <c r="Q1258" t="s">
        <v>2364</v>
      </c>
      <c r="R1258" t="s">
        <v>2364</v>
      </c>
      <c r="S1258" t="s">
        <v>553</v>
      </c>
      <c r="T1258" t="s">
        <v>1811</v>
      </c>
      <c r="U1258" t="s">
        <v>2365</v>
      </c>
      <c r="V1258" t="s">
        <v>2365</v>
      </c>
      <c r="W1258" t="s">
        <v>2365</v>
      </c>
      <c r="X1258" t="s">
        <v>2365</v>
      </c>
      <c r="Y1258" t="s">
        <v>2365</v>
      </c>
      <c r="Z1258" t="s">
        <v>2365</v>
      </c>
      <c r="AA1258" t="s">
        <v>2365</v>
      </c>
      <c r="AB1258" t="s">
        <v>2365</v>
      </c>
      <c r="AC1258" s="813" t="s">
        <v>2365</v>
      </c>
      <c r="AD1258" s="813" t="s">
        <v>2365</v>
      </c>
      <c r="AE1258" s="813" t="s">
        <v>2365</v>
      </c>
      <c r="AF1258" t="s">
        <v>2365</v>
      </c>
      <c r="AG1258" t="s">
        <v>2365</v>
      </c>
      <c r="AH1258" t="s">
        <v>2365</v>
      </c>
      <c r="AI1258" t="s">
        <v>2365</v>
      </c>
      <c r="AJ1258" t="s">
        <v>2365</v>
      </c>
      <c r="AK1258" t="s">
        <v>2365</v>
      </c>
      <c r="AL1258" t="s">
        <v>2365</v>
      </c>
      <c r="AM1258" t="s">
        <v>2365</v>
      </c>
      <c r="AN1258" t="s">
        <v>2365</v>
      </c>
      <c r="AR1258" t="s">
        <v>2365</v>
      </c>
      <c r="AS1258" t="s">
        <v>2365</v>
      </c>
      <c r="AT1258" t="s">
        <v>2365</v>
      </c>
      <c r="AU1258" t="s">
        <v>2365</v>
      </c>
      <c r="AV1258" t="s">
        <v>2365</v>
      </c>
      <c r="AW1258" t="s">
        <v>2365</v>
      </c>
      <c r="AX1258" t="s">
        <v>2365</v>
      </c>
      <c r="AY1258" t="s">
        <v>2365</v>
      </c>
      <c r="AZ1258" t="s">
        <v>2365</v>
      </c>
      <c r="BA1258" t="s">
        <v>2365</v>
      </c>
      <c r="BB1258" t="s">
        <v>2365</v>
      </c>
      <c r="BC1258" t="s">
        <v>2365</v>
      </c>
      <c r="BD1258" t="s">
        <v>2366</v>
      </c>
      <c r="BE1258" t="s">
        <v>2365</v>
      </c>
      <c r="BF1258" t="s">
        <v>2365</v>
      </c>
      <c r="BG1258" t="s">
        <v>2365</v>
      </c>
      <c r="BH1258" t="s">
        <v>2365</v>
      </c>
      <c r="BI1258" t="s">
        <v>2366</v>
      </c>
      <c r="BJ1258" t="s">
        <v>2365</v>
      </c>
      <c r="BK1258" t="s">
        <v>2365</v>
      </c>
      <c r="BL1258" t="s">
        <v>2365</v>
      </c>
      <c r="BM1258" t="s">
        <v>2365</v>
      </c>
      <c r="BO1258">
        <v>1</v>
      </c>
      <c r="BP1258">
        <v>11</v>
      </c>
      <c r="BQ1258" t="s">
        <v>2369</v>
      </c>
      <c r="BR1258" t="s">
        <v>1487</v>
      </c>
      <c r="BU1258" s="1371">
        <v>0</v>
      </c>
      <c r="BV1258" s="1371">
        <v>0</v>
      </c>
      <c r="BW1258" s="1371">
        <v>0</v>
      </c>
      <c r="BX1258" s="1371">
        <v>0</v>
      </c>
      <c r="BY1258" s="1371">
        <v>0</v>
      </c>
      <c r="BZ1258" s="1371">
        <v>0</v>
      </c>
      <c r="CA1258">
        <v>0</v>
      </c>
      <c r="CB1258">
        <v>0</v>
      </c>
      <c r="CC1258">
        <v>0</v>
      </c>
      <c r="CD1258">
        <v>0</v>
      </c>
      <c r="CE1258">
        <v>0</v>
      </c>
      <c r="CF1258">
        <v>0</v>
      </c>
      <c r="CG1258">
        <v>0</v>
      </c>
      <c r="CH1258">
        <v>0</v>
      </c>
      <c r="CI1258">
        <v>0</v>
      </c>
      <c r="CJ1258">
        <v>0</v>
      </c>
      <c r="CK1258">
        <v>0</v>
      </c>
      <c r="CL1258">
        <v>0</v>
      </c>
      <c r="CM1258">
        <v>0</v>
      </c>
      <c r="CR1258" t="s">
        <v>2319</v>
      </c>
      <c r="CS1258" s="1369" t="str">
        <f>INDEX([8]Sheet1!$H:$H,MATCH(CR:CR,[8]Sheet1!$AU:$AU,0))</f>
        <v>Mayor and Council</v>
      </c>
    </row>
    <row r="1259" spans="1:97" x14ac:dyDescent="0.2">
      <c r="A1259" t="s">
        <v>4245</v>
      </c>
      <c r="B1259">
        <v>1347</v>
      </c>
      <c r="C1259" t="s">
        <v>4245</v>
      </c>
      <c r="D1259">
        <v>51826</v>
      </c>
      <c r="E1259" t="s">
        <v>4246</v>
      </c>
      <c r="F1259">
        <v>200</v>
      </c>
      <c r="G1259" t="s">
        <v>559</v>
      </c>
      <c r="H1259">
        <v>200</v>
      </c>
      <c r="I1259" t="s">
        <v>2863</v>
      </c>
      <c r="J1259" t="s">
        <v>2365</v>
      </c>
      <c r="K1259" t="s">
        <v>2365</v>
      </c>
      <c r="L1259">
        <v>1200</v>
      </c>
      <c r="M1259" t="s">
        <v>1480</v>
      </c>
      <c r="N1259">
        <v>1204</v>
      </c>
      <c r="O1259" t="s">
        <v>1487</v>
      </c>
      <c r="P1259" t="s">
        <v>2366</v>
      </c>
      <c r="Q1259" t="s">
        <v>2364</v>
      </c>
      <c r="R1259" t="s">
        <v>2364</v>
      </c>
      <c r="S1259" t="s">
        <v>553</v>
      </c>
      <c r="T1259" t="s">
        <v>1811</v>
      </c>
      <c r="U1259" t="s">
        <v>2365</v>
      </c>
      <c r="V1259" t="s">
        <v>2365</v>
      </c>
      <c r="W1259" t="s">
        <v>2365</v>
      </c>
      <c r="X1259" t="s">
        <v>2365</v>
      </c>
      <c r="Y1259" t="s">
        <v>2365</v>
      </c>
      <c r="Z1259" t="s">
        <v>2365</v>
      </c>
      <c r="AA1259" t="s">
        <v>2365</v>
      </c>
      <c r="AB1259" t="s">
        <v>2365</v>
      </c>
      <c r="AC1259" s="813" t="s">
        <v>2365</v>
      </c>
      <c r="AD1259" s="813" t="s">
        <v>2365</v>
      </c>
      <c r="AE1259" s="813" t="s">
        <v>2365</v>
      </c>
      <c r="AF1259" t="s">
        <v>2365</v>
      </c>
      <c r="AG1259" t="s">
        <v>2365</v>
      </c>
      <c r="AH1259" t="s">
        <v>2365</v>
      </c>
      <c r="AI1259" t="s">
        <v>2365</v>
      </c>
      <c r="AJ1259" t="s">
        <v>2365</v>
      </c>
      <c r="AK1259" t="s">
        <v>2365</v>
      </c>
      <c r="AL1259" t="s">
        <v>2365</v>
      </c>
      <c r="AM1259" t="s">
        <v>2365</v>
      </c>
      <c r="AN1259" t="s">
        <v>2365</v>
      </c>
      <c r="AR1259" t="s">
        <v>2365</v>
      </c>
      <c r="AS1259" t="s">
        <v>2365</v>
      </c>
      <c r="AT1259" t="s">
        <v>2365</v>
      </c>
      <c r="AU1259" t="s">
        <v>2365</v>
      </c>
      <c r="AV1259" t="s">
        <v>2365</v>
      </c>
      <c r="AW1259" t="s">
        <v>2365</v>
      </c>
      <c r="AX1259" t="s">
        <v>2365</v>
      </c>
      <c r="AY1259" t="s">
        <v>2365</v>
      </c>
      <c r="AZ1259" t="s">
        <v>2365</v>
      </c>
      <c r="BA1259" t="s">
        <v>2365</v>
      </c>
      <c r="BB1259" t="s">
        <v>2365</v>
      </c>
      <c r="BC1259" t="s">
        <v>2365</v>
      </c>
      <c r="BD1259" t="s">
        <v>2366</v>
      </c>
      <c r="BE1259" t="s">
        <v>2365</v>
      </c>
      <c r="BF1259" t="s">
        <v>2365</v>
      </c>
      <c r="BG1259" t="s">
        <v>2365</v>
      </c>
      <c r="BH1259" t="s">
        <v>2365</v>
      </c>
      <c r="BI1259" t="s">
        <v>2366</v>
      </c>
      <c r="BJ1259" t="s">
        <v>2365</v>
      </c>
      <c r="BK1259" t="s">
        <v>2365</v>
      </c>
      <c r="BL1259" t="s">
        <v>2365</v>
      </c>
      <c r="BM1259" t="s">
        <v>2365</v>
      </c>
      <c r="BO1259">
        <v>1</v>
      </c>
      <c r="BP1259">
        <v>11</v>
      </c>
      <c r="BQ1259" t="s">
        <v>2369</v>
      </c>
      <c r="BR1259" t="s">
        <v>1487</v>
      </c>
      <c r="BU1259">
        <v>0</v>
      </c>
      <c r="BV1259">
        <v>0</v>
      </c>
      <c r="BW1259">
        <v>0</v>
      </c>
      <c r="BX1259">
        <v>0</v>
      </c>
      <c r="BY1259">
        <v>0</v>
      </c>
      <c r="BZ1259">
        <v>0</v>
      </c>
      <c r="CA1259">
        <v>0</v>
      </c>
      <c r="CB1259">
        <v>0</v>
      </c>
      <c r="CC1259">
        <v>0</v>
      </c>
      <c r="CD1259">
        <v>0</v>
      </c>
      <c r="CE1259">
        <v>0</v>
      </c>
      <c r="CF1259">
        <v>0</v>
      </c>
      <c r="CG1259">
        <v>0</v>
      </c>
      <c r="CH1259">
        <v>0</v>
      </c>
      <c r="CI1259">
        <v>0</v>
      </c>
      <c r="CJ1259">
        <v>0</v>
      </c>
      <c r="CK1259">
        <v>0</v>
      </c>
      <c r="CL1259">
        <v>0</v>
      </c>
      <c r="CM1259">
        <v>0</v>
      </c>
      <c r="CR1259" t="s">
        <v>2319</v>
      </c>
      <c r="CS1259" s="1369" t="str">
        <f>INDEX([8]Sheet1!$H:$H,MATCH(CR:CR,[8]Sheet1!$AU:$AU,0))</f>
        <v>Mayor and Council</v>
      </c>
    </row>
    <row r="1260" spans="1:97" x14ac:dyDescent="0.2">
      <c r="A1260" t="s">
        <v>4247</v>
      </c>
      <c r="B1260">
        <v>1348</v>
      </c>
      <c r="C1260" t="s">
        <v>4247</v>
      </c>
      <c r="D1260">
        <v>51827</v>
      </c>
      <c r="E1260" t="s">
        <v>4248</v>
      </c>
      <c r="F1260">
        <v>200</v>
      </c>
      <c r="G1260" t="s">
        <v>559</v>
      </c>
      <c r="H1260">
        <v>200</v>
      </c>
      <c r="I1260" t="s">
        <v>2863</v>
      </c>
      <c r="J1260" t="s">
        <v>2365</v>
      </c>
      <c r="K1260" t="s">
        <v>2365</v>
      </c>
      <c r="L1260">
        <v>1200</v>
      </c>
      <c r="M1260" t="s">
        <v>1480</v>
      </c>
      <c r="N1260">
        <v>1204</v>
      </c>
      <c r="O1260" t="s">
        <v>1487</v>
      </c>
      <c r="P1260" t="s">
        <v>2366</v>
      </c>
      <c r="Q1260" t="s">
        <v>2364</v>
      </c>
      <c r="R1260" t="s">
        <v>2364</v>
      </c>
      <c r="S1260" t="s">
        <v>553</v>
      </c>
      <c r="T1260" t="s">
        <v>1811</v>
      </c>
      <c r="U1260" t="s">
        <v>2365</v>
      </c>
      <c r="V1260" t="s">
        <v>2365</v>
      </c>
      <c r="W1260" t="s">
        <v>2365</v>
      </c>
      <c r="X1260" t="s">
        <v>2365</v>
      </c>
      <c r="Y1260" t="s">
        <v>2365</v>
      </c>
      <c r="Z1260" t="s">
        <v>2365</v>
      </c>
      <c r="AA1260" t="s">
        <v>2365</v>
      </c>
      <c r="AB1260" t="s">
        <v>2365</v>
      </c>
      <c r="AC1260" s="813" t="s">
        <v>2365</v>
      </c>
      <c r="AD1260" s="813" t="s">
        <v>2365</v>
      </c>
      <c r="AE1260" s="813" t="s">
        <v>2365</v>
      </c>
      <c r="AF1260" t="s">
        <v>2365</v>
      </c>
      <c r="AG1260" t="s">
        <v>2365</v>
      </c>
      <c r="AH1260" t="s">
        <v>2365</v>
      </c>
      <c r="AI1260" t="s">
        <v>2365</v>
      </c>
      <c r="AJ1260" t="s">
        <v>2365</v>
      </c>
      <c r="AK1260" t="s">
        <v>2365</v>
      </c>
      <c r="AL1260" t="s">
        <v>2365</v>
      </c>
      <c r="AM1260" t="s">
        <v>2365</v>
      </c>
      <c r="AN1260" t="s">
        <v>2365</v>
      </c>
      <c r="AR1260" t="s">
        <v>2365</v>
      </c>
      <c r="AS1260" t="s">
        <v>2365</v>
      </c>
      <c r="AT1260" t="s">
        <v>2365</v>
      </c>
      <c r="AU1260" t="s">
        <v>2365</v>
      </c>
      <c r="AV1260" t="s">
        <v>2365</v>
      </c>
      <c r="AW1260" t="s">
        <v>2365</v>
      </c>
      <c r="AX1260" t="s">
        <v>2365</v>
      </c>
      <c r="AY1260" t="s">
        <v>2365</v>
      </c>
      <c r="AZ1260" t="s">
        <v>2365</v>
      </c>
      <c r="BA1260" t="s">
        <v>2365</v>
      </c>
      <c r="BB1260" t="s">
        <v>2365</v>
      </c>
      <c r="BC1260" t="s">
        <v>2365</v>
      </c>
      <c r="BD1260" t="s">
        <v>2366</v>
      </c>
      <c r="BE1260" t="s">
        <v>2365</v>
      </c>
      <c r="BF1260" t="s">
        <v>2365</v>
      </c>
      <c r="BG1260" t="s">
        <v>2365</v>
      </c>
      <c r="BH1260" t="s">
        <v>2365</v>
      </c>
      <c r="BI1260" t="s">
        <v>2366</v>
      </c>
      <c r="BJ1260" t="s">
        <v>2365</v>
      </c>
      <c r="BK1260" t="s">
        <v>2365</v>
      </c>
      <c r="BL1260" t="s">
        <v>2365</v>
      </c>
      <c r="BM1260" t="s">
        <v>2365</v>
      </c>
      <c r="BO1260">
        <v>1</v>
      </c>
      <c r="BP1260">
        <v>11</v>
      </c>
      <c r="BQ1260" t="s">
        <v>2369</v>
      </c>
      <c r="BR1260" t="s">
        <v>1487</v>
      </c>
      <c r="BU1260">
        <v>0</v>
      </c>
      <c r="BV1260">
        <v>0</v>
      </c>
      <c r="BW1260">
        <v>0</v>
      </c>
      <c r="BX1260">
        <v>0</v>
      </c>
      <c r="BY1260" s="1371">
        <v>0</v>
      </c>
      <c r="BZ1260" s="1371">
        <v>0</v>
      </c>
      <c r="CA1260">
        <v>0</v>
      </c>
      <c r="CB1260">
        <v>0</v>
      </c>
      <c r="CC1260">
        <v>0</v>
      </c>
      <c r="CD1260">
        <v>0</v>
      </c>
      <c r="CE1260">
        <v>0</v>
      </c>
      <c r="CF1260">
        <v>0</v>
      </c>
      <c r="CG1260">
        <v>0</v>
      </c>
      <c r="CH1260">
        <v>0</v>
      </c>
      <c r="CI1260">
        <v>0</v>
      </c>
      <c r="CJ1260">
        <v>0</v>
      </c>
      <c r="CK1260">
        <v>0</v>
      </c>
      <c r="CL1260">
        <v>0</v>
      </c>
      <c r="CM1260">
        <v>0</v>
      </c>
      <c r="CR1260" t="s">
        <v>2319</v>
      </c>
      <c r="CS1260" s="1369" t="str">
        <f>INDEX([8]Sheet1!$H:$H,MATCH(CR:CR,[8]Sheet1!$AU:$AU,0))</f>
        <v>Mayor and Council</v>
      </c>
    </row>
    <row r="1261" spans="1:97" x14ac:dyDescent="0.2">
      <c r="A1261" t="s">
        <v>4249</v>
      </c>
      <c r="B1261">
        <v>1349</v>
      </c>
      <c r="C1261" t="s">
        <v>4249</v>
      </c>
      <c r="D1261">
        <v>51828</v>
      </c>
      <c r="E1261" t="s">
        <v>4250</v>
      </c>
      <c r="F1261">
        <v>200</v>
      </c>
      <c r="G1261" t="s">
        <v>559</v>
      </c>
      <c r="H1261" s="1373">
        <v>200</v>
      </c>
      <c r="I1261" t="s">
        <v>2863</v>
      </c>
      <c r="J1261" t="s">
        <v>2365</v>
      </c>
      <c r="K1261" t="s">
        <v>2365</v>
      </c>
      <c r="L1261" s="1373">
        <v>1200</v>
      </c>
      <c r="M1261" t="s">
        <v>1480</v>
      </c>
      <c r="N1261">
        <v>1204</v>
      </c>
      <c r="O1261" t="s">
        <v>1487</v>
      </c>
      <c r="P1261" t="s">
        <v>2366</v>
      </c>
      <c r="Q1261" t="s">
        <v>2364</v>
      </c>
      <c r="R1261" t="s">
        <v>2364</v>
      </c>
      <c r="S1261" t="s">
        <v>553</v>
      </c>
      <c r="T1261" t="s">
        <v>1811</v>
      </c>
      <c r="U1261" t="s">
        <v>2365</v>
      </c>
      <c r="V1261" t="s">
        <v>2365</v>
      </c>
      <c r="W1261" t="s">
        <v>2365</v>
      </c>
      <c r="X1261" t="s">
        <v>2365</v>
      </c>
      <c r="Y1261" t="s">
        <v>2365</v>
      </c>
      <c r="Z1261" t="s">
        <v>2365</v>
      </c>
      <c r="AA1261" t="s">
        <v>2365</v>
      </c>
      <c r="AB1261" t="s">
        <v>2365</v>
      </c>
      <c r="AC1261" s="813" t="s">
        <v>2365</v>
      </c>
      <c r="AD1261" s="813" t="s">
        <v>2365</v>
      </c>
      <c r="AE1261" s="813" t="s">
        <v>2365</v>
      </c>
      <c r="AF1261" t="s">
        <v>2365</v>
      </c>
      <c r="AG1261" t="s">
        <v>2365</v>
      </c>
      <c r="AH1261" t="s">
        <v>2365</v>
      </c>
      <c r="AI1261" t="s">
        <v>2365</v>
      </c>
      <c r="AJ1261" t="s">
        <v>2365</v>
      </c>
      <c r="AK1261" t="s">
        <v>2365</v>
      </c>
      <c r="AL1261" t="s">
        <v>2365</v>
      </c>
      <c r="AM1261" t="s">
        <v>2365</v>
      </c>
      <c r="AN1261" t="s">
        <v>2365</v>
      </c>
      <c r="AR1261" t="s">
        <v>2365</v>
      </c>
      <c r="AS1261" t="s">
        <v>2365</v>
      </c>
      <c r="AT1261" t="s">
        <v>2365</v>
      </c>
      <c r="AU1261" t="s">
        <v>2365</v>
      </c>
      <c r="AV1261" t="s">
        <v>2365</v>
      </c>
      <c r="AW1261" t="s">
        <v>2365</v>
      </c>
      <c r="AX1261" t="s">
        <v>2365</v>
      </c>
      <c r="AY1261" t="s">
        <v>2365</v>
      </c>
      <c r="AZ1261" t="s">
        <v>2365</v>
      </c>
      <c r="BA1261" t="s">
        <v>2365</v>
      </c>
      <c r="BB1261" t="s">
        <v>2365</v>
      </c>
      <c r="BC1261" t="s">
        <v>2365</v>
      </c>
      <c r="BD1261" t="s">
        <v>2366</v>
      </c>
      <c r="BE1261" t="s">
        <v>2365</v>
      </c>
      <c r="BF1261" t="s">
        <v>2365</v>
      </c>
      <c r="BG1261" t="s">
        <v>2365</v>
      </c>
      <c r="BH1261" t="s">
        <v>2365</v>
      </c>
      <c r="BI1261" t="s">
        <v>2366</v>
      </c>
      <c r="BJ1261" t="s">
        <v>2365</v>
      </c>
      <c r="BK1261" t="s">
        <v>2365</v>
      </c>
      <c r="BL1261" t="s">
        <v>2365</v>
      </c>
      <c r="BM1261" t="s">
        <v>2365</v>
      </c>
      <c r="BO1261">
        <v>1</v>
      </c>
      <c r="BP1261">
        <v>11</v>
      </c>
      <c r="BQ1261" t="s">
        <v>2369</v>
      </c>
      <c r="BR1261" t="s">
        <v>1487</v>
      </c>
      <c r="BU1261" s="1371">
        <v>0</v>
      </c>
      <c r="BV1261" s="1371">
        <v>0</v>
      </c>
      <c r="BW1261" s="1371">
        <v>0</v>
      </c>
      <c r="BX1261" s="1371">
        <v>0</v>
      </c>
      <c r="BY1261" s="1371">
        <v>0</v>
      </c>
      <c r="BZ1261">
        <v>0</v>
      </c>
      <c r="CA1261">
        <v>0</v>
      </c>
      <c r="CB1261">
        <v>0</v>
      </c>
      <c r="CC1261">
        <v>0</v>
      </c>
      <c r="CD1261">
        <v>0</v>
      </c>
      <c r="CE1261">
        <v>0</v>
      </c>
      <c r="CF1261">
        <v>0</v>
      </c>
      <c r="CG1261">
        <v>0</v>
      </c>
      <c r="CH1261">
        <v>0</v>
      </c>
      <c r="CI1261">
        <v>0</v>
      </c>
      <c r="CJ1261">
        <v>0</v>
      </c>
      <c r="CK1261">
        <v>0</v>
      </c>
      <c r="CL1261">
        <v>0</v>
      </c>
      <c r="CM1261">
        <v>0</v>
      </c>
      <c r="CR1261" t="s">
        <v>2319</v>
      </c>
      <c r="CS1261" s="1369" t="str">
        <f>INDEX([8]Sheet1!$H:$H,MATCH(CR:CR,[8]Sheet1!$AU:$AU,0))</f>
        <v>Mayor and Council</v>
      </c>
    </row>
    <row r="1262" spans="1:97" x14ac:dyDescent="0.2">
      <c r="A1262" t="s">
        <v>4251</v>
      </c>
      <c r="B1262">
        <v>1350</v>
      </c>
      <c r="C1262" t="s">
        <v>4251</v>
      </c>
      <c r="D1262">
        <v>51829</v>
      </c>
      <c r="E1262" t="s">
        <v>4252</v>
      </c>
      <c r="F1262">
        <v>200</v>
      </c>
      <c r="G1262" t="s">
        <v>559</v>
      </c>
      <c r="H1262" s="1373">
        <v>200</v>
      </c>
      <c r="I1262" t="s">
        <v>2863</v>
      </c>
      <c r="J1262" t="s">
        <v>2365</v>
      </c>
      <c r="K1262" t="s">
        <v>2365</v>
      </c>
      <c r="L1262" s="1373">
        <v>1200</v>
      </c>
      <c r="M1262" t="s">
        <v>1480</v>
      </c>
      <c r="N1262">
        <v>1204</v>
      </c>
      <c r="O1262" t="s">
        <v>1487</v>
      </c>
      <c r="P1262" t="s">
        <v>2366</v>
      </c>
      <c r="Q1262" t="s">
        <v>2364</v>
      </c>
      <c r="R1262" t="s">
        <v>2364</v>
      </c>
      <c r="S1262" t="s">
        <v>553</v>
      </c>
      <c r="T1262" t="s">
        <v>1811</v>
      </c>
      <c r="U1262" t="s">
        <v>2365</v>
      </c>
      <c r="V1262" t="s">
        <v>2365</v>
      </c>
      <c r="W1262" t="s">
        <v>2365</v>
      </c>
      <c r="X1262" t="s">
        <v>2365</v>
      </c>
      <c r="Y1262" t="s">
        <v>2365</v>
      </c>
      <c r="Z1262" t="s">
        <v>2365</v>
      </c>
      <c r="AA1262" t="s">
        <v>2365</v>
      </c>
      <c r="AB1262" t="s">
        <v>2365</v>
      </c>
      <c r="AC1262" s="813" t="s">
        <v>2365</v>
      </c>
      <c r="AD1262" s="813" t="s">
        <v>2365</v>
      </c>
      <c r="AE1262" s="813" t="s">
        <v>2365</v>
      </c>
      <c r="AF1262" t="s">
        <v>2365</v>
      </c>
      <c r="AG1262" t="s">
        <v>2365</v>
      </c>
      <c r="AH1262" t="s">
        <v>2365</v>
      </c>
      <c r="AI1262" t="s">
        <v>2365</v>
      </c>
      <c r="AJ1262" t="s">
        <v>2365</v>
      </c>
      <c r="AK1262" t="s">
        <v>2365</v>
      </c>
      <c r="AL1262" t="s">
        <v>2365</v>
      </c>
      <c r="AM1262" t="s">
        <v>2365</v>
      </c>
      <c r="AN1262" t="s">
        <v>2365</v>
      </c>
      <c r="AR1262" t="s">
        <v>2365</v>
      </c>
      <c r="AS1262" t="s">
        <v>2365</v>
      </c>
      <c r="AT1262" t="s">
        <v>2365</v>
      </c>
      <c r="AU1262" t="s">
        <v>2365</v>
      </c>
      <c r="AV1262" t="s">
        <v>2365</v>
      </c>
      <c r="AW1262" t="s">
        <v>2365</v>
      </c>
      <c r="AX1262" t="s">
        <v>2365</v>
      </c>
      <c r="AY1262" t="s">
        <v>2365</v>
      </c>
      <c r="AZ1262" t="s">
        <v>2365</v>
      </c>
      <c r="BA1262" t="s">
        <v>2365</v>
      </c>
      <c r="BB1262" t="s">
        <v>2365</v>
      </c>
      <c r="BC1262" t="s">
        <v>2365</v>
      </c>
      <c r="BD1262" t="s">
        <v>2366</v>
      </c>
      <c r="BE1262" t="s">
        <v>2365</v>
      </c>
      <c r="BF1262" t="s">
        <v>2365</v>
      </c>
      <c r="BG1262" t="s">
        <v>2365</v>
      </c>
      <c r="BH1262" t="s">
        <v>2365</v>
      </c>
      <c r="BI1262" t="s">
        <v>2366</v>
      </c>
      <c r="BJ1262" t="s">
        <v>2365</v>
      </c>
      <c r="BK1262" t="s">
        <v>2365</v>
      </c>
      <c r="BL1262" t="s">
        <v>2365</v>
      </c>
      <c r="BM1262" t="s">
        <v>2365</v>
      </c>
      <c r="BO1262">
        <v>1</v>
      </c>
      <c r="BP1262">
        <v>11</v>
      </c>
      <c r="BQ1262" t="s">
        <v>2369</v>
      </c>
      <c r="BR1262" t="s">
        <v>1487</v>
      </c>
      <c r="BU1262" s="1371">
        <v>0</v>
      </c>
      <c r="BV1262" s="1371">
        <v>0</v>
      </c>
      <c r="BW1262" s="1371">
        <v>0</v>
      </c>
      <c r="BX1262" s="1371">
        <v>0</v>
      </c>
      <c r="BY1262" s="1371">
        <v>0</v>
      </c>
      <c r="BZ1262" s="1371">
        <v>0</v>
      </c>
      <c r="CA1262">
        <v>0</v>
      </c>
      <c r="CB1262">
        <v>0</v>
      </c>
      <c r="CC1262">
        <v>0</v>
      </c>
      <c r="CD1262">
        <v>0</v>
      </c>
      <c r="CE1262">
        <v>0</v>
      </c>
      <c r="CF1262">
        <v>0</v>
      </c>
      <c r="CG1262">
        <v>0</v>
      </c>
      <c r="CH1262">
        <v>0</v>
      </c>
      <c r="CI1262">
        <v>0</v>
      </c>
      <c r="CJ1262">
        <v>0</v>
      </c>
      <c r="CK1262">
        <v>0</v>
      </c>
      <c r="CL1262">
        <v>0</v>
      </c>
      <c r="CM1262">
        <v>0</v>
      </c>
      <c r="CR1262" t="s">
        <v>2319</v>
      </c>
      <c r="CS1262" s="1369" t="str">
        <f>INDEX([8]Sheet1!$H:$H,MATCH(CR:CR,[8]Sheet1!$AU:$AU,0))</f>
        <v>Mayor and Council</v>
      </c>
    </row>
    <row r="1263" spans="1:97" x14ac:dyDescent="0.2">
      <c r="A1263" t="s">
        <v>4253</v>
      </c>
      <c r="B1263">
        <v>1351</v>
      </c>
      <c r="C1263" t="s">
        <v>4253</v>
      </c>
      <c r="D1263">
        <v>51830</v>
      </c>
      <c r="E1263" t="s">
        <v>4254</v>
      </c>
      <c r="F1263">
        <v>200</v>
      </c>
      <c r="G1263" t="s">
        <v>559</v>
      </c>
      <c r="H1263">
        <v>200</v>
      </c>
      <c r="I1263" t="s">
        <v>2863</v>
      </c>
      <c r="J1263" t="s">
        <v>2365</v>
      </c>
      <c r="K1263" t="s">
        <v>2365</v>
      </c>
      <c r="L1263">
        <v>1200</v>
      </c>
      <c r="M1263" t="s">
        <v>1480</v>
      </c>
      <c r="N1263">
        <v>1204</v>
      </c>
      <c r="O1263" t="s">
        <v>1487</v>
      </c>
      <c r="P1263" t="s">
        <v>2366</v>
      </c>
      <c r="Q1263" t="s">
        <v>2364</v>
      </c>
      <c r="R1263" t="s">
        <v>2364</v>
      </c>
      <c r="S1263" t="s">
        <v>553</v>
      </c>
      <c r="T1263" t="s">
        <v>1811</v>
      </c>
      <c r="U1263" t="s">
        <v>2365</v>
      </c>
      <c r="V1263" t="s">
        <v>2365</v>
      </c>
      <c r="W1263" t="s">
        <v>2365</v>
      </c>
      <c r="X1263" t="s">
        <v>2365</v>
      </c>
      <c r="Y1263" t="s">
        <v>2365</v>
      </c>
      <c r="Z1263" t="s">
        <v>2365</v>
      </c>
      <c r="AA1263" t="s">
        <v>2365</v>
      </c>
      <c r="AB1263" t="s">
        <v>2365</v>
      </c>
      <c r="AC1263" s="813" t="s">
        <v>2365</v>
      </c>
      <c r="AD1263" s="813" t="s">
        <v>2365</v>
      </c>
      <c r="AE1263" s="813" t="s">
        <v>2365</v>
      </c>
      <c r="AF1263" t="s">
        <v>2365</v>
      </c>
      <c r="AG1263" t="s">
        <v>2365</v>
      </c>
      <c r="AH1263" t="s">
        <v>2365</v>
      </c>
      <c r="AI1263" t="s">
        <v>2365</v>
      </c>
      <c r="AJ1263" t="s">
        <v>2365</v>
      </c>
      <c r="AK1263" t="s">
        <v>2365</v>
      </c>
      <c r="AL1263" t="s">
        <v>2365</v>
      </c>
      <c r="AM1263" t="s">
        <v>2365</v>
      </c>
      <c r="AN1263" t="s">
        <v>2365</v>
      </c>
      <c r="AR1263" t="s">
        <v>2365</v>
      </c>
      <c r="AS1263" t="s">
        <v>2365</v>
      </c>
      <c r="AT1263" t="s">
        <v>2365</v>
      </c>
      <c r="AU1263" t="s">
        <v>2365</v>
      </c>
      <c r="AV1263" t="s">
        <v>2365</v>
      </c>
      <c r="AW1263" t="s">
        <v>2365</v>
      </c>
      <c r="AX1263" t="s">
        <v>2365</v>
      </c>
      <c r="AY1263" t="s">
        <v>2365</v>
      </c>
      <c r="AZ1263" t="s">
        <v>2365</v>
      </c>
      <c r="BA1263" t="s">
        <v>2365</v>
      </c>
      <c r="BB1263" t="s">
        <v>2365</v>
      </c>
      <c r="BC1263" t="s">
        <v>2365</v>
      </c>
      <c r="BD1263" t="s">
        <v>2366</v>
      </c>
      <c r="BE1263" t="s">
        <v>2365</v>
      </c>
      <c r="BF1263" t="s">
        <v>2365</v>
      </c>
      <c r="BG1263" t="s">
        <v>2365</v>
      </c>
      <c r="BH1263" t="s">
        <v>2365</v>
      </c>
      <c r="BI1263" t="s">
        <v>2366</v>
      </c>
      <c r="BJ1263" t="s">
        <v>2365</v>
      </c>
      <c r="BK1263" t="s">
        <v>2365</v>
      </c>
      <c r="BL1263" t="s">
        <v>2365</v>
      </c>
      <c r="BM1263" t="s">
        <v>2365</v>
      </c>
      <c r="BO1263">
        <v>1</v>
      </c>
      <c r="BP1263">
        <v>11</v>
      </c>
      <c r="BQ1263" t="s">
        <v>2369</v>
      </c>
      <c r="BR1263" t="s">
        <v>1487</v>
      </c>
      <c r="BU1263">
        <v>0</v>
      </c>
      <c r="BV1263">
        <v>0</v>
      </c>
      <c r="BW1263">
        <v>0</v>
      </c>
      <c r="BX1263">
        <v>0</v>
      </c>
      <c r="BY1263">
        <v>0</v>
      </c>
      <c r="BZ1263">
        <v>0</v>
      </c>
      <c r="CA1263">
        <v>0</v>
      </c>
      <c r="CB1263">
        <v>0</v>
      </c>
      <c r="CC1263">
        <v>0</v>
      </c>
      <c r="CD1263">
        <v>0</v>
      </c>
      <c r="CE1263">
        <v>0</v>
      </c>
      <c r="CF1263">
        <v>0</v>
      </c>
      <c r="CG1263">
        <v>0</v>
      </c>
      <c r="CH1263">
        <v>0</v>
      </c>
      <c r="CI1263">
        <v>0</v>
      </c>
      <c r="CJ1263">
        <v>0</v>
      </c>
      <c r="CK1263">
        <v>0</v>
      </c>
      <c r="CL1263">
        <v>0</v>
      </c>
      <c r="CM1263">
        <v>0</v>
      </c>
      <c r="CR1263" t="s">
        <v>2319</v>
      </c>
      <c r="CS1263" s="1369" t="str">
        <f>INDEX([8]Sheet1!$H:$H,MATCH(CR:CR,[8]Sheet1!$AU:$AU,0))</f>
        <v>Mayor and Council</v>
      </c>
    </row>
    <row r="1264" spans="1:97" x14ac:dyDescent="0.2">
      <c r="A1264" t="s">
        <v>4255</v>
      </c>
      <c r="B1264">
        <v>1352</v>
      </c>
      <c r="C1264" t="s">
        <v>4255</v>
      </c>
      <c r="D1264">
        <v>51831</v>
      </c>
      <c r="E1264" t="s">
        <v>4256</v>
      </c>
      <c r="F1264">
        <v>200</v>
      </c>
      <c r="G1264" t="s">
        <v>559</v>
      </c>
      <c r="H1264">
        <v>200</v>
      </c>
      <c r="I1264" t="s">
        <v>2863</v>
      </c>
      <c r="J1264" t="s">
        <v>2365</v>
      </c>
      <c r="K1264" t="s">
        <v>2365</v>
      </c>
      <c r="L1264">
        <v>1200</v>
      </c>
      <c r="M1264" t="s">
        <v>1480</v>
      </c>
      <c r="N1264">
        <v>1204</v>
      </c>
      <c r="O1264" t="s">
        <v>1487</v>
      </c>
      <c r="P1264" t="s">
        <v>2366</v>
      </c>
      <c r="Q1264" t="s">
        <v>2364</v>
      </c>
      <c r="R1264" t="s">
        <v>2364</v>
      </c>
      <c r="S1264" t="s">
        <v>553</v>
      </c>
      <c r="T1264" t="s">
        <v>1811</v>
      </c>
      <c r="U1264" t="s">
        <v>2365</v>
      </c>
      <c r="V1264" t="s">
        <v>2365</v>
      </c>
      <c r="W1264" t="s">
        <v>2365</v>
      </c>
      <c r="X1264" t="s">
        <v>2365</v>
      </c>
      <c r="Y1264" t="s">
        <v>2365</v>
      </c>
      <c r="Z1264" t="s">
        <v>2365</v>
      </c>
      <c r="AA1264" t="s">
        <v>2365</v>
      </c>
      <c r="AB1264" t="s">
        <v>2365</v>
      </c>
      <c r="AC1264" s="813" t="s">
        <v>2365</v>
      </c>
      <c r="AD1264" s="813" t="s">
        <v>2365</v>
      </c>
      <c r="AE1264" s="813" t="s">
        <v>2365</v>
      </c>
      <c r="AF1264" t="s">
        <v>2365</v>
      </c>
      <c r="AG1264" t="s">
        <v>2365</v>
      </c>
      <c r="AH1264" t="s">
        <v>2365</v>
      </c>
      <c r="AI1264" t="s">
        <v>2365</v>
      </c>
      <c r="AJ1264" t="s">
        <v>2365</v>
      </c>
      <c r="AK1264" t="s">
        <v>2365</v>
      </c>
      <c r="AL1264" t="s">
        <v>2365</v>
      </c>
      <c r="AM1264" t="s">
        <v>2365</v>
      </c>
      <c r="AN1264" t="s">
        <v>2365</v>
      </c>
      <c r="AR1264" t="s">
        <v>2365</v>
      </c>
      <c r="AS1264" t="s">
        <v>2365</v>
      </c>
      <c r="AT1264" t="s">
        <v>2365</v>
      </c>
      <c r="AU1264" t="s">
        <v>2365</v>
      </c>
      <c r="AV1264" t="s">
        <v>2365</v>
      </c>
      <c r="AW1264" t="s">
        <v>2365</v>
      </c>
      <c r="AX1264" t="s">
        <v>2365</v>
      </c>
      <c r="AY1264" t="s">
        <v>2365</v>
      </c>
      <c r="AZ1264" t="s">
        <v>2365</v>
      </c>
      <c r="BA1264" t="s">
        <v>2365</v>
      </c>
      <c r="BB1264" t="s">
        <v>2365</v>
      </c>
      <c r="BC1264" t="s">
        <v>2365</v>
      </c>
      <c r="BD1264" t="s">
        <v>2366</v>
      </c>
      <c r="BE1264" t="s">
        <v>2365</v>
      </c>
      <c r="BF1264" t="s">
        <v>2365</v>
      </c>
      <c r="BG1264" t="s">
        <v>2365</v>
      </c>
      <c r="BH1264" t="s">
        <v>2365</v>
      </c>
      <c r="BI1264" t="s">
        <v>2366</v>
      </c>
      <c r="BJ1264" t="s">
        <v>2365</v>
      </c>
      <c r="BK1264" t="s">
        <v>2365</v>
      </c>
      <c r="BL1264" t="s">
        <v>2365</v>
      </c>
      <c r="BM1264" t="s">
        <v>2365</v>
      </c>
      <c r="BO1264">
        <v>1</v>
      </c>
      <c r="BP1264">
        <v>11</v>
      </c>
      <c r="BQ1264" t="s">
        <v>2369</v>
      </c>
      <c r="BR1264" t="s">
        <v>1487</v>
      </c>
      <c r="BU1264">
        <v>0</v>
      </c>
      <c r="BV1264">
        <v>0</v>
      </c>
      <c r="BW1264">
        <v>0</v>
      </c>
      <c r="BX1264">
        <v>0</v>
      </c>
      <c r="BY1264">
        <v>0</v>
      </c>
      <c r="BZ1264">
        <v>0</v>
      </c>
      <c r="CA1264">
        <v>0</v>
      </c>
      <c r="CB1264">
        <v>0</v>
      </c>
      <c r="CC1264">
        <v>0</v>
      </c>
      <c r="CD1264">
        <v>0</v>
      </c>
      <c r="CE1264">
        <v>0</v>
      </c>
      <c r="CF1264">
        <v>0</v>
      </c>
      <c r="CG1264">
        <v>0</v>
      </c>
      <c r="CH1264">
        <v>0</v>
      </c>
      <c r="CI1264">
        <v>0</v>
      </c>
      <c r="CJ1264">
        <v>0</v>
      </c>
      <c r="CK1264">
        <v>0</v>
      </c>
      <c r="CL1264">
        <v>0</v>
      </c>
      <c r="CM1264">
        <v>0</v>
      </c>
      <c r="CR1264" t="s">
        <v>2319</v>
      </c>
      <c r="CS1264" s="1369" t="str">
        <f>INDEX([8]Sheet1!$H:$H,MATCH(CR:CR,[8]Sheet1!$AU:$AU,0))</f>
        <v>Mayor and Council</v>
      </c>
    </row>
    <row r="1265" spans="1:97" x14ac:dyDescent="0.2">
      <c r="A1265" t="s">
        <v>4257</v>
      </c>
      <c r="B1265">
        <v>1353</v>
      </c>
      <c r="C1265" t="s">
        <v>4257</v>
      </c>
      <c r="D1265">
        <v>51832</v>
      </c>
      <c r="E1265" t="s">
        <v>4258</v>
      </c>
      <c r="F1265">
        <v>200</v>
      </c>
      <c r="G1265" t="s">
        <v>559</v>
      </c>
      <c r="H1265">
        <v>200</v>
      </c>
      <c r="I1265" t="s">
        <v>2863</v>
      </c>
      <c r="J1265" t="s">
        <v>2365</v>
      </c>
      <c r="K1265" t="s">
        <v>2365</v>
      </c>
      <c r="L1265">
        <v>1200</v>
      </c>
      <c r="M1265" t="s">
        <v>1480</v>
      </c>
      <c r="N1265">
        <v>1204</v>
      </c>
      <c r="O1265" t="s">
        <v>1487</v>
      </c>
      <c r="P1265" t="s">
        <v>2366</v>
      </c>
      <c r="Q1265" t="s">
        <v>2364</v>
      </c>
      <c r="R1265" t="s">
        <v>2364</v>
      </c>
      <c r="S1265" t="s">
        <v>553</v>
      </c>
      <c r="T1265" t="s">
        <v>1811</v>
      </c>
      <c r="U1265" t="s">
        <v>2365</v>
      </c>
      <c r="V1265" t="s">
        <v>2365</v>
      </c>
      <c r="W1265" t="s">
        <v>2365</v>
      </c>
      <c r="X1265" t="s">
        <v>2365</v>
      </c>
      <c r="Y1265" t="s">
        <v>2365</v>
      </c>
      <c r="Z1265" t="s">
        <v>2365</v>
      </c>
      <c r="AA1265" t="s">
        <v>2365</v>
      </c>
      <c r="AB1265" t="s">
        <v>2365</v>
      </c>
      <c r="AC1265" s="813" t="s">
        <v>2365</v>
      </c>
      <c r="AD1265" s="813" t="s">
        <v>2365</v>
      </c>
      <c r="AE1265" s="813" t="s">
        <v>2365</v>
      </c>
      <c r="AF1265" t="s">
        <v>2365</v>
      </c>
      <c r="AG1265" t="s">
        <v>2365</v>
      </c>
      <c r="AH1265" t="s">
        <v>2365</v>
      </c>
      <c r="AI1265" t="s">
        <v>2365</v>
      </c>
      <c r="AJ1265" t="s">
        <v>2365</v>
      </c>
      <c r="AK1265" t="s">
        <v>2365</v>
      </c>
      <c r="AL1265" t="s">
        <v>2365</v>
      </c>
      <c r="AM1265" t="s">
        <v>2365</v>
      </c>
      <c r="AN1265" t="s">
        <v>2365</v>
      </c>
      <c r="AR1265" t="s">
        <v>2365</v>
      </c>
      <c r="AS1265" t="s">
        <v>2365</v>
      </c>
      <c r="AT1265" t="s">
        <v>2365</v>
      </c>
      <c r="AU1265" t="s">
        <v>2365</v>
      </c>
      <c r="AV1265" t="s">
        <v>2365</v>
      </c>
      <c r="AW1265" t="s">
        <v>2365</v>
      </c>
      <c r="AX1265" t="s">
        <v>2365</v>
      </c>
      <c r="AY1265" t="s">
        <v>2365</v>
      </c>
      <c r="AZ1265" t="s">
        <v>2365</v>
      </c>
      <c r="BA1265" t="s">
        <v>2365</v>
      </c>
      <c r="BB1265" t="s">
        <v>2365</v>
      </c>
      <c r="BC1265" t="s">
        <v>2365</v>
      </c>
      <c r="BD1265" t="s">
        <v>2366</v>
      </c>
      <c r="BE1265" t="s">
        <v>2365</v>
      </c>
      <c r="BF1265" t="s">
        <v>2365</v>
      </c>
      <c r="BG1265" t="s">
        <v>2365</v>
      </c>
      <c r="BH1265" t="s">
        <v>2365</v>
      </c>
      <c r="BI1265" t="s">
        <v>2366</v>
      </c>
      <c r="BJ1265" t="s">
        <v>2365</v>
      </c>
      <c r="BK1265" t="s">
        <v>2365</v>
      </c>
      <c r="BL1265" t="s">
        <v>2365</v>
      </c>
      <c r="BM1265" t="s">
        <v>2365</v>
      </c>
      <c r="BO1265">
        <v>1</v>
      </c>
      <c r="BP1265">
        <v>11</v>
      </c>
      <c r="BQ1265" t="s">
        <v>2369</v>
      </c>
      <c r="BR1265" t="s">
        <v>1487</v>
      </c>
      <c r="BU1265">
        <v>0</v>
      </c>
      <c r="BV1265">
        <v>0</v>
      </c>
      <c r="BW1265">
        <v>0</v>
      </c>
      <c r="BX1265">
        <v>0</v>
      </c>
      <c r="BY1265" s="1371">
        <v>0</v>
      </c>
      <c r="BZ1265" s="1371">
        <v>0</v>
      </c>
      <c r="CA1265">
        <v>0</v>
      </c>
      <c r="CB1265">
        <v>0</v>
      </c>
      <c r="CC1265">
        <v>0</v>
      </c>
      <c r="CD1265">
        <v>0</v>
      </c>
      <c r="CE1265">
        <v>0</v>
      </c>
      <c r="CF1265">
        <v>0</v>
      </c>
      <c r="CG1265">
        <v>0</v>
      </c>
      <c r="CH1265">
        <v>0</v>
      </c>
      <c r="CI1265">
        <v>0</v>
      </c>
      <c r="CJ1265">
        <v>0</v>
      </c>
      <c r="CK1265">
        <v>0</v>
      </c>
      <c r="CL1265">
        <v>0</v>
      </c>
      <c r="CM1265">
        <v>0</v>
      </c>
      <c r="CR1265" t="s">
        <v>2319</v>
      </c>
      <c r="CS1265" s="1369" t="str">
        <f>INDEX([8]Sheet1!$H:$H,MATCH(CR:CR,[8]Sheet1!$AU:$AU,0))</f>
        <v>Mayor and Council</v>
      </c>
    </row>
    <row r="1266" spans="1:97" x14ac:dyDescent="0.2">
      <c r="A1266" t="s">
        <v>4259</v>
      </c>
      <c r="B1266">
        <v>1354</v>
      </c>
      <c r="C1266" t="s">
        <v>4259</v>
      </c>
      <c r="D1266">
        <v>51833</v>
      </c>
      <c r="E1266" t="s">
        <v>4260</v>
      </c>
      <c r="F1266">
        <v>200</v>
      </c>
      <c r="G1266" t="s">
        <v>559</v>
      </c>
      <c r="H1266">
        <v>200</v>
      </c>
      <c r="I1266" t="s">
        <v>2863</v>
      </c>
      <c r="J1266" t="s">
        <v>2365</v>
      </c>
      <c r="K1266" t="s">
        <v>2365</v>
      </c>
      <c r="L1266">
        <v>1200</v>
      </c>
      <c r="M1266" t="s">
        <v>1480</v>
      </c>
      <c r="N1266">
        <v>1204</v>
      </c>
      <c r="O1266" t="s">
        <v>1487</v>
      </c>
      <c r="P1266" t="s">
        <v>2366</v>
      </c>
      <c r="Q1266" t="s">
        <v>2364</v>
      </c>
      <c r="R1266" t="s">
        <v>2364</v>
      </c>
      <c r="S1266" t="s">
        <v>553</v>
      </c>
      <c r="T1266" t="s">
        <v>1811</v>
      </c>
      <c r="U1266" t="s">
        <v>2365</v>
      </c>
      <c r="V1266" t="s">
        <v>2365</v>
      </c>
      <c r="W1266" t="s">
        <v>2365</v>
      </c>
      <c r="X1266" t="s">
        <v>2365</v>
      </c>
      <c r="Y1266" t="s">
        <v>2365</v>
      </c>
      <c r="Z1266" t="s">
        <v>2365</v>
      </c>
      <c r="AA1266" t="s">
        <v>2365</v>
      </c>
      <c r="AB1266" t="s">
        <v>2365</v>
      </c>
      <c r="AC1266" s="813" t="s">
        <v>2365</v>
      </c>
      <c r="AD1266" s="813" t="s">
        <v>2365</v>
      </c>
      <c r="AE1266" s="813" t="s">
        <v>2365</v>
      </c>
      <c r="AF1266" t="s">
        <v>2365</v>
      </c>
      <c r="AG1266" t="s">
        <v>2365</v>
      </c>
      <c r="AH1266" t="s">
        <v>2365</v>
      </c>
      <c r="AI1266" t="s">
        <v>2365</v>
      </c>
      <c r="AJ1266" t="s">
        <v>2365</v>
      </c>
      <c r="AK1266" t="s">
        <v>2365</v>
      </c>
      <c r="AL1266" t="s">
        <v>2365</v>
      </c>
      <c r="AM1266" t="s">
        <v>2365</v>
      </c>
      <c r="AN1266" t="s">
        <v>2365</v>
      </c>
      <c r="AR1266" t="s">
        <v>2365</v>
      </c>
      <c r="AS1266" t="s">
        <v>2365</v>
      </c>
      <c r="AT1266" t="s">
        <v>2365</v>
      </c>
      <c r="AU1266" t="s">
        <v>2365</v>
      </c>
      <c r="AV1266" t="s">
        <v>2365</v>
      </c>
      <c r="AW1266" t="s">
        <v>2365</v>
      </c>
      <c r="AX1266" t="s">
        <v>2365</v>
      </c>
      <c r="AY1266" t="s">
        <v>2365</v>
      </c>
      <c r="AZ1266" t="s">
        <v>2365</v>
      </c>
      <c r="BA1266" t="s">
        <v>2365</v>
      </c>
      <c r="BB1266" t="s">
        <v>2365</v>
      </c>
      <c r="BC1266" t="s">
        <v>2365</v>
      </c>
      <c r="BD1266" t="s">
        <v>2366</v>
      </c>
      <c r="BE1266" t="s">
        <v>2365</v>
      </c>
      <c r="BF1266" t="s">
        <v>2365</v>
      </c>
      <c r="BG1266" t="s">
        <v>2365</v>
      </c>
      <c r="BH1266" t="s">
        <v>2365</v>
      </c>
      <c r="BI1266" t="s">
        <v>2366</v>
      </c>
      <c r="BJ1266" t="s">
        <v>2365</v>
      </c>
      <c r="BK1266" t="s">
        <v>2365</v>
      </c>
      <c r="BL1266" t="s">
        <v>2365</v>
      </c>
      <c r="BM1266" t="s">
        <v>2365</v>
      </c>
      <c r="BO1266">
        <v>1</v>
      </c>
      <c r="BP1266">
        <v>11</v>
      </c>
      <c r="BQ1266" t="s">
        <v>2369</v>
      </c>
      <c r="BR1266" t="s">
        <v>1487</v>
      </c>
      <c r="BU1266">
        <v>0</v>
      </c>
      <c r="BV1266">
        <v>0</v>
      </c>
      <c r="BW1266">
        <v>0</v>
      </c>
      <c r="BX1266">
        <v>0</v>
      </c>
      <c r="BY1266" s="1371">
        <v>0</v>
      </c>
      <c r="BZ1266" s="1371">
        <v>0</v>
      </c>
      <c r="CA1266">
        <v>0</v>
      </c>
      <c r="CB1266">
        <v>0</v>
      </c>
      <c r="CC1266">
        <v>0</v>
      </c>
      <c r="CD1266">
        <v>0</v>
      </c>
      <c r="CE1266">
        <v>0</v>
      </c>
      <c r="CF1266">
        <v>0</v>
      </c>
      <c r="CG1266">
        <v>0</v>
      </c>
      <c r="CH1266">
        <v>0</v>
      </c>
      <c r="CI1266">
        <v>0</v>
      </c>
      <c r="CJ1266">
        <v>0</v>
      </c>
      <c r="CK1266">
        <v>0</v>
      </c>
      <c r="CL1266">
        <v>0</v>
      </c>
      <c r="CM1266">
        <v>0</v>
      </c>
      <c r="CR1266" t="s">
        <v>2319</v>
      </c>
      <c r="CS1266" s="1369" t="str">
        <f>INDEX([8]Sheet1!$H:$H,MATCH(CR:CR,[8]Sheet1!$AU:$AU,0))</f>
        <v>Mayor and Council</v>
      </c>
    </row>
    <row r="1267" spans="1:97" x14ac:dyDescent="0.2">
      <c r="A1267" t="s">
        <v>4261</v>
      </c>
      <c r="B1267">
        <v>1355</v>
      </c>
      <c r="C1267" t="s">
        <v>4261</v>
      </c>
      <c r="D1267">
        <v>51834</v>
      </c>
      <c r="E1267" t="s">
        <v>4262</v>
      </c>
      <c r="F1267">
        <v>200</v>
      </c>
      <c r="G1267" t="s">
        <v>559</v>
      </c>
      <c r="H1267">
        <v>200</v>
      </c>
      <c r="I1267" t="s">
        <v>2863</v>
      </c>
      <c r="J1267" t="s">
        <v>2365</v>
      </c>
      <c r="K1267" t="s">
        <v>2365</v>
      </c>
      <c r="L1267">
        <v>1200</v>
      </c>
      <c r="M1267" t="s">
        <v>1480</v>
      </c>
      <c r="N1267">
        <v>1204</v>
      </c>
      <c r="O1267" t="s">
        <v>1487</v>
      </c>
      <c r="P1267" t="s">
        <v>2366</v>
      </c>
      <c r="Q1267" t="s">
        <v>2364</v>
      </c>
      <c r="R1267" t="s">
        <v>2364</v>
      </c>
      <c r="S1267" t="s">
        <v>553</v>
      </c>
      <c r="T1267" t="s">
        <v>1811</v>
      </c>
      <c r="U1267" t="s">
        <v>2365</v>
      </c>
      <c r="V1267" t="s">
        <v>2365</v>
      </c>
      <c r="W1267" t="s">
        <v>2365</v>
      </c>
      <c r="X1267" t="s">
        <v>2365</v>
      </c>
      <c r="Y1267" t="s">
        <v>2365</v>
      </c>
      <c r="Z1267" t="s">
        <v>2365</v>
      </c>
      <c r="AA1267" t="s">
        <v>2365</v>
      </c>
      <c r="AB1267" t="s">
        <v>2365</v>
      </c>
      <c r="AC1267" s="813" t="s">
        <v>2365</v>
      </c>
      <c r="AD1267" s="813" t="s">
        <v>2365</v>
      </c>
      <c r="AE1267" s="813" t="s">
        <v>2365</v>
      </c>
      <c r="AF1267" t="s">
        <v>2365</v>
      </c>
      <c r="AG1267" t="s">
        <v>2365</v>
      </c>
      <c r="AH1267" t="s">
        <v>2365</v>
      </c>
      <c r="AI1267" t="s">
        <v>2365</v>
      </c>
      <c r="AJ1267" t="s">
        <v>2365</v>
      </c>
      <c r="AK1267" t="s">
        <v>2365</v>
      </c>
      <c r="AL1267" t="s">
        <v>2365</v>
      </c>
      <c r="AM1267" t="s">
        <v>2365</v>
      </c>
      <c r="AN1267" t="s">
        <v>2365</v>
      </c>
      <c r="AR1267" t="s">
        <v>2365</v>
      </c>
      <c r="AS1267" t="s">
        <v>2365</v>
      </c>
      <c r="AT1267" t="s">
        <v>2365</v>
      </c>
      <c r="AU1267" t="s">
        <v>2365</v>
      </c>
      <c r="AV1267" t="s">
        <v>2365</v>
      </c>
      <c r="AW1267" t="s">
        <v>2365</v>
      </c>
      <c r="AX1267" t="s">
        <v>2365</v>
      </c>
      <c r="AY1267" t="s">
        <v>2365</v>
      </c>
      <c r="AZ1267" t="s">
        <v>2365</v>
      </c>
      <c r="BA1267" t="s">
        <v>2365</v>
      </c>
      <c r="BB1267" t="s">
        <v>2365</v>
      </c>
      <c r="BC1267" t="s">
        <v>2365</v>
      </c>
      <c r="BD1267" t="s">
        <v>2366</v>
      </c>
      <c r="BE1267" t="s">
        <v>2365</v>
      </c>
      <c r="BF1267" t="s">
        <v>2365</v>
      </c>
      <c r="BG1267" t="s">
        <v>2365</v>
      </c>
      <c r="BH1267" t="s">
        <v>2365</v>
      </c>
      <c r="BI1267" t="s">
        <v>2366</v>
      </c>
      <c r="BJ1267" t="s">
        <v>2365</v>
      </c>
      <c r="BK1267" t="s">
        <v>2365</v>
      </c>
      <c r="BL1267" t="s">
        <v>2365</v>
      </c>
      <c r="BM1267" t="s">
        <v>2365</v>
      </c>
      <c r="BO1267">
        <v>1</v>
      </c>
      <c r="BP1267">
        <v>11</v>
      </c>
      <c r="BQ1267" t="s">
        <v>2369</v>
      </c>
      <c r="BR1267" t="s">
        <v>1487</v>
      </c>
      <c r="BU1267">
        <v>0</v>
      </c>
      <c r="BV1267">
        <v>0</v>
      </c>
      <c r="BW1267">
        <v>0</v>
      </c>
      <c r="BX1267">
        <v>0</v>
      </c>
      <c r="BY1267" s="1371">
        <v>0</v>
      </c>
      <c r="BZ1267" s="1371">
        <v>0</v>
      </c>
      <c r="CA1267">
        <v>0</v>
      </c>
      <c r="CB1267">
        <v>0</v>
      </c>
      <c r="CC1267">
        <v>0</v>
      </c>
      <c r="CD1267">
        <v>0</v>
      </c>
      <c r="CE1267">
        <v>0</v>
      </c>
      <c r="CF1267">
        <v>0</v>
      </c>
      <c r="CG1267">
        <v>0</v>
      </c>
      <c r="CH1267">
        <v>0</v>
      </c>
      <c r="CI1267">
        <v>0</v>
      </c>
      <c r="CJ1267">
        <v>0</v>
      </c>
      <c r="CK1267">
        <v>0</v>
      </c>
      <c r="CL1267">
        <v>0</v>
      </c>
      <c r="CM1267">
        <v>0</v>
      </c>
      <c r="CR1267" t="s">
        <v>2319</v>
      </c>
      <c r="CS1267" s="1369" t="str">
        <f>INDEX([8]Sheet1!$H:$H,MATCH(CR:CR,[8]Sheet1!$AU:$AU,0))</f>
        <v>Mayor and Council</v>
      </c>
    </row>
    <row r="1268" spans="1:97" x14ac:dyDescent="0.2">
      <c r="A1268" t="s">
        <v>4263</v>
      </c>
      <c r="B1268">
        <v>1356</v>
      </c>
      <c r="C1268" t="s">
        <v>4263</v>
      </c>
      <c r="D1268">
        <v>51835</v>
      </c>
      <c r="E1268" t="s">
        <v>4264</v>
      </c>
      <c r="F1268">
        <v>200</v>
      </c>
      <c r="G1268" t="s">
        <v>559</v>
      </c>
      <c r="H1268">
        <v>200</v>
      </c>
      <c r="I1268" t="s">
        <v>2863</v>
      </c>
      <c r="J1268" t="s">
        <v>2365</v>
      </c>
      <c r="K1268" t="s">
        <v>2365</v>
      </c>
      <c r="L1268">
        <v>1200</v>
      </c>
      <c r="M1268" t="s">
        <v>1480</v>
      </c>
      <c r="N1268">
        <v>1204</v>
      </c>
      <c r="O1268" t="s">
        <v>1487</v>
      </c>
      <c r="P1268" t="s">
        <v>2366</v>
      </c>
      <c r="Q1268" t="s">
        <v>2364</v>
      </c>
      <c r="R1268" t="s">
        <v>2364</v>
      </c>
      <c r="S1268" t="s">
        <v>553</v>
      </c>
      <c r="T1268" t="s">
        <v>1811</v>
      </c>
      <c r="U1268" t="s">
        <v>2365</v>
      </c>
      <c r="V1268" t="s">
        <v>2365</v>
      </c>
      <c r="W1268" t="s">
        <v>2365</v>
      </c>
      <c r="X1268" t="s">
        <v>2365</v>
      </c>
      <c r="Y1268" t="s">
        <v>2365</v>
      </c>
      <c r="Z1268" t="s">
        <v>2365</v>
      </c>
      <c r="AA1268" t="s">
        <v>2365</v>
      </c>
      <c r="AB1268" t="s">
        <v>2365</v>
      </c>
      <c r="AC1268" s="813" t="s">
        <v>2365</v>
      </c>
      <c r="AD1268" s="813" t="s">
        <v>2365</v>
      </c>
      <c r="AE1268" s="813" t="s">
        <v>2365</v>
      </c>
      <c r="AF1268" t="s">
        <v>2365</v>
      </c>
      <c r="AG1268" t="s">
        <v>2365</v>
      </c>
      <c r="AH1268" t="s">
        <v>2365</v>
      </c>
      <c r="AI1268" t="s">
        <v>2365</v>
      </c>
      <c r="AJ1268" t="s">
        <v>2365</v>
      </c>
      <c r="AK1268" t="s">
        <v>2365</v>
      </c>
      <c r="AL1268" t="s">
        <v>2365</v>
      </c>
      <c r="AM1268" t="s">
        <v>2365</v>
      </c>
      <c r="AN1268" t="s">
        <v>2365</v>
      </c>
      <c r="AR1268" t="s">
        <v>2365</v>
      </c>
      <c r="AS1268" t="s">
        <v>2365</v>
      </c>
      <c r="AT1268" t="s">
        <v>2365</v>
      </c>
      <c r="AU1268" t="s">
        <v>2365</v>
      </c>
      <c r="AV1268" t="s">
        <v>2365</v>
      </c>
      <c r="AW1268" t="s">
        <v>2365</v>
      </c>
      <c r="AX1268" t="s">
        <v>2365</v>
      </c>
      <c r="AY1268" t="s">
        <v>2365</v>
      </c>
      <c r="AZ1268" t="s">
        <v>2365</v>
      </c>
      <c r="BA1268" t="s">
        <v>2365</v>
      </c>
      <c r="BB1268" t="s">
        <v>2365</v>
      </c>
      <c r="BC1268" t="s">
        <v>2365</v>
      </c>
      <c r="BD1268" t="s">
        <v>2366</v>
      </c>
      <c r="BE1268" t="s">
        <v>2365</v>
      </c>
      <c r="BF1268" t="s">
        <v>2365</v>
      </c>
      <c r="BG1268" t="s">
        <v>2365</v>
      </c>
      <c r="BH1268" t="s">
        <v>2365</v>
      </c>
      <c r="BI1268" t="s">
        <v>2366</v>
      </c>
      <c r="BJ1268" t="s">
        <v>2365</v>
      </c>
      <c r="BK1268" t="s">
        <v>2365</v>
      </c>
      <c r="BL1268" t="s">
        <v>2365</v>
      </c>
      <c r="BM1268" t="s">
        <v>2365</v>
      </c>
      <c r="BO1268">
        <v>1</v>
      </c>
      <c r="BP1268">
        <v>11</v>
      </c>
      <c r="BQ1268" t="s">
        <v>2369</v>
      </c>
      <c r="BR1268" t="s">
        <v>1487</v>
      </c>
      <c r="BU1268">
        <v>0</v>
      </c>
      <c r="BV1268">
        <v>0</v>
      </c>
      <c r="BW1268">
        <v>0</v>
      </c>
      <c r="BX1268">
        <v>0</v>
      </c>
      <c r="BY1268">
        <v>0</v>
      </c>
      <c r="BZ1268">
        <v>0</v>
      </c>
      <c r="CA1268">
        <v>0</v>
      </c>
      <c r="CB1268">
        <v>0</v>
      </c>
      <c r="CC1268">
        <v>0</v>
      </c>
      <c r="CD1268">
        <v>0</v>
      </c>
      <c r="CE1268">
        <v>0</v>
      </c>
      <c r="CF1268">
        <v>0</v>
      </c>
      <c r="CG1268">
        <v>0</v>
      </c>
      <c r="CH1268">
        <v>0</v>
      </c>
      <c r="CI1268">
        <v>0</v>
      </c>
      <c r="CJ1268">
        <v>0</v>
      </c>
      <c r="CK1268">
        <v>0</v>
      </c>
      <c r="CL1268">
        <v>0</v>
      </c>
      <c r="CM1268">
        <v>0</v>
      </c>
      <c r="CR1268" t="s">
        <v>2319</v>
      </c>
      <c r="CS1268" s="1369" t="str">
        <f>INDEX([8]Sheet1!$H:$H,MATCH(CR:CR,[8]Sheet1!$AU:$AU,0))</f>
        <v>Mayor and Council</v>
      </c>
    </row>
    <row r="1269" spans="1:97" x14ac:dyDescent="0.2">
      <c r="A1269" t="s">
        <v>4265</v>
      </c>
      <c r="B1269">
        <v>1357</v>
      </c>
      <c r="C1269" t="s">
        <v>4265</v>
      </c>
      <c r="D1269">
        <v>51836</v>
      </c>
      <c r="E1269" t="s">
        <v>4266</v>
      </c>
      <c r="F1269">
        <v>200</v>
      </c>
      <c r="G1269" t="s">
        <v>559</v>
      </c>
      <c r="H1269">
        <v>200</v>
      </c>
      <c r="I1269" t="s">
        <v>2863</v>
      </c>
      <c r="J1269" t="s">
        <v>2365</v>
      </c>
      <c r="K1269" t="s">
        <v>2365</v>
      </c>
      <c r="L1269">
        <v>1200</v>
      </c>
      <c r="M1269" t="s">
        <v>1480</v>
      </c>
      <c r="N1269">
        <v>1204</v>
      </c>
      <c r="O1269" t="s">
        <v>1487</v>
      </c>
      <c r="P1269" t="s">
        <v>2366</v>
      </c>
      <c r="Q1269" t="s">
        <v>2364</v>
      </c>
      <c r="R1269" t="s">
        <v>2364</v>
      </c>
      <c r="S1269" t="s">
        <v>553</v>
      </c>
      <c r="T1269" t="s">
        <v>1811</v>
      </c>
      <c r="U1269" t="s">
        <v>2365</v>
      </c>
      <c r="V1269" t="s">
        <v>2365</v>
      </c>
      <c r="W1269" t="s">
        <v>2365</v>
      </c>
      <c r="X1269" t="s">
        <v>2365</v>
      </c>
      <c r="Y1269" t="s">
        <v>2365</v>
      </c>
      <c r="Z1269" t="s">
        <v>2365</v>
      </c>
      <c r="AA1269" t="s">
        <v>2365</v>
      </c>
      <c r="AB1269" t="s">
        <v>2365</v>
      </c>
      <c r="AC1269" s="813" t="s">
        <v>2365</v>
      </c>
      <c r="AD1269" s="813" t="s">
        <v>2365</v>
      </c>
      <c r="AE1269" s="813" t="s">
        <v>2365</v>
      </c>
      <c r="AF1269" t="s">
        <v>2365</v>
      </c>
      <c r="AG1269" t="s">
        <v>2365</v>
      </c>
      <c r="AH1269" t="s">
        <v>2365</v>
      </c>
      <c r="AI1269" t="s">
        <v>2365</v>
      </c>
      <c r="AJ1269" t="s">
        <v>2365</v>
      </c>
      <c r="AK1269" t="s">
        <v>2365</v>
      </c>
      <c r="AL1269" t="s">
        <v>2365</v>
      </c>
      <c r="AM1269" t="s">
        <v>2365</v>
      </c>
      <c r="AN1269" t="s">
        <v>2365</v>
      </c>
      <c r="AR1269" t="s">
        <v>2365</v>
      </c>
      <c r="AS1269" t="s">
        <v>2365</v>
      </c>
      <c r="AT1269" t="s">
        <v>2365</v>
      </c>
      <c r="AU1269" t="s">
        <v>2365</v>
      </c>
      <c r="AV1269" t="s">
        <v>2365</v>
      </c>
      <c r="AW1269" t="s">
        <v>2365</v>
      </c>
      <c r="AX1269" t="s">
        <v>2365</v>
      </c>
      <c r="AY1269" t="s">
        <v>2365</v>
      </c>
      <c r="AZ1269" t="s">
        <v>2365</v>
      </c>
      <c r="BA1269" t="s">
        <v>2365</v>
      </c>
      <c r="BB1269" t="s">
        <v>2365</v>
      </c>
      <c r="BC1269" t="s">
        <v>2365</v>
      </c>
      <c r="BD1269" t="s">
        <v>2366</v>
      </c>
      <c r="BE1269" t="s">
        <v>2365</v>
      </c>
      <c r="BF1269" t="s">
        <v>2365</v>
      </c>
      <c r="BG1269" t="s">
        <v>2365</v>
      </c>
      <c r="BH1269" t="s">
        <v>2365</v>
      </c>
      <c r="BI1269" t="s">
        <v>2366</v>
      </c>
      <c r="BJ1269" t="s">
        <v>2365</v>
      </c>
      <c r="BK1269" t="s">
        <v>2365</v>
      </c>
      <c r="BL1269" t="s">
        <v>2365</v>
      </c>
      <c r="BM1269" t="s">
        <v>2365</v>
      </c>
      <c r="BO1269">
        <v>1</v>
      </c>
      <c r="BP1269">
        <v>11</v>
      </c>
      <c r="BQ1269" t="s">
        <v>2369</v>
      </c>
      <c r="BR1269" t="s">
        <v>1487</v>
      </c>
      <c r="BU1269">
        <v>0</v>
      </c>
      <c r="BV1269">
        <v>0</v>
      </c>
      <c r="BW1269">
        <v>0</v>
      </c>
      <c r="BX1269">
        <v>0</v>
      </c>
      <c r="BY1269" s="1371">
        <v>0</v>
      </c>
      <c r="BZ1269" s="1371">
        <v>0</v>
      </c>
      <c r="CA1269">
        <v>0</v>
      </c>
      <c r="CB1269">
        <v>0</v>
      </c>
      <c r="CC1269">
        <v>0</v>
      </c>
      <c r="CD1269">
        <v>0</v>
      </c>
      <c r="CE1269">
        <v>0</v>
      </c>
      <c r="CF1269">
        <v>0</v>
      </c>
      <c r="CG1269">
        <v>0</v>
      </c>
      <c r="CH1269">
        <v>0</v>
      </c>
      <c r="CI1269">
        <v>0</v>
      </c>
      <c r="CJ1269">
        <v>0</v>
      </c>
      <c r="CK1269">
        <v>0</v>
      </c>
      <c r="CL1269">
        <v>0</v>
      </c>
      <c r="CM1269">
        <v>0</v>
      </c>
      <c r="CR1269" t="s">
        <v>2319</v>
      </c>
      <c r="CS1269" s="1369" t="str">
        <f>INDEX([8]Sheet1!$H:$H,MATCH(CR:CR,[8]Sheet1!$AU:$AU,0))</f>
        <v>Mayor and Council</v>
      </c>
    </row>
    <row r="1270" spans="1:97" x14ac:dyDescent="0.2">
      <c r="A1270" t="s">
        <v>4267</v>
      </c>
      <c r="B1270">
        <v>1358</v>
      </c>
      <c r="C1270" t="s">
        <v>4267</v>
      </c>
      <c r="D1270">
        <v>51837</v>
      </c>
      <c r="E1270" t="s">
        <v>4268</v>
      </c>
      <c r="F1270">
        <v>200</v>
      </c>
      <c r="G1270" t="s">
        <v>559</v>
      </c>
      <c r="H1270">
        <v>200</v>
      </c>
      <c r="I1270" t="s">
        <v>2863</v>
      </c>
      <c r="J1270" t="s">
        <v>2365</v>
      </c>
      <c r="K1270" t="s">
        <v>2365</v>
      </c>
      <c r="L1270">
        <v>1200</v>
      </c>
      <c r="M1270" t="s">
        <v>1480</v>
      </c>
      <c r="N1270">
        <v>1204</v>
      </c>
      <c r="O1270" t="s">
        <v>1487</v>
      </c>
      <c r="P1270" t="s">
        <v>2366</v>
      </c>
      <c r="Q1270" t="s">
        <v>2364</v>
      </c>
      <c r="R1270" t="s">
        <v>2364</v>
      </c>
      <c r="S1270" t="s">
        <v>553</v>
      </c>
      <c r="T1270" t="s">
        <v>1811</v>
      </c>
      <c r="U1270" t="s">
        <v>2365</v>
      </c>
      <c r="V1270" t="s">
        <v>2365</v>
      </c>
      <c r="W1270" t="s">
        <v>2365</v>
      </c>
      <c r="X1270" t="s">
        <v>2365</v>
      </c>
      <c r="Y1270" t="s">
        <v>2365</v>
      </c>
      <c r="Z1270" t="s">
        <v>2365</v>
      </c>
      <c r="AA1270" t="s">
        <v>2365</v>
      </c>
      <c r="AB1270" t="s">
        <v>2365</v>
      </c>
      <c r="AC1270" s="813" t="s">
        <v>2365</v>
      </c>
      <c r="AD1270" s="813" t="s">
        <v>2365</v>
      </c>
      <c r="AE1270" s="813" t="s">
        <v>2365</v>
      </c>
      <c r="AF1270" t="s">
        <v>2365</v>
      </c>
      <c r="AG1270" t="s">
        <v>2365</v>
      </c>
      <c r="AH1270" t="s">
        <v>2365</v>
      </c>
      <c r="AI1270" t="s">
        <v>2365</v>
      </c>
      <c r="AJ1270" t="s">
        <v>2365</v>
      </c>
      <c r="AK1270" t="s">
        <v>2365</v>
      </c>
      <c r="AL1270" t="s">
        <v>2365</v>
      </c>
      <c r="AM1270" t="s">
        <v>2365</v>
      </c>
      <c r="AN1270" t="s">
        <v>2365</v>
      </c>
      <c r="AR1270" t="s">
        <v>2365</v>
      </c>
      <c r="AS1270" t="s">
        <v>2365</v>
      </c>
      <c r="AT1270" t="s">
        <v>2365</v>
      </c>
      <c r="AU1270" t="s">
        <v>2365</v>
      </c>
      <c r="AV1270" t="s">
        <v>2365</v>
      </c>
      <c r="AW1270" t="s">
        <v>2365</v>
      </c>
      <c r="AX1270" t="s">
        <v>2365</v>
      </c>
      <c r="AY1270" t="s">
        <v>2365</v>
      </c>
      <c r="AZ1270" t="s">
        <v>2365</v>
      </c>
      <c r="BA1270" t="s">
        <v>2365</v>
      </c>
      <c r="BB1270" t="s">
        <v>2365</v>
      </c>
      <c r="BC1270" t="s">
        <v>2365</v>
      </c>
      <c r="BD1270" t="s">
        <v>2366</v>
      </c>
      <c r="BE1270" t="s">
        <v>2365</v>
      </c>
      <c r="BF1270" t="s">
        <v>2365</v>
      </c>
      <c r="BG1270" t="s">
        <v>2365</v>
      </c>
      <c r="BH1270" t="s">
        <v>2365</v>
      </c>
      <c r="BI1270" t="s">
        <v>2366</v>
      </c>
      <c r="BJ1270" t="s">
        <v>2365</v>
      </c>
      <c r="BK1270" t="s">
        <v>2365</v>
      </c>
      <c r="BL1270" t="s">
        <v>2365</v>
      </c>
      <c r="BM1270" t="s">
        <v>2365</v>
      </c>
      <c r="BO1270">
        <v>1</v>
      </c>
      <c r="BP1270">
        <v>11</v>
      </c>
      <c r="BQ1270" t="s">
        <v>2369</v>
      </c>
      <c r="BR1270" t="s">
        <v>1487</v>
      </c>
      <c r="BU1270">
        <v>0</v>
      </c>
      <c r="BV1270">
        <v>0</v>
      </c>
      <c r="BW1270">
        <v>0</v>
      </c>
      <c r="BX1270">
        <v>0</v>
      </c>
      <c r="BY1270" s="1371">
        <v>0</v>
      </c>
      <c r="BZ1270" s="1371">
        <v>0</v>
      </c>
      <c r="CA1270">
        <v>0</v>
      </c>
      <c r="CB1270">
        <v>0</v>
      </c>
      <c r="CC1270">
        <v>0</v>
      </c>
      <c r="CD1270">
        <v>0</v>
      </c>
      <c r="CE1270">
        <v>0</v>
      </c>
      <c r="CF1270">
        <v>0</v>
      </c>
      <c r="CG1270">
        <v>0</v>
      </c>
      <c r="CH1270">
        <v>0</v>
      </c>
      <c r="CI1270">
        <v>0</v>
      </c>
      <c r="CJ1270">
        <v>0</v>
      </c>
      <c r="CK1270">
        <v>0</v>
      </c>
      <c r="CL1270">
        <v>0</v>
      </c>
      <c r="CM1270">
        <v>0</v>
      </c>
      <c r="CR1270" t="s">
        <v>2328</v>
      </c>
      <c r="CS1270" s="1369" t="str">
        <f>INDEX([8]Sheet1!$H:$H,MATCH(CR:CR,[8]Sheet1!$AU:$AU,0))</f>
        <v>Water Distribution</v>
      </c>
    </row>
    <row r="1271" spans="1:97" x14ac:dyDescent="0.2">
      <c r="A1271" t="s">
        <v>4269</v>
      </c>
      <c r="B1271">
        <v>1359</v>
      </c>
      <c r="C1271" t="s">
        <v>4269</v>
      </c>
      <c r="D1271">
        <v>51838</v>
      </c>
      <c r="E1271" t="s">
        <v>4270</v>
      </c>
      <c r="F1271">
        <v>200</v>
      </c>
      <c r="G1271" t="s">
        <v>559</v>
      </c>
      <c r="H1271" s="1373">
        <v>200</v>
      </c>
      <c r="I1271" t="s">
        <v>2863</v>
      </c>
      <c r="J1271" t="s">
        <v>2365</v>
      </c>
      <c r="K1271" t="s">
        <v>2365</v>
      </c>
      <c r="L1271" s="1373">
        <v>1200</v>
      </c>
      <c r="M1271" t="s">
        <v>1480</v>
      </c>
      <c r="N1271">
        <v>1204</v>
      </c>
      <c r="O1271" t="s">
        <v>1487</v>
      </c>
      <c r="P1271" t="s">
        <v>2366</v>
      </c>
      <c r="Q1271" t="s">
        <v>2364</v>
      </c>
      <c r="R1271" t="s">
        <v>2364</v>
      </c>
      <c r="S1271" t="s">
        <v>553</v>
      </c>
      <c r="T1271" t="s">
        <v>1811</v>
      </c>
      <c r="U1271" t="s">
        <v>2365</v>
      </c>
      <c r="V1271" t="s">
        <v>2365</v>
      </c>
      <c r="W1271" t="s">
        <v>2365</v>
      </c>
      <c r="X1271" t="s">
        <v>2365</v>
      </c>
      <c r="Y1271" t="s">
        <v>2365</v>
      </c>
      <c r="Z1271" t="s">
        <v>2365</v>
      </c>
      <c r="AA1271" t="s">
        <v>2365</v>
      </c>
      <c r="AB1271" t="s">
        <v>2365</v>
      </c>
      <c r="AC1271" s="813" t="s">
        <v>2365</v>
      </c>
      <c r="AD1271" s="813" t="s">
        <v>2365</v>
      </c>
      <c r="AE1271" s="813" t="s">
        <v>2365</v>
      </c>
      <c r="AF1271" t="s">
        <v>2365</v>
      </c>
      <c r="AG1271" t="s">
        <v>2365</v>
      </c>
      <c r="AH1271" t="s">
        <v>2365</v>
      </c>
      <c r="AI1271" t="s">
        <v>2365</v>
      </c>
      <c r="AJ1271" t="s">
        <v>2365</v>
      </c>
      <c r="AK1271" t="s">
        <v>2365</v>
      </c>
      <c r="AL1271" t="s">
        <v>2365</v>
      </c>
      <c r="AM1271" t="s">
        <v>2365</v>
      </c>
      <c r="AN1271" t="s">
        <v>2365</v>
      </c>
      <c r="AR1271" t="s">
        <v>2365</v>
      </c>
      <c r="AS1271" t="s">
        <v>2365</v>
      </c>
      <c r="AT1271" t="s">
        <v>2365</v>
      </c>
      <c r="AU1271" t="s">
        <v>2365</v>
      </c>
      <c r="AV1271" t="s">
        <v>2365</v>
      </c>
      <c r="AW1271" t="s">
        <v>2365</v>
      </c>
      <c r="AX1271" t="s">
        <v>2365</v>
      </c>
      <c r="AY1271" t="s">
        <v>2365</v>
      </c>
      <c r="AZ1271" t="s">
        <v>2365</v>
      </c>
      <c r="BA1271" t="s">
        <v>2365</v>
      </c>
      <c r="BB1271" t="s">
        <v>2365</v>
      </c>
      <c r="BC1271" t="s">
        <v>2365</v>
      </c>
      <c r="BD1271" t="s">
        <v>2366</v>
      </c>
      <c r="BE1271" t="s">
        <v>2365</v>
      </c>
      <c r="BF1271" t="s">
        <v>2365</v>
      </c>
      <c r="BG1271" t="s">
        <v>2365</v>
      </c>
      <c r="BH1271" t="s">
        <v>2365</v>
      </c>
      <c r="BI1271" t="s">
        <v>2366</v>
      </c>
      <c r="BJ1271" t="s">
        <v>2365</v>
      </c>
      <c r="BK1271" t="s">
        <v>2365</v>
      </c>
      <c r="BL1271" t="s">
        <v>2365</v>
      </c>
      <c r="BM1271" t="s">
        <v>2365</v>
      </c>
      <c r="BO1271">
        <v>1</v>
      </c>
      <c r="BP1271">
        <v>11</v>
      </c>
      <c r="BQ1271" t="s">
        <v>2369</v>
      </c>
      <c r="BR1271" t="s">
        <v>1487</v>
      </c>
      <c r="BU1271" s="1371">
        <v>0</v>
      </c>
      <c r="BV1271" s="1371">
        <v>0</v>
      </c>
      <c r="BW1271" s="1371">
        <v>0</v>
      </c>
      <c r="BX1271" s="1371">
        <v>0</v>
      </c>
      <c r="BY1271" s="1371">
        <v>0</v>
      </c>
      <c r="BZ1271" s="1371">
        <v>0</v>
      </c>
      <c r="CA1271">
        <v>0</v>
      </c>
      <c r="CB1271">
        <v>0</v>
      </c>
      <c r="CC1271">
        <v>0</v>
      </c>
      <c r="CD1271">
        <v>0</v>
      </c>
      <c r="CE1271">
        <v>0</v>
      </c>
      <c r="CF1271">
        <v>0</v>
      </c>
      <c r="CG1271">
        <v>0</v>
      </c>
      <c r="CH1271">
        <v>0</v>
      </c>
      <c r="CI1271">
        <v>0</v>
      </c>
      <c r="CJ1271">
        <v>0</v>
      </c>
      <c r="CK1271">
        <v>0</v>
      </c>
      <c r="CL1271">
        <v>0</v>
      </c>
      <c r="CM1271">
        <v>0</v>
      </c>
      <c r="CR1271" t="s">
        <v>2320</v>
      </c>
      <c r="CS1271" s="1369" t="str">
        <f>INDEX([8]Sheet1!$H:$H,MATCH(CR:CR,[8]Sheet1!$AU:$AU,0))</f>
        <v>Administrative and Corporate Support</v>
      </c>
    </row>
    <row r="1272" spans="1:97" x14ac:dyDescent="0.2">
      <c r="A1272" t="s">
        <v>4271</v>
      </c>
      <c r="B1272">
        <v>1360</v>
      </c>
      <c r="C1272" t="s">
        <v>4271</v>
      </c>
      <c r="D1272">
        <v>41513</v>
      </c>
      <c r="E1272" t="s">
        <v>4272</v>
      </c>
      <c r="F1272" t="s">
        <v>2364</v>
      </c>
      <c r="G1272" t="s">
        <v>2364</v>
      </c>
      <c r="H1272" s="1373" t="s">
        <v>2365</v>
      </c>
      <c r="I1272" t="s">
        <v>2365</v>
      </c>
      <c r="J1272" t="s">
        <v>2365</v>
      </c>
      <c r="K1272" t="s">
        <v>2365</v>
      </c>
      <c r="L1272" s="1373">
        <v>1200</v>
      </c>
      <c r="M1272" t="s">
        <v>1480</v>
      </c>
      <c r="N1272">
        <v>1202</v>
      </c>
      <c r="O1272" t="s">
        <v>595</v>
      </c>
      <c r="P1272" t="s">
        <v>2366</v>
      </c>
      <c r="Q1272">
        <v>2080</v>
      </c>
      <c r="R1272" t="s">
        <v>579</v>
      </c>
      <c r="S1272" t="s">
        <v>552</v>
      </c>
      <c r="T1272" t="s">
        <v>2175</v>
      </c>
      <c r="U1272" t="s">
        <v>2366</v>
      </c>
      <c r="V1272" t="s">
        <v>2366</v>
      </c>
      <c r="W1272" t="s">
        <v>2366</v>
      </c>
      <c r="X1272" t="s">
        <v>2366</v>
      </c>
      <c r="Y1272" t="s">
        <v>2365</v>
      </c>
      <c r="Z1272" t="s">
        <v>2365</v>
      </c>
      <c r="AA1272" t="s">
        <v>2365</v>
      </c>
      <c r="AB1272" t="s">
        <v>2365</v>
      </c>
      <c r="AC1272" s="813" t="s">
        <v>2365</v>
      </c>
      <c r="AD1272" s="813" t="s">
        <v>2365</v>
      </c>
      <c r="AE1272" s="813" t="s">
        <v>2365</v>
      </c>
      <c r="AF1272" t="s">
        <v>2365</v>
      </c>
      <c r="AG1272">
        <v>1370</v>
      </c>
      <c r="AH1272" t="s">
        <v>1665</v>
      </c>
      <c r="AI1272">
        <v>1370</v>
      </c>
      <c r="AJ1272" t="s">
        <v>1665</v>
      </c>
      <c r="AK1272" t="s">
        <v>2365</v>
      </c>
      <c r="AL1272" t="s">
        <v>2365</v>
      </c>
      <c r="AM1272" t="s">
        <v>2365</v>
      </c>
      <c r="AN1272" t="s">
        <v>2365</v>
      </c>
      <c r="AR1272" t="s">
        <v>2365</v>
      </c>
      <c r="AS1272" t="s">
        <v>2365</v>
      </c>
      <c r="AT1272" t="s">
        <v>2365</v>
      </c>
      <c r="AU1272" t="s">
        <v>2365</v>
      </c>
      <c r="AV1272">
        <v>1430</v>
      </c>
      <c r="AW1272" t="s">
        <v>1671</v>
      </c>
      <c r="AX1272">
        <v>1430</v>
      </c>
      <c r="AY1272" t="s">
        <v>1671</v>
      </c>
      <c r="AZ1272" t="s">
        <v>2365</v>
      </c>
      <c r="BA1272" t="s">
        <v>2365</v>
      </c>
      <c r="BB1272" t="s">
        <v>2365</v>
      </c>
      <c r="BC1272" t="s">
        <v>2365</v>
      </c>
      <c r="BD1272" t="s">
        <v>2366</v>
      </c>
      <c r="BE1272" t="s">
        <v>2365</v>
      </c>
      <c r="BF1272" t="s">
        <v>2365</v>
      </c>
      <c r="BG1272" t="s">
        <v>2365</v>
      </c>
      <c r="BH1272" t="s">
        <v>2365</v>
      </c>
      <c r="BI1272" t="s">
        <v>2366</v>
      </c>
      <c r="BJ1272" t="s">
        <v>2365</v>
      </c>
      <c r="BK1272" t="s">
        <v>2365</v>
      </c>
      <c r="BL1272" t="s">
        <v>2365</v>
      </c>
      <c r="BM1272" t="s">
        <v>2365</v>
      </c>
      <c r="BO1272">
        <v>1</v>
      </c>
      <c r="BP1272">
        <v>13</v>
      </c>
      <c r="BQ1272" t="s">
        <v>2369</v>
      </c>
      <c r="BR1272" t="s">
        <v>595</v>
      </c>
      <c r="BU1272" s="1371">
        <v>0</v>
      </c>
      <c r="BV1272" s="1371">
        <v>0</v>
      </c>
      <c r="BW1272" s="1371">
        <v>0</v>
      </c>
      <c r="BX1272" s="1371">
        <v>0</v>
      </c>
      <c r="BY1272" s="1371">
        <v>0</v>
      </c>
      <c r="BZ1272" s="1371">
        <v>0</v>
      </c>
      <c r="CA1272">
        <v>0</v>
      </c>
      <c r="CB1272">
        <v>0</v>
      </c>
      <c r="CC1272">
        <v>0</v>
      </c>
      <c r="CD1272">
        <v>0</v>
      </c>
      <c r="CE1272">
        <v>0</v>
      </c>
      <c r="CF1272">
        <v>0</v>
      </c>
      <c r="CG1272">
        <v>0</v>
      </c>
      <c r="CH1272">
        <v>0</v>
      </c>
      <c r="CI1272">
        <v>0</v>
      </c>
      <c r="CJ1272">
        <v>0</v>
      </c>
      <c r="CK1272">
        <v>0</v>
      </c>
      <c r="CL1272">
        <v>0</v>
      </c>
      <c r="CM1272">
        <v>0</v>
      </c>
      <c r="CR1272" t="s">
        <v>2320</v>
      </c>
      <c r="CS1272" s="1369" t="str">
        <f>INDEX([8]Sheet1!$H:$H,MATCH(CR:CR,[8]Sheet1!$AU:$AU,0))</f>
        <v>Administrative and Corporate Support</v>
      </c>
    </row>
    <row r="1273" spans="1:97" x14ac:dyDescent="0.2">
      <c r="A1273" t="s">
        <v>4273</v>
      </c>
      <c r="B1273">
        <v>1361</v>
      </c>
      <c r="C1273" t="s">
        <v>4273</v>
      </c>
      <c r="D1273">
        <v>41514</v>
      </c>
      <c r="E1273" t="s">
        <v>4274</v>
      </c>
      <c r="F1273" t="s">
        <v>2364</v>
      </c>
      <c r="G1273" t="s">
        <v>2364</v>
      </c>
      <c r="H1273" t="s">
        <v>2365</v>
      </c>
      <c r="I1273" t="s">
        <v>2365</v>
      </c>
      <c r="J1273" t="s">
        <v>2365</v>
      </c>
      <c r="K1273" t="s">
        <v>2365</v>
      </c>
      <c r="L1273">
        <v>1200</v>
      </c>
      <c r="M1273" t="s">
        <v>1480</v>
      </c>
      <c r="N1273">
        <v>1202</v>
      </c>
      <c r="O1273" t="s">
        <v>595</v>
      </c>
      <c r="P1273" t="s">
        <v>2366</v>
      </c>
      <c r="Q1273">
        <v>2080</v>
      </c>
      <c r="R1273" t="s">
        <v>579</v>
      </c>
      <c r="S1273" t="s">
        <v>552</v>
      </c>
      <c r="T1273" t="s">
        <v>2175</v>
      </c>
      <c r="U1273">
        <v>270</v>
      </c>
      <c r="V1273" t="s">
        <v>2372</v>
      </c>
      <c r="W1273">
        <v>270</v>
      </c>
      <c r="X1273" t="s">
        <v>704</v>
      </c>
      <c r="Y1273" t="s">
        <v>2365</v>
      </c>
      <c r="Z1273" t="s">
        <v>2365</v>
      </c>
      <c r="AA1273" t="s">
        <v>2365</v>
      </c>
      <c r="AB1273" t="s">
        <v>2365</v>
      </c>
      <c r="AC1273" s="813" t="s">
        <v>2365</v>
      </c>
      <c r="AD1273" s="813" t="s">
        <v>2365</v>
      </c>
      <c r="AE1273" s="813" t="s">
        <v>2365</v>
      </c>
      <c r="AF1273" t="s">
        <v>2365</v>
      </c>
      <c r="AG1273">
        <v>1370</v>
      </c>
      <c r="AH1273" t="s">
        <v>1665</v>
      </c>
      <c r="AI1273">
        <v>1370</v>
      </c>
      <c r="AJ1273" t="s">
        <v>1665</v>
      </c>
      <c r="AK1273" t="s">
        <v>2365</v>
      </c>
      <c r="AL1273" t="s">
        <v>2365</v>
      </c>
      <c r="AM1273" t="s">
        <v>2365</v>
      </c>
      <c r="AN1273" t="s">
        <v>2365</v>
      </c>
      <c r="AR1273" t="s">
        <v>2365</v>
      </c>
      <c r="AS1273" t="s">
        <v>2365</v>
      </c>
      <c r="AT1273" t="s">
        <v>2365</v>
      </c>
      <c r="AU1273" t="s">
        <v>2365</v>
      </c>
      <c r="AV1273">
        <v>1430</v>
      </c>
      <c r="AW1273" t="s">
        <v>1671</v>
      </c>
      <c r="AX1273">
        <v>1430</v>
      </c>
      <c r="AY1273" t="s">
        <v>1671</v>
      </c>
      <c r="AZ1273" t="s">
        <v>2365</v>
      </c>
      <c r="BA1273" t="s">
        <v>2365</v>
      </c>
      <c r="BB1273" t="s">
        <v>2365</v>
      </c>
      <c r="BC1273" t="s">
        <v>2365</v>
      </c>
      <c r="BD1273" t="s">
        <v>2366</v>
      </c>
      <c r="BE1273" t="s">
        <v>2365</v>
      </c>
      <c r="BF1273" t="s">
        <v>2365</v>
      </c>
      <c r="BG1273" t="s">
        <v>2365</v>
      </c>
      <c r="BH1273" t="s">
        <v>2365</v>
      </c>
      <c r="BI1273" t="s">
        <v>2366</v>
      </c>
      <c r="BJ1273" t="s">
        <v>2365</v>
      </c>
      <c r="BK1273" t="s">
        <v>2365</v>
      </c>
      <c r="BL1273" t="s">
        <v>2365</v>
      </c>
      <c r="BM1273" t="s">
        <v>2365</v>
      </c>
      <c r="BO1273">
        <v>1</v>
      </c>
      <c r="BP1273">
        <v>13</v>
      </c>
      <c r="BQ1273" t="s">
        <v>2369</v>
      </c>
      <c r="BR1273" t="s">
        <v>595</v>
      </c>
      <c r="BU1273">
        <v>0</v>
      </c>
      <c r="BV1273">
        <v>0</v>
      </c>
      <c r="BW1273">
        <v>0</v>
      </c>
      <c r="BX1273">
        <v>0</v>
      </c>
      <c r="BY1273" s="1371">
        <v>0</v>
      </c>
      <c r="BZ1273" s="1371">
        <v>0</v>
      </c>
      <c r="CA1273">
        <v>0</v>
      </c>
      <c r="CB1273">
        <v>0</v>
      </c>
      <c r="CC1273">
        <v>0</v>
      </c>
      <c r="CD1273">
        <v>0</v>
      </c>
      <c r="CE1273">
        <v>0</v>
      </c>
      <c r="CF1273">
        <v>0</v>
      </c>
      <c r="CG1273">
        <v>0</v>
      </c>
      <c r="CH1273">
        <v>0</v>
      </c>
      <c r="CI1273">
        <v>0</v>
      </c>
      <c r="CJ1273">
        <v>0</v>
      </c>
      <c r="CK1273">
        <v>0</v>
      </c>
      <c r="CL1273">
        <v>0</v>
      </c>
      <c r="CM1273">
        <v>0</v>
      </c>
      <c r="CR1273" t="s">
        <v>2328</v>
      </c>
      <c r="CS1273" s="1369" t="str">
        <f>INDEX([8]Sheet1!$H:$H,MATCH(CR:CR,[8]Sheet1!$AU:$AU,0))</f>
        <v>Water Distribution</v>
      </c>
    </row>
    <row r="1274" spans="1:97" x14ac:dyDescent="0.2">
      <c r="A1274" t="s">
        <v>4275</v>
      </c>
      <c r="B1274">
        <v>1362</v>
      </c>
      <c r="C1274" t="s">
        <v>4275</v>
      </c>
      <c r="D1274">
        <v>41515</v>
      </c>
      <c r="E1274" t="s">
        <v>4276</v>
      </c>
      <c r="F1274" t="s">
        <v>2364</v>
      </c>
      <c r="G1274" t="s">
        <v>2364</v>
      </c>
      <c r="H1274" s="1373" t="s">
        <v>2365</v>
      </c>
      <c r="I1274" t="s">
        <v>2365</v>
      </c>
      <c r="J1274" t="s">
        <v>2365</v>
      </c>
      <c r="K1274" t="s">
        <v>2365</v>
      </c>
      <c r="L1274" s="1373">
        <v>1200</v>
      </c>
      <c r="M1274" t="s">
        <v>1480</v>
      </c>
      <c r="N1274">
        <v>1202</v>
      </c>
      <c r="O1274" t="s">
        <v>595</v>
      </c>
      <c r="P1274" t="s">
        <v>1846</v>
      </c>
      <c r="Q1274">
        <v>2080</v>
      </c>
      <c r="R1274" t="s">
        <v>579</v>
      </c>
      <c r="S1274" t="s">
        <v>552</v>
      </c>
      <c r="T1274" t="s">
        <v>2175</v>
      </c>
      <c r="U1274">
        <v>270</v>
      </c>
      <c r="V1274" t="s">
        <v>2372</v>
      </c>
      <c r="W1274">
        <v>270</v>
      </c>
      <c r="X1274" t="s">
        <v>704</v>
      </c>
      <c r="Y1274" t="s">
        <v>2365</v>
      </c>
      <c r="Z1274" t="s">
        <v>2365</v>
      </c>
      <c r="AA1274" t="s">
        <v>2365</v>
      </c>
      <c r="AB1274" t="s">
        <v>2365</v>
      </c>
      <c r="AC1274" s="813" t="s">
        <v>2365</v>
      </c>
      <c r="AD1274" s="813" t="s">
        <v>2365</v>
      </c>
      <c r="AE1274" s="813" t="s">
        <v>2365</v>
      </c>
      <c r="AF1274" t="s">
        <v>2365</v>
      </c>
      <c r="AG1274">
        <v>1370</v>
      </c>
      <c r="AH1274" t="s">
        <v>1665</v>
      </c>
      <c r="AI1274">
        <v>1370</v>
      </c>
      <c r="AJ1274" t="s">
        <v>1665</v>
      </c>
      <c r="AK1274" t="s">
        <v>2365</v>
      </c>
      <c r="AL1274" t="s">
        <v>2365</v>
      </c>
      <c r="AM1274" t="s">
        <v>2365</v>
      </c>
      <c r="AN1274" t="s">
        <v>2365</v>
      </c>
      <c r="AR1274" t="s">
        <v>2365</v>
      </c>
      <c r="AS1274" t="s">
        <v>2365</v>
      </c>
      <c r="AT1274" t="s">
        <v>2365</v>
      </c>
      <c r="AU1274" t="s">
        <v>2365</v>
      </c>
      <c r="AV1274">
        <v>1430</v>
      </c>
      <c r="AW1274" t="s">
        <v>1671</v>
      </c>
      <c r="AX1274">
        <v>1430</v>
      </c>
      <c r="AY1274" t="s">
        <v>1671</v>
      </c>
      <c r="AZ1274" t="s">
        <v>2365</v>
      </c>
      <c r="BA1274" t="s">
        <v>2365</v>
      </c>
      <c r="BB1274" t="s">
        <v>2365</v>
      </c>
      <c r="BC1274" t="s">
        <v>2365</v>
      </c>
      <c r="BD1274" t="s">
        <v>2366</v>
      </c>
      <c r="BE1274" t="s">
        <v>2365</v>
      </c>
      <c r="BF1274" t="s">
        <v>2365</v>
      </c>
      <c r="BG1274" t="s">
        <v>2365</v>
      </c>
      <c r="BH1274" t="s">
        <v>2365</v>
      </c>
      <c r="BI1274" t="s">
        <v>2366</v>
      </c>
      <c r="BJ1274" t="s">
        <v>2365</v>
      </c>
      <c r="BK1274" t="s">
        <v>2365</v>
      </c>
      <c r="BL1274" t="s">
        <v>2365</v>
      </c>
      <c r="BM1274" t="s">
        <v>2365</v>
      </c>
      <c r="BO1274">
        <v>1</v>
      </c>
      <c r="BP1274">
        <v>13</v>
      </c>
      <c r="BQ1274" t="s">
        <v>2369</v>
      </c>
      <c r="BR1274" t="s">
        <v>595</v>
      </c>
      <c r="BU1274" s="1371">
        <v>0</v>
      </c>
      <c r="BV1274" s="1371">
        <v>0</v>
      </c>
      <c r="BW1274" s="1371">
        <v>0</v>
      </c>
      <c r="BX1274" s="1371">
        <v>0</v>
      </c>
      <c r="BY1274" s="1371">
        <v>0</v>
      </c>
      <c r="BZ1274" s="1371">
        <v>0</v>
      </c>
      <c r="CA1274">
        <v>0</v>
      </c>
      <c r="CB1274">
        <v>0</v>
      </c>
      <c r="CC1274">
        <v>0</v>
      </c>
      <c r="CD1274">
        <v>0</v>
      </c>
      <c r="CE1274">
        <v>0</v>
      </c>
      <c r="CF1274">
        <v>0</v>
      </c>
      <c r="CG1274">
        <v>0</v>
      </c>
      <c r="CH1274">
        <v>0</v>
      </c>
      <c r="CI1274">
        <v>0</v>
      </c>
      <c r="CJ1274">
        <v>0</v>
      </c>
      <c r="CK1274">
        <v>0</v>
      </c>
      <c r="CL1274">
        <v>0</v>
      </c>
      <c r="CM1274">
        <v>0</v>
      </c>
      <c r="CR1274" t="s">
        <v>2320</v>
      </c>
      <c r="CS1274" s="1369" t="str">
        <f>INDEX([8]Sheet1!$H:$H,MATCH(CR:CR,[8]Sheet1!$AU:$AU,0))</f>
        <v>Administrative and Corporate Support</v>
      </c>
    </row>
    <row r="1275" spans="1:97" x14ac:dyDescent="0.2">
      <c r="A1275" t="s">
        <v>4277</v>
      </c>
      <c r="B1275">
        <v>1363</v>
      </c>
      <c r="C1275" t="s">
        <v>4277</v>
      </c>
      <c r="D1275">
        <v>41516</v>
      </c>
      <c r="E1275" t="s">
        <v>2403</v>
      </c>
      <c r="F1275" t="s">
        <v>2364</v>
      </c>
      <c r="G1275" t="s">
        <v>2364</v>
      </c>
      <c r="H1275" t="s">
        <v>2365</v>
      </c>
      <c r="I1275" t="s">
        <v>2365</v>
      </c>
      <c r="J1275" t="s">
        <v>2365</v>
      </c>
      <c r="K1275" t="s">
        <v>2365</v>
      </c>
      <c r="L1275">
        <v>1200</v>
      </c>
      <c r="M1275" t="s">
        <v>1480</v>
      </c>
      <c r="N1275">
        <v>1202</v>
      </c>
      <c r="O1275" t="s">
        <v>595</v>
      </c>
      <c r="P1275" t="s">
        <v>2366</v>
      </c>
      <c r="Q1275">
        <v>2080</v>
      </c>
      <c r="R1275" t="s">
        <v>579</v>
      </c>
      <c r="S1275" t="s">
        <v>552</v>
      </c>
      <c r="T1275" t="s">
        <v>2175</v>
      </c>
      <c r="U1275">
        <v>240</v>
      </c>
      <c r="V1275" t="s">
        <v>2389</v>
      </c>
      <c r="W1275">
        <v>240</v>
      </c>
      <c r="X1275" t="s">
        <v>701</v>
      </c>
      <c r="Y1275" t="s">
        <v>2365</v>
      </c>
      <c r="Z1275" t="s">
        <v>2365</v>
      </c>
      <c r="AA1275" t="s">
        <v>2365</v>
      </c>
      <c r="AB1275" t="s">
        <v>2365</v>
      </c>
      <c r="AC1275" s="813" t="s">
        <v>2365</v>
      </c>
      <c r="AD1275" s="813" t="s">
        <v>2365</v>
      </c>
      <c r="AE1275" s="813" t="s">
        <v>2365</v>
      </c>
      <c r="AF1275" t="s">
        <v>2365</v>
      </c>
      <c r="AG1275">
        <v>1180</v>
      </c>
      <c r="AH1275" t="s">
        <v>1368</v>
      </c>
      <c r="AI1275">
        <v>1180</v>
      </c>
      <c r="AJ1275" t="s">
        <v>1368</v>
      </c>
      <c r="AK1275">
        <v>243</v>
      </c>
      <c r="AL1275" t="s">
        <v>1205</v>
      </c>
      <c r="AM1275">
        <v>243</v>
      </c>
      <c r="AN1275" t="s">
        <v>1205</v>
      </c>
      <c r="AR1275" t="s">
        <v>2365</v>
      </c>
      <c r="AS1275" t="s">
        <v>2365</v>
      </c>
      <c r="AT1275" t="s">
        <v>2365</v>
      </c>
      <c r="AU1275" t="s">
        <v>2365</v>
      </c>
      <c r="AV1275">
        <v>1200</v>
      </c>
      <c r="AW1275" t="s">
        <v>1652</v>
      </c>
      <c r="AX1275">
        <v>1200</v>
      </c>
      <c r="AY1275" t="s">
        <v>1652</v>
      </c>
      <c r="AZ1275" t="s">
        <v>2365</v>
      </c>
      <c r="BA1275" t="s">
        <v>2365</v>
      </c>
      <c r="BB1275" t="s">
        <v>2365</v>
      </c>
      <c r="BC1275" t="s">
        <v>2365</v>
      </c>
      <c r="BD1275" t="s">
        <v>2366</v>
      </c>
      <c r="BE1275" t="s">
        <v>2365</v>
      </c>
      <c r="BF1275" t="s">
        <v>2365</v>
      </c>
      <c r="BG1275" t="s">
        <v>2365</v>
      </c>
      <c r="BH1275" t="s">
        <v>2365</v>
      </c>
      <c r="BI1275" t="s">
        <v>2366</v>
      </c>
      <c r="BJ1275" t="s">
        <v>2365</v>
      </c>
      <c r="BK1275" t="s">
        <v>2365</v>
      </c>
      <c r="BL1275" t="s">
        <v>2365</v>
      </c>
      <c r="BM1275" t="s">
        <v>2365</v>
      </c>
      <c r="BO1275">
        <v>1</v>
      </c>
      <c r="BP1275">
        <v>13</v>
      </c>
      <c r="BQ1275" t="s">
        <v>2369</v>
      </c>
      <c r="BR1275" t="s">
        <v>595</v>
      </c>
      <c r="BU1275">
        <v>0</v>
      </c>
      <c r="BV1275">
        <v>0</v>
      </c>
      <c r="BW1275">
        <v>0</v>
      </c>
      <c r="BX1275">
        <v>0</v>
      </c>
      <c r="BY1275">
        <v>0</v>
      </c>
      <c r="BZ1275">
        <v>0</v>
      </c>
      <c r="CA1275">
        <v>0</v>
      </c>
      <c r="CB1275">
        <v>0</v>
      </c>
      <c r="CC1275">
        <v>0</v>
      </c>
      <c r="CD1275">
        <v>0</v>
      </c>
      <c r="CE1275">
        <v>0</v>
      </c>
      <c r="CF1275">
        <v>0</v>
      </c>
      <c r="CG1275">
        <v>0</v>
      </c>
      <c r="CH1275">
        <v>0</v>
      </c>
      <c r="CI1275">
        <v>0</v>
      </c>
      <c r="CJ1275">
        <v>0</v>
      </c>
      <c r="CK1275">
        <v>0</v>
      </c>
      <c r="CL1275">
        <v>0</v>
      </c>
      <c r="CM1275">
        <v>0</v>
      </c>
      <c r="CR1275" t="s">
        <v>2320</v>
      </c>
      <c r="CS1275" s="1369" t="str">
        <f>INDEX([8]Sheet1!$H:$H,MATCH(CR:CR,[8]Sheet1!$AU:$AU,0))</f>
        <v>Administrative and Corporate Support</v>
      </c>
    </row>
    <row r="1276" spans="1:97" x14ac:dyDescent="0.2">
      <c r="A1276" t="s">
        <v>4278</v>
      </c>
      <c r="B1276">
        <v>1364</v>
      </c>
      <c r="C1276" t="s">
        <v>4278</v>
      </c>
      <c r="D1276">
        <v>41517</v>
      </c>
      <c r="E1276" t="s">
        <v>4279</v>
      </c>
      <c r="F1276" t="s">
        <v>2364</v>
      </c>
      <c r="G1276" t="s">
        <v>2364</v>
      </c>
      <c r="H1276" t="s">
        <v>2365</v>
      </c>
      <c r="I1276" t="s">
        <v>2365</v>
      </c>
      <c r="J1276" t="s">
        <v>2365</v>
      </c>
      <c r="K1276" t="s">
        <v>2365</v>
      </c>
      <c r="L1276">
        <v>1200</v>
      </c>
      <c r="M1276" t="s">
        <v>1480</v>
      </c>
      <c r="N1276">
        <v>1202</v>
      </c>
      <c r="O1276" t="s">
        <v>595</v>
      </c>
      <c r="P1276" t="s">
        <v>2366</v>
      </c>
      <c r="Q1276">
        <v>2080</v>
      </c>
      <c r="R1276" t="s">
        <v>579</v>
      </c>
      <c r="S1276" t="s">
        <v>552</v>
      </c>
      <c r="T1276" t="s">
        <v>2175</v>
      </c>
      <c r="U1276" t="s">
        <v>2366</v>
      </c>
      <c r="V1276" t="s">
        <v>2366</v>
      </c>
      <c r="W1276" t="s">
        <v>2366</v>
      </c>
      <c r="X1276" t="s">
        <v>2366</v>
      </c>
      <c r="Y1276" t="s">
        <v>2365</v>
      </c>
      <c r="Z1276" t="s">
        <v>2365</v>
      </c>
      <c r="AA1276" t="s">
        <v>2365</v>
      </c>
      <c r="AB1276" t="s">
        <v>2365</v>
      </c>
      <c r="AC1276" s="813" t="s">
        <v>2365</v>
      </c>
      <c r="AD1276" s="813" t="s">
        <v>2365</v>
      </c>
      <c r="AE1276" s="813" t="s">
        <v>2365</v>
      </c>
      <c r="AF1276" t="s">
        <v>2365</v>
      </c>
      <c r="AG1276">
        <v>1180</v>
      </c>
      <c r="AH1276" t="s">
        <v>1368</v>
      </c>
      <c r="AI1276">
        <v>1180</v>
      </c>
      <c r="AJ1276" t="s">
        <v>1368</v>
      </c>
      <c r="AK1276">
        <v>241</v>
      </c>
      <c r="AL1276" t="s">
        <v>1203</v>
      </c>
      <c r="AM1276">
        <v>241</v>
      </c>
      <c r="AN1276" t="s">
        <v>1203</v>
      </c>
      <c r="AR1276" t="s">
        <v>2365</v>
      </c>
      <c r="AS1276" t="s">
        <v>2365</v>
      </c>
      <c r="AT1276" t="s">
        <v>2365</v>
      </c>
      <c r="AU1276" t="s">
        <v>2365</v>
      </c>
      <c r="AV1276">
        <v>1200</v>
      </c>
      <c r="AW1276" t="s">
        <v>1652</v>
      </c>
      <c r="AX1276">
        <v>1200</v>
      </c>
      <c r="AY1276" t="s">
        <v>1652</v>
      </c>
      <c r="AZ1276" t="s">
        <v>2365</v>
      </c>
      <c r="BA1276" t="s">
        <v>2365</v>
      </c>
      <c r="BB1276" t="s">
        <v>2365</v>
      </c>
      <c r="BC1276" t="s">
        <v>2365</v>
      </c>
      <c r="BD1276" t="s">
        <v>2366</v>
      </c>
      <c r="BE1276" t="s">
        <v>2365</v>
      </c>
      <c r="BF1276" t="s">
        <v>2365</v>
      </c>
      <c r="BG1276" t="s">
        <v>2365</v>
      </c>
      <c r="BH1276" t="s">
        <v>2365</v>
      </c>
      <c r="BI1276" t="s">
        <v>2366</v>
      </c>
      <c r="BJ1276" t="s">
        <v>2365</v>
      </c>
      <c r="BK1276" t="s">
        <v>2365</v>
      </c>
      <c r="BL1276" t="s">
        <v>2365</v>
      </c>
      <c r="BM1276" t="s">
        <v>2365</v>
      </c>
      <c r="BO1276">
        <v>1</v>
      </c>
      <c r="BP1276">
        <v>13</v>
      </c>
      <c r="BQ1276" t="s">
        <v>2369</v>
      </c>
      <c r="BR1276" t="s">
        <v>595</v>
      </c>
      <c r="BU1276">
        <v>0</v>
      </c>
      <c r="BV1276">
        <v>0</v>
      </c>
      <c r="BW1276">
        <v>0</v>
      </c>
      <c r="BX1276">
        <v>0</v>
      </c>
      <c r="BY1276" s="1371">
        <v>0</v>
      </c>
      <c r="BZ1276" s="1371">
        <v>0</v>
      </c>
      <c r="CA1276">
        <v>0</v>
      </c>
      <c r="CB1276">
        <v>0</v>
      </c>
      <c r="CC1276">
        <v>0</v>
      </c>
      <c r="CD1276">
        <v>0</v>
      </c>
      <c r="CE1276">
        <v>0</v>
      </c>
      <c r="CF1276">
        <v>0</v>
      </c>
      <c r="CG1276">
        <v>0</v>
      </c>
      <c r="CH1276">
        <v>0</v>
      </c>
      <c r="CI1276">
        <v>0</v>
      </c>
      <c r="CJ1276">
        <v>0</v>
      </c>
      <c r="CK1276">
        <v>0</v>
      </c>
      <c r="CL1276">
        <v>0</v>
      </c>
      <c r="CM1276">
        <v>0</v>
      </c>
      <c r="CR1276" t="s">
        <v>2328</v>
      </c>
      <c r="CS1276" s="1369" t="str">
        <f>INDEX([8]Sheet1!$H:$H,MATCH(CR:CR,[8]Sheet1!$AU:$AU,0))</f>
        <v>Water Distribution</v>
      </c>
    </row>
    <row r="1277" spans="1:97" x14ac:dyDescent="0.2">
      <c r="A1277" t="s">
        <v>4280</v>
      </c>
      <c r="B1277">
        <v>1365</v>
      </c>
      <c r="C1277" t="s">
        <v>4280</v>
      </c>
      <c r="D1277">
        <v>41518</v>
      </c>
      <c r="E1277" t="s">
        <v>4281</v>
      </c>
      <c r="F1277" t="s">
        <v>2364</v>
      </c>
      <c r="G1277" t="s">
        <v>2364</v>
      </c>
      <c r="H1277" t="s">
        <v>2365</v>
      </c>
      <c r="I1277" t="s">
        <v>2365</v>
      </c>
      <c r="J1277" t="s">
        <v>2365</v>
      </c>
      <c r="K1277" t="s">
        <v>2365</v>
      </c>
      <c r="L1277">
        <v>1200</v>
      </c>
      <c r="M1277" t="s">
        <v>1480</v>
      </c>
      <c r="N1277">
        <v>1202</v>
      </c>
      <c r="O1277" t="s">
        <v>595</v>
      </c>
      <c r="P1277" t="s">
        <v>1846</v>
      </c>
      <c r="Q1277">
        <v>2080</v>
      </c>
      <c r="R1277" t="s">
        <v>579</v>
      </c>
      <c r="S1277" t="s">
        <v>552</v>
      </c>
      <c r="T1277" t="s">
        <v>2175</v>
      </c>
      <c r="U1277">
        <v>240</v>
      </c>
      <c r="V1277" t="s">
        <v>2389</v>
      </c>
      <c r="W1277">
        <v>240</v>
      </c>
      <c r="X1277" t="s">
        <v>701</v>
      </c>
      <c r="Y1277" t="s">
        <v>2365</v>
      </c>
      <c r="Z1277" t="s">
        <v>2365</v>
      </c>
      <c r="AA1277" t="s">
        <v>2365</v>
      </c>
      <c r="AB1277" t="s">
        <v>2365</v>
      </c>
      <c r="AC1277" s="813" t="s">
        <v>2365</v>
      </c>
      <c r="AD1277" s="813" t="s">
        <v>2365</v>
      </c>
      <c r="AE1277" s="813" t="s">
        <v>2365</v>
      </c>
      <c r="AF1277" t="s">
        <v>2365</v>
      </c>
      <c r="AG1277">
        <v>1180</v>
      </c>
      <c r="AH1277" t="s">
        <v>1368</v>
      </c>
      <c r="AI1277">
        <v>1180</v>
      </c>
      <c r="AJ1277" t="s">
        <v>1368</v>
      </c>
      <c r="AK1277">
        <v>241</v>
      </c>
      <c r="AL1277" t="s">
        <v>1203</v>
      </c>
      <c r="AM1277">
        <v>241</v>
      </c>
      <c r="AN1277" t="s">
        <v>1203</v>
      </c>
      <c r="AR1277" t="s">
        <v>2365</v>
      </c>
      <c r="AS1277" t="s">
        <v>2365</v>
      </c>
      <c r="AT1277" t="s">
        <v>2365</v>
      </c>
      <c r="AU1277" t="s">
        <v>2365</v>
      </c>
      <c r="AV1277">
        <v>1200</v>
      </c>
      <c r="AW1277" t="s">
        <v>1652</v>
      </c>
      <c r="AX1277">
        <v>1200</v>
      </c>
      <c r="AY1277" t="s">
        <v>1652</v>
      </c>
      <c r="AZ1277" t="s">
        <v>2365</v>
      </c>
      <c r="BA1277" t="s">
        <v>2365</v>
      </c>
      <c r="BB1277" t="s">
        <v>2365</v>
      </c>
      <c r="BC1277" t="s">
        <v>2365</v>
      </c>
      <c r="BD1277" t="s">
        <v>2366</v>
      </c>
      <c r="BE1277" t="s">
        <v>2365</v>
      </c>
      <c r="BF1277" t="s">
        <v>2365</v>
      </c>
      <c r="BG1277" t="s">
        <v>2365</v>
      </c>
      <c r="BH1277" t="s">
        <v>2365</v>
      </c>
      <c r="BI1277" t="s">
        <v>2366</v>
      </c>
      <c r="BJ1277" t="s">
        <v>2365</v>
      </c>
      <c r="BK1277" t="s">
        <v>2365</v>
      </c>
      <c r="BL1277" t="s">
        <v>2365</v>
      </c>
      <c r="BM1277" t="s">
        <v>2365</v>
      </c>
      <c r="BO1277">
        <v>1</v>
      </c>
      <c r="BP1277">
        <v>13</v>
      </c>
      <c r="BQ1277" t="s">
        <v>2369</v>
      </c>
      <c r="BR1277" t="s">
        <v>595</v>
      </c>
      <c r="BU1277">
        <v>0</v>
      </c>
      <c r="BV1277">
        <v>0</v>
      </c>
      <c r="BW1277">
        <v>0</v>
      </c>
      <c r="BX1277">
        <v>0</v>
      </c>
      <c r="BY1277" s="1371">
        <v>0</v>
      </c>
      <c r="BZ1277" s="1371">
        <v>0</v>
      </c>
      <c r="CA1277">
        <v>0</v>
      </c>
      <c r="CB1277">
        <v>0</v>
      </c>
      <c r="CC1277">
        <v>0</v>
      </c>
      <c r="CD1277">
        <v>0</v>
      </c>
      <c r="CE1277">
        <v>0</v>
      </c>
      <c r="CF1277">
        <v>0</v>
      </c>
      <c r="CG1277">
        <v>0</v>
      </c>
      <c r="CH1277">
        <v>0</v>
      </c>
      <c r="CI1277">
        <v>0</v>
      </c>
      <c r="CJ1277">
        <v>0</v>
      </c>
      <c r="CK1277">
        <v>0</v>
      </c>
      <c r="CL1277">
        <v>0</v>
      </c>
      <c r="CM1277">
        <v>0</v>
      </c>
      <c r="CR1277" t="s">
        <v>2324</v>
      </c>
      <c r="CS1277" s="1369" t="str">
        <f>INDEX([8]Sheet1!$H:$H,MATCH(CR:CR,[8]Sheet1!$AU:$AU,0))</f>
        <v>Finance</v>
      </c>
    </row>
    <row r="1278" spans="1:97" x14ac:dyDescent="0.2">
      <c r="A1278" t="s">
        <v>4282</v>
      </c>
      <c r="B1278">
        <v>1366</v>
      </c>
      <c r="C1278" t="s">
        <v>4282</v>
      </c>
      <c r="D1278">
        <v>41522</v>
      </c>
      <c r="E1278" t="s">
        <v>2401</v>
      </c>
      <c r="F1278" t="s">
        <v>2364</v>
      </c>
      <c r="G1278" t="s">
        <v>2364</v>
      </c>
      <c r="H1278" t="s">
        <v>2365</v>
      </c>
      <c r="I1278" t="s">
        <v>2365</v>
      </c>
      <c r="J1278" t="s">
        <v>2365</v>
      </c>
      <c r="K1278" t="s">
        <v>2365</v>
      </c>
      <c r="L1278">
        <v>1200</v>
      </c>
      <c r="M1278" t="s">
        <v>1480</v>
      </c>
      <c r="N1278">
        <v>1202</v>
      </c>
      <c r="O1278" t="s">
        <v>595</v>
      </c>
      <c r="P1278" t="s">
        <v>2366</v>
      </c>
      <c r="Q1278">
        <v>2080</v>
      </c>
      <c r="R1278" t="s">
        <v>579</v>
      </c>
      <c r="S1278" t="s">
        <v>552</v>
      </c>
      <c r="T1278" t="s">
        <v>2175</v>
      </c>
      <c r="U1278">
        <v>240</v>
      </c>
      <c r="V1278" t="s">
        <v>2389</v>
      </c>
      <c r="W1278">
        <v>240</v>
      </c>
      <c r="X1278" t="s">
        <v>701</v>
      </c>
      <c r="Y1278" t="s">
        <v>2365</v>
      </c>
      <c r="Z1278" t="s">
        <v>2365</v>
      </c>
      <c r="AA1278" t="s">
        <v>2365</v>
      </c>
      <c r="AB1278" t="s">
        <v>2365</v>
      </c>
      <c r="AC1278" s="813" t="s">
        <v>2365</v>
      </c>
      <c r="AD1278" s="813" t="s">
        <v>2365</v>
      </c>
      <c r="AE1278" s="813" t="s">
        <v>2365</v>
      </c>
      <c r="AF1278" t="s">
        <v>2365</v>
      </c>
      <c r="AG1278">
        <v>770</v>
      </c>
      <c r="AH1278" t="s">
        <v>1620</v>
      </c>
      <c r="AI1278">
        <v>770</v>
      </c>
      <c r="AJ1278" t="s">
        <v>1620</v>
      </c>
      <c r="AK1278">
        <v>243</v>
      </c>
      <c r="AL1278" t="s">
        <v>1205</v>
      </c>
      <c r="AM1278">
        <v>243</v>
      </c>
      <c r="AN1278" t="s">
        <v>1205</v>
      </c>
      <c r="AR1278" t="s">
        <v>2365</v>
      </c>
      <c r="AS1278" t="s">
        <v>2365</v>
      </c>
      <c r="AT1278" t="s">
        <v>2365</v>
      </c>
      <c r="AU1278" t="s">
        <v>2365</v>
      </c>
      <c r="AV1278">
        <v>810</v>
      </c>
      <c r="AW1278" t="s">
        <v>1624</v>
      </c>
      <c r="AX1278">
        <v>810</v>
      </c>
      <c r="AY1278" t="s">
        <v>1624</v>
      </c>
      <c r="AZ1278" t="s">
        <v>2365</v>
      </c>
      <c r="BA1278" t="s">
        <v>2365</v>
      </c>
      <c r="BB1278" t="s">
        <v>2365</v>
      </c>
      <c r="BC1278" t="s">
        <v>2365</v>
      </c>
      <c r="BD1278" t="s">
        <v>2366</v>
      </c>
      <c r="BE1278" t="s">
        <v>2365</v>
      </c>
      <c r="BF1278" t="s">
        <v>2365</v>
      </c>
      <c r="BG1278" t="s">
        <v>2365</v>
      </c>
      <c r="BH1278" t="s">
        <v>2365</v>
      </c>
      <c r="BI1278" t="s">
        <v>2366</v>
      </c>
      <c r="BJ1278" t="s">
        <v>2365</v>
      </c>
      <c r="BK1278" t="s">
        <v>2365</v>
      </c>
      <c r="BL1278" t="s">
        <v>2365</v>
      </c>
      <c r="BM1278" t="s">
        <v>2365</v>
      </c>
      <c r="BO1278">
        <v>1</v>
      </c>
      <c r="BP1278">
        <v>13</v>
      </c>
      <c r="BQ1278" t="s">
        <v>2369</v>
      </c>
      <c r="BR1278" t="s">
        <v>595</v>
      </c>
      <c r="BU1278">
        <v>0</v>
      </c>
      <c r="BV1278">
        <v>0</v>
      </c>
      <c r="BW1278">
        <v>0</v>
      </c>
      <c r="BX1278">
        <v>0</v>
      </c>
      <c r="BY1278" s="1371">
        <v>0</v>
      </c>
      <c r="BZ1278" s="1371">
        <v>0</v>
      </c>
      <c r="CA1278">
        <v>0</v>
      </c>
      <c r="CB1278">
        <v>-19839.8</v>
      </c>
      <c r="CC1278">
        <v>-18230.48</v>
      </c>
      <c r="CD1278">
        <v>-9552.7000000000007</v>
      </c>
      <c r="CE1278">
        <v>-16609.02</v>
      </c>
      <c r="CF1278">
        <v>-16073.25</v>
      </c>
      <c r="CG1278">
        <v>-16609.02</v>
      </c>
      <c r="CH1278">
        <v>-16609.02</v>
      </c>
      <c r="CI1278">
        <v>-14992.55</v>
      </c>
      <c r="CJ1278">
        <v>0</v>
      </c>
      <c r="CK1278">
        <v>0</v>
      </c>
      <c r="CL1278">
        <v>0</v>
      </c>
      <c r="CM1278">
        <v>0</v>
      </c>
      <c r="CR1278" t="s">
        <v>2328</v>
      </c>
      <c r="CS1278" s="1369" t="str">
        <f>INDEX([8]Sheet1!$H:$H,MATCH(CR:CR,[8]Sheet1!$AU:$AU,0))</f>
        <v>Water Distribution</v>
      </c>
    </row>
    <row r="1279" spans="1:97" x14ac:dyDescent="0.2">
      <c r="A1279" t="s">
        <v>4283</v>
      </c>
      <c r="B1279">
        <v>1367</v>
      </c>
      <c r="C1279" t="s">
        <v>4283</v>
      </c>
      <c r="D1279">
        <v>41523</v>
      </c>
      <c r="E1279" t="s">
        <v>4284</v>
      </c>
      <c r="F1279" t="s">
        <v>2364</v>
      </c>
      <c r="G1279" t="s">
        <v>2364</v>
      </c>
      <c r="H1279" t="s">
        <v>2365</v>
      </c>
      <c r="I1279" t="s">
        <v>2365</v>
      </c>
      <c r="J1279" t="s">
        <v>2365</v>
      </c>
      <c r="K1279" t="s">
        <v>2365</v>
      </c>
      <c r="L1279">
        <v>1200</v>
      </c>
      <c r="M1279" t="s">
        <v>1480</v>
      </c>
      <c r="N1279">
        <v>1202</v>
      </c>
      <c r="O1279" t="s">
        <v>595</v>
      </c>
      <c r="P1279" t="s">
        <v>2366</v>
      </c>
      <c r="Q1279">
        <v>2080</v>
      </c>
      <c r="R1279" t="s">
        <v>579</v>
      </c>
      <c r="S1279" t="s">
        <v>552</v>
      </c>
      <c r="T1279" t="s">
        <v>2175</v>
      </c>
      <c r="U1279" t="s">
        <v>2366</v>
      </c>
      <c r="V1279" t="s">
        <v>2366</v>
      </c>
      <c r="W1279" t="s">
        <v>2366</v>
      </c>
      <c r="X1279" t="s">
        <v>2366</v>
      </c>
      <c r="Y1279" t="s">
        <v>2365</v>
      </c>
      <c r="Z1279" t="s">
        <v>2365</v>
      </c>
      <c r="AA1279" t="s">
        <v>2365</v>
      </c>
      <c r="AB1279" t="s">
        <v>2365</v>
      </c>
      <c r="AC1279" s="813" t="s">
        <v>2365</v>
      </c>
      <c r="AD1279" s="813" t="s">
        <v>2365</v>
      </c>
      <c r="AE1279" s="813" t="s">
        <v>2365</v>
      </c>
      <c r="AF1279" t="s">
        <v>2365</v>
      </c>
      <c r="AG1279">
        <v>770</v>
      </c>
      <c r="AH1279" t="s">
        <v>1620</v>
      </c>
      <c r="AI1279">
        <v>770</v>
      </c>
      <c r="AJ1279" t="s">
        <v>1620</v>
      </c>
      <c r="AK1279">
        <v>241</v>
      </c>
      <c r="AL1279" t="s">
        <v>1203</v>
      </c>
      <c r="AM1279">
        <v>241</v>
      </c>
      <c r="AN1279" t="s">
        <v>1203</v>
      </c>
      <c r="AR1279" t="s">
        <v>2365</v>
      </c>
      <c r="AS1279" t="s">
        <v>2365</v>
      </c>
      <c r="AT1279" t="s">
        <v>2365</v>
      </c>
      <c r="AU1279" t="s">
        <v>2365</v>
      </c>
      <c r="AV1279">
        <v>810</v>
      </c>
      <c r="AW1279" t="s">
        <v>1624</v>
      </c>
      <c r="AX1279">
        <v>810</v>
      </c>
      <c r="AY1279" t="s">
        <v>1624</v>
      </c>
      <c r="AZ1279" t="s">
        <v>2365</v>
      </c>
      <c r="BA1279" t="s">
        <v>2365</v>
      </c>
      <c r="BB1279" t="s">
        <v>2365</v>
      </c>
      <c r="BC1279" t="s">
        <v>2365</v>
      </c>
      <c r="BD1279" t="s">
        <v>2366</v>
      </c>
      <c r="BE1279" t="s">
        <v>2365</v>
      </c>
      <c r="BF1279" t="s">
        <v>2365</v>
      </c>
      <c r="BG1279" t="s">
        <v>2365</v>
      </c>
      <c r="BH1279" t="s">
        <v>2365</v>
      </c>
      <c r="BI1279" t="s">
        <v>2366</v>
      </c>
      <c r="BJ1279" t="s">
        <v>2365</v>
      </c>
      <c r="BK1279" t="s">
        <v>2365</v>
      </c>
      <c r="BL1279" t="s">
        <v>2365</v>
      </c>
      <c r="BM1279" t="s">
        <v>2365</v>
      </c>
      <c r="BO1279">
        <v>1</v>
      </c>
      <c r="BP1279">
        <v>13</v>
      </c>
      <c r="BQ1279" t="s">
        <v>2369</v>
      </c>
      <c r="BR1279" t="s">
        <v>595</v>
      </c>
      <c r="BU1279">
        <v>0</v>
      </c>
      <c r="BV1279">
        <v>0</v>
      </c>
      <c r="BW1279">
        <v>0</v>
      </c>
      <c r="BX1279">
        <v>0</v>
      </c>
      <c r="BY1279">
        <v>0</v>
      </c>
      <c r="BZ1279">
        <v>0</v>
      </c>
      <c r="CA1279">
        <v>0</v>
      </c>
      <c r="CB1279">
        <v>0</v>
      </c>
      <c r="CC1279">
        <v>0</v>
      </c>
      <c r="CD1279">
        <v>0</v>
      </c>
      <c r="CE1279">
        <v>0</v>
      </c>
      <c r="CF1279">
        <v>0</v>
      </c>
      <c r="CG1279">
        <v>0</v>
      </c>
      <c r="CH1279">
        <v>0</v>
      </c>
      <c r="CI1279">
        <v>0</v>
      </c>
      <c r="CJ1279">
        <v>0</v>
      </c>
      <c r="CK1279">
        <v>0</v>
      </c>
      <c r="CL1279">
        <v>0</v>
      </c>
      <c r="CM1279">
        <v>0</v>
      </c>
      <c r="CR1279" t="s">
        <v>2337</v>
      </c>
      <c r="CS1279" s="1369" t="str">
        <f>INDEX([8]Sheet1!$H:$H,MATCH(CR:CR,[8]Sheet1!$AU:$AU,0))</f>
        <v>Corporate Wide Strategic Planning (IDPs, LEDs)</v>
      </c>
    </row>
    <row r="1280" spans="1:97" x14ac:dyDescent="0.2">
      <c r="A1280" t="s">
        <v>4285</v>
      </c>
      <c r="B1280">
        <v>1368</v>
      </c>
      <c r="C1280" t="s">
        <v>4285</v>
      </c>
      <c r="D1280">
        <v>41524</v>
      </c>
      <c r="E1280" t="s">
        <v>4286</v>
      </c>
      <c r="F1280" t="s">
        <v>2364</v>
      </c>
      <c r="G1280" t="s">
        <v>2364</v>
      </c>
      <c r="H1280" t="s">
        <v>2365</v>
      </c>
      <c r="I1280" t="s">
        <v>2365</v>
      </c>
      <c r="J1280" t="s">
        <v>2365</v>
      </c>
      <c r="K1280" t="s">
        <v>2365</v>
      </c>
      <c r="L1280">
        <v>1200</v>
      </c>
      <c r="M1280" t="s">
        <v>1480</v>
      </c>
      <c r="N1280">
        <v>1202</v>
      </c>
      <c r="O1280" t="s">
        <v>595</v>
      </c>
      <c r="P1280" t="s">
        <v>1846</v>
      </c>
      <c r="Q1280">
        <v>2080</v>
      </c>
      <c r="R1280" t="s">
        <v>579</v>
      </c>
      <c r="S1280" t="s">
        <v>552</v>
      </c>
      <c r="T1280" t="s">
        <v>2175</v>
      </c>
      <c r="U1280">
        <v>240</v>
      </c>
      <c r="V1280" t="s">
        <v>2389</v>
      </c>
      <c r="W1280">
        <v>240</v>
      </c>
      <c r="X1280" t="s">
        <v>701</v>
      </c>
      <c r="Y1280" t="s">
        <v>2365</v>
      </c>
      <c r="Z1280" t="s">
        <v>2365</v>
      </c>
      <c r="AA1280" t="s">
        <v>2365</v>
      </c>
      <c r="AB1280" t="s">
        <v>2365</v>
      </c>
      <c r="AC1280" s="813" t="s">
        <v>2365</v>
      </c>
      <c r="AD1280" s="813" t="s">
        <v>2365</v>
      </c>
      <c r="AE1280" s="813" t="s">
        <v>2365</v>
      </c>
      <c r="AF1280" t="s">
        <v>2365</v>
      </c>
      <c r="AG1280">
        <v>770</v>
      </c>
      <c r="AH1280" t="s">
        <v>1620</v>
      </c>
      <c r="AI1280">
        <v>770</v>
      </c>
      <c r="AJ1280" t="s">
        <v>1620</v>
      </c>
      <c r="AK1280">
        <v>241</v>
      </c>
      <c r="AL1280" t="s">
        <v>1203</v>
      </c>
      <c r="AM1280">
        <v>241</v>
      </c>
      <c r="AN1280" t="s">
        <v>1203</v>
      </c>
      <c r="AR1280" t="s">
        <v>2365</v>
      </c>
      <c r="AS1280" t="s">
        <v>2365</v>
      </c>
      <c r="AT1280" t="s">
        <v>2365</v>
      </c>
      <c r="AU1280" t="s">
        <v>2365</v>
      </c>
      <c r="AV1280">
        <v>810</v>
      </c>
      <c r="AW1280" t="s">
        <v>1624</v>
      </c>
      <c r="AX1280">
        <v>810</v>
      </c>
      <c r="AY1280" t="s">
        <v>1624</v>
      </c>
      <c r="AZ1280" t="s">
        <v>2365</v>
      </c>
      <c r="BA1280" t="s">
        <v>2365</v>
      </c>
      <c r="BB1280" t="s">
        <v>2365</v>
      </c>
      <c r="BC1280" t="s">
        <v>2365</v>
      </c>
      <c r="BD1280" t="s">
        <v>2366</v>
      </c>
      <c r="BE1280" t="s">
        <v>2365</v>
      </c>
      <c r="BF1280" t="s">
        <v>2365</v>
      </c>
      <c r="BG1280" t="s">
        <v>2365</v>
      </c>
      <c r="BH1280" t="s">
        <v>2365</v>
      </c>
      <c r="BI1280" t="s">
        <v>2366</v>
      </c>
      <c r="BJ1280" t="s">
        <v>2365</v>
      </c>
      <c r="BK1280" t="s">
        <v>2365</v>
      </c>
      <c r="BL1280" t="s">
        <v>2365</v>
      </c>
      <c r="BM1280" t="s">
        <v>2365</v>
      </c>
      <c r="BO1280">
        <v>1</v>
      </c>
      <c r="BP1280">
        <v>13</v>
      </c>
      <c r="BQ1280" t="s">
        <v>2369</v>
      </c>
      <c r="BR1280" t="s">
        <v>595</v>
      </c>
      <c r="BU1280">
        <v>0</v>
      </c>
      <c r="BV1280">
        <v>0</v>
      </c>
      <c r="BW1280">
        <v>0</v>
      </c>
      <c r="BX1280">
        <v>0</v>
      </c>
      <c r="BY1280" s="1371">
        <v>0</v>
      </c>
      <c r="BZ1280" s="1371">
        <v>0</v>
      </c>
      <c r="CA1280">
        <v>0</v>
      </c>
      <c r="CB1280">
        <v>0</v>
      </c>
      <c r="CC1280">
        <v>0</v>
      </c>
      <c r="CD1280">
        <v>0</v>
      </c>
      <c r="CE1280">
        <v>0</v>
      </c>
      <c r="CF1280">
        <v>0</v>
      </c>
      <c r="CG1280">
        <v>0</v>
      </c>
      <c r="CH1280">
        <v>0</v>
      </c>
      <c r="CI1280">
        <v>0</v>
      </c>
      <c r="CJ1280">
        <v>0</v>
      </c>
      <c r="CK1280">
        <v>0</v>
      </c>
      <c r="CL1280">
        <v>0</v>
      </c>
      <c r="CM1280">
        <v>0</v>
      </c>
      <c r="CR1280" t="s">
        <v>2320</v>
      </c>
      <c r="CS1280" s="1369" t="str">
        <f>INDEX([8]Sheet1!$H:$H,MATCH(CR:CR,[8]Sheet1!$AU:$AU,0))</f>
        <v>Administrative and Corporate Support</v>
      </c>
    </row>
    <row r="1281" spans="1:97" x14ac:dyDescent="0.2">
      <c r="A1281" t="s">
        <v>4287</v>
      </c>
      <c r="B1281">
        <v>1369</v>
      </c>
      <c r="C1281" t="s">
        <v>4287</v>
      </c>
      <c r="D1281">
        <v>41525</v>
      </c>
      <c r="E1281" t="s">
        <v>2401</v>
      </c>
      <c r="F1281" t="s">
        <v>2364</v>
      </c>
      <c r="G1281" t="s">
        <v>2364</v>
      </c>
      <c r="H1281" t="s">
        <v>2365</v>
      </c>
      <c r="I1281" t="s">
        <v>2365</v>
      </c>
      <c r="J1281" t="s">
        <v>2365</v>
      </c>
      <c r="K1281" t="s">
        <v>2365</v>
      </c>
      <c r="L1281">
        <v>1200</v>
      </c>
      <c r="M1281" t="s">
        <v>1480</v>
      </c>
      <c r="N1281">
        <v>1202</v>
      </c>
      <c r="O1281" t="s">
        <v>595</v>
      </c>
      <c r="P1281" t="s">
        <v>2366</v>
      </c>
      <c r="Q1281">
        <v>2080</v>
      </c>
      <c r="R1281" t="s">
        <v>579</v>
      </c>
      <c r="S1281" t="s">
        <v>552</v>
      </c>
      <c r="T1281" t="s">
        <v>2175</v>
      </c>
      <c r="U1281">
        <v>240</v>
      </c>
      <c r="V1281" t="s">
        <v>2389</v>
      </c>
      <c r="W1281">
        <v>240</v>
      </c>
      <c r="X1281" t="s">
        <v>701</v>
      </c>
      <c r="Y1281" t="s">
        <v>2365</v>
      </c>
      <c r="Z1281" t="s">
        <v>2365</v>
      </c>
      <c r="AA1281" t="s">
        <v>2365</v>
      </c>
      <c r="AB1281" t="s">
        <v>2365</v>
      </c>
      <c r="AC1281" s="813" t="s">
        <v>2365</v>
      </c>
      <c r="AD1281" s="813" t="s">
        <v>2365</v>
      </c>
      <c r="AE1281" s="813" t="s">
        <v>2365</v>
      </c>
      <c r="AF1281" t="s">
        <v>2365</v>
      </c>
      <c r="AG1281">
        <v>770</v>
      </c>
      <c r="AH1281" t="s">
        <v>1620</v>
      </c>
      <c r="AI1281">
        <v>770</v>
      </c>
      <c r="AJ1281" t="s">
        <v>1620</v>
      </c>
      <c r="AK1281">
        <v>243</v>
      </c>
      <c r="AL1281" t="s">
        <v>1205</v>
      </c>
      <c r="AM1281">
        <v>243</v>
      </c>
      <c r="AN1281" t="s">
        <v>1205</v>
      </c>
      <c r="AR1281" t="s">
        <v>2365</v>
      </c>
      <c r="AS1281" t="s">
        <v>2365</v>
      </c>
      <c r="AT1281" t="s">
        <v>2365</v>
      </c>
      <c r="AU1281" t="s">
        <v>2365</v>
      </c>
      <c r="AV1281">
        <v>790</v>
      </c>
      <c r="AW1281" t="s">
        <v>1622</v>
      </c>
      <c r="AX1281">
        <v>790</v>
      </c>
      <c r="AY1281" t="s">
        <v>1622</v>
      </c>
      <c r="AZ1281" t="s">
        <v>2365</v>
      </c>
      <c r="BA1281" t="s">
        <v>2365</v>
      </c>
      <c r="BB1281" t="s">
        <v>2365</v>
      </c>
      <c r="BC1281" t="s">
        <v>2365</v>
      </c>
      <c r="BD1281" t="s">
        <v>2366</v>
      </c>
      <c r="BE1281" t="s">
        <v>2365</v>
      </c>
      <c r="BF1281" t="s">
        <v>2365</v>
      </c>
      <c r="BG1281" t="s">
        <v>2365</v>
      </c>
      <c r="BH1281" t="s">
        <v>2365</v>
      </c>
      <c r="BI1281" t="s">
        <v>2366</v>
      </c>
      <c r="BJ1281" t="s">
        <v>2365</v>
      </c>
      <c r="BK1281" t="s">
        <v>2365</v>
      </c>
      <c r="BL1281" t="s">
        <v>2365</v>
      </c>
      <c r="BM1281" t="s">
        <v>2365</v>
      </c>
      <c r="BO1281">
        <v>1</v>
      </c>
      <c r="BP1281">
        <v>13</v>
      </c>
      <c r="BQ1281" t="s">
        <v>2369</v>
      </c>
      <c r="BR1281" t="s">
        <v>595</v>
      </c>
      <c r="BU1281">
        <v>0</v>
      </c>
      <c r="BV1281">
        <v>0</v>
      </c>
      <c r="BW1281">
        <v>0</v>
      </c>
      <c r="BX1281">
        <v>0</v>
      </c>
      <c r="BY1281" s="1371">
        <v>0</v>
      </c>
      <c r="BZ1281" s="1371">
        <v>0</v>
      </c>
      <c r="CA1281">
        <v>0</v>
      </c>
      <c r="CB1281">
        <v>0</v>
      </c>
      <c r="CC1281">
        <v>0</v>
      </c>
      <c r="CD1281">
        <v>0</v>
      </c>
      <c r="CE1281">
        <v>0</v>
      </c>
      <c r="CF1281">
        <v>0</v>
      </c>
      <c r="CG1281">
        <v>0</v>
      </c>
      <c r="CH1281">
        <v>0</v>
      </c>
      <c r="CI1281">
        <v>0</v>
      </c>
      <c r="CJ1281">
        <v>0</v>
      </c>
      <c r="CK1281">
        <v>0</v>
      </c>
      <c r="CL1281">
        <v>0</v>
      </c>
      <c r="CM1281">
        <v>0</v>
      </c>
      <c r="CR1281" t="s">
        <v>2324</v>
      </c>
      <c r="CS1281" s="1369" t="str">
        <f>INDEX([8]Sheet1!$H:$H,MATCH(CR:CR,[8]Sheet1!$AU:$AU,0))</f>
        <v>Finance</v>
      </c>
    </row>
    <row r="1282" spans="1:97" x14ac:dyDescent="0.2">
      <c r="A1282" t="s">
        <v>4288</v>
      </c>
      <c r="B1282">
        <v>1370</v>
      </c>
      <c r="C1282" t="s">
        <v>4288</v>
      </c>
      <c r="D1282">
        <v>41526</v>
      </c>
      <c r="E1282" t="s">
        <v>4284</v>
      </c>
      <c r="F1282" t="s">
        <v>2364</v>
      </c>
      <c r="G1282" t="s">
        <v>2364</v>
      </c>
      <c r="H1282" t="s">
        <v>2365</v>
      </c>
      <c r="I1282" t="s">
        <v>2365</v>
      </c>
      <c r="J1282" t="s">
        <v>2365</v>
      </c>
      <c r="K1282" t="s">
        <v>2365</v>
      </c>
      <c r="L1282">
        <v>1200</v>
      </c>
      <c r="M1282" t="s">
        <v>1480</v>
      </c>
      <c r="N1282">
        <v>1202</v>
      </c>
      <c r="O1282" t="s">
        <v>595</v>
      </c>
      <c r="P1282" t="s">
        <v>2366</v>
      </c>
      <c r="Q1282">
        <v>2080</v>
      </c>
      <c r="R1282" t="s">
        <v>579</v>
      </c>
      <c r="S1282" t="s">
        <v>552</v>
      </c>
      <c r="T1282" t="s">
        <v>2175</v>
      </c>
      <c r="U1282" t="s">
        <v>2366</v>
      </c>
      <c r="V1282" t="s">
        <v>2366</v>
      </c>
      <c r="W1282" t="s">
        <v>2366</v>
      </c>
      <c r="X1282" t="s">
        <v>2366</v>
      </c>
      <c r="Y1282" t="s">
        <v>2365</v>
      </c>
      <c r="Z1282" t="s">
        <v>2365</v>
      </c>
      <c r="AA1282" t="s">
        <v>2365</v>
      </c>
      <c r="AB1282" t="s">
        <v>2365</v>
      </c>
      <c r="AC1282" s="813" t="s">
        <v>2365</v>
      </c>
      <c r="AD1282" s="813" t="s">
        <v>2365</v>
      </c>
      <c r="AE1282" s="813" t="s">
        <v>2365</v>
      </c>
      <c r="AF1282" t="s">
        <v>2365</v>
      </c>
      <c r="AG1282">
        <v>770</v>
      </c>
      <c r="AH1282" t="s">
        <v>1620</v>
      </c>
      <c r="AI1282">
        <v>770</v>
      </c>
      <c r="AJ1282" t="s">
        <v>1620</v>
      </c>
      <c r="AK1282">
        <v>241</v>
      </c>
      <c r="AL1282" t="s">
        <v>1203</v>
      </c>
      <c r="AM1282">
        <v>241</v>
      </c>
      <c r="AN1282" t="s">
        <v>1203</v>
      </c>
      <c r="AR1282" t="s">
        <v>2365</v>
      </c>
      <c r="AS1282" t="s">
        <v>2365</v>
      </c>
      <c r="AT1282" t="s">
        <v>2365</v>
      </c>
      <c r="AU1282" t="s">
        <v>2365</v>
      </c>
      <c r="AV1282">
        <v>790</v>
      </c>
      <c r="AW1282" t="s">
        <v>1622</v>
      </c>
      <c r="AX1282">
        <v>790</v>
      </c>
      <c r="AY1282" t="s">
        <v>1622</v>
      </c>
      <c r="AZ1282" t="s">
        <v>2365</v>
      </c>
      <c r="BA1282" t="s">
        <v>2365</v>
      </c>
      <c r="BB1282" t="s">
        <v>2365</v>
      </c>
      <c r="BC1282" t="s">
        <v>2365</v>
      </c>
      <c r="BD1282" t="s">
        <v>2366</v>
      </c>
      <c r="BE1282" t="s">
        <v>2365</v>
      </c>
      <c r="BF1282" t="s">
        <v>2365</v>
      </c>
      <c r="BG1282" t="s">
        <v>2365</v>
      </c>
      <c r="BH1282" t="s">
        <v>2365</v>
      </c>
      <c r="BI1282" t="s">
        <v>2366</v>
      </c>
      <c r="BJ1282" t="s">
        <v>2365</v>
      </c>
      <c r="BK1282" t="s">
        <v>2365</v>
      </c>
      <c r="BL1282" t="s">
        <v>2365</v>
      </c>
      <c r="BM1282" t="s">
        <v>2365</v>
      </c>
      <c r="BO1282">
        <v>1</v>
      </c>
      <c r="BP1282">
        <v>13</v>
      </c>
      <c r="BQ1282" t="s">
        <v>2369</v>
      </c>
      <c r="BR1282" t="s">
        <v>595</v>
      </c>
      <c r="BU1282">
        <v>0</v>
      </c>
      <c r="BV1282">
        <v>0</v>
      </c>
      <c r="BW1282">
        <v>0</v>
      </c>
      <c r="BX1282">
        <v>0</v>
      </c>
      <c r="BY1282" s="1371">
        <v>0</v>
      </c>
      <c r="BZ1282" s="1371">
        <v>0</v>
      </c>
      <c r="CA1282">
        <v>0</v>
      </c>
      <c r="CB1282">
        <v>0</v>
      </c>
      <c r="CC1282">
        <v>0</v>
      </c>
      <c r="CD1282">
        <v>0</v>
      </c>
      <c r="CE1282">
        <v>0</v>
      </c>
      <c r="CF1282">
        <v>0</v>
      </c>
      <c r="CG1282">
        <v>0</v>
      </c>
      <c r="CH1282">
        <v>0</v>
      </c>
      <c r="CI1282">
        <v>0</v>
      </c>
      <c r="CJ1282">
        <v>0</v>
      </c>
      <c r="CK1282">
        <v>0</v>
      </c>
      <c r="CL1282">
        <v>0</v>
      </c>
      <c r="CM1282">
        <v>0</v>
      </c>
      <c r="CR1282" t="s">
        <v>2340</v>
      </c>
      <c r="CS1282" s="1369" t="str">
        <f>INDEX([8]Sheet1!$H:$H,MATCH(CR:CR,[8]Sheet1!$AU:$AU,0))</f>
        <v>Disaster Management</v>
      </c>
    </row>
    <row r="1283" spans="1:97" x14ac:dyDescent="0.2">
      <c r="A1283" t="s">
        <v>4289</v>
      </c>
      <c r="B1283">
        <v>1371</v>
      </c>
      <c r="C1283" t="s">
        <v>4289</v>
      </c>
      <c r="D1283">
        <v>41527</v>
      </c>
      <c r="E1283" t="s">
        <v>4286</v>
      </c>
      <c r="F1283" t="s">
        <v>2364</v>
      </c>
      <c r="G1283" t="s">
        <v>2364</v>
      </c>
      <c r="H1283" t="s">
        <v>2365</v>
      </c>
      <c r="I1283" t="s">
        <v>2365</v>
      </c>
      <c r="J1283" t="s">
        <v>2365</v>
      </c>
      <c r="K1283" t="s">
        <v>2365</v>
      </c>
      <c r="L1283">
        <v>1200</v>
      </c>
      <c r="M1283" t="s">
        <v>1480</v>
      </c>
      <c r="N1283">
        <v>1202</v>
      </c>
      <c r="O1283" t="s">
        <v>595</v>
      </c>
      <c r="P1283" t="s">
        <v>1846</v>
      </c>
      <c r="Q1283">
        <v>2080</v>
      </c>
      <c r="R1283" t="s">
        <v>579</v>
      </c>
      <c r="S1283" t="s">
        <v>552</v>
      </c>
      <c r="T1283" t="s">
        <v>2175</v>
      </c>
      <c r="U1283">
        <v>240</v>
      </c>
      <c r="V1283" t="s">
        <v>2389</v>
      </c>
      <c r="W1283">
        <v>240</v>
      </c>
      <c r="X1283" t="s">
        <v>701</v>
      </c>
      <c r="Y1283" t="s">
        <v>2365</v>
      </c>
      <c r="Z1283" t="s">
        <v>2365</v>
      </c>
      <c r="AA1283" t="s">
        <v>2365</v>
      </c>
      <c r="AB1283" t="s">
        <v>2365</v>
      </c>
      <c r="AC1283" s="813" t="s">
        <v>2365</v>
      </c>
      <c r="AD1283" s="813" t="s">
        <v>2365</v>
      </c>
      <c r="AE1283" s="813" t="s">
        <v>2365</v>
      </c>
      <c r="AF1283" t="s">
        <v>2365</v>
      </c>
      <c r="AG1283">
        <v>770</v>
      </c>
      <c r="AH1283" t="s">
        <v>1620</v>
      </c>
      <c r="AI1283">
        <v>770</v>
      </c>
      <c r="AJ1283" t="s">
        <v>1620</v>
      </c>
      <c r="AK1283">
        <v>241</v>
      </c>
      <c r="AL1283" t="s">
        <v>1203</v>
      </c>
      <c r="AM1283">
        <v>241</v>
      </c>
      <c r="AN1283" t="s">
        <v>1203</v>
      </c>
      <c r="AR1283" t="s">
        <v>2365</v>
      </c>
      <c r="AS1283" t="s">
        <v>2365</v>
      </c>
      <c r="AT1283" t="s">
        <v>2365</v>
      </c>
      <c r="AU1283" t="s">
        <v>2365</v>
      </c>
      <c r="AV1283">
        <v>790</v>
      </c>
      <c r="AW1283" t="s">
        <v>1622</v>
      </c>
      <c r="AX1283">
        <v>790</v>
      </c>
      <c r="AY1283" t="s">
        <v>1622</v>
      </c>
      <c r="AZ1283" t="s">
        <v>2365</v>
      </c>
      <c r="BA1283" t="s">
        <v>2365</v>
      </c>
      <c r="BB1283" t="s">
        <v>2365</v>
      </c>
      <c r="BC1283" t="s">
        <v>2365</v>
      </c>
      <c r="BD1283" t="s">
        <v>2366</v>
      </c>
      <c r="BE1283" t="s">
        <v>2365</v>
      </c>
      <c r="BF1283" t="s">
        <v>2365</v>
      </c>
      <c r="BG1283" t="s">
        <v>2365</v>
      </c>
      <c r="BH1283" t="s">
        <v>2365</v>
      </c>
      <c r="BI1283" t="s">
        <v>2366</v>
      </c>
      <c r="BJ1283" t="s">
        <v>2365</v>
      </c>
      <c r="BK1283" t="s">
        <v>2365</v>
      </c>
      <c r="BL1283" t="s">
        <v>2365</v>
      </c>
      <c r="BM1283" t="s">
        <v>2365</v>
      </c>
      <c r="BO1283">
        <v>1</v>
      </c>
      <c r="BP1283">
        <v>13</v>
      </c>
      <c r="BQ1283" t="s">
        <v>2369</v>
      </c>
      <c r="BR1283" t="s">
        <v>595</v>
      </c>
      <c r="BU1283">
        <v>0</v>
      </c>
      <c r="BV1283">
        <v>0</v>
      </c>
      <c r="BW1283">
        <v>0</v>
      </c>
      <c r="BX1283">
        <v>0</v>
      </c>
      <c r="BY1283">
        <v>0</v>
      </c>
      <c r="BZ1283">
        <v>0</v>
      </c>
      <c r="CA1283">
        <v>0</v>
      </c>
      <c r="CB1283">
        <v>0</v>
      </c>
      <c r="CC1283">
        <v>0</v>
      </c>
      <c r="CD1283">
        <v>0</v>
      </c>
      <c r="CE1283">
        <v>0</v>
      </c>
      <c r="CF1283">
        <v>0</v>
      </c>
      <c r="CG1283">
        <v>0</v>
      </c>
      <c r="CH1283">
        <v>0</v>
      </c>
      <c r="CI1283">
        <v>0</v>
      </c>
      <c r="CJ1283">
        <v>0</v>
      </c>
      <c r="CK1283">
        <v>0</v>
      </c>
      <c r="CL1283">
        <v>0</v>
      </c>
      <c r="CM1283">
        <v>0</v>
      </c>
      <c r="CR1283" t="s">
        <v>2328</v>
      </c>
      <c r="CS1283" s="1369" t="str">
        <f>INDEX([8]Sheet1!$H:$H,MATCH(CR:CR,[8]Sheet1!$AU:$AU,0))</f>
        <v>Water Distribution</v>
      </c>
    </row>
    <row r="1284" spans="1:97" x14ac:dyDescent="0.2">
      <c r="A1284" t="s">
        <v>4290</v>
      </c>
      <c r="B1284">
        <v>1372</v>
      </c>
      <c r="C1284" t="s">
        <v>4290</v>
      </c>
      <c r="D1284">
        <v>41528</v>
      </c>
      <c r="E1284" t="s">
        <v>2401</v>
      </c>
      <c r="F1284" t="s">
        <v>2364</v>
      </c>
      <c r="G1284" t="s">
        <v>2364</v>
      </c>
      <c r="H1284" t="s">
        <v>2365</v>
      </c>
      <c r="I1284" t="s">
        <v>2365</v>
      </c>
      <c r="J1284" t="s">
        <v>2365</v>
      </c>
      <c r="K1284" t="s">
        <v>2365</v>
      </c>
      <c r="L1284">
        <v>1200</v>
      </c>
      <c r="M1284" t="s">
        <v>1480</v>
      </c>
      <c r="N1284">
        <v>1202</v>
      </c>
      <c r="O1284" t="s">
        <v>595</v>
      </c>
      <c r="P1284" t="s">
        <v>2366</v>
      </c>
      <c r="Q1284">
        <v>2080</v>
      </c>
      <c r="R1284" t="s">
        <v>579</v>
      </c>
      <c r="S1284" t="s">
        <v>552</v>
      </c>
      <c r="T1284" t="s">
        <v>2175</v>
      </c>
      <c r="U1284">
        <v>240</v>
      </c>
      <c r="V1284" t="s">
        <v>2389</v>
      </c>
      <c r="W1284">
        <v>240</v>
      </c>
      <c r="X1284" t="s">
        <v>701</v>
      </c>
      <c r="Y1284" t="s">
        <v>2365</v>
      </c>
      <c r="Z1284" t="s">
        <v>2365</v>
      </c>
      <c r="AA1284" t="s">
        <v>2365</v>
      </c>
      <c r="AB1284" t="s">
        <v>2365</v>
      </c>
      <c r="AC1284" s="813" t="s">
        <v>2365</v>
      </c>
      <c r="AD1284" s="813" t="s">
        <v>2365</v>
      </c>
      <c r="AE1284" s="813" t="s">
        <v>2365</v>
      </c>
      <c r="AF1284" t="s">
        <v>2365</v>
      </c>
      <c r="AG1284">
        <v>770</v>
      </c>
      <c r="AH1284" t="s">
        <v>1620</v>
      </c>
      <c r="AI1284">
        <v>770</v>
      </c>
      <c r="AJ1284" t="s">
        <v>1620</v>
      </c>
      <c r="AK1284">
        <v>243</v>
      </c>
      <c r="AL1284" t="s">
        <v>1205</v>
      </c>
      <c r="AM1284">
        <v>243</v>
      </c>
      <c r="AN1284" t="s">
        <v>1205</v>
      </c>
      <c r="AR1284" t="s">
        <v>2365</v>
      </c>
      <c r="AS1284" t="s">
        <v>2365</v>
      </c>
      <c r="AT1284" t="s">
        <v>2365</v>
      </c>
      <c r="AU1284" t="s">
        <v>2365</v>
      </c>
      <c r="AV1284">
        <v>880</v>
      </c>
      <c r="AW1284" t="s">
        <v>494</v>
      </c>
      <c r="AX1284">
        <v>880</v>
      </c>
      <c r="AY1284" t="s">
        <v>494</v>
      </c>
      <c r="AZ1284" t="s">
        <v>2365</v>
      </c>
      <c r="BA1284" t="s">
        <v>2365</v>
      </c>
      <c r="BB1284" t="s">
        <v>2365</v>
      </c>
      <c r="BC1284" t="s">
        <v>2365</v>
      </c>
      <c r="BD1284" t="s">
        <v>2366</v>
      </c>
      <c r="BE1284" t="s">
        <v>2365</v>
      </c>
      <c r="BF1284" t="s">
        <v>2365</v>
      </c>
      <c r="BG1284" t="s">
        <v>2365</v>
      </c>
      <c r="BH1284" t="s">
        <v>2365</v>
      </c>
      <c r="BI1284" t="s">
        <v>2366</v>
      </c>
      <c r="BJ1284" t="s">
        <v>2365</v>
      </c>
      <c r="BK1284" t="s">
        <v>2365</v>
      </c>
      <c r="BL1284" t="s">
        <v>2365</v>
      </c>
      <c r="BM1284" t="s">
        <v>2365</v>
      </c>
      <c r="BO1284">
        <v>1</v>
      </c>
      <c r="BP1284">
        <v>13</v>
      </c>
      <c r="BQ1284" t="s">
        <v>2369</v>
      </c>
      <c r="BR1284" t="s">
        <v>595</v>
      </c>
      <c r="BU1284">
        <v>0</v>
      </c>
      <c r="BV1284">
        <v>0</v>
      </c>
      <c r="BW1284">
        <v>0</v>
      </c>
      <c r="BX1284">
        <v>0</v>
      </c>
      <c r="BY1284" s="1371">
        <v>0</v>
      </c>
      <c r="BZ1284" s="1371">
        <v>0</v>
      </c>
      <c r="CA1284">
        <v>0</v>
      </c>
      <c r="CB1284">
        <v>0</v>
      </c>
      <c r="CC1284">
        <v>0</v>
      </c>
      <c r="CD1284">
        <v>0</v>
      </c>
      <c r="CE1284">
        <v>0</v>
      </c>
      <c r="CF1284">
        <v>0</v>
      </c>
      <c r="CG1284">
        <v>0</v>
      </c>
      <c r="CH1284">
        <v>0</v>
      </c>
      <c r="CI1284">
        <v>0</v>
      </c>
      <c r="CJ1284">
        <v>0</v>
      </c>
      <c r="CK1284">
        <v>0</v>
      </c>
      <c r="CL1284">
        <v>0</v>
      </c>
      <c r="CM1284">
        <v>0</v>
      </c>
      <c r="CR1284" t="s">
        <v>2340</v>
      </c>
      <c r="CS1284" s="1369" t="str">
        <f>INDEX([8]Sheet1!$H:$H,MATCH(CR:CR,[8]Sheet1!$AU:$AU,0))</f>
        <v>Disaster Management</v>
      </c>
    </row>
    <row r="1285" spans="1:97" x14ac:dyDescent="0.2">
      <c r="A1285" t="s">
        <v>4291</v>
      </c>
      <c r="B1285">
        <v>1373</v>
      </c>
      <c r="C1285" t="s">
        <v>4291</v>
      </c>
      <c r="D1285">
        <v>41529</v>
      </c>
      <c r="E1285" t="s">
        <v>4284</v>
      </c>
      <c r="F1285" t="s">
        <v>2364</v>
      </c>
      <c r="G1285" t="s">
        <v>2364</v>
      </c>
      <c r="H1285" t="s">
        <v>2365</v>
      </c>
      <c r="I1285" t="s">
        <v>2365</v>
      </c>
      <c r="J1285" t="s">
        <v>2365</v>
      </c>
      <c r="K1285" t="s">
        <v>2365</v>
      </c>
      <c r="L1285">
        <v>1200</v>
      </c>
      <c r="M1285" t="s">
        <v>1480</v>
      </c>
      <c r="N1285">
        <v>1202</v>
      </c>
      <c r="O1285" t="s">
        <v>595</v>
      </c>
      <c r="P1285" t="s">
        <v>2366</v>
      </c>
      <c r="Q1285">
        <v>2080</v>
      </c>
      <c r="R1285" t="s">
        <v>579</v>
      </c>
      <c r="S1285" t="s">
        <v>552</v>
      </c>
      <c r="T1285" t="s">
        <v>2175</v>
      </c>
      <c r="U1285" t="s">
        <v>2366</v>
      </c>
      <c r="V1285" t="s">
        <v>2366</v>
      </c>
      <c r="W1285" t="s">
        <v>2366</v>
      </c>
      <c r="X1285" t="s">
        <v>2366</v>
      </c>
      <c r="Y1285" t="s">
        <v>2365</v>
      </c>
      <c r="Z1285" t="s">
        <v>2365</v>
      </c>
      <c r="AA1285" t="s">
        <v>2365</v>
      </c>
      <c r="AB1285" t="s">
        <v>2365</v>
      </c>
      <c r="AC1285" s="813" t="s">
        <v>2365</v>
      </c>
      <c r="AD1285" s="813" t="s">
        <v>2365</v>
      </c>
      <c r="AE1285" s="813" t="s">
        <v>2365</v>
      </c>
      <c r="AF1285" t="s">
        <v>2365</v>
      </c>
      <c r="AG1285">
        <v>770</v>
      </c>
      <c r="AH1285" t="s">
        <v>1620</v>
      </c>
      <c r="AI1285">
        <v>770</v>
      </c>
      <c r="AJ1285" t="s">
        <v>1620</v>
      </c>
      <c r="AK1285">
        <v>241</v>
      </c>
      <c r="AL1285" t="s">
        <v>1203</v>
      </c>
      <c r="AM1285">
        <v>241</v>
      </c>
      <c r="AN1285" t="s">
        <v>1203</v>
      </c>
      <c r="AR1285" t="s">
        <v>2365</v>
      </c>
      <c r="AS1285" t="s">
        <v>2365</v>
      </c>
      <c r="AT1285" t="s">
        <v>2365</v>
      </c>
      <c r="AU1285" t="s">
        <v>2365</v>
      </c>
      <c r="AV1285">
        <v>880</v>
      </c>
      <c r="AW1285" t="s">
        <v>494</v>
      </c>
      <c r="AX1285">
        <v>880</v>
      </c>
      <c r="AY1285" t="s">
        <v>494</v>
      </c>
      <c r="AZ1285" t="s">
        <v>2365</v>
      </c>
      <c r="BA1285" t="s">
        <v>2365</v>
      </c>
      <c r="BB1285" t="s">
        <v>2365</v>
      </c>
      <c r="BC1285" t="s">
        <v>2365</v>
      </c>
      <c r="BD1285" t="s">
        <v>2366</v>
      </c>
      <c r="BE1285" t="s">
        <v>2365</v>
      </c>
      <c r="BF1285" t="s">
        <v>2365</v>
      </c>
      <c r="BG1285" t="s">
        <v>2365</v>
      </c>
      <c r="BH1285" t="s">
        <v>2365</v>
      </c>
      <c r="BI1285" t="s">
        <v>2366</v>
      </c>
      <c r="BJ1285" t="s">
        <v>2365</v>
      </c>
      <c r="BK1285" t="s">
        <v>2365</v>
      </c>
      <c r="BL1285" t="s">
        <v>2365</v>
      </c>
      <c r="BM1285" t="s">
        <v>2365</v>
      </c>
      <c r="BO1285">
        <v>1</v>
      </c>
      <c r="BP1285">
        <v>13</v>
      </c>
      <c r="BQ1285" t="s">
        <v>2369</v>
      </c>
      <c r="BR1285" t="s">
        <v>595</v>
      </c>
      <c r="BU1285">
        <v>0</v>
      </c>
      <c r="BV1285">
        <v>0</v>
      </c>
      <c r="BW1285">
        <v>0</v>
      </c>
      <c r="BX1285">
        <v>0</v>
      </c>
      <c r="BY1285">
        <v>0</v>
      </c>
      <c r="BZ1285">
        <v>0</v>
      </c>
      <c r="CA1285">
        <v>0</v>
      </c>
      <c r="CB1285">
        <v>0</v>
      </c>
      <c r="CC1285">
        <v>0</v>
      </c>
      <c r="CD1285">
        <v>0</v>
      </c>
      <c r="CE1285">
        <v>0</v>
      </c>
      <c r="CF1285">
        <v>0</v>
      </c>
      <c r="CG1285">
        <v>0</v>
      </c>
      <c r="CH1285">
        <v>0</v>
      </c>
      <c r="CI1285">
        <v>0</v>
      </c>
      <c r="CJ1285">
        <v>0</v>
      </c>
      <c r="CK1285">
        <v>0</v>
      </c>
      <c r="CL1285">
        <v>0</v>
      </c>
      <c r="CM1285">
        <v>0</v>
      </c>
      <c r="CR1285" t="s">
        <v>2328</v>
      </c>
      <c r="CS1285" s="1369" t="str">
        <f>INDEX([8]Sheet1!$H:$H,MATCH(CR:CR,[8]Sheet1!$AU:$AU,0))</f>
        <v>Water Distribution</v>
      </c>
    </row>
    <row r="1286" spans="1:97" x14ac:dyDescent="0.2">
      <c r="A1286" t="s">
        <v>4292</v>
      </c>
      <c r="B1286">
        <v>1374</v>
      </c>
      <c r="C1286" t="s">
        <v>4292</v>
      </c>
      <c r="D1286">
        <v>41530</v>
      </c>
      <c r="E1286" t="s">
        <v>4286</v>
      </c>
      <c r="F1286" t="s">
        <v>2364</v>
      </c>
      <c r="G1286" t="s">
        <v>2364</v>
      </c>
      <c r="H1286" t="s">
        <v>2365</v>
      </c>
      <c r="I1286" t="s">
        <v>2365</v>
      </c>
      <c r="J1286" t="s">
        <v>2365</v>
      </c>
      <c r="K1286" t="s">
        <v>2365</v>
      </c>
      <c r="L1286">
        <v>1200</v>
      </c>
      <c r="M1286" t="s">
        <v>1480</v>
      </c>
      <c r="N1286">
        <v>1202</v>
      </c>
      <c r="O1286" t="s">
        <v>595</v>
      </c>
      <c r="P1286" t="s">
        <v>1846</v>
      </c>
      <c r="Q1286">
        <v>2080</v>
      </c>
      <c r="R1286" t="s">
        <v>579</v>
      </c>
      <c r="S1286" t="s">
        <v>552</v>
      </c>
      <c r="T1286" t="s">
        <v>2175</v>
      </c>
      <c r="U1286">
        <v>240</v>
      </c>
      <c r="V1286" t="s">
        <v>2389</v>
      </c>
      <c r="W1286">
        <v>240</v>
      </c>
      <c r="X1286" t="s">
        <v>701</v>
      </c>
      <c r="Y1286" t="s">
        <v>2365</v>
      </c>
      <c r="Z1286" t="s">
        <v>2365</v>
      </c>
      <c r="AA1286" t="s">
        <v>2365</v>
      </c>
      <c r="AB1286" t="s">
        <v>2365</v>
      </c>
      <c r="AC1286" s="813" t="s">
        <v>2365</v>
      </c>
      <c r="AD1286" s="813" t="s">
        <v>2365</v>
      </c>
      <c r="AE1286" s="813" t="s">
        <v>2365</v>
      </c>
      <c r="AF1286" t="s">
        <v>2365</v>
      </c>
      <c r="AG1286">
        <v>770</v>
      </c>
      <c r="AH1286" t="s">
        <v>1620</v>
      </c>
      <c r="AI1286">
        <v>770</v>
      </c>
      <c r="AJ1286" t="s">
        <v>1620</v>
      </c>
      <c r="AK1286">
        <v>241</v>
      </c>
      <c r="AL1286" t="s">
        <v>1203</v>
      </c>
      <c r="AM1286">
        <v>241</v>
      </c>
      <c r="AN1286" t="s">
        <v>1203</v>
      </c>
      <c r="AR1286" t="s">
        <v>2365</v>
      </c>
      <c r="AS1286" t="s">
        <v>2365</v>
      </c>
      <c r="AT1286" t="s">
        <v>2365</v>
      </c>
      <c r="AU1286" t="s">
        <v>2365</v>
      </c>
      <c r="AV1286">
        <v>880</v>
      </c>
      <c r="AW1286" t="s">
        <v>494</v>
      </c>
      <c r="AX1286">
        <v>880</v>
      </c>
      <c r="AY1286" t="s">
        <v>494</v>
      </c>
      <c r="AZ1286" t="s">
        <v>2365</v>
      </c>
      <c r="BA1286" t="s">
        <v>2365</v>
      </c>
      <c r="BB1286" t="s">
        <v>2365</v>
      </c>
      <c r="BC1286" t="s">
        <v>2365</v>
      </c>
      <c r="BD1286" t="s">
        <v>2366</v>
      </c>
      <c r="BE1286" t="s">
        <v>2365</v>
      </c>
      <c r="BF1286" t="s">
        <v>2365</v>
      </c>
      <c r="BG1286" t="s">
        <v>2365</v>
      </c>
      <c r="BH1286" t="s">
        <v>2365</v>
      </c>
      <c r="BI1286" t="s">
        <v>2366</v>
      </c>
      <c r="BJ1286" t="s">
        <v>2365</v>
      </c>
      <c r="BK1286" t="s">
        <v>2365</v>
      </c>
      <c r="BL1286" t="s">
        <v>2365</v>
      </c>
      <c r="BM1286" t="s">
        <v>2365</v>
      </c>
      <c r="BO1286">
        <v>1</v>
      </c>
      <c r="BP1286">
        <v>13</v>
      </c>
      <c r="BQ1286" t="s">
        <v>2369</v>
      </c>
      <c r="BR1286" t="s">
        <v>595</v>
      </c>
      <c r="BU1286">
        <v>0</v>
      </c>
      <c r="BV1286">
        <v>0</v>
      </c>
      <c r="BW1286">
        <v>0</v>
      </c>
      <c r="BX1286">
        <v>0</v>
      </c>
      <c r="BY1286" s="1371">
        <v>0</v>
      </c>
      <c r="BZ1286" s="1371">
        <v>0</v>
      </c>
      <c r="CA1286">
        <v>0</v>
      </c>
      <c r="CB1286">
        <v>0</v>
      </c>
      <c r="CC1286">
        <v>0</v>
      </c>
      <c r="CD1286">
        <v>0</v>
      </c>
      <c r="CE1286">
        <v>0</v>
      </c>
      <c r="CF1286">
        <v>0</v>
      </c>
      <c r="CG1286">
        <v>0</v>
      </c>
      <c r="CH1286">
        <v>0</v>
      </c>
      <c r="CI1286">
        <v>0</v>
      </c>
      <c r="CJ1286">
        <v>0</v>
      </c>
      <c r="CK1286">
        <v>0</v>
      </c>
      <c r="CL1286">
        <v>0</v>
      </c>
      <c r="CM1286">
        <v>0</v>
      </c>
      <c r="CR1286" t="s">
        <v>2320</v>
      </c>
      <c r="CS1286" s="1369" t="str">
        <f>INDEX([8]Sheet1!$H:$H,MATCH(CR:CR,[8]Sheet1!$AU:$AU,0))</f>
        <v>Administrative and Corporate Support</v>
      </c>
    </row>
    <row r="1287" spans="1:97" x14ac:dyDescent="0.2">
      <c r="A1287" t="s">
        <v>4293</v>
      </c>
      <c r="B1287">
        <v>1375</v>
      </c>
      <c r="C1287" t="s">
        <v>4293</v>
      </c>
      <c r="D1287">
        <v>41531</v>
      </c>
      <c r="E1287" t="s">
        <v>2401</v>
      </c>
      <c r="F1287" t="s">
        <v>2364</v>
      </c>
      <c r="G1287" t="s">
        <v>2364</v>
      </c>
      <c r="H1287" t="s">
        <v>2365</v>
      </c>
      <c r="I1287" t="s">
        <v>2365</v>
      </c>
      <c r="J1287" t="s">
        <v>2365</v>
      </c>
      <c r="K1287" t="s">
        <v>2365</v>
      </c>
      <c r="L1287">
        <v>1200</v>
      </c>
      <c r="M1287" t="s">
        <v>1480</v>
      </c>
      <c r="N1287">
        <v>1202</v>
      </c>
      <c r="O1287" t="s">
        <v>595</v>
      </c>
      <c r="P1287" t="s">
        <v>2366</v>
      </c>
      <c r="Q1287">
        <v>2080</v>
      </c>
      <c r="R1287" t="s">
        <v>579</v>
      </c>
      <c r="S1287" t="s">
        <v>552</v>
      </c>
      <c r="T1287" t="s">
        <v>2175</v>
      </c>
      <c r="U1287">
        <v>240</v>
      </c>
      <c r="V1287" t="s">
        <v>2389</v>
      </c>
      <c r="W1287">
        <v>240</v>
      </c>
      <c r="X1287" t="s">
        <v>701</v>
      </c>
      <c r="Y1287" t="s">
        <v>2365</v>
      </c>
      <c r="Z1287" t="s">
        <v>2365</v>
      </c>
      <c r="AA1287" t="s">
        <v>2365</v>
      </c>
      <c r="AB1287" t="s">
        <v>2365</v>
      </c>
      <c r="AC1287" s="813" t="s">
        <v>2365</v>
      </c>
      <c r="AD1287" s="813" t="s">
        <v>2365</v>
      </c>
      <c r="AE1287" s="813" t="s">
        <v>2365</v>
      </c>
      <c r="AF1287" t="s">
        <v>2365</v>
      </c>
      <c r="AG1287">
        <v>770</v>
      </c>
      <c r="AH1287" t="s">
        <v>1620</v>
      </c>
      <c r="AI1287">
        <v>770</v>
      </c>
      <c r="AJ1287" t="s">
        <v>1620</v>
      </c>
      <c r="AK1287">
        <v>243</v>
      </c>
      <c r="AL1287" t="s">
        <v>1205</v>
      </c>
      <c r="AM1287">
        <v>243</v>
      </c>
      <c r="AN1287" t="s">
        <v>1205</v>
      </c>
      <c r="AR1287" t="s">
        <v>2365</v>
      </c>
      <c r="AS1287" t="s">
        <v>2365</v>
      </c>
      <c r="AT1287" t="s">
        <v>2365</v>
      </c>
      <c r="AU1287" t="s">
        <v>2365</v>
      </c>
      <c r="AV1287">
        <v>1030</v>
      </c>
      <c r="AW1287" t="s">
        <v>1641</v>
      </c>
      <c r="AX1287">
        <v>1030</v>
      </c>
      <c r="AY1287" t="s">
        <v>1641</v>
      </c>
      <c r="AZ1287" t="s">
        <v>2365</v>
      </c>
      <c r="BA1287" t="s">
        <v>2365</v>
      </c>
      <c r="BB1287" t="s">
        <v>2365</v>
      </c>
      <c r="BC1287" t="s">
        <v>2365</v>
      </c>
      <c r="BD1287" t="s">
        <v>2366</v>
      </c>
      <c r="BE1287" t="s">
        <v>2365</v>
      </c>
      <c r="BF1287" t="s">
        <v>2365</v>
      </c>
      <c r="BG1287" t="s">
        <v>2365</v>
      </c>
      <c r="BH1287" t="s">
        <v>2365</v>
      </c>
      <c r="BI1287" t="s">
        <v>2366</v>
      </c>
      <c r="BJ1287" t="s">
        <v>2365</v>
      </c>
      <c r="BK1287" t="s">
        <v>2365</v>
      </c>
      <c r="BL1287" t="s">
        <v>2365</v>
      </c>
      <c r="BM1287" t="s">
        <v>2365</v>
      </c>
      <c r="BO1287">
        <v>1</v>
      </c>
      <c r="BP1287">
        <v>13</v>
      </c>
      <c r="BQ1287" t="s">
        <v>2369</v>
      </c>
      <c r="BR1287" t="s">
        <v>595</v>
      </c>
      <c r="BU1287">
        <v>0</v>
      </c>
      <c r="BV1287">
        <v>0</v>
      </c>
      <c r="BW1287">
        <v>0</v>
      </c>
      <c r="BX1287">
        <v>0</v>
      </c>
      <c r="BY1287" s="1371">
        <v>0</v>
      </c>
      <c r="BZ1287" s="1371">
        <v>0</v>
      </c>
      <c r="CA1287">
        <v>0</v>
      </c>
      <c r="CB1287">
        <v>0</v>
      </c>
      <c r="CC1287">
        <v>0</v>
      </c>
      <c r="CD1287">
        <v>0</v>
      </c>
      <c r="CE1287">
        <v>0</v>
      </c>
      <c r="CF1287">
        <v>0</v>
      </c>
      <c r="CG1287">
        <v>0</v>
      </c>
      <c r="CH1287">
        <v>0</v>
      </c>
      <c r="CI1287">
        <v>0</v>
      </c>
      <c r="CJ1287">
        <v>0</v>
      </c>
      <c r="CK1287">
        <v>0</v>
      </c>
      <c r="CL1287">
        <v>0</v>
      </c>
      <c r="CM1287">
        <v>0</v>
      </c>
      <c r="CR1287" t="s">
        <v>2320</v>
      </c>
      <c r="CS1287" s="1369" t="str">
        <f>INDEX([8]Sheet1!$H:$H,MATCH(CR:CR,[8]Sheet1!$AU:$AU,0))</f>
        <v>Administrative and Corporate Support</v>
      </c>
    </row>
    <row r="1288" spans="1:97" x14ac:dyDescent="0.2">
      <c r="A1288" t="s">
        <v>4294</v>
      </c>
      <c r="B1288">
        <v>1376</v>
      </c>
      <c r="C1288" t="s">
        <v>4294</v>
      </c>
      <c r="D1288">
        <v>41532</v>
      </c>
      <c r="E1288" t="s">
        <v>4284</v>
      </c>
      <c r="F1288" t="s">
        <v>2364</v>
      </c>
      <c r="G1288" t="s">
        <v>2364</v>
      </c>
      <c r="H1288" t="s">
        <v>2365</v>
      </c>
      <c r="I1288" t="s">
        <v>2365</v>
      </c>
      <c r="J1288" t="s">
        <v>2365</v>
      </c>
      <c r="K1288" t="s">
        <v>2365</v>
      </c>
      <c r="L1288">
        <v>1200</v>
      </c>
      <c r="M1288" t="s">
        <v>1480</v>
      </c>
      <c r="N1288">
        <v>1202</v>
      </c>
      <c r="O1288" t="s">
        <v>595</v>
      </c>
      <c r="P1288" t="s">
        <v>2366</v>
      </c>
      <c r="Q1288">
        <v>2080</v>
      </c>
      <c r="R1288" t="s">
        <v>579</v>
      </c>
      <c r="S1288" t="s">
        <v>552</v>
      </c>
      <c r="T1288" t="s">
        <v>2175</v>
      </c>
      <c r="U1288" t="s">
        <v>2366</v>
      </c>
      <c r="V1288" t="s">
        <v>2366</v>
      </c>
      <c r="W1288" t="s">
        <v>2366</v>
      </c>
      <c r="X1288" t="s">
        <v>2366</v>
      </c>
      <c r="Y1288" t="s">
        <v>2365</v>
      </c>
      <c r="Z1288" t="s">
        <v>2365</v>
      </c>
      <c r="AA1288" t="s">
        <v>2365</v>
      </c>
      <c r="AB1288" t="s">
        <v>2365</v>
      </c>
      <c r="AC1288" s="813" t="s">
        <v>2365</v>
      </c>
      <c r="AD1288" s="813" t="s">
        <v>2365</v>
      </c>
      <c r="AE1288" s="813" t="s">
        <v>2365</v>
      </c>
      <c r="AF1288" t="s">
        <v>2365</v>
      </c>
      <c r="AG1288">
        <v>770</v>
      </c>
      <c r="AH1288" t="s">
        <v>1620</v>
      </c>
      <c r="AI1288">
        <v>770</v>
      </c>
      <c r="AJ1288" t="s">
        <v>1620</v>
      </c>
      <c r="AK1288">
        <v>241</v>
      </c>
      <c r="AL1288" t="s">
        <v>1203</v>
      </c>
      <c r="AM1288">
        <v>241</v>
      </c>
      <c r="AN1288" t="s">
        <v>1203</v>
      </c>
      <c r="AR1288" t="s">
        <v>2365</v>
      </c>
      <c r="AS1288" t="s">
        <v>2365</v>
      </c>
      <c r="AT1288" t="s">
        <v>2365</v>
      </c>
      <c r="AU1288" t="s">
        <v>2365</v>
      </c>
      <c r="AV1288">
        <v>1030</v>
      </c>
      <c r="AW1288" t="s">
        <v>1641</v>
      </c>
      <c r="AX1288">
        <v>1030</v>
      </c>
      <c r="AY1288" t="s">
        <v>1641</v>
      </c>
      <c r="AZ1288" t="s">
        <v>2365</v>
      </c>
      <c r="BA1288" t="s">
        <v>2365</v>
      </c>
      <c r="BB1288" t="s">
        <v>2365</v>
      </c>
      <c r="BC1288" t="s">
        <v>2365</v>
      </c>
      <c r="BD1288" t="s">
        <v>2366</v>
      </c>
      <c r="BE1288" t="s">
        <v>2365</v>
      </c>
      <c r="BF1288" t="s">
        <v>2365</v>
      </c>
      <c r="BG1288" t="s">
        <v>2365</v>
      </c>
      <c r="BH1288" t="s">
        <v>2365</v>
      </c>
      <c r="BI1288" t="s">
        <v>2366</v>
      </c>
      <c r="BJ1288" t="s">
        <v>2365</v>
      </c>
      <c r="BK1288" t="s">
        <v>2365</v>
      </c>
      <c r="BL1288" t="s">
        <v>2365</v>
      </c>
      <c r="BM1288" t="s">
        <v>2365</v>
      </c>
      <c r="BO1288">
        <v>1</v>
      </c>
      <c r="BP1288">
        <v>13</v>
      </c>
      <c r="BQ1288" t="s">
        <v>2369</v>
      </c>
      <c r="BR1288" t="s">
        <v>595</v>
      </c>
      <c r="BU1288">
        <v>0</v>
      </c>
      <c r="BV1288">
        <v>0</v>
      </c>
      <c r="BW1288">
        <v>0</v>
      </c>
      <c r="BX1288">
        <v>0</v>
      </c>
      <c r="BY1288">
        <v>0</v>
      </c>
      <c r="BZ1288">
        <v>0</v>
      </c>
      <c r="CA1288">
        <v>0</v>
      </c>
      <c r="CB1288">
        <v>0</v>
      </c>
      <c r="CC1288">
        <v>0</v>
      </c>
      <c r="CD1288">
        <v>0</v>
      </c>
      <c r="CE1288">
        <v>0</v>
      </c>
      <c r="CF1288">
        <v>0</v>
      </c>
      <c r="CG1288">
        <v>0</v>
      </c>
      <c r="CH1288">
        <v>0</v>
      </c>
      <c r="CI1288">
        <v>0</v>
      </c>
      <c r="CJ1288">
        <v>0</v>
      </c>
      <c r="CK1288">
        <v>0</v>
      </c>
      <c r="CL1288">
        <v>0</v>
      </c>
      <c r="CM1288">
        <v>0</v>
      </c>
      <c r="CR1288" t="s">
        <v>2328</v>
      </c>
      <c r="CS1288" s="1369" t="str">
        <f>INDEX([8]Sheet1!$H:$H,MATCH(CR:CR,[8]Sheet1!$AU:$AU,0))</f>
        <v>Water Distribution</v>
      </c>
    </row>
    <row r="1289" spans="1:97" x14ac:dyDescent="0.2">
      <c r="A1289" t="s">
        <v>4295</v>
      </c>
      <c r="B1289">
        <v>1377</v>
      </c>
      <c r="C1289" t="s">
        <v>4295</v>
      </c>
      <c r="D1289">
        <v>41533</v>
      </c>
      <c r="E1289" t="s">
        <v>4286</v>
      </c>
      <c r="F1289" t="s">
        <v>2364</v>
      </c>
      <c r="G1289" t="s">
        <v>2364</v>
      </c>
      <c r="H1289" t="s">
        <v>2365</v>
      </c>
      <c r="I1289" t="s">
        <v>2365</v>
      </c>
      <c r="J1289" t="s">
        <v>2365</v>
      </c>
      <c r="K1289" t="s">
        <v>2365</v>
      </c>
      <c r="L1289">
        <v>1200</v>
      </c>
      <c r="M1289" t="s">
        <v>1480</v>
      </c>
      <c r="N1289">
        <v>1202</v>
      </c>
      <c r="O1289" t="s">
        <v>595</v>
      </c>
      <c r="P1289" t="s">
        <v>1846</v>
      </c>
      <c r="Q1289">
        <v>2080</v>
      </c>
      <c r="R1289" t="s">
        <v>579</v>
      </c>
      <c r="S1289" t="s">
        <v>552</v>
      </c>
      <c r="T1289" t="s">
        <v>2175</v>
      </c>
      <c r="U1289">
        <v>240</v>
      </c>
      <c r="V1289" t="s">
        <v>2389</v>
      </c>
      <c r="W1289">
        <v>240</v>
      </c>
      <c r="X1289" t="s">
        <v>701</v>
      </c>
      <c r="Y1289" t="s">
        <v>2365</v>
      </c>
      <c r="Z1289" t="s">
        <v>2365</v>
      </c>
      <c r="AA1289" t="s">
        <v>2365</v>
      </c>
      <c r="AB1289" t="s">
        <v>2365</v>
      </c>
      <c r="AC1289" s="813" t="s">
        <v>2365</v>
      </c>
      <c r="AD1289" s="813" t="s">
        <v>2365</v>
      </c>
      <c r="AE1289" s="813" t="s">
        <v>2365</v>
      </c>
      <c r="AF1289" t="s">
        <v>2365</v>
      </c>
      <c r="AG1289">
        <v>770</v>
      </c>
      <c r="AH1289" t="s">
        <v>1620</v>
      </c>
      <c r="AI1289">
        <v>770</v>
      </c>
      <c r="AJ1289" t="s">
        <v>1620</v>
      </c>
      <c r="AK1289">
        <v>241</v>
      </c>
      <c r="AL1289" t="s">
        <v>1203</v>
      </c>
      <c r="AM1289">
        <v>241</v>
      </c>
      <c r="AN1289" t="s">
        <v>1203</v>
      </c>
      <c r="AR1289" t="s">
        <v>2365</v>
      </c>
      <c r="AS1289" t="s">
        <v>2365</v>
      </c>
      <c r="AT1289" t="s">
        <v>2365</v>
      </c>
      <c r="AU1289" t="s">
        <v>2365</v>
      </c>
      <c r="AV1289">
        <v>1030</v>
      </c>
      <c r="AW1289" t="s">
        <v>1641</v>
      </c>
      <c r="AX1289">
        <v>1030</v>
      </c>
      <c r="AY1289" t="s">
        <v>1641</v>
      </c>
      <c r="AZ1289" t="s">
        <v>2365</v>
      </c>
      <c r="BA1289" t="s">
        <v>2365</v>
      </c>
      <c r="BB1289" t="s">
        <v>2365</v>
      </c>
      <c r="BC1289" t="s">
        <v>2365</v>
      </c>
      <c r="BD1289" t="s">
        <v>2366</v>
      </c>
      <c r="BE1289" t="s">
        <v>2365</v>
      </c>
      <c r="BF1289" t="s">
        <v>2365</v>
      </c>
      <c r="BG1289" t="s">
        <v>2365</v>
      </c>
      <c r="BH1289" t="s">
        <v>2365</v>
      </c>
      <c r="BI1289" t="s">
        <v>2366</v>
      </c>
      <c r="BJ1289" t="s">
        <v>2365</v>
      </c>
      <c r="BK1289" t="s">
        <v>2365</v>
      </c>
      <c r="BL1289" t="s">
        <v>2365</v>
      </c>
      <c r="BM1289" t="s">
        <v>2365</v>
      </c>
      <c r="BO1289">
        <v>1</v>
      </c>
      <c r="BP1289">
        <v>13</v>
      </c>
      <c r="BQ1289" t="s">
        <v>2369</v>
      </c>
      <c r="BR1289" t="s">
        <v>595</v>
      </c>
      <c r="BU1289">
        <v>0</v>
      </c>
      <c r="BV1289">
        <v>0</v>
      </c>
      <c r="BW1289">
        <v>0</v>
      </c>
      <c r="BX1289">
        <v>0</v>
      </c>
      <c r="BY1289">
        <v>0</v>
      </c>
      <c r="BZ1289">
        <v>0</v>
      </c>
      <c r="CA1289">
        <v>0</v>
      </c>
      <c r="CB1289">
        <v>0</v>
      </c>
      <c r="CC1289">
        <v>0</v>
      </c>
      <c r="CD1289">
        <v>0</v>
      </c>
      <c r="CE1289">
        <v>0</v>
      </c>
      <c r="CF1289">
        <v>0</v>
      </c>
      <c r="CG1289">
        <v>0</v>
      </c>
      <c r="CH1289">
        <v>0</v>
      </c>
      <c r="CI1289">
        <v>0</v>
      </c>
      <c r="CJ1289">
        <v>0</v>
      </c>
      <c r="CK1289">
        <v>0</v>
      </c>
      <c r="CL1289">
        <v>0</v>
      </c>
      <c r="CM1289">
        <v>0</v>
      </c>
      <c r="CR1289" t="s">
        <v>2328</v>
      </c>
      <c r="CS1289" s="1369" t="str">
        <f>INDEX([8]Sheet1!$H:$H,MATCH(CR:CR,[8]Sheet1!$AU:$AU,0))</f>
        <v>Water Distribution</v>
      </c>
    </row>
    <row r="1290" spans="1:97" x14ac:dyDescent="0.2">
      <c r="A1290" t="s">
        <v>4296</v>
      </c>
      <c r="B1290">
        <v>1378</v>
      </c>
      <c r="C1290" t="s">
        <v>4296</v>
      </c>
      <c r="D1290">
        <v>41534</v>
      </c>
      <c r="E1290" t="s">
        <v>2395</v>
      </c>
      <c r="F1290" t="s">
        <v>2364</v>
      </c>
      <c r="G1290" t="s">
        <v>2364</v>
      </c>
      <c r="H1290" t="s">
        <v>2365</v>
      </c>
      <c r="I1290" t="s">
        <v>2365</v>
      </c>
      <c r="J1290" t="s">
        <v>2365</v>
      </c>
      <c r="K1290" t="s">
        <v>2365</v>
      </c>
      <c r="L1290">
        <v>1200</v>
      </c>
      <c r="M1290" t="s">
        <v>1480</v>
      </c>
      <c r="N1290">
        <v>1202</v>
      </c>
      <c r="O1290" t="s">
        <v>595</v>
      </c>
      <c r="P1290" t="s">
        <v>2366</v>
      </c>
      <c r="Q1290">
        <v>2080</v>
      </c>
      <c r="R1290" t="s">
        <v>579</v>
      </c>
      <c r="S1290" t="s">
        <v>552</v>
      </c>
      <c r="T1290" t="s">
        <v>2175</v>
      </c>
      <c r="U1290">
        <v>240</v>
      </c>
      <c r="V1290" t="s">
        <v>2389</v>
      </c>
      <c r="W1290">
        <v>240</v>
      </c>
      <c r="X1290" t="s">
        <v>701</v>
      </c>
      <c r="Y1290" t="s">
        <v>2365</v>
      </c>
      <c r="Z1290" t="s">
        <v>2365</v>
      </c>
      <c r="AA1290" t="s">
        <v>2365</v>
      </c>
      <c r="AB1290" t="s">
        <v>2365</v>
      </c>
      <c r="AC1290" s="813" t="s">
        <v>2365</v>
      </c>
      <c r="AD1290" s="813" t="s">
        <v>2365</v>
      </c>
      <c r="AE1290" s="813" t="s">
        <v>2365</v>
      </c>
      <c r="AF1290" t="s">
        <v>2365</v>
      </c>
      <c r="AG1290">
        <v>1530</v>
      </c>
      <c r="AH1290" t="s">
        <v>1677</v>
      </c>
      <c r="AI1290">
        <v>1530</v>
      </c>
      <c r="AJ1290" t="s">
        <v>1677</v>
      </c>
      <c r="AK1290">
        <v>243</v>
      </c>
      <c r="AL1290" t="s">
        <v>1205</v>
      </c>
      <c r="AM1290">
        <v>243</v>
      </c>
      <c r="AN1290" t="s">
        <v>1205</v>
      </c>
      <c r="AR1290" t="s">
        <v>2365</v>
      </c>
      <c r="AS1290" t="s">
        <v>2365</v>
      </c>
      <c r="AT1290" t="s">
        <v>2365</v>
      </c>
      <c r="AU1290" t="s">
        <v>2365</v>
      </c>
      <c r="AV1290">
        <v>1530</v>
      </c>
      <c r="AW1290" t="s">
        <v>1677</v>
      </c>
      <c r="AX1290">
        <v>1530</v>
      </c>
      <c r="AY1290" t="s">
        <v>1677</v>
      </c>
      <c r="AZ1290" t="s">
        <v>2365</v>
      </c>
      <c r="BA1290" t="s">
        <v>2365</v>
      </c>
      <c r="BB1290" t="s">
        <v>2365</v>
      </c>
      <c r="BC1290" t="s">
        <v>2365</v>
      </c>
      <c r="BD1290" t="s">
        <v>2366</v>
      </c>
      <c r="BE1290" t="s">
        <v>2365</v>
      </c>
      <c r="BF1290" t="s">
        <v>2365</v>
      </c>
      <c r="BG1290" t="s">
        <v>2365</v>
      </c>
      <c r="BH1290" t="s">
        <v>2365</v>
      </c>
      <c r="BI1290" t="s">
        <v>2366</v>
      </c>
      <c r="BJ1290" t="s">
        <v>2365</v>
      </c>
      <c r="BK1290" t="s">
        <v>2365</v>
      </c>
      <c r="BL1290" t="s">
        <v>2365</v>
      </c>
      <c r="BM1290" t="s">
        <v>2365</v>
      </c>
      <c r="BO1290">
        <v>1</v>
      </c>
      <c r="BP1290">
        <v>13</v>
      </c>
      <c r="BQ1290" t="s">
        <v>2369</v>
      </c>
      <c r="BR1290" t="s">
        <v>595</v>
      </c>
      <c r="BU1290">
        <v>0</v>
      </c>
      <c r="BV1290">
        <v>0</v>
      </c>
      <c r="BW1290">
        <v>0</v>
      </c>
      <c r="BX1290">
        <v>0</v>
      </c>
      <c r="BY1290">
        <v>0</v>
      </c>
      <c r="BZ1290">
        <v>0</v>
      </c>
      <c r="CA1290">
        <v>0</v>
      </c>
      <c r="CB1290">
        <v>-67493.09</v>
      </c>
      <c r="CC1290">
        <v>-65315.88</v>
      </c>
      <c r="CD1290">
        <v>-60002.28</v>
      </c>
      <c r="CE1290">
        <v>-64968.98</v>
      </c>
      <c r="CF1290">
        <v>-62873.2</v>
      </c>
      <c r="CG1290">
        <v>-64968.97</v>
      </c>
      <c r="CH1290">
        <v>-64968.97</v>
      </c>
      <c r="CI1290">
        <v>-58681.65</v>
      </c>
      <c r="CJ1290">
        <v>0</v>
      </c>
      <c r="CK1290">
        <v>0</v>
      </c>
      <c r="CL1290">
        <v>0</v>
      </c>
      <c r="CM1290">
        <v>0</v>
      </c>
      <c r="CR1290" t="s">
        <v>2328</v>
      </c>
      <c r="CS1290" s="1369" t="str">
        <f>INDEX([8]Sheet1!$H:$H,MATCH(CR:CR,[8]Sheet1!$AU:$AU,0))</f>
        <v>Water Distribution</v>
      </c>
    </row>
    <row r="1291" spans="1:97" x14ac:dyDescent="0.2">
      <c r="A1291" t="s">
        <v>4297</v>
      </c>
      <c r="B1291">
        <v>1379</v>
      </c>
      <c r="C1291" t="s">
        <v>4297</v>
      </c>
      <c r="D1291">
        <v>41535</v>
      </c>
      <c r="E1291" t="s">
        <v>4298</v>
      </c>
      <c r="F1291" t="s">
        <v>2364</v>
      </c>
      <c r="G1291" t="s">
        <v>2364</v>
      </c>
      <c r="H1291" t="s">
        <v>2365</v>
      </c>
      <c r="I1291" t="s">
        <v>2365</v>
      </c>
      <c r="J1291" t="s">
        <v>2365</v>
      </c>
      <c r="K1291" t="s">
        <v>2365</v>
      </c>
      <c r="L1291">
        <v>1200</v>
      </c>
      <c r="M1291" t="s">
        <v>1480</v>
      </c>
      <c r="N1291">
        <v>1202</v>
      </c>
      <c r="O1291" t="s">
        <v>595</v>
      </c>
      <c r="P1291" t="s">
        <v>2366</v>
      </c>
      <c r="Q1291">
        <v>2080</v>
      </c>
      <c r="R1291" t="s">
        <v>579</v>
      </c>
      <c r="S1291" t="s">
        <v>552</v>
      </c>
      <c r="T1291" t="s">
        <v>2175</v>
      </c>
      <c r="U1291" t="s">
        <v>2366</v>
      </c>
      <c r="V1291" t="s">
        <v>2366</v>
      </c>
      <c r="W1291" t="s">
        <v>2366</v>
      </c>
      <c r="X1291" t="s">
        <v>2366</v>
      </c>
      <c r="Y1291" t="s">
        <v>2365</v>
      </c>
      <c r="Z1291" t="s">
        <v>2365</v>
      </c>
      <c r="AA1291" t="s">
        <v>2365</v>
      </c>
      <c r="AB1291" t="s">
        <v>2365</v>
      </c>
      <c r="AC1291" s="813" t="s">
        <v>2365</v>
      </c>
      <c r="AD1291" s="813" t="s">
        <v>2365</v>
      </c>
      <c r="AE1291" s="813" t="s">
        <v>2365</v>
      </c>
      <c r="AF1291" t="s">
        <v>2365</v>
      </c>
      <c r="AG1291">
        <v>1530</v>
      </c>
      <c r="AH1291" t="s">
        <v>1677</v>
      </c>
      <c r="AI1291">
        <v>1530</v>
      </c>
      <c r="AJ1291" t="s">
        <v>1677</v>
      </c>
      <c r="AK1291">
        <v>241</v>
      </c>
      <c r="AL1291" t="s">
        <v>1203</v>
      </c>
      <c r="AM1291">
        <v>241</v>
      </c>
      <c r="AN1291" t="s">
        <v>1203</v>
      </c>
      <c r="AR1291" t="s">
        <v>2365</v>
      </c>
      <c r="AS1291" t="s">
        <v>2365</v>
      </c>
      <c r="AT1291" t="s">
        <v>2365</v>
      </c>
      <c r="AU1291" t="s">
        <v>2365</v>
      </c>
      <c r="AV1291">
        <v>1530</v>
      </c>
      <c r="AW1291" t="s">
        <v>1677</v>
      </c>
      <c r="AX1291">
        <v>1530</v>
      </c>
      <c r="AY1291" t="s">
        <v>1677</v>
      </c>
      <c r="AZ1291" t="s">
        <v>2365</v>
      </c>
      <c r="BA1291" t="s">
        <v>2365</v>
      </c>
      <c r="BB1291" t="s">
        <v>2365</v>
      </c>
      <c r="BC1291" t="s">
        <v>2365</v>
      </c>
      <c r="BD1291" t="s">
        <v>2366</v>
      </c>
      <c r="BE1291" t="s">
        <v>2365</v>
      </c>
      <c r="BF1291" t="s">
        <v>2365</v>
      </c>
      <c r="BG1291" t="s">
        <v>2365</v>
      </c>
      <c r="BH1291" t="s">
        <v>2365</v>
      </c>
      <c r="BI1291" t="s">
        <v>2366</v>
      </c>
      <c r="BJ1291" t="s">
        <v>2365</v>
      </c>
      <c r="BK1291" t="s">
        <v>2365</v>
      </c>
      <c r="BL1291" t="s">
        <v>2365</v>
      </c>
      <c r="BM1291" t="s">
        <v>2365</v>
      </c>
      <c r="BO1291">
        <v>1</v>
      </c>
      <c r="BP1291">
        <v>13</v>
      </c>
      <c r="BQ1291" t="s">
        <v>2369</v>
      </c>
      <c r="BR1291" t="s">
        <v>595</v>
      </c>
      <c r="BU1291">
        <v>0</v>
      </c>
      <c r="BV1291">
        <v>0</v>
      </c>
      <c r="BW1291">
        <v>0</v>
      </c>
      <c r="BX1291">
        <v>0</v>
      </c>
      <c r="BY1291">
        <v>0</v>
      </c>
      <c r="BZ1291">
        <v>0</v>
      </c>
      <c r="CA1291">
        <v>0</v>
      </c>
      <c r="CB1291">
        <v>0</v>
      </c>
      <c r="CC1291">
        <v>0</v>
      </c>
      <c r="CD1291">
        <v>0</v>
      </c>
      <c r="CE1291">
        <v>0</v>
      </c>
      <c r="CF1291">
        <v>0</v>
      </c>
      <c r="CG1291">
        <v>0</v>
      </c>
      <c r="CH1291">
        <v>0</v>
      </c>
      <c r="CI1291">
        <v>0</v>
      </c>
      <c r="CJ1291">
        <v>0</v>
      </c>
      <c r="CK1291">
        <v>0</v>
      </c>
      <c r="CL1291">
        <v>0</v>
      </c>
      <c r="CM1291">
        <v>0</v>
      </c>
      <c r="CR1291" t="s">
        <v>2328</v>
      </c>
      <c r="CS1291" s="1369" t="str">
        <f>INDEX([8]Sheet1!$H:$H,MATCH(CR:CR,[8]Sheet1!$AU:$AU,0))</f>
        <v>Water Distribution</v>
      </c>
    </row>
    <row r="1292" spans="1:97" x14ac:dyDescent="0.2">
      <c r="A1292" t="s">
        <v>4299</v>
      </c>
      <c r="B1292">
        <v>1380</v>
      </c>
      <c r="C1292" t="s">
        <v>4299</v>
      </c>
      <c r="D1292">
        <v>41536</v>
      </c>
      <c r="E1292" t="s">
        <v>4300</v>
      </c>
      <c r="F1292" t="s">
        <v>2364</v>
      </c>
      <c r="G1292" t="s">
        <v>2364</v>
      </c>
      <c r="H1292" t="s">
        <v>2365</v>
      </c>
      <c r="I1292" t="s">
        <v>2365</v>
      </c>
      <c r="J1292" t="s">
        <v>2365</v>
      </c>
      <c r="K1292" t="s">
        <v>2365</v>
      </c>
      <c r="L1292">
        <v>1200</v>
      </c>
      <c r="M1292" t="s">
        <v>1480</v>
      </c>
      <c r="N1292">
        <v>1202</v>
      </c>
      <c r="O1292" t="s">
        <v>595</v>
      </c>
      <c r="P1292" t="s">
        <v>1846</v>
      </c>
      <c r="Q1292">
        <v>2080</v>
      </c>
      <c r="R1292" t="s">
        <v>579</v>
      </c>
      <c r="S1292" t="s">
        <v>552</v>
      </c>
      <c r="T1292" t="s">
        <v>2175</v>
      </c>
      <c r="U1292">
        <v>240</v>
      </c>
      <c r="V1292" t="s">
        <v>2389</v>
      </c>
      <c r="W1292">
        <v>240</v>
      </c>
      <c r="X1292" t="s">
        <v>701</v>
      </c>
      <c r="Y1292" t="s">
        <v>2365</v>
      </c>
      <c r="Z1292" t="s">
        <v>2365</v>
      </c>
      <c r="AA1292" t="s">
        <v>2365</v>
      </c>
      <c r="AB1292" t="s">
        <v>2365</v>
      </c>
      <c r="AC1292" s="813" t="s">
        <v>2365</v>
      </c>
      <c r="AD1292" s="813" t="s">
        <v>2365</v>
      </c>
      <c r="AE1292" s="813" t="s">
        <v>2365</v>
      </c>
      <c r="AF1292" t="s">
        <v>2365</v>
      </c>
      <c r="AG1292">
        <v>1530</v>
      </c>
      <c r="AH1292" t="s">
        <v>1677</v>
      </c>
      <c r="AI1292">
        <v>1530</v>
      </c>
      <c r="AJ1292" t="s">
        <v>1677</v>
      </c>
      <c r="AK1292">
        <v>241</v>
      </c>
      <c r="AL1292" t="s">
        <v>1203</v>
      </c>
      <c r="AM1292">
        <v>241</v>
      </c>
      <c r="AN1292" t="s">
        <v>1203</v>
      </c>
      <c r="AR1292" t="s">
        <v>2365</v>
      </c>
      <c r="AS1292" t="s">
        <v>2365</v>
      </c>
      <c r="AT1292" t="s">
        <v>2365</v>
      </c>
      <c r="AU1292" t="s">
        <v>2365</v>
      </c>
      <c r="AV1292">
        <v>1530</v>
      </c>
      <c r="AW1292" t="s">
        <v>1677</v>
      </c>
      <c r="AX1292">
        <v>1530</v>
      </c>
      <c r="AY1292" t="s">
        <v>1677</v>
      </c>
      <c r="AZ1292" t="s">
        <v>2365</v>
      </c>
      <c r="BA1292" t="s">
        <v>2365</v>
      </c>
      <c r="BB1292" t="s">
        <v>2365</v>
      </c>
      <c r="BC1292" t="s">
        <v>2365</v>
      </c>
      <c r="BD1292" t="s">
        <v>2366</v>
      </c>
      <c r="BE1292" t="s">
        <v>2365</v>
      </c>
      <c r="BF1292" t="s">
        <v>2365</v>
      </c>
      <c r="BG1292" t="s">
        <v>2365</v>
      </c>
      <c r="BH1292" t="s">
        <v>2365</v>
      </c>
      <c r="BI1292" t="s">
        <v>2366</v>
      </c>
      <c r="BJ1292" t="s">
        <v>2365</v>
      </c>
      <c r="BK1292" t="s">
        <v>2365</v>
      </c>
      <c r="BL1292" t="s">
        <v>2365</v>
      </c>
      <c r="BM1292" t="s">
        <v>2365</v>
      </c>
      <c r="BO1292">
        <v>1</v>
      </c>
      <c r="BP1292">
        <v>13</v>
      </c>
      <c r="BQ1292" t="s">
        <v>2369</v>
      </c>
      <c r="BR1292" t="s">
        <v>595</v>
      </c>
      <c r="BU1292">
        <v>0</v>
      </c>
      <c r="BV1292">
        <v>0</v>
      </c>
      <c r="BW1292">
        <v>0</v>
      </c>
      <c r="BX1292">
        <v>0</v>
      </c>
      <c r="BY1292">
        <v>0</v>
      </c>
      <c r="BZ1292">
        <v>0</v>
      </c>
      <c r="CA1292">
        <v>0</v>
      </c>
      <c r="CB1292">
        <v>0</v>
      </c>
      <c r="CC1292">
        <v>0</v>
      </c>
      <c r="CD1292">
        <v>0</v>
      </c>
      <c r="CE1292">
        <v>0</v>
      </c>
      <c r="CF1292">
        <v>0</v>
      </c>
      <c r="CG1292">
        <v>0</v>
      </c>
      <c r="CH1292">
        <v>0</v>
      </c>
      <c r="CI1292">
        <v>0</v>
      </c>
      <c r="CJ1292">
        <v>0</v>
      </c>
      <c r="CK1292">
        <v>0</v>
      </c>
      <c r="CL1292">
        <v>0</v>
      </c>
      <c r="CM1292">
        <v>0</v>
      </c>
      <c r="CR1292" t="s">
        <v>2328</v>
      </c>
      <c r="CS1292" s="1369" t="str">
        <f>INDEX([8]Sheet1!$H:$H,MATCH(CR:CR,[8]Sheet1!$AU:$AU,0))</f>
        <v>Water Distribution</v>
      </c>
    </row>
    <row r="1293" spans="1:97" x14ac:dyDescent="0.2">
      <c r="A1293" t="s">
        <v>4301</v>
      </c>
      <c r="B1293">
        <v>1381</v>
      </c>
      <c r="C1293" t="s">
        <v>4301</v>
      </c>
      <c r="D1293">
        <v>41537</v>
      </c>
      <c r="E1293" t="s">
        <v>2388</v>
      </c>
      <c r="F1293" t="s">
        <v>2364</v>
      </c>
      <c r="G1293" t="s">
        <v>2364</v>
      </c>
      <c r="H1293" t="s">
        <v>2365</v>
      </c>
      <c r="I1293" t="s">
        <v>2365</v>
      </c>
      <c r="J1293" t="s">
        <v>2365</v>
      </c>
      <c r="K1293" t="s">
        <v>2365</v>
      </c>
      <c r="L1293">
        <v>1200</v>
      </c>
      <c r="M1293" t="s">
        <v>1480</v>
      </c>
      <c r="N1293">
        <v>1202</v>
      </c>
      <c r="O1293" t="s">
        <v>595</v>
      </c>
      <c r="P1293" t="s">
        <v>2366</v>
      </c>
      <c r="Q1293">
        <v>2080</v>
      </c>
      <c r="R1293" t="s">
        <v>579</v>
      </c>
      <c r="S1293" t="s">
        <v>552</v>
      </c>
      <c r="T1293" t="s">
        <v>2175</v>
      </c>
      <c r="U1293">
        <v>240</v>
      </c>
      <c r="V1293" t="s">
        <v>2389</v>
      </c>
      <c r="W1293">
        <v>240</v>
      </c>
      <c r="X1293" t="s">
        <v>701</v>
      </c>
      <c r="Y1293" t="s">
        <v>2365</v>
      </c>
      <c r="Z1293" t="s">
        <v>2365</v>
      </c>
      <c r="AA1293" t="s">
        <v>2365</v>
      </c>
      <c r="AB1293" t="s">
        <v>2365</v>
      </c>
      <c r="AC1293" s="813" t="s">
        <v>2365</v>
      </c>
      <c r="AD1293" s="813" t="s">
        <v>2365</v>
      </c>
      <c r="AE1293" s="813" t="s">
        <v>2365</v>
      </c>
      <c r="AF1293" t="s">
        <v>2365</v>
      </c>
      <c r="AG1293">
        <v>1470</v>
      </c>
      <c r="AH1293" t="s">
        <v>1674</v>
      </c>
      <c r="AI1293">
        <v>1470</v>
      </c>
      <c r="AJ1293" t="s">
        <v>1674</v>
      </c>
      <c r="AK1293">
        <v>243</v>
      </c>
      <c r="AL1293" t="s">
        <v>1205</v>
      </c>
      <c r="AM1293">
        <v>243</v>
      </c>
      <c r="AN1293" t="s">
        <v>1205</v>
      </c>
      <c r="AR1293" t="s">
        <v>2365</v>
      </c>
      <c r="AS1293" t="s">
        <v>2365</v>
      </c>
      <c r="AT1293" t="s">
        <v>2365</v>
      </c>
      <c r="AU1293" t="s">
        <v>2365</v>
      </c>
      <c r="AV1293">
        <v>1470</v>
      </c>
      <c r="AW1293" t="s">
        <v>1674</v>
      </c>
      <c r="AX1293">
        <v>1470</v>
      </c>
      <c r="AY1293" t="s">
        <v>1674</v>
      </c>
      <c r="AZ1293" t="s">
        <v>2365</v>
      </c>
      <c r="BA1293" t="s">
        <v>2365</v>
      </c>
      <c r="BB1293" t="s">
        <v>2365</v>
      </c>
      <c r="BC1293" t="s">
        <v>2365</v>
      </c>
      <c r="BD1293" t="s">
        <v>2366</v>
      </c>
      <c r="BE1293" t="s">
        <v>2365</v>
      </c>
      <c r="BF1293" t="s">
        <v>2365</v>
      </c>
      <c r="BG1293" t="s">
        <v>2365</v>
      </c>
      <c r="BH1293" t="s">
        <v>2365</v>
      </c>
      <c r="BI1293" t="s">
        <v>2366</v>
      </c>
      <c r="BJ1293" t="s">
        <v>2365</v>
      </c>
      <c r="BK1293" t="s">
        <v>2365</v>
      </c>
      <c r="BL1293" t="s">
        <v>2365</v>
      </c>
      <c r="BM1293" t="s">
        <v>2365</v>
      </c>
      <c r="BO1293">
        <v>1</v>
      </c>
      <c r="BP1293">
        <v>13</v>
      </c>
      <c r="BQ1293" t="s">
        <v>2369</v>
      </c>
      <c r="BR1293" t="s">
        <v>595</v>
      </c>
      <c r="BU1293">
        <v>0</v>
      </c>
      <c r="BV1293">
        <v>0</v>
      </c>
      <c r="BW1293">
        <v>0</v>
      </c>
      <c r="BX1293">
        <v>0</v>
      </c>
      <c r="BY1293">
        <v>0</v>
      </c>
      <c r="BZ1293">
        <v>0</v>
      </c>
      <c r="CA1293">
        <v>0</v>
      </c>
      <c r="CB1293">
        <v>0</v>
      </c>
      <c r="CC1293">
        <v>0</v>
      </c>
      <c r="CD1293">
        <v>0</v>
      </c>
      <c r="CE1293">
        <v>0</v>
      </c>
      <c r="CF1293">
        <v>0</v>
      </c>
      <c r="CG1293">
        <v>0</v>
      </c>
      <c r="CH1293">
        <v>0</v>
      </c>
      <c r="CI1293">
        <v>0</v>
      </c>
      <c r="CJ1293">
        <v>0</v>
      </c>
      <c r="CK1293">
        <v>0</v>
      </c>
      <c r="CL1293">
        <v>0</v>
      </c>
      <c r="CM1293">
        <v>0</v>
      </c>
      <c r="CR1293" t="s">
        <v>2328</v>
      </c>
      <c r="CS1293" s="1369" t="str">
        <f>INDEX([8]Sheet1!$H:$H,MATCH(CR:CR,[8]Sheet1!$AU:$AU,0))</f>
        <v>Water Distribution</v>
      </c>
    </row>
    <row r="1294" spans="1:97" x14ac:dyDescent="0.2">
      <c r="A1294" t="s">
        <v>4302</v>
      </c>
      <c r="B1294">
        <v>1382</v>
      </c>
      <c r="C1294" t="s">
        <v>4302</v>
      </c>
      <c r="D1294">
        <v>41538</v>
      </c>
      <c r="E1294" t="s">
        <v>4303</v>
      </c>
      <c r="F1294" t="s">
        <v>2364</v>
      </c>
      <c r="G1294" t="s">
        <v>2364</v>
      </c>
      <c r="H1294" t="s">
        <v>2365</v>
      </c>
      <c r="I1294" t="s">
        <v>2365</v>
      </c>
      <c r="J1294" t="s">
        <v>2365</v>
      </c>
      <c r="K1294" t="s">
        <v>2365</v>
      </c>
      <c r="L1294">
        <v>1200</v>
      </c>
      <c r="M1294" t="s">
        <v>1480</v>
      </c>
      <c r="N1294">
        <v>1202</v>
      </c>
      <c r="O1294" t="s">
        <v>595</v>
      </c>
      <c r="P1294" t="s">
        <v>2366</v>
      </c>
      <c r="Q1294">
        <v>2080</v>
      </c>
      <c r="R1294" t="s">
        <v>579</v>
      </c>
      <c r="S1294" t="s">
        <v>552</v>
      </c>
      <c r="T1294" t="s">
        <v>2175</v>
      </c>
      <c r="U1294" t="s">
        <v>2366</v>
      </c>
      <c r="V1294" t="s">
        <v>2366</v>
      </c>
      <c r="W1294" t="s">
        <v>2366</v>
      </c>
      <c r="X1294" t="s">
        <v>2366</v>
      </c>
      <c r="Y1294" t="s">
        <v>2365</v>
      </c>
      <c r="Z1294" t="s">
        <v>2365</v>
      </c>
      <c r="AA1294" t="s">
        <v>2365</v>
      </c>
      <c r="AB1294" t="s">
        <v>2365</v>
      </c>
      <c r="AC1294" s="813" t="s">
        <v>2365</v>
      </c>
      <c r="AD1294" s="813" t="s">
        <v>2365</v>
      </c>
      <c r="AE1294" s="813" t="s">
        <v>2365</v>
      </c>
      <c r="AF1294" t="s">
        <v>2365</v>
      </c>
      <c r="AG1294">
        <v>1470</v>
      </c>
      <c r="AH1294" t="s">
        <v>1674</v>
      </c>
      <c r="AI1294">
        <v>1470</v>
      </c>
      <c r="AJ1294" t="s">
        <v>1674</v>
      </c>
      <c r="AK1294">
        <v>241</v>
      </c>
      <c r="AL1294" t="s">
        <v>1203</v>
      </c>
      <c r="AM1294">
        <v>241</v>
      </c>
      <c r="AN1294" t="s">
        <v>1203</v>
      </c>
      <c r="AR1294" t="s">
        <v>2365</v>
      </c>
      <c r="AS1294" t="s">
        <v>2365</v>
      </c>
      <c r="AT1294" t="s">
        <v>2365</v>
      </c>
      <c r="AU1294" t="s">
        <v>2365</v>
      </c>
      <c r="AV1294">
        <v>1470</v>
      </c>
      <c r="AW1294" t="s">
        <v>1674</v>
      </c>
      <c r="AX1294">
        <v>1470</v>
      </c>
      <c r="AY1294" t="s">
        <v>1674</v>
      </c>
      <c r="AZ1294" t="s">
        <v>2365</v>
      </c>
      <c r="BA1294" t="s">
        <v>2365</v>
      </c>
      <c r="BB1294" t="s">
        <v>2365</v>
      </c>
      <c r="BC1294" t="s">
        <v>2365</v>
      </c>
      <c r="BD1294" t="s">
        <v>2366</v>
      </c>
      <c r="BE1294" t="s">
        <v>2365</v>
      </c>
      <c r="BF1294" t="s">
        <v>2365</v>
      </c>
      <c r="BG1294" t="s">
        <v>2365</v>
      </c>
      <c r="BH1294" t="s">
        <v>2365</v>
      </c>
      <c r="BI1294" t="s">
        <v>2366</v>
      </c>
      <c r="BJ1294" t="s">
        <v>2365</v>
      </c>
      <c r="BK1294" t="s">
        <v>2365</v>
      </c>
      <c r="BL1294" t="s">
        <v>2365</v>
      </c>
      <c r="BM1294" t="s">
        <v>2365</v>
      </c>
      <c r="BO1294">
        <v>1</v>
      </c>
      <c r="BP1294">
        <v>13</v>
      </c>
      <c r="BQ1294" t="s">
        <v>2369</v>
      </c>
      <c r="BR1294" t="s">
        <v>595</v>
      </c>
      <c r="BU1294">
        <v>0</v>
      </c>
      <c r="BV1294">
        <v>0</v>
      </c>
      <c r="BW1294">
        <v>0</v>
      </c>
      <c r="BX1294">
        <v>0</v>
      </c>
      <c r="BY1294">
        <v>0</v>
      </c>
      <c r="BZ1294">
        <v>0</v>
      </c>
      <c r="CA1294">
        <v>0</v>
      </c>
      <c r="CB1294">
        <v>0</v>
      </c>
      <c r="CC1294">
        <v>0</v>
      </c>
      <c r="CD1294">
        <v>0</v>
      </c>
      <c r="CE1294">
        <v>0</v>
      </c>
      <c r="CF1294">
        <v>0</v>
      </c>
      <c r="CG1294">
        <v>0</v>
      </c>
      <c r="CH1294">
        <v>0</v>
      </c>
      <c r="CI1294">
        <v>0</v>
      </c>
      <c r="CJ1294">
        <v>0</v>
      </c>
      <c r="CK1294">
        <v>0</v>
      </c>
      <c r="CL1294">
        <v>0</v>
      </c>
      <c r="CM1294">
        <v>0</v>
      </c>
      <c r="CR1294" t="s">
        <v>2328</v>
      </c>
      <c r="CS1294" s="1369" t="str">
        <f>INDEX([8]Sheet1!$H:$H,MATCH(CR:CR,[8]Sheet1!$AU:$AU,0))</f>
        <v>Water Distribution</v>
      </c>
    </row>
    <row r="1295" spans="1:97" x14ac:dyDescent="0.2">
      <c r="A1295" t="s">
        <v>4304</v>
      </c>
      <c r="B1295">
        <v>1383</v>
      </c>
      <c r="C1295" t="s">
        <v>4304</v>
      </c>
      <c r="D1295">
        <v>41539</v>
      </c>
      <c r="E1295" t="s">
        <v>4305</v>
      </c>
      <c r="F1295" t="s">
        <v>2364</v>
      </c>
      <c r="G1295" t="s">
        <v>2364</v>
      </c>
      <c r="H1295" t="s">
        <v>2365</v>
      </c>
      <c r="I1295" t="s">
        <v>2365</v>
      </c>
      <c r="J1295" t="s">
        <v>2365</v>
      </c>
      <c r="K1295" t="s">
        <v>2365</v>
      </c>
      <c r="L1295">
        <v>1200</v>
      </c>
      <c r="M1295" t="s">
        <v>1480</v>
      </c>
      <c r="N1295">
        <v>1202</v>
      </c>
      <c r="O1295" t="s">
        <v>595</v>
      </c>
      <c r="P1295" t="s">
        <v>1846</v>
      </c>
      <c r="Q1295">
        <v>2080</v>
      </c>
      <c r="R1295" t="s">
        <v>579</v>
      </c>
      <c r="S1295" t="s">
        <v>552</v>
      </c>
      <c r="T1295" t="s">
        <v>2175</v>
      </c>
      <c r="U1295">
        <v>240</v>
      </c>
      <c r="V1295" t="s">
        <v>2389</v>
      </c>
      <c r="W1295">
        <v>240</v>
      </c>
      <c r="X1295" t="s">
        <v>701</v>
      </c>
      <c r="Y1295" t="s">
        <v>2365</v>
      </c>
      <c r="Z1295" t="s">
        <v>2365</v>
      </c>
      <c r="AA1295" t="s">
        <v>2365</v>
      </c>
      <c r="AB1295" t="s">
        <v>2365</v>
      </c>
      <c r="AC1295" s="813" t="s">
        <v>2365</v>
      </c>
      <c r="AD1295" s="813" t="s">
        <v>2365</v>
      </c>
      <c r="AE1295" s="813" t="s">
        <v>2365</v>
      </c>
      <c r="AF1295" t="s">
        <v>2365</v>
      </c>
      <c r="AG1295">
        <v>1470</v>
      </c>
      <c r="AH1295" t="s">
        <v>1674</v>
      </c>
      <c r="AI1295">
        <v>1470</v>
      </c>
      <c r="AJ1295" t="s">
        <v>1674</v>
      </c>
      <c r="AK1295">
        <v>241</v>
      </c>
      <c r="AL1295" t="s">
        <v>1203</v>
      </c>
      <c r="AM1295">
        <v>241</v>
      </c>
      <c r="AN1295" t="s">
        <v>1203</v>
      </c>
      <c r="AR1295" t="s">
        <v>2365</v>
      </c>
      <c r="AS1295" t="s">
        <v>2365</v>
      </c>
      <c r="AT1295" t="s">
        <v>2365</v>
      </c>
      <c r="AU1295" t="s">
        <v>2365</v>
      </c>
      <c r="AV1295">
        <v>1470</v>
      </c>
      <c r="AW1295" t="s">
        <v>1674</v>
      </c>
      <c r="AX1295">
        <v>1470</v>
      </c>
      <c r="AY1295" t="s">
        <v>1674</v>
      </c>
      <c r="AZ1295" t="s">
        <v>2365</v>
      </c>
      <c r="BA1295" t="s">
        <v>2365</v>
      </c>
      <c r="BB1295" t="s">
        <v>2365</v>
      </c>
      <c r="BC1295" t="s">
        <v>2365</v>
      </c>
      <c r="BD1295" t="s">
        <v>2366</v>
      </c>
      <c r="BE1295" t="s">
        <v>2365</v>
      </c>
      <c r="BF1295" t="s">
        <v>2365</v>
      </c>
      <c r="BG1295" t="s">
        <v>2365</v>
      </c>
      <c r="BH1295" t="s">
        <v>2365</v>
      </c>
      <c r="BI1295" t="s">
        <v>2366</v>
      </c>
      <c r="BJ1295" t="s">
        <v>2365</v>
      </c>
      <c r="BK1295" t="s">
        <v>2365</v>
      </c>
      <c r="BL1295" t="s">
        <v>2365</v>
      </c>
      <c r="BM1295" t="s">
        <v>2365</v>
      </c>
      <c r="BO1295">
        <v>1</v>
      </c>
      <c r="BP1295">
        <v>13</v>
      </c>
      <c r="BQ1295" t="s">
        <v>2369</v>
      </c>
      <c r="BR1295" t="s">
        <v>595</v>
      </c>
      <c r="BU1295">
        <v>0</v>
      </c>
      <c r="BV1295">
        <v>0</v>
      </c>
      <c r="BW1295">
        <v>0</v>
      </c>
      <c r="BX1295">
        <v>0</v>
      </c>
      <c r="BY1295">
        <v>0</v>
      </c>
      <c r="BZ1295">
        <v>0</v>
      </c>
      <c r="CA1295">
        <v>0</v>
      </c>
      <c r="CB1295">
        <v>0</v>
      </c>
      <c r="CC1295">
        <v>0</v>
      </c>
      <c r="CD1295">
        <v>0</v>
      </c>
      <c r="CE1295">
        <v>0</v>
      </c>
      <c r="CF1295">
        <v>0</v>
      </c>
      <c r="CG1295">
        <v>0</v>
      </c>
      <c r="CH1295">
        <v>0</v>
      </c>
      <c r="CI1295">
        <v>0</v>
      </c>
      <c r="CJ1295">
        <v>0</v>
      </c>
      <c r="CK1295">
        <v>0</v>
      </c>
      <c r="CL1295">
        <v>0</v>
      </c>
      <c r="CM1295">
        <v>0</v>
      </c>
      <c r="CR1295" t="s">
        <v>2328</v>
      </c>
      <c r="CS1295" s="1369" t="str">
        <f>INDEX([8]Sheet1!$H:$H,MATCH(CR:CR,[8]Sheet1!$AU:$AU,0))</f>
        <v>Water Distribution</v>
      </c>
    </row>
    <row r="1296" spans="1:97" x14ac:dyDescent="0.2">
      <c r="A1296" t="s">
        <v>4306</v>
      </c>
      <c r="B1296">
        <v>1384</v>
      </c>
      <c r="C1296" t="s">
        <v>4306</v>
      </c>
      <c r="D1296">
        <v>41540</v>
      </c>
      <c r="E1296" t="s">
        <v>2391</v>
      </c>
      <c r="F1296" t="s">
        <v>2364</v>
      </c>
      <c r="G1296" t="s">
        <v>2364</v>
      </c>
      <c r="H1296" t="s">
        <v>2365</v>
      </c>
      <c r="I1296" t="s">
        <v>2365</v>
      </c>
      <c r="J1296" t="s">
        <v>2365</v>
      </c>
      <c r="K1296" t="s">
        <v>2365</v>
      </c>
      <c r="L1296">
        <v>1200</v>
      </c>
      <c r="M1296" t="s">
        <v>1480</v>
      </c>
      <c r="N1296">
        <v>1202</v>
      </c>
      <c r="O1296" t="s">
        <v>595</v>
      </c>
      <c r="P1296" t="s">
        <v>2366</v>
      </c>
      <c r="Q1296">
        <v>2080</v>
      </c>
      <c r="R1296" t="s">
        <v>579</v>
      </c>
      <c r="S1296" t="s">
        <v>552</v>
      </c>
      <c r="T1296" t="s">
        <v>2175</v>
      </c>
      <c r="U1296">
        <v>240</v>
      </c>
      <c r="V1296" t="s">
        <v>2389</v>
      </c>
      <c r="W1296">
        <v>240</v>
      </c>
      <c r="X1296" t="s">
        <v>701</v>
      </c>
      <c r="Y1296" t="s">
        <v>2365</v>
      </c>
      <c r="Z1296" t="s">
        <v>2365</v>
      </c>
      <c r="AA1296" t="s">
        <v>2365</v>
      </c>
      <c r="AB1296" t="s">
        <v>2365</v>
      </c>
      <c r="AC1296" s="813" t="s">
        <v>2365</v>
      </c>
      <c r="AD1296" s="813" t="s">
        <v>2365</v>
      </c>
      <c r="AE1296" s="813" t="s">
        <v>2365</v>
      </c>
      <c r="AF1296" t="s">
        <v>2365</v>
      </c>
      <c r="AG1296">
        <v>1490</v>
      </c>
      <c r="AH1296" t="s">
        <v>1675</v>
      </c>
      <c r="AI1296">
        <v>1490</v>
      </c>
      <c r="AJ1296" t="s">
        <v>1675</v>
      </c>
      <c r="AK1296" s="1373">
        <v>243</v>
      </c>
      <c r="AL1296" t="s">
        <v>1205</v>
      </c>
      <c r="AM1296">
        <v>243</v>
      </c>
      <c r="AN1296" t="s">
        <v>1205</v>
      </c>
      <c r="AR1296" t="s">
        <v>2365</v>
      </c>
      <c r="AS1296" t="s">
        <v>2365</v>
      </c>
      <c r="AT1296" t="s">
        <v>2365</v>
      </c>
      <c r="AU1296" t="s">
        <v>2365</v>
      </c>
      <c r="AV1296">
        <v>1490</v>
      </c>
      <c r="AW1296" t="s">
        <v>1675</v>
      </c>
      <c r="AX1296">
        <v>1490</v>
      </c>
      <c r="AY1296" t="s">
        <v>1675</v>
      </c>
      <c r="AZ1296" t="s">
        <v>2365</v>
      </c>
      <c r="BA1296" t="s">
        <v>2365</v>
      </c>
      <c r="BB1296" t="s">
        <v>2365</v>
      </c>
      <c r="BC1296" t="s">
        <v>2365</v>
      </c>
      <c r="BD1296" t="s">
        <v>2366</v>
      </c>
      <c r="BE1296" t="s">
        <v>2365</v>
      </c>
      <c r="BF1296" t="s">
        <v>2365</v>
      </c>
      <c r="BG1296" t="s">
        <v>2365</v>
      </c>
      <c r="BH1296" t="s">
        <v>2365</v>
      </c>
      <c r="BI1296" t="s">
        <v>2366</v>
      </c>
      <c r="BJ1296" t="s">
        <v>2365</v>
      </c>
      <c r="BK1296" t="s">
        <v>2365</v>
      </c>
      <c r="BL1296" t="s">
        <v>2365</v>
      </c>
      <c r="BM1296" t="s">
        <v>2365</v>
      </c>
      <c r="BO1296">
        <v>1</v>
      </c>
      <c r="BP1296">
        <v>13</v>
      </c>
      <c r="BQ1296" t="s">
        <v>2369</v>
      </c>
      <c r="BR1296" t="s">
        <v>595</v>
      </c>
      <c r="BU1296">
        <v>0</v>
      </c>
      <c r="BV1296">
        <v>0</v>
      </c>
      <c r="BW1296">
        <v>0</v>
      </c>
      <c r="BX1296">
        <v>0</v>
      </c>
      <c r="BY1296">
        <v>0</v>
      </c>
      <c r="BZ1296">
        <v>0</v>
      </c>
      <c r="CA1296">
        <v>0</v>
      </c>
      <c r="CB1296">
        <v>-12608.8</v>
      </c>
      <c r="CC1296">
        <v>-13171.38</v>
      </c>
      <c r="CD1296">
        <v>-8482.16</v>
      </c>
      <c r="CE1296">
        <v>-11136.79</v>
      </c>
      <c r="CF1296">
        <v>-11160.76</v>
      </c>
      <c r="CG1296">
        <v>-11532.79</v>
      </c>
      <c r="CH1296">
        <v>-11532.79</v>
      </c>
      <c r="CI1296">
        <v>0</v>
      </c>
      <c r="CJ1296">
        <v>0</v>
      </c>
      <c r="CK1296">
        <v>0</v>
      </c>
      <c r="CL1296">
        <v>0</v>
      </c>
      <c r="CM1296">
        <v>0</v>
      </c>
      <c r="CR1296" t="s">
        <v>2328</v>
      </c>
      <c r="CS1296" s="1369" t="str">
        <f>INDEX([8]Sheet1!$H:$H,MATCH(CR:CR,[8]Sheet1!$AU:$AU,0))</f>
        <v>Water Distribution</v>
      </c>
    </row>
    <row r="1297" spans="1:97" x14ac:dyDescent="0.2">
      <c r="A1297" t="s">
        <v>4307</v>
      </c>
      <c r="B1297">
        <v>1385</v>
      </c>
      <c r="C1297" t="s">
        <v>4307</v>
      </c>
      <c r="D1297">
        <v>41541</v>
      </c>
      <c r="E1297" t="s">
        <v>4308</v>
      </c>
      <c r="F1297" t="s">
        <v>2364</v>
      </c>
      <c r="G1297" t="s">
        <v>2364</v>
      </c>
      <c r="H1297" t="s">
        <v>2365</v>
      </c>
      <c r="I1297" t="s">
        <v>2365</v>
      </c>
      <c r="J1297" t="s">
        <v>2365</v>
      </c>
      <c r="K1297" t="s">
        <v>2365</v>
      </c>
      <c r="L1297">
        <v>1200</v>
      </c>
      <c r="M1297" t="s">
        <v>1480</v>
      </c>
      <c r="N1297">
        <v>1202</v>
      </c>
      <c r="O1297" t="s">
        <v>595</v>
      </c>
      <c r="P1297" t="s">
        <v>2366</v>
      </c>
      <c r="Q1297">
        <v>2080</v>
      </c>
      <c r="R1297" t="s">
        <v>579</v>
      </c>
      <c r="S1297" t="s">
        <v>552</v>
      </c>
      <c r="T1297" t="s">
        <v>2175</v>
      </c>
      <c r="U1297" t="s">
        <v>2366</v>
      </c>
      <c r="V1297" t="s">
        <v>2366</v>
      </c>
      <c r="W1297" t="s">
        <v>2366</v>
      </c>
      <c r="X1297" t="s">
        <v>2366</v>
      </c>
      <c r="Y1297" t="s">
        <v>2365</v>
      </c>
      <c r="Z1297" t="s">
        <v>2365</v>
      </c>
      <c r="AA1297" t="s">
        <v>2365</v>
      </c>
      <c r="AB1297" t="s">
        <v>2365</v>
      </c>
      <c r="AC1297" s="813" t="s">
        <v>2365</v>
      </c>
      <c r="AD1297" s="813" t="s">
        <v>2365</v>
      </c>
      <c r="AE1297" s="813" t="s">
        <v>2365</v>
      </c>
      <c r="AF1297" t="s">
        <v>2365</v>
      </c>
      <c r="AG1297">
        <v>1490</v>
      </c>
      <c r="AH1297" t="s">
        <v>1675</v>
      </c>
      <c r="AI1297">
        <v>1490</v>
      </c>
      <c r="AJ1297" t="s">
        <v>1675</v>
      </c>
      <c r="AK1297">
        <v>241</v>
      </c>
      <c r="AL1297" t="s">
        <v>1203</v>
      </c>
      <c r="AM1297">
        <v>241</v>
      </c>
      <c r="AN1297" t="s">
        <v>1203</v>
      </c>
      <c r="AR1297" t="s">
        <v>2365</v>
      </c>
      <c r="AS1297" t="s">
        <v>2365</v>
      </c>
      <c r="AT1297" t="s">
        <v>2365</v>
      </c>
      <c r="AU1297" t="s">
        <v>2365</v>
      </c>
      <c r="AV1297">
        <v>1490</v>
      </c>
      <c r="AW1297" t="s">
        <v>1675</v>
      </c>
      <c r="AX1297">
        <v>1490</v>
      </c>
      <c r="AY1297" t="s">
        <v>1675</v>
      </c>
      <c r="AZ1297" t="s">
        <v>2365</v>
      </c>
      <c r="BA1297" t="s">
        <v>2365</v>
      </c>
      <c r="BB1297" t="s">
        <v>2365</v>
      </c>
      <c r="BC1297" t="s">
        <v>2365</v>
      </c>
      <c r="BD1297" t="s">
        <v>2366</v>
      </c>
      <c r="BE1297" t="s">
        <v>2365</v>
      </c>
      <c r="BF1297" t="s">
        <v>2365</v>
      </c>
      <c r="BG1297" t="s">
        <v>2365</v>
      </c>
      <c r="BH1297" t="s">
        <v>2365</v>
      </c>
      <c r="BI1297" t="s">
        <v>2366</v>
      </c>
      <c r="BJ1297" t="s">
        <v>2365</v>
      </c>
      <c r="BK1297" t="s">
        <v>2365</v>
      </c>
      <c r="BL1297" t="s">
        <v>2365</v>
      </c>
      <c r="BM1297" t="s">
        <v>2365</v>
      </c>
      <c r="BO1297">
        <v>1</v>
      </c>
      <c r="BP1297">
        <v>13</v>
      </c>
      <c r="BQ1297" t="s">
        <v>2369</v>
      </c>
      <c r="BR1297" t="s">
        <v>595</v>
      </c>
      <c r="BU1297">
        <v>0</v>
      </c>
      <c r="BV1297">
        <v>0</v>
      </c>
      <c r="BW1297">
        <v>0</v>
      </c>
      <c r="BX1297">
        <v>0</v>
      </c>
      <c r="BY1297">
        <v>0</v>
      </c>
      <c r="BZ1297">
        <v>0</v>
      </c>
      <c r="CA1297">
        <v>0</v>
      </c>
      <c r="CB1297">
        <v>0</v>
      </c>
      <c r="CC1297">
        <v>0</v>
      </c>
      <c r="CD1297">
        <v>0</v>
      </c>
      <c r="CE1297">
        <v>0</v>
      </c>
      <c r="CF1297">
        <v>0</v>
      </c>
      <c r="CG1297">
        <v>0</v>
      </c>
      <c r="CH1297">
        <v>0</v>
      </c>
      <c r="CI1297">
        <v>0</v>
      </c>
      <c r="CJ1297">
        <v>0</v>
      </c>
      <c r="CK1297">
        <v>0</v>
      </c>
      <c r="CL1297">
        <v>0</v>
      </c>
      <c r="CM1297">
        <v>0</v>
      </c>
      <c r="CR1297" t="s">
        <v>2328</v>
      </c>
      <c r="CS1297" s="1369" t="str">
        <f>INDEX([8]Sheet1!$H:$H,MATCH(CR:CR,[8]Sheet1!$AU:$AU,0))</f>
        <v>Water Distribution</v>
      </c>
    </row>
    <row r="1298" spans="1:97" x14ac:dyDescent="0.2">
      <c r="A1298" t="s">
        <v>4309</v>
      </c>
      <c r="B1298">
        <v>1386</v>
      </c>
      <c r="C1298" t="s">
        <v>4309</v>
      </c>
      <c r="D1298">
        <v>41542</v>
      </c>
      <c r="E1298" t="s">
        <v>4310</v>
      </c>
      <c r="F1298" t="s">
        <v>2364</v>
      </c>
      <c r="G1298" t="s">
        <v>2364</v>
      </c>
      <c r="H1298" t="s">
        <v>2365</v>
      </c>
      <c r="I1298" t="s">
        <v>2365</v>
      </c>
      <c r="J1298" t="s">
        <v>2365</v>
      </c>
      <c r="K1298" t="s">
        <v>2365</v>
      </c>
      <c r="L1298">
        <v>1200</v>
      </c>
      <c r="M1298" t="s">
        <v>1480</v>
      </c>
      <c r="N1298">
        <v>1202</v>
      </c>
      <c r="O1298" t="s">
        <v>595</v>
      </c>
      <c r="P1298" t="s">
        <v>1846</v>
      </c>
      <c r="Q1298">
        <v>2080</v>
      </c>
      <c r="R1298" t="s">
        <v>579</v>
      </c>
      <c r="S1298" t="s">
        <v>552</v>
      </c>
      <c r="T1298" t="s">
        <v>2175</v>
      </c>
      <c r="U1298">
        <v>240</v>
      </c>
      <c r="V1298" t="s">
        <v>2389</v>
      </c>
      <c r="W1298">
        <v>240</v>
      </c>
      <c r="X1298" t="s">
        <v>701</v>
      </c>
      <c r="Y1298" t="s">
        <v>2365</v>
      </c>
      <c r="Z1298" t="s">
        <v>2365</v>
      </c>
      <c r="AA1298" t="s">
        <v>2365</v>
      </c>
      <c r="AB1298" t="s">
        <v>2365</v>
      </c>
      <c r="AC1298" s="813" t="s">
        <v>2365</v>
      </c>
      <c r="AD1298" s="813" t="s">
        <v>2365</v>
      </c>
      <c r="AE1298" s="813" t="s">
        <v>2365</v>
      </c>
      <c r="AF1298" t="s">
        <v>2365</v>
      </c>
      <c r="AG1298">
        <v>1490</v>
      </c>
      <c r="AH1298" t="s">
        <v>1675</v>
      </c>
      <c r="AI1298">
        <v>1490</v>
      </c>
      <c r="AJ1298" t="s">
        <v>1675</v>
      </c>
      <c r="AK1298">
        <v>241</v>
      </c>
      <c r="AL1298" t="s">
        <v>1203</v>
      </c>
      <c r="AM1298">
        <v>241</v>
      </c>
      <c r="AN1298" t="s">
        <v>1203</v>
      </c>
      <c r="AR1298" t="s">
        <v>2365</v>
      </c>
      <c r="AS1298" t="s">
        <v>2365</v>
      </c>
      <c r="AT1298" t="s">
        <v>2365</v>
      </c>
      <c r="AU1298" t="s">
        <v>2365</v>
      </c>
      <c r="AV1298">
        <v>1490</v>
      </c>
      <c r="AW1298" t="s">
        <v>1675</v>
      </c>
      <c r="AX1298">
        <v>1490</v>
      </c>
      <c r="AY1298" t="s">
        <v>1675</v>
      </c>
      <c r="AZ1298" t="s">
        <v>2365</v>
      </c>
      <c r="BA1298" t="s">
        <v>2365</v>
      </c>
      <c r="BB1298" t="s">
        <v>2365</v>
      </c>
      <c r="BC1298" t="s">
        <v>2365</v>
      </c>
      <c r="BD1298" t="s">
        <v>2366</v>
      </c>
      <c r="BE1298" t="s">
        <v>2365</v>
      </c>
      <c r="BF1298" t="s">
        <v>2365</v>
      </c>
      <c r="BG1298" t="s">
        <v>2365</v>
      </c>
      <c r="BH1298" t="s">
        <v>2365</v>
      </c>
      <c r="BI1298" t="s">
        <v>2366</v>
      </c>
      <c r="BJ1298" t="s">
        <v>2365</v>
      </c>
      <c r="BK1298" t="s">
        <v>2365</v>
      </c>
      <c r="BL1298" t="s">
        <v>2365</v>
      </c>
      <c r="BM1298" t="s">
        <v>2365</v>
      </c>
      <c r="BO1298">
        <v>1</v>
      </c>
      <c r="BP1298">
        <v>13</v>
      </c>
      <c r="BQ1298" t="s">
        <v>2369</v>
      </c>
      <c r="BR1298" t="s">
        <v>595</v>
      </c>
      <c r="BU1298">
        <v>0</v>
      </c>
      <c r="BV1298">
        <v>0</v>
      </c>
      <c r="BW1298">
        <v>0</v>
      </c>
      <c r="BX1298">
        <v>0</v>
      </c>
      <c r="BY1298">
        <v>0</v>
      </c>
      <c r="BZ1298">
        <v>0</v>
      </c>
      <c r="CA1298">
        <v>0</v>
      </c>
      <c r="CB1298">
        <v>0</v>
      </c>
      <c r="CC1298">
        <v>0</v>
      </c>
      <c r="CD1298">
        <v>0</v>
      </c>
      <c r="CE1298">
        <v>0</v>
      </c>
      <c r="CF1298">
        <v>0</v>
      </c>
      <c r="CG1298">
        <v>0</v>
      </c>
      <c r="CH1298">
        <v>0</v>
      </c>
      <c r="CI1298">
        <v>0</v>
      </c>
      <c r="CJ1298">
        <v>0</v>
      </c>
      <c r="CK1298">
        <v>0</v>
      </c>
      <c r="CL1298">
        <v>0</v>
      </c>
      <c r="CM1298">
        <v>0</v>
      </c>
      <c r="CR1298" t="s">
        <v>2328</v>
      </c>
      <c r="CS1298" s="1369" t="str">
        <f>INDEX([8]Sheet1!$H:$H,MATCH(CR:CR,[8]Sheet1!$AU:$AU,0))</f>
        <v>Water Distribution</v>
      </c>
    </row>
    <row r="1299" spans="1:97" x14ac:dyDescent="0.2">
      <c r="A1299" t="s">
        <v>4311</v>
      </c>
      <c r="B1299">
        <v>1387</v>
      </c>
      <c r="C1299" t="s">
        <v>4311</v>
      </c>
      <c r="D1299">
        <v>41543</v>
      </c>
      <c r="E1299" t="s">
        <v>2393</v>
      </c>
      <c r="F1299" t="s">
        <v>2364</v>
      </c>
      <c r="G1299" t="s">
        <v>2364</v>
      </c>
      <c r="H1299" t="s">
        <v>2365</v>
      </c>
      <c r="I1299" t="s">
        <v>2365</v>
      </c>
      <c r="J1299" t="s">
        <v>2365</v>
      </c>
      <c r="K1299" t="s">
        <v>2365</v>
      </c>
      <c r="L1299">
        <v>1200</v>
      </c>
      <c r="M1299" t="s">
        <v>1480</v>
      </c>
      <c r="N1299">
        <v>1202</v>
      </c>
      <c r="O1299" t="s">
        <v>595</v>
      </c>
      <c r="P1299" t="s">
        <v>2366</v>
      </c>
      <c r="Q1299">
        <v>2080</v>
      </c>
      <c r="R1299" t="s">
        <v>579</v>
      </c>
      <c r="S1299" t="s">
        <v>552</v>
      </c>
      <c r="T1299" t="s">
        <v>2175</v>
      </c>
      <c r="U1299">
        <v>240</v>
      </c>
      <c r="V1299" t="s">
        <v>2389</v>
      </c>
      <c r="W1299">
        <v>240</v>
      </c>
      <c r="X1299" t="s">
        <v>701</v>
      </c>
      <c r="Y1299" t="s">
        <v>2365</v>
      </c>
      <c r="Z1299" t="s">
        <v>2365</v>
      </c>
      <c r="AA1299" t="s">
        <v>2365</v>
      </c>
      <c r="AB1299" t="s">
        <v>2365</v>
      </c>
      <c r="AC1299" s="813" t="s">
        <v>2365</v>
      </c>
      <c r="AD1299" s="813" t="s">
        <v>2365</v>
      </c>
      <c r="AE1299" s="813" t="s">
        <v>2365</v>
      </c>
      <c r="AF1299" t="s">
        <v>2365</v>
      </c>
      <c r="AG1299">
        <v>1510</v>
      </c>
      <c r="AH1299" t="s">
        <v>1676</v>
      </c>
      <c r="AI1299">
        <v>1510</v>
      </c>
      <c r="AJ1299" t="s">
        <v>1676</v>
      </c>
      <c r="AK1299">
        <v>243</v>
      </c>
      <c r="AL1299" t="s">
        <v>1205</v>
      </c>
      <c r="AM1299">
        <v>243</v>
      </c>
      <c r="AN1299" t="s">
        <v>1205</v>
      </c>
      <c r="AR1299" t="s">
        <v>2365</v>
      </c>
      <c r="AS1299" t="s">
        <v>2365</v>
      </c>
      <c r="AT1299" t="s">
        <v>2365</v>
      </c>
      <c r="AU1299" t="s">
        <v>2365</v>
      </c>
      <c r="AV1299">
        <v>1510</v>
      </c>
      <c r="AW1299" t="s">
        <v>1676</v>
      </c>
      <c r="AX1299">
        <v>1510</v>
      </c>
      <c r="AY1299" t="s">
        <v>1676</v>
      </c>
      <c r="AZ1299" t="s">
        <v>2365</v>
      </c>
      <c r="BA1299" t="s">
        <v>2365</v>
      </c>
      <c r="BB1299" t="s">
        <v>2365</v>
      </c>
      <c r="BC1299" t="s">
        <v>2365</v>
      </c>
      <c r="BD1299" t="s">
        <v>2366</v>
      </c>
      <c r="BE1299" t="s">
        <v>2365</v>
      </c>
      <c r="BF1299" t="s">
        <v>2365</v>
      </c>
      <c r="BG1299" t="s">
        <v>2365</v>
      </c>
      <c r="BH1299" t="s">
        <v>2365</v>
      </c>
      <c r="BI1299" t="s">
        <v>2366</v>
      </c>
      <c r="BJ1299" t="s">
        <v>2365</v>
      </c>
      <c r="BK1299" t="s">
        <v>2365</v>
      </c>
      <c r="BL1299" t="s">
        <v>2365</v>
      </c>
      <c r="BM1299" t="s">
        <v>2365</v>
      </c>
      <c r="BO1299">
        <v>1</v>
      </c>
      <c r="BP1299">
        <v>13</v>
      </c>
      <c r="BQ1299" t="s">
        <v>2369</v>
      </c>
      <c r="BR1299" t="s">
        <v>595</v>
      </c>
      <c r="BU1299">
        <v>0</v>
      </c>
      <c r="BV1299">
        <v>0</v>
      </c>
      <c r="BW1299">
        <v>0</v>
      </c>
      <c r="BX1299">
        <v>0</v>
      </c>
      <c r="BY1299">
        <v>0</v>
      </c>
      <c r="BZ1299">
        <v>0</v>
      </c>
      <c r="CA1299">
        <v>0</v>
      </c>
      <c r="CB1299">
        <v>-14650.86</v>
      </c>
      <c r="CC1299">
        <v>-14178.25</v>
      </c>
      <c r="CD1299">
        <v>-5910.97</v>
      </c>
      <c r="CE1299">
        <v>-11705.9</v>
      </c>
      <c r="CF1299">
        <v>-11323.29</v>
      </c>
      <c r="CG1299">
        <v>-11705.9</v>
      </c>
      <c r="CH1299">
        <v>-11705.9</v>
      </c>
      <c r="CI1299">
        <v>-10573.07</v>
      </c>
      <c r="CJ1299">
        <v>0</v>
      </c>
      <c r="CK1299">
        <v>0</v>
      </c>
      <c r="CL1299">
        <v>0</v>
      </c>
      <c r="CM1299">
        <v>0</v>
      </c>
      <c r="CR1299" t="s">
        <v>2328</v>
      </c>
      <c r="CS1299" s="1369" t="str">
        <f>INDEX([8]Sheet1!$H:$H,MATCH(CR:CR,[8]Sheet1!$AU:$AU,0))</f>
        <v>Water Distribution</v>
      </c>
    </row>
    <row r="1300" spans="1:97" x14ac:dyDescent="0.2">
      <c r="A1300" t="s">
        <v>4312</v>
      </c>
      <c r="B1300">
        <v>1388</v>
      </c>
      <c r="C1300" t="s">
        <v>4312</v>
      </c>
      <c r="D1300">
        <v>41544</v>
      </c>
      <c r="E1300" t="s">
        <v>4313</v>
      </c>
      <c r="F1300" t="s">
        <v>2364</v>
      </c>
      <c r="G1300" t="s">
        <v>2364</v>
      </c>
      <c r="H1300" s="1373" t="s">
        <v>2365</v>
      </c>
      <c r="I1300" t="s">
        <v>2365</v>
      </c>
      <c r="J1300" t="s">
        <v>2365</v>
      </c>
      <c r="K1300" t="s">
        <v>2365</v>
      </c>
      <c r="L1300" s="1373">
        <v>1200</v>
      </c>
      <c r="M1300" t="s">
        <v>1480</v>
      </c>
      <c r="N1300">
        <v>1202</v>
      </c>
      <c r="O1300" t="s">
        <v>595</v>
      </c>
      <c r="P1300" t="s">
        <v>2366</v>
      </c>
      <c r="Q1300">
        <v>2080</v>
      </c>
      <c r="R1300" t="s">
        <v>579</v>
      </c>
      <c r="S1300" t="s">
        <v>552</v>
      </c>
      <c r="T1300" t="s">
        <v>2175</v>
      </c>
      <c r="U1300" t="s">
        <v>2366</v>
      </c>
      <c r="V1300" t="s">
        <v>2366</v>
      </c>
      <c r="W1300" t="s">
        <v>2366</v>
      </c>
      <c r="X1300" t="s">
        <v>2366</v>
      </c>
      <c r="Y1300" t="s">
        <v>2365</v>
      </c>
      <c r="Z1300" t="s">
        <v>2365</v>
      </c>
      <c r="AA1300" t="s">
        <v>2365</v>
      </c>
      <c r="AB1300" t="s">
        <v>2365</v>
      </c>
      <c r="AC1300" s="813" t="s">
        <v>2365</v>
      </c>
      <c r="AD1300" s="813" t="s">
        <v>2365</v>
      </c>
      <c r="AE1300" s="813" t="s">
        <v>2365</v>
      </c>
      <c r="AF1300" t="s">
        <v>2365</v>
      </c>
      <c r="AG1300">
        <v>1510</v>
      </c>
      <c r="AH1300" t="s">
        <v>1676</v>
      </c>
      <c r="AI1300">
        <v>1510</v>
      </c>
      <c r="AJ1300" t="s">
        <v>1676</v>
      </c>
      <c r="AK1300">
        <v>241</v>
      </c>
      <c r="AL1300" t="s">
        <v>1203</v>
      </c>
      <c r="AM1300">
        <v>241</v>
      </c>
      <c r="AN1300" t="s">
        <v>1203</v>
      </c>
      <c r="AR1300" t="s">
        <v>2365</v>
      </c>
      <c r="AS1300" t="s">
        <v>2365</v>
      </c>
      <c r="AT1300" t="s">
        <v>2365</v>
      </c>
      <c r="AU1300" t="s">
        <v>2365</v>
      </c>
      <c r="AV1300">
        <v>1510</v>
      </c>
      <c r="AW1300" t="s">
        <v>1676</v>
      </c>
      <c r="AX1300">
        <v>1510</v>
      </c>
      <c r="AY1300" t="s">
        <v>1676</v>
      </c>
      <c r="AZ1300" t="s">
        <v>2365</v>
      </c>
      <c r="BA1300" t="s">
        <v>2365</v>
      </c>
      <c r="BB1300" t="s">
        <v>2365</v>
      </c>
      <c r="BC1300" t="s">
        <v>2365</v>
      </c>
      <c r="BD1300" t="s">
        <v>2366</v>
      </c>
      <c r="BE1300" t="s">
        <v>2365</v>
      </c>
      <c r="BF1300" t="s">
        <v>2365</v>
      </c>
      <c r="BG1300" t="s">
        <v>2365</v>
      </c>
      <c r="BH1300" t="s">
        <v>2365</v>
      </c>
      <c r="BI1300" t="s">
        <v>2366</v>
      </c>
      <c r="BJ1300" t="s">
        <v>2365</v>
      </c>
      <c r="BK1300" t="s">
        <v>2365</v>
      </c>
      <c r="BL1300" t="s">
        <v>2365</v>
      </c>
      <c r="BM1300" t="s">
        <v>2365</v>
      </c>
      <c r="BO1300">
        <v>1</v>
      </c>
      <c r="BP1300">
        <v>13</v>
      </c>
      <c r="BQ1300" t="s">
        <v>2369</v>
      </c>
      <c r="BR1300" t="s">
        <v>595</v>
      </c>
      <c r="BU1300" s="1371">
        <v>0</v>
      </c>
      <c r="BV1300" s="1371">
        <v>0</v>
      </c>
      <c r="BW1300" s="1371">
        <v>0</v>
      </c>
      <c r="BX1300" s="1371">
        <v>0</v>
      </c>
      <c r="BY1300" s="1371">
        <v>0</v>
      </c>
      <c r="BZ1300">
        <v>0</v>
      </c>
      <c r="CA1300">
        <v>0</v>
      </c>
      <c r="CB1300">
        <v>0</v>
      </c>
      <c r="CC1300">
        <v>0</v>
      </c>
      <c r="CD1300">
        <v>0</v>
      </c>
      <c r="CE1300">
        <v>0</v>
      </c>
      <c r="CF1300">
        <v>0</v>
      </c>
      <c r="CG1300">
        <v>0</v>
      </c>
      <c r="CH1300">
        <v>0</v>
      </c>
      <c r="CI1300">
        <v>0</v>
      </c>
      <c r="CJ1300">
        <v>0</v>
      </c>
      <c r="CK1300">
        <v>0</v>
      </c>
      <c r="CL1300">
        <v>0</v>
      </c>
      <c r="CM1300">
        <v>0</v>
      </c>
      <c r="CR1300" t="s">
        <v>2328</v>
      </c>
      <c r="CS1300" s="1369" t="str">
        <f>INDEX([8]Sheet1!$H:$H,MATCH(CR:CR,[8]Sheet1!$AU:$AU,0))</f>
        <v>Water Distribution</v>
      </c>
    </row>
    <row r="1301" spans="1:97" x14ac:dyDescent="0.2">
      <c r="A1301" t="s">
        <v>4314</v>
      </c>
      <c r="B1301">
        <v>1389</v>
      </c>
      <c r="C1301" t="s">
        <v>4314</v>
      </c>
      <c r="D1301">
        <v>41545</v>
      </c>
      <c r="E1301" t="s">
        <v>4315</v>
      </c>
      <c r="F1301" t="s">
        <v>2364</v>
      </c>
      <c r="G1301" t="s">
        <v>2364</v>
      </c>
      <c r="H1301" t="s">
        <v>2365</v>
      </c>
      <c r="I1301" t="s">
        <v>2365</v>
      </c>
      <c r="J1301" t="s">
        <v>2365</v>
      </c>
      <c r="K1301" t="s">
        <v>2365</v>
      </c>
      <c r="L1301">
        <v>1200</v>
      </c>
      <c r="M1301" t="s">
        <v>1480</v>
      </c>
      <c r="N1301">
        <v>1202</v>
      </c>
      <c r="O1301" t="s">
        <v>595</v>
      </c>
      <c r="P1301" t="s">
        <v>1846</v>
      </c>
      <c r="Q1301">
        <v>2080</v>
      </c>
      <c r="R1301" t="s">
        <v>579</v>
      </c>
      <c r="S1301" t="s">
        <v>552</v>
      </c>
      <c r="T1301" t="s">
        <v>2175</v>
      </c>
      <c r="U1301">
        <v>240</v>
      </c>
      <c r="V1301" t="s">
        <v>2389</v>
      </c>
      <c r="W1301">
        <v>240</v>
      </c>
      <c r="X1301" t="s">
        <v>701</v>
      </c>
      <c r="Y1301" t="s">
        <v>2365</v>
      </c>
      <c r="Z1301" t="s">
        <v>2365</v>
      </c>
      <c r="AA1301" t="s">
        <v>2365</v>
      </c>
      <c r="AB1301" t="s">
        <v>2365</v>
      </c>
      <c r="AC1301" s="813" t="s">
        <v>2365</v>
      </c>
      <c r="AD1301" s="813" t="s">
        <v>2365</v>
      </c>
      <c r="AE1301" s="813" t="s">
        <v>2365</v>
      </c>
      <c r="AF1301" t="s">
        <v>2365</v>
      </c>
      <c r="AG1301">
        <v>1510</v>
      </c>
      <c r="AH1301" t="s">
        <v>1676</v>
      </c>
      <c r="AI1301">
        <v>1510</v>
      </c>
      <c r="AJ1301" t="s">
        <v>1676</v>
      </c>
      <c r="AK1301">
        <v>241</v>
      </c>
      <c r="AL1301" t="s">
        <v>1203</v>
      </c>
      <c r="AM1301">
        <v>241</v>
      </c>
      <c r="AN1301" t="s">
        <v>1203</v>
      </c>
      <c r="AR1301" t="s">
        <v>2365</v>
      </c>
      <c r="AS1301" t="s">
        <v>2365</v>
      </c>
      <c r="AT1301" t="s">
        <v>2365</v>
      </c>
      <c r="AU1301" t="s">
        <v>2365</v>
      </c>
      <c r="AV1301">
        <v>1510</v>
      </c>
      <c r="AW1301" t="s">
        <v>1676</v>
      </c>
      <c r="AX1301">
        <v>1510</v>
      </c>
      <c r="AY1301" t="s">
        <v>1676</v>
      </c>
      <c r="AZ1301" t="s">
        <v>2365</v>
      </c>
      <c r="BA1301" t="s">
        <v>2365</v>
      </c>
      <c r="BB1301" t="s">
        <v>2365</v>
      </c>
      <c r="BC1301" t="s">
        <v>2365</v>
      </c>
      <c r="BD1301" t="s">
        <v>2366</v>
      </c>
      <c r="BE1301" t="s">
        <v>2365</v>
      </c>
      <c r="BF1301" t="s">
        <v>2365</v>
      </c>
      <c r="BG1301" t="s">
        <v>2365</v>
      </c>
      <c r="BH1301" t="s">
        <v>2365</v>
      </c>
      <c r="BI1301" t="s">
        <v>2366</v>
      </c>
      <c r="BJ1301" t="s">
        <v>2365</v>
      </c>
      <c r="BK1301" t="s">
        <v>2365</v>
      </c>
      <c r="BL1301" t="s">
        <v>2365</v>
      </c>
      <c r="BM1301" t="s">
        <v>2365</v>
      </c>
      <c r="BO1301">
        <v>1</v>
      </c>
      <c r="BP1301">
        <v>13</v>
      </c>
      <c r="BQ1301" t="s">
        <v>2369</v>
      </c>
      <c r="BR1301" t="s">
        <v>595</v>
      </c>
      <c r="BU1301">
        <v>0</v>
      </c>
      <c r="BV1301">
        <v>0</v>
      </c>
      <c r="BW1301">
        <v>0</v>
      </c>
      <c r="BX1301">
        <v>0</v>
      </c>
      <c r="BY1301">
        <v>0</v>
      </c>
      <c r="BZ1301">
        <v>0</v>
      </c>
      <c r="CA1301">
        <v>0</v>
      </c>
      <c r="CB1301">
        <v>0</v>
      </c>
      <c r="CC1301">
        <v>0</v>
      </c>
      <c r="CD1301">
        <v>0</v>
      </c>
      <c r="CE1301">
        <v>0</v>
      </c>
      <c r="CF1301">
        <v>0</v>
      </c>
      <c r="CG1301">
        <v>0</v>
      </c>
      <c r="CH1301">
        <v>0</v>
      </c>
      <c r="CI1301">
        <v>0</v>
      </c>
      <c r="CJ1301">
        <v>0</v>
      </c>
      <c r="CK1301">
        <v>0</v>
      </c>
      <c r="CL1301">
        <v>0</v>
      </c>
      <c r="CM1301">
        <v>0</v>
      </c>
      <c r="CR1301" t="s">
        <v>2328</v>
      </c>
      <c r="CS1301" s="1369" t="str">
        <f>INDEX([8]Sheet1!$H:$H,MATCH(CR:CR,[8]Sheet1!$AU:$AU,0))</f>
        <v>Water Distribution</v>
      </c>
    </row>
    <row r="1302" spans="1:97" x14ac:dyDescent="0.2">
      <c r="A1302" t="s">
        <v>4316</v>
      </c>
      <c r="B1302">
        <v>1390</v>
      </c>
      <c r="C1302" t="s">
        <v>4316</v>
      </c>
      <c r="D1302">
        <v>41746</v>
      </c>
      <c r="E1302" t="s">
        <v>2401</v>
      </c>
      <c r="F1302" t="s">
        <v>2364</v>
      </c>
      <c r="G1302" t="s">
        <v>2364</v>
      </c>
      <c r="H1302" s="1373" t="s">
        <v>2365</v>
      </c>
      <c r="I1302" t="s">
        <v>2365</v>
      </c>
      <c r="J1302" t="s">
        <v>2365</v>
      </c>
      <c r="K1302" t="s">
        <v>2365</v>
      </c>
      <c r="L1302" s="1373">
        <v>3100</v>
      </c>
      <c r="M1302" t="s">
        <v>624</v>
      </c>
      <c r="N1302">
        <v>3107</v>
      </c>
      <c r="O1302" t="s">
        <v>1536</v>
      </c>
      <c r="P1302" t="s">
        <v>2366</v>
      </c>
      <c r="Q1302">
        <v>2080</v>
      </c>
      <c r="R1302" t="s">
        <v>579</v>
      </c>
      <c r="S1302" t="s">
        <v>552</v>
      </c>
      <c r="T1302" t="s">
        <v>2175</v>
      </c>
      <c r="U1302">
        <v>240</v>
      </c>
      <c r="V1302" t="s">
        <v>2389</v>
      </c>
      <c r="W1302">
        <v>240</v>
      </c>
      <c r="X1302" t="s">
        <v>701</v>
      </c>
      <c r="Y1302" t="s">
        <v>2365</v>
      </c>
      <c r="Z1302" t="s">
        <v>2365</v>
      </c>
      <c r="AA1302" t="s">
        <v>2365</v>
      </c>
      <c r="AB1302" t="s">
        <v>2365</v>
      </c>
      <c r="AC1302" s="813" t="s">
        <v>2365</v>
      </c>
      <c r="AD1302" s="813" t="s">
        <v>2365</v>
      </c>
      <c r="AE1302" s="813" t="s">
        <v>2365</v>
      </c>
      <c r="AF1302" t="s">
        <v>2365</v>
      </c>
      <c r="AG1302">
        <v>770</v>
      </c>
      <c r="AH1302" t="s">
        <v>1620</v>
      </c>
      <c r="AI1302">
        <v>770</v>
      </c>
      <c r="AJ1302" t="s">
        <v>1620</v>
      </c>
      <c r="AK1302">
        <v>243</v>
      </c>
      <c r="AL1302" t="s">
        <v>1205</v>
      </c>
      <c r="AM1302">
        <v>243</v>
      </c>
      <c r="AN1302" t="s">
        <v>1205</v>
      </c>
      <c r="AR1302">
        <v>1030</v>
      </c>
      <c r="AS1302" t="s">
        <v>1641</v>
      </c>
      <c r="AT1302">
        <v>1030</v>
      </c>
      <c r="AU1302" t="s">
        <v>1641</v>
      </c>
      <c r="AV1302" t="s">
        <v>2365</v>
      </c>
      <c r="AW1302" t="s">
        <v>2365</v>
      </c>
      <c r="AX1302" t="s">
        <v>2365</v>
      </c>
      <c r="AY1302" t="s">
        <v>2365</v>
      </c>
      <c r="AZ1302" t="s">
        <v>2365</v>
      </c>
      <c r="BA1302" t="s">
        <v>2365</v>
      </c>
      <c r="BB1302" t="s">
        <v>2365</v>
      </c>
      <c r="BC1302" t="s">
        <v>2365</v>
      </c>
      <c r="BD1302" t="s">
        <v>2366</v>
      </c>
      <c r="BE1302" t="s">
        <v>2365</v>
      </c>
      <c r="BF1302" t="s">
        <v>2365</v>
      </c>
      <c r="BG1302" t="s">
        <v>2365</v>
      </c>
      <c r="BH1302" t="s">
        <v>2365</v>
      </c>
      <c r="BI1302" t="s">
        <v>2366</v>
      </c>
      <c r="BJ1302" t="s">
        <v>2365</v>
      </c>
      <c r="BK1302" t="s">
        <v>2365</v>
      </c>
      <c r="BL1302" t="s">
        <v>2365</v>
      </c>
      <c r="BM1302" t="s">
        <v>2365</v>
      </c>
      <c r="BO1302">
        <v>8</v>
      </c>
      <c r="BP1302">
        <v>81</v>
      </c>
      <c r="BQ1302" t="s">
        <v>2442</v>
      </c>
      <c r="BR1302" t="s">
        <v>1536</v>
      </c>
      <c r="BU1302" s="1371">
        <v>0</v>
      </c>
      <c r="BV1302" s="1371">
        <v>0</v>
      </c>
      <c r="BW1302" s="1371">
        <v>0</v>
      </c>
      <c r="BX1302" s="1371">
        <v>0</v>
      </c>
      <c r="BY1302" s="1371">
        <v>0</v>
      </c>
      <c r="BZ1302">
        <v>0</v>
      </c>
      <c r="CA1302">
        <v>0</v>
      </c>
      <c r="CB1302">
        <v>0</v>
      </c>
      <c r="CC1302">
        <v>0</v>
      </c>
      <c r="CD1302">
        <v>0</v>
      </c>
      <c r="CE1302">
        <v>0</v>
      </c>
      <c r="CF1302">
        <v>0</v>
      </c>
      <c r="CG1302">
        <v>0</v>
      </c>
      <c r="CH1302">
        <v>0</v>
      </c>
      <c r="CI1302">
        <v>0</v>
      </c>
      <c r="CJ1302">
        <v>0</v>
      </c>
      <c r="CK1302">
        <v>0</v>
      </c>
      <c r="CL1302">
        <v>0</v>
      </c>
      <c r="CM1302">
        <v>0</v>
      </c>
      <c r="CR1302" t="s">
        <v>2328</v>
      </c>
      <c r="CS1302" s="1369" t="str">
        <f>INDEX([8]Sheet1!$H:$H,MATCH(CR:CR,[8]Sheet1!$AU:$AU,0))</f>
        <v>Water Distribution</v>
      </c>
    </row>
    <row r="1303" spans="1:97" x14ac:dyDescent="0.2">
      <c r="A1303" t="s">
        <v>4317</v>
      </c>
      <c r="B1303">
        <v>1391</v>
      </c>
      <c r="C1303" t="s">
        <v>4317</v>
      </c>
      <c r="D1303">
        <v>41747</v>
      </c>
      <c r="E1303" t="s">
        <v>4284</v>
      </c>
      <c r="F1303" t="s">
        <v>2364</v>
      </c>
      <c r="G1303" t="s">
        <v>2364</v>
      </c>
      <c r="H1303" s="1373" t="s">
        <v>2365</v>
      </c>
      <c r="I1303" t="s">
        <v>2365</v>
      </c>
      <c r="J1303" t="s">
        <v>2365</v>
      </c>
      <c r="K1303" t="s">
        <v>2365</v>
      </c>
      <c r="L1303" s="1373">
        <v>3100</v>
      </c>
      <c r="M1303" t="s">
        <v>624</v>
      </c>
      <c r="N1303">
        <v>3107</v>
      </c>
      <c r="O1303" t="s">
        <v>1536</v>
      </c>
      <c r="P1303" t="s">
        <v>2366</v>
      </c>
      <c r="Q1303">
        <v>2080</v>
      </c>
      <c r="R1303" t="s">
        <v>579</v>
      </c>
      <c r="S1303" t="s">
        <v>552</v>
      </c>
      <c r="T1303" t="s">
        <v>2175</v>
      </c>
      <c r="U1303" t="s">
        <v>2366</v>
      </c>
      <c r="V1303" t="s">
        <v>2366</v>
      </c>
      <c r="W1303" t="s">
        <v>2366</v>
      </c>
      <c r="X1303" t="s">
        <v>2366</v>
      </c>
      <c r="Y1303" t="s">
        <v>2365</v>
      </c>
      <c r="Z1303" t="s">
        <v>2365</v>
      </c>
      <c r="AA1303" t="s">
        <v>2365</v>
      </c>
      <c r="AB1303" t="s">
        <v>2365</v>
      </c>
      <c r="AC1303" s="813" t="s">
        <v>2365</v>
      </c>
      <c r="AD1303" s="813" t="s">
        <v>2365</v>
      </c>
      <c r="AE1303" s="813" t="s">
        <v>2365</v>
      </c>
      <c r="AF1303" t="s">
        <v>2365</v>
      </c>
      <c r="AG1303">
        <v>770</v>
      </c>
      <c r="AH1303" t="s">
        <v>1620</v>
      </c>
      <c r="AI1303">
        <v>770</v>
      </c>
      <c r="AJ1303" t="s">
        <v>1620</v>
      </c>
      <c r="AK1303">
        <v>241</v>
      </c>
      <c r="AL1303" t="s">
        <v>1203</v>
      </c>
      <c r="AM1303">
        <v>241</v>
      </c>
      <c r="AN1303" t="s">
        <v>1203</v>
      </c>
      <c r="AR1303">
        <v>1030</v>
      </c>
      <c r="AS1303" t="s">
        <v>1641</v>
      </c>
      <c r="AT1303">
        <v>1030</v>
      </c>
      <c r="AU1303" t="s">
        <v>1641</v>
      </c>
      <c r="AV1303" t="s">
        <v>2365</v>
      </c>
      <c r="AW1303" t="s">
        <v>2365</v>
      </c>
      <c r="AX1303" t="s">
        <v>2365</v>
      </c>
      <c r="AY1303" t="s">
        <v>2365</v>
      </c>
      <c r="AZ1303" t="s">
        <v>2365</v>
      </c>
      <c r="BA1303" t="s">
        <v>2365</v>
      </c>
      <c r="BB1303" t="s">
        <v>2365</v>
      </c>
      <c r="BC1303" t="s">
        <v>2365</v>
      </c>
      <c r="BD1303" t="s">
        <v>2366</v>
      </c>
      <c r="BE1303" t="s">
        <v>2365</v>
      </c>
      <c r="BF1303" t="s">
        <v>2365</v>
      </c>
      <c r="BG1303" t="s">
        <v>2365</v>
      </c>
      <c r="BH1303" t="s">
        <v>2365</v>
      </c>
      <c r="BI1303" t="s">
        <v>2366</v>
      </c>
      <c r="BJ1303" t="s">
        <v>2365</v>
      </c>
      <c r="BK1303" t="s">
        <v>2365</v>
      </c>
      <c r="BL1303" t="s">
        <v>2365</v>
      </c>
      <c r="BM1303" t="s">
        <v>2365</v>
      </c>
      <c r="BO1303">
        <v>8</v>
      </c>
      <c r="BP1303">
        <v>81</v>
      </c>
      <c r="BQ1303" t="s">
        <v>2442</v>
      </c>
      <c r="BR1303" t="s">
        <v>1536</v>
      </c>
      <c r="BU1303" s="1371">
        <v>0</v>
      </c>
      <c r="BV1303" s="1371">
        <v>0</v>
      </c>
      <c r="BW1303" s="1371">
        <v>0</v>
      </c>
      <c r="BX1303" s="1371">
        <v>0</v>
      </c>
      <c r="BY1303" s="1371">
        <v>0</v>
      </c>
      <c r="BZ1303">
        <v>0</v>
      </c>
      <c r="CA1303">
        <v>0</v>
      </c>
      <c r="CB1303">
        <v>0</v>
      </c>
      <c r="CC1303">
        <v>0</v>
      </c>
      <c r="CD1303">
        <v>0</v>
      </c>
      <c r="CE1303">
        <v>0</v>
      </c>
      <c r="CF1303">
        <v>0</v>
      </c>
      <c r="CG1303">
        <v>0</v>
      </c>
      <c r="CH1303">
        <v>0</v>
      </c>
      <c r="CI1303">
        <v>0</v>
      </c>
      <c r="CJ1303">
        <v>0</v>
      </c>
      <c r="CK1303">
        <v>0</v>
      </c>
      <c r="CL1303">
        <v>0</v>
      </c>
      <c r="CM1303">
        <v>0</v>
      </c>
      <c r="CR1303" t="s">
        <v>2328</v>
      </c>
      <c r="CS1303" s="1369" t="str">
        <f>INDEX([8]Sheet1!$H:$H,MATCH(CR:CR,[8]Sheet1!$AU:$AU,0))</f>
        <v>Water Distribution</v>
      </c>
    </row>
    <row r="1304" spans="1:97" x14ac:dyDescent="0.2">
      <c r="A1304" t="s">
        <v>4318</v>
      </c>
      <c r="B1304">
        <v>1392</v>
      </c>
      <c r="C1304" t="s">
        <v>4318</v>
      </c>
      <c r="D1304">
        <v>41748</v>
      </c>
      <c r="E1304" t="s">
        <v>4286</v>
      </c>
      <c r="F1304" t="s">
        <v>2364</v>
      </c>
      <c r="G1304" t="s">
        <v>2364</v>
      </c>
      <c r="H1304" t="s">
        <v>2365</v>
      </c>
      <c r="I1304" t="s">
        <v>2365</v>
      </c>
      <c r="J1304" t="s">
        <v>2365</v>
      </c>
      <c r="K1304" t="s">
        <v>2365</v>
      </c>
      <c r="L1304">
        <v>3100</v>
      </c>
      <c r="M1304" t="s">
        <v>624</v>
      </c>
      <c r="N1304">
        <v>3107</v>
      </c>
      <c r="O1304" t="s">
        <v>1536</v>
      </c>
      <c r="P1304" t="s">
        <v>1846</v>
      </c>
      <c r="Q1304">
        <v>2010</v>
      </c>
      <c r="R1304" t="s">
        <v>668</v>
      </c>
      <c r="S1304" t="s">
        <v>552</v>
      </c>
      <c r="T1304" t="s">
        <v>2175</v>
      </c>
      <c r="U1304">
        <v>240</v>
      </c>
      <c r="V1304" t="s">
        <v>2389</v>
      </c>
      <c r="W1304">
        <v>240</v>
      </c>
      <c r="X1304" t="s">
        <v>701</v>
      </c>
      <c r="Y1304" t="s">
        <v>2365</v>
      </c>
      <c r="Z1304" t="s">
        <v>2365</v>
      </c>
      <c r="AA1304" t="s">
        <v>2365</v>
      </c>
      <c r="AB1304" t="s">
        <v>2365</v>
      </c>
      <c r="AC1304" s="813" t="s">
        <v>2365</v>
      </c>
      <c r="AD1304" s="813" t="s">
        <v>2365</v>
      </c>
      <c r="AE1304" s="813" t="s">
        <v>2365</v>
      </c>
      <c r="AF1304" t="s">
        <v>2365</v>
      </c>
      <c r="AG1304">
        <v>770</v>
      </c>
      <c r="AH1304" t="s">
        <v>1620</v>
      </c>
      <c r="AI1304">
        <v>770</v>
      </c>
      <c r="AJ1304" t="s">
        <v>1620</v>
      </c>
      <c r="AK1304" s="1373">
        <v>241</v>
      </c>
      <c r="AL1304" t="s">
        <v>1203</v>
      </c>
      <c r="AM1304">
        <v>241</v>
      </c>
      <c r="AN1304" t="s">
        <v>1203</v>
      </c>
      <c r="AR1304">
        <v>1030</v>
      </c>
      <c r="AS1304" t="s">
        <v>1641</v>
      </c>
      <c r="AT1304">
        <v>1030</v>
      </c>
      <c r="AU1304" t="s">
        <v>1641</v>
      </c>
      <c r="AV1304" t="s">
        <v>2365</v>
      </c>
      <c r="AW1304" t="s">
        <v>2365</v>
      </c>
      <c r="AX1304" t="s">
        <v>2365</v>
      </c>
      <c r="AY1304" t="s">
        <v>2365</v>
      </c>
      <c r="AZ1304" t="s">
        <v>2365</v>
      </c>
      <c r="BA1304" t="s">
        <v>2365</v>
      </c>
      <c r="BB1304" t="s">
        <v>2365</v>
      </c>
      <c r="BC1304" t="s">
        <v>2365</v>
      </c>
      <c r="BD1304" t="s">
        <v>2366</v>
      </c>
      <c r="BE1304" t="s">
        <v>2365</v>
      </c>
      <c r="BF1304" t="s">
        <v>2365</v>
      </c>
      <c r="BG1304" t="s">
        <v>2365</v>
      </c>
      <c r="BH1304" t="s">
        <v>2365</v>
      </c>
      <c r="BI1304" t="s">
        <v>2366</v>
      </c>
      <c r="BJ1304" t="s">
        <v>2365</v>
      </c>
      <c r="BK1304" t="s">
        <v>2365</v>
      </c>
      <c r="BL1304" t="s">
        <v>2365</v>
      </c>
      <c r="BM1304" t="s">
        <v>2365</v>
      </c>
      <c r="BO1304">
        <v>8</v>
      </c>
      <c r="BP1304">
        <v>81</v>
      </c>
      <c r="BQ1304" t="s">
        <v>2442</v>
      </c>
      <c r="BR1304" t="s">
        <v>1536</v>
      </c>
      <c r="BU1304">
        <v>0</v>
      </c>
      <c r="BV1304">
        <v>0</v>
      </c>
      <c r="BW1304">
        <v>0</v>
      </c>
      <c r="BX1304">
        <v>0</v>
      </c>
      <c r="BY1304">
        <v>0</v>
      </c>
      <c r="BZ1304">
        <v>0</v>
      </c>
      <c r="CA1304">
        <v>0</v>
      </c>
      <c r="CB1304">
        <v>0</v>
      </c>
      <c r="CC1304">
        <v>0</v>
      </c>
      <c r="CD1304">
        <v>0</v>
      </c>
      <c r="CE1304">
        <v>0</v>
      </c>
      <c r="CF1304">
        <v>0</v>
      </c>
      <c r="CG1304">
        <v>0</v>
      </c>
      <c r="CH1304">
        <v>0</v>
      </c>
      <c r="CI1304">
        <v>0</v>
      </c>
      <c r="CJ1304">
        <v>0</v>
      </c>
      <c r="CK1304">
        <v>0</v>
      </c>
      <c r="CL1304">
        <v>0</v>
      </c>
      <c r="CM1304">
        <v>0</v>
      </c>
      <c r="CR1304" t="s">
        <v>2328</v>
      </c>
      <c r="CS1304" s="1369" t="str">
        <f>INDEX([8]Sheet1!$H:$H,MATCH(CR:CR,[8]Sheet1!$AU:$AU,0))</f>
        <v>Water Distribution</v>
      </c>
    </row>
    <row r="1305" spans="1:97" x14ac:dyDescent="0.2">
      <c r="A1305" t="s">
        <v>4319</v>
      </c>
      <c r="B1305">
        <v>1393</v>
      </c>
      <c r="C1305" t="s">
        <v>4319</v>
      </c>
      <c r="D1305">
        <v>41749</v>
      </c>
      <c r="E1305" t="s">
        <v>2401</v>
      </c>
      <c r="F1305" t="s">
        <v>2364</v>
      </c>
      <c r="G1305" t="s">
        <v>2364</v>
      </c>
      <c r="H1305" t="s">
        <v>2365</v>
      </c>
      <c r="I1305" t="s">
        <v>2365</v>
      </c>
      <c r="J1305" t="s">
        <v>2365</v>
      </c>
      <c r="K1305" t="s">
        <v>2365</v>
      </c>
      <c r="L1305">
        <v>3100</v>
      </c>
      <c r="M1305" t="s">
        <v>624</v>
      </c>
      <c r="N1305">
        <v>3107</v>
      </c>
      <c r="O1305" t="s">
        <v>1536</v>
      </c>
      <c r="P1305" t="s">
        <v>2366</v>
      </c>
      <c r="Q1305">
        <v>2080</v>
      </c>
      <c r="R1305" t="s">
        <v>579</v>
      </c>
      <c r="S1305" t="s">
        <v>552</v>
      </c>
      <c r="T1305" t="s">
        <v>2175</v>
      </c>
      <c r="U1305">
        <v>240</v>
      </c>
      <c r="V1305" t="s">
        <v>2389</v>
      </c>
      <c r="W1305">
        <v>240</v>
      </c>
      <c r="X1305" t="s">
        <v>701</v>
      </c>
      <c r="Y1305" t="s">
        <v>2365</v>
      </c>
      <c r="Z1305" t="s">
        <v>2365</v>
      </c>
      <c r="AA1305" t="s">
        <v>2365</v>
      </c>
      <c r="AB1305" t="s">
        <v>2365</v>
      </c>
      <c r="AC1305" s="813" t="s">
        <v>2365</v>
      </c>
      <c r="AD1305" s="813" t="s">
        <v>2365</v>
      </c>
      <c r="AE1305" s="813" t="s">
        <v>2365</v>
      </c>
      <c r="AF1305" t="s">
        <v>2365</v>
      </c>
      <c r="AG1305">
        <v>770</v>
      </c>
      <c r="AH1305" t="s">
        <v>1620</v>
      </c>
      <c r="AI1305">
        <v>770</v>
      </c>
      <c r="AJ1305" t="s">
        <v>1620</v>
      </c>
      <c r="AK1305">
        <v>243</v>
      </c>
      <c r="AL1305" t="s">
        <v>1205</v>
      </c>
      <c r="AM1305">
        <v>243</v>
      </c>
      <c r="AN1305" t="s">
        <v>1205</v>
      </c>
      <c r="AR1305">
        <v>810</v>
      </c>
      <c r="AS1305" t="s">
        <v>1624</v>
      </c>
      <c r="AT1305">
        <v>810</v>
      </c>
      <c r="AU1305" t="s">
        <v>1624</v>
      </c>
      <c r="AV1305" t="s">
        <v>2365</v>
      </c>
      <c r="AW1305" t="s">
        <v>2365</v>
      </c>
      <c r="AX1305" t="s">
        <v>2365</v>
      </c>
      <c r="AY1305" t="s">
        <v>2365</v>
      </c>
      <c r="AZ1305" t="s">
        <v>2365</v>
      </c>
      <c r="BA1305" t="s">
        <v>2365</v>
      </c>
      <c r="BB1305" t="s">
        <v>2365</v>
      </c>
      <c r="BC1305" t="s">
        <v>2365</v>
      </c>
      <c r="BD1305" t="s">
        <v>2366</v>
      </c>
      <c r="BE1305" t="s">
        <v>2365</v>
      </c>
      <c r="BF1305" t="s">
        <v>2365</v>
      </c>
      <c r="BG1305" t="s">
        <v>2365</v>
      </c>
      <c r="BH1305" t="s">
        <v>2365</v>
      </c>
      <c r="BI1305" t="s">
        <v>2366</v>
      </c>
      <c r="BJ1305" t="s">
        <v>2365</v>
      </c>
      <c r="BK1305" t="s">
        <v>2365</v>
      </c>
      <c r="BL1305" t="s">
        <v>2365</v>
      </c>
      <c r="BM1305" t="s">
        <v>2365</v>
      </c>
      <c r="BO1305">
        <v>8</v>
      </c>
      <c r="BP1305">
        <v>81</v>
      </c>
      <c r="BQ1305" t="s">
        <v>2442</v>
      </c>
      <c r="BR1305" t="s">
        <v>1536</v>
      </c>
      <c r="BU1305">
        <v>0</v>
      </c>
      <c r="BV1305">
        <v>0</v>
      </c>
      <c r="BW1305">
        <v>0</v>
      </c>
      <c r="BX1305">
        <v>0</v>
      </c>
      <c r="BY1305">
        <v>0</v>
      </c>
      <c r="BZ1305">
        <v>0</v>
      </c>
      <c r="CA1305">
        <v>0</v>
      </c>
      <c r="CB1305">
        <v>-334575.2</v>
      </c>
      <c r="CC1305">
        <v>-324200.27</v>
      </c>
      <c r="CD1305">
        <v>-333108.32</v>
      </c>
      <c r="CE1305">
        <v>-334221.71999999997</v>
      </c>
      <c r="CF1305">
        <v>-323440.37</v>
      </c>
      <c r="CG1305">
        <v>-334221.71000000002</v>
      </c>
      <c r="CH1305">
        <v>-334221.71000000002</v>
      </c>
      <c r="CI1305">
        <v>-301877.68</v>
      </c>
      <c r="CJ1305">
        <v>0</v>
      </c>
      <c r="CK1305">
        <v>0</v>
      </c>
      <c r="CL1305">
        <v>0</v>
      </c>
      <c r="CM1305">
        <v>0</v>
      </c>
      <c r="CR1305" t="s">
        <v>2328</v>
      </c>
      <c r="CS1305" s="1369" t="str">
        <f>INDEX([8]Sheet1!$H:$H,MATCH(CR:CR,[8]Sheet1!$AU:$AU,0))</f>
        <v>Water Distribution</v>
      </c>
    </row>
    <row r="1306" spans="1:97" x14ac:dyDescent="0.2">
      <c r="A1306" t="s">
        <v>4320</v>
      </c>
      <c r="B1306">
        <v>1394</v>
      </c>
      <c r="C1306" t="s">
        <v>4320</v>
      </c>
      <c r="D1306">
        <v>41750</v>
      </c>
      <c r="E1306" t="s">
        <v>4284</v>
      </c>
      <c r="F1306" t="s">
        <v>2364</v>
      </c>
      <c r="G1306" t="s">
        <v>2364</v>
      </c>
      <c r="H1306" t="s">
        <v>2365</v>
      </c>
      <c r="I1306" t="s">
        <v>2365</v>
      </c>
      <c r="J1306" t="s">
        <v>2365</v>
      </c>
      <c r="K1306" t="s">
        <v>2365</v>
      </c>
      <c r="L1306">
        <v>3100</v>
      </c>
      <c r="M1306" t="s">
        <v>624</v>
      </c>
      <c r="N1306">
        <v>3107</v>
      </c>
      <c r="O1306" t="s">
        <v>1536</v>
      </c>
      <c r="P1306" t="s">
        <v>2366</v>
      </c>
      <c r="Q1306">
        <v>2080</v>
      </c>
      <c r="R1306" t="s">
        <v>579</v>
      </c>
      <c r="S1306" t="s">
        <v>552</v>
      </c>
      <c r="T1306" t="s">
        <v>2175</v>
      </c>
      <c r="U1306" t="s">
        <v>2366</v>
      </c>
      <c r="V1306" t="s">
        <v>2366</v>
      </c>
      <c r="W1306" t="s">
        <v>2366</v>
      </c>
      <c r="X1306" t="s">
        <v>2366</v>
      </c>
      <c r="Y1306" t="s">
        <v>2365</v>
      </c>
      <c r="Z1306" t="s">
        <v>2365</v>
      </c>
      <c r="AA1306" t="s">
        <v>2365</v>
      </c>
      <c r="AB1306" t="s">
        <v>2365</v>
      </c>
      <c r="AC1306" s="813" t="s">
        <v>2365</v>
      </c>
      <c r="AD1306" s="813" t="s">
        <v>2365</v>
      </c>
      <c r="AE1306" s="813" t="s">
        <v>2365</v>
      </c>
      <c r="AF1306" t="s">
        <v>2365</v>
      </c>
      <c r="AG1306">
        <v>770</v>
      </c>
      <c r="AH1306" t="s">
        <v>1620</v>
      </c>
      <c r="AI1306">
        <v>770</v>
      </c>
      <c r="AJ1306" t="s">
        <v>1620</v>
      </c>
      <c r="AK1306">
        <v>241</v>
      </c>
      <c r="AL1306" t="s">
        <v>1203</v>
      </c>
      <c r="AM1306">
        <v>241</v>
      </c>
      <c r="AN1306" t="s">
        <v>1203</v>
      </c>
      <c r="AR1306">
        <v>810</v>
      </c>
      <c r="AS1306" t="s">
        <v>1624</v>
      </c>
      <c r="AT1306">
        <v>810</v>
      </c>
      <c r="AU1306" t="s">
        <v>1624</v>
      </c>
      <c r="AV1306" t="s">
        <v>2365</v>
      </c>
      <c r="AW1306" t="s">
        <v>2365</v>
      </c>
      <c r="AX1306" t="s">
        <v>2365</v>
      </c>
      <c r="AY1306" t="s">
        <v>2365</v>
      </c>
      <c r="AZ1306" t="s">
        <v>2365</v>
      </c>
      <c r="BA1306" t="s">
        <v>2365</v>
      </c>
      <c r="BB1306" t="s">
        <v>2365</v>
      </c>
      <c r="BC1306" t="s">
        <v>2365</v>
      </c>
      <c r="BD1306" t="s">
        <v>2366</v>
      </c>
      <c r="BE1306" t="s">
        <v>2365</v>
      </c>
      <c r="BF1306" t="s">
        <v>2365</v>
      </c>
      <c r="BG1306" t="s">
        <v>2365</v>
      </c>
      <c r="BH1306" t="s">
        <v>2365</v>
      </c>
      <c r="BI1306" t="s">
        <v>2366</v>
      </c>
      <c r="BJ1306" t="s">
        <v>2365</v>
      </c>
      <c r="BK1306" t="s">
        <v>2365</v>
      </c>
      <c r="BL1306" t="s">
        <v>2365</v>
      </c>
      <c r="BM1306" t="s">
        <v>2365</v>
      </c>
      <c r="BO1306">
        <v>8</v>
      </c>
      <c r="BP1306">
        <v>81</v>
      </c>
      <c r="BQ1306" t="s">
        <v>2442</v>
      </c>
      <c r="BR1306" t="s">
        <v>1536</v>
      </c>
      <c r="BU1306">
        <v>0</v>
      </c>
      <c r="BV1306">
        <v>0</v>
      </c>
      <c r="BW1306">
        <v>0</v>
      </c>
      <c r="BX1306">
        <v>0</v>
      </c>
      <c r="BY1306">
        <v>0</v>
      </c>
      <c r="BZ1306">
        <v>0</v>
      </c>
      <c r="CA1306">
        <v>0</v>
      </c>
      <c r="CB1306">
        <v>0</v>
      </c>
      <c r="CC1306">
        <v>0</v>
      </c>
      <c r="CD1306">
        <v>0</v>
      </c>
      <c r="CE1306">
        <v>0</v>
      </c>
      <c r="CF1306">
        <v>0</v>
      </c>
      <c r="CG1306">
        <v>0</v>
      </c>
      <c r="CH1306">
        <v>0</v>
      </c>
      <c r="CI1306">
        <v>0</v>
      </c>
      <c r="CJ1306">
        <v>0</v>
      </c>
      <c r="CK1306">
        <v>0</v>
      </c>
      <c r="CL1306">
        <v>0</v>
      </c>
      <c r="CM1306">
        <v>0</v>
      </c>
      <c r="CR1306" t="s">
        <v>2328</v>
      </c>
      <c r="CS1306" s="1369" t="str">
        <f>INDEX([8]Sheet1!$H:$H,MATCH(CR:CR,[8]Sheet1!$AU:$AU,0))</f>
        <v>Water Distribution</v>
      </c>
    </row>
    <row r="1307" spans="1:97" x14ac:dyDescent="0.2">
      <c r="A1307" t="s">
        <v>4321</v>
      </c>
      <c r="B1307">
        <v>1395</v>
      </c>
      <c r="C1307" t="s">
        <v>4321</v>
      </c>
      <c r="D1307">
        <v>41751</v>
      </c>
      <c r="E1307" t="s">
        <v>2437</v>
      </c>
      <c r="F1307" t="s">
        <v>2364</v>
      </c>
      <c r="G1307" t="s">
        <v>2364</v>
      </c>
      <c r="H1307" t="s">
        <v>2365</v>
      </c>
      <c r="I1307" t="s">
        <v>2365</v>
      </c>
      <c r="J1307" t="s">
        <v>2365</v>
      </c>
      <c r="K1307" t="s">
        <v>2365</v>
      </c>
      <c r="L1307">
        <v>3100</v>
      </c>
      <c r="M1307" t="s">
        <v>624</v>
      </c>
      <c r="N1307">
        <v>3107</v>
      </c>
      <c r="O1307" t="s">
        <v>1536</v>
      </c>
      <c r="P1307" t="s">
        <v>1846</v>
      </c>
      <c r="Q1307">
        <v>2010</v>
      </c>
      <c r="R1307" t="s">
        <v>668</v>
      </c>
      <c r="S1307" t="s">
        <v>552</v>
      </c>
      <c r="T1307" t="s">
        <v>2175</v>
      </c>
      <c r="U1307">
        <v>240</v>
      </c>
      <c r="V1307" t="s">
        <v>2389</v>
      </c>
      <c r="W1307">
        <v>240</v>
      </c>
      <c r="X1307" t="s">
        <v>701</v>
      </c>
      <c r="Y1307" t="s">
        <v>2365</v>
      </c>
      <c r="Z1307" t="s">
        <v>2365</v>
      </c>
      <c r="AA1307" t="s">
        <v>2365</v>
      </c>
      <c r="AB1307" t="s">
        <v>2365</v>
      </c>
      <c r="AC1307" s="813" t="s">
        <v>2365</v>
      </c>
      <c r="AD1307" s="813" t="s">
        <v>2365</v>
      </c>
      <c r="AE1307" s="813" t="s">
        <v>2365</v>
      </c>
      <c r="AF1307" t="s">
        <v>2365</v>
      </c>
      <c r="AG1307" t="s">
        <v>2365</v>
      </c>
      <c r="AH1307" t="s">
        <v>2365</v>
      </c>
      <c r="AI1307" t="s">
        <v>2365</v>
      </c>
      <c r="AJ1307" t="s">
        <v>2365</v>
      </c>
      <c r="AK1307">
        <v>241</v>
      </c>
      <c r="AL1307" t="s">
        <v>1203</v>
      </c>
      <c r="AM1307">
        <v>241</v>
      </c>
      <c r="AN1307" t="s">
        <v>1203</v>
      </c>
      <c r="AR1307">
        <v>810</v>
      </c>
      <c r="AS1307" t="s">
        <v>1624</v>
      </c>
      <c r="AT1307">
        <v>810</v>
      </c>
      <c r="AU1307" t="s">
        <v>1624</v>
      </c>
      <c r="AV1307" t="s">
        <v>2365</v>
      </c>
      <c r="AW1307" t="s">
        <v>2365</v>
      </c>
      <c r="AX1307" t="s">
        <v>2365</v>
      </c>
      <c r="AY1307" t="s">
        <v>2365</v>
      </c>
      <c r="AZ1307" t="s">
        <v>2365</v>
      </c>
      <c r="BA1307" t="s">
        <v>2365</v>
      </c>
      <c r="BB1307" t="s">
        <v>2365</v>
      </c>
      <c r="BC1307" t="s">
        <v>2365</v>
      </c>
      <c r="BD1307" t="s">
        <v>2366</v>
      </c>
      <c r="BE1307" t="s">
        <v>2365</v>
      </c>
      <c r="BF1307" t="s">
        <v>2365</v>
      </c>
      <c r="BG1307" t="s">
        <v>2365</v>
      </c>
      <c r="BH1307" t="s">
        <v>2365</v>
      </c>
      <c r="BI1307" t="s">
        <v>2366</v>
      </c>
      <c r="BJ1307" t="s">
        <v>2365</v>
      </c>
      <c r="BK1307" t="s">
        <v>2365</v>
      </c>
      <c r="BL1307" t="s">
        <v>2365</v>
      </c>
      <c r="BM1307" t="s">
        <v>2365</v>
      </c>
      <c r="BO1307">
        <v>8</v>
      </c>
      <c r="BP1307">
        <v>81</v>
      </c>
      <c r="BQ1307" t="s">
        <v>2442</v>
      </c>
      <c r="BR1307" t="s">
        <v>1536</v>
      </c>
      <c r="BU1307">
        <v>0</v>
      </c>
      <c r="BV1307">
        <v>0</v>
      </c>
      <c r="BW1307">
        <v>0</v>
      </c>
      <c r="BX1307">
        <v>0</v>
      </c>
      <c r="BY1307">
        <v>0</v>
      </c>
      <c r="BZ1307">
        <v>0</v>
      </c>
      <c r="CA1307">
        <v>0</v>
      </c>
      <c r="CB1307">
        <v>0</v>
      </c>
      <c r="CC1307">
        <v>0</v>
      </c>
      <c r="CD1307">
        <v>0</v>
      </c>
      <c r="CE1307">
        <v>0</v>
      </c>
      <c r="CF1307">
        <v>0</v>
      </c>
      <c r="CG1307">
        <v>0</v>
      </c>
      <c r="CH1307">
        <v>0</v>
      </c>
      <c r="CI1307">
        <v>0</v>
      </c>
      <c r="CJ1307">
        <v>0</v>
      </c>
      <c r="CK1307">
        <v>0</v>
      </c>
      <c r="CL1307">
        <v>0</v>
      </c>
      <c r="CM1307">
        <v>0</v>
      </c>
      <c r="CR1307" t="s">
        <v>2328</v>
      </c>
      <c r="CS1307" s="1369" t="str">
        <f>INDEX([8]Sheet1!$H:$H,MATCH(CR:CR,[8]Sheet1!$AU:$AU,0))</f>
        <v>Water Distribution</v>
      </c>
    </row>
    <row r="1308" spans="1:97" x14ac:dyDescent="0.2">
      <c r="A1308" t="s">
        <v>4322</v>
      </c>
      <c r="B1308">
        <v>1396</v>
      </c>
      <c r="C1308" t="s">
        <v>4322</v>
      </c>
      <c r="D1308">
        <v>41752</v>
      </c>
      <c r="E1308" t="s">
        <v>2401</v>
      </c>
      <c r="F1308" t="s">
        <v>2364</v>
      </c>
      <c r="G1308" t="s">
        <v>2364</v>
      </c>
      <c r="H1308" t="s">
        <v>2365</v>
      </c>
      <c r="I1308" t="s">
        <v>2365</v>
      </c>
      <c r="J1308" t="s">
        <v>2365</v>
      </c>
      <c r="K1308" t="s">
        <v>2365</v>
      </c>
      <c r="L1308">
        <v>3100</v>
      </c>
      <c r="M1308" t="s">
        <v>624</v>
      </c>
      <c r="N1308">
        <v>3107</v>
      </c>
      <c r="O1308" t="s">
        <v>1536</v>
      </c>
      <c r="P1308" t="s">
        <v>2366</v>
      </c>
      <c r="Q1308">
        <v>2080</v>
      </c>
      <c r="R1308" t="s">
        <v>579</v>
      </c>
      <c r="S1308" t="s">
        <v>552</v>
      </c>
      <c r="T1308" t="s">
        <v>2175</v>
      </c>
      <c r="U1308">
        <v>240</v>
      </c>
      <c r="V1308" t="s">
        <v>2389</v>
      </c>
      <c r="W1308">
        <v>240</v>
      </c>
      <c r="X1308" t="s">
        <v>701</v>
      </c>
      <c r="Y1308" t="s">
        <v>2365</v>
      </c>
      <c r="Z1308" t="s">
        <v>2365</v>
      </c>
      <c r="AA1308" t="s">
        <v>2365</v>
      </c>
      <c r="AB1308" t="s">
        <v>2365</v>
      </c>
      <c r="AC1308" s="813" t="s">
        <v>2365</v>
      </c>
      <c r="AD1308" s="813" t="s">
        <v>2365</v>
      </c>
      <c r="AE1308" s="813" t="s">
        <v>2365</v>
      </c>
      <c r="AF1308" t="s">
        <v>2365</v>
      </c>
      <c r="AG1308">
        <v>770</v>
      </c>
      <c r="AH1308" t="s">
        <v>1620</v>
      </c>
      <c r="AI1308">
        <v>770</v>
      </c>
      <c r="AJ1308" t="s">
        <v>1620</v>
      </c>
      <c r="AK1308">
        <v>243</v>
      </c>
      <c r="AL1308" t="s">
        <v>1205</v>
      </c>
      <c r="AM1308">
        <v>243</v>
      </c>
      <c r="AN1308" t="s">
        <v>1205</v>
      </c>
      <c r="AR1308">
        <v>790</v>
      </c>
      <c r="AS1308" t="s">
        <v>1622</v>
      </c>
      <c r="AT1308">
        <v>790</v>
      </c>
      <c r="AU1308" t="s">
        <v>1622</v>
      </c>
      <c r="AV1308" t="s">
        <v>2365</v>
      </c>
      <c r="AW1308" t="s">
        <v>2365</v>
      </c>
      <c r="AX1308" t="s">
        <v>2365</v>
      </c>
      <c r="AY1308" t="s">
        <v>2365</v>
      </c>
      <c r="AZ1308" t="s">
        <v>2365</v>
      </c>
      <c r="BA1308" t="s">
        <v>2365</v>
      </c>
      <c r="BB1308" t="s">
        <v>2365</v>
      </c>
      <c r="BC1308" t="s">
        <v>2365</v>
      </c>
      <c r="BD1308" t="s">
        <v>2366</v>
      </c>
      <c r="BE1308" t="s">
        <v>2365</v>
      </c>
      <c r="BF1308" t="s">
        <v>2365</v>
      </c>
      <c r="BG1308" t="s">
        <v>2365</v>
      </c>
      <c r="BH1308" t="s">
        <v>2365</v>
      </c>
      <c r="BI1308" t="s">
        <v>2366</v>
      </c>
      <c r="BJ1308" t="s">
        <v>2365</v>
      </c>
      <c r="BK1308" t="s">
        <v>2365</v>
      </c>
      <c r="BL1308" t="s">
        <v>2365</v>
      </c>
      <c r="BM1308" t="s">
        <v>2365</v>
      </c>
      <c r="BO1308">
        <v>8</v>
      </c>
      <c r="BP1308">
        <v>81</v>
      </c>
      <c r="BQ1308" t="s">
        <v>2442</v>
      </c>
      <c r="BR1308" t="s">
        <v>1536</v>
      </c>
      <c r="BU1308">
        <v>0</v>
      </c>
      <c r="BV1308">
        <v>0</v>
      </c>
      <c r="BW1308">
        <v>0</v>
      </c>
      <c r="BX1308">
        <v>0</v>
      </c>
      <c r="BY1308">
        <v>0</v>
      </c>
      <c r="BZ1308">
        <v>0</v>
      </c>
      <c r="CA1308">
        <v>0</v>
      </c>
      <c r="CB1308">
        <v>0</v>
      </c>
      <c r="CC1308">
        <v>0</v>
      </c>
      <c r="CD1308">
        <v>0</v>
      </c>
      <c r="CE1308">
        <v>0</v>
      </c>
      <c r="CF1308">
        <v>0</v>
      </c>
      <c r="CG1308">
        <v>0</v>
      </c>
      <c r="CH1308">
        <v>0</v>
      </c>
      <c r="CI1308">
        <v>0</v>
      </c>
      <c r="CJ1308">
        <v>0</v>
      </c>
      <c r="CK1308">
        <v>0</v>
      </c>
      <c r="CL1308">
        <v>0</v>
      </c>
      <c r="CM1308">
        <v>0</v>
      </c>
      <c r="CR1308" t="s">
        <v>2328</v>
      </c>
      <c r="CS1308" s="1369" t="str">
        <f>INDEX([8]Sheet1!$H:$H,MATCH(CR:CR,[8]Sheet1!$AU:$AU,0))</f>
        <v>Water Distribution</v>
      </c>
    </row>
    <row r="1309" spans="1:97" x14ac:dyDescent="0.2">
      <c r="A1309" t="s">
        <v>4323</v>
      </c>
      <c r="B1309">
        <v>1397</v>
      </c>
      <c r="C1309" t="s">
        <v>4323</v>
      </c>
      <c r="D1309">
        <v>41753</v>
      </c>
      <c r="E1309" t="s">
        <v>4284</v>
      </c>
      <c r="F1309" t="s">
        <v>2364</v>
      </c>
      <c r="G1309" t="s">
        <v>2364</v>
      </c>
      <c r="H1309" t="s">
        <v>2365</v>
      </c>
      <c r="I1309" t="s">
        <v>2365</v>
      </c>
      <c r="J1309" t="s">
        <v>2365</v>
      </c>
      <c r="K1309" t="s">
        <v>2365</v>
      </c>
      <c r="L1309">
        <v>3100</v>
      </c>
      <c r="M1309" t="s">
        <v>624</v>
      </c>
      <c r="N1309">
        <v>3107</v>
      </c>
      <c r="O1309" t="s">
        <v>1536</v>
      </c>
      <c r="P1309" t="s">
        <v>2366</v>
      </c>
      <c r="Q1309">
        <v>2080</v>
      </c>
      <c r="R1309" t="s">
        <v>579</v>
      </c>
      <c r="S1309" t="s">
        <v>552</v>
      </c>
      <c r="T1309" t="s">
        <v>2175</v>
      </c>
      <c r="U1309" t="s">
        <v>2366</v>
      </c>
      <c r="V1309" t="s">
        <v>2366</v>
      </c>
      <c r="W1309" t="s">
        <v>2366</v>
      </c>
      <c r="X1309" t="s">
        <v>2366</v>
      </c>
      <c r="Y1309" t="s">
        <v>2365</v>
      </c>
      <c r="Z1309" t="s">
        <v>2365</v>
      </c>
      <c r="AA1309" t="s">
        <v>2365</v>
      </c>
      <c r="AB1309" t="s">
        <v>2365</v>
      </c>
      <c r="AC1309" s="813" t="s">
        <v>2365</v>
      </c>
      <c r="AD1309" s="813" t="s">
        <v>2365</v>
      </c>
      <c r="AE1309" s="813" t="s">
        <v>2365</v>
      </c>
      <c r="AF1309" t="s">
        <v>2365</v>
      </c>
      <c r="AG1309">
        <v>770</v>
      </c>
      <c r="AH1309" t="s">
        <v>1620</v>
      </c>
      <c r="AI1309">
        <v>770</v>
      </c>
      <c r="AJ1309" t="s">
        <v>1620</v>
      </c>
      <c r="AK1309">
        <v>241</v>
      </c>
      <c r="AL1309" t="s">
        <v>1203</v>
      </c>
      <c r="AM1309">
        <v>241</v>
      </c>
      <c r="AN1309" t="s">
        <v>1203</v>
      </c>
      <c r="AR1309">
        <v>790</v>
      </c>
      <c r="AS1309" t="s">
        <v>1622</v>
      </c>
      <c r="AT1309">
        <v>790</v>
      </c>
      <c r="AU1309" t="s">
        <v>1622</v>
      </c>
      <c r="AV1309" t="s">
        <v>2365</v>
      </c>
      <c r="AW1309" t="s">
        <v>2365</v>
      </c>
      <c r="AX1309" t="s">
        <v>2365</v>
      </c>
      <c r="AY1309" t="s">
        <v>2365</v>
      </c>
      <c r="AZ1309" t="s">
        <v>2365</v>
      </c>
      <c r="BA1309" t="s">
        <v>2365</v>
      </c>
      <c r="BB1309" t="s">
        <v>2365</v>
      </c>
      <c r="BC1309" t="s">
        <v>2365</v>
      </c>
      <c r="BD1309" t="s">
        <v>2366</v>
      </c>
      <c r="BE1309" t="s">
        <v>2365</v>
      </c>
      <c r="BF1309" t="s">
        <v>2365</v>
      </c>
      <c r="BG1309" t="s">
        <v>2365</v>
      </c>
      <c r="BH1309" t="s">
        <v>2365</v>
      </c>
      <c r="BI1309" t="s">
        <v>2366</v>
      </c>
      <c r="BJ1309" t="s">
        <v>2365</v>
      </c>
      <c r="BK1309" t="s">
        <v>2365</v>
      </c>
      <c r="BL1309" t="s">
        <v>2365</v>
      </c>
      <c r="BM1309" t="s">
        <v>2365</v>
      </c>
      <c r="BO1309">
        <v>8</v>
      </c>
      <c r="BP1309">
        <v>81</v>
      </c>
      <c r="BQ1309" t="s">
        <v>2442</v>
      </c>
      <c r="BR1309" t="s">
        <v>1536</v>
      </c>
      <c r="BU1309">
        <v>0</v>
      </c>
      <c r="BV1309">
        <v>0</v>
      </c>
      <c r="BW1309">
        <v>0</v>
      </c>
      <c r="BX1309">
        <v>0</v>
      </c>
      <c r="BY1309">
        <v>0</v>
      </c>
      <c r="BZ1309">
        <v>0</v>
      </c>
      <c r="CA1309">
        <v>0</v>
      </c>
      <c r="CB1309">
        <v>0</v>
      </c>
      <c r="CC1309">
        <v>0</v>
      </c>
      <c r="CD1309">
        <v>0</v>
      </c>
      <c r="CE1309">
        <v>0</v>
      </c>
      <c r="CF1309">
        <v>0</v>
      </c>
      <c r="CG1309">
        <v>0</v>
      </c>
      <c r="CH1309">
        <v>0</v>
      </c>
      <c r="CI1309">
        <v>0</v>
      </c>
      <c r="CJ1309">
        <v>0</v>
      </c>
      <c r="CK1309">
        <v>0</v>
      </c>
      <c r="CL1309">
        <v>0</v>
      </c>
      <c r="CM1309">
        <v>0</v>
      </c>
      <c r="CR1309" t="s">
        <v>2328</v>
      </c>
      <c r="CS1309" s="1369" t="str">
        <f>INDEX([8]Sheet1!$H:$H,MATCH(CR:CR,[8]Sheet1!$AU:$AU,0))</f>
        <v>Water Distribution</v>
      </c>
    </row>
    <row r="1310" spans="1:97" x14ac:dyDescent="0.2">
      <c r="A1310" t="s">
        <v>4324</v>
      </c>
      <c r="B1310">
        <v>1398</v>
      </c>
      <c r="C1310" t="s">
        <v>4324</v>
      </c>
      <c r="D1310">
        <v>41754</v>
      </c>
      <c r="E1310" t="s">
        <v>4286</v>
      </c>
      <c r="F1310" t="s">
        <v>2364</v>
      </c>
      <c r="G1310" t="s">
        <v>2364</v>
      </c>
      <c r="H1310" s="1373" t="s">
        <v>2365</v>
      </c>
      <c r="I1310" t="s">
        <v>2365</v>
      </c>
      <c r="J1310" t="s">
        <v>2365</v>
      </c>
      <c r="K1310" t="s">
        <v>2365</v>
      </c>
      <c r="L1310" s="1373">
        <v>3100</v>
      </c>
      <c r="M1310" t="s">
        <v>624</v>
      </c>
      <c r="N1310">
        <v>3107</v>
      </c>
      <c r="O1310" t="s">
        <v>1536</v>
      </c>
      <c r="P1310" t="s">
        <v>1846</v>
      </c>
      <c r="Q1310">
        <v>2010</v>
      </c>
      <c r="R1310" t="s">
        <v>668</v>
      </c>
      <c r="S1310" t="s">
        <v>552</v>
      </c>
      <c r="T1310" t="s">
        <v>2175</v>
      </c>
      <c r="U1310">
        <v>240</v>
      </c>
      <c r="V1310" t="s">
        <v>2389</v>
      </c>
      <c r="W1310">
        <v>240</v>
      </c>
      <c r="X1310" t="s">
        <v>701</v>
      </c>
      <c r="Y1310" t="s">
        <v>2365</v>
      </c>
      <c r="Z1310" t="s">
        <v>2365</v>
      </c>
      <c r="AA1310" t="s">
        <v>2365</v>
      </c>
      <c r="AB1310" t="s">
        <v>2365</v>
      </c>
      <c r="AC1310" s="813" t="s">
        <v>2365</v>
      </c>
      <c r="AD1310" s="813" t="s">
        <v>2365</v>
      </c>
      <c r="AE1310" s="813" t="s">
        <v>2365</v>
      </c>
      <c r="AF1310" t="s">
        <v>2365</v>
      </c>
      <c r="AG1310">
        <v>770</v>
      </c>
      <c r="AH1310" t="s">
        <v>1620</v>
      </c>
      <c r="AI1310">
        <v>770</v>
      </c>
      <c r="AJ1310" t="s">
        <v>1620</v>
      </c>
      <c r="AK1310">
        <v>241</v>
      </c>
      <c r="AL1310" t="s">
        <v>1203</v>
      </c>
      <c r="AM1310">
        <v>241</v>
      </c>
      <c r="AN1310" t="s">
        <v>1203</v>
      </c>
      <c r="AR1310">
        <v>790</v>
      </c>
      <c r="AS1310" t="s">
        <v>1622</v>
      </c>
      <c r="AT1310">
        <v>790</v>
      </c>
      <c r="AU1310" t="s">
        <v>1622</v>
      </c>
      <c r="AV1310" t="s">
        <v>2365</v>
      </c>
      <c r="AW1310" t="s">
        <v>2365</v>
      </c>
      <c r="AX1310" t="s">
        <v>2365</v>
      </c>
      <c r="AY1310" t="s">
        <v>2365</v>
      </c>
      <c r="AZ1310" t="s">
        <v>2365</v>
      </c>
      <c r="BA1310" t="s">
        <v>2365</v>
      </c>
      <c r="BB1310" t="s">
        <v>2365</v>
      </c>
      <c r="BC1310" t="s">
        <v>2365</v>
      </c>
      <c r="BD1310" t="s">
        <v>2366</v>
      </c>
      <c r="BE1310" t="s">
        <v>2365</v>
      </c>
      <c r="BF1310" t="s">
        <v>2365</v>
      </c>
      <c r="BG1310" t="s">
        <v>2365</v>
      </c>
      <c r="BH1310" t="s">
        <v>2365</v>
      </c>
      <c r="BI1310" t="s">
        <v>2366</v>
      </c>
      <c r="BJ1310" t="s">
        <v>2365</v>
      </c>
      <c r="BK1310" t="s">
        <v>2365</v>
      </c>
      <c r="BL1310" t="s">
        <v>2365</v>
      </c>
      <c r="BM1310" t="s">
        <v>2365</v>
      </c>
      <c r="BO1310">
        <v>8</v>
      </c>
      <c r="BP1310">
        <v>81</v>
      </c>
      <c r="BQ1310" t="s">
        <v>2442</v>
      </c>
      <c r="BR1310" t="s">
        <v>1536</v>
      </c>
      <c r="BU1310" s="1371">
        <v>0</v>
      </c>
      <c r="BV1310" s="1371">
        <v>0</v>
      </c>
      <c r="BW1310" s="1371">
        <v>0</v>
      </c>
      <c r="BX1310" s="1371">
        <v>0</v>
      </c>
      <c r="BY1310" s="1371">
        <v>0</v>
      </c>
      <c r="BZ1310">
        <v>0</v>
      </c>
      <c r="CA1310">
        <v>0</v>
      </c>
      <c r="CB1310">
        <v>0</v>
      </c>
      <c r="CC1310">
        <v>0</v>
      </c>
      <c r="CD1310">
        <v>0</v>
      </c>
      <c r="CE1310">
        <v>0</v>
      </c>
      <c r="CF1310">
        <v>0</v>
      </c>
      <c r="CG1310">
        <v>0</v>
      </c>
      <c r="CH1310">
        <v>0</v>
      </c>
      <c r="CI1310">
        <v>0</v>
      </c>
      <c r="CJ1310">
        <v>0</v>
      </c>
      <c r="CK1310">
        <v>0</v>
      </c>
      <c r="CL1310">
        <v>0</v>
      </c>
      <c r="CM1310">
        <v>0</v>
      </c>
      <c r="CR1310" t="s">
        <v>2328</v>
      </c>
      <c r="CS1310" s="1369" t="str">
        <f>INDEX([8]Sheet1!$H:$H,MATCH(CR:CR,[8]Sheet1!$AU:$AU,0))</f>
        <v>Water Distribution</v>
      </c>
    </row>
    <row r="1311" spans="1:97" x14ac:dyDescent="0.2">
      <c r="A1311" t="s">
        <v>4325</v>
      </c>
      <c r="B1311">
        <v>1399</v>
      </c>
      <c r="C1311" t="s">
        <v>4325</v>
      </c>
      <c r="D1311">
        <v>41755</v>
      </c>
      <c r="E1311" t="s">
        <v>2391</v>
      </c>
      <c r="F1311" t="s">
        <v>2364</v>
      </c>
      <c r="G1311" t="s">
        <v>2364</v>
      </c>
      <c r="H1311" s="1373" t="s">
        <v>2365</v>
      </c>
      <c r="I1311" t="s">
        <v>2365</v>
      </c>
      <c r="J1311" t="s">
        <v>2365</v>
      </c>
      <c r="K1311" t="s">
        <v>2365</v>
      </c>
      <c r="L1311" s="1373">
        <v>1200</v>
      </c>
      <c r="M1311" t="s">
        <v>1480</v>
      </c>
      <c r="N1311">
        <v>1202</v>
      </c>
      <c r="O1311" t="s">
        <v>595</v>
      </c>
      <c r="P1311" t="s">
        <v>2366</v>
      </c>
      <c r="Q1311">
        <v>2080</v>
      </c>
      <c r="R1311" t="s">
        <v>579</v>
      </c>
      <c r="S1311" t="s">
        <v>552</v>
      </c>
      <c r="T1311" t="s">
        <v>2175</v>
      </c>
      <c r="U1311">
        <v>240</v>
      </c>
      <c r="V1311" t="s">
        <v>2389</v>
      </c>
      <c r="W1311">
        <v>240</v>
      </c>
      <c r="X1311" t="s">
        <v>701</v>
      </c>
      <c r="Y1311" t="s">
        <v>2365</v>
      </c>
      <c r="Z1311" t="s">
        <v>2365</v>
      </c>
      <c r="AA1311" t="s">
        <v>2365</v>
      </c>
      <c r="AB1311" t="s">
        <v>2365</v>
      </c>
      <c r="AC1311" s="813" t="s">
        <v>2365</v>
      </c>
      <c r="AD1311" s="813" t="s">
        <v>2365</v>
      </c>
      <c r="AE1311" s="813" t="s">
        <v>2365</v>
      </c>
      <c r="AF1311" t="s">
        <v>2365</v>
      </c>
      <c r="AG1311">
        <v>1490</v>
      </c>
      <c r="AH1311" t="s">
        <v>1675</v>
      </c>
      <c r="AI1311">
        <v>1490</v>
      </c>
      <c r="AJ1311" t="s">
        <v>1675</v>
      </c>
      <c r="AK1311">
        <v>243</v>
      </c>
      <c r="AL1311" t="s">
        <v>1205</v>
      </c>
      <c r="AM1311">
        <v>243</v>
      </c>
      <c r="AN1311" t="s">
        <v>1205</v>
      </c>
      <c r="AR1311">
        <v>1490</v>
      </c>
      <c r="AS1311" t="s">
        <v>1675</v>
      </c>
      <c r="AT1311">
        <v>1490</v>
      </c>
      <c r="AU1311" t="s">
        <v>1675</v>
      </c>
      <c r="AV1311" t="s">
        <v>2365</v>
      </c>
      <c r="AW1311" t="s">
        <v>2365</v>
      </c>
      <c r="AX1311" t="s">
        <v>2365</v>
      </c>
      <c r="AY1311" t="s">
        <v>2365</v>
      </c>
      <c r="AZ1311" t="s">
        <v>2365</v>
      </c>
      <c r="BA1311" t="s">
        <v>2365</v>
      </c>
      <c r="BB1311" t="s">
        <v>2365</v>
      </c>
      <c r="BC1311" t="s">
        <v>2365</v>
      </c>
      <c r="BD1311" t="s">
        <v>2366</v>
      </c>
      <c r="BE1311" t="s">
        <v>2365</v>
      </c>
      <c r="BF1311" t="s">
        <v>2365</v>
      </c>
      <c r="BG1311" t="s">
        <v>2365</v>
      </c>
      <c r="BH1311" t="s">
        <v>2365</v>
      </c>
      <c r="BI1311" t="s">
        <v>2366</v>
      </c>
      <c r="BJ1311" t="s">
        <v>2365</v>
      </c>
      <c r="BK1311" t="s">
        <v>2365</v>
      </c>
      <c r="BL1311" t="s">
        <v>2365</v>
      </c>
      <c r="BM1311" t="s">
        <v>2365</v>
      </c>
      <c r="BO1311">
        <v>1</v>
      </c>
      <c r="BP1311">
        <v>13</v>
      </c>
      <c r="BQ1311" t="s">
        <v>2369</v>
      </c>
      <c r="BR1311" t="s">
        <v>595</v>
      </c>
      <c r="BU1311" s="1371">
        <v>0</v>
      </c>
      <c r="BV1311" s="1371">
        <v>0</v>
      </c>
      <c r="BW1311" s="1371">
        <v>0</v>
      </c>
      <c r="BX1311" s="1371">
        <v>0</v>
      </c>
      <c r="BY1311" s="1371">
        <v>0</v>
      </c>
      <c r="BZ1311">
        <v>0</v>
      </c>
      <c r="CA1311">
        <v>0</v>
      </c>
      <c r="CB1311">
        <v>0</v>
      </c>
      <c r="CC1311">
        <v>0</v>
      </c>
      <c r="CD1311">
        <v>0</v>
      </c>
      <c r="CE1311">
        <v>0</v>
      </c>
      <c r="CF1311">
        <v>0</v>
      </c>
      <c r="CG1311">
        <v>0</v>
      </c>
      <c r="CH1311">
        <v>0</v>
      </c>
      <c r="CI1311">
        <v>0</v>
      </c>
      <c r="CJ1311">
        <v>0</v>
      </c>
      <c r="CK1311">
        <v>0</v>
      </c>
      <c r="CL1311">
        <v>0</v>
      </c>
      <c r="CM1311">
        <v>0</v>
      </c>
      <c r="CR1311" t="s">
        <v>2328</v>
      </c>
      <c r="CS1311" s="1369" t="str">
        <f>INDEX([8]Sheet1!$H:$H,MATCH(CR:CR,[8]Sheet1!$AU:$AU,0))</f>
        <v>Water Distribution</v>
      </c>
    </row>
    <row r="1312" spans="1:97" x14ac:dyDescent="0.2">
      <c r="A1312" t="s">
        <v>4326</v>
      </c>
      <c r="B1312">
        <v>1400</v>
      </c>
      <c r="C1312" t="s">
        <v>4326</v>
      </c>
      <c r="D1312">
        <v>41756</v>
      </c>
      <c r="E1312" t="s">
        <v>4310</v>
      </c>
      <c r="F1312" t="s">
        <v>2364</v>
      </c>
      <c r="G1312" t="s">
        <v>2364</v>
      </c>
      <c r="H1312" s="1373" t="s">
        <v>2365</v>
      </c>
      <c r="I1312" t="s">
        <v>2365</v>
      </c>
      <c r="J1312" t="s">
        <v>2365</v>
      </c>
      <c r="K1312" t="s">
        <v>2365</v>
      </c>
      <c r="L1312" s="1373">
        <v>1200</v>
      </c>
      <c r="M1312" t="s">
        <v>1480</v>
      </c>
      <c r="N1312">
        <v>1202</v>
      </c>
      <c r="O1312" t="s">
        <v>595</v>
      </c>
      <c r="P1312" t="s">
        <v>1846</v>
      </c>
      <c r="Q1312">
        <v>2080</v>
      </c>
      <c r="R1312" t="s">
        <v>579</v>
      </c>
      <c r="S1312" t="s">
        <v>552</v>
      </c>
      <c r="T1312" t="s">
        <v>2175</v>
      </c>
      <c r="U1312">
        <v>240</v>
      </c>
      <c r="V1312" t="s">
        <v>2389</v>
      </c>
      <c r="W1312">
        <v>240</v>
      </c>
      <c r="X1312" t="s">
        <v>701</v>
      </c>
      <c r="Y1312" t="s">
        <v>2365</v>
      </c>
      <c r="Z1312" t="s">
        <v>2365</v>
      </c>
      <c r="AA1312" t="s">
        <v>2365</v>
      </c>
      <c r="AB1312" t="s">
        <v>2365</v>
      </c>
      <c r="AC1312" s="813" t="s">
        <v>2365</v>
      </c>
      <c r="AD1312" s="813" t="s">
        <v>2365</v>
      </c>
      <c r="AE1312" s="813" t="s">
        <v>2365</v>
      </c>
      <c r="AF1312" t="s">
        <v>2365</v>
      </c>
      <c r="AG1312">
        <v>1490</v>
      </c>
      <c r="AH1312" t="s">
        <v>1675</v>
      </c>
      <c r="AI1312">
        <v>1490</v>
      </c>
      <c r="AJ1312" t="s">
        <v>1675</v>
      </c>
      <c r="AK1312">
        <v>241</v>
      </c>
      <c r="AL1312" t="s">
        <v>1203</v>
      </c>
      <c r="AM1312">
        <v>241</v>
      </c>
      <c r="AN1312" t="s">
        <v>1203</v>
      </c>
      <c r="AR1312">
        <v>1490</v>
      </c>
      <c r="AS1312" t="s">
        <v>1675</v>
      </c>
      <c r="AT1312">
        <v>1490</v>
      </c>
      <c r="AU1312" t="s">
        <v>1675</v>
      </c>
      <c r="AV1312" t="s">
        <v>2365</v>
      </c>
      <c r="AW1312" t="s">
        <v>2365</v>
      </c>
      <c r="AX1312" t="s">
        <v>2365</v>
      </c>
      <c r="AY1312" t="s">
        <v>2365</v>
      </c>
      <c r="AZ1312" t="s">
        <v>2365</v>
      </c>
      <c r="BA1312" t="s">
        <v>2365</v>
      </c>
      <c r="BB1312" t="s">
        <v>2365</v>
      </c>
      <c r="BC1312" t="s">
        <v>2365</v>
      </c>
      <c r="BD1312" t="s">
        <v>2366</v>
      </c>
      <c r="BE1312" t="s">
        <v>2365</v>
      </c>
      <c r="BF1312" t="s">
        <v>2365</v>
      </c>
      <c r="BG1312" t="s">
        <v>2365</v>
      </c>
      <c r="BH1312" t="s">
        <v>2365</v>
      </c>
      <c r="BI1312" t="s">
        <v>2366</v>
      </c>
      <c r="BJ1312" t="s">
        <v>2365</v>
      </c>
      <c r="BK1312" t="s">
        <v>2365</v>
      </c>
      <c r="BL1312" t="s">
        <v>2365</v>
      </c>
      <c r="BM1312" t="s">
        <v>2365</v>
      </c>
      <c r="BO1312">
        <v>1</v>
      </c>
      <c r="BP1312">
        <v>13</v>
      </c>
      <c r="BQ1312" t="s">
        <v>2369</v>
      </c>
      <c r="BR1312" t="s">
        <v>595</v>
      </c>
      <c r="BU1312" s="1371">
        <v>0</v>
      </c>
      <c r="BV1312" s="1371">
        <v>0</v>
      </c>
      <c r="BW1312" s="1371">
        <v>0</v>
      </c>
      <c r="BX1312" s="1371">
        <v>0</v>
      </c>
      <c r="BY1312" s="1371">
        <v>0</v>
      </c>
      <c r="BZ1312">
        <v>0</v>
      </c>
      <c r="CA1312">
        <v>0</v>
      </c>
      <c r="CB1312">
        <v>0</v>
      </c>
      <c r="CC1312">
        <v>0</v>
      </c>
      <c r="CD1312">
        <v>0</v>
      </c>
      <c r="CE1312">
        <v>0</v>
      </c>
      <c r="CF1312">
        <v>0</v>
      </c>
      <c r="CG1312">
        <v>0</v>
      </c>
      <c r="CH1312">
        <v>0</v>
      </c>
      <c r="CI1312">
        <v>0</v>
      </c>
      <c r="CJ1312">
        <v>0</v>
      </c>
      <c r="CK1312">
        <v>0</v>
      </c>
      <c r="CL1312">
        <v>0</v>
      </c>
      <c r="CM1312">
        <v>0</v>
      </c>
      <c r="CR1312" t="s">
        <v>2328</v>
      </c>
      <c r="CS1312" s="1369" t="str">
        <f>INDEX([8]Sheet1!$H:$H,MATCH(CR:CR,[8]Sheet1!$AU:$AU,0))</f>
        <v>Water Distribution</v>
      </c>
    </row>
    <row r="1313" spans="1:97" x14ac:dyDescent="0.2">
      <c r="A1313" t="s">
        <v>4327</v>
      </c>
      <c r="B1313">
        <v>1401</v>
      </c>
      <c r="C1313" t="s">
        <v>4327</v>
      </c>
      <c r="D1313">
        <v>41757</v>
      </c>
      <c r="E1313" t="s">
        <v>4328</v>
      </c>
      <c r="F1313" t="s">
        <v>2364</v>
      </c>
      <c r="G1313" t="s">
        <v>2364</v>
      </c>
      <c r="H1313" t="s">
        <v>2365</v>
      </c>
      <c r="I1313" t="s">
        <v>2365</v>
      </c>
      <c r="J1313" t="s">
        <v>2365</v>
      </c>
      <c r="K1313" t="s">
        <v>2365</v>
      </c>
      <c r="L1313">
        <v>1200</v>
      </c>
      <c r="M1313" t="s">
        <v>1480</v>
      </c>
      <c r="N1313">
        <v>1202</v>
      </c>
      <c r="O1313" t="s">
        <v>595</v>
      </c>
      <c r="P1313" t="s">
        <v>2366</v>
      </c>
      <c r="Q1313">
        <v>2080</v>
      </c>
      <c r="R1313" t="s">
        <v>579</v>
      </c>
      <c r="S1313" t="s">
        <v>552</v>
      </c>
      <c r="T1313" t="s">
        <v>2175</v>
      </c>
      <c r="U1313" t="s">
        <v>2366</v>
      </c>
      <c r="V1313" t="s">
        <v>2366</v>
      </c>
      <c r="W1313" t="s">
        <v>2366</v>
      </c>
      <c r="X1313" t="s">
        <v>2366</v>
      </c>
      <c r="Y1313" t="s">
        <v>2365</v>
      </c>
      <c r="Z1313" t="s">
        <v>2365</v>
      </c>
      <c r="AA1313" t="s">
        <v>2365</v>
      </c>
      <c r="AB1313" t="s">
        <v>2365</v>
      </c>
      <c r="AC1313" s="813" t="s">
        <v>2365</v>
      </c>
      <c r="AD1313" s="813" t="s">
        <v>2365</v>
      </c>
      <c r="AE1313" s="813" t="s">
        <v>2365</v>
      </c>
      <c r="AF1313" t="s">
        <v>2365</v>
      </c>
      <c r="AG1313">
        <v>1550</v>
      </c>
      <c r="AH1313" t="s">
        <v>1734</v>
      </c>
      <c r="AI1313">
        <v>1550</v>
      </c>
      <c r="AJ1313" t="s">
        <v>1734</v>
      </c>
      <c r="AK1313">
        <v>241</v>
      </c>
      <c r="AL1313" t="s">
        <v>1203</v>
      </c>
      <c r="AM1313">
        <v>241</v>
      </c>
      <c r="AN1313" t="s">
        <v>1203</v>
      </c>
      <c r="AR1313">
        <v>1550</v>
      </c>
      <c r="AS1313" t="s">
        <v>1734</v>
      </c>
      <c r="AT1313">
        <v>1550</v>
      </c>
      <c r="AU1313" t="s">
        <v>1734</v>
      </c>
      <c r="AV1313" t="s">
        <v>2365</v>
      </c>
      <c r="AW1313" t="s">
        <v>2365</v>
      </c>
      <c r="AX1313" t="s">
        <v>2365</v>
      </c>
      <c r="AY1313" t="s">
        <v>2365</v>
      </c>
      <c r="AZ1313" t="s">
        <v>2365</v>
      </c>
      <c r="BA1313" t="s">
        <v>2365</v>
      </c>
      <c r="BB1313" t="s">
        <v>2365</v>
      </c>
      <c r="BC1313" t="s">
        <v>2365</v>
      </c>
      <c r="BD1313" t="s">
        <v>2366</v>
      </c>
      <c r="BE1313" t="s">
        <v>2365</v>
      </c>
      <c r="BF1313" t="s">
        <v>2365</v>
      </c>
      <c r="BG1313" t="s">
        <v>2365</v>
      </c>
      <c r="BH1313" t="s">
        <v>2365</v>
      </c>
      <c r="BI1313" t="s">
        <v>2366</v>
      </c>
      <c r="BJ1313" t="s">
        <v>2365</v>
      </c>
      <c r="BK1313" t="s">
        <v>2365</v>
      </c>
      <c r="BL1313" t="s">
        <v>2365</v>
      </c>
      <c r="BM1313" t="s">
        <v>2365</v>
      </c>
      <c r="BO1313">
        <v>1</v>
      </c>
      <c r="BP1313">
        <v>13</v>
      </c>
      <c r="BQ1313" t="s">
        <v>2369</v>
      </c>
      <c r="BR1313" t="s">
        <v>595</v>
      </c>
      <c r="BU1313">
        <v>0</v>
      </c>
      <c r="BV1313">
        <v>0</v>
      </c>
      <c r="BW1313">
        <v>0</v>
      </c>
      <c r="BX1313">
        <v>0</v>
      </c>
      <c r="BY1313">
        <v>0</v>
      </c>
      <c r="BZ1313">
        <v>0</v>
      </c>
      <c r="CA1313">
        <v>0</v>
      </c>
      <c r="CB1313">
        <v>0</v>
      </c>
      <c r="CC1313">
        <v>0</v>
      </c>
      <c r="CD1313">
        <v>0</v>
      </c>
      <c r="CE1313">
        <v>0</v>
      </c>
      <c r="CF1313">
        <v>0</v>
      </c>
      <c r="CG1313">
        <v>0</v>
      </c>
      <c r="CH1313">
        <v>0</v>
      </c>
      <c r="CI1313">
        <v>0</v>
      </c>
      <c r="CJ1313">
        <v>0</v>
      </c>
      <c r="CK1313">
        <v>0</v>
      </c>
      <c r="CL1313">
        <v>0</v>
      </c>
      <c r="CM1313">
        <v>0</v>
      </c>
      <c r="CR1313" t="s">
        <v>2328</v>
      </c>
      <c r="CS1313" s="1369" t="str">
        <f>INDEX([8]Sheet1!$H:$H,MATCH(CR:CR,[8]Sheet1!$AU:$AU,0))</f>
        <v>Water Distribution</v>
      </c>
    </row>
    <row r="1314" spans="1:97" x14ac:dyDescent="0.2">
      <c r="A1314" t="s">
        <v>4329</v>
      </c>
      <c r="B1314">
        <v>1402</v>
      </c>
      <c r="C1314" t="s">
        <v>4329</v>
      </c>
      <c r="D1314">
        <v>41758</v>
      </c>
      <c r="E1314" t="s">
        <v>4330</v>
      </c>
      <c r="F1314" t="s">
        <v>2364</v>
      </c>
      <c r="G1314" t="s">
        <v>2364</v>
      </c>
      <c r="H1314" s="1373" t="s">
        <v>2365</v>
      </c>
      <c r="I1314" t="s">
        <v>2365</v>
      </c>
      <c r="J1314" t="s">
        <v>2365</v>
      </c>
      <c r="K1314" t="s">
        <v>2365</v>
      </c>
      <c r="L1314" s="1373">
        <v>1200</v>
      </c>
      <c r="M1314" t="s">
        <v>1480</v>
      </c>
      <c r="N1314">
        <v>1202</v>
      </c>
      <c r="O1314" t="s">
        <v>595</v>
      </c>
      <c r="P1314" t="s">
        <v>1846</v>
      </c>
      <c r="Q1314">
        <v>2080</v>
      </c>
      <c r="R1314" t="s">
        <v>579</v>
      </c>
      <c r="S1314" t="s">
        <v>552</v>
      </c>
      <c r="T1314" t="s">
        <v>2175</v>
      </c>
      <c r="U1314">
        <v>240</v>
      </c>
      <c r="V1314" t="s">
        <v>2389</v>
      </c>
      <c r="W1314">
        <v>240</v>
      </c>
      <c r="X1314" t="s">
        <v>701</v>
      </c>
      <c r="Y1314" t="s">
        <v>2365</v>
      </c>
      <c r="Z1314" t="s">
        <v>2365</v>
      </c>
      <c r="AA1314" t="s">
        <v>2365</v>
      </c>
      <c r="AB1314" t="s">
        <v>2365</v>
      </c>
      <c r="AC1314" s="813" t="s">
        <v>2365</v>
      </c>
      <c r="AD1314" s="813" t="s">
        <v>2365</v>
      </c>
      <c r="AE1314" s="813" t="s">
        <v>2365</v>
      </c>
      <c r="AF1314" t="s">
        <v>2365</v>
      </c>
      <c r="AG1314">
        <v>1550</v>
      </c>
      <c r="AH1314" t="s">
        <v>1734</v>
      </c>
      <c r="AI1314">
        <v>1550</v>
      </c>
      <c r="AJ1314" t="s">
        <v>1734</v>
      </c>
      <c r="AK1314">
        <v>241</v>
      </c>
      <c r="AL1314" t="s">
        <v>1203</v>
      </c>
      <c r="AM1314">
        <v>241</v>
      </c>
      <c r="AN1314" t="s">
        <v>1203</v>
      </c>
      <c r="AR1314">
        <v>1550</v>
      </c>
      <c r="AS1314" t="s">
        <v>1734</v>
      </c>
      <c r="AT1314">
        <v>1550</v>
      </c>
      <c r="AU1314" t="s">
        <v>1734</v>
      </c>
      <c r="AV1314" t="s">
        <v>2365</v>
      </c>
      <c r="AW1314" t="s">
        <v>2365</v>
      </c>
      <c r="AX1314" t="s">
        <v>2365</v>
      </c>
      <c r="AY1314" t="s">
        <v>2365</v>
      </c>
      <c r="AZ1314" t="s">
        <v>2365</v>
      </c>
      <c r="BA1314" t="s">
        <v>2365</v>
      </c>
      <c r="BB1314" t="s">
        <v>2365</v>
      </c>
      <c r="BC1314" t="s">
        <v>2365</v>
      </c>
      <c r="BD1314" t="s">
        <v>2366</v>
      </c>
      <c r="BE1314" t="s">
        <v>2365</v>
      </c>
      <c r="BF1314" t="s">
        <v>2365</v>
      </c>
      <c r="BG1314" t="s">
        <v>2365</v>
      </c>
      <c r="BH1314" t="s">
        <v>2365</v>
      </c>
      <c r="BI1314" t="s">
        <v>2366</v>
      </c>
      <c r="BJ1314" t="s">
        <v>2365</v>
      </c>
      <c r="BK1314" t="s">
        <v>2365</v>
      </c>
      <c r="BL1314" t="s">
        <v>2365</v>
      </c>
      <c r="BM1314" t="s">
        <v>2365</v>
      </c>
      <c r="BO1314">
        <v>1</v>
      </c>
      <c r="BP1314">
        <v>13</v>
      </c>
      <c r="BQ1314" t="s">
        <v>2369</v>
      </c>
      <c r="BR1314" t="s">
        <v>595</v>
      </c>
      <c r="BU1314" s="1371">
        <v>0</v>
      </c>
      <c r="BV1314" s="1371">
        <v>0</v>
      </c>
      <c r="BW1314" s="1371">
        <v>0</v>
      </c>
      <c r="BX1314" s="1371">
        <v>0</v>
      </c>
      <c r="BY1314" s="1371">
        <v>0</v>
      </c>
      <c r="BZ1314">
        <v>0</v>
      </c>
      <c r="CA1314">
        <v>0</v>
      </c>
      <c r="CB1314">
        <v>0</v>
      </c>
      <c r="CC1314">
        <v>0</v>
      </c>
      <c r="CD1314">
        <v>0</v>
      </c>
      <c r="CE1314">
        <v>0</v>
      </c>
      <c r="CF1314">
        <v>0</v>
      </c>
      <c r="CG1314">
        <v>0</v>
      </c>
      <c r="CH1314">
        <v>0</v>
      </c>
      <c r="CI1314">
        <v>0</v>
      </c>
      <c r="CJ1314">
        <v>0</v>
      </c>
      <c r="CK1314">
        <v>0</v>
      </c>
      <c r="CL1314">
        <v>0</v>
      </c>
      <c r="CM1314">
        <v>0</v>
      </c>
      <c r="CR1314" t="s">
        <v>2328</v>
      </c>
      <c r="CS1314" s="1369" t="str">
        <f>INDEX([8]Sheet1!$H:$H,MATCH(CR:CR,[8]Sheet1!$AU:$AU,0))</f>
        <v>Water Distribution</v>
      </c>
    </row>
    <row r="1315" spans="1:97" x14ac:dyDescent="0.2">
      <c r="A1315" t="s">
        <v>4331</v>
      </c>
      <c r="B1315">
        <v>1403</v>
      </c>
      <c r="C1315" t="s">
        <v>4331</v>
      </c>
      <c r="D1315">
        <v>41759</v>
      </c>
      <c r="E1315" t="s">
        <v>2403</v>
      </c>
      <c r="F1315" t="s">
        <v>2364</v>
      </c>
      <c r="G1315" t="s">
        <v>2364</v>
      </c>
      <c r="H1315" t="s">
        <v>2365</v>
      </c>
      <c r="I1315" t="s">
        <v>2365</v>
      </c>
      <c r="J1315" t="s">
        <v>2365</v>
      </c>
      <c r="K1315" t="s">
        <v>2365</v>
      </c>
      <c r="L1315">
        <v>1200</v>
      </c>
      <c r="M1315" t="s">
        <v>1480</v>
      </c>
      <c r="N1315">
        <v>1202</v>
      </c>
      <c r="O1315" t="s">
        <v>595</v>
      </c>
      <c r="P1315" t="s">
        <v>2366</v>
      </c>
      <c r="Q1315">
        <v>2080</v>
      </c>
      <c r="R1315" t="s">
        <v>579</v>
      </c>
      <c r="S1315" t="s">
        <v>552</v>
      </c>
      <c r="T1315" t="s">
        <v>2175</v>
      </c>
      <c r="U1315">
        <v>240</v>
      </c>
      <c r="V1315" t="s">
        <v>2389</v>
      </c>
      <c r="W1315">
        <v>240</v>
      </c>
      <c r="X1315" t="s">
        <v>701</v>
      </c>
      <c r="Y1315" t="s">
        <v>2365</v>
      </c>
      <c r="Z1315" t="s">
        <v>2365</v>
      </c>
      <c r="AA1315" t="s">
        <v>2365</v>
      </c>
      <c r="AB1315" t="s">
        <v>2365</v>
      </c>
      <c r="AC1315" s="813" t="s">
        <v>2365</v>
      </c>
      <c r="AD1315" s="813" t="s">
        <v>2365</v>
      </c>
      <c r="AE1315" s="813" t="s">
        <v>2365</v>
      </c>
      <c r="AF1315" t="s">
        <v>2365</v>
      </c>
      <c r="AG1315">
        <v>1180</v>
      </c>
      <c r="AH1315" t="s">
        <v>1368</v>
      </c>
      <c r="AI1315">
        <v>1180</v>
      </c>
      <c r="AJ1315" t="s">
        <v>1368</v>
      </c>
      <c r="AK1315">
        <v>243</v>
      </c>
      <c r="AL1315" t="s">
        <v>1205</v>
      </c>
      <c r="AM1315">
        <v>243</v>
      </c>
      <c r="AN1315" t="s">
        <v>1205</v>
      </c>
      <c r="AR1315">
        <v>1490</v>
      </c>
      <c r="AS1315" t="s">
        <v>1675</v>
      </c>
      <c r="AT1315">
        <v>1490</v>
      </c>
      <c r="AU1315" t="s">
        <v>1675</v>
      </c>
      <c r="AV1315" t="s">
        <v>2365</v>
      </c>
      <c r="AW1315" t="s">
        <v>2365</v>
      </c>
      <c r="AX1315" t="s">
        <v>2365</v>
      </c>
      <c r="AY1315" t="s">
        <v>2365</v>
      </c>
      <c r="AZ1315" t="s">
        <v>2365</v>
      </c>
      <c r="BA1315" t="s">
        <v>2365</v>
      </c>
      <c r="BB1315" t="s">
        <v>2365</v>
      </c>
      <c r="BC1315" t="s">
        <v>2365</v>
      </c>
      <c r="BD1315" t="s">
        <v>2366</v>
      </c>
      <c r="BE1315" t="s">
        <v>2365</v>
      </c>
      <c r="BF1315" t="s">
        <v>2365</v>
      </c>
      <c r="BG1315" t="s">
        <v>2365</v>
      </c>
      <c r="BH1315" t="s">
        <v>2365</v>
      </c>
      <c r="BI1315" t="s">
        <v>2366</v>
      </c>
      <c r="BJ1315" t="s">
        <v>2365</v>
      </c>
      <c r="BK1315" t="s">
        <v>2365</v>
      </c>
      <c r="BL1315" t="s">
        <v>2365</v>
      </c>
      <c r="BM1315" t="s">
        <v>2365</v>
      </c>
      <c r="BO1315">
        <v>1</v>
      </c>
      <c r="BP1315">
        <v>13</v>
      </c>
      <c r="BQ1315" t="s">
        <v>2369</v>
      </c>
      <c r="BR1315" t="s">
        <v>595</v>
      </c>
      <c r="BU1315">
        <v>0</v>
      </c>
      <c r="BV1315">
        <v>0</v>
      </c>
      <c r="BW1315">
        <v>0</v>
      </c>
      <c r="BX1315">
        <v>0</v>
      </c>
      <c r="BY1315">
        <v>0</v>
      </c>
      <c r="BZ1315">
        <v>0</v>
      </c>
      <c r="CA1315">
        <v>0</v>
      </c>
      <c r="CB1315">
        <v>-10535.17</v>
      </c>
      <c r="CC1315">
        <v>-10195.33</v>
      </c>
      <c r="CD1315">
        <v>-7255.87</v>
      </c>
      <c r="CE1315">
        <v>-10181.33</v>
      </c>
      <c r="CF1315">
        <v>-9852.9</v>
      </c>
      <c r="CG1315">
        <v>-10393.18</v>
      </c>
      <c r="CH1315">
        <v>-10393.18</v>
      </c>
      <c r="CI1315">
        <v>-9387.39</v>
      </c>
      <c r="CJ1315">
        <v>0</v>
      </c>
      <c r="CK1315">
        <v>0</v>
      </c>
      <c r="CL1315">
        <v>0</v>
      </c>
      <c r="CM1315">
        <v>0</v>
      </c>
      <c r="CR1315" t="s">
        <v>2328</v>
      </c>
      <c r="CS1315" s="1369" t="str">
        <f>INDEX([8]Sheet1!$H:$H,MATCH(CR:CR,[8]Sheet1!$AU:$AU,0))</f>
        <v>Water Distribution</v>
      </c>
    </row>
    <row r="1316" spans="1:97" x14ac:dyDescent="0.2">
      <c r="A1316" t="s">
        <v>4332</v>
      </c>
      <c r="B1316">
        <v>1404</v>
      </c>
      <c r="C1316" t="s">
        <v>4332</v>
      </c>
      <c r="D1316">
        <v>41760</v>
      </c>
      <c r="E1316" t="s">
        <v>4279</v>
      </c>
      <c r="F1316" t="s">
        <v>2364</v>
      </c>
      <c r="G1316" t="s">
        <v>2364</v>
      </c>
      <c r="H1316" t="s">
        <v>2365</v>
      </c>
      <c r="I1316" t="s">
        <v>2365</v>
      </c>
      <c r="J1316" t="s">
        <v>2365</v>
      </c>
      <c r="K1316" t="s">
        <v>2365</v>
      </c>
      <c r="L1316">
        <v>1200</v>
      </c>
      <c r="M1316" t="s">
        <v>1480</v>
      </c>
      <c r="N1316">
        <v>1202</v>
      </c>
      <c r="O1316" t="s">
        <v>595</v>
      </c>
      <c r="P1316" t="s">
        <v>2366</v>
      </c>
      <c r="Q1316">
        <v>2080</v>
      </c>
      <c r="R1316" t="s">
        <v>579</v>
      </c>
      <c r="S1316" t="s">
        <v>552</v>
      </c>
      <c r="T1316" t="s">
        <v>2175</v>
      </c>
      <c r="U1316" t="s">
        <v>2366</v>
      </c>
      <c r="V1316" t="s">
        <v>2366</v>
      </c>
      <c r="W1316" t="s">
        <v>2366</v>
      </c>
      <c r="X1316" t="s">
        <v>2366</v>
      </c>
      <c r="Y1316" t="s">
        <v>2365</v>
      </c>
      <c r="Z1316" t="s">
        <v>2365</v>
      </c>
      <c r="AA1316" t="s">
        <v>2365</v>
      </c>
      <c r="AB1316" t="s">
        <v>2365</v>
      </c>
      <c r="AC1316" s="813" t="s">
        <v>2365</v>
      </c>
      <c r="AD1316" s="813" t="s">
        <v>2365</v>
      </c>
      <c r="AE1316" s="813" t="s">
        <v>2365</v>
      </c>
      <c r="AF1316" t="s">
        <v>2365</v>
      </c>
      <c r="AG1316">
        <v>1180</v>
      </c>
      <c r="AH1316" t="s">
        <v>1368</v>
      </c>
      <c r="AI1316">
        <v>1180</v>
      </c>
      <c r="AJ1316" t="s">
        <v>1368</v>
      </c>
      <c r="AK1316">
        <v>241</v>
      </c>
      <c r="AL1316" t="s">
        <v>1203</v>
      </c>
      <c r="AM1316">
        <v>241</v>
      </c>
      <c r="AN1316" t="s">
        <v>1203</v>
      </c>
      <c r="AR1316">
        <v>1490</v>
      </c>
      <c r="AS1316" t="s">
        <v>1675</v>
      </c>
      <c r="AT1316">
        <v>1490</v>
      </c>
      <c r="AU1316" t="s">
        <v>1675</v>
      </c>
      <c r="AV1316" t="s">
        <v>2365</v>
      </c>
      <c r="AW1316" t="s">
        <v>2365</v>
      </c>
      <c r="AX1316" t="s">
        <v>2365</v>
      </c>
      <c r="AY1316" t="s">
        <v>2365</v>
      </c>
      <c r="AZ1316" t="s">
        <v>2365</v>
      </c>
      <c r="BA1316" t="s">
        <v>2365</v>
      </c>
      <c r="BB1316" t="s">
        <v>2365</v>
      </c>
      <c r="BC1316" t="s">
        <v>2365</v>
      </c>
      <c r="BD1316" t="s">
        <v>2366</v>
      </c>
      <c r="BE1316" t="s">
        <v>2365</v>
      </c>
      <c r="BF1316" t="s">
        <v>2365</v>
      </c>
      <c r="BG1316" t="s">
        <v>2365</v>
      </c>
      <c r="BH1316" t="s">
        <v>2365</v>
      </c>
      <c r="BI1316" t="s">
        <v>2366</v>
      </c>
      <c r="BJ1316" t="s">
        <v>2365</v>
      </c>
      <c r="BK1316" t="s">
        <v>2365</v>
      </c>
      <c r="BL1316" t="s">
        <v>2365</v>
      </c>
      <c r="BM1316" t="s">
        <v>2365</v>
      </c>
      <c r="BO1316">
        <v>1</v>
      </c>
      <c r="BP1316">
        <v>13</v>
      </c>
      <c r="BQ1316" t="s">
        <v>2369</v>
      </c>
      <c r="BR1316" t="s">
        <v>595</v>
      </c>
      <c r="BU1316">
        <v>0</v>
      </c>
      <c r="BV1316">
        <v>0</v>
      </c>
      <c r="BW1316">
        <v>0</v>
      </c>
      <c r="BX1316">
        <v>0</v>
      </c>
      <c r="BY1316">
        <v>0</v>
      </c>
      <c r="BZ1316">
        <v>0</v>
      </c>
      <c r="CA1316">
        <v>0</v>
      </c>
      <c r="CB1316">
        <v>0</v>
      </c>
      <c r="CC1316">
        <v>0</v>
      </c>
      <c r="CD1316">
        <v>0</v>
      </c>
      <c r="CE1316">
        <v>0</v>
      </c>
      <c r="CF1316">
        <v>0</v>
      </c>
      <c r="CG1316">
        <v>0</v>
      </c>
      <c r="CH1316">
        <v>0</v>
      </c>
      <c r="CI1316">
        <v>0</v>
      </c>
      <c r="CJ1316">
        <v>0</v>
      </c>
      <c r="CK1316">
        <v>0</v>
      </c>
      <c r="CL1316">
        <v>0</v>
      </c>
      <c r="CM1316">
        <v>0</v>
      </c>
      <c r="CR1316" t="s">
        <v>2328</v>
      </c>
      <c r="CS1316" s="1369" t="str">
        <f>INDEX([8]Sheet1!$H:$H,MATCH(CR:CR,[8]Sheet1!$AU:$AU,0))</f>
        <v>Water Distribution</v>
      </c>
    </row>
    <row r="1317" spans="1:97" x14ac:dyDescent="0.2">
      <c r="A1317" t="s">
        <v>4333</v>
      </c>
      <c r="B1317">
        <v>1405</v>
      </c>
      <c r="C1317" t="s">
        <v>4333</v>
      </c>
      <c r="D1317">
        <v>41761</v>
      </c>
      <c r="E1317" t="s">
        <v>4281</v>
      </c>
      <c r="F1317" t="s">
        <v>2364</v>
      </c>
      <c r="G1317" t="s">
        <v>2364</v>
      </c>
      <c r="H1317" t="s">
        <v>2365</v>
      </c>
      <c r="I1317" t="s">
        <v>2365</v>
      </c>
      <c r="J1317" t="s">
        <v>2365</v>
      </c>
      <c r="K1317" t="s">
        <v>2365</v>
      </c>
      <c r="L1317">
        <v>1200</v>
      </c>
      <c r="M1317" t="s">
        <v>1480</v>
      </c>
      <c r="N1317">
        <v>1202</v>
      </c>
      <c r="O1317" t="s">
        <v>595</v>
      </c>
      <c r="P1317" t="s">
        <v>1846</v>
      </c>
      <c r="Q1317">
        <v>2080</v>
      </c>
      <c r="R1317" t="s">
        <v>579</v>
      </c>
      <c r="S1317" t="s">
        <v>552</v>
      </c>
      <c r="T1317" t="s">
        <v>2175</v>
      </c>
      <c r="U1317">
        <v>240</v>
      </c>
      <c r="V1317" t="s">
        <v>2389</v>
      </c>
      <c r="W1317">
        <v>240</v>
      </c>
      <c r="X1317" t="s">
        <v>701</v>
      </c>
      <c r="Y1317" t="s">
        <v>2365</v>
      </c>
      <c r="Z1317" t="s">
        <v>2365</v>
      </c>
      <c r="AA1317" t="s">
        <v>2365</v>
      </c>
      <c r="AB1317" t="s">
        <v>2365</v>
      </c>
      <c r="AC1317" s="813" t="s">
        <v>2365</v>
      </c>
      <c r="AD1317" s="813" t="s">
        <v>2365</v>
      </c>
      <c r="AE1317" s="813" t="s">
        <v>2365</v>
      </c>
      <c r="AF1317" t="s">
        <v>2365</v>
      </c>
      <c r="AG1317">
        <v>1180</v>
      </c>
      <c r="AH1317" t="s">
        <v>1368</v>
      </c>
      <c r="AI1317">
        <v>1180</v>
      </c>
      <c r="AJ1317" t="s">
        <v>1368</v>
      </c>
      <c r="AK1317">
        <v>241</v>
      </c>
      <c r="AL1317" t="s">
        <v>1203</v>
      </c>
      <c r="AM1317">
        <v>241</v>
      </c>
      <c r="AN1317" t="s">
        <v>1203</v>
      </c>
      <c r="AR1317">
        <v>1490</v>
      </c>
      <c r="AS1317" t="s">
        <v>1675</v>
      </c>
      <c r="AT1317">
        <v>1490</v>
      </c>
      <c r="AU1317" t="s">
        <v>1675</v>
      </c>
      <c r="AV1317" t="s">
        <v>2365</v>
      </c>
      <c r="AW1317" t="s">
        <v>2365</v>
      </c>
      <c r="AX1317" t="s">
        <v>2365</v>
      </c>
      <c r="AY1317" t="s">
        <v>2365</v>
      </c>
      <c r="AZ1317" t="s">
        <v>2365</v>
      </c>
      <c r="BA1317" t="s">
        <v>2365</v>
      </c>
      <c r="BB1317" t="s">
        <v>2365</v>
      </c>
      <c r="BC1317" t="s">
        <v>2365</v>
      </c>
      <c r="BD1317" t="s">
        <v>2366</v>
      </c>
      <c r="BE1317" t="s">
        <v>2365</v>
      </c>
      <c r="BF1317" t="s">
        <v>2365</v>
      </c>
      <c r="BG1317" t="s">
        <v>2365</v>
      </c>
      <c r="BH1317" t="s">
        <v>2365</v>
      </c>
      <c r="BI1317" t="s">
        <v>2366</v>
      </c>
      <c r="BJ1317" t="s">
        <v>2365</v>
      </c>
      <c r="BK1317" t="s">
        <v>2365</v>
      </c>
      <c r="BL1317" t="s">
        <v>2365</v>
      </c>
      <c r="BM1317" t="s">
        <v>2365</v>
      </c>
      <c r="BO1317">
        <v>1</v>
      </c>
      <c r="BP1317">
        <v>13</v>
      </c>
      <c r="BQ1317" t="s">
        <v>2369</v>
      </c>
      <c r="BR1317" t="s">
        <v>595</v>
      </c>
      <c r="BU1317">
        <v>0</v>
      </c>
      <c r="BV1317">
        <v>0</v>
      </c>
      <c r="BW1317">
        <v>0</v>
      </c>
      <c r="BX1317">
        <v>0</v>
      </c>
      <c r="BY1317">
        <v>0</v>
      </c>
      <c r="BZ1317">
        <v>0</v>
      </c>
      <c r="CA1317">
        <v>0</v>
      </c>
      <c r="CB1317">
        <v>0</v>
      </c>
      <c r="CC1317">
        <v>0</v>
      </c>
      <c r="CD1317">
        <v>0</v>
      </c>
      <c r="CE1317">
        <v>0</v>
      </c>
      <c r="CF1317">
        <v>0</v>
      </c>
      <c r="CG1317">
        <v>0</v>
      </c>
      <c r="CH1317">
        <v>0</v>
      </c>
      <c r="CI1317">
        <v>0</v>
      </c>
      <c r="CJ1317">
        <v>0</v>
      </c>
      <c r="CK1317">
        <v>0</v>
      </c>
      <c r="CL1317">
        <v>0</v>
      </c>
      <c r="CM1317">
        <v>0</v>
      </c>
      <c r="CR1317" t="s">
        <v>2328</v>
      </c>
      <c r="CS1317" s="1369" t="str">
        <f>INDEX([8]Sheet1!$H:$H,MATCH(CR:CR,[8]Sheet1!$AU:$AU,0))</f>
        <v>Water Distribution</v>
      </c>
    </row>
    <row r="1318" spans="1:97" x14ac:dyDescent="0.2">
      <c r="A1318" t="s">
        <v>4334</v>
      </c>
      <c r="B1318">
        <v>1406</v>
      </c>
      <c r="C1318" t="s">
        <v>4334</v>
      </c>
      <c r="D1318">
        <v>41762</v>
      </c>
      <c r="E1318" t="s">
        <v>4274</v>
      </c>
      <c r="F1318" t="s">
        <v>2364</v>
      </c>
      <c r="G1318" t="s">
        <v>2364</v>
      </c>
      <c r="H1318" t="s">
        <v>2365</v>
      </c>
      <c r="I1318" t="s">
        <v>2365</v>
      </c>
      <c r="J1318" t="s">
        <v>2365</v>
      </c>
      <c r="K1318" t="s">
        <v>2365</v>
      </c>
      <c r="L1318">
        <v>1200</v>
      </c>
      <c r="M1318" t="s">
        <v>1480</v>
      </c>
      <c r="N1318">
        <v>1202</v>
      </c>
      <c r="O1318" t="s">
        <v>595</v>
      </c>
      <c r="P1318" t="s">
        <v>2366</v>
      </c>
      <c r="Q1318">
        <v>2080</v>
      </c>
      <c r="R1318" t="s">
        <v>579</v>
      </c>
      <c r="S1318" t="s">
        <v>552</v>
      </c>
      <c r="T1318" t="s">
        <v>2175</v>
      </c>
      <c r="U1318">
        <v>270</v>
      </c>
      <c r="V1318" t="s">
        <v>2372</v>
      </c>
      <c r="W1318">
        <v>270</v>
      </c>
      <c r="X1318" t="s">
        <v>704</v>
      </c>
      <c r="Y1318" t="s">
        <v>2365</v>
      </c>
      <c r="Z1318" t="s">
        <v>2365</v>
      </c>
      <c r="AA1318" t="s">
        <v>2365</v>
      </c>
      <c r="AB1318" t="s">
        <v>2365</v>
      </c>
      <c r="AC1318" s="813" t="s">
        <v>2365</v>
      </c>
      <c r="AD1318" s="813" t="s">
        <v>2365</v>
      </c>
      <c r="AE1318" s="813" t="s">
        <v>2365</v>
      </c>
      <c r="AF1318" t="s">
        <v>2365</v>
      </c>
      <c r="AG1318">
        <v>1370</v>
      </c>
      <c r="AH1318" t="s">
        <v>1665</v>
      </c>
      <c r="AI1318">
        <v>1370</v>
      </c>
      <c r="AJ1318" t="s">
        <v>1665</v>
      </c>
      <c r="AK1318" t="s">
        <v>2365</v>
      </c>
      <c r="AL1318" t="s">
        <v>2365</v>
      </c>
      <c r="AM1318" t="s">
        <v>2365</v>
      </c>
      <c r="AN1318" t="s">
        <v>2365</v>
      </c>
      <c r="AR1318">
        <v>1430</v>
      </c>
      <c r="AS1318" t="s">
        <v>1671</v>
      </c>
      <c r="AT1318">
        <v>1430</v>
      </c>
      <c r="AU1318" t="s">
        <v>1671</v>
      </c>
      <c r="AV1318" t="s">
        <v>2365</v>
      </c>
      <c r="AW1318" t="s">
        <v>2365</v>
      </c>
      <c r="AX1318" t="s">
        <v>2365</v>
      </c>
      <c r="AY1318" t="s">
        <v>2365</v>
      </c>
      <c r="AZ1318" t="s">
        <v>2365</v>
      </c>
      <c r="BA1318" t="s">
        <v>2365</v>
      </c>
      <c r="BB1318" t="s">
        <v>2365</v>
      </c>
      <c r="BC1318" t="s">
        <v>2365</v>
      </c>
      <c r="BD1318" t="s">
        <v>2366</v>
      </c>
      <c r="BE1318" t="s">
        <v>2365</v>
      </c>
      <c r="BF1318" t="s">
        <v>2365</v>
      </c>
      <c r="BG1318" t="s">
        <v>2365</v>
      </c>
      <c r="BH1318" t="s">
        <v>2365</v>
      </c>
      <c r="BI1318" t="s">
        <v>2366</v>
      </c>
      <c r="BJ1318" t="s">
        <v>2365</v>
      </c>
      <c r="BK1318" t="s">
        <v>2365</v>
      </c>
      <c r="BL1318" t="s">
        <v>2365</v>
      </c>
      <c r="BM1318" t="s">
        <v>2365</v>
      </c>
      <c r="BO1318">
        <v>1</v>
      </c>
      <c r="BP1318">
        <v>13</v>
      </c>
      <c r="BQ1318" t="s">
        <v>2369</v>
      </c>
      <c r="BR1318" t="s">
        <v>595</v>
      </c>
      <c r="BU1318">
        <v>0</v>
      </c>
      <c r="BV1318">
        <v>0</v>
      </c>
      <c r="BW1318">
        <v>0</v>
      </c>
      <c r="BX1318">
        <v>0</v>
      </c>
      <c r="BY1318">
        <v>0</v>
      </c>
      <c r="BZ1318">
        <v>0</v>
      </c>
      <c r="CA1318">
        <v>0</v>
      </c>
      <c r="CB1318">
        <v>-21729.89</v>
      </c>
      <c r="CC1318">
        <v>-21028.94</v>
      </c>
      <c r="CD1318">
        <v>-18426.829999999998</v>
      </c>
      <c r="CE1318">
        <v>-20616.91</v>
      </c>
      <c r="CF1318">
        <v>-19951.849999999999</v>
      </c>
      <c r="CG1318">
        <v>-20616.91</v>
      </c>
      <c r="CH1318">
        <v>-20616.91</v>
      </c>
      <c r="CI1318">
        <v>-18621.72</v>
      </c>
      <c r="CJ1318">
        <v>0</v>
      </c>
      <c r="CK1318">
        <v>0</v>
      </c>
      <c r="CL1318">
        <v>0</v>
      </c>
      <c r="CM1318">
        <v>0</v>
      </c>
      <c r="CR1318" t="s">
        <v>2328</v>
      </c>
      <c r="CS1318" s="1369" t="str">
        <f>INDEX([8]Sheet1!$H:$H,MATCH(CR:CR,[8]Sheet1!$AU:$AU,0))</f>
        <v>Water Distribution</v>
      </c>
    </row>
    <row r="1319" spans="1:97" x14ac:dyDescent="0.2">
      <c r="A1319" t="s">
        <v>4335</v>
      </c>
      <c r="B1319">
        <v>1407</v>
      </c>
      <c r="C1319" t="s">
        <v>4335</v>
      </c>
      <c r="D1319">
        <v>41763</v>
      </c>
      <c r="E1319" t="s">
        <v>4276</v>
      </c>
      <c r="F1319" t="s">
        <v>2364</v>
      </c>
      <c r="G1319" t="s">
        <v>2364</v>
      </c>
      <c r="H1319" t="s">
        <v>2365</v>
      </c>
      <c r="I1319" t="s">
        <v>2365</v>
      </c>
      <c r="J1319" t="s">
        <v>2365</v>
      </c>
      <c r="K1319" t="s">
        <v>2365</v>
      </c>
      <c r="L1319">
        <v>1200</v>
      </c>
      <c r="M1319" t="s">
        <v>1480</v>
      </c>
      <c r="N1319">
        <v>1202</v>
      </c>
      <c r="O1319" t="s">
        <v>595</v>
      </c>
      <c r="P1319" t="s">
        <v>1846</v>
      </c>
      <c r="Q1319">
        <v>2080</v>
      </c>
      <c r="R1319" t="s">
        <v>579</v>
      </c>
      <c r="S1319" t="s">
        <v>552</v>
      </c>
      <c r="T1319" t="s">
        <v>2175</v>
      </c>
      <c r="U1319">
        <v>270</v>
      </c>
      <c r="V1319" t="s">
        <v>2372</v>
      </c>
      <c r="W1319">
        <v>270</v>
      </c>
      <c r="X1319" t="s">
        <v>704</v>
      </c>
      <c r="Y1319" t="s">
        <v>2365</v>
      </c>
      <c r="Z1319" t="s">
        <v>2365</v>
      </c>
      <c r="AA1319" t="s">
        <v>2365</v>
      </c>
      <c r="AB1319" t="s">
        <v>2365</v>
      </c>
      <c r="AC1319" s="813" t="s">
        <v>2365</v>
      </c>
      <c r="AD1319" s="813" t="s">
        <v>2365</v>
      </c>
      <c r="AE1319" s="813" t="s">
        <v>2365</v>
      </c>
      <c r="AF1319" t="s">
        <v>2365</v>
      </c>
      <c r="AG1319">
        <v>1370</v>
      </c>
      <c r="AH1319" t="s">
        <v>1665</v>
      </c>
      <c r="AI1319">
        <v>1370</v>
      </c>
      <c r="AJ1319" t="s">
        <v>1665</v>
      </c>
      <c r="AK1319" t="s">
        <v>2365</v>
      </c>
      <c r="AL1319" t="s">
        <v>2365</v>
      </c>
      <c r="AM1319" t="s">
        <v>2365</v>
      </c>
      <c r="AN1319" t="s">
        <v>2365</v>
      </c>
      <c r="AR1319">
        <v>1430</v>
      </c>
      <c r="AS1319" t="s">
        <v>1671</v>
      </c>
      <c r="AT1319">
        <v>1430</v>
      </c>
      <c r="AU1319" t="s">
        <v>1671</v>
      </c>
      <c r="AV1319" t="s">
        <v>2365</v>
      </c>
      <c r="AW1319" t="s">
        <v>2365</v>
      </c>
      <c r="AX1319" t="s">
        <v>2365</v>
      </c>
      <c r="AY1319" t="s">
        <v>2365</v>
      </c>
      <c r="AZ1319" t="s">
        <v>2365</v>
      </c>
      <c r="BA1319" t="s">
        <v>2365</v>
      </c>
      <c r="BB1319" t="s">
        <v>2365</v>
      </c>
      <c r="BC1319" t="s">
        <v>2365</v>
      </c>
      <c r="BD1319" t="s">
        <v>2366</v>
      </c>
      <c r="BE1319" t="s">
        <v>2365</v>
      </c>
      <c r="BF1319" t="s">
        <v>2365</v>
      </c>
      <c r="BG1319" t="s">
        <v>2365</v>
      </c>
      <c r="BH1319" t="s">
        <v>2365</v>
      </c>
      <c r="BI1319" t="s">
        <v>2366</v>
      </c>
      <c r="BJ1319" t="s">
        <v>2365</v>
      </c>
      <c r="BK1319" t="s">
        <v>2365</v>
      </c>
      <c r="BL1319" t="s">
        <v>2365</v>
      </c>
      <c r="BM1319" t="s">
        <v>2365</v>
      </c>
      <c r="BO1319">
        <v>1</v>
      </c>
      <c r="BP1319">
        <v>13</v>
      </c>
      <c r="BQ1319" t="s">
        <v>2369</v>
      </c>
      <c r="BR1319" t="s">
        <v>595</v>
      </c>
      <c r="BU1319">
        <v>0</v>
      </c>
      <c r="BV1319">
        <v>0</v>
      </c>
      <c r="BW1319">
        <v>0</v>
      </c>
      <c r="BX1319">
        <v>0</v>
      </c>
      <c r="BY1319">
        <v>0</v>
      </c>
      <c r="BZ1319">
        <v>0</v>
      </c>
      <c r="CA1319">
        <v>0</v>
      </c>
      <c r="CB1319">
        <v>0</v>
      </c>
      <c r="CC1319">
        <v>0</v>
      </c>
      <c r="CD1319">
        <v>0</v>
      </c>
      <c r="CE1319">
        <v>0</v>
      </c>
      <c r="CF1319">
        <v>0</v>
      </c>
      <c r="CG1319">
        <v>0</v>
      </c>
      <c r="CH1319">
        <v>0</v>
      </c>
      <c r="CI1319">
        <v>0</v>
      </c>
      <c r="CJ1319">
        <v>0</v>
      </c>
      <c r="CK1319">
        <v>0</v>
      </c>
      <c r="CL1319">
        <v>0</v>
      </c>
      <c r="CM1319">
        <v>0</v>
      </c>
      <c r="CR1319" t="s">
        <v>2328</v>
      </c>
      <c r="CS1319" s="1369" t="str">
        <f>INDEX([8]Sheet1!$H:$H,MATCH(CR:CR,[8]Sheet1!$AU:$AU,0))</f>
        <v>Water Distribution</v>
      </c>
    </row>
    <row r="1320" spans="1:97" x14ac:dyDescent="0.2">
      <c r="A1320" t="s">
        <v>4336</v>
      </c>
      <c r="B1320">
        <v>1408</v>
      </c>
      <c r="C1320" t="s">
        <v>4336</v>
      </c>
      <c r="D1320">
        <v>41764</v>
      </c>
      <c r="E1320" t="s">
        <v>4286</v>
      </c>
      <c r="F1320" t="s">
        <v>2364</v>
      </c>
      <c r="G1320" t="s">
        <v>2364</v>
      </c>
      <c r="H1320" t="s">
        <v>2365</v>
      </c>
      <c r="I1320" t="s">
        <v>2365</v>
      </c>
      <c r="J1320" t="s">
        <v>2365</v>
      </c>
      <c r="K1320" t="s">
        <v>2365</v>
      </c>
      <c r="L1320">
        <v>3100</v>
      </c>
      <c r="M1320" t="s">
        <v>624</v>
      </c>
      <c r="N1320">
        <v>3107</v>
      </c>
      <c r="O1320" t="s">
        <v>1536</v>
      </c>
      <c r="P1320" t="s">
        <v>1846</v>
      </c>
      <c r="Q1320">
        <v>2010</v>
      </c>
      <c r="R1320" t="s">
        <v>668</v>
      </c>
      <c r="S1320" t="s">
        <v>552</v>
      </c>
      <c r="T1320" t="s">
        <v>2175</v>
      </c>
      <c r="U1320">
        <v>240</v>
      </c>
      <c r="V1320" t="s">
        <v>2389</v>
      </c>
      <c r="W1320">
        <v>240</v>
      </c>
      <c r="X1320" t="s">
        <v>701</v>
      </c>
      <c r="Y1320" t="s">
        <v>2365</v>
      </c>
      <c r="Z1320" t="s">
        <v>2365</v>
      </c>
      <c r="AA1320" t="s">
        <v>2365</v>
      </c>
      <c r="AB1320" t="s">
        <v>2365</v>
      </c>
      <c r="AC1320" s="813" t="s">
        <v>2365</v>
      </c>
      <c r="AD1320" s="813" t="s">
        <v>2365</v>
      </c>
      <c r="AE1320" s="813" t="s">
        <v>2365</v>
      </c>
      <c r="AF1320" t="s">
        <v>2365</v>
      </c>
      <c r="AG1320">
        <v>770</v>
      </c>
      <c r="AH1320" t="s">
        <v>1620</v>
      </c>
      <c r="AI1320">
        <v>770</v>
      </c>
      <c r="AJ1320" t="s">
        <v>1620</v>
      </c>
      <c r="AK1320">
        <v>241</v>
      </c>
      <c r="AL1320" t="s">
        <v>1203</v>
      </c>
      <c r="AM1320">
        <v>241</v>
      </c>
      <c r="AN1320" t="s">
        <v>1203</v>
      </c>
      <c r="AR1320">
        <v>810</v>
      </c>
      <c r="AS1320" t="s">
        <v>1624</v>
      </c>
      <c r="AT1320">
        <v>810</v>
      </c>
      <c r="AU1320" t="s">
        <v>1624</v>
      </c>
      <c r="AV1320" t="s">
        <v>2365</v>
      </c>
      <c r="AW1320" t="s">
        <v>2365</v>
      </c>
      <c r="AX1320" t="s">
        <v>2365</v>
      </c>
      <c r="AY1320" t="s">
        <v>2365</v>
      </c>
      <c r="AZ1320" t="s">
        <v>2365</v>
      </c>
      <c r="BA1320" t="s">
        <v>2365</v>
      </c>
      <c r="BB1320" t="s">
        <v>2365</v>
      </c>
      <c r="BC1320" t="s">
        <v>2365</v>
      </c>
      <c r="BD1320" t="s">
        <v>2366</v>
      </c>
      <c r="BE1320" t="s">
        <v>2365</v>
      </c>
      <c r="BF1320" t="s">
        <v>2365</v>
      </c>
      <c r="BG1320" t="s">
        <v>2365</v>
      </c>
      <c r="BH1320" t="s">
        <v>2365</v>
      </c>
      <c r="BI1320" t="s">
        <v>2366</v>
      </c>
      <c r="BJ1320" t="s">
        <v>2365</v>
      </c>
      <c r="BK1320" t="s">
        <v>2365</v>
      </c>
      <c r="BL1320" t="s">
        <v>2365</v>
      </c>
      <c r="BM1320" t="s">
        <v>2365</v>
      </c>
      <c r="BO1320">
        <v>8</v>
      </c>
      <c r="BP1320">
        <v>81</v>
      </c>
      <c r="BQ1320" t="s">
        <v>2442</v>
      </c>
      <c r="BR1320" t="s">
        <v>1536</v>
      </c>
      <c r="BU1320">
        <v>0</v>
      </c>
      <c r="BV1320">
        <v>0</v>
      </c>
      <c r="BW1320">
        <v>0</v>
      </c>
      <c r="BX1320">
        <v>0</v>
      </c>
      <c r="BY1320">
        <v>0</v>
      </c>
      <c r="BZ1320">
        <v>0</v>
      </c>
      <c r="CA1320">
        <v>0</v>
      </c>
      <c r="CB1320">
        <v>0</v>
      </c>
      <c r="CC1320">
        <v>0</v>
      </c>
      <c r="CD1320">
        <v>0</v>
      </c>
      <c r="CE1320">
        <v>0</v>
      </c>
      <c r="CF1320">
        <v>0</v>
      </c>
      <c r="CG1320">
        <v>0</v>
      </c>
      <c r="CH1320">
        <v>0</v>
      </c>
      <c r="CI1320">
        <v>0</v>
      </c>
      <c r="CJ1320">
        <v>0</v>
      </c>
      <c r="CK1320">
        <v>0</v>
      </c>
      <c r="CL1320">
        <v>0</v>
      </c>
      <c r="CM1320">
        <v>0</v>
      </c>
      <c r="CR1320" t="s">
        <v>2328</v>
      </c>
      <c r="CS1320" s="1369" t="str">
        <f>INDEX([8]Sheet1!$H:$H,MATCH(CR:CR,[8]Sheet1!$AU:$AU,0))</f>
        <v>Water Distribution</v>
      </c>
    </row>
    <row r="1321" spans="1:97" x14ac:dyDescent="0.2">
      <c r="A1321" t="s">
        <v>4337</v>
      </c>
      <c r="B1321">
        <v>1409</v>
      </c>
      <c r="C1321" t="s">
        <v>4337</v>
      </c>
      <c r="D1321">
        <v>41765</v>
      </c>
      <c r="E1321" t="s">
        <v>2399</v>
      </c>
      <c r="F1321" t="s">
        <v>2364</v>
      </c>
      <c r="G1321" t="s">
        <v>2364</v>
      </c>
      <c r="H1321" s="1373" t="s">
        <v>2365</v>
      </c>
      <c r="I1321" t="s">
        <v>2365</v>
      </c>
      <c r="J1321" t="s">
        <v>2365</v>
      </c>
      <c r="K1321" t="s">
        <v>2365</v>
      </c>
      <c r="L1321" s="1373">
        <v>3200</v>
      </c>
      <c r="M1321" t="s">
        <v>625</v>
      </c>
      <c r="N1321">
        <v>3205</v>
      </c>
      <c r="O1321" t="s">
        <v>1002</v>
      </c>
      <c r="P1321" t="s">
        <v>2366</v>
      </c>
      <c r="Q1321">
        <v>2080</v>
      </c>
      <c r="R1321" t="s">
        <v>579</v>
      </c>
      <c r="S1321" t="s">
        <v>552</v>
      </c>
      <c r="T1321" t="s">
        <v>2175</v>
      </c>
      <c r="U1321">
        <v>240</v>
      </c>
      <c r="V1321" t="s">
        <v>2389</v>
      </c>
      <c r="W1321">
        <v>240</v>
      </c>
      <c r="X1321" t="s">
        <v>701</v>
      </c>
      <c r="Y1321" t="s">
        <v>2365</v>
      </c>
      <c r="Z1321" t="s">
        <v>2365</v>
      </c>
      <c r="AA1321" t="s">
        <v>2365</v>
      </c>
      <c r="AB1321" t="s">
        <v>2365</v>
      </c>
      <c r="AC1321" s="813" t="s">
        <v>2365</v>
      </c>
      <c r="AD1321" s="813" t="s">
        <v>2365</v>
      </c>
      <c r="AE1321" s="813" t="s">
        <v>2365</v>
      </c>
      <c r="AF1321" t="s">
        <v>2365</v>
      </c>
      <c r="AG1321">
        <v>110</v>
      </c>
      <c r="AH1321" t="s">
        <v>1568</v>
      </c>
      <c r="AI1321">
        <v>110</v>
      </c>
      <c r="AJ1321" t="s">
        <v>1568</v>
      </c>
      <c r="AK1321">
        <v>243</v>
      </c>
      <c r="AL1321" t="s">
        <v>1205</v>
      </c>
      <c r="AM1321">
        <v>243</v>
      </c>
      <c r="AN1321" t="s">
        <v>1205</v>
      </c>
      <c r="AR1321">
        <v>120</v>
      </c>
      <c r="AS1321" t="s">
        <v>1002</v>
      </c>
      <c r="AT1321">
        <v>120</v>
      </c>
      <c r="AU1321" t="s">
        <v>1002</v>
      </c>
      <c r="AV1321" t="s">
        <v>2365</v>
      </c>
      <c r="AW1321" t="s">
        <v>2365</v>
      </c>
      <c r="AX1321" t="s">
        <v>2365</v>
      </c>
      <c r="AY1321" t="s">
        <v>2365</v>
      </c>
      <c r="AZ1321" t="s">
        <v>2365</v>
      </c>
      <c r="BA1321" t="s">
        <v>2365</v>
      </c>
      <c r="BB1321" t="s">
        <v>2365</v>
      </c>
      <c r="BC1321" t="s">
        <v>2365</v>
      </c>
      <c r="BD1321" t="s">
        <v>2366</v>
      </c>
      <c r="BE1321" t="s">
        <v>2365</v>
      </c>
      <c r="BF1321" t="s">
        <v>2365</v>
      </c>
      <c r="BG1321" t="s">
        <v>2365</v>
      </c>
      <c r="BH1321" t="s">
        <v>2365</v>
      </c>
      <c r="BI1321" t="s">
        <v>2366</v>
      </c>
      <c r="BJ1321" t="s">
        <v>2365</v>
      </c>
      <c r="BK1321" t="s">
        <v>2365</v>
      </c>
      <c r="BL1321" t="s">
        <v>2365</v>
      </c>
      <c r="BM1321" t="s">
        <v>2365</v>
      </c>
      <c r="BO1321">
        <v>7</v>
      </c>
      <c r="BP1321">
        <v>71</v>
      </c>
      <c r="BQ1321" t="s">
        <v>2665</v>
      </c>
      <c r="BR1321" t="s">
        <v>1002</v>
      </c>
      <c r="BU1321" s="1371">
        <v>0</v>
      </c>
      <c r="BV1321" s="1371">
        <v>0</v>
      </c>
      <c r="BW1321" s="1371">
        <v>0</v>
      </c>
      <c r="BX1321" s="1371">
        <v>0</v>
      </c>
      <c r="BY1321" s="1371">
        <v>0</v>
      </c>
      <c r="BZ1321">
        <v>0</v>
      </c>
      <c r="CA1321">
        <v>0</v>
      </c>
      <c r="CB1321">
        <v>-311083.67</v>
      </c>
      <c r="CC1321">
        <v>-301048.73</v>
      </c>
      <c r="CD1321">
        <v>-309760.52</v>
      </c>
      <c r="CE1321">
        <v>-310637.83</v>
      </c>
      <c r="CF1321">
        <v>-300617.26</v>
      </c>
      <c r="CG1321">
        <v>-310637.83</v>
      </c>
      <c r="CH1321">
        <v>-310637.83</v>
      </c>
      <c r="CI1321">
        <v>-280576.11</v>
      </c>
      <c r="CJ1321">
        <v>0</v>
      </c>
      <c r="CK1321">
        <v>0</v>
      </c>
      <c r="CL1321">
        <v>0</v>
      </c>
      <c r="CM1321">
        <v>0</v>
      </c>
      <c r="CR1321" t="s">
        <v>2328</v>
      </c>
      <c r="CS1321" s="1369" t="str">
        <f>INDEX([8]Sheet1!$H:$H,MATCH(CR:CR,[8]Sheet1!$AU:$AU,0))</f>
        <v>Water Distribution</v>
      </c>
    </row>
    <row r="1322" spans="1:97" x14ac:dyDescent="0.2">
      <c r="A1322" t="s">
        <v>4338</v>
      </c>
      <c r="B1322">
        <v>1410</v>
      </c>
      <c r="C1322" t="s">
        <v>4338</v>
      </c>
      <c r="D1322">
        <v>41766</v>
      </c>
      <c r="E1322" t="s">
        <v>4339</v>
      </c>
      <c r="F1322" t="s">
        <v>2364</v>
      </c>
      <c r="G1322" t="s">
        <v>2364</v>
      </c>
      <c r="H1322" t="s">
        <v>2365</v>
      </c>
      <c r="I1322" t="s">
        <v>2365</v>
      </c>
      <c r="J1322" t="s">
        <v>2365</v>
      </c>
      <c r="K1322" t="s">
        <v>2365</v>
      </c>
      <c r="L1322">
        <v>3200</v>
      </c>
      <c r="M1322" t="s">
        <v>625</v>
      </c>
      <c r="N1322">
        <v>3205</v>
      </c>
      <c r="O1322" t="s">
        <v>1002</v>
      </c>
      <c r="P1322" t="s">
        <v>2366</v>
      </c>
      <c r="Q1322">
        <v>2080</v>
      </c>
      <c r="R1322" t="s">
        <v>579</v>
      </c>
      <c r="S1322" t="s">
        <v>552</v>
      </c>
      <c r="T1322" t="s">
        <v>2175</v>
      </c>
      <c r="U1322" t="s">
        <v>2366</v>
      </c>
      <c r="V1322" t="s">
        <v>2366</v>
      </c>
      <c r="W1322" t="s">
        <v>2366</v>
      </c>
      <c r="X1322" t="s">
        <v>2366</v>
      </c>
      <c r="Y1322" t="s">
        <v>2365</v>
      </c>
      <c r="Z1322" t="s">
        <v>2365</v>
      </c>
      <c r="AA1322" t="s">
        <v>2365</v>
      </c>
      <c r="AB1322" t="s">
        <v>2365</v>
      </c>
      <c r="AC1322" s="813" t="s">
        <v>2365</v>
      </c>
      <c r="AD1322" s="813" t="s">
        <v>2365</v>
      </c>
      <c r="AE1322" s="813" t="s">
        <v>2365</v>
      </c>
      <c r="AF1322" t="s">
        <v>2365</v>
      </c>
      <c r="AG1322">
        <v>110</v>
      </c>
      <c r="AH1322" t="s">
        <v>1568</v>
      </c>
      <c r="AI1322">
        <v>110</v>
      </c>
      <c r="AJ1322" t="s">
        <v>1568</v>
      </c>
      <c r="AK1322">
        <v>241</v>
      </c>
      <c r="AL1322" t="s">
        <v>1203</v>
      </c>
      <c r="AM1322">
        <v>241</v>
      </c>
      <c r="AN1322" t="s">
        <v>1203</v>
      </c>
      <c r="AR1322">
        <v>120</v>
      </c>
      <c r="AS1322" t="s">
        <v>1002</v>
      </c>
      <c r="AT1322">
        <v>120</v>
      </c>
      <c r="AU1322" t="s">
        <v>1002</v>
      </c>
      <c r="AV1322" t="s">
        <v>2365</v>
      </c>
      <c r="AW1322" t="s">
        <v>2365</v>
      </c>
      <c r="AX1322" t="s">
        <v>2365</v>
      </c>
      <c r="AY1322" t="s">
        <v>2365</v>
      </c>
      <c r="AZ1322" t="s">
        <v>2365</v>
      </c>
      <c r="BA1322" t="s">
        <v>2365</v>
      </c>
      <c r="BB1322" t="s">
        <v>2365</v>
      </c>
      <c r="BC1322" t="s">
        <v>2365</v>
      </c>
      <c r="BD1322" t="s">
        <v>2366</v>
      </c>
      <c r="BE1322" t="s">
        <v>2365</v>
      </c>
      <c r="BF1322" t="s">
        <v>2365</v>
      </c>
      <c r="BG1322" t="s">
        <v>2365</v>
      </c>
      <c r="BH1322" t="s">
        <v>2365</v>
      </c>
      <c r="BI1322" t="s">
        <v>2366</v>
      </c>
      <c r="BJ1322" t="s">
        <v>2365</v>
      </c>
      <c r="BK1322" t="s">
        <v>2365</v>
      </c>
      <c r="BL1322" t="s">
        <v>2365</v>
      </c>
      <c r="BM1322" t="s">
        <v>2365</v>
      </c>
      <c r="BO1322">
        <v>7</v>
      </c>
      <c r="BP1322">
        <v>71</v>
      </c>
      <c r="BQ1322" t="s">
        <v>2665</v>
      </c>
      <c r="BR1322" t="s">
        <v>1002</v>
      </c>
      <c r="BU1322">
        <v>0</v>
      </c>
      <c r="BV1322">
        <v>0</v>
      </c>
      <c r="BW1322">
        <v>0</v>
      </c>
      <c r="BX1322">
        <v>0</v>
      </c>
      <c r="BY1322">
        <v>0</v>
      </c>
      <c r="BZ1322">
        <v>0</v>
      </c>
      <c r="CA1322">
        <v>0</v>
      </c>
      <c r="CB1322">
        <v>0</v>
      </c>
      <c r="CC1322">
        <v>0</v>
      </c>
      <c r="CD1322">
        <v>0</v>
      </c>
      <c r="CE1322">
        <v>0</v>
      </c>
      <c r="CF1322">
        <v>0</v>
      </c>
      <c r="CG1322">
        <v>0</v>
      </c>
      <c r="CH1322">
        <v>0</v>
      </c>
      <c r="CI1322">
        <v>0</v>
      </c>
      <c r="CJ1322">
        <v>0</v>
      </c>
      <c r="CK1322">
        <v>0</v>
      </c>
      <c r="CL1322">
        <v>0</v>
      </c>
      <c r="CM1322">
        <v>0</v>
      </c>
      <c r="CR1322" t="s">
        <v>2328</v>
      </c>
      <c r="CS1322" s="1369" t="str">
        <f>INDEX([8]Sheet1!$H:$H,MATCH(CR:CR,[8]Sheet1!$AU:$AU,0))</f>
        <v>Water Distribution</v>
      </c>
    </row>
    <row r="1323" spans="1:97" x14ac:dyDescent="0.2">
      <c r="A1323" t="s">
        <v>4340</v>
      </c>
      <c r="B1323">
        <v>1411</v>
      </c>
      <c r="C1323" t="s">
        <v>4340</v>
      </c>
      <c r="D1323">
        <v>41767</v>
      </c>
      <c r="E1323" t="s">
        <v>2691</v>
      </c>
      <c r="F1323" t="s">
        <v>2364</v>
      </c>
      <c r="G1323" t="s">
        <v>2364</v>
      </c>
      <c r="H1323" t="s">
        <v>2365</v>
      </c>
      <c r="I1323" t="s">
        <v>2365</v>
      </c>
      <c r="J1323" t="s">
        <v>2365</v>
      </c>
      <c r="K1323" t="s">
        <v>2365</v>
      </c>
      <c r="L1323">
        <v>3200</v>
      </c>
      <c r="M1323" t="s">
        <v>625</v>
      </c>
      <c r="N1323">
        <v>3205</v>
      </c>
      <c r="O1323" t="s">
        <v>1002</v>
      </c>
      <c r="P1323" t="s">
        <v>1846</v>
      </c>
      <c r="Q1323">
        <v>2080</v>
      </c>
      <c r="R1323" t="s">
        <v>579</v>
      </c>
      <c r="S1323" t="s">
        <v>552</v>
      </c>
      <c r="T1323" t="s">
        <v>2175</v>
      </c>
      <c r="U1323">
        <v>240</v>
      </c>
      <c r="V1323" t="s">
        <v>2389</v>
      </c>
      <c r="W1323">
        <v>240</v>
      </c>
      <c r="X1323" t="s">
        <v>701</v>
      </c>
      <c r="Y1323" t="s">
        <v>2365</v>
      </c>
      <c r="Z1323" t="s">
        <v>2365</v>
      </c>
      <c r="AA1323" t="s">
        <v>2365</v>
      </c>
      <c r="AB1323" t="s">
        <v>2365</v>
      </c>
      <c r="AC1323" s="813" t="s">
        <v>2365</v>
      </c>
      <c r="AD1323" s="813" t="s">
        <v>2365</v>
      </c>
      <c r="AE1323" s="813" t="s">
        <v>2365</v>
      </c>
      <c r="AF1323" t="s">
        <v>2365</v>
      </c>
      <c r="AG1323">
        <v>110</v>
      </c>
      <c r="AH1323" t="s">
        <v>1568</v>
      </c>
      <c r="AI1323">
        <v>110</v>
      </c>
      <c r="AJ1323" t="s">
        <v>1568</v>
      </c>
      <c r="AK1323">
        <v>241</v>
      </c>
      <c r="AL1323" t="s">
        <v>1203</v>
      </c>
      <c r="AM1323">
        <v>241</v>
      </c>
      <c r="AN1323" t="s">
        <v>1203</v>
      </c>
      <c r="AR1323">
        <v>120</v>
      </c>
      <c r="AS1323" t="s">
        <v>1002</v>
      </c>
      <c r="AT1323">
        <v>120</v>
      </c>
      <c r="AU1323" t="s">
        <v>1002</v>
      </c>
      <c r="AV1323" t="s">
        <v>2365</v>
      </c>
      <c r="AW1323" t="s">
        <v>2365</v>
      </c>
      <c r="AX1323" t="s">
        <v>2365</v>
      </c>
      <c r="AY1323" t="s">
        <v>2365</v>
      </c>
      <c r="AZ1323" t="s">
        <v>2365</v>
      </c>
      <c r="BA1323" t="s">
        <v>2365</v>
      </c>
      <c r="BB1323" t="s">
        <v>2365</v>
      </c>
      <c r="BC1323" t="s">
        <v>2365</v>
      </c>
      <c r="BD1323" t="s">
        <v>2366</v>
      </c>
      <c r="BE1323" t="s">
        <v>2365</v>
      </c>
      <c r="BF1323" t="s">
        <v>2365</v>
      </c>
      <c r="BG1323" t="s">
        <v>2365</v>
      </c>
      <c r="BH1323" t="s">
        <v>2365</v>
      </c>
      <c r="BI1323" t="s">
        <v>2366</v>
      </c>
      <c r="BJ1323" t="s">
        <v>2365</v>
      </c>
      <c r="BK1323" t="s">
        <v>2365</v>
      </c>
      <c r="BL1323" t="s">
        <v>2365</v>
      </c>
      <c r="BM1323" t="s">
        <v>2365</v>
      </c>
      <c r="BO1323">
        <v>7</v>
      </c>
      <c r="BP1323">
        <v>71</v>
      </c>
      <c r="BQ1323" t="s">
        <v>2665</v>
      </c>
      <c r="BR1323" t="s">
        <v>1002</v>
      </c>
      <c r="BU1323">
        <v>0</v>
      </c>
      <c r="BV1323">
        <v>0</v>
      </c>
      <c r="BW1323">
        <v>0</v>
      </c>
      <c r="BX1323">
        <v>0</v>
      </c>
      <c r="BY1323">
        <v>0</v>
      </c>
      <c r="BZ1323">
        <v>0</v>
      </c>
      <c r="CA1323">
        <v>0</v>
      </c>
      <c r="CB1323">
        <v>0</v>
      </c>
      <c r="CC1323">
        <v>0</v>
      </c>
      <c r="CD1323">
        <v>0</v>
      </c>
      <c r="CE1323">
        <v>0</v>
      </c>
      <c r="CF1323">
        <v>0</v>
      </c>
      <c r="CG1323">
        <v>0</v>
      </c>
      <c r="CH1323">
        <v>0</v>
      </c>
      <c r="CI1323">
        <v>0</v>
      </c>
      <c r="CJ1323">
        <v>0</v>
      </c>
      <c r="CK1323">
        <v>0</v>
      </c>
      <c r="CL1323">
        <v>0</v>
      </c>
      <c r="CM1323">
        <v>0</v>
      </c>
      <c r="CR1323" t="s">
        <v>2328</v>
      </c>
      <c r="CS1323" s="1369" t="str">
        <f>INDEX([8]Sheet1!$H:$H,MATCH(CR:CR,[8]Sheet1!$AU:$AU,0))</f>
        <v>Water Distribution</v>
      </c>
    </row>
    <row r="1324" spans="1:97" x14ac:dyDescent="0.2">
      <c r="A1324" t="s">
        <v>4341</v>
      </c>
      <c r="B1324">
        <v>1412</v>
      </c>
      <c r="C1324" t="s">
        <v>4341</v>
      </c>
      <c r="D1324">
        <v>41768</v>
      </c>
      <c r="E1324" t="s">
        <v>2403</v>
      </c>
      <c r="F1324" t="s">
        <v>2364</v>
      </c>
      <c r="G1324" t="s">
        <v>2364</v>
      </c>
      <c r="H1324" t="s">
        <v>2365</v>
      </c>
      <c r="I1324" t="s">
        <v>2365</v>
      </c>
      <c r="J1324" t="s">
        <v>2365</v>
      </c>
      <c r="K1324" t="s">
        <v>2365</v>
      </c>
      <c r="L1324">
        <v>1200</v>
      </c>
      <c r="M1324" t="s">
        <v>1480</v>
      </c>
      <c r="N1324">
        <v>1202</v>
      </c>
      <c r="O1324" t="s">
        <v>595</v>
      </c>
      <c r="P1324" t="s">
        <v>2366</v>
      </c>
      <c r="Q1324">
        <v>2080</v>
      </c>
      <c r="R1324" t="s">
        <v>579</v>
      </c>
      <c r="S1324" t="s">
        <v>552</v>
      </c>
      <c r="T1324" t="s">
        <v>2175</v>
      </c>
      <c r="U1324">
        <v>240</v>
      </c>
      <c r="V1324" t="s">
        <v>2389</v>
      </c>
      <c r="W1324">
        <v>240</v>
      </c>
      <c r="X1324" t="s">
        <v>701</v>
      </c>
      <c r="Y1324" t="s">
        <v>2365</v>
      </c>
      <c r="Z1324" t="s">
        <v>2365</v>
      </c>
      <c r="AA1324" t="s">
        <v>2365</v>
      </c>
      <c r="AB1324" t="s">
        <v>2365</v>
      </c>
      <c r="AC1324" s="813" t="s">
        <v>2365</v>
      </c>
      <c r="AD1324" s="813" t="s">
        <v>2365</v>
      </c>
      <c r="AE1324" s="813" t="s">
        <v>2365</v>
      </c>
      <c r="AF1324" t="s">
        <v>2365</v>
      </c>
      <c r="AG1324">
        <v>1180</v>
      </c>
      <c r="AH1324" t="s">
        <v>1368</v>
      </c>
      <c r="AI1324">
        <v>1180</v>
      </c>
      <c r="AJ1324" t="s">
        <v>1368</v>
      </c>
      <c r="AK1324">
        <v>243</v>
      </c>
      <c r="AL1324" t="s">
        <v>1205</v>
      </c>
      <c r="AM1324">
        <v>243</v>
      </c>
      <c r="AN1324" t="s">
        <v>1205</v>
      </c>
      <c r="AR1324">
        <v>1200</v>
      </c>
      <c r="AS1324" t="s">
        <v>1652</v>
      </c>
      <c r="AT1324">
        <v>1200</v>
      </c>
      <c r="AU1324" t="s">
        <v>1652</v>
      </c>
      <c r="AV1324" t="s">
        <v>2365</v>
      </c>
      <c r="AW1324" t="s">
        <v>2365</v>
      </c>
      <c r="AX1324" t="s">
        <v>2365</v>
      </c>
      <c r="AY1324" t="s">
        <v>2365</v>
      </c>
      <c r="AZ1324" t="s">
        <v>2365</v>
      </c>
      <c r="BA1324" t="s">
        <v>2365</v>
      </c>
      <c r="BB1324" t="s">
        <v>2365</v>
      </c>
      <c r="BC1324" t="s">
        <v>2365</v>
      </c>
      <c r="BD1324" t="s">
        <v>2366</v>
      </c>
      <c r="BE1324" t="s">
        <v>2365</v>
      </c>
      <c r="BF1324" t="s">
        <v>2365</v>
      </c>
      <c r="BG1324" t="s">
        <v>2365</v>
      </c>
      <c r="BH1324" t="s">
        <v>2365</v>
      </c>
      <c r="BI1324" t="s">
        <v>2366</v>
      </c>
      <c r="BJ1324" t="s">
        <v>2365</v>
      </c>
      <c r="BK1324" t="s">
        <v>2365</v>
      </c>
      <c r="BL1324" t="s">
        <v>2365</v>
      </c>
      <c r="BM1324" t="s">
        <v>2365</v>
      </c>
      <c r="BO1324">
        <v>1</v>
      </c>
      <c r="BP1324">
        <v>13</v>
      </c>
      <c r="BQ1324" t="s">
        <v>2369</v>
      </c>
      <c r="BR1324" t="s">
        <v>595</v>
      </c>
      <c r="BU1324">
        <v>0</v>
      </c>
      <c r="BV1324">
        <v>0</v>
      </c>
      <c r="BW1324">
        <v>0</v>
      </c>
      <c r="BX1324">
        <v>0</v>
      </c>
      <c r="BY1324">
        <v>0</v>
      </c>
      <c r="BZ1324">
        <v>0</v>
      </c>
      <c r="CA1324">
        <v>0</v>
      </c>
      <c r="CB1324">
        <v>-31533.439999999999</v>
      </c>
      <c r="CC1324">
        <v>-30516.23</v>
      </c>
      <c r="CD1324">
        <v>-27074.39</v>
      </c>
      <c r="CE1324">
        <v>-30030.94</v>
      </c>
      <c r="CF1324">
        <v>-29062.2</v>
      </c>
      <c r="CG1324">
        <v>-30030.93</v>
      </c>
      <c r="CH1324">
        <v>-30030.93</v>
      </c>
      <c r="CI1324">
        <v>-27124.720000000001</v>
      </c>
      <c r="CJ1324">
        <v>0</v>
      </c>
      <c r="CK1324">
        <v>0</v>
      </c>
      <c r="CL1324">
        <v>0</v>
      </c>
      <c r="CM1324">
        <v>0</v>
      </c>
      <c r="CR1324" t="s">
        <v>2337</v>
      </c>
      <c r="CS1324" s="1369" t="str">
        <f>INDEX([8]Sheet1!$H:$H,MATCH(CR:CR,[8]Sheet1!$AU:$AU,0))</f>
        <v>Corporate Wide Strategic Planning (IDPs, LEDs)</v>
      </c>
    </row>
    <row r="1325" spans="1:97" x14ac:dyDescent="0.2">
      <c r="A1325" t="s">
        <v>4342</v>
      </c>
      <c r="B1325">
        <v>1413</v>
      </c>
      <c r="C1325" t="s">
        <v>4342</v>
      </c>
      <c r="D1325">
        <v>41769</v>
      </c>
      <c r="E1325" t="s">
        <v>4279</v>
      </c>
      <c r="F1325" t="s">
        <v>2364</v>
      </c>
      <c r="G1325" t="s">
        <v>2364</v>
      </c>
      <c r="H1325" t="s">
        <v>2365</v>
      </c>
      <c r="I1325" t="s">
        <v>2365</v>
      </c>
      <c r="J1325" t="s">
        <v>2365</v>
      </c>
      <c r="K1325" t="s">
        <v>2365</v>
      </c>
      <c r="L1325">
        <v>1200</v>
      </c>
      <c r="M1325" t="s">
        <v>1480</v>
      </c>
      <c r="N1325">
        <v>1202</v>
      </c>
      <c r="O1325" t="s">
        <v>595</v>
      </c>
      <c r="P1325" t="s">
        <v>2366</v>
      </c>
      <c r="Q1325">
        <v>2080</v>
      </c>
      <c r="R1325" t="s">
        <v>579</v>
      </c>
      <c r="S1325" t="s">
        <v>552</v>
      </c>
      <c r="T1325" t="s">
        <v>2175</v>
      </c>
      <c r="U1325" t="s">
        <v>2366</v>
      </c>
      <c r="V1325" t="s">
        <v>2366</v>
      </c>
      <c r="W1325" t="s">
        <v>2366</v>
      </c>
      <c r="X1325" t="s">
        <v>2366</v>
      </c>
      <c r="Y1325" t="s">
        <v>2365</v>
      </c>
      <c r="Z1325" t="s">
        <v>2365</v>
      </c>
      <c r="AA1325" t="s">
        <v>2365</v>
      </c>
      <c r="AB1325" t="s">
        <v>2365</v>
      </c>
      <c r="AC1325" s="813" t="s">
        <v>2365</v>
      </c>
      <c r="AD1325" s="813" t="s">
        <v>2365</v>
      </c>
      <c r="AE1325" s="813" t="s">
        <v>2365</v>
      </c>
      <c r="AF1325" t="s">
        <v>2365</v>
      </c>
      <c r="AG1325">
        <v>1180</v>
      </c>
      <c r="AH1325" t="s">
        <v>1368</v>
      </c>
      <c r="AI1325">
        <v>1180</v>
      </c>
      <c r="AJ1325" t="s">
        <v>1368</v>
      </c>
      <c r="AK1325">
        <v>241</v>
      </c>
      <c r="AL1325" t="s">
        <v>1203</v>
      </c>
      <c r="AM1325">
        <v>241</v>
      </c>
      <c r="AN1325" t="s">
        <v>1203</v>
      </c>
      <c r="AR1325">
        <v>1200</v>
      </c>
      <c r="AS1325" t="s">
        <v>1652</v>
      </c>
      <c r="AT1325">
        <v>1200</v>
      </c>
      <c r="AU1325" t="s">
        <v>1652</v>
      </c>
      <c r="AV1325" t="s">
        <v>2365</v>
      </c>
      <c r="AW1325" t="s">
        <v>2365</v>
      </c>
      <c r="AX1325" t="s">
        <v>2365</v>
      </c>
      <c r="AY1325" t="s">
        <v>2365</v>
      </c>
      <c r="AZ1325" t="s">
        <v>2365</v>
      </c>
      <c r="BA1325" t="s">
        <v>2365</v>
      </c>
      <c r="BB1325" t="s">
        <v>2365</v>
      </c>
      <c r="BC1325" t="s">
        <v>2365</v>
      </c>
      <c r="BD1325" t="s">
        <v>2366</v>
      </c>
      <c r="BE1325" t="s">
        <v>2365</v>
      </c>
      <c r="BF1325" t="s">
        <v>2365</v>
      </c>
      <c r="BG1325" t="s">
        <v>2365</v>
      </c>
      <c r="BH1325" t="s">
        <v>2365</v>
      </c>
      <c r="BI1325" t="s">
        <v>2366</v>
      </c>
      <c r="BJ1325" t="s">
        <v>2365</v>
      </c>
      <c r="BK1325" t="s">
        <v>2365</v>
      </c>
      <c r="BL1325" t="s">
        <v>2365</v>
      </c>
      <c r="BM1325" t="s">
        <v>2365</v>
      </c>
      <c r="BO1325">
        <v>1</v>
      </c>
      <c r="BP1325">
        <v>13</v>
      </c>
      <c r="BQ1325" t="s">
        <v>2369</v>
      </c>
      <c r="BR1325" t="s">
        <v>595</v>
      </c>
      <c r="BU1325">
        <v>0</v>
      </c>
      <c r="BV1325">
        <v>0</v>
      </c>
      <c r="BW1325">
        <v>0</v>
      </c>
      <c r="BX1325">
        <v>0</v>
      </c>
      <c r="BY1325">
        <v>0</v>
      </c>
      <c r="BZ1325">
        <v>0</v>
      </c>
      <c r="CA1325">
        <v>0</v>
      </c>
      <c r="CB1325">
        <v>0</v>
      </c>
      <c r="CC1325">
        <v>0</v>
      </c>
      <c r="CD1325">
        <v>0</v>
      </c>
      <c r="CE1325">
        <v>0</v>
      </c>
      <c r="CF1325">
        <v>0</v>
      </c>
      <c r="CG1325">
        <v>0</v>
      </c>
      <c r="CH1325">
        <v>0</v>
      </c>
      <c r="CI1325">
        <v>0</v>
      </c>
      <c r="CJ1325">
        <v>0</v>
      </c>
      <c r="CK1325">
        <v>0</v>
      </c>
      <c r="CL1325">
        <v>0</v>
      </c>
      <c r="CM1325">
        <v>0</v>
      </c>
      <c r="CR1325" t="s">
        <v>2337</v>
      </c>
      <c r="CS1325" s="1369" t="str">
        <f>INDEX([8]Sheet1!$H:$H,MATCH(CR:CR,[8]Sheet1!$AU:$AU,0))</f>
        <v>Corporate Wide Strategic Planning (IDPs, LEDs)</v>
      </c>
    </row>
    <row r="1326" spans="1:97" x14ac:dyDescent="0.2">
      <c r="A1326" t="s">
        <v>4343</v>
      </c>
      <c r="B1326">
        <v>1414</v>
      </c>
      <c r="C1326" t="s">
        <v>4343</v>
      </c>
      <c r="D1326">
        <v>41770</v>
      </c>
      <c r="E1326" t="s">
        <v>4281</v>
      </c>
      <c r="F1326" t="s">
        <v>2364</v>
      </c>
      <c r="G1326" t="s">
        <v>2364</v>
      </c>
      <c r="H1326" t="s">
        <v>2365</v>
      </c>
      <c r="I1326" t="s">
        <v>2365</v>
      </c>
      <c r="J1326" t="s">
        <v>2365</v>
      </c>
      <c r="K1326" t="s">
        <v>2365</v>
      </c>
      <c r="L1326">
        <v>1200</v>
      </c>
      <c r="M1326" t="s">
        <v>1480</v>
      </c>
      <c r="N1326">
        <v>1202</v>
      </c>
      <c r="O1326" t="s">
        <v>595</v>
      </c>
      <c r="P1326" t="s">
        <v>1846</v>
      </c>
      <c r="Q1326">
        <v>2010</v>
      </c>
      <c r="R1326" t="s">
        <v>668</v>
      </c>
      <c r="S1326" t="s">
        <v>552</v>
      </c>
      <c r="T1326" t="s">
        <v>2175</v>
      </c>
      <c r="U1326">
        <v>240</v>
      </c>
      <c r="V1326" t="s">
        <v>2389</v>
      </c>
      <c r="W1326">
        <v>240</v>
      </c>
      <c r="X1326" t="s">
        <v>701</v>
      </c>
      <c r="Y1326" t="s">
        <v>2365</v>
      </c>
      <c r="Z1326" t="s">
        <v>2365</v>
      </c>
      <c r="AA1326" t="s">
        <v>2365</v>
      </c>
      <c r="AB1326" t="s">
        <v>2365</v>
      </c>
      <c r="AC1326" s="813" t="s">
        <v>2365</v>
      </c>
      <c r="AD1326" s="813" t="s">
        <v>2365</v>
      </c>
      <c r="AE1326" s="813" t="s">
        <v>2365</v>
      </c>
      <c r="AF1326" t="s">
        <v>2365</v>
      </c>
      <c r="AG1326">
        <v>1180</v>
      </c>
      <c r="AH1326" t="s">
        <v>1368</v>
      </c>
      <c r="AI1326">
        <v>1180</v>
      </c>
      <c r="AJ1326" t="s">
        <v>1368</v>
      </c>
      <c r="AK1326" s="1373">
        <v>241</v>
      </c>
      <c r="AL1326" t="s">
        <v>1203</v>
      </c>
      <c r="AM1326">
        <v>241</v>
      </c>
      <c r="AN1326" t="s">
        <v>1203</v>
      </c>
      <c r="AR1326">
        <v>1200</v>
      </c>
      <c r="AS1326" t="s">
        <v>1652</v>
      </c>
      <c r="AT1326">
        <v>1200</v>
      </c>
      <c r="AU1326" t="s">
        <v>1652</v>
      </c>
      <c r="AV1326" t="s">
        <v>2365</v>
      </c>
      <c r="AW1326" t="s">
        <v>2365</v>
      </c>
      <c r="AX1326" t="s">
        <v>2365</v>
      </c>
      <c r="AY1326" t="s">
        <v>2365</v>
      </c>
      <c r="AZ1326" t="s">
        <v>2365</v>
      </c>
      <c r="BA1326" t="s">
        <v>2365</v>
      </c>
      <c r="BB1326" t="s">
        <v>2365</v>
      </c>
      <c r="BC1326" t="s">
        <v>2365</v>
      </c>
      <c r="BD1326" t="s">
        <v>2366</v>
      </c>
      <c r="BE1326" t="s">
        <v>2365</v>
      </c>
      <c r="BF1326" t="s">
        <v>2365</v>
      </c>
      <c r="BG1326" t="s">
        <v>2365</v>
      </c>
      <c r="BH1326" t="s">
        <v>2365</v>
      </c>
      <c r="BI1326" t="s">
        <v>2366</v>
      </c>
      <c r="BJ1326" t="s">
        <v>2365</v>
      </c>
      <c r="BK1326" t="s">
        <v>2365</v>
      </c>
      <c r="BL1326" t="s">
        <v>2365</v>
      </c>
      <c r="BM1326" t="s">
        <v>2365</v>
      </c>
      <c r="BO1326">
        <v>1</v>
      </c>
      <c r="BP1326">
        <v>13</v>
      </c>
      <c r="BQ1326" t="s">
        <v>2369</v>
      </c>
      <c r="BR1326" t="s">
        <v>595</v>
      </c>
      <c r="BU1326">
        <v>0</v>
      </c>
      <c r="BV1326">
        <v>0</v>
      </c>
      <c r="BW1326">
        <v>0</v>
      </c>
      <c r="BX1326">
        <v>0</v>
      </c>
      <c r="BY1326">
        <v>0</v>
      </c>
      <c r="BZ1326">
        <v>0</v>
      </c>
      <c r="CA1326">
        <v>0</v>
      </c>
      <c r="CB1326">
        <v>0</v>
      </c>
      <c r="CC1326">
        <v>0</v>
      </c>
      <c r="CD1326">
        <v>0</v>
      </c>
      <c r="CE1326">
        <v>0</v>
      </c>
      <c r="CF1326">
        <v>0</v>
      </c>
      <c r="CG1326">
        <v>0</v>
      </c>
      <c r="CH1326">
        <v>0</v>
      </c>
      <c r="CI1326">
        <v>0</v>
      </c>
      <c r="CJ1326">
        <v>0</v>
      </c>
      <c r="CK1326">
        <v>0</v>
      </c>
      <c r="CL1326">
        <v>0</v>
      </c>
      <c r="CM1326">
        <v>0</v>
      </c>
      <c r="CR1326" t="s">
        <v>2337</v>
      </c>
      <c r="CS1326" s="1369" t="str">
        <f>INDEX([8]Sheet1!$H:$H,MATCH(CR:CR,[8]Sheet1!$AU:$AU,0))</f>
        <v>Corporate Wide Strategic Planning (IDPs, LEDs)</v>
      </c>
    </row>
    <row r="1327" spans="1:97" x14ac:dyDescent="0.2">
      <c r="A1327" t="s">
        <v>4344</v>
      </c>
      <c r="B1327">
        <v>1415</v>
      </c>
      <c r="C1327" t="s">
        <v>4344</v>
      </c>
      <c r="D1327">
        <v>41771</v>
      </c>
      <c r="E1327" t="s">
        <v>2544</v>
      </c>
      <c r="F1327">
        <v>2000</v>
      </c>
      <c r="G1327" t="s">
        <v>652</v>
      </c>
      <c r="H1327" t="s">
        <v>2531</v>
      </c>
      <c r="I1327" t="s">
        <v>1185</v>
      </c>
      <c r="J1327">
        <v>2001</v>
      </c>
      <c r="K1327" t="s">
        <v>203</v>
      </c>
      <c r="L1327">
        <v>1100</v>
      </c>
      <c r="M1327" t="s">
        <v>616</v>
      </c>
      <c r="N1327">
        <v>1110</v>
      </c>
      <c r="O1327" t="s">
        <v>995</v>
      </c>
      <c r="P1327" t="s">
        <v>2366</v>
      </c>
      <c r="Q1327" t="s">
        <v>2364</v>
      </c>
      <c r="R1327" t="s">
        <v>2364</v>
      </c>
      <c r="S1327" t="s">
        <v>1881</v>
      </c>
      <c r="T1327" t="s">
        <v>1812</v>
      </c>
      <c r="U1327" t="s">
        <v>2365</v>
      </c>
      <c r="V1327" t="s">
        <v>2365</v>
      </c>
      <c r="W1327" t="s">
        <v>2365</v>
      </c>
      <c r="X1327" t="s">
        <v>2365</v>
      </c>
      <c r="Y1327" t="s">
        <v>2365</v>
      </c>
      <c r="Z1327" t="s">
        <v>2365</v>
      </c>
      <c r="AA1327" t="s">
        <v>2365</v>
      </c>
      <c r="AB1327" t="s">
        <v>2365</v>
      </c>
      <c r="AC1327" s="813" t="s">
        <v>2365</v>
      </c>
      <c r="AD1327" s="813" t="s">
        <v>2365</v>
      </c>
      <c r="AE1327" s="813" t="s">
        <v>2365</v>
      </c>
      <c r="AF1327" t="s">
        <v>2365</v>
      </c>
      <c r="AG1327" t="s">
        <v>2365</v>
      </c>
      <c r="AH1327" t="s">
        <v>2365</v>
      </c>
      <c r="AI1327" t="s">
        <v>2365</v>
      </c>
      <c r="AJ1327" t="s">
        <v>2365</v>
      </c>
      <c r="AK1327" s="1373" t="s">
        <v>2365</v>
      </c>
      <c r="AL1327" t="s">
        <v>2365</v>
      </c>
      <c r="AM1327" t="s">
        <v>2365</v>
      </c>
      <c r="AN1327" t="s">
        <v>2365</v>
      </c>
      <c r="AR1327" t="s">
        <v>2365</v>
      </c>
      <c r="AS1327" t="s">
        <v>2365</v>
      </c>
      <c r="AT1327" t="s">
        <v>2365</v>
      </c>
      <c r="AU1327" t="s">
        <v>2365</v>
      </c>
      <c r="AV1327" t="s">
        <v>2365</v>
      </c>
      <c r="AW1327" t="s">
        <v>2365</v>
      </c>
      <c r="AX1327" t="s">
        <v>2365</v>
      </c>
      <c r="AY1327" t="s">
        <v>2365</v>
      </c>
      <c r="AZ1327" t="s">
        <v>2365</v>
      </c>
      <c r="BA1327" t="s">
        <v>2365</v>
      </c>
      <c r="BB1327" t="s">
        <v>2365</v>
      </c>
      <c r="BC1327" t="s">
        <v>2365</v>
      </c>
      <c r="BD1327" t="s">
        <v>2366</v>
      </c>
      <c r="BE1327" t="s">
        <v>2365</v>
      </c>
      <c r="BF1327" t="s">
        <v>2365</v>
      </c>
      <c r="BG1327" t="s">
        <v>2365</v>
      </c>
      <c r="BH1327" t="s">
        <v>2365</v>
      </c>
      <c r="BI1327" t="s">
        <v>2366</v>
      </c>
      <c r="BJ1327" t="s">
        <v>2365</v>
      </c>
      <c r="BK1327" t="s">
        <v>2365</v>
      </c>
      <c r="BL1327" t="s">
        <v>2365</v>
      </c>
      <c r="BM1327" t="s">
        <v>2365</v>
      </c>
      <c r="BN1327" t="s">
        <v>2177</v>
      </c>
      <c r="BO1327">
        <v>3</v>
      </c>
      <c r="BP1327">
        <v>32</v>
      </c>
      <c r="BQ1327" t="s">
        <v>2716</v>
      </c>
      <c r="BR1327" t="s">
        <v>995</v>
      </c>
      <c r="BU1327">
        <v>0</v>
      </c>
      <c r="BV1327">
        <v>0</v>
      </c>
      <c r="BW1327">
        <v>0</v>
      </c>
      <c r="BX1327">
        <v>0</v>
      </c>
      <c r="BY1327">
        <v>0</v>
      </c>
      <c r="BZ1327">
        <v>0</v>
      </c>
      <c r="CA1327">
        <v>0</v>
      </c>
      <c r="CB1327">
        <v>0</v>
      </c>
      <c r="CC1327">
        <v>0</v>
      </c>
      <c r="CD1327">
        <v>0</v>
      </c>
      <c r="CE1327">
        <v>0</v>
      </c>
      <c r="CF1327">
        <v>0</v>
      </c>
      <c r="CG1327">
        <v>0</v>
      </c>
      <c r="CH1327">
        <v>0</v>
      </c>
      <c r="CI1327">
        <v>0</v>
      </c>
      <c r="CJ1327">
        <v>0</v>
      </c>
      <c r="CK1327">
        <v>0</v>
      </c>
      <c r="CL1327">
        <v>0</v>
      </c>
      <c r="CM1327">
        <v>0</v>
      </c>
      <c r="CR1327" t="s">
        <v>2337</v>
      </c>
      <c r="CS1327" s="1369" t="str">
        <f>INDEX([8]Sheet1!$H:$H,MATCH(CR:CR,[8]Sheet1!$AU:$AU,0))</f>
        <v>Corporate Wide Strategic Planning (IDPs, LEDs)</v>
      </c>
    </row>
    <row r="1328" spans="1:97" x14ac:dyDescent="0.2">
      <c r="A1328" t="s">
        <v>4345</v>
      </c>
      <c r="B1328">
        <v>1416</v>
      </c>
      <c r="C1328" t="s">
        <v>4345</v>
      </c>
      <c r="D1328">
        <v>41772</v>
      </c>
      <c r="E1328" t="s">
        <v>2549</v>
      </c>
      <c r="F1328">
        <v>2000</v>
      </c>
      <c r="G1328" t="s">
        <v>652</v>
      </c>
      <c r="H1328" t="s">
        <v>2550</v>
      </c>
      <c r="I1328" t="s">
        <v>1159</v>
      </c>
      <c r="J1328">
        <v>2010</v>
      </c>
      <c r="K1328" t="s">
        <v>1159</v>
      </c>
      <c r="L1328">
        <v>1100</v>
      </c>
      <c r="M1328" t="s">
        <v>616</v>
      </c>
      <c r="N1328">
        <v>1120</v>
      </c>
      <c r="O1328" t="s">
        <v>1485</v>
      </c>
      <c r="P1328" t="s">
        <v>2366</v>
      </c>
      <c r="Q1328" t="s">
        <v>2364</v>
      </c>
      <c r="R1328" t="s">
        <v>2364</v>
      </c>
      <c r="S1328" t="s">
        <v>1881</v>
      </c>
      <c r="T1328" t="s">
        <v>1812</v>
      </c>
      <c r="U1328" t="s">
        <v>2365</v>
      </c>
      <c r="V1328" t="s">
        <v>2365</v>
      </c>
      <c r="W1328" t="s">
        <v>2365</v>
      </c>
      <c r="X1328" t="s">
        <v>2365</v>
      </c>
      <c r="Y1328" t="s">
        <v>2365</v>
      </c>
      <c r="Z1328" t="s">
        <v>2365</v>
      </c>
      <c r="AA1328" t="s">
        <v>2365</v>
      </c>
      <c r="AB1328" t="s">
        <v>2365</v>
      </c>
      <c r="AC1328" s="813" t="s">
        <v>2365</v>
      </c>
      <c r="AD1328" s="813" t="s">
        <v>2365</v>
      </c>
      <c r="AE1328" s="813" t="s">
        <v>2365</v>
      </c>
      <c r="AF1328" t="s">
        <v>2365</v>
      </c>
      <c r="AG1328" t="s">
        <v>2365</v>
      </c>
      <c r="AH1328" t="s">
        <v>2365</v>
      </c>
      <c r="AI1328" t="s">
        <v>2365</v>
      </c>
      <c r="AJ1328" t="s">
        <v>2365</v>
      </c>
      <c r="AK1328" t="s">
        <v>2365</v>
      </c>
      <c r="AL1328" t="s">
        <v>2365</v>
      </c>
      <c r="AM1328" t="s">
        <v>2365</v>
      </c>
      <c r="AN1328" t="s">
        <v>2365</v>
      </c>
      <c r="AR1328" t="s">
        <v>2365</v>
      </c>
      <c r="AS1328" t="s">
        <v>2365</v>
      </c>
      <c r="AT1328" t="s">
        <v>2365</v>
      </c>
      <c r="AU1328" t="s">
        <v>2365</v>
      </c>
      <c r="AV1328" t="s">
        <v>2365</v>
      </c>
      <c r="AW1328" t="s">
        <v>2365</v>
      </c>
      <c r="AX1328" t="s">
        <v>2365</v>
      </c>
      <c r="AY1328" t="s">
        <v>2365</v>
      </c>
      <c r="AZ1328" t="s">
        <v>2365</v>
      </c>
      <c r="BA1328" t="s">
        <v>2365</v>
      </c>
      <c r="BB1328" t="s">
        <v>2365</v>
      </c>
      <c r="BC1328" t="s">
        <v>2365</v>
      </c>
      <c r="BD1328" t="s">
        <v>2366</v>
      </c>
      <c r="BE1328" t="s">
        <v>2365</v>
      </c>
      <c r="BF1328" t="s">
        <v>2365</v>
      </c>
      <c r="BG1328" t="s">
        <v>2365</v>
      </c>
      <c r="BH1328" t="s">
        <v>2365</v>
      </c>
      <c r="BI1328" t="s">
        <v>2366</v>
      </c>
      <c r="BJ1328" t="s">
        <v>2365</v>
      </c>
      <c r="BK1328" t="s">
        <v>2365</v>
      </c>
      <c r="BL1328" t="s">
        <v>2365</v>
      </c>
      <c r="BM1328" t="s">
        <v>2365</v>
      </c>
      <c r="BN1328" t="s">
        <v>2177</v>
      </c>
      <c r="BO1328">
        <v>3</v>
      </c>
      <c r="BP1328">
        <v>31</v>
      </c>
      <c r="BQ1328" t="s">
        <v>2716</v>
      </c>
      <c r="BR1328" t="s">
        <v>1485</v>
      </c>
      <c r="BU1328">
        <v>188375</v>
      </c>
      <c r="BV1328">
        <v>0</v>
      </c>
      <c r="BW1328">
        <v>188375</v>
      </c>
      <c r="BX1328">
        <v>0</v>
      </c>
      <c r="BY1328">
        <v>188375</v>
      </c>
      <c r="BZ1328">
        <v>200620</v>
      </c>
      <c r="CA1328">
        <v>213660</v>
      </c>
      <c r="CB1328">
        <v>0</v>
      </c>
      <c r="CC1328">
        <v>0</v>
      </c>
      <c r="CD1328">
        <v>0</v>
      </c>
      <c r="CE1328">
        <v>0</v>
      </c>
      <c r="CF1328">
        <v>0</v>
      </c>
      <c r="CG1328">
        <v>0</v>
      </c>
      <c r="CH1328">
        <v>0</v>
      </c>
      <c r="CI1328">
        <v>0</v>
      </c>
      <c r="CJ1328">
        <v>0</v>
      </c>
      <c r="CK1328">
        <v>0</v>
      </c>
      <c r="CL1328">
        <v>0</v>
      </c>
      <c r="CM1328">
        <v>0</v>
      </c>
      <c r="CR1328" t="s">
        <v>2337</v>
      </c>
      <c r="CS1328" s="1369" t="str">
        <f>INDEX([8]Sheet1!$H:$H,MATCH(CR:CR,[8]Sheet1!$AU:$AU,0))</f>
        <v>Corporate Wide Strategic Planning (IDPs, LEDs)</v>
      </c>
    </row>
    <row r="1329" spans="1:97" x14ac:dyDescent="0.2">
      <c r="A1329" t="s">
        <v>4346</v>
      </c>
      <c r="B1329">
        <v>1417</v>
      </c>
      <c r="C1329" t="s">
        <v>4346</v>
      </c>
      <c r="D1329">
        <v>41773</v>
      </c>
      <c r="E1329" t="s">
        <v>4347</v>
      </c>
      <c r="F1329">
        <v>1500</v>
      </c>
      <c r="G1329" t="s">
        <v>1477</v>
      </c>
      <c r="H1329">
        <v>1500</v>
      </c>
      <c r="I1329" t="s">
        <v>1477</v>
      </c>
      <c r="J1329" t="s">
        <v>2365</v>
      </c>
      <c r="K1329" t="s">
        <v>2365</v>
      </c>
      <c r="L1329">
        <v>1200</v>
      </c>
      <c r="M1329" t="s">
        <v>1480</v>
      </c>
      <c r="N1329">
        <v>1201</v>
      </c>
      <c r="O1329" t="s">
        <v>1486</v>
      </c>
      <c r="P1329" t="s">
        <v>2366</v>
      </c>
      <c r="Q1329" t="s">
        <v>2364</v>
      </c>
      <c r="R1329" t="s">
        <v>2364</v>
      </c>
      <c r="S1329" t="s">
        <v>553</v>
      </c>
      <c r="T1329" t="s">
        <v>1811</v>
      </c>
      <c r="U1329" t="s">
        <v>2365</v>
      </c>
      <c r="V1329" t="s">
        <v>2365</v>
      </c>
      <c r="W1329" t="s">
        <v>2365</v>
      </c>
      <c r="X1329" t="s">
        <v>2365</v>
      </c>
      <c r="Y1329" t="s">
        <v>2365</v>
      </c>
      <c r="Z1329" t="s">
        <v>2365</v>
      </c>
      <c r="AA1329" t="s">
        <v>2365</v>
      </c>
      <c r="AB1329" t="s">
        <v>2365</v>
      </c>
      <c r="AC1329" s="813" t="s">
        <v>2365</v>
      </c>
      <c r="AD1329" s="813" t="s">
        <v>2365</v>
      </c>
      <c r="AE1329" s="813" t="s">
        <v>2365</v>
      </c>
      <c r="AF1329" t="s">
        <v>2365</v>
      </c>
      <c r="AG1329" t="s">
        <v>2365</v>
      </c>
      <c r="AH1329" t="s">
        <v>2365</v>
      </c>
      <c r="AI1329" t="s">
        <v>2365</v>
      </c>
      <c r="AJ1329" t="s">
        <v>2365</v>
      </c>
      <c r="AK1329" t="s">
        <v>2365</v>
      </c>
      <c r="AL1329" t="s">
        <v>2365</v>
      </c>
      <c r="AM1329" t="s">
        <v>2365</v>
      </c>
      <c r="AN1329" t="s">
        <v>2365</v>
      </c>
      <c r="AR1329" t="s">
        <v>2365</v>
      </c>
      <c r="AS1329" t="s">
        <v>2365</v>
      </c>
      <c r="AT1329" t="s">
        <v>2365</v>
      </c>
      <c r="AU1329" t="s">
        <v>2365</v>
      </c>
      <c r="AV1329" t="s">
        <v>2365</v>
      </c>
      <c r="AW1329" t="s">
        <v>2365</v>
      </c>
      <c r="AX1329" t="s">
        <v>2365</v>
      </c>
      <c r="AY1329" t="s">
        <v>2365</v>
      </c>
      <c r="AZ1329" t="s">
        <v>2365</v>
      </c>
      <c r="BA1329" t="s">
        <v>2365</v>
      </c>
      <c r="BB1329" t="s">
        <v>2365</v>
      </c>
      <c r="BC1329" t="s">
        <v>2365</v>
      </c>
      <c r="BD1329" t="s">
        <v>2366</v>
      </c>
      <c r="BE1329" t="s">
        <v>2365</v>
      </c>
      <c r="BF1329" t="s">
        <v>2365</v>
      </c>
      <c r="BG1329" t="s">
        <v>2365</v>
      </c>
      <c r="BH1329" t="s">
        <v>2365</v>
      </c>
      <c r="BI1329" t="s">
        <v>2366</v>
      </c>
      <c r="BJ1329" t="s">
        <v>2365</v>
      </c>
      <c r="BK1329" t="s">
        <v>2365</v>
      </c>
      <c r="BL1329" t="s">
        <v>2365</v>
      </c>
      <c r="BM1329" t="s">
        <v>2365</v>
      </c>
      <c r="BO1329">
        <v>1</v>
      </c>
      <c r="BP1329">
        <v>14</v>
      </c>
      <c r="BQ1329" t="s">
        <v>2369</v>
      </c>
      <c r="BR1329" t="s">
        <v>1486</v>
      </c>
      <c r="BU1329">
        <v>0</v>
      </c>
      <c r="BV1329">
        <v>0</v>
      </c>
      <c r="BW1329">
        <v>0</v>
      </c>
      <c r="BX1329">
        <v>0</v>
      </c>
      <c r="BY1329">
        <v>0</v>
      </c>
      <c r="BZ1329">
        <v>0</v>
      </c>
      <c r="CA1329">
        <v>0</v>
      </c>
      <c r="CB1329">
        <v>0</v>
      </c>
      <c r="CC1329">
        <v>0</v>
      </c>
      <c r="CD1329">
        <v>0</v>
      </c>
      <c r="CE1329">
        <v>0</v>
      </c>
      <c r="CF1329">
        <v>0</v>
      </c>
      <c r="CG1329">
        <v>0</v>
      </c>
      <c r="CH1329">
        <v>0</v>
      </c>
      <c r="CI1329">
        <v>0</v>
      </c>
      <c r="CJ1329">
        <v>0</v>
      </c>
      <c r="CK1329">
        <v>0</v>
      </c>
      <c r="CL1329">
        <v>0</v>
      </c>
      <c r="CM1329">
        <v>0</v>
      </c>
      <c r="CR1329" t="s">
        <v>2337</v>
      </c>
      <c r="CS1329" s="1369" t="str">
        <f>INDEX([8]Sheet1!$H:$H,MATCH(CR:CR,[8]Sheet1!$AU:$AU,0))</f>
        <v>Corporate Wide Strategic Planning (IDPs, LEDs)</v>
      </c>
    </row>
    <row r="1330" spans="1:97" x14ac:dyDescent="0.2">
      <c r="A1330" t="s">
        <v>4348</v>
      </c>
      <c r="B1330">
        <v>1418</v>
      </c>
      <c r="C1330" t="s">
        <v>4348</v>
      </c>
      <c r="D1330">
        <v>41774</v>
      </c>
      <c r="E1330" t="s">
        <v>2663</v>
      </c>
      <c r="F1330">
        <v>2700</v>
      </c>
      <c r="G1330" t="s">
        <v>656</v>
      </c>
      <c r="H1330" s="1373" t="s">
        <v>2664</v>
      </c>
      <c r="I1330" t="s">
        <v>1801</v>
      </c>
      <c r="J1330">
        <v>2702</v>
      </c>
      <c r="K1330" t="s">
        <v>1801</v>
      </c>
      <c r="L1330" s="1373">
        <v>2100</v>
      </c>
      <c r="M1330" t="s">
        <v>618</v>
      </c>
      <c r="N1330">
        <v>2106</v>
      </c>
      <c r="O1330" t="s">
        <v>1499</v>
      </c>
      <c r="P1330" t="s">
        <v>2366</v>
      </c>
      <c r="Q1330" t="s">
        <v>2364</v>
      </c>
      <c r="R1330" t="s">
        <v>2364</v>
      </c>
      <c r="S1330" t="s">
        <v>1881</v>
      </c>
      <c r="T1330" t="s">
        <v>1812</v>
      </c>
      <c r="U1330" t="s">
        <v>2365</v>
      </c>
      <c r="V1330" t="s">
        <v>2365</v>
      </c>
      <c r="W1330" t="s">
        <v>2365</v>
      </c>
      <c r="X1330" t="s">
        <v>2365</v>
      </c>
      <c r="Y1330" t="s">
        <v>2365</v>
      </c>
      <c r="Z1330" t="s">
        <v>2365</v>
      </c>
      <c r="AA1330" t="s">
        <v>2365</v>
      </c>
      <c r="AB1330" t="s">
        <v>2365</v>
      </c>
      <c r="AC1330" s="813" t="s">
        <v>2365</v>
      </c>
      <c r="AD1330" s="813" t="s">
        <v>2365</v>
      </c>
      <c r="AE1330" s="813" t="s">
        <v>2365</v>
      </c>
      <c r="AF1330" t="s">
        <v>2365</v>
      </c>
      <c r="AG1330" t="s">
        <v>2365</v>
      </c>
      <c r="AH1330" t="s">
        <v>2365</v>
      </c>
      <c r="AI1330" t="s">
        <v>2365</v>
      </c>
      <c r="AJ1330" t="s">
        <v>2365</v>
      </c>
      <c r="AK1330" t="s">
        <v>2365</v>
      </c>
      <c r="AL1330" t="s">
        <v>2365</v>
      </c>
      <c r="AM1330" t="s">
        <v>2365</v>
      </c>
      <c r="AN1330" t="s">
        <v>2365</v>
      </c>
      <c r="AR1330" t="s">
        <v>2365</v>
      </c>
      <c r="AS1330" t="s">
        <v>2365</v>
      </c>
      <c r="AT1330" t="s">
        <v>2365</v>
      </c>
      <c r="AU1330" t="s">
        <v>2365</v>
      </c>
      <c r="AV1330" t="s">
        <v>2365</v>
      </c>
      <c r="AW1330" t="s">
        <v>2365</v>
      </c>
      <c r="AX1330" t="s">
        <v>2365</v>
      </c>
      <c r="AY1330" t="s">
        <v>2365</v>
      </c>
      <c r="AZ1330" t="s">
        <v>2365</v>
      </c>
      <c r="BA1330" t="s">
        <v>2365</v>
      </c>
      <c r="BB1330" t="s">
        <v>2365</v>
      </c>
      <c r="BC1330" t="s">
        <v>2365</v>
      </c>
      <c r="BD1330" t="s">
        <v>2366</v>
      </c>
      <c r="BE1330" t="s">
        <v>2365</v>
      </c>
      <c r="BF1330" t="s">
        <v>2365</v>
      </c>
      <c r="BG1330" t="s">
        <v>2365</v>
      </c>
      <c r="BH1330" t="s">
        <v>2365</v>
      </c>
      <c r="BI1330" t="s">
        <v>2366</v>
      </c>
      <c r="BJ1330" t="s">
        <v>2365</v>
      </c>
      <c r="BK1330" t="s">
        <v>2365</v>
      </c>
      <c r="BL1330" t="s">
        <v>2365</v>
      </c>
      <c r="BM1330" t="s">
        <v>2365</v>
      </c>
      <c r="BO1330">
        <v>5</v>
      </c>
      <c r="BP1330">
        <v>53</v>
      </c>
      <c r="BQ1330" t="s">
        <v>2438</v>
      </c>
      <c r="BR1330" t="s">
        <v>1499</v>
      </c>
      <c r="BU1330" s="1371">
        <v>0</v>
      </c>
      <c r="BV1330" s="1371">
        <v>0</v>
      </c>
      <c r="BW1330" s="1371">
        <v>0</v>
      </c>
      <c r="BX1330" s="1371">
        <v>0</v>
      </c>
      <c r="BY1330" s="1371">
        <v>0</v>
      </c>
      <c r="BZ1330">
        <v>0</v>
      </c>
      <c r="CA1330">
        <v>0</v>
      </c>
      <c r="CB1330">
        <v>0</v>
      </c>
      <c r="CC1330">
        <v>0</v>
      </c>
      <c r="CD1330">
        <v>0</v>
      </c>
      <c r="CE1330">
        <v>0</v>
      </c>
      <c r="CF1330">
        <v>0</v>
      </c>
      <c r="CG1330">
        <v>0</v>
      </c>
      <c r="CH1330">
        <v>0</v>
      </c>
      <c r="CI1330">
        <v>0</v>
      </c>
      <c r="CJ1330">
        <v>0</v>
      </c>
      <c r="CK1330">
        <v>0</v>
      </c>
      <c r="CL1330">
        <v>0</v>
      </c>
      <c r="CM1330">
        <v>0</v>
      </c>
      <c r="CR1330" t="s">
        <v>2335</v>
      </c>
      <c r="CS1330" s="1369" t="str">
        <f>INDEX([8]Sheet1!$H:$H,MATCH(CR:CR,[8]Sheet1!$AU:$AU,0))</f>
        <v>Economic Development/Planning</v>
      </c>
    </row>
    <row r="1331" spans="1:97" x14ac:dyDescent="0.2">
      <c r="A1331" t="s">
        <v>4349</v>
      </c>
      <c r="B1331">
        <v>1419</v>
      </c>
      <c r="C1331" t="s">
        <v>4349</v>
      </c>
      <c r="D1331">
        <v>41775</v>
      </c>
      <c r="E1331" t="s">
        <v>4350</v>
      </c>
      <c r="F1331">
        <v>2900</v>
      </c>
      <c r="G1331" t="s">
        <v>569</v>
      </c>
      <c r="H1331" s="1373" t="s">
        <v>2366</v>
      </c>
      <c r="I1331" t="s">
        <v>2366</v>
      </c>
      <c r="J1331">
        <v>2903</v>
      </c>
      <c r="K1331" t="s">
        <v>1170</v>
      </c>
      <c r="L1331" s="1373">
        <v>1200</v>
      </c>
      <c r="M1331" t="s">
        <v>1480</v>
      </c>
      <c r="N1331">
        <v>1204</v>
      </c>
      <c r="O1331" t="s">
        <v>1487</v>
      </c>
      <c r="P1331" t="s">
        <v>2366</v>
      </c>
      <c r="Q1331" t="s">
        <v>2364</v>
      </c>
      <c r="R1331" t="s">
        <v>2364</v>
      </c>
      <c r="S1331" t="s">
        <v>1881</v>
      </c>
      <c r="T1331" t="s">
        <v>1812</v>
      </c>
      <c r="U1331" t="s">
        <v>2365</v>
      </c>
      <c r="V1331" t="s">
        <v>2365</v>
      </c>
      <c r="W1331" t="s">
        <v>2365</v>
      </c>
      <c r="X1331" t="s">
        <v>2365</v>
      </c>
      <c r="Y1331" t="s">
        <v>2365</v>
      </c>
      <c r="Z1331" t="s">
        <v>2365</v>
      </c>
      <c r="AA1331" t="s">
        <v>2365</v>
      </c>
      <c r="AB1331" t="s">
        <v>2365</v>
      </c>
      <c r="AC1331" s="813" t="s">
        <v>2365</v>
      </c>
      <c r="AD1331" s="813" t="s">
        <v>2365</v>
      </c>
      <c r="AE1331" s="813" t="s">
        <v>2365</v>
      </c>
      <c r="AF1331" t="s">
        <v>2365</v>
      </c>
      <c r="AG1331" t="s">
        <v>2365</v>
      </c>
      <c r="AH1331" t="s">
        <v>2365</v>
      </c>
      <c r="AI1331" t="s">
        <v>2365</v>
      </c>
      <c r="AJ1331" t="s">
        <v>2365</v>
      </c>
      <c r="AK1331" t="s">
        <v>2365</v>
      </c>
      <c r="AL1331" t="s">
        <v>2365</v>
      </c>
      <c r="AM1331" t="s">
        <v>2365</v>
      </c>
      <c r="AN1331" t="s">
        <v>2365</v>
      </c>
      <c r="AR1331" t="s">
        <v>2365</v>
      </c>
      <c r="AS1331" t="s">
        <v>2365</v>
      </c>
      <c r="AT1331" t="s">
        <v>2365</v>
      </c>
      <c r="AU1331" t="s">
        <v>2365</v>
      </c>
      <c r="AV1331" t="s">
        <v>2365</v>
      </c>
      <c r="AW1331" t="s">
        <v>2365</v>
      </c>
      <c r="AX1331" t="s">
        <v>2365</v>
      </c>
      <c r="AY1331" t="s">
        <v>2365</v>
      </c>
      <c r="AZ1331" t="s">
        <v>2365</v>
      </c>
      <c r="BA1331" t="s">
        <v>2365</v>
      </c>
      <c r="BB1331" t="s">
        <v>2365</v>
      </c>
      <c r="BC1331" t="s">
        <v>2365</v>
      </c>
      <c r="BD1331" t="s">
        <v>2366</v>
      </c>
      <c r="BE1331" t="s">
        <v>2365</v>
      </c>
      <c r="BF1331" t="s">
        <v>2365</v>
      </c>
      <c r="BG1331" t="s">
        <v>2365</v>
      </c>
      <c r="BH1331" t="s">
        <v>2365</v>
      </c>
      <c r="BI1331" t="s">
        <v>2366</v>
      </c>
      <c r="BJ1331" t="s">
        <v>2365</v>
      </c>
      <c r="BK1331" t="s">
        <v>2365</v>
      </c>
      <c r="BL1331" t="s">
        <v>2365</v>
      </c>
      <c r="BM1331" t="s">
        <v>2365</v>
      </c>
      <c r="BO1331">
        <v>1</v>
      </c>
      <c r="BP1331">
        <v>11</v>
      </c>
      <c r="BQ1331" t="s">
        <v>2369</v>
      </c>
      <c r="BR1331" t="s">
        <v>1487</v>
      </c>
      <c r="BU1331" s="1371">
        <v>1400898</v>
      </c>
      <c r="BV1331" s="1371">
        <v>0</v>
      </c>
      <c r="BW1331" s="1371">
        <v>1400898</v>
      </c>
      <c r="BX1331" s="1371">
        <v>0</v>
      </c>
      <c r="BY1331" s="1371">
        <v>1400898</v>
      </c>
      <c r="BZ1331">
        <v>1540988</v>
      </c>
      <c r="CA1331">
        <v>1695086</v>
      </c>
      <c r="CB1331">
        <v>0</v>
      </c>
      <c r="CC1331">
        <v>0</v>
      </c>
      <c r="CD1331">
        <v>0</v>
      </c>
      <c r="CE1331">
        <v>0</v>
      </c>
      <c r="CF1331">
        <v>64640</v>
      </c>
      <c r="CG1331">
        <v>0</v>
      </c>
      <c r="CH1331">
        <v>136873</v>
      </c>
      <c r="CI1331">
        <v>468267.63</v>
      </c>
      <c r="CJ1331">
        <v>0</v>
      </c>
      <c r="CK1331">
        <v>0</v>
      </c>
      <c r="CL1331">
        <v>0</v>
      </c>
      <c r="CM1331">
        <v>0</v>
      </c>
      <c r="CR1331" t="s">
        <v>2335</v>
      </c>
      <c r="CS1331" s="1369" t="str">
        <f>INDEX([8]Sheet1!$H:$H,MATCH(CR:CR,[8]Sheet1!$AU:$AU,0))</f>
        <v>Economic Development/Planning</v>
      </c>
    </row>
    <row r="1332" spans="1:97" x14ac:dyDescent="0.2">
      <c r="A1332" t="s">
        <v>4351</v>
      </c>
      <c r="B1332">
        <v>1420</v>
      </c>
      <c r="C1332" t="s">
        <v>4351</v>
      </c>
      <c r="D1332">
        <v>51862</v>
      </c>
      <c r="E1332" t="s">
        <v>2681</v>
      </c>
      <c r="F1332">
        <v>2700</v>
      </c>
      <c r="G1332" t="s">
        <v>656</v>
      </c>
      <c r="H1332" t="s">
        <v>2478</v>
      </c>
      <c r="I1332" t="s">
        <v>1802</v>
      </c>
      <c r="J1332">
        <v>2703</v>
      </c>
      <c r="K1332" t="s">
        <v>1802</v>
      </c>
      <c r="L1332">
        <v>3100</v>
      </c>
      <c r="M1332" t="s">
        <v>624</v>
      </c>
      <c r="N1332">
        <v>3107</v>
      </c>
      <c r="O1332" t="s">
        <v>1536</v>
      </c>
      <c r="P1332" t="s">
        <v>2366</v>
      </c>
      <c r="Q1332" t="s">
        <v>2364</v>
      </c>
      <c r="R1332" t="s">
        <v>2364</v>
      </c>
      <c r="S1332" t="s">
        <v>1881</v>
      </c>
      <c r="T1332" t="s">
        <v>1812</v>
      </c>
      <c r="U1332" t="s">
        <v>2365</v>
      </c>
      <c r="V1332" t="s">
        <v>2365</v>
      </c>
      <c r="W1332" t="s">
        <v>2365</v>
      </c>
      <c r="X1332" t="s">
        <v>2365</v>
      </c>
      <c r="Y1332" t="s">
        <v>2365</v>
      </c>
      <c r="Z1332" t="s">
        <v>2365</v>
      </c>
      <c r="AA1332" t="s">
        <v>2365</v>
      </c>
      <c r="AB1332" t="s">
        <v>2365</v>
      </c>
      <c r="AC1332" s="813" t="s">
        <v>2365</v>
      </c>
      <c r="AD1332" s="813" t="s">
        <v>2365</v>
      </c>
      <c r="AE1332" s="813" t="s">
        <v>2365</v>
      </c>
      <c r="AF1332" t="s">
        <v>2365</v>
      </c>
      <c r="AG1332" t="s">
        <v>2365</v>
      </c>
      <c r="AH1332" t="s">
        <v>2365</v>
      </c>
      <c r="AI1332" t="s">
        <v>2365</v>
      </c>
      <c r="AJ1332" t="s">
        <v>2365</v>
      </c>
      <c r="AK1332" t="s">
        <v>2365</v>
      </c>
      <c r="AL1332" t="s">
        <v>2365</v>
      </c>
      <c r="AM1332" t="s">
        <v>2365</v>
      </c>
      <c r="AN1332" t="s">
        <v>2365</v>
      </c>
      <c r="AR1332" t="s">
        <v>2365</v>
      </c>
      <c r="AS1332" t="s">
        <v>2365</v>
      </c>
      <c r="AT1332" t="s">
        <v>2365</v>
      </c>
      <c r="AU1332" t="s">
        <v>2365</v>
      </c>
      <c r="AV1332" t="s">
        <v>2365</v>
      </c>
      <c r="AW1332" t="s">
        <v>2365</v>
      </c>
      <c r="AX1332" t="s">
        <v>2365</v>
      </c>
      <c r="AY1332" t="s">
        <v>2365</v>
      </c>
      <c r="AZ1332" t="s">
        <v>2365</v>
      </c>
      <c r="BA1332" t="s">
        <v>2365</v>
      </c>
      <c r="BB1332" t="s">
        <v>2365</v>
      </c>
      <c r="BC1332" t="s">
        <v>2365</v>
      </c>
      <c r="BD1332" t="s">
        <v>1906</v>
      </c>
      <c r="BE1332" t="s">
        <v>2365</v>
      </c>
      <c r="BF1332" t="s">
        <v>2365</v>
      </c>
      <c r="BG1332" t="s">
        <v>2365</v>
      </c>
      <c r="BH1332" t="s">
        <v>2365</v>
      </c>
      <c r="BI1332" t="s">
        <v>2366</v>
      </c>
      <c r="BJ1332" t="s">
        <v>2365</v>
      </c>
      <c r="BK1332" t="s">
        <v>2365</v>
      </c>
      <c r="BL1332" t="s">
        <v>2365</v>
      </c>
      <c r="BM1332" t="s">
        <v>2365</v>
      </c>
      <c r="BO1332">
        <v>8</v>
      </c>
      <c r="BP1332">
        <v>81</v>
      </c>
      <c r="BQ1332" t="s">
        <v>2442</v>
      </c>
      <c r="BR1332" t="s">
        <v>1536</v>
      </c>
      <c r="BU1332">
        <v>0</v>
      </c>
      <c r="BV1332">
        <v>0</v>
      </c>
      <c r="BW1332">
        <v>0</v>
      </c>
      <c r="BX1332">
        <v>0</v>
      </c>
      <c r="BY1332">
        <v>0</v>
      </c>
      <c r="BZ1332">
        <v>0</v>
      </c>
      <c r="CA1332">
        <v>0</v>
      </c>
      <c r="CB1332">
        <v>0</v>
      </c>
      <c r="CC1332">
        <v>0</v>
      </c>
      <c r="CD1332">
        <v>0</v>
      </c>
      <c r="CE1332">
        <v>0</v>
      </c>
      <c r="CF1332">
        <v>-3</v>
      </c>
      <c r="CG1332">
        <v>0</v>
      </c>
      <c r="CH1332">
        <v>0</v>
      </c>
      <c r="CI1332">
        <v>0</v>
      </c>
      <c r="CJ1332">
        <v>0</v>
      </c>
      <c r="CK1332">
        <v>0</v>
      </c>
      <c r="CL1332">
        <v>0</v>
      </c>
      <c r="CM1332">
        <v>0</v>
      </c>
      <c r="CR1332" t="s">
        <v>2335</v>
      </c>
      <c r="CS1332" s="1369" t="str">
        <f>INDEX([8]Sheet1!$H:$H,MATCH(CR:CR,[8]Sheet1!$AU:$AU,0))</f>
        <v>Economic Development/Planning</v>
      </c>
    </row>
    <row r="1333" spans="1:97" x14ac:dyDescent="0.2">
      <c r="A1333" t="s">
        <v>4352</v>
      </c>
      <c r="B1333">
        <v>1421</v>
      </c>
      <c r="C1333" t="s">
        <v>4352</v>
      </c>
      <c r="D1333">
        <v>41777</v>
      </c>
      <c r="E1333" t="s">
        <v>2506</v>
      </c>
      <c r="F1333">
        <v>2900</v>
      </c>
      <c r="G1333" t="s">
        <v>569</v>
      </c>
      <c r="H1333" t="s">
        <v>2366</v>
      </c>
      <c r="I1333" t="s">
        <v>2366</v>
      </c>
      <c r="J1333">
        <v>2904</v>
      </c>
      <c r="K1333" t="s">
        <v>1432</v>
      </c>
      <c r="L1333">
        <v>1100</v>
      </c>
      <c r="M1333" t="s">
        <v>616</v>
      </c>
      <c r="N1333">
        <v>1110</v>
      </c>
      <c r="O1333" t="s">
        <v>995</v>
      </c>
      <c r="P1333" t="s">
        <v>2366</v>
      </c>
      <c r="Q1333" t="s">
        <v>2364</v>
      </c>
      <c r="R1333" t="s">
        <v>2364</v>
      </c>
      <c r="S1333" t="s">
        <v>1881</v>
      </c>
      <c r="T1333" t="s">
        <v>1812</v>
      </c>
      <c r="U1333" t="s">
        <v>2365</v>
      </c>
      <c r="V1333" t="s">
        <v>2365</v>
      </c>
      <c r="W1333" t="s">
        <v>2365</v>
      </c>
      <c r="X1333" t="s">
        <v>2365</v>
      </c>
      <c r="Y1333" t="s">
        <v>2365</v>
      </c>
      <c r="Z1333" t="s">
        <v>2365</v>
      </c>
      <c r="AA1333" t="s">
        <v>2365</v>
      </c>
      <c r="AB1333" t="s">
        <v>2365</v>
      </c>
      <c r="AC1333" s="813" t="s">
        <v>2365</v>
      </c>
      <c r="AD1333" s="813" t="s">
        <v>2365</v>
      </c>
      <c r="AE1333" s="813" t="s">
        <v>2365</v>
      </c>
      <c r="AF1333" t="s">
        <v>2365</v>
      </c>
      <c r="AG1333" t="s">
        <v>2365</v>
      </c>
      <c r="AH1333" t="s">
        <v>2365</v>
      </c>
      <c r="AI1333" t="s">
        <v>2365</v>
      </c>
      <c r="AJ1333" t="s">
        <v>2365</v>
      </c>
      <c r="AK1333" t="s">
        <v>2365</v>
      </c>
      <c r="AL1333" t="s">
        <v>2365</v>
      </c>
      <c r="AM1333" t="s">
        <v>2365</v>
      </c>
      <c r="AN1333" t="s">
        <v>2365</v>
      </c>
      <c r="AR1333" t="s">
        <v>2365</v>
      </c>
      <c r="AS1333" t="s">
        <v>2365</v>
      </c>
      <c r="AT1333" t="s">
        <v>2365</v>
      </c>
      <c r="AU1333" t="s">
        <v>2365</v>
      </c>
      <c r="AV1333" t="s">
        <v>2365</v>
      </c>
      <c r="AW1333" t="s">
        <v>2365</v>
      </c>
      <c r="AX1333" t="s">
        <v>2365</v>
      </c>
      <c r="AY1333" t="s">
        <v>2365</v>
      </c>
      <c r="AZ1333" t="s">
        <v>2365</v>
      </c>
      <c r="BA1333" t="s">
        <v>2365</v>
      </c>
      <c r="BB1333" t="s">
        <v>2365</v>
      </c>
      <c r="BC1333" t="s">
        <v>2365</v>
      </c>
      <c r="BD1333" t="s">
        <v>2366</v>
      </c>
      <c r="BE1333" t="s">
        <v>2365</v>
      </c>
      <c r="BF1333" t="s">
        <v>2365</v>
      </c>
      <c r="BG1333" t="s">
        <v>2365</v>
      </c>
      <c r="BH1333" t="s">
        <v>2365</v>
      </c>
      <c r="BI1333" t="s">
        <v>2366</v>
      </c>
      <c r="BJ1333" t="s">
        <v>2365</v>
      </c>
      <c r="BK1333" t="s">
        <v>2365</v>
      </c>
      <c r="BL1333" t="s">
        <v>2365</v>
      </c>
      <c r="BM1333" t="s">
        <v>2365</v>
      </c>
      <c r="BO1333">
        <v>3</v>
      </c>
      <c r="BP1333">
        <v>32</v>
      </c>
      <c r="BQ1333" t="s">
        <v>2716</v>
      </c>
      <c r="BR1333" t="s">
        <v>995</v>
      </c>
      <c r="BU1333">
        <v>0</v>
      </c>
      <c r="BV1333">
        <v>0</v>
      </c>
      <c r="BW1333">
        <v>0</v>
      </c>
      <c r="BX1333">
        <v>0</v>
      </c>
      <c r="BY1333">
        <v>0</v>
      </c>
      <c r="BZ1333">
        <v>0</v>
      </c>
      <c r="CA1333">
        <v>0</v>
      </c>
      <c r="CB1333">
        <v>0</v>
      </c>
      <c r="CC1333">
        <v>0</v>
      </c>
      <c r="CD1333">
        <v>0</v>
      </c>
      <c r="CE1333">
        <v>0</v>
      </c>
      <c r="CF1333">
        <v>0</v>
      </c>
      <c r="CG1333">
        <v>0</v>
      </c>
      <c r="CH1333">
        <v>0</v>
      </c>
      <c r="CI1333">
        <v>0</v>
      </c>
      <c r="CJ1333">
        <v>0</v>
      </c>
      <c r="CK1333">
        <v>0</v>
      </c>
      <c r="CL1333">
        <v>0</v>
      </c>
      <c r="CM1333">
        <v>0</v>
      </c>
      <c r="CR1333" t="s">
        <v>2335</v>
      </c>
      <c r="CS1333" s="1369" t="str">
        <f>INDEX([8]Sheet1!$H:$H,MATCH(CR:CR,[8]Sheet1!$AU:$AU,0))</f>
        <v>Economic Development/Planning</v>
      </c>
    </row>
    <row r="1334" spans="1:97" x14ac:dyDescent="0.2">
      <c r="A1334" t="s">
        <v>4353</v>
      </c>
      <c r="B1334">
        <v>1422</v>
      </c>
      <c r="C1334" t="s">
        <v>4353</v>
      </c>
      <c r="D1334">
        <v>41778</v>
      </c>
      <c r="E1334" t="s">
        <v>2510</v>
      </c>
      <c r="F1334">
        <v>2900</v>
      </c>
      <c r="G1334" t="s">
        <v>569</v>
      </c>
      <c r="H1334" t="s">
        <v>2366</v>
      </c>
      <c r="I1334" t="s">
        <v>2366</v>
      </c>
      <c r="J1334">
        <v>2904</v>
      </c>
      <c r="K1334" t="s">
        <v>1432</v>
      </c>
      <c r="L1334">
        <v>1100</v>
      </c>
      <c r="M1334" t="s">
        <v>616</v>
      </c>
      <c r="N1334">
        <v>1120</v>
      </c>
      <c r="O1334" t="s">
        <v>1485</v>
      </c>
      <c r="P1334" t="s">
        <v>2366</v>
      </c>
      <c r="Q1334" t="s">
        <v>2364</v>
      </c>
      <c r="R1334" t="s">
        <v>2364</v>
      </c>
      <c r="S1334" t="s">
        <v>1881</v>
      </c>
      <c r="T1334" t="s">
        <v>1812</v>
      </c>
      <c r="U1334" t="s">
        <v>2365</v>
      </c>
      <c r="V1334" t="s">
        <v>2365</v>
      </c>
      <c r="W1334" t="s">
        <v>2365</v>
      </c>
      <c r="X1334" t="s">
        <v>2365</v>
      </c>
      <c r="Y1334" t="s">
        <v>2365</v>
      </c>
      <c r="Z1334" t="s">
        <v>2365</v>
      </c>
      <c r="AA1334" t="s">
        <v>2365</v>
      </c>
      <c r="AB1334" t="s">
        <v>2365</v>
      </c>
      <c r="AC1334" s="813" t="s">
        <v>2365</v>
      </c>
      <c r="AD1334" s="813" t="s">
        <v>2365</v>
      </c>
      <c r="AE1334" s="813" t="s">
        <v>2365</v>
      </c>
      <c r="AF1334" t="s">
        <v>2365</v>
      </c>
      <c r="AG1334" t="s">
        <v>2365</v>
      </c>
      <c r="AH1334" t="s">
        <v>2365</v>
      </c>
      <c r="AI1334" t="s">
        <v>2365</v>
      </c>
      <c r="AJ1334" t="s">
        <v>2365</v>
      </c>
      <c r="AK1334" t="s">
        <v>2365</v>
      </c>
      <c r="AL1334" t="s">
        <v>2365</v>
      </c>
      <c r="AM1334" t="s">
        <v>2365</v>
      </c>
      <c r="AN1334" t="s">
        <v>2365</v>
      </c>
      <c r="AR1334" t="s">
        <v>2365</v>
      </c>
      <c r="AS1334" t="s">
        <v>2365</v>
      </c>
      <c r="AT1334" t="s">
        <v>2365</v>
      </c>
      <c r="AU1334" t="s">
        <v>2365</v>
      </c>
      <c r="AV1334" t="s">
        <v>2365</v>
      </c>
      <c r="AW1334" t="s">
        <v>2365</v>
      </c>
      <c r="AX1334" t="s">
        <v>2365</v>
      </c>
      <c r="AY1334" t="s">
        <v>2365</v>
      </c>
      <c r="AZ1334" t="s">
        <v>2365</v>
      </c>
      <c r="BA1334" t="s">
        <v>2365</v>
      </c>
      <c r="BB1334" t="s">
        <v>2365</v>
      </c>
      <c r="BC1334" t="s">
        <v>2365</v>
      </c>
      <c r="BD1334" t="s">
        <v>2366</v>
      </c>
      <c r="BE1334" t="s">
        <v>2365</v>
      </c>
      <c r="BF1334" t="s">
        <v>2365</v>
      </c>
      <c r="BG1334" t="s">
        <v>2365</v>
      </c>
      <c r="BH1334" t="s">
        <v>2365</v>
      </c>
      <c r="BI1334" t="s">
        <v>2366</v>
      </c>
      <c r="BJ1334" t="s">
        <v>2365</v>
      </c>
      <c r="BK1334" t="s">
        <v>2365</v>
      </c>
      <c r="BL1334" t="s">
        <v>2365</v>
      </c>
      <c r="BM1334" t="s">
        <v>2365</v>
      </c>
      <c r="BO1334">
        <v>3</v>
      </c>
      <c r="BP1334">
        <v>31</v>
      </c>
      <c r="BQ1334" t="s">
        <v>2716</v>
      </c>
      <c r="BR1334" t="s">
        <v>1485</v>
      </c>
      <c r="BU1334">
        <v>0</v>
      </c>
      <c r="BV1334">
        <v>0</v>
      </c>
      <c r="BW1334">
        <v>0</v>
      </c>
      <c r="BX1334">
        <v>0</v>
      </c>
      <c r="BY1334">
        <v>0</v>
      </c>
      <c r="BZ1334">
        <v>0</v>
      </c>
      <c r="CA1334">
        <v>0</v>
      </c>
      <c r="CB1334">
        <v>0</v>
      </c>
      <c r="CC1334">
        <v>0</v>
      </c>
      <c r="CD1334">
        <v>0</v>
      </c>
      <c r="CE1334">
        <v>0</v>
      </c>
      <c r="CF1334">
        <v>0</v>
      </c>
      <c r="CG1334">
        <v>0</v>
      </c>
      <c r="CH1334">
        <v>0</v>
      </c>
      <c r="CI1334">
        <v>0</v>
      </c>
      <c r="CJ1334">
        <v>0</v>
      </c>
      <c r="CK1334">
        <v>0</v>
      </c>
      <c r="CL1334">
        <v>0</v>
      </c>
      <c r="CM1334">
        <v>0</v>
      </c>
      <c r="CR1334" t="s">
        <v>2340</v>
      </c>
      <c r="CS1334" s="1369" t="str">
        <f>INDEX([8]Sheet1!$H:$H,MATCH(CR:CR,[8]Sheet1!$AU:$AU,0))</f>
        <v>Disaster Management</v>
      </c>
    </row>
    <row r="1335" spans="1:97" x14ac:dyDescent="0.2">
      <c r="A1335" t="s">
        <v>4354</v>
      </c>
      <c r="B1335">
        <v>1423</v>
      </c>
      <c r="C1335" t="s">
        <v>4354</v>
      </c>
      <c r="D1335">
        <v>41779</v>
      </c>
      <c r="E1335" t="s">
        <v>2506</v>
      </c>
      <c r="F1335">
        <v>2900</v>
      </c>
      <c r="G1335" t="s">
        <v>569</v>
      </c>
      <c r="H1335" t="s">
        <v>2366</v>
      </c>
      <c r="I1335" t="s">
        <v>2366</v>
      </c>
      <c r="J1335">
        <v>2904</v>
      </c>
      <c r="K1335" t="s">
        <v>1432</v>
      </c>
      <c r="L1335">
        <v>1100</v>
      </c>
      <c r="M1335" t="s">
        <v>616</v>
      </c>
      <c r="N1335">
        <v>1120</v>
      </c>
      <c r="O1335" t="s">
        <v>1485</v>
      </c>
      <c r="P1335" t="s">
        <v>2366</v>
      </c>
      <c r="Q1335" t="s">
        <v>2364</v>
      </c>
      <c r="R1335" t="s">
        <v>2364</v>
      </c>
      <c r="S1335" t="s">
        <v>1881</v>
      </c>
      <c r="T1335" t="s">
        <v>1812</v>
      </c>
      <c r="U1335" t="s">
        <v>2365</v>
      </c>
      <c r="V1335" t="s">
        <v>2365</v>
      </c>
      <c r="W1335" t="s">
        <v>2365</v>
      </c>
      <c r="X1335" t="s">
        <v>2365</v>
      </c>
      <c r="Y1335" t="s">
        <v>2365</v>
      </c>
      <c r="Z1335" t="s">
        <v>2365</v>
      </c>
      <c r="AA1335" t="s">
        <v>2365</v>
      </c>
      <c r="AB1335" t="s">
        <v>2365</v>
      </c>
      <c r="AC1335" s="813" t="s">
        <v>2365</v>
      </c>
      <c r="AD1335" s="813" t="s">
        <v>2365</v>
      </c>
      <c r="AE1335" s="813" t="s">
        <v>2365</v>
      </c>
      <c r="AF1335" t="s">
        <v>2365</v>
      </c>
      <c r="AG1335" t="s">
        <v>2365</v>
      </c>
      <c r="AH1335" t="s">
        <v>2365</v>
      </c>
      <c r="AI1335" t="s">
        <v>2365</v>
      </c>
      <c r="AJ1335" t="s">
        <v>2365</v>
      </c>
      <c r="AK1335" t="s">
        <v>2365</v>
      </c>
      <c r="AL1335" t="s">
        <v>2365</v>
      </c>
      <c r="AM1335" t="s">
        <v>2365</v>
      </c>
      <c r="AN1335" t="s">
        <v>2365</v>
      </c>
      <c r="AR1335" t="s">
        <v>2365</v>
      </c>
      <c r="AS1335" t="s">
        <v>2365</v>
      </c>
      <c r="AT1335" t="s">
        <v>2365</v>
      </c>
      <c r="AU1335" t="s">
        <v>2365</v>
      </c>
      <c r="AV1335" t="s">
        <v>2365</v>
      </c>
      <c r="AW1335" t="s">
        <v>2365</v>
      </c>
      <c r="AX1335" t="s">
        <v>2365</v>
      </c>
      <c r="AY1335" t="s">
        <v>2365</v>
      </c>
      <c r="AZ1335" t="s">
        <v>2365</v>
      </c>
      <c r="BA1335" t="s">
        <v>2365</v>
      </c>
      <c r="BB1335" t="s">
        <v>2365</v>
      </c>
      <c r="BC1335" t="s">
        <v>2365</v>
      </c>
      <c r="BD1335" t="s">
        <v>2366</v>
      </c>
      <c r="BE1335" t="s">
        <v>2365</v>
      </c>
      <c r="BF1335" t="s">
        <v>2365</v>
      </c>
      <c r="BG1335" t="s">
        <v>2365</v>
      </c>
      <c r="BH1335" t="s">
        <v>2365</v>
      </c>
      <c r="BI1335" t="s">
        <v>2366</v>
      </c>
      <c r="BJ1335" t="s">
        <v>2365</v>
      </c>
      <c r="BK1335" t="s">
        <v>2365</v>
      </c>
      <c r="BL1335" t="s">
        <v>2365</v>
      </c>
      <c r="BM1335" t="s">
        <v>2365</v>
      </c>
      <c r="BO1335">
        <v>3</v>
      </c>
      <c r="BP1335">
        <v>31</v>
      </c>
      <c r="BQ1335" t="s">
        <v>2716</v>
      </c>
      <c r="BR1335" t="s">
        <v>1485</v>
      </c>
      <c r="BU1335">
        <v>0</v>
      </c>
      <c r="BV1335">
        <v>0</v>
      </c>
      <c r="BW1335">
        <v>0</v>
      </c>
      <c r="BX1335">
        <v>0</v>
      </c>
      <c r="BY1335">
        <v>0</v>
      </c>
      <c r="BZ1335">
        <v>0</v>
      </c>
      <c r="CA1335">
        <v>0</v>
      </c>
      <c r="CB1335">
        <v>0</v>
      </c>
      <c r="CC1335">
        <v>0</v>
      </c>
      <c r="CD1335">
        <v>0</v>
      </c>
      <c r="CE1335">
        <v>0</v>
      </c>
      <c r="CF1335">
        <v>0</v>
      </c>
      <c r="CG1335">
        <v>0</v>
      </c>
      <c r="CH1335">
        <v>0</v>
      </c>
      <c r="CI1335">
        <v>0</v>
      </c>
      <c r="CJ1335">
        <v>0</v>
      </c>
      <c r="CK1335">
        <v>0</v>
      </c>
      <c r="CL1335">
        <v>0</v>
      </c>
      <c r="CM1335">
        <v>0</v>
      </c>
      <c r="CR1335" t="s">
        <v>2340</v>
      </c>
      <c r="CS1335" s="1369" t="str">
        <f>INDEX([8]Sheet1!$H:$H,MATCH(CR:CR,[8]Sheet1!$AU:$AU,0))</f>
        <v>Disaster Management</v>
      </c>
    </row>
    <row r="1336" spans="1:97" x14ac:dyDescent="0.2">
      <c r="A1336" t="s">
        <v>4355</v>
      </c>
      <c r="B1336">
        <v>1424</v>
      </c>
      <c r="C1336" t="s">
        <v>4355</v>
      </c>
      <c r="D1336">
        <v>41780</v>
      </c>
      <c r="E1336" t="s">
        <v>2508</v>
      </c>
      <c r="F1336">
        <v>2900</v>
      </c>
      <c r="G1336" t="s">
        <v>569</v>
      </c>
      <c r="H1336" t="s">
        <v>2366</v>
      </c>
      <c r="I1336" t="s">
        <v>2366</v>
      </c>
      <c r="J1336">
        <v>2904</v>
      </c>
      <c r="K1336" t="s">
        <v>1432</v>
      </c>
      <c r="L1336">
        <v>1100</v>
      </c>
      <c r="M1336" t="s">
        <v>616</v>
      </c>
      <c r="N1336">
        <v>1120</v>
      </c>
      <c r="O1336" t="s">
        <v>1485</v>
      </c>
      <c r="P1336" t="s">
        <v>2366</v>
      </c>
      <c r="Q1336" t="s">
        <v>2364</v>
      </c>
      <c r="R1336" t="s">
        <v>2364</v>
      </c>
      <c r="S1336" t="s">
        <v>1881</v>
      </c>
      <c r="T1336" t="s">
        <v>1812</v>
      </c>
      <c r="U1336" t="s">
        <v>2365</v>
      </c>
      <c r="V1336" t="s">
        <v>2365</v>
      </c>
      <c r="W1336" t="s">
        <v>2365</v>
      </c>
      <c r="X1336" t="s">
        <v>2365</v>
      </c>
      <c r="Y1336" t="s">
        <v>2365</v>
      </c>
      <c r="Z1336" t="s">
        <v>2365</v>
      </c>
      <c r="AA1336" t="s">
        <v>2365</v>
      </c>
      <c r="AB1336" t="s">
        <v>2365</v>
      </c>
      <c r="AC1336" s="813" t="s">
        <v>2365</v>
      </c>
      <c r="AD1336" s="813" t="s">
        <v>2365</v>
      </c>
      <c r="AE1336" s="813" t="s">
        <v>2365</v>
      </c>
      <c r="AF1336" t="s">
        <v>2365</v>
      </c>
      <c r="AG1336" t="s">
        <v>2365</v>
      </c>
      <c r="AH1336" t="s">
        <v>2365</v>
      </c>
      <c r="AI1336" t="s">
        <v>2365</v>
      </c>
      <c r="AJ1336" t="s">
        <v>2365</v>
      </c>
      <c r="AK1336" t="s">
        <v>2365</v>
      </c>
      <c r="AL1336" t="s">
        <v>2365</v>
      </c>
      <c r="AM1336" t="s">
        <v>2365</v>
      </c>
      <c r="AN1336" t="s">
        <v>2365</v>
      </c>
      <c r="AR1336" t="s">
        <v>2365</v>
      </c>
      <c r="AS1336" t="s">
        <v>2365</v>
      </c>
      <c r="AT1336" t="s">
        <v>2365</v>
      </c>
      <c r="AU1336" t="s">
        <v>2365</v>
      </c>
      <c r="AV1336" t="s">
        <v>2365</v>
      </c>
      <c r="AW1336" t="s">
        <v>2365</v>
      </c>
      <c r="AX1336" t="s">
        <v>2365</v>
      </c>
      <c r="AY1336" t="s">
        <v>2365</v>
      </c>
      <c r="AZ1336" t="s">
        <v>2365</v>
      </c>
      <c r="BA1336" t="s">
        <v>2365</v>
      </c>
      <c r="BB1336" t="s">
        <v>2365</v>
      </c>
      <c r="BC1336" t="s">
        <v>2365</v>
      </c>
      <c r="BD1336" t="s">
        <v>2366</v>
      </c>
      <c r="BE1336" t="s">
        <v>2365</v>
      </c>
      <c r="BF1336" t="s">
        <v>2365</v>
      </c>
      <c r="BG1336" t="s">
        <v>2365</v>
      </c>
      <c r="BH1336" t="s">
        <v>2365</v>
      </c>
      <c r="BI1336" t="s">
        <v>2366</v>
      </c>
      <c r="BJ1336" t="s">
        <v>2365</v>
      </c>
      <c r="BK1336" t="s">
        <v>2365</v>
      </c>
      <c r="BL1336" t="s">
        <v>2365</v>
      </c>
      <c r="BM1336" t="s">
        <v>2365</v>
      </c>
      <c r="BO1336">
        <v>3</v>
      </c>
      <c r="BP1336">
        <v>31</v>
      </c>
      <c r="BQ1336" t="s">
        <v>2716</v>
      </c>
      <c r="BR1336" t="s">
        <v>1485</v>
      </c>
      <c r="BU1336">
        <v>0</v>
      </c>
      <c r="BV1336">
        <v>0</v>
      </c>
      <c r="BW1336">
        <v>0</v>
      </c>
      <c r="BX1336">
        <v>0</v>
      </c>
      <c r="BY1336">
        <v>0</v>
      </c>
      <c r="BZ1336">
        <v>0</v>
      </c>
      <c r="CA1336">
        <v>0</v>
      </c>
      <c r="CB1336">
        <v>0</v>
      </c>
      <c r="CC1336">
        <v>0</v>
      </c>
      <c r="CD1336">
        <v>0</v>
      </c>
      <c r="CE1336">
        <v>0</v>
      </c>
      <c r="CF1336">
        <v>0</v>
      </c>
      <c r="CG1336">
        <v>0</v>
      </c>
      <c r="CH1336">
        <v>0</v>
      </c>
      <c r="CI1336">
        <v>0</v>
      </c>
      <c r="CJ1336">
        <v>0</v>
      </c>
      <c r="CK1336">
        <v>0</v>
      </c>
      <c r="CL1336">
        <v>0</v>
      </c>
      <c r="CM1336">
        <v>0</v>
      </c>
      <c r="CR1336" t="s">
        <v>2340</v>
      </c>
      <c r="CS1336" s="1369" t="str">
        <f>INDEX([8]Sheet1!$H:$H,MATCH(CR:CR,[8]Sheet1!$AU:$AU,0))</f>
        <v>Disaster Management</v>
      </c>
    </row>
    <row r="1337" spans="1:97" x14ac:dyDescent="0.2">
      <c r="A1337" t="s">
        <v>4356</v>
      </c>
      <c r="B1337">
        <v>1425</v>
      </c>
      <c r="C1337" t="s">
        <v>4356</v>
      </c>
      <c r="D1337">
        <v>41781</v>
      </c>
      <c r="E1337" t="s">
        <v>2916</v>
      </c>
      <c r="F1337">
        <v>2900</v>
      </c>
      <c r="G1337" t="s">
        <v>569</v>
      </c>
      <c r="H1337" t="s">
        <v>2366</v>
      </c>
      <c r="I1337" t="s">
        <v>2366</v>
      </c>
      <c r="J1337">
        <v>2904</v>
      </c>
      <c r="K1337" t="s">
        <v>1432</v>
      </c>
      <c r="L1337">
        <v>1100</v>
      </c>
      <c r="M1337" t="s">
        <v>616</v>
      </c>
      <c r="N1337">
        <v>1120</v>
      </c>
      <c r="O1337" t="s">
        <v>1485</v>
      </c>
      <c r="P1337" t="s">
        <v>2366</v>
      </c>
      <c r="Q1337" t="s">
        <v>2364</v>
      </c>
      <c r="R1337" t="s">
        <v>2364</v>
      </c>
      <c r="S1337" t="s">
        <v>1881</v>
      </c>
      <c r="T1337" t="s">
        <v>1812</v>
      </c>
      <c r="U1337" t="s">
        <v>2365</v>
      </c>
      <c r="V1337" t="s">
        <v>2365</v>
      </c>
      <c r="W1337" t="s">
        <v>2365</v>
      </c>
      <c r="X1337" t="s">
        <v>2365</v>
      </c>
      <c r="Y1337" t="s">
        <v>2365</v>
      </c>
      <c r="Z1337" t="s">
        <v>2365</v>
      </c>
      <c r="AA1337" t="s">
        <v>2365</v>
      </c>
      <c r="AB1337" t="s">
        <v>2365</v>
      </c>
      <c r="AC1337" s="813" t="s">
        <v>2365</v>
      </c>
      <c r="AD1337" s="813" t="s">
        <v>2365</v>
      </c>
      <c r="AE1337" s="813" t="s">
        <v>2365</v>
      </c>
      <c r="AF1337" t="s">
        <v>2365</v>
      </c>
      <c r="AG1337" t="s">
        <v>2365</v>
      </c>
      <c r="AH1337" t="s">
        <v>2365</v>
      </c>
      <c r="AI1337" t="s">
        <v>2365</v>
      </c>
      <c r="AJ1337" t="s">
        <v>2365</v>
      </c>
      <c r="AK1337" t="s">
        <v>2365</v>
      </c>
      <c r="AL1337" t="s">
        <v>2365</v>
      </c>
      <c r="AM1337" t="s">
        <v>2365</v>
      </c>
      <c r="AN1337" t="s">
        <v>2365</v>
      </c>
      <c r="AR1337" t="s">
        <v>2365</v>
      </c>
      <c r="AS1337" t="s">
        <v>2365</v>
      </c>
      <c r="AT1337" t="s">
        <v>2365</v>
      </c>
      <c r="AU1337" t="s">
        <v>2365</v>
      </c>
      <c r="AV1337" t="s">
        <v>2365</v>
      </c>
      <c r="AW1337" t="s">
        <v>2365</v>
      </c>
      <c r="AX1337" t="s">
        <v>2365</v>
      </c>
      <c r="AY1337" t="s">
        <v>2365</v>
      </c>
      <c r="AZ1337" t="s">
        <v>2365</v>
      </c>
      <c r="BA1337" t="s">
        <v>2365</v>
      </c>
      <c r="BB1337" t="s">
        <v>2365</v>
      </c>
      <c r="BC1337" t="s">
        <v>2365</v>
      </c>
      <c r="BD1337" t="s">
        <v>2366</v>
      </c>
      <c r="BE1337" t="s">
        <v>2365</v>
      </c>
      <c r="BF1337" t="s">
        <v>2365</v>
      </c>
      <c r="BG1337" t="s">
        <v>2365</v>
      </c>
      <c r="BH1337" t="s">
        <v>2365</v>
      </c>
      <c r="BI1337" t="s">
        <v>2366</v>
      </c>
      <c r="BJ1337" t="s">
        <v>2365</v>
      </c>
      <c r="BK1337" t="s">
        <v>2365</v>
      </c>
      <c r="BL1337" t="s">
        <v>2365</v>
      </c>
      <c r="BM1337" t="s">
        <v>2365</v>
      </c>
      <c r="BO1337">
        <v>3</v>
      </c>
      <c r="BP1337">
        <v>31</v>
      </c>
      <c r="BQ1337" t="s">
        <v>2716</v>
      </c>
      <c r="BR1337" t="s">
        <v>1485</v>
      </c>
      <c r="BU1337">
        <v>0</v>
      </c>
      <c r="BV1337">
        <v>0</v>
      </c>
      <c r="BW1337">
        <v>0</v>
      </c>
      <c r="BX1337">
        <v>0</v>
      </c>
      <c r="BY1337">
        <v>0</v>
      </c>
      <c r="BZ1337">
        <v>0</v>
      </c>
      <c r="CA1337">
        <v>0</v>
      </c>
      <c r="CB1337">
        <v>0</v>
      </c>
      <c r="CC1337">
        <v>0</v>
      </c>
      <c r="CD1337">
        <v>0</v>
      </c>
      <c r="CE1337">
        <v>0</v>
      </c>
      <c r="CF1337">
        <v>0</v>
      </c>
      <c r="CG1337">
        <v>0</v>
      </c>
      <c r="CH1337">
        <v>0</v>
      </c>
      <c r="CI1337">
        <v>0</v>
      </c>
      <c r="CJ1337">
        <v>0</v>
      </c>
      <c r="CK1337">
        <v>0</v>
      </c>
      <c r="CL1337">
        <v>0</v>
      </c>
      <c r="CM1337">
        <v>0</v>
      </c>
      <c r="CR1337" t="s">
        <v>2340</v>
      </c>
      <c r="CS1337" s="1369" t="str">
        <f>INDEX([8]Sheet1!$H:$H,MATCH(CR:CR,[8]Sheet1!$AU:$AU,0))</f>
        <v>Disaster Management</v>
      </c>
    </row>
    <row r="1338" spans="1:97" x14ac:dyDescent="0.2">
      <c r="A1338" t="s">
        <v>4357</v>
      </c>
      <c r="B1338">
        <v>1426</v>
      </c>
      <c r="C1338" t="s">
        <v>4357</v>
      </c>
      <c r="D1338">
        <v>41782</v>
      </c>
      <c r="E1338" t="s">
        <v>3253</v>
      </c>
      <c r="F1338">
        <v>2900</v>
      </c>
      <c r="G1338" t="s">
        <v>569</v>
      </c>
      <c r="H1338" t="s">
        <v>2366</v>
      </c>
      <c r="I1338" t="s">
        <v>2366</v>
      </c>
      <c r="J1338">
        <v>2904</v>
      </c>
      <c r="K1338" t="s">
        <v>1432</v>
      </c>
      <c r="L1338">
        <v>3100</v>
      </c>
      <c r="M1338" t="s">
        <v>624</v>
      </c>
      <c r="N1338">
        <v>3105</v>
      </c>
      <c r="O1338" t="s">
        <v>1534</v>
      </c>
      <c r="P1338" t="s">
        <v>2366</v>
      </c>
      <c r="Q1338" t="s">
        <v>2364</v>
      </c>
      <c r="R1338" t="s">
        <v>2364</v>
      </c>
      <c r="S1338" t="s">
        <v>1881</v>
      </c>
      <c r="T1338" t="s">
        <v>1812</v>
      </c>
      <c r="U1338" t="s">
        <v>2365</v>
      </c>
      <c r="V1338" t="s">
        <v>2365</v>
      </c>
      <c r="W1338" t="s">
        <v>2365</v>
      </c>
      <c r="X1338" t="s">
        <v>2365</v>
      </c>
      <c r="Y1338" t="s">
        <v>2365</v>
      </c>
      <c r="Z1338" t="s">
        <v>2365</v>
      </c>
      <c r="AA1338" t="s">
        <v>2365</v>
      </c>
      <c r="AB1338" t="s">
        <v>2365</v>
      </c>
      <c r="AC1338" s="813" t="s">
        <v>2365</v>
      </c>
      <c r="AD1338" s="813" t="s">
        <v>2365</v>
      </c>
      <c r="AE1338" s="813" t="s">
        <v>2365</v>
      </c>
      <c r="AF1338" t="s">
        <v>2365</v>
      </c>
      <c r="AG1338" t="s">
        <v>2365</v>
      </c>
      <c r="AH1338" t="s">
        <v>2365</v>
      </c>
      <c r="AI1338" t="s">
        <v>2365</v>
      </c>
      <c r="AJ1338" t="s">
        <v>2365</v>
      </c>
      <c r="AK1338" t="s">
        <v>2365</v>
      </c>
      <c r="AL1338" t="s">
        <v>2365</v>
      </c>
      <c r="AM1338" t="s">
        <v>2365</v>
      </c>
      <c r="AN1338" t="s">
        <v>2365</v>
      </c>
      <c r="AR1338" t="s">
        <v>2365</v>
      </c>
      <c r="AS1338" t="s">
        <v>2365</v>
      </c>
      <c r="AT1338" t="s">
        <v>2365</v>
      </c>
      <c r="AU1338" t="s">
        <v>2365</v>
      </c>
      <c r="AV1338" t="s">
        <v>2365</v>
      </c>
      <c r="AW1338" t="s">
        <v>2365</v>
      </c>
      <c r="AX1338" t="s">
        <v>2365</v>
      </c>
      <c r="AY1338" t="s">
        <v>2365</v>
      </c>
      <c r="AZ1338" t="s">
        <v>2365</v>
      </c>
      <c r="BA1338" t="s">
        <v>2365</v>
      </c>
      <c r="BB1338" t="s">
        <v>2365</v>
      </c>
      <c r="BC1338" t="s">
        <v>2365</v>
      </c>
      <c r="BD1338" t="s">
        <v>2366</v>
      </c>
      <c r="BE1338" t="s">
        <v>2365</v>
      </c>
      <c r="BF1338" t="s">
        <v>2365</v>
      </c>
      <c r="BG1338" t="s">
        <v>2365</v>
      </c>
      <c r="BH1338" t="s">
        <v>2365</v>
      </c>
      <c r="BI1338" t="s">
        <v>2366</v>
      </c>
      <c r="BJ1338" t="s">
        <v>2365</v>
      </c>
      <c r="BK1338" t="s">
        <v>2365</v>
      </c>
      <c r="BL1338" t="s">
        <v>2365</v>
      </c>
      <c r="BM1338" t="s">
        <v>2365</v>
      </c>
      <c r="BO1338">
        <v>8</v>
      </c>
      <c r="BP1338">
        <v>83</v>
      </c>
      <c r="BQ1338" t="s">
        <v>2442</v>
      </c>
      <c r="BR1338" t="s">
        <v>1534</v>
      </c>
      <c r="BU1338">
        <v>0</v>
      </c>
      <c r="BV1338">
        <v>0</v>
      </c>
      <c r="BW1338">
        <v>0</v>
      </c>
      <c r="BX1338">
        <v>0</v>
      </c>
      <c r="BY1338">
        <v>0</v>
      </c>
      <c r="BZ1338">
        <v>0</v>
      </c>
      <c r="CA1338">
        <v>0</v>
      </c>
      <c r="CB1338">
        <v>0</v>
      </c>
      <c r="CC1338">
        <v>0</v>
      </c>
      <c r="CD1338">
        <v>0</v>
      </c>
      <c r="CE1338">
        <v>0</v>
      </c>
      <c r="CF1338">
        <v>0</v>
      </c>
      <c r="CG1338">
        <v>0</v>
      </c>
      <c r="CH1338">
        <v>0</v>
      </c>
      <c r="CI1338">
        <v>0</v>
      </c>
      <c r="CJ1338">
        <v>0</v>
      </c>
      <c r="CK1338">
        <v>0</v>
      </c>
      <c r="CL1338">
        <v>0</v>
      </c>
      <c r="CM1338">
        <v>0</v>
      </c>
      <c r="CR1338" t="s">
        <v>2340</v>
      </c>
      <c r="CS1338" s="1369" t="str">
        <f>INDEX([8]Sheet1!$H:$H,MATCH(CR:CR,[8]Sheet1!$AU:$AU,0))</f>
        <v>Disaster Management</v>
      </c>
    </row>
    <row r="1339" spans="1:97" x14ac:dyDescent="0.2">
      <c r="A1339" t="s">
        <v>4358</v>
      </c>
      <c r="B1339">
        <v>1427</v>
      </c>
      <c r="C1339" t="s">
        <v>4358</v>
      </c>
      <c r="D1339">
        <v>41783</v>
      </c>
      <c r="E1339" t="s">
        <v>4359</v>
      </c>
      <c r="F1339">
        <v>1700</v>
      </c>
      <c r="G1339" t="s">
        <v>4360</v>
      </c>
      <c r="H1339">
        <v>1700</v>
      </c>
      <c r="I1339" t="s">
        <v>4360</v>
      </c>
      <c r="J1339" t="s">
        <v>2365</v>
      </c>
      <c r="K1339" t="s">
        <v>2365</v>
      </c>
      <c r="L1339">
        <v>1200</v>
      </c>
      <c r="M1339" t="s">
        <v>1480</v>
      </c>
      <c r="N1339">
        <v>1204</v>
      </c>
      <c r="O1339" t="s">
        <v>1487</v>
      </c>
      <c r="P1339" t="s">
        <v>2366</v>
      </c>
      <c r="Q1339" t="s">
        <v>2364</v>
      </c>
      <c r="R1339" t="s">
        <v>2364</v>
      </c>
      <c r="S1339" t="s">
        <v>553</v>
      </c>
      <c r="T1339" t="s">
        <v>1811</v>
      </c>
      <c r="U1339" t="s">
        <v>2365</v>
      </c>
      <c r="V1339" t="s">
        <v>2365</v>
      </c>
      <c r="W1339" t="s">
        <v>2365</v>
      </c>
      <c r="X1339" t="s">
        <v>2365</v>
      </c>
      <c r="Y1339" t="s">
        <v>2365</v>
      </c>
      <c r="Z1339" t="s">
        <v>2365</v>
      </c>
      <c r="AA1339" t="s">
        <v>2365</v>
      </c>
      <c r="AB1339" t="s">
        <v>2365</v>
      </c>
      <c r="AC1339" s="813" t="s">
        <v>2365</v>
      </c>
      <c r="AD1339" s="813" t="s">
        <v>2365</v>
      </c>
      <c r="AE1339" s="813" t="s">
        <v>2365</v>
      </c>
      <c r="AF1339" t="s">
        <v>2365</v>
      </c>
      <c r="AG1339" t="s">
        <v>2365</v>
      </c>
      <c r="AH1339" t="s">
        <v>2365</v>
      </c>
      <c r="AI1339" t="s">
        <v>2365</v>
      </c>
      <c r="AJ1339" t="s">
        <v>2365</v>
      </c>
      <c r="AK1339" t="s">
        <v>2365</v>
      </c>
      <c r="AL1339" t="s">
        <v>2365</v>
      </c>
      <c r="AM1339" t="s">
        <v>2365</v>
      </c>
      <c r="AN1339" t="s">
        <v>2365</v>
      </c>
      <c r="AR1339" t="s">
        <v>2365</v>
      </c>
      <c r="AS1339" t="s">
        <v>2365</v>
      </c>
      <c r="AT1339" t="s">
        <v>2365</v>
      </c>
      <c r="AU1339" t="s">
        <v>2365</v>
      </c>
      <c r="AV1339" t="s">
        <v>2365</v>
      </c>
      <c r="AW1339" t="s">
        <v>2365</v>
      </c>
      <c r="AX1339" t="s">
        <v>2365</v>
      </c>
      <c r="AY1339" t="s">
        <v>2365</v>
      </c>
      <c r="AZ1339" t="s">
        <v>2365</v>
      </c>
      <c r="BA1339" t="s">
        <v>2365</v>
      </c>
      <c r="BB1339" t="s">
        <v>2365</v>
      </c>
      <c r="BC1339" t="s">
        <v>2365</v>
      </c>
      <c r="BD1339" t="s">
        <v>2366</v>
      </c>
      <c r="BE1339" t="s">
        <v>2365</v>
      </c>
      <c r="BF1339" t="s">
        <v>2365</v>
      </c>
      <c r="BG1339" t="s">
        <v>2365</v>
      </c>
      <c r="BH1339" t="s">
        <v>2365</v>
      </c>
      <c r="BI1339" t="s">
        <v>2366</v>
      </c>
      <c r="BJ1339" t="s">
        <v>2365</v>
      </c>
      <c r="BK1339" t="s">
        <v>2365</v>
      </c>
      <c r="BL1339" t="s">
        <v>2365</v>
      </c>
      <c r="BM1339" t="s">
        <v>2365</v>
      </c>
      <c r="BO1339">
        <v>1</v>
      </c>
      <c r="BP1339">
        <v>11</v>
      </c>
      <c r="BQ1339" t="s">
        <v>2369</v>
      </c>
      <c r="BR1339" t="s">
        <v>1487</v>
      </c>
      <c r="BU1339">
        <v>0</v>
      </c>
      <c r="BV1339">
        <v>0</v>
      </c>
      <c r="BW1339">
        <v>0</v>
      </c>
      <c r="BX1339">
        <v>0</v>
      </c>
      <c r="BY1339">
        <v>0</v>
      </c>
      <c r="BZ1339">
        <v>0</v>
      </c>
      <c r="CA1339">
        <v>0</v>
      </c>
      <c r="CB1339">
        <v>0</v>
      </c>
      <c r="CC1339">
        <v>0</v>
      </c>
      <c r="CD1339">
        <v>0</v>
      </c>
      <c r="CE1339">
        <v>0</v>
      </c>
      <c r="CF1339">
        <v>0</v>
      </c>
      <c r="CG1339">
        <v>0</v>
      </c>
      <c r="CH1339">
        <v>0</v>
      </c>
      <c r="CI1339">
        <v>0</v>
      </c>
      <c r="CJ1339">
        <v>0</v>
      </c>
      <c r="CK1339">
        <v>0</v>
      </c>
      <c r="CL1339">
        <v>0</v>
      </c>
      <c r="CM1339">
        <v>0</v>
      </c>
      <c r="CR1339" t="s">
        <v>2341</v>
      </c>
      <c r="CS1339" s="1369" t="str">
        <f>INDEX([8]Sheet1!$H:$H,MATCH(CR:CR,[8]Sheet1!$AU:$AU,0))</f>
        <v>Recreational Facilities</v>
      </c>
    </row>
    <row r="1340" spans="1:97" x14ac:dyDescent="0.2">
      <c r="A1340" t="s">
        <v>4361</v>
      </c>
      <c r="B1340">
        <v>1428</v>
      </c>
      <c r="C1340" t="s">
        <v>4361</v>
      </c>
      <c r="D1340">
        <v>41784</v>
      </c>
      <c r="E1340" t="s">
        <v>4362</v>
      </c>
      <c r="F1340">
        <v>3000</v>
      </c>
      <c r="G1340" t="s">
        <v>3796</v>
      </c>
      <c r="H1340">
        <v>3000</v>
      </c>
      <c r="I1340" t="s">
        <v>3796</v>
      </c>
      <c r="J1340" t="s">
        <v>2365</v>
      </c>
      <c r="K1340" t="s">
        <v>2365</v>
      </c>
      <c r="L1340">
        <v>1200</v>
      </c>
      <c r="M1340" t="s">
        <v>1480</v>
      </c>
      <c r="N1340">
        <v>1204</v>
      </c>
      <c r="O1340" t="s">
        <v>1487</v>
      </c>
      <c r="P1340" t="s">
        <v>2366</v>
      </c>
      <c r="Q1340" t="s">
        <v>2364</v>
      </c>
      <c r="R1340" t="s">
        <v>2364</v>
      </c>
      <c r="S1340" t="s">
        <v>553</v>
      </c>
      <c r="T1340" t="s">
        <v>1812</v>
      </c>
      <c r="U1340" t="s">
        <v>2365</v>
      </c>
      <c r="V1340" t="s">
        <v>2365</v>
      </c>
      <c r="W1340" t="s">
        <v>2365</v>
      </c>
      <c r="X1340" t="s">
        <v>2365</v>
      </c>
      <c r="Y1340" t="s">
        <v>2365</v>
      </c>
      <c r="Z1340" t="s">
        <v>2365</v>
      </c>
      <c r="AA1340" t="s">
        <v>2365</v>
      </c>
      <c r="AB1340" t="s">
        <v>2365</v>
      </c>
      <c r="AC1340" s="813" t="s">
        <v>2365</v>
      </c>
      <c r="AD1340" s="813" t="s">
        <v>2365</v>
      </c>
      <c r="AE1340" s="813" t="s">
        <v>2365</v>
      </c>
      <c r="AF1340" t="s">
        <v>2365</v>
      </c>
      <c r="AG1340" t="s">
        <v>2365</v>
      </c>
      <c r="AH1340" t="s">
        <v>2365</v>
      </c>
      <c r="AI1340" t="s">
        <v>2365</v>
      </c>
      <c r="AJ1340" t="s">
        <v>2365</v>
      </c>
      <c r="AK1340" t="s">
        <v>2365</v>
      </c>
      <c r="AL1340" t="s">
        <v>2365</v>
      </c>
      <c r="AM1340" t="s">
        <v>2365</v>
      </c>
      <c r="AN1340" t="s">
        <v>2365</v>
      </c>
      <c r="AR1340" t="s">
        <v>2365</v>
      </c>
      <c r="AS1340" t="s">
        <v>2365</v>
      </c>
      <c r="AT1340" t="s">
        <v>2365</v>
      </c>
      <c r="AU1340" t="s">
        <v>2365</v>
      </c>
      <c r="AV1340" t="s">
        <v>2365</v>
      </c>
      <c r="AW1340" t="s">
        <v>2365</v>
      </c>
      <c r="AX1340" t="s">
        <v>2365</v>
      </c>
      <c r="AY1340" t="s">
        <v>2365</v>
      </c>
      <c r="AZ1340" t="s">
        <v>2365</v>
      </c>
      <c r="BA1340" t="s">
        <v>2365</v>
      </c>
      <c r="BB1340" t="s">
        <v>2365</v>
      </c>
      <c r="BC1340" t="s">
        <v>2365</v>
      </c>
      <c r="BD1340" t="s">
        <v>2366</v>
      </c>
      <c r="BE1340" t="s">
        <v>2365</v>
      </c>
      <c r="BF1340" t="s">
        <v>2365</v>
      </c>
      <c r="BG1340" t="s">
        <v>2365</v>
      </c>
      <c r="BH1340" t="s">
        <v>2365</v>
      </c>
      <c r="BI1340" t="s">
        <v>2366</v>
      </c>
      <c r="BJ1340" t="s">
        <v>2365</v>
      </c>
      <c r="BK1340" t="s">
        <v>2365</v>
      </c>
      <c r="BL1340" t="s">
        <v>2365</v>
      </c>
      <c r="BM1340" t="s">
        <v>2365</v>
      </c>
      <c r="BO1340">
        <v>1</v>
      </c>
      <c r="BP1340">
        <v>11</v>
      </c>
      <c r="BQ1340" t="s">
        <v>2369</v>
      </c>
      <c r="BR1340" t="s">
        <v>1487</v>
      </c>
      <c r="BU1340">
        <v>0</v>
      </c>
      <c r="BV1340">
        <v>0</v>
      </c>
      <c r="BW1340">
        <v>0</v>
      </c>
      <c r="BX1340">
        <v>0</v>
      </c>
      <c r="BY1340">
        <v>0</v>
      </c>
      <c r="BZ1340">
        <v>0</v>
      </c>
      <c r="CA1340">
        <v>0</v>
      </c>
      <c r="CB1340">
        <v>0</v>
      </c>
      <c r="CC1340">
        <v>0</v>
      </c>
      <c r="CD1340">
        <v>0</v>
      </c>
      <c r="CE1340">
        <v>0</v>
      </c>
      <c r="CF1340">
        <v>0</v>
      </c>
      <c r="CG1340">
        <v>0</v>
      </c>
      <c r="CH1340">
        <v>0</v>
      </c>
      <c r="CI1340">
        <v>0</v>
      </c>
      <c r="CJ1340">
        <v>0</v>
      </c>
      <c r="CK1340">
        <v>0</v>
      </c>
      <c r="CL1340">
        <v>0</v>
      </c>
      <c r="CM1340">
        <v>0</v>
      </c>
      <c r="CR1340" t="s">
        <v>2341</v>
      </c>
      <c r="CS1340" s="1369" t="str">
        <f>INDEX([8]Sheet1!$H:$H,MATCH(CR:CR,[8]Sheet1!$AU:$AU,0))</f>
        <v>Recreational Facilities</v>
      </c>
    </row>
    <row r="1341" spans="1:97" x14ac:dyDescent="0.2">
      <c r="A1341" t="s">
        <v>4363</v>
      </c>
      <c r="B1341">
        <v>1429</v>
      </c>
      <c r="C1341" t="s">
        <v>4363</v>
      </c>
      <c r="D1341">
        <v>41785</v>
      </c>
      <c r="E1341" t="s">
        <v>2437</v>
      </c>
      <c r="F1341" t="s">
        <v>2364</v>
      </c>
      <c r="G1341" t="s">
        <v>2364</v>
      </c>
      <c r="H1341" t="s">
        <v>2365</v>
      </c>
      <c r="I1341" t="s">
        <v>2365</v>
      </c>
      <c r="J1341" t="s">
        <v>2365</v>
      </c>
      <c r="K1341" t="s">
        <v>2365</v>
      </c>
      <c r="L1341">
        <v>3100</v>
      </c>
      <c r="M1341" t="s">
        <v>624</v>
      </c>
      <c r="N1341">
        <v>3107</v>
      </c>
      <c r="O1341" t="s">
        <v>1536</v>
      </c>
      <c r="P1341" t="s">
        <v>1846</v>
      </c>
      <c r="Q1341">
        <v>2080</v>
      </c>
      <c r="R1341" t="s">
        <v>579</v>
      </c>
      <c r="S1341" t="s">
        <v>552</v>
      </c>
      <c r="T1341" t="s">
        <v>2175</v>
      </c>
      <c r="U1341">
        <v>240</v>
      </c>
      <c r="V1341" t="s">
        <v>2389</v>
      </c>
      <c r="W1341">
        <v>240</v>
      </c>
      <c r="X1341" t="s">
        <v>701</v>
      </c>
      <c r="Y1341" t="s">
        <v>2365</v>
      </c>
      <c r="Z1341" t="s">
        <v>2365</v>
      </c>
      <c r="AA1341" t="s">
        <v>2365</v>
      </c>
      <c r="AB1341" t="s">
        <v>2365</v>
      </c>
      <c r="AC1341" s="813" t="s">
        <v>2365</v>
      </c>
      <c r="AD1341" s="813" t="s">
        <v>2365</v>
      </c>
      <c r="AE1341" s="813" t="s">
        <v>2365</v>
      </c>
      <c r="AF1341" t="s">
        <v>2365</v>
      </c>
      <c r="AG1341" t="s">
        <v>2365</v>
      </c>
      <c r="AH1341" t="s">
        <v>2365</v>
      </c>
      <c r="AI1341" t="s">
        <v>2365</v>
      </c>
      <c r="AJ1341" t="s">
        <v>2365</v>
      </c>
      <c r="AK1341">
        <v>241</v>
      </c>
      <c r="AL1341" t="s">
        <v>1203</v>
      </c>
      <c r="AM1341">
        <v>241</v>
      </c>
      <c r="AN1341" t="s">
        <v>1203</v>
      </c>
      <c r="AR1341">
        <v>1230</v>
      </c>
      <c r="AS1341" t="s">
        <v>1655</v>
      </c>
      <c r="AT1341">
        <v>1230</v>
      </c>
      <c r="AU1341" t="s">
        <v>1655</v>
      </c>
      <c r="AV1341" t="s">
        <v>2365</v>
      </c>
      <c r="AW1341" t="s">
        <v>2365</v>
      </c>
      <c r="AX1341" t="s">
        <v>2365</v>
      </c>
      <c r="AY1341" t="s">
        <v>2365</v>
      </c>
      <c r="AZ1341" t="s">
        <v>2365</v>
      </c>
      <c r="BA1341" t="s">
        <v>2365</v>
      </c>
      <c r="BB1341" t="s">
        <v>2365</v>
      </c>
      <c r="BC1341" t="s">
        <v>2365</v>
      </c>
      <c r="BD1341" t="s">
        <v>2366</v>
      </c>
      <c r="BE1341" t="s">
        <v>2365</v>
      </c>
      <c r="BF1341" t="s">
        <v>2365</v>
      </c>
      <c r="BG1341" t="s">
        <v>2365</v>
      </c>
      <c r="BH1341" t="s">
        <v>2365</v>
      </c>
      <c r="BI1341" t="s">
        <v>2366</v>
      </c>
      <c r="BJ1341" t="s">
        <v>2365</v>
      </c>
      <c r="BK1341" t="s">
        <v>2365</v>
      </c>
      <c r="BL1341" t="s">
        <v>2365</v>
      </c>
      <c r="BM1341" t="s">
        <v>2365</v>
      </c>
      <c r="BO1341">
        <v>8</v>
      </c>
      <c r="BP1341">
        <v>81</v>
      </c>
      <c r="BQ1341" t="s">
        <v>2442</v>
      </c>
      <c r="BR1341" t="s">
        <v>1536</v>
      </c>
      <c r="BU1341">
        <v>0</v>
      </c>
      <c r="BV1341">
        <v>0</v>
      </c>
      <c r="BW1341">
        <v>0</v>
      </c>
      <c r="BX1341">
        <v>0</v>
      </c>
      <c r="BY1341">
        <v>0</v>
      </c>
      <c r="BZ1341">
        <v>0</v>
      </c>
      <c r="CA1341">
        <v>0</v>
      </c>
      <c r="CB1341">
        <v>0</v>
      </c>
      <c r="CC1341">
        <v>0</v>
      </c>
      <c r="CD1341">
        <v>0</v>
      </c>
      <c r="CE1341">
        <v>0</v>
      </c>
      <c r="CF1341">
        <v>0</v>
      </c>
      <c r="CG1341">
        <v>0</v>
      </c>
      <c r="CH1341">
        <v>0</v>
      </c>
      <c r="CI1341">
        <v>0</v>
      </c>
      <c r="CJ1341">
        <v>0</v>
      </c>
      <c r="CK1341">
        <v>0</v>
      </c>
      <c r="CL1341">
        <v>0</v>
      </c>
      <c r="CM1341">
        <v>0</v>
      </c>
      <c r="CR1341" t="s">
        <v>2341</v>
      </c>
      <c r="CS1341" s="1369" t="str">
        <f>INDEX([8]Sheet1!$H:$H,MATCH(CR:CR,[8]Sheet1!$AU:$AU,0))</f>
        <v>Recreational Facilities</v>
      </c>
    </row>
    <row r="1342" spans="1:97" x14ac:dyDescent="0.2">
      <c r="A1342" t="s">
        <v>4364</v>
      </c>
      <c r="B1342">
        <v>1430</v>
      </c>
      <c r="C1342" t="s">
        <v>4364</v>
      </c>
      <c r="D1342">
        <v>41786</v>
      </c>
      <c r="E1342" t="s">
        <v>2483</v>
      </c>
      <c r="F1342">
        <v>2900</v>
      </c>
      <c r="G1342" t="s">
        <v>569</v>
      </c>
      <c r="H1342" t="s">
        <v>2366</v>
      </c>
      <c r="I1342" t="s">
        <v>2366</v>
      </c>
      <c r="J1342">
        <v>2904</v>
      </c>
      <c r="K1342" t="s">
        <v>1432</v>
      </c>
      <c r="L1342">
        <v>1200</v>
      </c>
      <c r="M1342" t="s">
        <v>1480</v>
      </c>
      <c r="N1342">
        <v>1202</v>
      </c>
      <c r="O1342" t="s">
        <v>595</v>
      </c>
      <c r="P1342" t="s">
        <v>2366</v>
      </c>
      <c r="Q1342" t="s">
        <v>2364</v>
      </c>
      <c r="R1342" t="s">
        <v>2364</v>
      </c>
      <c r="S1342" t="s">
        <v>1881</v>
      </c>
      <c r="T1342" t="s">
        <v>1812</v>
      </c>
      <c r="U1342" t="s">
        <v>2365</v>
      </c>
      <c r="V1342" t="s">
        <v>2365</v>
      </c>
      <c r="W1342" t="s">
        <v>2365</v>
      </c>
      <c r="X1342" t="s">
        <v>2365</v>
      </c>
      <c r="Y1342" t="s">
        <v>2365</v>
      </c>
      <c r="Z1342" t="s">
        <v>2365</v>
      </c>
      <c r="AA1342" t="s">
        <v>2365</v>
      </c>
      <c r="AB1342" t="s">
        <v>2365</v>
      </c>
      <c r="AC1342" s="813" t="s">
        <v>2365</v>
      </c>
      <c r="AD1342" s="813" t="s">
        <v>2365</v>
      </c>
      <c r="AE1342" s="813" t="s">
        <v>2365</v>
      </c>
      <c r="AF1342" t="s">
        <v>2365</v>
      </c>
      <c r="AG1342" t="s">
        <v>2365</v>
      </c>
      <c r="AH1342" t="s">
        <v>2365</v>
      </c>
      <c r="AI1342" t="s">
        <v>2365</v>
      </c>
      <c r="AJ1342" t="s">
        <v>2365</v>
      </c>
      <c r="AK1342" t="s">
        <v>2365</v>
      </c>
      <c r="AL1342" t="s">
        <v>2365</v>
      </c>
      <c r="AM1342" t="s">
        <v>2365</v>
      </c>
      <c r="AN1342" t="s">
        <v>2365</v>
      </c>
      <c r="AR1342" t="s">
        <v>2365</v>
      </c>
      <c r="AS1342" t="s">
        <v>2365</v>
      </c>
      <c r="AT1342" t="s">
        <v>2365</v>
      </c>
      <c r="AU1342" t="s">
        <v>2365</v>
      </c>
      <c r="AV1342" t="s">
        <v>2365</v>
      </c>
      <c r="AW1342" t="s">
        <v>2365</v>
      </c>
      <c r="AX1342" t="s">
        <v>2365</v>
      </c>
      <c r="AY1342" t="s">
        <v>2365</v>
      </c>
      <c r="AZ1342" t="s">
        <v>2365</v>
      </c>
      <c r="BA1342" t="s">
        <v>2365</v>
      </c>
      <c r="BB1342" t="s">
        <v>2365</v>
      </c>
      <c r="BC1342" t="s">
        <v>2365</v>
      </c>
      <c r="BD1342" t="s">
        <v>2366</v>
      </c>
      <c r="BE1342" t="s">
        <v>2365</v>
      </c>
      <c r="BF1342" t="s">
        <v>2365</v>
      </c>
      <c r="BG1342" t="s">
        <v>2365</v>
      </c>
      <c r="BH1342" t="s">
        <v>2365</v>
      </c>
      <c r="BI1342" t="s">
        <v>2366</v>
      </c>
      <c r="BJ1342" t="s">
        <v>2365</v>
      </c>
      <c r="BK1342" t="s">
        <v>2365</v>
      </c>
      <c r="BL1342" t="s">
        <v>2365</v>
      </c>
      <c r="BM1342" t="s">
        <v>2365</v>
      </c>
      <c r="BO1342">
        <v>1</v>
      </c>
      <c r="BP1342">
        <v>13</v>
      </c>
      <c r="BQ1342" t="s">
        <v>2369</v>
      </c>
      <c r="BR1342" t="s">
        <v>595</v>
      </c>
      <c r="BU1342">
        <v>0</v>
      </c>
      <c r="BV1342">
        <v>0</v>
      </c>
      <c r="BW1342">
        <v>0</v>
      </c>
      <c r="BX1342">
        <v>0</v>
      </c>
      <c r="BY1342">
        <v>0</v>
      </c>
      <c r="BZ1342">
        <v>0</v>
      </c>
      <c r="CA1342">
        <v>0</v>
      </c>
      <c r="CB1342">
        <v>0</v>
      </c>
      <c r="CC1342">
        <v>0</v>
      </c>
      <c r="CD1342">
        <v>0</v>
      </c>
      <c r="CE1342">
        <v>0</v>
      </c>
      <c r="CF1342">
        <v>0</v>
      </c>
      <c r="CG1342">
        <v>0</v>
      </c>
      <c r="CH1342">
        <v>0</v>
      </c>
      <c r="CI1342">
        <v>0</v>
      </c>
      <c r="CJ1342">
        <v>0</v>
      </c>
      <c r="CK1342">
        <v>0</v>
      </c>
      <c r="CL1342">
        <v>0</v>
      </c>
      <c r="CM1342">
        <v>0</v>
      </c>
      <c r="CR1342" t="s">
        <v>2341</v>
      </c>
      <c r="CS1342" s="1369" t="str">
        <f>INDEX([8]Sheet1!$H:$H,MATCH(CR:CR,[8]Sheet1!$AU:$AU,0))</f>
        <v>Recreational Facilities</v>
      </c>
    </row>
    <row r="1343" spans="1:97" x14ac:dyDescent="0.2">
      <c r="A1343" t="s">
        <v>4365</v>
      </c>
      <c r="B1343">
        <v>1431</v>
      </c>
      <c r="C1343" t="s">
        <v>4365</v>
      </c>
      <c r="D1343">
        <v>41787</v>
      </c>
      <c r="E1343" t="s">
        <v>4180</v>
      </c>
      <c r="F1343" t="s">
        <v>2364</v>
      </c>
      <c r="G1343" t="s">
        <v>2364</v>
      </c>
      <c r="H1343" t="s">
        <v>2365</v>
      </c>
      <c r="I1343" t="s">
        <v>2365</v>
      </c>
      <c r="J1343" t="s">
        <v>2365</v>
      </c>
      <c r="K1343" t="s">
        <v>2365</v>
      </c>
      <c r="L1343">
        <v>1200</v>
      </c>
      <c r="M1343" t="s">
        <v>1480</v>
      </c>
      <c r="N1343">
        <v>1204</v>
      </c>
      <c r="O1343" t="s">
        <v>1487</v>
      </c>
      <c r="P1343" t="s">
        <v>2366</v>
      </c>
      <c r="Q1343" t="s">
        <v>2364</v>
      </c>
      <c r="R1343" t="s">
        <v>2364</v>
      </c>
      <c r="S1343" t="s">
        <v>553</v>
      </c>
      <c r="T1343" t="s">
        <v>2175</v>
      </c>
      <c r="U1343">
        <v>140</v>
      </c>
      <c r="V1343" t="s">
        <v>693</v>
      </c>
      <c r="W1343">
        <v>140</v>
      </c>
      <c r="X1343" t="s">
        <v>693</v>
      </c>
      <c r="Y1343" t="s">
        <v>2365</v>
      </c>
      <c r="Z1343" t="s">
        <v>2365</v>
      </c>
      <c r="AA1343" t="s">
        <v>2365</v>
      </c>
      <c r="AB1343" t="s">
        <v>2365</v>
      </c>
      <c r="AC1343" s="813" t="s">
        <v>2365</v>
      </c>
      <c r="AD1343" s="813" t="s">
        <v>2365</v>
      </c>
      <c r="AE1343" s="813" t="s">
        <v>2365</v>
      </c>
      <c r="AF1343" t="s">
        <v>2365</v>
      </c>
      <c r="AG1343" t="s">
        <v>2365</v>
      </c>
      <c r="AH1343" t="s">
        <v>2365</v>
      </c>
      <c r="AI1343" t="s">
        <v>2365</v>
      </c>
      <c r="AJ1343" t="s">
        <v>2365</v>
      </c>
      <c r="AK1343">
        <v>147</v>
      </c>
      <c r="AL1343" t="s">
        <v>1200</v>
      </c>
      <c r="AM1343">
        <v>147</v>
      </c>
      <c r="AN1343" t="s">
        <v>1200</v>
      </c>
      <c r="AR1343" t="s">
        <v>2365</v>
      </c>
      <c r="AS1343" t="s">
        <v>2365</v>
      </c>
      <c r="AT1343" t="s">
        <v>2365</v>
      </c>
      <c r="AU1343" t="s">
        <v>2365</v>
      </c>
      <c r="AV1343" t="s">
        <v>2365</v>
      </c>
      <c r="AW1343" t="s">
        <v>2365</v>
      </c>
      <c r="AX1343" t="s">
        <v>2365</v>
      </c>
      <c r="AY1343" t="s">
        <v>2365</v>
      </c>
      <c r="AZ1343" t="s">
        <v>2365</v>
      </c>
      <c r="BA1343" t="s">
        <v>2365</v>
      </c>
      <c r="BB1343" t="s">
        <v>2365</v>
      </c>
      <c r="BC1343" t="s">
        <v>2365</v>
      </c>
      <c r="BD1343" t="s">
        <v>2366</v>
      </c>
      <c r="BE1343" t="s">
        <v>2365</v>
      </c>
      <c r="BF1343" t="s">
        <v>2365</v>
      </c>
      <c r="BG1343" t="s">
        <v>2365</v>
      </c>
      <c r="BH1343" t="s">
        <v>2365</v>
      </c>
      <c r="BI1343" t="s">
        <v>2366</v>
      </c>
      <c r="BJ1343" t="s">
        <v>2365</v>
      </c>
      <c r="BK1343" t="s">
        <v>2365</v>
      </c>
      <c r="BL1343" t="s">
        <v>2365</v>
      </c>
      <c r="BM1343" t="s">
        <v>2365</v>
      </c>
      <c r="BO1343">
        <v>1</v>
      </c>
      <c r="BP1343">
        <v>11</v>
      </c>
      <c r="BQ1343" t="s">
        <v>2369</v>
      </c>
      <c r="BR1343" t="s">
        <v>1487</v>
      </c>
      <c r="BU1343">
        <v>0</v>
      </c>
      <c r="BV1343">
        <v>0</v>
      </c>
      <c r="BW1343">
        <v>0</v>
      </c>
      <c r="BX1343">
        <v>0</v>
      </c>
      <c r="BY1343">
        <v>0</v>
      </c>
      <c r="BZ1343">
        <v>0</v>
      </c>
      <c r="CA1343">
        <v>0</v>
      </c>
      <c r="CB1343">
        <v>0</v>
      </c>
      <c r="CC1343">
        <v>0</v>
      </c>
      <c r="CD1343">
        <v>0</v>
      </c>
      <c r="CE1343">
        <v>0</v>
      </c>
      <c r="CF1343">
        <v>0</v>
      </c>
      <c r="CG1343">
        <v>0</v>
      </c>
      <c r="CH1343">
        <v>0</v>
      </c>
      <c r="CI1343">
        <v>0</v>
      </c>
      <c r="CJ1343">
        <v>0</v>
      </c>
      <c r="CK1343">
        <v>0</v>
      </c>
      <c r="CL1343">
        <v>0</v>
      </c>
      <c r="CM1343">
        <v>0</v>
      </c>
      <c r="CR1343" t="s">
        <v>2341</v>
      </c>
      <c r="CS1343" s="1369" t="str">
        <f>INDEX([8]Sheet1!$H:$H,MATCH(CR:CR,[8]Sheet1!$AU:$AU,0))</f>
        <v>Recreational Facilities</v>
      </c>
    </row>
    <row r="1344" spans="1:97" x14ac:dyDescent="0.2">
      <c r="A1344" t="s">
        <v>4366</v>
      </c>
      <c r="B1344">
        <v>1432</v>
      </c>
      <c r="C1344" t="s">
        <v>4366</v>
      </c>
      <c r="D1344">
        <v>41788</v>
      </c>
      <c r="E1344" t="s">
        <v>4367</v>
      </c>
      <c r="F1344" t="s">
        <v>2364</v>
      </c>
      <c r="G1344" t="s">
        <v>2364</v>
      </c>
      <c r="H1344" s="1373" t="s">
        <v>2365</v>
      </c>
      <c r="I1344" t="s">
        <v>2365</v>
      </c>
      <c r="J1344" t="s">
        <v>2365</v>
      </c>
      <c r="K1344" t="s">
        <v>2365</v>
      </c>
      <c r="L1344" s="1373">
        <v>1200</v>
      </c>
      <c r="M1344" t="s">
        <v>1480</v>
      </c>
      <c r="N1344">
        <v>1204</v>
      </c>
      <c r="O1344" t="s">
        <v>1487</v>
      </c>
      <c r="P1344" t="s">
        <v>2366</v>
      </c>
      <c r="Q1344" t="s">
        <v>2364</v>
      </c>
      <c r="R1344" t="s">
        <v>2364</v>
      </c>
      <c r="S1344" t="s">
        <v>553</v>
      </c>
      <c r="T1344" t="s">
        <v>2175</v>
      </c>
      <c r="U1344">
        <v>150</v>
      </c>
      <c r="V1344" t="s">
        <v>694</v>
      </c>
      <c r="W1344">
        <v>150</v>
      </c>
      <c r="X1344" t="s">
        <v>694</v>
      </c>
      <c r="Y1344" t="s">
        <v>2365</v>
      </c>
      <c r="Z1344" t="s">
        <v>2365</v>
      </c>
      <c r="AA1344" t="s">
        <v>2365</v>
      </c>
      <c r="AB1344" t="s">
        <v>2365</v>
      </c>
      <c r="AC1344" s="813" t="s">
        <v>2365</v>
      </c>
      <c r="AD1344" s="813" t="s">
        <v>2365</v>
      </c>
      <c r="AE1344" s="813" t="s">
        <v>2365</v>
      </c>
      <c r="AF1344" t="s">
        <v>2365</v>
      </c>
      <c r="AG1344" t="s">
        <v>2365</v>
      </c>
      <c r="AH1344" t="s">
        <v>2365</v>
      </c>
      <c r="AI1344" t="s">
        <v>2365</v>
      </c>
      <c r="AJ1344" t="s">
        <v>2365</v>
      </c>
      <c r="AK1344" t="s">
        <v>2365</v>
      </c>
      <c r="AL1344" t="s">
        <v>2365</v>
      </c>
      <c r="AM1344" t="s">
        <v>2365</v>
      </c>
      <c r="AN1344" t="s">
        <v>2365</v>
      </c>
      <c r="AR1344" t="s">
        <v>2365</v>
      </c>
      <c r="AS1344" t="s">
        <v>2365</v>
      </c>
      <c r="AT1344" t="s">
        <v>2365</v>
      </c>
      <c r="AU1344" t="s">
        <v>2365</v>
      </c>
      <c r="AV1344" t="s">
        <v>2365</v>
      </c>
      <c r="AW1344" t="s">
        <v>2365</v>
      </c>
      <c r="AX1344" t="s">
        <v>2365</v>
      </c>
      <c r="AY1344" t="s">
        <v>2365</v>
      </c>
      <c r="AZ1344" t="s">
        <v>2365</v>
      </c>
      <c r="BA1344" t="s">
        <v>2365</v>
      </c>
      <c r="BB1344" t="s">
        <v>2365</v>
      </c>
      <c r="BC1344" t="s">
        <v>2365</v>
      </c>
      <c r="BD1344" t="s">
        <v>2366</v>
      </c>
      <c r="BE1344" t="s">
        <v>2365</v>
      </c>
      <c r="BF1344" t="s">
        <v>2365</v>
      </c>
      <c r="BG1344" t="s">
        <v>2365</v>
      </c>
      <c r="BH1344" t="s">
        <v>2365</v>
      </c>
      <c r="BI1344" t="s">
        <v>2366</v>
      </c>
      <c r="BJ1344" t="s">
        <v>2365</v>
      </c>
      <c r="BK1344" t="s">
        <v>2365</v>
      </c>
      <c r="BL1344" t="s">
        <v>2365</v>
      </c>
      <c r="BM1344" t="s">
        <v>2365</v>
      </c>
      <c r="BO1344">
        <v>1</v>
      </c>
      <c r="BP1344">
        <v>11</v>
      </c>
      <c r="BQ1344" t="s">
        <v>2369</v>
      </c>
      <c r="BR1344" t="s">
        <v>1487</v>
      </c>
      <c r="BU1344" s="1371">
        <v>0</v>
      </c>
      <c r="BV1344" s="1371">
        <v>0</v>
      </c>
      <c r="BW1344" s="1371">
        <v>0</v>
      </c>
      <c r="BX1344" s="1371">
        <v>0</v>
      </c>
      <c r="BY1344" s="1371">
        <v>0</v>
      </c>
      <c r="BZ1344">
        <v>0</v>
      </c>
      <c r="CA1344">
        <v>0</v>
      </c>
      <c r="CB1344">
        <v>0</v>
      </c>
      <c r="CC1344">
        <v>0</v>
      </c>
      <c r="CD1344">
        <v>0</v>
      </c>
      <c r="CE1344">
        <v>0</v>
      </c>
      <c r="CF1344">
        <v>0</v>
      </c>
      <c r="CG1344">
        <v>0</v>
      </c>
      <c r="CH1344">
        <v>0</v>
      </c>
      <c r="CI1344">
        <v>0</v>
      </c>
      <c r="CJ1344">
        <v>0</v>
      </c>
      <c r="CK1344">
        <v>0</v>
      </c>
      <c r="CL1344">
        <v>0</v>
      </c>
      <c r="CM1344">
        <v>0</v>
      </c>
      <c r="CR1344" t="s">
        <v>2328</v>
      </c>
      <c r="CS1344" s="1369" t="str">
        <f>INDEX([8]Sheet1!$H:$H,MATCH(CR:CR,[8]Sheet1!$AU:$AU,0))</f>
        <v>Water Distribution</v>
      </c>
    </row>
    <row r="1345" spans="1:97" x14ac:dyDescent="0.2">
      <c r="A1345" t="s">
        <v>4368</v>
      </c>
      <c r="B1345">
        <v>1433</v>
      </c>
      <c r="C1345" t="s">
        <v>4368</v>
      </c>
      <c r="D1345">
        <v>41789</v>
      </c>
      <c r="E1345" t="s">
        <v>4369</v>
      </c>
      <c r="F1345" t="s">
        <v>2364</v>
      </c>
      <c r="G1345" t="s">
        <v>2364</v>
      </c>
      <c r="H1345" t="s">
        <v>2365</v>
      </c>
      <c r="I1345" t="s">
        <v>2365</v>
      </c>
      <c r="J1345" t="s">
        <v>2365</v>
      </c>
      <c r="K1345" t="s">
        <v>2365</v>
      </c>
      <c r="L1345">
        <v>1200</v>
      </c>
      <c r="M1345" t="s">
        <v>1480</v>
      </c>
      <c r="N1345">
        <v>1204</v>
      </c>
      <c r="O1345" t="s">
        <v>1487</v>
      </c>
      <c r="P1345" t="s">
        <v>2366</v>
      </c>
      <c r="Q1345" t="s">
        <v>2364</v>
      </c>
      <c r="R1345" t="s">
        <v>2364</v>
      </c>
      <c r="S1345" t="s">
        <v>553</v>
      </c>
      <c r="T1345" t="s">
        <v>2175</v>
      </c>
      <c r="U1345">
        <v>160</v>
      </c>
      <c r="V1345" t="s">
        <v>695</v>
      </c>
      <c r="W1345">
        <v>160</v>
      </c>
      <c r="X1345" t="s">
        <v>695</v>
      </c>
      <c r="Y1345" t="s">
        <v>2365</v>
      </c>
      <c r="Z1345" t="s">
        <v>2365</v>
      </c>
      <c r="AA1345" t="s">
        <v>2365</v>
      </c>
      <c r="AB1345" t="s">
        <v>2365</v>
      </c>
      <c r="AC1345" s="813" t="s">
        <v>2365</v>
      </c>
      <c r="AD1345" s="813" t="s">
        <v>2365</v>
      </c>
      <c r="AE1345" s="813" t="s">
        <v>2365</v>
      </c>
      <c r="AF1345" t="s">
        <v>2365</v>
      </c>
      <c r="AG1345" t="s">
        <v>2365</v>
      </c>
      <c r="AH1345" t="s">
        <v>2365</v>
      </c>
      <c r="AI1345" t="s">
        <v>2365</v>
      </c>
      <c r="AJ1345" t="s">
        <v>2365</v>
      </c>
      <c r="AK1345" t="s">
        <v>2365</v>
      </c>
      <c r="AL1345" t="s">
        <v>2365</v>
      </c>
      <c r="AM1345" t="s">
        <v>2365</v>
      </c>
      <c r="AN1345" t="s">
        <v>2365</v>
      </c>
      <c r="AR1345" t="s">
        <v>2365</v>
      </c>
      <c r="AS1345" t="s">
        <v>2365</v>
      </c>
      <c r="AT1345" t="s">
        <v>2365</v>
      </c>
      <c r="AU1345" t="s">
        <v>2365</v>
      </c>
      <c r="AV1345" t="s">
        <v>2365</v>
      </c>
      <c r="AW1345" t="s">
        <v>2365</v>
      </c>
      <c r="AX1345" t="s">
        <v>2365</v>
      </c>
      <c r="AY1345" t="s">
        <v>2365</v>
      </c>
      <c r="AZ1345" t="s">
        <v>2365</v>
      </c>
      <c r="BA1345" t="s">
        <v>2365</v>
      </c>
      <c r="BB1345" t="s">
        <v>2365</v>
      </c>
      <c r="BC1345" t="s">
        <v>2365</v>
      </c>
      <c r="BD1345" t="s">
        <v>2366</v>
      </c>
      <c r="BE1345" t="s">
        <v>2365</v>
      </c>
      <c r="BF1345" t="s">
        <v>2365</v>
      </c>
      <c r="BG1345" t="s">
        <v>2365</v>
      </c>
      <c r="BH1345" t="s">
        <v>2365</v>
      </c>
      <c r="BI1345" t="s">
        <v>2366</v>
      </c>
      <c r="BJ1345" t="s">
        <v>2365</v>
      </c>
      <c r="BK1345" t="s">
        <v>2365</v>
      </c>
      <c r="BL1345" t="s">
        <v>2365</v>
      </c>
      <c r="BM1345" t="s">
        <v>2365</v>
      </c>
      <c r="BO1345">
        <v>1</v>
      </c>
      <c r="BP1345">
        <v>11</v>
      </c>
      <c r="BQ1345" t="s">
        <v>2369</v>
      </c>
      <c r="BR1345" t="s">
        <v>1487</v>
      </c>
      <c r="BU1345">
        <v>0</v>
      </c>
      <c r="BV1345">
        <v>0</v>
      </c>
      <c r="BW1345">
        <v>0</v>
      </c>
      <c r="BX1345">
        <v>0</v>
      </c>
      <c r="BY1345">
        <v>0</v>
      </c>
      <c r="BZ1345">
        <v>0</v>
      </c>
      <c r="CA1345">
        <v>0</v>
      </c>
      <c r="CB1345">
        <v>0</v>
      </c>
      <c r="CC1345">
        <v>0</v>
      </c>
      <c r="CD1345">
        <v>0</v>
      </c>
      <c r="CE1345">
        <v>0</v>
      </c>
      <c r="CF1345">
        <v>0</v>
      </c>
      <c r="CG1345">
        <v>0</v>
      </c>
      <c r="CH1345">
        <v>0</v>
      </c>
      <c r="CI1345">
        <v>0</v>
      </c>
      <c r="CJ1345">
        <v>0</v>
      </c>
      <c r="CK1345">
        <v>0</v>
      </c>
      <c r="CL1345">
        <v>0</v>
      </c>
      <c r="CM1345">
        <v>0</v>
      </c>
      <c r="CR1345" t="s">
        <v>2328</v>
      </c>
      <c r="CS1345" s="1369" t="str">
        <f>INDEX([8]Sheet1!$H:$H,MATCH(CR:CR,[8]Sheet1!$AU:$AU,0))</f>
        <v>Water Distribution</v>
      </c>
    </row>
    <row r="1346" spans="1:97" x14ac:dyDescent="0.2">
      <c r="A1346" t="s">
        <v>4370</v>
      </c>
      <c r="B1346">
        <v>1434</v>
      </c>
      <c r="C1346" t="s">
        <v>4370</v>
      </c>
      <c r="D1346">
        <v>41790</v>
      </c>
      <c r="E1346" t="s">
        <v>4371</v>
      </c>
      <c r="F1346" t="s">
        <v>2364</v>
      </c>
      <c r="G1346" t="s">
        <v>2364</v>
      </c>
      <c r="H1346" t="s">
        <v>2365</v>
      </c>
      <c r="I1346" t="s">
        <v>2365</v>
      </c>
      <c r="J1346" t="s">
        <v>2365</v>
      </c>
      <c r="K1346" t="s">
        <v>2365</v>
      </c>
      <c r="L1346">
        <v>1200</v>
      </c>
      <c r="M1346" t="s">
        <v>1480</v>
      </c>
      <c r="N1346">
        <v>1204</v>
      </c>
      <c r="O1346" t="s">
        <v>1487</v>
      </c>
      <c r="P1346" t="s">
        <v>2366</v>
      </c>
      <c r="Q1346" t="s">
        <v>2364</v>
      </c>
      <c r="R1346" t="s">
        <v>2364</v>
      </c>
      <c r="S1346" t="s">
        <v>553</v>
      </c>
      <c r="T1346" t="s">
        <v>2175</v>
      </c>
      <c r="U1346">
        <v>130</v>
      </c>
      <c r="V1346" t="s">
        <v>2652</v>
      </c>
      <c r="W1346">
        <v>130</v>
      </c>
      <c r="X1346" t="s">
        <v>2652</v>
      </c>
      <c r="Y1346" t="s">
        <v>2365</v>
      </c>
      <c r="Z1346" t="s">
        <v>2365</v>
      </c>
      <c r="AA1346" t="s">
        <v>2365</v>
      </c>
      <c r="AB1346" t="s">
        <v>2365</v>
      </c>
      <c r="AC1346" s="813" t="s">
        <v>2365</v>
      </c>
      <c r="AD1346" s="813" t="s">
        <v>2365</v>
      </c>
      <c r="AE1346" s="813" t="s">
        <v>2365</v>
      </c>
      <c r="AF1346" t="s">
        <v>2365</v>
      </c>
      <c r="AG1346" t="s">
        <v>2365</v>
      </c>
      <c r="AH1346" t="s">
        <v>2365</v>
      </c>
      <c r="AI1346" t="s">
        <v>2365</v>
      </c>
      <c r="AJ1346" t="s">
        <v>2365</v>
      </c>
      <c r="AK1346" t="s">
        <v>2365</v>
      </c>
      <c r="AL1346" t="s">
        <v>2365</v>
      </c>
      <c r="AM1346" t="s">
        <v>2365</v>
      </c>
      <c r="AN1346" t="s">
        <v>2365</v>
      </c>
      <c r="AQ1346" t="s">
        <v>553</v>
      </c>
      <c r="AR1346" t="s">
        <v>2365</v>
      </c>
      <c r="AS1346" t="s">
        <v>2365</v>
      </c>
      <c r="AT1346" t="s">
        <v>2365</v>
      </c>
      <c r="AU1346" t="s">
        <v>2365</v>
      </c>
      <c r="AV1346" t="s">
        <v>2365</v>
      </c>
      <c r="AW1346" t="s">
        <v>2365</v>
      </c>
      <c r="AX1346" t="s">
        <v>2365</v>
      </c>
      <c r="AY1346" t="s">
        <v>2365</v>
      </c>
      <c r="AZ1346" t="s">
        <v>2365</v>
      </c>
      <c r="BA1346" t="s">
        <v>2365</v>
      </c>
      <c r="BB1346" t="s">
        <v>2365</v>
      </c>
      <c r="BC1346" t="s">
        <v>2365</v>
      </c>
      <c r="BD1346" t="s">
        <v>2366</v>
      </c>
      <c r="BE1346" t="s">
        <v>2365</v>
      </c>
      <c r="BF1346" t="s">
        <v>2365</v>
      </c>
      <c r="BG1346" t="s">
        <v>2365</v>
      </c>
      <c r="BH1346" t="s">
        <v>2365</v>
      </c>
      <c r="BI1346" t="s">
        <v>2366</v>
      </c>
      <c r="BJ1346" t="s">
        <v>2365</v>
      </c>
      <c r="BK1346" t="s">
        <v>2365</v>
      </c>
      <c r="BL1346" t="s">
        <v>2365</v>
      </c>
      <c r="BM1346" t="s">
        <v>2365</v>
      </c>
      <c r="BO1346">
        <v>1</v>
      </c>
      <c r="BP1346">
        <v>11</v>
      </c>
      <c r="BQ1346" t="s">
        <v>2369</v>
      </c>
      <c r="BR1346" t="s">
        <v>1487</v>
      </c>
      <c r="BS1346">
        <v>8</v>
      </c>
      <c r="BU1346">
        <v>0</v>
      </c>
      <c r="BV1346">
        <v>0</v>
      </c>
      <c r="BW1346">
        <v>0</v>
      </c>
      <c r="BX1346">
        <v>0</v>
      </c>
      <c r="BY1346">
        <v>0</v>
      </c>
      <c r="BZ1346">
        <v>0</v>
      </c>
      <c r="CA1346">
        <v>0</v>
      </c>
      <c r="CB1346">
        <v>0</v>
      </c>
      <c r="CC1346">
        <v>0</v>
      </c>
      <c r="CD1346">
        <v>0</v>
      </c>
      <c r="CE1346">
        <v>0</v>
      </c>
      <c r="CF1346">
        <v>0</v>
      </c>
      <c r="CG1346">
        <v>0</v>
      </c>
      <c r="CH1346">
        <v>0</v>
      </c>
      <c r="CI1346">
        <v>0</v>
      </c>
      <c r="CJ1346">
        <v>0</v>
      </c>
      <c r="CK1346">
        <v>0</v>
      </c>
      <c r="CL1346">
        <v>0</v>
      </c>
      <c r="CM1346">
        <v>0</v>
      </c>
      <c r="CR1346" t="s">
        <v>2324</v>
      </c>
      <c r="CS1346" s="1369" t="str">
        <f>INDEX([8]Sheet1!$H:$H,MATCH(CR:CR,[8]Sheet1!$AU:$AU,0))</f>
        <v>Finance</v>
      </c>
    </row>
    <row r="1347" spans="1:97" x14ac:dyDescent="0.2">
      <c r="A1347" s="1175" t="s">
        <v>4372</v>
      </c>
      <c r="B1347">
        <v>1435</v>
      </c>
      <c r="C1347" t="s">
        <v>4372</v>
      </c>
      <c r="D1347">
        <v>41791</v>
      </c>
      <c r="E1347" t="s">
        <v>4373</v>
      </c>
      <c r="F1347" t="s">
        <v>2364</v>
      </c>
      <c r="G1347" t="s">
        <v>2364</v>
      </c>
      <c r="H1347" t="s">
        <v>2365</v>
      </c>
      <c r="I1347" t="s">
        <v>2365</v>
      </c>
      <c r="J1347" t="s">
        <v>2365</v>
      </c>
      <c r="K1347" t="s">
        <v>2365</v>
      </c>
      <c r="L1347">
        <v>1200</v>
      </c>
      <c r="M1347" t="s">
        <v>1480</v>
      </c>
      <c r="N1347">
        <v>1204</v>
      </c>
      <c r="O1347" t="s">
        <v>1487</v>
      </c>
      <c r="P1347" t="s">
        <v>2366</v>
      </c>
      <c r="Q1347" t="s">
        <v>2364</v>
      </c>
      <c r="R1347" t="s">
        <v>2364</v>
      </c>
      <c r="S1347" t="s">
        <v>553</v>
      </c>
      <c r="T1347" t="s">
        <v>2175</v>
      </c>
      <c r="U1347">
        <v>120</v>
      </c>
      <c r="V1347" t="s">
        <v>691</v>
      </c>
      <c r="W1347">
        <v>120</v>
      </c>
      <c r="X1347" t="s">
        <v>691</v>
      </c>
      <c r="Y1347" t="s">
        <v>2365</v>
      </c>
      <c r="Z1347" t="s">
        <v>2365</v>
      </c>
      <c r="AA1347" t="s">
        <v>2365</v>
      </c>
      <c r="AB1347" t="s">
        <v>2365</v>
      </c>
      <c r="AC1347" s="813" t="s">
        <v>2365</v>
      </c>
      <c r="AD1347" s="813" t="s">
        <v>2365</v>
      </c>
      <c r="AE1347" s="813" t="s">
        <v>2365</v>
      </c>
      <c r="AF1347" t="s">
        <v>2365</v>
      </c>
      <c r="AG1347" t="s">
        <v>2365</v>
      </c>
      <c r="AH1347" t="s">
        <v>2365</v>
      </c>
      <c r="AI1347" t="s">
        <v>2365</v>
      </c>
      <c r="AJ1347" t="s">
        <v>2365</v>
      </c>
      <c r="AK1347" t="s">
        <v>2365</v>
      </c>
      <c r="AL1347" t="s">
        <v>2365</v>
      </c>
      <c r="AM1347" t="s">
        <v>2365</v>
      </c>
      <c r="AN1347" t="s">
        <v>2365</v>
      </c>
      <c r="AR1347" t="s">
        <v>2365</v>
      </c>
      <c r="AS1347" t="s">
        <v>2365</v>
      </c>
      <c r="AT1347" t="s">
        <v>2365</v>
      </c>
      <c r="AU1347" t="s">
        <v>2365</v>
      </c>
      <c r="AV1347" t="s">
        <v>2365</v>
      </c>
      <c r="AW1347" t="s">
        <v>2365</v>
      </c>
      <c r="AX1347" t="s">
        <v>2365</v>
      </c>
      <c r="AY1347" t="s">
        <v>2365</v>
      </c>
      <c r="AZ1347" t="s">
        <v>2365</v>
      </c>
      <c r="BA1347" t="s">
        <v>2365</v>
      </c>
      <c r="BB1347" t="s">
        <v>2365</v>
      </c>
      <c r="BC1347" t="s">
        <v>2365</v>
      </c>
      <c r="BD1347" t="s">
        <v>2366</v>
      </c>
      <c r="BE1347" t="s">
        <v>2365</v>
      </c>
      <c r="BF1347" t="s">
        <v>2365</v>
      </c>
      <c r="BG1347" t="s">
        <v>2365</v>
      </c>
      <c r="BH1347" t="s">
        <v>2365</v>
      </c>
      <c r="BI1347" t="s">
        <v>2366</v>
      </c>
      <c r="BJ1347" t="s">
        <v>2365</v>
      </c>
      <c r="BK1347" t="s">
        <v>2365</v>
      </c>
      <c r="BL1347" t="s">
        <v>2365</v>
      </c>
      <c r="BM1347" t="s">
        <v>2365</v>
      </c>
      <c r="BO1347">
        <v>1</v>
      </c>
      <c r="BP1347">
        <v>11</v>
      </c>
      <c r="BQ1347" t="s">
        <v>2369</v>
      </c>
      <c r="BR1347" t="s">
        <v>1487</v>
      </c>
      <c r="BU1347">
        <v>0</v>
      </c>
      <c r="BV1347">
        <v>0</v>
      </c>
      <c r="BW1347">
        <v>0</v>
      </c>
      <c r="BX1347">
        <v>0</v>
      </c>
      <c r="BY1347">
        <v>0</v>
      </c>
      <c r="BZ1347">
        <v>0</v>
      </c>
      <c r="CA1347">
        <v>0</v>
      </c>
      <c r="CB1347">
        <v>0</v>
      </c>
      <c r="CC1347">
        <v>0</v>
      </c>
      <c r="CD1347">
        <v>0</v>
      </c>
      <c r="CE1347">
        <v>0</v>
      </c>
      <c r="CF1347">
        <v>0</v>
      </c>
      <c r="CG1347">
        <v>0</v>
      </c>
      <c r="CH1347">
        <v>0</v>
      </c>
      <c r="CI1347">
        <v>0</v>
      </c>
      <c r="CJ1347">
        <v>0</v>
      </c>
      <c r="CK1347">
        <v>0</v>
      </c>
      <c r="CL1347">
        <v>0</v>
      </c>
      <c r="CM1347">
        <v>0</v>
      </c>
      <c r="CR1347" t="s">
        <v>2327</v>
      </c>
      <c r="CS1347" s="1369" t="str">
        <f>INDEX([8]Sheet1!$H:$H,MATCH(CR:CR,[8]Sheet1!$AU:$AU,0))</f>
        <v>Education</v>
      </c>
    </row>
    <row r="1348" spans="1:97" x14ac:dyDescent="0.2">
      <c r="A1348" t="s">
        <v>4374</v>
      </c>
      <c r="B1348">
        <v>1436</v>
      </c>
      <c r="C1348" t="s">
        <v>4374</v>
      </c>
      <c r="D1348">
        <v>51791</v>
      </c>
      <c r="E1348" t="s">
        <v>4375</v>
      </c>
      <c r="F1348" t="s">
        <v>2364</v>
      </c>
      <c r="G1348" t="s">
        <v>2364</v>
      </c>
      <c r="H1348" t="s">
        <v>2365</v>
      </c>
      <c r="I1348" t="s">
        <v>2365</v>
      </c>
      <c r="J1348" t="s">
        <v>2365</v>
      </c>
      <c r="K1348" t="s">
        <v>2365</v>
      </c>
      <c r="L1348">
        <v>1200</v>
      </c>
      <c r="M1348" t="s">
        <v>1480</v>
      </c>
      <c r="N1348">
        <v>1204</v>
      </c>
      <c r="O1348" t="s">
        <v>1487</v>
      </c>
      <c r="P1348" t="s">
        <v>2366</v>
      </c>
      <c r="Q1348" t="s">
        <v>2364</v>
      </c>
      <c r="R1348" t="s">
        <v>2364</v>
      </c>
      <c r="S1348" t="s">
        <v>553</v>
      </c>
      <c r="T1348" t="s">
        <v>4376</v>
      </c>
      <c r="U1348">
        <v>460</v>
      </c>
      <c r="V1348" t="s">
        <v>4377</v>
      </c>
      <c r="W1348">
        <v>460</v>
      </c>
      <c r="X1348" t="s">
        <v>717</v>
      </c>
      <c r="Y1348" t="s">
        <v>2365</v>
      </c>
      <c r="Z1348" t="s">
        <v>2365</v>
      </c>
      <c r="AA1348" t="s">
        <v>2365</v>
      </c>
      <c r="AB1348" t="s">
        <v>2365</v>
      </c>
      <c r="AC1348" s="813" t="s">
        <v>2365</v>
      </c>
      <c r="AD1348" s="813" t="s">
        <v>2365</v>
      </c>
      <c r="AE1348" s="813" t="s">
        <v>2365</v>
      </c>
      <c r="AF1348" t="s">
        <v>2365</v>
      </c>
      <c r="AG1348" t="s">
        <v>2365</v>
      </c>
      <c r="AH1348" t="s">
        <v>2365</v>
      </c>
      <c r="AI1348" t="s">
        <v>2365</v>
      </c>
      <c r="AJ1348" t="s">
        <v>2365</v>
      </c>
      <c r="AK1348">
        <v>464</v>
      </c>
      <c r="AL1348" t="s">
        <v>4378</v>
      </c>
      <c r="AM1348">
        <v>464</v>
      </c>
      <c r="AN1348" t="s">
        <v>4378</v>
      </c>
      <c r="AR1348" t="s">
        <v>2365</v>
      </c>
      <c r="AS1348" t="s">
        <v>2365</v>
      </c>
      <c r="AT1348" t="s">
        <v>2365</v>
      </c>
      <c r="AU1348" t="s">
        <v>2365</v>
      </c>
      <c r="AV1348" t="s">
        <v>2365</v>
      </c>
      <c r="AW1348" t="s">
        <v>2365</v>
      </c>
      <c r="AX1348" t="s">
        <v>2365</v>
      </c>
      <c r="AY1348" t="s">
        <v>2365</v>
      </c>
      <c r="AZ1348" t="s">
        <v>2365</v>
      </c>
      <c r="BA1348" t="s">
        <v>2365</v>
      </c>
      <c r="BB1348" t="s">
        <v>2365</v>
      </c>
      <c r="BC1348" t="s">
        <v>2365</v>
      </c>
      <c r="BD1348" t="s">
        <v>2366</v>
      </c>
      <c r="BE1348" t="s">
        <v>2365</v>
      </c>
      <c r="BF1348" t="s">
        <v>2365</v>
      </c>
      <c r="BG1348" t="s">
        <v>2365</v>
      </c>
      <c r="BH1348" t="s">
        <v>2365</v>
      </c>
      <c r="BI1348" t="s">
        <v>2366</v>
      </c>
      <c r="BJ1348" t="s">
        <v>2365</v>
      </c>
      <c r="BK1348" t="s">
        <v>2365</v>
      </c>
      <c r="BL1348" t="s">
        <v>2365</v>
      </c>
      <c r="BM1348" t="s">
        <v>2365</v>
      </c>
      <c r="BO1348">
        <v>1</v>
      </c>
      <c r="BP1348">
        <v>11</v>
      </c>
      <c r="BQ1348" t="s">
        <v>2369</v>
      </c>
      <c r="BR1348" t="s">
        <v>1487</v>
      </c>
      <c r="BU1348">
        <v>-237489800</v>
      </c>
      <c r="BV1348">
        <v>6244235</v>
      </c>
      <c r="BW1348">
        <v>-243734035</v>
      </c>
      <c r="BX1348">
        <v>-243734035</v>
      </c>
      <c r="BY1348">
        <v>0</v>
      </c>
      <c r="BZ1348">
        <v>0</v>
      </c>
      <c r="CA1348">
        <v>0</v>
      </c>
      <c r="CB1348">
        <v>0</v>
      </c>
      <c r="CC1348">
        <v>0</v>
      </c>
      <c r="CD1348">
        <v>0</v>
      </c>
      <c r="CE1348">
        <v>0</v>
      </c>
      <c r="CF1348">
        <v>0</v>
      </c>
      <c r="CG1348">
        <v>0</v>
      </c>
      <c r="CH1348">
        <v>0</v>
      </c>
      <c r="CI1348">
        <v>0</v>
      </c>
      <c r="CJ1348">
        <v>0</v>
      </c>
      <c r="CK1348">
        <v>0</v>
      </c>
      <c r="CL1348">
        <v>0</v>
      </c>
      <c r="CM1348">
        <v>0</v>
      </c>
      <c r="CR1348" t="s">
        <v>2320</v>
      </c>
      <c r="CS1348" s="1369" t="str">
        <f>INDEX([8]Sheet1!$H:$H,MATCH(CR:CR,[8]Sheet1!$AU:$AU,0))</f>
        <v>Administrative and Corporate Support</v>
      </c>
    </row>
    <row r="1349" spans="1:97" x14ac:dyDescent="0.2">
      <c r="A1349" t="s">
        <v>4379</v>
      </c>
      <c r="B1349">
        <v>1437</v>
      </c>
      <c r="C1349" t="s">
        <v>4379</v>
      </c>
      <c r="D1349">
        <v>51792</v>
      </c>
      <c r="E1349" t="s">
        <v>4380</v>
      </c>
      <c r="F1349" t="s">
        <v>2364</v>
      </c>
      <c r="G1349" t="s">
        <v>2364</v>
      </c>
      <c r="H1349" t="s">
        <v>2365</v>
      </c>
      <c r="I1349" t="s">
        <v>2365</v>
      </c>
      <c r="J1349" t="s">
        <v>2365</v>
      </c>
      <c r="K1349" t="s">
        <v>2365</v>
      </c>
      <c r="L1349">
        <v>1200</v>
      </c>
      <c r="M1349" t="s">
        <v>1480</v>
      </c>
      <c r="N1349">
        <v>1204</v>
      </c>
      <c r="O1349" t="s">
        <v>1487</v>
      </c>
      <c r="P1349" t="s">
        <v>2366</v>
      </c>
      <c r="Q1349" t="s">
        <v>2364</v>
      </c>
      <c r="R1349" t="s">
        <v>2364</v>
      </c>
      <c r="S1349" t="s">
        <v>553</v>
      </c>
      <c r="T1349" t="s">
        <v>2367</v>
      </c>
      <c r="U1349">
        <v>410</v>
      </c>
      <c r="V1349" t="s">
        <v>4381</v>
      </c>
      <c r="W1349">
        <v>410</v>
      </c>
      <c r="X1349" t="s">
        <v>712</v>
      </c>
      <c r="Y1349" t="s">
        <v>2365</v>
      </c>
      <c r="Z1349" t="s">
        <v>2365</v>
      </c>
      <c r="AA1349" t="s">
        <v>2365</v>
      </c>
      <c r="AB1349" t="s">
        <v>2365</v>
      </c>
      <c r="AC1349" s="813" t="s">
        <v>2365</v>
      </c>
      <c r="AD1349" s="813" t="s">
        <v>2365</v>
      </c>
      <c r="AE1349" s="813" t="s">
        <v>2365</v>
      </c>
      <c r="AF1349" t="s">
        <v>2365</v>
      </c>
      <c r="AG1349" t="s">
        <v>2365</v>
      </c>
      <c r="AH1349" t="s">
        <v>2365</v>
      </c>
      <c r="AI1349" t="s">
        <v>2365</v>
      </c>
      <c r="AJ1349" t="s">
        <v>2365</v>
      </c>
      <c r="AK1349">
        <v>411</v>
      </c>
      <c r="AL1349" t="s">
        <v>1213</v>
      </c>
      <c r="AM1349">
        <v>411</v>
      </c>
      <c r="AN1349" t="s">
        <v>1213</v>
      </c>
      <c r="AR1349" t="s">
        <v>2365</v>
      </c>
      <c r="AS1349" t="s">
        <v>2365</v>
      </c>
      <c r="AT1349" t="s">
        <v>2365</v>
      </c>
      <c r="AU1349" t="s">
        <v>2365</v>
      </c>
      <c r="AV1349" t="s">
        <v>2365</v>
      </c>
      <c r="AW1349" t="s">
        <v>2365</v>
      </c>
      <c r="AX1349" t="s">
        <v>2365</v>
      </c>
      <c r="AY1349" t="s">
        <v>2365</v>
      </c>
      <c r="AZ1349" t="s">
        <v>2365</v>
      </c>
      <c r="BA1349" t="s">
        <v>2365</v>
      </c>
      <c r="BB1349" t="s">
        <v>2365</v>
      </c>
      <c r="BC1349" t="s">
        <v>2365</v>
      </c>
      <c r="BD1349" t="s">
        <v>2366</v>
      </c>
      <c r="BE1349" t="s">
        <v>2365</v>
      </c>
      <c r="BF1349" t="s">
        <v>2365</v>
      </c>
      <c r="BG1349" t="s">
        <v>2365</v>
      </c>
      <c r="BH1349" t="s">
        <v>2365</v>
      </c>
      <c r="BI1349" t="s">
        <v>2366</v>
      </c>
      <c r="BJ1349" t="s">
        <v>2365</v>
      </c>
      <c r="BK1349" t="s">
        <v>2365</v>
      </c>
      <c r="BL1349" t="s">
        <v>2365</v>
      </c>
      <c r="BM1349" t="s">
        <v>2365</v>
      </c>
      <c r="BO1349">
        <v>1</v>
      </c>
      <c r="BP1349">
        <v>11</v>
      </c>
      <c r="BQ1349" t="s">
        <v>2369</v>
      </c>
      <c r="BR1349" t="s">
        <v>1487</v>
      </c>
      <c r="BU1349">
        <v>0</v>
      </c>
      <c r="BV1349">
        <v>0</v>
      </c>
      <c r="BW1349">
        <v>0</v>
      </c>
      <c r="BX1349">
        <v>0</v>
      </c>
      <c r="BY1349">
        <v>0</v>
      </c>
      <c r="BZ1349">
        <v>0</v>
      </c>
      <c r="CA1349">
        <v>0</v>
      </c>
      <c r="CB1349">
        <v>0</v>
      </c>
      <c r="CC1349">
        <v>0</v>
      </c>
      <c r="CD1349">
        <v>0</v>
      </c>
      <c r="CE1349">
        <v>0</v>
      </c>
      <c r="CF1349">
        <v>0</v>
      </c>
      <c r="CG1349">
        <v>0</v>
      </c>
      <c r="CH1349">
        <v>0</v>
      </c>
      <c r="CI1349">
        <v>0</v>
      </c>
      <c r="CJ1349">
        <v>0</v>
      </c>
      <c r="CK1349">
        <v>0</v>
      </c>
      <c r="CL1349">
        <v>0</v>
      </c>
      <c r="CM1349">
        <v>0</v>
      </c>
      <c r="CR1349" t="s">
        <v>2327</v>
      </c>
      <c r="CS1349" s="1369" t="str">
        <f>INDEX([8]Sheet1!$H:$H,MATCH(CR:CR,[8]Sheet1!$AU:$AU,0))</f>
        <v>Education</v>
      </c>
    </row>
    <row r="1350" spans="1:97" x14ac:dyDescent="0.2">
      <c r="A1350" t="s">
        <v>4382</v>
      </c>
      <c r="B1350">
        <v>1438</v>
      </c>
      <c r="C1350" t="s">
        <v>4382</v>
      </c>
      <c r="D1350">
        <v>51793</v>
      </c>
      <c r="E1350" t="s">
        <v>4383</v>
      </c>
      <c r="F1350" t="s">
        <v>2364</v>
      </c>
      <c r="G1350" t="s">
        <v>2364</v>
      </c>
      <c r="H1350" t="s">
        <v>2365</v>
      </c>
      <c r="I1350" t="s">
        <v>2365</v>
      </c>
      <c r="J1350" t="s">
        <v>2365</v>
      </c>
      <c r="K1350" t="s">
        <v>2365</v>
      </c>
      <c r="L1350">
        <v>1200</v>
      </c>
      <c r="M1350" t="s">
        <v>1480</v>
      </c>
      <c r="N1350">
        <v>1204</v>
      </c>
      <c r="O1350" t="s">
        <v>1487</v>
      </c>
      <c r="P1350" t="s">
        <v>2366</v>
      </c>
      <c r="Q1350" t="s">
        <v>2364</v>
      </c>
      <c r="R1350" t="s">
        <v>2364</v>
      </c>
      <c r="S1350" t="s">
        <v>553</v>
      </c>
      <c r="T1350" t="s">
        <v>2367</v>
      </c>
      <c r="U1350">
        <v>400</v>
      </c>
      <c r="V1350" t="s">
        <v>4384</v>
      </c>
      <c r="W1350">
        <v>400</v>
      </c>
      <c r="X1350" t="s">
        <v>4385</v>
      </c>
      <c r="Y1350" t="s">
        <v>2365</v>
      </c>
      <c r="Z1350" t="s">
        <v>2365</v>
      </c>
      <c r="AA1350" t="s">
        <v>2365</v>
      </c>
      <c r="AB1350" t="s">
        <v>2365</v>
      </c>
      <c r="AC1350" s="813" t="s">
        <v>2365</v>
      </c>
      <c r="AD1350" s="813" t="s">
        <v>2365</v>
      </c>
      <c r="AE1350" s="813" t="s">
        <v>2365</v>
      </c>
      <c r="AF1350" t="s">
        <v>2365</v>
      </c>
      <c r="AG1350" t="s">
        <v>2365</v>
      </c>
      <c r="AH1350" t="s">
        <v>2365</v>
      </c>
      <c r="AI1350" t="s">
        <v>2365</v>
      </c>
      <c r="AJ1350" t="s">
        <v>2365</v>
      </c>
      <c r="AK1350">
        <v>402</v>
      </c>
      <c r="AL1350" t="s">
        <v>1211</v>
      </c>
      <c r="AM1350">
        <v>402</v>
      </c>
      <c r="AN1350" t="s">
        <v>1211</v>
      </c>
      <c r="AR1350" t="s">
        <v>2365</v>
      </c>
      <c r="AS1350" t="s">
        <v>2365</v>
      </c>
      <c r="AT1350" t="s">
        <v>2365</v>
      </c>
      <c r="AU1350" t="s">
        <v>2365</v>
      </c>
      <c r="AV1350" t="s">
        <v>2365</v>
      </c>
      <c r="AW1350" t="s">
        <v>2365</v>
      </c>
      <c r="AX1350" t="s">
        <v>2365</v>
      </c>
      <c r="AY1350" t="s">
        <v>2365</v>
      </c>
      <c r="AZ1350" t="s">
        <v>2365</v>
      </c>
      <c r="BA1350" t="s">
        <v>2365</v>
      </c>
      <c r="BB1350" t="s">
        <v>2365</v>
      </c>
      <c r="BC1350" t="s">
        <v>2365</v>
      </c>
      <c r="BD1350" t="s">
        <v>2366</v>
      </c>
      <c r="BE1350" t="s">
        <v>2365</v>
      </c>
      <c r="BF1350" t="s">
        <v>2365</v>
      </c>
      <c r="BG1350" t="s">
        <v>2365</v>
      </c>
      <c r="BH1350" t="s">
        <v>2365</v>
      </c>
      <c r="BI1350" t="s">
        <v>2366</v>
      </c>
      <c r="BJ1350" t="s">
        <v>2365</v>
      </c>
      <c r="BK1350" t="s">
        <v>2365</v>
      </c>
      <c r="BL1350" t="s">
        <v>2365</v>
      </c>
      <c r="BM1350" t="s">
        <v>2365</v>
      </c>
      <c r="BO1350">
        <v>1</v>
      </c>
      <c r="BP1350">
        <v>11</v>
      </c>
      <c r="BQ1350" t="s">
        <v>2369</v>
      </c>
      <c r="BR1350" t="s">
        <v>1487</v>
      </c>
      <c r="BT1350">
        <v>6</v>
      </c>
      <c r="BU1350">
        <v>0</v>
      </c>
      <c r="BV1350">
        <v>0</v>
      </c>
      <c r="BW1350">
        <v>0</v>
      </c>
      <c r="BX1350">
        <v>0</v>
      </c>
      <c r="BY1350">
        <v>0</v>
      </c>
      <c r="BZ1350">
        <v>0</v>
      </c>
      <c r="CA1350">
        <v>0</v>
      </c>
      <c r="CB1350">
        <v>0</v>
      </c>
      <c r="CC1350">
        <v>0</v>
      </c>
      <c r="CD1350">
        <v>0</v>
      </c>
      <c r="CE1350">
        <v>0</v>
      </c>
      <c r="CF1350">
        <v>0</v>
      </c>
      <c r="CG1350">
        <v>0</v>
      </c>
      <c r="CH1350">
        <v>0</v>
      </c>
      <c r="CI1350">
        <v>0</v>
      </c>
      <c r="CJ1350">
        <v>0</v>
      </c>
      <c r="CK1350">
        <v>0</v>
      </c>
      <c r="CL1350">
        <v>0</v>
      </c>
      <c r="CM1350">
        <v>0</v>
      </c>
      <c r="CR1350" t="s">
        <v>2327</v>
      </c>
      <c r="CS1350" s="1369" t="str">
        <f>INDEX([8]Sheet1!$H:$H,MATCH(CR:CR,[8]Sheet1!$AU:$AU,0))</f>
        <v>Education</v>
      </c>
    </row>
    <row r="1351" spans="1:97" x14ac:dyDescent="0.2">
      <c r="A1351" t="s">
        <v>4386</v>
      </c>
      <c r="B1351">
        <v>1439</v>
      </c>
      <c r="C1351" t="s">
        <v>4386</v>
      </c>
      <c r="D1351">
        <v>51794</v>
      </c>
      <c r="E1351" t="s">
        <v>4387</v>
      </c>
      <c r="F1351" t="s">
        <v>2364</v>
      </c>
      <c r="G1351" t="s">
        <v>2364</v>
      </c>
      <c r="H1351" t="s">
        <v>2365</v>
      </c>
      <c r="I1351" t="s">
        <v>2365</v>
      </c>
      <c r="J1351" t="s">
        <v>2365</v>
      </c>
      <c r="K1351" t="s">
        <v>2365</v>
      </c>
      <c r="L1351">
        <v>1200</v>
      </c>
      <c r="M1351" t="s">
        <v>1480</v>
      </c>
      <c r="N1351">
        <v>1204</v>
      </c>
      <c r="O1351" t="s">
        <v>1487</v>
      </c>
      <c r="P1351" t="s">
        <v>2366</v>
      </c>
      <c r="Q1351" t="s">
        <v>2364</v>
      </c>
      <c r="R1351" t="s">
        <v>2364</v>
      </c>
      <c r="S1351" t="s">
        <v>553</v>
      </c>
      <c r="T1351" t="s">
        <v>2175</v>
      </c>
      <c r="U1351">
        <v>150</v>
      </c>
      <c r="V1351" t="s">
        <v>694</v>
      </c>
      <c r="W1351">
        <v>150</v>
      </c>
      <c r="X1351" t="s">
        <v>694</v>
      </c>
      <c r="Y1351" t="s">
        <v>2365</v>
      </c>
      <c r="Z1351" t="s">
        <v>2365</v>
      </c>
      <c r="AA1351" t="s">
        <v>2365</v>
      </c>
      <c r="AB1351" t="s">
        <v>2365</v>
      </c>
      <c r="AC1351" s="813" t="s">
        <v>2365</v>
      </c>
      <c r="AD1351" s="813" t="s">
        <v>2365</v>
      </c>
      <c r="AE1351" s="813" t="s">
        <v>2365</v>
      </c>
      <c r="AF1351" t="s">
        <v>2365</v>
      </c>
      <c r="AG1351" t="s">
        <v>2365</v>
      </c>
      <c r="AH1351" t="s">
        <v>2365</v>
      </c>
      <c r="AI1351" t="s">
        <v>2365</v>
      </c>
      <c r="AJ1351" t="s">
        <v>2365</v>
      </c>
      <c r="AK1351" t="s">
        <v>2365</v>
      </c>
      <c r="AL1351" t="s">
        <v>2365</v>
      </c>
      <c r="AM1351" t="s">
        <v>2365</v>
      </c>
      <c r="AN1351" t="s">
        <v>2365</v>
      </c>
      <c r="AR1351" t="s">
        <v>2365</v>
      </c>
      <c r="AS1351" t="s">
        <v>2365</v>
      </c>
      <c r="AT1351" t="s">
        <v>2365</v>
      </c>
      <c r="AU1351" t="s">
        <v>2365</v>
      </c>
      <c r="AV1351" t="s">
        <v>2365</v>
      </c>
      <c r="AW1351" t="s">
        <v>2365</v>
      </c>
      <c r="AX1351" t="s">
        <v>2365</v>
      </c>
      <c r="AY1351" t="s">
        <v>2365</v>
      </c>
      <c r="AZ1351" t="s">
        <v>2365</v>
      </c>
      <c r="BA1351" t="s">
        <v>2365</v>
      </c>
      <c r="BB1351" t="s">
        <v>2365</v>
      </c>
      <c r="BC1351" t="s">
        <v>2365</v>
      </c>
      <c r="BD1351" t="s">
        <v>2366</v>
      </c>
      <c r="BE1351" t="s">
        <v>2365</v>
      </c>
      <c r="BF1351" t="s">
        <v>2365</v>
      </c>
      <c r="BG1351" t="s">
        <v>2365</v>
      </c>
      <c r="BH1351" t="s">
        <v>2365</v>
      </c>
      <c r="BI1351" t="s">
        <v>2366</v>
      </c>
      <c r="BJ1351" t="s">
        <v>2365</v>
      </c>
      <c r="BK1351" t="s">
        <v>2365</v>
      </c>
      <c r="BL1351" t="s">
        <v>2365</v>
      </c>
      <c r="BM1351" t="s">
        <v>2365</v>
      </c>
      <c r="BO1351">
        <v>1</v>
      </c>
      <c r="BP1351">
        <v>11</v>
      </c>
      <c r="BQ1351" t="s">
        <v>2369</v>
      </c>
      <c r="BR1351" t="s">
        <v>1487</v>
      </c>
      <c r="BU1351">
        <v>0</v>
      </c>
      <c r="BV1351">
        <v>0</v>
      </c>
      <c r="BW1351">
        <v>0</v>
      </c>
      <c r="BX1351">
        <v>0</v>
      </c>
      <c r="BY1351">
        <v>0</v>
      </c>
      <c r="BZ1351">
        <v>0</v>
      </c>
      <c r="CA1351">
        <v>0</v>
      </c>
      <c r="CB1351">
        <v>9400</v>
      </c>
      <c r="CC1351">
        <v>0</v>
      </c>
      <c r="CD1351">
        <v>15800</v>
      </c>
      <c r="CE1351">
        <v>7900</v>
      </c>
      <c r="CF1351">
        <v>7900</v>
      </c>
      <c r="CG1351">
        <v>7900</v>
      </c>
      <c r="CH1351">
        <v>7900</v>
      </c>
      <c r="CI1351">
        <v>0</v>
      </c>
      <c r="CJ1351">
        <v>0</v>
      </c>
      <c r="CK1351">
        <v>0</v>
      </c>
      <c r="CL1351">
        <v>0</v>
      </c>
      <c r="CM1351">
        <v>0</v>
      </c>
      <c r="CR1351" t="s">
        <v>2327</v>
      </c>
      <c r="CS1351" s="1369" t="str">
        <f>INDEX([8]Sheet1!$H:$H,MATCH(CR:CR,[8]Sheet1!$AU:$AU,0))</f>
        <v>Education</v>
      </c>
    </row>
    <row r="1352" spans="1:97" x14ac:dyDescent="0.2">
      <c r="A1352" t="s">
        <v>4388</v>
      </c>
      <c r="B1352">
        <v>1440</v>
      </c>
      <c r="C1352" t="s">
        <v>4388</v>
      </c>
      <c r="D1352">
        <v>51795</v>
      </c>
      <c r="E1352" t="s">
        <v>4389</v>
      </c>
      <c r="F1352" t="s">
        <v>2364</v>
      </c>
      <c r="G1352" t="s">
        <v>2364</v>
      </c>
      <c r="H1352" t="s">
        <v>2365</v>
      </c>
      <c r="I1352" t="s">
        <v>2365</v>
      </c>
      <c r="J1352" t="s">
        <v>2365</v>
      </c>
      <c r="K1352" t="s">
        <v>2365</v>
      </c>
      <c r="L1352">
        <v>1200</v>
      </c>
      <c r="M1352" t="s">
        <v>1480</v>
      </c>
      <c r="N1352">
        <v>1204</v>
      </c>
      <c r="O1352" t="s">
        <v>1487</v>
      </c>
      <c r="P1352" t="s">
        <v>2366</v>
      </c>
      <c r="Q1352" t="s">
        <v>2364</v>
      </c>
      <c r="R1352" t="s">
        <v>2364</v>
      </c>
      <c r="S1352" t="s">
        <v>553</v>
      </c>
      <c r="T1352" t="s">
        <v>2175</v>
      </c>
      <c r="U1352">
        <v>150</v>
      </c>
      <c r="V1352" t="s">
        <v>694</v>
      </c>
      <c r="W1352">
        <v>150</v>
      </c>
      <c r="X1352" t="s">
        <v>694</v>
      </c>
      <c r="Y1352" t="s">
        <v>2365</v>
      </c>
      <c r="Z1352" t="s">
        <v>2365</v>
      </c>
      <c r="AA1352" t="s">
        <v>2365</v>
      </c>
      <c r="AB1352" t="s">
        <v>2365</v>
      </c>
      <c r="AC1352" s="813" t="s">
        <v>2365</v>
      </c>
      <c r="AD1352" s="813" t="s">
        <v>2365</v>
      </c>
      <c r="AE1352" s="813" t="s">
        <v>2365</v>
      </c>
      <c r="AF1352" t="s">
        <v>2365</v>
      </c>
      <c r="AG1352" t="s">
        <v>2365</v>
      </c>
      <c r="AH1352" t="s">
        <v>2365</v>
      </c>
      <c r="AI1352" t="s">
        <v>2365</v>
      </c>
      <c r="AJ1352" t="s">
        <v>2365</v>
      </c>
      <c r="AK1352" t="s">
        <v>2365</v>
      </c>
      <c r="AL1352" t="s">
        <v>2365</v>
      </c>
      <c r="AM1352" t="s">
        <v>2365</v>
      </c>
      <c r="AN1352" t="s">
        <v>2365</v>
      </c>
      <c r="AR1352" t="s">
        <v>2365</v>
      </c>
      <c r="AS1352" t="s">
        <v>2365</v>
      </c>
      <c r="AT1352" t="s">
        <v>2365</v>
      </c>
      <c r="AU1352" t="s">
        <v>2365</v>
      </c>
      <c r="AV1352" t="s">
        <v>2365</v>
      </c>
      <c r="AW1352" t="s">
        <v>2365</v>
      </c>
      <c r="AX1352" t="s">
        <v>2365</v>
      </c>
      <c r="AY1352" t="s">
        <v>2365</v>
      </c>
      <c r="AZ1352" t="s">
        <v>2365</v>
      </c>
      <c r="BA1352" t="s">
        <v>2365</v>
      </c>
      <c r="BB1352" t="s">
        <v>2365</v>
      </c>
      <c r="BC1352" t="s">
        <v>2365</v>
      </c>
      <c r="BD1352" t="s">
        <v>2366</v>
      </c>
      <c r="BE1352" t="s">
        <v>2365</v>
      </c>
      <c r="BF1352" t="s">
        <v>2365</v>
      </c>
      <c r="BG1352" t="s">
        <v>2365</v>
      </c>
      <c r="BH1352" t="s">
        <v>2365</v>
      </c>
      <c r="BI1352" t="s">
        <v>2366</v>
      </c>
      <c r="BJ1352" t="s">
        <v>2365</v>
      </c>
      <c r="BK1352" t="s">
        <v>2365</v>
      </c>
      <c r="BL1352" t="s">
        <v>2365</v>
      </c>
      <c r="BM1352" t="s">
        <v>2365</v>
      </c>
      <c r="BO1352">
        <v>1</v>
      </c>
      <c r="BP1352">
        <v>11</v>
      </c>
      <c r="BQ1352" t="s">
        <v>2369</v>
      </c>
      <c r="BR1352" t="s">
        <v>1487</v>
      </c>
      <c r="BU1352">
        <v>0</v>
      </c>
      <c r="BV1352">
        <v>0</v>
      </c>
      <c r="BW1352">
        <v>0</v>
      </c>
      <c r="BX1352">
        <v>0</v>
      </c>
      <c r="BY1352">
        <v>0</v>
      </c>
      <c r="BZ1352">
        <v>0</v>
      </c>
      <c r="CA1352">
        <v>0</v>
      </c>
      <c r="CB1352">
        <v>0</v>
      </c>
      <c r="CC1352">
        <v>10398.14</v>
      </c>
      <c r="CD1352">
        <v>5151.95</v>
      </c>
      <c r="CE1352">
        <v>5151.95</v>
      </c>
      <c r="CF1352">
        <v>5131.2</v>
      </c>
      <c r="CG1352">
        <v>5131.2</v>
      </c>
      <c r="CH1352">
        <v>6708.12</v>
      </c>
      <c r="CI1352">
        <v>0</v>
      </c>
      <c r="CJ1352">
        <v>0</v>
      </c>
      <c r="CK1352">
        <v>0</v>
      </c>
      <c r="CL1352">
        <v>0</v>
      </c>
      <c r="CM1352">
        <v>0</v>
      </c>
      <c r="CR1352" t="s">
        <v>2327</v>
      </c>
      <c r="CS1352" s="1369" t="str">
        <f>INDEX([8]Sheet1!$H:$H,MATCH(CR:CR,[8]Sheet1!$AU:$AU,0))</f>
        <v>Education</v>
      </c>
    </row>
    <row r="1353" spans="1:97" x14ac:dyDescent="0.2">
      <c r="A1353" t="s">
        <v>4390</v>
      </c>
      <c r="B1353">
        <v>1441</v>
      </c>
      <c r="C1353" t="s">
        <v>4390</v>
      </c>
      <c r="D1353">
        <v>51796</v>
      </c>
      <c r="E1353" t="s">
        <v>4391</v>
      </c>
      <c r="F1353" t="s">
        <v>2364</v>
      </c>
      <c r="G1353" t="s">
        <v>2364</v>
      </c>
      <c r="H1353" t="s">
        <v>2365</v>
      </c>
      <c r="I1353" t="s">
        <v>2365</v>
      </c>
      <c r="J1353" t="s">
        <v>2365</v>
      </c>
      <c r="K1353" t="s">
        <v>2365</v>
      </c>
      <c r="L1353">
        <v>1200</v>
      </c>
      <c r="M1353" t="s">
        <v>1480</v>
      </c>
      <c r="N1353">
        <v>1204</v>
      </c>
      <c r="O1353" t="s">
        <v>1487</v>
      </c>
      <c r="P1353" t="s">
        <v>2366</v>
      </c>
      <c r="Q1353" t="s">
        <v>2364</v>
      </c>
      <c r="R1353" t="s">
        <v>2364</v>
      </c>
      <c r="S1353" t="s">
        <v>553</v>
      </c>
      <c r="T1353" t="s">
        <v>2367</v>
      </c>
      <c r="U1353">
        <v>360</v>
      </c>
      <c r="V1353" t="s">
        <v>2368</v>
      </c>
      <c r="W1353">
        <v>360</v>
      </c>
      <c r="X1353" t="s">
        <v>711</v>
      </c>
      <c r="Y1353" t="s">
        <v>2365</v>
      </c>
      <c r="Z1353" t="s">
        <v>2365</v>
      </c>
      <c r="AA1353" t="s">
        <v>2365</v>
      </c>
      <c r="AB1353" t="s">
        <v>2365</v>
      </c>
      <c r="AC1353" s="813" t="s">
        <v>2365</v>
      </c>
      <c r="AD1353" s="813" t="s">
        <v>2365</v>
      </c>
      <c r="AE1353" s="813" t="s">
        <v>2365</v>
      </c>
      <c r="AF1353" t="s">
        <v>2365</v>
      </c>
      <c r="AG1353" t="s">
        <v>2365</v>
      </c>
      <c r="AH1353" t="s">
        <v>2365</v>
      </c>
      <c r="AI1353" t="s">
        <v>2365</v>
      </c>
      <c r="AJ1353" t="s">
        <v>2365</v>
      </c>
      <c r="AK1353">
        <v>363</v>
      </c>
      <c r="AL1353" t="s">
        <v>748</v>
      </c>
      <c r="AM1353">
        <v>363</v>
      </c>
      <c r="AN1353" t="s">
        <v>748</v>
      </c>
      <c r="AR1353" t="s">
        <v>2365</v>
      </c>
      <c r="AS1353" t="s">
        <v>2365</v>
      </c>
      <c r="AT1353" t="s">
        <v>2365</v>
      </c>
      <c r="AU1353" t="s">
        <v>2365</v>
      </c>
      <c r="AV1353" t="s">
        <v>2365</v>
      </c>
      <c r="AW1353" t="s">
        <v>2365</v>
      </c>
      <c r="AX1353" t="s">
        <v>2365</v>
      </c>
      <c r="AY1353" t="s">
        <v>2365</v>
      </c>
      <c r="AZ1353" t="s">
        <v>2365</v>
      </c>
      <c r="BA1353" t="s">
        <v>2365</v>
      </c>
      <c r="BB1353" t="s">
        <v>2365</v>
      </c>
      <c r="BC1353" t="s">
        <v>2365</v>
      </c>
      <c r="BD1353" t="s">
        <v>2366</v>
      </c>
      <c r="BE1353" t="s">
        <v>2365</v>
      </c>
      <c r="BF1353" t="s">
        <v>2365</v>
      </c>
      <c r="BG1353" t="s">
        <v>2365</v>
      </c>
      <c r="BH1353" t="s">
        <v>2365</v>
      </c>
      <c r="BI1353" t="s">
        <v>2366</v>
      </c>
      <c r="BJ1353" t="s">
        <v>2365</v>
      </c>
      <c r="BK1353" t="s">
        <v>2365</v>
      </c>
      <c r="BL1353" t="s">
        <v>2365</v>
      </c>
      <c r="BM1353" t="s">
        <v>2365</v>
      </c>
      <c r="BO1353">
        <v>1</v>
      </c>
      <c r="BP1353">
        <v>11</v>
      </c>
      <c r="BQ1353" t="s">
        <v>2369</v>
      </c>
      <c r="BR1353" t="s">
        <v>1487</v>
      </c>
      <c r="BU1353">
        <v>0</v>
      </c>
      <c r="BV1353">
        <v>0</v>
      </c>
      <c r="BW1353">
        <v>0</v>
      </c>
      <c r="BX1353">
        <v>0</v>
      </c>
      <c r="BY1353">
        <v>0</v>
      </c>
      <c r="BZ1353">
        <v>0</v>
      </c>
      <c r="CA1353">
        <v>0</v>
      </c>
      <c r="CB1353">
        <v>0</v>
      </c>
      <c r="CC1353">
        <v>0</v>
      </c>
      <c r="CD1353">
        <v>0</v>
      </c>
      <c r="CE1353">
        <v>0</v>
      </c>
      <c r="CF1353">
        <v>0</v>
      </c>
      <c r="CG1353">
        <v>0</v>
      </c>
      <c r="CH1353">
        <v>0</v>
      </c>
      <c r="CI1353">
        <v>0</v>
      </c>
      <c r="CJ1353">
        <v>0</v>
      </c>
      <c r="CK1353">
        <v>0</v>
      </c>
      <c r="CL1353">
        <v>0</v>
      </c>
      <c r="CM1353">
        <v>0</v>
      </c>
      <c r="CR1353" t="s">
        <v>2327</v>
      </c>
      <c r="CS1353" s="1369" t="str">
        <f>INDEX([8]Sheet1!$H:$H,MATCH(CR:CR,[8]Sheet1!$AU:$AU,0))</f>
        <v>Education</v>
      </c>
    </row>
    <row r="1354" spans="1:97" x14ac:dyDescent="0.2">
      <c r="A1354" t="s">
        <v>4392</v>
      </c>
      <c r="B1354">
        <v>1442</v>
      </c>
      <c r="C1354" t="s">
        <v>4392</v>
      </c>
      <c r="D1354">
        <v>51797</v>
      </c>
      <c r="E1354" t="s">
        <v>4393</v>
      </c>
      <c r="F1354" t="s">
        <v>2364</v>
      </c>
      <c r="G1354" t="s">
        <v>2364</v>
      </c>
      <c r="H1354" t="s">
        <v>2365</v>
      </c>
      <c r="I1354" t="s">
        <v>2365</v>
      </c>
      <c r="J1354" t="s">
        <v>2365</v>
      </c>
      <c r="K1354" t="s">
        <v>2365</v>
      </c>
      <c r="L1354">
        <v>1200</v>
      </c>
      <c r="M1354" t="s">
        <v>1480</v>
      </c>
      <c r="N1354">
        <v>1204</v>
      </c>
      <c r="O1354" t="s">
        <v>1487</v>
      </c>
      <c r="P1354" t="s">
        <v>2366</v>
      </c>
      <c r="Q1354" t="s">
        <v>2364</v>
      </c>
      <c r="R1354" t="s">
        <v>2364</v>
      </c>
      <c r="S1354" t="s">
        <v>553</v>
      </c>
      <c r="T1354" t="s">
        <v>2367</v>
      </c>
      <c r="U1354">
        <v>360</v>
      </c>
      <c r="V1354" t="s">
        <v>2368</v>
      </c>
      <c r="W1354">
        <v>360</v>
      </c>
      <c r="X1354" t="s">
        <v>711</v>
      </c>
      <c r="Y1354" t="s">
        <v>2365</v>
      </c>
      <c r="Z1354" t="s">
        <v>2365</v>
      </c>
      <c r="AA1354" t="s">
        <v>2365</v>
      </c>
      <c r="AB1354" t="s">
        <v>2365</v>
      </c>
      <c r="AC1354" s="813" t="s">
        <v>2365</v>
      </c>
      <c r="AD1354" s="813" t="s">
        <v>2365</v>
      </c>
      <c r="AE1354" s="813" t="s">
        <v>2365</v>
      </c>
      <c r="AF1354" t="s">
        <v>2365</v>
      </c>
      <c r="AG1354" t="s">
        <v>2365</v>
      </c>
      <c r="AH1354" t="s">
        <v>2365</v>
      </c>
      <c r="AI1354" t="s">
        <v>2365</v>
      </c>
      <c r="AJ1354" t="s">
        <v>2365</v>
      </c>
      <c r="AK1354" s="1373">
        <v>363</v>
      </c>
      <c r="AL1354" t="s">
        <v>748</v>
      </c>
      <c r="AM1354">
        <v>363</v>
      </c>
      <c r="AN1354" t="s">
        <v>748</v>
      </c>
      <c r="AR1354" t="s">
        <v>2365</v>
      </c>
      <c r="AS1354" t="s">
        <v>2365</v>
      </c>
      <c r="AT1354" t="s">
        <v>2365</v>
      </c>
      <c r="AU1354" t="s">
        <v>2365</v>
      </c>
      <c r="AV1354" t="s">
        <v>2365</v>
      </c>
      <c r="AW1354" t="s">
        <v>2365</v>
      </c>
      <c r="AX1354" t="s">
        <v>2365</v>
      </c>
      <c r="AY1354" t="s">
        <v>2365</v>
      </c>
      <c r="AZ1354" t="s">
        <v>2365</v>
      </c>
      <c r="BA1354" t="s">
        <v>2365</v>
      </c>
      <c r="BB1354" t="s">
        <v>2365</v>
      </c>
      <c r="BC1354" t="s">
        <v>2365</v>
      </c>
      <c r="BD1354" t="s">
        <v>2366</v>
      </c>
      <c r="BE1354" t="s">
        <v>2365</v>
      </c>
      <c r="BF1354" t="s">
        <v>2365</v>
      </c>
      <c r="BG1354" t="s">
        <v>2365</v>
      </c>
      <c r="BH1354" t="s">
        <v>2365</v>
      </c>
      <c r="BI1354" t="s">
        <v>2366</v>
      </c>
      <c r="BJ1354" t="s">
        <v>2365</v>
      </c>
      <c r="BK1354" t="s">
        <v>2365</v>
      </c>
      <c r="BL1354" t="s">
        <v>2365</v>
      </c>
      <c r="BM1354" t="s">
        <v>2365</v>
      </c>
      <c r="BO1354">
        <v>1</v>
      </c>
      <c r="BP1354">
        <v>11</v>
      </c>
      <c r="BQ1354" t="s">
        <v>2369</v>
      </c>
      <c r="BR1354" t="s">
        <v>1487</v>
      </c>
      <c r="BU1354">
        <v>0</v>
      </c>
      <c r="BV1354">
        <v>0</v>
      </c>
      <c r="BW1354">
        <v>0</v>
      </c>
      <c r="BX1354">
        <v>0</v>
      </c>
      <c r="BY1354">
        <v>0</v>
      </c>
      <c r="BZ1354">
        <v>0</v>
      </c>
      <c r="CA1354">
        <v>0</v>
      </c>
      <c r="CB1354">
        <v>0</v>
      </c>
      <c r="CC1354">
        <v>0</v>
      </c>
      <c r="CD1354">
        <v>0</v>
      </c>
      <c r="CE1354">
        <v>0</v>
      </c>
      <c r="CF1354">
        <v>0</v>
      </c>
      <c r="CG1354">
        <v>0</v>
      </c>
      <c r="CH1354">
        <v>0</v>
      </c>
      <c r="CI1354">
        <v>0</v>
      </c>
      <c r="CJ1354">
        <v>0</v>
      </c>
      <c r="CK1354">
        <v>0</v>
      </c>
      <c r="CL1354">
        <v>0</v>
      </c>
      <c r="CM1354">
        <v>0</v>
      </c>
      <c r="CR1354" t="s">
        <v>2336</v>
      </c>
      <c r="CS1354" s="1369" t="str">
        <f>INDEX([8]Sheet1!$H:$H,MATCH(CR:CR,[8]Sheet1!$AU:$AU,0))</f>
        <v>Project Management Unit</v>
      </c>
    </row>
    <row r="1355" spans="1:97" x14ac:dyDescent="0.2">
      <c r="A1355" t="s">
        <v>4394</v>
      </c>
      <c r="B1355">
        <v>1443</v>
      </c>
      <c r="C1355" t="s">
        <v>4394</v>
      </c>
      <c r="D1355">
        <v>51798</v>
      </c>
      <c r="E1355" t="s">
        <v>4395</v>
      </c>
      <c r="F1355" t="s">
        <v>2364</v>
      </c>
      <c r="G1355" t="s">
        <v>2364</v>
      </c>
      <c r="H1355" s="1373" t="s">
        <v>2365</v>
      </c>
      <c r="I1355" t="s">
        <v>2365</v>
      </c>
      <c r="J1355" t="s">
        <v>2365</v>
      </c>
      <c r="K1355" t="s">
        <v>2365</v>
      </c>
      <c r="L1355" s="1373">
        <v>1200</v>
      </c>
      <c r="M1355" t="s">
        <v>1480</v>
      </c>
      <c r="N1355">
        <v>1204</v>
      </c>
      <c r="O1355" t="s">
        <v>1487</v>
      </c>
      <c r="P1355" t="s">
        <v>2366</v>
      </c>
      <c r="Q1355" t="s">
        <v>2364</v>
      </c>
      <c r="R1355" t="s">
        <v>2364</v>
      </c>
      <c r="S1355" t="s">
        <v>553</v>
      </c>
      <c r="T1355" t="s">
        <v>2367</v>
      </c>
      <c r="U1355">
        <v>360</v>
      </c>
      <c r="V1355" t="s">
        <v>2368</v>
      </c>
      <c r="W1355">
        <v>360</v>
      </c>
      <c r="X1355" t="s">
        <v>711</v>
      </c>
      <c r="Y1355" t="s">
        <v>2365</v>
      </c>
      <c r="Z1355" t="s">
        <v>2365</v>
      </c>
      <c r="AA1355" t="s">
        <v>2365</v>
      </c>
      <c r="AB1355" t="s">
        <v>2365</v>
      </c>
      <c r="AC1355" s="813" t="s">
        <v>2365</v>
      </c>
      <c r="AD1355" s="813" t="s">
        <v>2365</v>
      </c>
      <c r="AE1355" s="813" t="s">
        <v>2365</v>
      </c>
      <c r="AF1355" t="s">
        <v>2365</v>
      </c>
      <c r="AG1355" t="s">
        <v>2365</v>
      </c>
      <c r="AH1355" t="s">
        <v>2365</v>
      </c>
      <c r="AI1355" t="s">
        <v>2365</v>
      </c>
      <c r="AJ1355" t="s">
        <v>2365</v>
      </c>
      <c r="AK1355">
        <v>363</v>
      </c>
      <c r="AL1355" t="s">
        <v>748</v>
      </c>
      <c r="AM1355">
        <v>363</v>
      </c>
      <c r="AN1355" t="s">
        <v>748</v>
      </c>
      <c r="AR1355" t="s">
        <v>2365</v>
      </c>
      <c r="AS1355" t="s">
        <v>2365</v>
      </c>
      <c r="AT1355" t="s">
        <v>2365</v>
      </c>
      <c r="AU1355" t="s">
        <v>2365</v>
      </c>
      <c r="AV1355" t="s">
        <v>2365</v>
      </c>
      <c r="AW1355" t="s">
        <v>2365</v>
      </c>
      <c r="AX1355" t="s">
        <v>2365</v>
      </c>
      <c r="AY1355" t="s">
        <v>2365</v>
      </c>
      <c r="AZ1355" t="s">
        <v>2365</v>
      </c>
      <c r="BA1355" t="s">
        <v>2365</v>
      </c>
      <c r="BB1355" t="s">
        <v>2365</v>
      </c>
      <c r="BC1355" t="s">
        <v>2365</v>
      </c>
      <c r="BD1355" t="s">
        <v>2366</v>
      </c>
      <c r="BE1355" t="s">
        <v>2365</v>
      </c>
      <c r="BF1355" t="s">
        <v>2365</v>
      </c>
      <c r="BG1355" t="s">
        <v>2365</v>
      </c>
      <c r="BH1355" t="s">
        <v>2365</v>
      </c>
      <c r="BI1355" t="s">
        <v>2366</v>
      </c>
      <c r="BJ1355" t="s">
        <v>2365</v>
      </c>
      <c r="BK1355" t="s">
        <v>2365</v>
      </c>
      <c r="BL1355" t="s">
        <v>2365</v>
      </c>
      <c r="BM1355" t="s">
        <v>2365</v>
      </c>
      <c r="BO1355">
        <v>1</v>
      </c>
      <c r="BP1355">
        <v>11</v>
      </c>
      <c r="BQ1355" t="s">
        <v>2369</v>
      </c>
      <c r="BR1355" t="s">
        <v>1487</v>
      </c>
      <c r="BU1355" s="1371">
        <v>0</v>
      </c>
      <c r="BV1355" s="1371">
        <v>0</v>
      </c>
      <c r="BW1355" s="1371">
        <v>0</v>
      </c>
      <c r="BX1355" s="1371">
        <v>0</v>
      </c>
      <c r="BY1355" s="1371">
        <v>0</v>
      </c>
      <c r="BZ1355">
        <v>0</v>
      </c>
      <c r="CA1355">
        <v>0</v>
      </c>
      <c r="CB1355">
        <v>0</v>
      </c>
      <c r="CC1355">
        <v>0</v>
      </c>
      <c r="CD1355">
        <v>0</v>
      </c>
      <c r="CE1355">
        <v>0</v>
      </c>
      <c r="CF1355">
        <v>0</v>
      </c>
      <c r="CG1355">
        <v>0</v>
      </c>
      <c r="CH1355">
        <v>0</v>
      </c>
      <c r="CI1355">
        <v>0</v>
      </c>
      <c r="CJ1355">
        <v>0</v>
      </c>
      <c r="CK1355">
        <v>0</v>
      </c>
      <c r="CL1355">
        <v>0</v>
      </c>
      <c r="CM1355">
        <v>0</v>
      </c>
      <c r="CR1355" t="s">
        <v>2319</v>
      </c>
      <c r="CS1355" s="1369" t="str">
        <f>INDEX([8]Sheet1!$H:$H,MATCH(CR:CR,[8]Sheet1!$AU:$AU,0))</f>
        <v>Mayor and Council</v>
      </c>
    </row>
    <row r="1356" spans="1:97" x14ac:dyDescent="0.2">
      <c r="A1356" t="s">
        <v>4396</v>
      </c>
      <c r="B1356">
        <v>1444</v>
      </c>
      <c r="C1356" t="s">
        <v>4396</v>
      </c>
      <c r="D1356">
        <v>51799</v>
      </c>
      <c r="E1356" t="s">
        <v>4395</v>
      </c>
      <c r="F1356" t="s">
        <v>2364</v>
      </c>
      <c r="G1356" t="s">
        <v>2364</v>
      </c>
      <c r="H1356" s="1373" t="s">
        <v>2365</v>
      </c>
      <c r="I1356" t="s">
        <v>2365</v>
      </c>
      <c r="J1356" t="s">
        <v>2365</v>
      </c>
      <c r="K1356" t="s">
        <v>2365</v>
      </c>
      <c r="L1356" s="1373">
        <v>1200</v>
      </c>
      <c r="M1356" t="s">
        <v>1480</v>
      </c>
      <c r="N1356">
        <v>1204</v>
      </c>
      <c r="O1356" t="s">
        <v>1487</v>
      </c>
      <c r="P1356" t="s">
        <v>2366</v>
      </c>
      <c r="Q1356" t="s">
        <v>2364</v>
      </c>
      <c r="R1356" t="s">
        <v>2364</v>
      </c>
      <c r="S1356" t="s">
        <v>553</v>
      </c>
      <c r="T1356" t="s">
        <v>2367</v>
      </c>
      <c r="U1356">
        <v>360</v>
      </c>
      <c r="V1356" t="s">
        <v>2368</v>
      </c>
      <c r="W1356">
        <v>360</v>
      </c>
      <c r="X1356" t="s">
        <v>711</v>
      </c>
      <c r="Y1356" t="s">
        <v>2365</v>
      </c>
      <c r="Z1356" t="s">
        <v>2365</v>
      </c>
      <c r="AA1356" t="s">
        <v>2365</v>
      </c>
      <c r="AB1356" t="s">
        <v>2365</v>
      </c>
      <c r="AC1356" s="813" t="s">
        <v>2365</v>
      </c>
      <c r="AD1356" s="813" t="s">
        <v>2365</v>
      </c>
      <c r="AE1356" s="813" t="s">
        <v>2365</v>
      </c>
      <c r="AF1356" t="s">
        <v>2365</v>
      </c>
      <c r="AG1356" t="s">
        <v>2365</v>
      </c>
      <c r="AH1356" t="s">
        <v>2365</v>
      </c>
      <c r="AI1356" t="s">
        <v>2365</v>
      </c>
      <c r="AJ1356" t="s">
        <v>2365</v>
      </c>
      <c r="AK1356">
        <v>363</v>
      </c>
      <c r="AL1356" t="s">
        <v>748</v>
      </c>
      <c r="AM1356">
        <v>363</v>
      </c>
      <c r="AN1356" t="s">
        <v>748</v>
      </c>
      <c r="AR1356" t="s">
        <v>2365</v>
      </c>
      <c r="AS1356" t="s">
        <v>2365</v>
      </c>
      <c r="AT1356" t="s">
        <v>2365</v>
      </c>
      <c r="AU1356" t="s">
        <v>2365</v>
      </c>
      <c r="AV1356" t="s">
        <v>2365</v>
      </c>
      <c r="AW1356" t="s">
        <v>2365</v>
      </c>
      <c r="AX1356" t="s">
        <v>2365</v>
      </c>
      <c r="AY1356" t="s">
        <v>2365</v>
      </c>
      <c r="AZ1356" t="s">
        <v>2365</v>
      </c>
      <c r="BA1356" t="s">
        <v>2365</v>
      </c>
      <c r="BB1356" t="s">
        <v>2365</v>
      </c>
      <c r="BC1356" t="s">
        <v>2365</v>
      </c>
      <c r="BD1356" t="s">
        <v>2366</v>
      </c>
      <c r="BE1356" t="s">
        <v>2365</v>
      </c>
      <c r="BF1356" t="s">
        <v>2365</v>
      </c>
      <c r="BG1356" t="s">
        <v>2365</v>
      </c>
      <c r="BH1356" t="s">
        <v>2365</v>
      </c>
      <c r="BI1356" t="s">
        <v>2366</v>
      </c>
      <c r="BJ1356" t="s">
        <v>2365</v>
      </c>
      <c r="BK1356" t="s">
        <v>2365</v>
      </c>
      <c r="BL1356" t="s">
        <v>2365</v>
      </c>
      <c r="BM1356" t="s">
        <v>2365</v>
      </c>
      <c r="BO1356">
        <v>1</v>
      </c>
      <c r="BP1356">
        <v>11</v>
      </c>
      <c r="BQ1356" t="s">
        <v>2369</v>
      </c>
      <c r="BR1356" t="s">
        <v>1487</v>
      </c>
      <c r="BU1356" s="1371">
        <v>0</v>
      </c>
      <c r="BV1356" s="1371">
        <v>0</v>
      </c>
      <c r="BW1356" s="1371">
        <v>0</v>
      </c>
      <c r="BX1356" s="1371">
        <v>0</v>
      </c>
      <c r="BY1356" s="1371">
        <v>0</v>
      </c>
      <c r="BZ1356">
        <v>0</v>
      </c>
      <c r="CA1356">
        <v>0</v>
      </c>
      <c r="CB1356">
        <v>0</v>
      </c>
      <c r="CC1356">
        <v>0</v>
      </c>
      <c r="CD1356">
        <v>0</v>
      </c>
      <c r="CE1356">
        <v>0</v>
      </c>
      <c r="CF1356">
        <v>0</v>
      </c>
      <c r="CG1356">
        <v>0</v>
      </c>
      <c r="CH1356">
        <v>0</v>
      </c>
      <c r="CI1356">
        <v>0</v>
      </c>
      <c r="CJ1356">
        <v>0</v>
      </c>
      <c r="CK1356">
        <v>0</v>
      </c>
      <c r="CL1356">
        <v>0</v>
      </c>
      <c r="CM1356">
        <v>0</v>
      </c>
      <c r="CR1356" t="s">
        <v>2320</v>
      </c>
      <c r="CS1356" s="1369" t="str">
        <f>INDEX([8]Sheet1!$H:$H,MATCH(CR:CR,[8]Sheet1!$AU:$AU,0))</f>
        <v>Administrative and Corporate Support</v>
      </c>
    </row>
    <row r="1357" spans="1:97" x14ac:dyDescent="0.2">
      <c r="A1357" t="s">
        <v>4397</v>
      </c>
      <c r="B1357">
        <v>1445</v>
      </c>
      <c r="C1357" t="s">
        <v>4397</v>
      </c>
      <c r="D1357">
        <v>51800</v>
      </c>
      <c r="E1357" t="s">
        <v>4398</v>
      </c>
      <c r="F1357" t="s">
        <v>2364</v>
      </c>
      <c r="G1357" t="s">
        <v>2364</v>
      </c>
      <c r="H1357" t="s">
        <v>2365</v>
      </c>
      <c r="I1357" t="s">
        <v>2365</v>
      </c>
      <c r="J1357" t="s">
        <v>2365</v>
      </c>
      <c r="K1357" t="s">
        <v>2365</v>
      </c>
      <c r="L1357">
        <v>1200</v>
      </c>
      <c r="M1357" t="s">
        <v>1480</v>
      </c>
      <c r="N1357">
        <v>1204</v>
      </c>
      <c r="O1357" t="s">
        <v>1487</v>
      </c>
      <c r="P1357" t="s">
        <v>2366</v>
      </c>
      <c r="Q1357" t="s">
        <v>2364</v>
      </c>
      <c r="R1357" t="s">
        <v>2364</v>
      </c>
      <c r="S1357" t="s">
        <v>553</v>
      </c>
      <c r="T1357" t="s">
        <v>2367</v>
      </c>
      <c r="U1357">
        <v>360</v>
      </c>
      <c r="V1357" t="s">
        <v>2368</v>
      </c>
      <c r="W1357">
        <v>360</v>
      </c>
      <c r="X1357" t="s">
        <v>711</v>
      </c>
      <c r="Y1357" t="s">
        <v>2365</v>
      </c>
      <c r="Z1357" t="s">
        <v>2365</v>
      </c>
      <c r="AA1357" t="s">
        <v>2365</v>
      </c>
      <c r="AB1357" t="s">
        <v>2365</v>
      </c>
      <c r="AC1357" s="813" t="s">
        <v>2365</v>
      </c>
      <c r="AD1357" s="813" t="s">
        <v>2365</v>
      </c>
      <c r="AE1357" s="813" t="s">
        <v>2365</v>
      </c>
      <c r="AF1357" t="s">
        <v>2365</v>
      </c>
      <c r="AG1357" t="s">
        <v>2365</v>
      </c>
      <c r="AH1357" t="s">
        <v>2365</v>
      </c>
      <c r="AI1357" t="s">
        <v>2365</v>
      </c>
      <c r="AJ1357" t="s">
        <v>2365</v>
      </c>
      <c r="AK1357">
        <v>363</v>
      </c>
      <c r="AL1357" t="s">
        <v>748</v>
      </c>
      <c r="AM1357">
        <v>363</v>
      </c>
      <c r="AN1357" t="s">
        <v>748</v>
      </c>
      <c r="AR1357" t="s">
        <v>2365</v>
      </c>
      <c r="AS1357" t="s">
        <v>2365</v>
      </c>
      <c r="AT1357" t="s">
        <v>2365</v>
      </c>
      <c r="AU1357" t="s">
        <v>2365</v>
      </c>
      <c r="AV1357" t="s">
        <v>2365</v>
      </c>
      <c r="AW1357" t="s">
        <v>2365</v>
      </c>
      <c r="AX1357" t="s">
        <v>2365</v>
      </c>
      <c r="AY1357" t="s">
        <v>2365</v>
      </c>
      <c r="AZ1357" t="s">
        <v>2365</v>
      </c>
      <c r="BA1357" t="s">
        <v>2365</v>
      </c>
      <c r="BB1357" t="s">
        <v>2365</v>
      </c>
      <c r="BC1357" t="s">
        <v>2365</v>
      </c>
      <c r="BD1357" t="s">
        <v>2366</v>
      </c>
      <c r="BE1357" t="s">
        <v>2365</v>
      </c>
      <c r="BF1357" t="s">
        <v>2365</v>
      </c>
      <c r="BG1357" t="s">
        <v>2365</v>
      </c>
      <c r="BH1357" t="s">
        <v>2365</v>
      </c>
      <c r="BI1357" t="s">
        <v>2366</v>
      </c>
      <c r="BJ1357" t="s">
        <v>2365</v>
      </c>
      <c r="BK1357" t="s">
        <v>2365</v>
      </c>
      <c r="BL1357" t="s">
        <v>2365</v>
      </c>
      <c r="BM1357" t="s">
        <v>2365</v>
      </c>
      <c r="BO1357">
        <v>1</v>
      </c>
      <c r="BP1357">
        <v>11</v>
      </c>
      <c r="BQ1357" t="s">
        <v>2369</v>
      </c>
      <c r="BR1357" t="s">
        <v>1487</v>
      </c>
      <c r="BU1357">
        <v>0</v>
      </c>
      <c r="BV1357">
        <v>0</v>
      </c>
      <c r="BW1357">
        <v>0</v>
      </c>
      <c r="BX1357">
        <v>0</v>
      </c>
      <c r="BY1357">
        <v>0</v>
      </c>
      <c r="BZ1357">
        <v>0</v>
      </c>
      <c r="CA1357">
        <v>0</v>
      </c>
      <c r="CB1357">
        <v>0</v>
      </c>
      <c r="CC1357">
        <v>0</v>
      </c>
      <c r="CD1357">
        <v>0</v>
      </c>
      <c r="CE1357">
        <v>0</v>
      </c>
      <c r="CF1357">
        <v>0</v>
      </c>
      <c r="CG1357">
        <v>0</v>
      </c>
      <c r="CH1357">
        <v>0</v>
      </c>
      <c r="CI1357">
        <v>0</v>
      </c>
      <c r="CJ1357">
        <v>0</v>
      </c>
      <c r="CK1357">
        <v>0</v>
      </c>
      <c r="CL1357">
        <v>0</v>
      </c>
      <c r="CM1357">
        <v>0</v>
      </c>
      <c r="CR1357" t="s">
        <v>2320</v>
      </c>
      <c r="CS1357" s="1369" t="str">
        <f>INDEX([8]Sheet1!$H:$H,MATCH(CR:CR,[8]Sheet1!$AU:$AU,0))</f>
        <v>Administrative and Corporate Support</v>
      </c>
    </row>
    <row r="1358" spans="1:97" x14ac:dyDescent="0.2">
      <c r="A1358" t="s">
        <v>4399</v>
      </c>
      <c r="B1358">
        <v>1446</v>
      </c>
      <c r="C1358" t="s">
        <v>4399</v>
      </c>
      <c r="D1358">
        <v>51801</v>
      </c>
      <c r="E1358" t="s">
        <v>4400</v>
      </c>
      <c r="F1358" t="s">
        <v>2364</v>
      </c>
      <c r="G1358" t="s">
        <v>2364</v>
      </c>
      <c r="H1358" t="s">
        <v>2365</v>
      </c>
      <c r="I1358" t="s">
        <v>2365</v>
      </c>
      <c r="J1358" t="s">
        <v>2365</v>
      </c>
      <c r="K1358" t="s">
        <v>2365</v>
      </c>
      <c r="L1358">
        <v>1200</v>
      </c>
      <c r="M1358" t="s">
        <v>1480</v>
      </c>
      <c r="N1358">
        <v>1204</v>
      </c>
      <c r="O1358" t="s">
        <v>1487</v>
      </c>
      <c r="P1358" t="s">
        <v>2366</v>
      </c>
      <c r="Q1358" t="s">
        <v>2364</v>
      </c>
      <c r="R1358" t="s">
        <v>2364</v>
      </c>
      <c r="S1358" t="s">
        <v>553</v>
      </c>
      <c r="T1358" t="s">
        <v>2367</v>
      </c>
      <c r="U1358">
        <v>360</v>
      </c>
      <c r="V1358" t="s">
        <v>2368</v>
      </c>
      <c r="W1358">
        <v>360</v>
      </c>
      <c r="X1358" t="s">
        <v>711</v>
      </c>
      <c r="Y1358" t="s">
        <v>2365</v>
      </c>
      <c r="Z1358" t="s">
        <v>2365</v>
      </c>
      <c r="AA1358" t="s">
        <v>2365</v>
      </c>
      <c r="AB1358" t="s">
        <v>2365</v>
      </c>
      <c r="AC1358" s="813" t="s">
        <v>2365</v>
      </c>
      <c r="AD1358" s="813" t="s">
        <v>2365</v>
      </c>
      <c r="AE1358" s="813" t="s">
        <v>2365</v>
      </c>
      <c r="AF1358" t="s">
        <v>2365</v>
      </c>
      <c r="AG1358" t="s">
        <v>2365</v>
      </c>
      <c r="AH1358" t="s">
        <v>2365</v>
      </c>
      <c r="AI1358" t="s">
        <v>2365</v>
      </c>
      <c r="AJ1358" t="s">
        <v>2365</v>
      </c>
      <c r="AK1358">
        <v>363</v>
      </c>
      <c r="AL1358" t="s">
        <v>748</v>
      </c>
      <c r="AM1358">
        <v>363</v>
      </c>
      <c r="AN1358" t="s">
        <v>748</v>
      </c>
      <c r="AR1358" t="s">
        <v>2365</v>
      </c>
      <c r="AS1358" t="s">
        <v>2365</v>
      </c>
      <c r="AT1358" t="s">
        <v>2365</v>
      </c>
      <c r="AU1358" t="s">
        <v>2365</v>
      </c>
      <c r="AV1358" t="s">
        <v>2365</v>
      </c>
      <c r="AW1358" t="s">
        <v>2365</v>
      </c>
      <c r="AX1358" t="s">
        <v>2365</v>
      </c>
      <c r="AY1358" t="s">
        <v>2365</v>
      </c>
      <c r="AZ1358" t="s">
        <v>2365</v>
      </c>
      <c r="BA1358" t="s">
        <v>2365</v>
      </c>
      <c r="BB1358" t="s">
        <v>2365</v>
      </c>
      <c r="BC1358" t="s">
        <v>2365</v>
      </c>
      <c r="BD1358" t="s">
        <v>2366</v>
      </c>
      <c r="BE1358" t="s">
        <v>2365</v>
      </c>
      <c r="BF1358" t="s">
        <v>2365</v>
      </c>
      <c r="BG1358" t="s">
        <v>2365</v>
      </c>
      <c r="BH1358" t="s">
        <v>2365</v>
      </c>
      <c r="BI1358" t="s">
        <v>2366</v>
      </c>
      <c r="BJ1358" t="s">
        <v>2365</v>
      </c>
      <c r="BK1358" t="s">
        <v>2365</v>
      </c>
      <c r="BL1358" t="s">
        <v>2365</v>
      </c>
      <c r="BM1358" t="s">
        <v>2365</v>
      </c>
      <c r="BO1358">
        <v>1</v>
      </c>
      <c r="BP1358">
        <v>11</v>
      </c>
      <c r="BQ1358" t="s">
        <v>2369</v>
      </c>
      <c r="BR1358" t="s">
        <v>1487</v>
      </c>
      <c r="BU1358">
        <v>-2800000</v>
      </c>
      <c r="BV1358">
        <v>0</v>
      </c>
      <c r="BW1358">
        <v>-2800000</v>
      </c>
      <c r="BX1358">
        <v>-2800000</v>
      </c>
      <c r="BY1358">
        <v>0</v>
      </c>
      <c r="BZ1358">
        <v>0</v>
      </c>
      <c r="CA1358">
        <v>0</v>
      </c>
      <c r="CB1358">
        <v>0</v>
      </c>
      <c r="CC1358">
        <v>-2800000</v>
      </c>
      <c r="CD1358">
        <v>64700.3</v>
      </c>
      <c r="CE1358">
        <v>215768.19</v>
      </c>
      <c r="CF1358">
        <v>89535.54</v>
      </c>
      <c r="CG1358">
        <v>87189.54</v>
      </c>
      <c r="CH1358">
        <v>1016952.48</v>
      </c>
      <c r="CI1358">
        <v>0</v>
      </c>
      <c r="CJ1358">
        <v>0</v>
      </c>
      <c r="CK1358">
        <v>0</v>
      </c>
      <c r="CL1358">
        <v>0</v>
      </c>
      <c r="CM1358">
        <v>0</v>
      </c>
      <c r="CR1358" t="s">
        <v>2324</v>
      </c>
      <c r="CS1358" s="1369" t="str">
        <f>INDEX([8]Sheet1!$H:$H,MATCH(CR:CR,[8]Sheet1!$AU:$AU,0))</f>
        <v>Finance</v>
      </c>
    </row>
    <row r="1359" spans="1:97" x14ac:dyDescent="0.2">
      <c r="A1359" t="s">
        <v>4401</v>
      </c>
      <c r="B1359">
        <v>1447</v>
      </c>
      <c r="C1359" t="s">
        <v>4401</v>
      </c>
      <c r="D1359">
        <v>51802</v>
      </c>
      <c r="E1359" t="s">
        <v>4402</v>
      </c>
      <c r="F1359" t="s">
        <v>2364</v>
      </c>
      <c r="G1359" t="s">
        <v>2364</v>
      </c>
      <c r="H1359" t="s">
        <v>2365</v>
      </c>
      <c r="I1359" t="s">
        <v>2365</v>
      </c>
      <c r="J1359" t="s">
        <v>2365</v>
      </c>
      <c r="K1359" t="s">
        <v>2365</v>
      </c>
      <c r="L1359">
        <v>4100</v>
      </c>
      <c r="M1359" t="s">
        <v>1482</v>
      </c>
      <c r="N1359">
        <v>4101</v>
      </c>
      <c r="O1359" t="s">
        <v>1550</v>
      </c>
      <c r="P1359" t="s">
        <v>2366</v>
      </c>
      <c r="Q1359">
        <v>2010</v>
      </c>
      <c r="R1359" t="s">
        <v>668</v>
      </c>
      <c r="S1359" t="s">
        <v>553</v>
      </c>
      <c r="T1359" t="s">
        <v>2367</v>
      </c>
      <c r="U1359">
        <v>360</v>
      </c>
      <c r="V1359" t="s">
        <v>2368</v>
      </c>
      <c r="W1359">
        <v>360</v>
      </c>
      <c r="X1359" t="s">
        <v>711</v>
      </c>
      <c r="Y1359" t="s">
        <v>2365</v>
      </c>
      <c r="Z1359" t="s">
        <v>2365</v>
      </c>
      <c r="AA1359" t="s">
        <v>2365</v>
      </c>
      <c r="AB1359" t="s">
        <v>2365</v>
      </c>
      <c r="AC1359" s="813" t="s">
        <v>2365</v>
      </c>
      <c r="AD1359" s="813" t="s">
        <v>2365</v>
      </c>
      <c r="AE1359" s="813" t="s">
        <v>2365</v>
      </c>
      <c r="AF1359" t="s">
        <v>2365</v>
      </c>
      <c r="AG1359" t="s">
        <v>2365</v>
      </c>
      <c r="AH1359" t="s">
        <v>2365</v>
      </c>
      <c r="AI1359" t="s">
        <v>2365</v>
      </c>
      <c r="AJ1359" t="s">
        <v>2365</v>
      </c>
      <c r="AK1359">
        <v>363</v>
      </c>
      <c r="AL1359" t="s">
        <v>748</v>
      </c>
      <c r="AM1359">
        <v>363</v>
      </c>
      <c r="AN1359" t="s">
        <v>748</v>
      </c>
      <c r="AR1359" t="s">
        <v>2365</v>
      </c>
      <c r="AS1359" t="s">
        <v>2365</v>
      </c>
      <c r="AT1359" t="s">
        <v>2365</v>
      </c>
      <c r="AU1359" t="s">
        <v>2365</v>
      </c>
      <c r="AV1359" t="s">
        <v>2365</v>
      </c>
      <c r="AW1359" t="s">
        <v>2365</v>
      </c>
      <c r="AX1359" t="s">
        <v>2365</v>
      </c>
      <c r="AY1359" t="s">
        <v>2365</v>
      </c>
      <c r="AZ1359" t="s">
        <v>2365</v>
      </c>
      <c r="BA1359" t="s">
        <v>2365</v>
      </c>
      <c r="BB1359" t="s">
        <v>2365</v>
      </c>
      <c r="BC1359" t="s">
        <v>2365</v>
      </c>
      <c r="BD1359" t="s">
        <v>2366</v>
      </c>
      <c r="BE1359" t="s">
        <v>2365</v>
      </c>
      <c r="BF1359" t="s">
        <v>2365</v>
      </c>
      <c r="BG1359" t="s">
        <v>2365</v>
      </c>
      <c r="BH1359" t="s">
        <v>2365</v>
      </c>
      <c r="BI1359" t="s">
        <v>2366</v>
      </c>
      <c r="BJ1359" t="s">
        <v>2365</v>
      </c>
      <c r="BK1359" t="s">
        <v>2365</v>
      </c>
      <c r="BL1359" t="s">
        <v>2365</v>
      </c>
      <c r="BM1359" t="s">
        <v>2365</v>
      </c>
      <c r="BO1359">
        <v>6</v>
      </c>
      <c r="BP1359">
        <v>61</v>
      </c>
      <c r="BQ1359" t="s">
        <v>2445</v>
      </c>
      <c r="BR1359" t="s">
        <v>628</v>
      </c>
      <c r="BU1359">
        <v>-5000000</v>
      </c>
      <c r="BV1359">
        <v>0</v>
      </c>
      <c r="BW1359">
        <v>-5000000</v>
      </c>
      <c r="BX1359">
        <v>-5000000</v>
      </c>
      <c r="BY1359">
        <v>0</v>
      </c>
      <c r="BZ1359">
        <v>0</v>
      </c>
      <c r="CA1359">
        <v>0</v>
      </c>
      <c r="CB1359">
        <v>0</v>
      </c>
      <c r="CC1359">
        <v>-3000000</v>
      </c>
      <c r="CD1359">
        <v>0</v>
      </c>
      <c r="CE1359">
        <v>1739119.88</v>
      </c>
      <c r="CF1359">
        <v>-375691.85000000009</v>
      </c>
      <c r="CG1359">
        <v>0</v>
      </c>
      <c r="CH1359">
        <v>716549.03</v>
      </c>
      <c r="CI1359">
        <v>0</v>
      </c>
      <c r="CJ1359">
        <v>0</v>
      </c>
      <c r="CK1359">
        <v>0</v>
      </c>
      <c r="CL1359">
        <v>0</v>
      </c>
      <c r="CM1359">
        <v>0</v>
      </c>
      <c r="CR1359" t="s">
        <v>2324</v>
      </c>
      <c r="CS1359" s="1369" t="str">
        <f>INDEX([8]Sheet1!$H:$H,MATCH(CR:CR,[8]Sheet1!$AU:$AU,0))</f>
        <v>Finance</v>
      </c>
    </row>
    <row r="1360" spans="1:97" x14ac:dyDescent="0.2">
      <c r="A1360" t="s">
        <v>4403</v>
      </c>
      <c r="B1360">
        <v>1448</v>
      </c>
      <c r="C1360" t="s">
        <v>4403</v>
      </c>
      <c r="D1360">
        <v>51803</v>
      </c>
      <c r="E1360" t="s">
        <v>4404</v>
      </c>
      <c r="F1360" t="s">
        <v>2364</v>
      </c>
      <c r="G1360" t="s">
        <v>2364</v>
      </c>
      <c r="H1360" t="s">
        <v>2365</v>
      </c>
      <c r="I1360" t="s">
        <v>2365</v>
      </c>
      <c r="J1360" t="s">
        <v>2365</v>
      </c>
      <c r="K1360" t="s">
        <v>2365</v>
      </c>
      <c r="L1360">
        <v>1200</v>
      </c>
      <c r="M1360" t="s">
        <v>1480</v>
      </c>
      <c r="N1360">
        <v>1204</v>
      </c>
      <c r="O1360" t="s">
        <v>1487</v>
      </c>
      <c r="P1360" t="s">
        <v>2366</v>
      </c>
      <c r="Q1360" t="s">
        <v>2364</v>
      </c>
      <c r="R1360" t="s">
        <v>2364</v>
      </c>
      <c r="S1360" t="s">
        <v>553</v>
      </c>
      <c r="T1360" t="s">
        <v>2367</v>
      </c>
      <c r="U1360">
        <v>360</v>
      </c>
      <c r="V1360" t="s">
        <v>2368</v>
      </c>
      <c r="W1360">
        <v>360</v>
      </c>
      <c r="X1360" t="s">
        <v>711</v>
      </c>
      <c r="Y1360" t="s">
        <v>2365</v>
      </c>
      <c r="Z1360" t="s">
        <v>2365</v>
      </c>
      <c r="AA1360" t="s">
        <v>2365</v>
      </c>
      <c r="AB1360" t="s">
        <v>2365</v>
      </c>
      <c r="AC1360" s="813" t="s">
        <v>2365</v>
      </c>
      <c r="AD1360" s="813" t="s">
        <v>2365</v>
      </c>
      <c r="AE1360" s="813" t="s">
        <v>2365</v>
      </c>
      <c r="AF1360" t="s">
        <v>2365</v>
      </c>
      <c r="AG1360" t="s">
        <v>2365</v>
      </c>
      <c r="AH1360" t="s">
        <v>2365</v>
      </c>
      <c r="AI1360" t="s">
        <v>2365</v>
      </c>
      <c r="AJ1360" t="s">
        <v>2365</v>
      </c>
      <c r="AK1360">
        <v>363</v>
      </c>
      <c r="AL1360" t="s">
        <v>748</v>
      </c>
      <c r="AM1360">
        <v>363</v>
      </c>
      <c r="AN1360" t="s">
        <v>748</v>
      </c>
      <c r="AR1360" t="s">
        <v>2365</v>
      </c>
      <c r="AS1360" t="s">
        <v>2365</v>
      </c>
      <c r="AT1360" t="s">
        <v>2365</v>
      </c>
      <c r="AU1360" t="s">
        <v>2365</v>
      </c>
      <c r="AV1360" t="s">
        <v>2365</v>
      </c>
      <c r="AW1360" t="s">
        <v>2365</v>
      </c>
      <c r="AX1360" t="s">
        <v>2365</v>
      </c>
      <c r="AY1360" t="s">
        <v>2365</v>
      </c>
      <c r="AZ1360" t="s">
        <v>2365</v>
      </c>
      <c r="BA1360" t="s">
        <v>2365</v>
      </c>
      <c r="BB1360" t="s">
        <v>2365</v>
      </c>
      <c r="BC1360" t="s">
        <v>2365</v>
      </c>
      <c r="BD1360" t="s">
        <v>2366</v>
      </c>
      <c r="BE1360" t="s">
        <v>2365</v>
      </c>
      <c r="BF1360" t="s">
        <v>2365</v>
      </c>
      <c r="BG1360" t="s">
        <v>2365</v>
      </c>
      <c r="BH1360" t="s">
        <v>2365</v>
      </c>
      <c r="BI1360" t="s">
        <v>2366</v>
      </c>
      <c r="BJ1360" t="s">
        <v>2365</v>
      </c>
      <c r="BK1360" t="s">
        <v>2365</v>
      </c>
      <c r="BL1360" t="s">
        <v>2365</v>
      </c>
      <c r="BM1360" t="s">
        <v>2365</v>
      </c>
      <c r="BO1360">
        <v>1</v>
      </c>
      <c r="BP1360">
        <v>11</v>
      </c>
      <c r="BQ1360" t="s">
        <v>2369</v>
      </c>
      <c r="BR1360" t="s">
        <v>1487</v>
      </c>
      <c r="BU1360">
        <v>-1143000</v>
      </c>
      <c r="BV1360">
        <v>0</v>
      </c>
      <c r="BW1360">
        <v>-1143000</v>
      </c>
      <c r="BX1360">
        <v>-1143000</v>
      </c>
      <c r="BY1360">
        <v>0</v>
      </c>
      <c r="BZ1360">
        <v>0</v>
      </c>
      <c r="CA1360">
        <v>0</v>
      </c>
      <c r="CB1360">
        <v>0</v>
      </c>
      <c r="CC1360">
        <v>45179</v>
      </c>
      <c r="CD1360">
        <v>209019.5</v>
      </c>
      <c r="CE1360">
        <v>174553.25</v>
      </c>
      <c r="CF1360">
        <v>-302270.75</v>
      </c>
      <c r="CG1360">
        <v>208000</v>
      </c>
      <c r="CH1360">
        <v>8519</v>
      </c>
      <c r="CI1360">
        <v>0</v>
      </c>
      <c r="CJ1360">
        <v>0</v>
      </c>
      <c r="CK1360">
        <v>0</v>
      </c>
      <c r="CL1360">
        <v>0</v>
      </c>
      <c r="CM1360">
        <v>0</v>
      </c>
      <c r="CR1360" t="s">
        <v>2330</v>
      </c>
      <c r="CS1360" s="1369" t="str">
        <f>INDEX([8]Sheet1!$H:$H,MATCH(CR:CR,[8]Sheet1!$AU:$AU,0))</f>
        <v>Water Treatment</v>
      </c>
    </row>
    <row r="1361" spans="1:97" x14ac:dyDescent="0.2">
      <c r="A1361" t="s">
        <v>4405</v>
      </c>
      <c r="B1361">
        <v>1449</v>
      </c>
      <c r="C1361" t="s">
        <v>4405</v>
      </c>
      <c r="D1361">
        <v>51804</v>
      </c>
      <c r="E1361" t="s">
        <v>4406</v>
      </c>
      <c r="F1361" t="s">
        <v>2364</v>
      </c>
      <c r="G1361" t="s">
        <v>2364</v>
      </c>
      <c r="H1361" s="1373" t="s">
        <v>2365</v>
      </c>
      <c r="I1361" t="s">
        <v>2365</v>
      </c>
      <c r="J1361" t="s">
        <v>2365</v>
      </c>
      <c r="K1361" t="s">
        <v>2365</v>
      </c>
      <c r="L1361" s="1373">
        <v>2100</v>
      </c>
      <c r="M1361" t="s">
        <v>618</v>
      </c>
      <c r="N1361">
        <v>2114</v>
      </c>
      <c r="O1361" t="s">
        <v>999</v>
      </c>
      <c r="P1361" t="s">
        <v>2366</v>
      </c>
      <c r="Q1361" t="s">
        <v>2364</v>
      </c>
      <c r="R1361" t="s">
        <v>2364</v>
      </c>
      <c r="S1361" t="s">
        <v>553</v>
      </c>
      <c r="T1361" t="s">
        <v>2367</v>
      </c>
      <c r="U1361">
        <v>360</v>
      </c>
      <c r="V1361" t="s">
        <v>2368</v>
      </c>
      <c r="W1361">
        <v>360</v>
      </c>
      <c r="X1361" t="s">
        <v>711</v>
      </c>
      <c r="Y1361" t="s">
        <v>2365</v>
      </c>
      <c r="Z1361" t="s">
        <v>2365</v>
      </c>
      <c r="AA1361" t="s">
        <v>2365</v>
      </c>
      <c r="AB1361" t="s">
        <v>2365</v>
      </c>
      <c r="AC1361" s="813" t="s">
        <v>2365</v>
      </c>
      <c r="AD1361" s="813" t="s">
        <v>2365</v>
      </c>
      <c r="AE1361" s="813" t="s">
        <v>2365</v>
      </c>
      <c r="AF1361" t="s">
        <v>2365</v>
      </c>
      <c r="AG1361" t="s">
        <v>2365</v>
      </c>
      <c r="AH1361" t="s">
        <v>2365</v>
      </c>
      <c r="AI1361" t="s">
        <v>2365</v>
      </c>
      <c r="AJ1361" t="s">
        <v>2365</v>
      </c>
      <c r="AK1361">
        <v>363</v>
      </c>
      <c r="AL1361" t="s">
        <v>748</v>
      </c>
      <c r="AM1361">
        <v>363</v>
      </c>
      <c r="AN1361" t="s">
        <v>748</v>
      </c>
      <c r="AR1361" t="s">
        <v>2365</v>
      </c>
      <c r="AS1361" t="s">
        <v>2365</v>
      </c>
      <c r="AT1361" t="s">
        <v>2365</v>
      </c>
      <c r="AU1361" t="s">
        <v>2365</v>
      </c>
      <c r="AV1361" t="s">
        <v>2365</v>
      </c>
      <c r="AW1361" t="s">
        <v>2365</v>
      </c>
      <c r="AX1361" t="s">
        <v>2365</v>
      </c>
      <c r="AY1361" t="s">
        <v>2365</v>
      </c>
      <c r="AZ1361" t="s">
        <v>2365</v>
      </c>
      <c r="BA1361" t="s">
        <v>2365</v>
      </c>
      <c r="BB1361" t="s">
        <v>2365</v>
      </c>
      <c r="BC1361" t="s">
        <v>2365</v>
      </c>
      <c r="BD1361" t="s">
        <v>2366</v>
      </c>
      <c r="BE1361" t="s">
        <v>2365</v>
      </c>
      <c r="BF1361" t="s">
        <v>2365</v>
      </c>
      <c r="BG1361" t="s">
        <v>2365</v>
      </c>
      <c r="BH1361" t="s">
        <v>2365</v>
      </c>
      <c r="BI1361" t="s">
        <v>2366</v>
      </c>
      <c r="BJ1361" t="s">
        <v>2365</v>
      </c>
      <c r="BK1361" t="s">
        <v>2365</v>
      </c>
      <c r="BL1361" t="s">
        <v>2365</v>
      </c>
      <c r="BM1361" t="s">
        <v>2365</v>
      </c>
      <c r="BO1361">
        <v>4</v>
      </c>
      <c r="BP1361">
        <v>42</v>
      </c>
      <c r="BQ1361" t="s">
        <v>2433</v>
      </c>
      <c r="BR1361" t="s">
        <v>999</v>
      </c>
      <c r="BU1361" s="1371">
        <v>-1817000</v>
      </c>
      <c r="BV1361" s="1371">
        <v>0</v>
      </c>
      <c r="BW1361" s="1371">
        <v>-1817000</v>
      </c>
      <c r="BX1361" s="1371">
        <v>-1817000</v>
      </c>
      <c r="BY1361" s="1371">
        <v>0</v>
      </c>
      <c r="BZ1361">
        <v>0</v>
      </c>
      <c r="CA1361">
        <v>0</v>
      </c>
      <c r="CB1361">
        <v>0</v>
      </c>
      <c r="CC1361">
        <v>198822.34</v>
      </c>
      <c r="CD1361">
        <v>190190.07999999999</v>
      </c>
      <c r="CE1361">
        <v>-1628309.32</v>
      </c>
      <c r="CF1361">
        <v>195493.59</v>
      </c>
      <c r="CG1361">
        <v>339878</v>
      </c>
      <c r="CH1361">
        <v>203247.24</v>
      </c>
      <c r="CI1361">
        <v>0</v>
      </c>
      <c r="CJ1361">
        <v>0</v>
      </c>
      <c r="CK1361">
        <v>0</v>
      </c>
      <c r="CL1361">
        <v>0</v>
      </c>
      <c r="CM1361">
        <v>0</v>
      </c>
      <c r="CR1361" t="s">
        <v>2330</v>
      </c>
      <c r="CS1361" s="1369" t="str">
        <f>INDEX([8]Sheet1!$H:$H,MATCH(CR:CR,[8]Sheet1!$AU:$AU,0))</f>
        <v>Water Treatment</v>
      </c>
    </row>
    <row r="1362" spans="1:97" x14ac:dyDescent="0.2">
      <c r="A1362" t="s">
        <v>4407</v>
      </c>
      <c r="B1362">
        <v>1450</v>
      </c>
      <c r="C1362" t="s">
        <v>4407</v>
      </c>
      <c r="D1362">
        <v>51805</v>
      </c>
      <c r="E1362" t="s">
        <v>4408</v>
      </c>
      <c r="F1362" t="s">
        <v>2364</v>
      </c>
      <c r="G1362" t="s">
        <v>2364</v>
      </c>
      <c r="H1362" t="s">
        <v>2365</v>
      </c>
      <c r="I1362" t="s">
        <v>2365</v>
      </c>
      <c r="J1362" t="s">
        <v>2365</v>
      </c>
      <c r="K1362" t="s">
        <v>2365</v>
      </c>
      <c r="L1362">
        <v>1200</v>
      </c>
      <c r="M1362" t="s">
        <v>1480</v>
      </c>
      <c r="N1362">
        <v>1204</v>
      </c>
      <c r="O1362" t="s">
        <v>1487</v>
      </c>
      <c r="P1362" t="s">
        <v>2366</v>
      </c>
      <c r="Q1362">
        <v>2010</v>
      </c>
      <c r="R1362" t="s">
        <v>668</v>
      </c>
      <c r="S1362" t="s">
        <v>553</v>
      </c>
      <c r="T1362" t="s">
        <v>2367</v>
      </c>
      <c r="U1362">
        <v>360</v>
      </c>
      <c r="V1362" t="s">
        <v>2368</v>
      </c>
      <c r="W1362">
        <v>360</v>
      </c>
      <c r="X1362" t="s">
        <v>711</v>
      </c>
      <c r="Y1362" t="s">
        <v>2365</v>
      </c>
      <c r="Z1362" t="s">
        <v>2365</v>
      </c>
      <c r="AA1362" t="s">
        <v>2365</v>
      </c>
      <c r="AB1362" t="s">
        <v>2365</v>
      </c>
      <c r="AC1362" s="813" t="s">
        <v>2365</v>
      </c>
      <c r="AD1362" s="813" t="s">
        <v>2365</v>
      </c>
      <c r="AE1362" s="813" t="s">
        <v>2365</v>
      </c>
      <c r="AF1362" t="s">
        <v>2365</v>
      </c>
      <c r="AG1362" t="s">
        <v>2365</v>
      </c>
      <c r="AH1362" t="s">
        <v>2365</v>
      </c>
      <c r="AI1362" t="s">
        <v>2365</v>
      </c>
      <c r="AJ1362" t="s">
        <v>2365</v>
      </c>
      <c r="AK1362">
        <v>363</v>
      </c>
      <c r="AL1362" t="s">
        <v>748</v>
      </c>
      <c r="AM1362">
        <v>363</v>
      </c>
      <c r="AN1362" t="s">
        <v>748</v>
      </c>
      <c r="AR1362" t="s">
        <v>2365</v>
      </c>
      <c r="AS1362" t="s">
        <v>2365</v>
      </c>
      <c r="AT1362" t="s">
        <v>2365</v>
      </c>
      <c r="AU1362" t="s">
        <v>2365</v>
      </c>
      <c r="AV1362" t="s">
        <v>2365</v>
      </c>
      <c r="AW1362" t="s">
        <v>2365</v>
      </c>
      <c r="AX1362" t="s">
        <v>2365</v>
      </c>
      <c r="AY1362" t="s">
        <v>2365</v>
      </c>
      <c r="AZ1362" t="s">
        <v>2365</v>
      </c>
      <c r="BA1362" t="s">
        <v>2365</v>
      </c>
      <c r="BB1362" t="s">
        <v>2365</v>
      </c>
      <c r="BC1362" t="s">
        <v>2365</v>
      </c>
      <c r="BD1362" t="s">
        <v>2366</v>
      </c>
      <c r="BE1362" t="s">
        <v>2365</v>
      </c>
      <c r="BF1362" t="s">
        <v>2365</v>
      </c>
      <c r="BG1362" t="s">
        <v>2365</v>
      </c>
      <c r="BH1362" t="s">
        <v>2365</v>
      </c>
      <c r="BI1362" t="s">
        <v>2366</v>
      </c>
      <c r="BJ1362" t="s">
        <v>2365</v>
      </c>
      <c r="BK1362" t="s">
        <v>2365</v>
      </c>
      <c r="BL1362" t="s">
        <v>2365</v>
      </c>
      <c r="BM1362" t="s">
        <v>2365</v>
      </c>
      <c r="BO1362">
        <v>1</v>
      </c>
      <c r="BP1362">
        <v>11</v>
      </c>
      <c r="BQ1362" t="s">
        <v>2369</v>
      </c>
      <c r="BR1362" t="s">
        <v>1487</v>
      </c>
      <c r="BU1362">
        <v>-15996000</v>
      </c>
      <c r="BV1362">
        <v>0</v>
      </c>
      <c r="BW1362">
        <v>-15996000</v>
      </c>
      <c r="BX1362">
        <v>-15996000</v>
      </c>
      <c r="BY1362">
        <v>0</v>
      </c>
      <c r="BZ1362">
        <v>0</v>
      </c>
      <c r="CA1362">
        <v>0</v>
      </c>
      <c r="CB1362">
        <v>2445523.66</v>
      </c>
      <c r="CC1362">
        <v>417061.12</v>
      </c>
      <c r="CD1362">
        <v>-3509373.83</v>
      </c>
      <c r="CE1362">
        <v>1865917.12</v>
      </c>
      <c r="CF1362">
        <v>554650.44999999995</v>
      </c>
      <c r="CG1362">
        <v>-2666897.06</v>
      </c>
      <c r="CH1362">
        <v>0</v>
      </c>
      <c r="CI1362">
        <v>0</v>
      </c>
      <c r="CJ1362">
        <v>0</v>
      </c>
      <c r="CK1362">
        <v>0</v>
      </c>
      <c r="CL1362">
        <v>0</v>
      </c>
      <c r="CM1362">
        <v>0</v>
      </c>
      <c r="CR1362" t="s">
        <v>2330</v>
      </c>
      <c r="CS1362" s="1369" t="str">
        <f>INDEX([8]Sheet1!$H:$H,MATCH(CR:CR,[8]Sheet1!$AU:$AU,0))</f>
        <v>Water Treatment</v>
      </c>
    </row>
    <row r="1363" spans="1:97" x14ac:dyDescent="0.2">
      <c r="A1363" t="s">
        <v>4409</v>
      </c>
      <c r="B1363">
        <v>1451</v>
      </c>
      <c r="C1363" t="s">
        <v>4409</v>
      </c>
      <c r="D1363">
        <v>51806</v>
      </c>
      <c r="E1363" t="s">
        <v>4410</v>
      </c>
      <c r="F1363" t="s">
        <v>2364</v>
      </c>
      <c r="G1363" t="s">
        <v>2364</v>
      </c>
      <c r="H1363" s="1373" t="s">
        <v>2365</v>
      </c>
      <c r="I1363" t="s">
        <v>2365</v>
      </c>
      <c r="J1363" t="s">
        <v>2365</v>
      </c>
      <c r="K1363" t="s">
        <v>2365</v>
      </c>
      <c r="L1363" s="1373">
        <v>1200</v>
      </c>
      <c r="M1363" t="s">
        <v>1480</v>
      </c>
      <c r="N1363">
        <v>1204</v>
      </c>
      <c r="O1363" t="s">
        <v>1487</v>
      </c>
      <c r="P1363" t="s">
        <v>2366</v>
      </c>
      <c r="Q1363">
        <v>2010</v>
      </c>
      <c r="R1363" t="s">
        <v>668</v>
      </c>
      <c r="S1363" t="s">
        <v>553</v>
      </c>
      <c r="T1363" t="s">
        <v>2367</v>
      </c>
      <c r="U1363">
        <v>360</v>
      </c>
      <c r="V1363" t="s">
        <v>2368</v>
      </c>
      <c r="W1363">
        <v>360</v>
      </c>
      <c r="X1363" t="s">
        <v>711</v>
      </c>
      <c r="Y1363" t="s">
        <v>2365</v>
      </c>
      <c r="Z1363" t="s">
        <v>2365</v>
      </c>
      <c r="AA1363" t="s">
        <v>2365</v>
      </c>
      <c r="AB1363" t="s">
        <v>2365</v>
      </c>
      <c r="AC1363" s="813" t="s">
        <v>2365</v>
      </c>
      <c r="AD1363" s="813" t="s">
        <v>2365</v>
      </c>
      <c r="AE1363" s="813" t="s">
        <v>2365</v>
      </c>
      <c r="AF1363" t="s">
        <v>2365</v>
      </c>
      <c r="AG1363" t="s">
        <v>2365</v>
      </c>
      <c r="AH1363" t="s">
        <v>2365</v>
      </c>
      <c r="AI1363" t="s">
        <v>2365</v>
      </c>
      <c r="AJ1363" t="s">
        <v>2365</v>
      </c>
      <c r="AK1363">
        <v>363</v>
      </c>
      <c r="AL1363" t="s">
        <v>748</v>
      </c>
      <c r="AM1363">
        <v>363</v>
      </c>
      <c r="AN1363" t="s">
        <v>748</v>
      </c>
      <c r="AR1363" t="s">
        <v>2365</v>
      </c>
      <c r="AS1363" t="s">
        <v>2365</v>
      </c>
      <c r="AT1363" t="s">
        <v>2365</v>
      </c>
      <c r="AU1363" t="s">
        <v>2365</v>
      </c>
      <c r="AV1363" t="s">
        <v>2365</v>
      </c>
      <c r="AW1363" t="s">
        <v>2365</v>
      </c>
      <c r="AX1363" t="s">
        <v>2365</v>
      </c>
      <c r="AY1363" t="s">
        <v>2365</v>
      </c>
      <c r="AZ1363" t="s">
        <v>2365</v>
      </c>
      <c r="BA1363" t="s">
        <v>2365</v>
      </c>
      <c r="BB1363" t="s">
        <v>2365</v>
      </c>
      <c r="BC1363" t="s">
        <v>2365</v>
      </c>
      <c r="BD1363" t="s">
        <v>2366</v>
      </c>
      <c r="BE1363" t="s">
        <v>2365</v>
      </c>
      <c r="BF1363" t="s">
        <v>2365</v>
      </c>
      <c r="BG1363" t="s">
        <v>2365</v>
      </c>
      <c r="BH1363" t="s">
        <v>2365</v>
      </c>
      <c r="BI1363" t="s">
        <v>2366</v>
      </c>
      <c r="BJ1363" t="s">
        <v>2365</v>
      </c>
      <c r="BK1363" t="s">
        <v>2365</v>
      </c>
      <c r="BL1363" t="s">
        <v>2365</v>
      </c>
      <c r="BM1363" t="s">
        <v>2365</v>
      </c>
      <c r="BO1363">
        <v>1</v>
      </c>
      <c r="BP1363">
        <v>11</v>
      </c>
      <c r="BQ1363" t="s">
        <v>2369</v>
      </c>
      <c r="BR1363" t="s">
        <v>1487</v>
      </c>
      <c r="BU1363" s="1371">
        <v>0</v>
      </c>
      <c r="BV1363" s="1371">
        <v>0</v>
      </c>
      <c r="BW1363" s="1371">
        <v>0</v>
      </c>
      <c r="BX1363" s="1371">
        <v>0</v>
      </c>
      <c r="BY1363" s="1371">
        <v>0</v>
      </c>
      <c r="BZ1363">
        <v>0</v>
      </c>
      <c r="CA1363">
        <v>0</v>
      </c>
      <c r="CB1363">
        <v>0</v>
      </c>
      <c r="CC1363">
        <v>0</v>
      </c>
      <c r="CD1363">
        <v>0</v>
      </c>
      <c r="CE1363">
        <v>0</v>
      </c>
      <c r="CF1363">
        <v>0</v>
      </c>
      <c r="CG1363">
        <v>0</v>
      </c>
      <c r="CH1363">
        <v>0</v>
      </c>
      <c r="CI1363">
        <v>0</v>
      </c>
      <c r="CJ1363">
        <v>0</v>
      </c>
      <c r="CK1363">
        <v>0</v>
      </c>
      <c r="CL1363">
        <v>0</v>
      </c>
      <c r="CM1363">
        <v>0</v>
      </c>
      <c r="CR1363" t="s">
        <v>2330</v>
      </c>
      <c r="CS1363" s="1369" t="str">
        <f>INDEX([8]Sheet1!$H:$H,MATCH(CR:CR,[8]Sheet1!$AU:$AU,0))</f>
        <v>Water Treatment</v>
      </c>
    </row>
    <row r="1364" spans="1:97" x14ac:dyDescent="0.2">
      <c r="A1364" t="s">
        <v>4411</v>
      </c>
      <c r="B1364">
        <v>1452</v>
      </c>
      <c r="C1364" t="s">
        <v>4411</v>
      </c>
      <c r="D1364">
        <v>51807</v>
      </c>
      <c r="E1364" t="s">
        <v>4395</v>
      </c>
      <c r="F1364" t="s">
        <v>2364</v>
      </c>
      <c r="G1364" t="s">
        <v>2364</v>
      </c>
      <c r="H1364" t="s">
        <v>2365</v>
      </c>
      <c r="I1364" t="s">
        <v>2365</v>
      </c>
      <c r="J1364" t="s">
        <v>2365</v>
      </c>
      <c r="K1364" t="s">
        <v>2365</v>
      </c>
      <c r="L1364">
        <v>1200</v>
      </c>
      <c r="M1364" t="s">
        <v>1480</v>
      </c>
      <c r="N1364">
        <v>1204</v>
      </c>
      <c r="O1364" t="s">
        <v>1487</v>
      </c>
      <c r="P1364" t="s">
        <v>2366</v>
      </c>
      <c r="Q1364" t="s">
        <v>2364</v>
      </c>
      <c r="R1364" t="s">
        <v>2364</v>
      </c>
      <c r="S1364" t="s">
        <v>553</v>
      </c>
      <c r="T1364" t="s">
        <v>2367</v>
      </c>
      <c r="U1364">
        <v>360</v>
      </c>
      <c r="V1364" t="s">
        <v>2368</v>
      </c>
      <c r="W1364">
        <v>360</v>
      </c>
      <c r="X1364" t="s">
        <v>711</v>
      </c>
      <c r="Y1364" t="s">
        <v>2365</v>
      </c>
      <c r="Z1364" t="s">
        <v>2365</v>
      </c>
      <c r="AA1364" t="s">
        <v>2365</v>
      </c>
      <c r="AB1364" t="s">
        <v>2365</v>
      </c>
      <c r="AC1364" s="813" t="s">
        <v>2365</v>
      </c>
      <c r="AD1364" s="813" t="s">
        <v>2365</v>
      </c>
      <c r="AE1364" s="813" t="s">
        <v>2365</v>
      </c>
      <c r="AF1364" t="s">
        <v>2365</v>
      </c>
      <c r="AG1364" t="s">
        <v>2365</v>
      </c>
      <c r="AH1364" t="s">
        <v>2365</v>
      </c>
      <c r="AI1364" t="s">
        <v>2365</v>
      </c>
      <c r="AJ1364" t="s">
        <v>2365</v>
      </c>
      <c r="AK1364">
        <v>363</v>
      </c>
      <c r="AL1364" t="s">
        <v>748</v>
      </c>
      <c r="AM1364">
        <v>363</v>
      </c>
      <c r="AN1364" t="s">
        <v>748</v>
      </c>
      <c r="AR1364" t="s">
        <v>2365</v>
      </c>
      <c r="AS1364" t="s">
        <v>2365</v>
      </c>
      <c r="AT1364" t="s">
        <v>2365</v>
      </c>
      <c r="AU1364" t="s">
        <v>2365</v>
      </c>
      <c r="AV1364" t="s">
        <v>2365</v>
      </c>
      <c r="AW1364" t="s">
        <v>2365</v>
      </c>
      <c r="AX1364" t="s">
        <v>2365</v>
      </c>
      <c r="AY1364" t="s">
        <v>2365</v>
      </c>
      <c r="AZ1364" t="s">
        <v>2365</v>
      </c>
      <c r="BA1364" t="s">
        <v>2365</v>
      </c>
      <c r="BB1364" t="s">
        <v>2365</v>
      </c>
      <c r="BC1364" t="s">
        <v>2365</v>
      </c>
      <c r="BD1364" t="s">
        <v>2366</v>
      </c>
      <c r="BE1364" t="s">
        <v>2365</v>
      </c>
      <c r="BF1364" t="s">
        <v>2365</v>
      </c>
      <c r="BG1364" t="s">
        <v>2365</v>
      </c>
      <c r="BH1364" t="s">
        <v>2365</v>
      </c>
      <c r="BI1364" t="s">
        <v>2366</v>
      </c>
      <c r="BJ1364" t="s">
        <v>2365</v>
      </c>
      <c r="BK1364" t="s">
        <v>2365</v>
      </c>
      <c r="BL1364" t="s">
        <v>2365</v>
      </c>
      <c r="BM1364" t="s">
        <v>2365</v>
      </c>
      <c r="BO1364">
        <v>1</v>
      </c>
      <c r="BP1364">
        <v>11</v>
      </c>
      <c r="BQ1364" t="s">
        <v>2369</v>
      </c>
      <c r="BR1364" t="s">
        <v>1487</v>
      </c>
      <c r="BU1364">
        <v>0</v>
      </c>
      <c r="BV1364">
        <v>0</v>
      </c>
      <c r="BW1364">
        <v>0</v>
      </c>
      <c r="BX1364">
        <v>0</v>
      </c>
      <c r="BY1364">
        <v>0</v>
      </c>
      <c r="BZ1364">
        <v>0</v>
      </c>
      <c r="CA1364">
        <v>0</v>
      </c>
      <c r="CB1364">
        <v>0</v>
      </c>
      <c r="CC1364">
        <v>0</v>
      </c>
      <c r="CD1364">
        <v>0</v>
      </c>
      <c r="CE1364">
        <v>0</v>
      </c>
      <c r="CF1364">
        <v>0</v>
      </c>
      <c r="CG1364">
        <v>0</v>
      </c>
      <c r="CH1364">
        <v>0</v>
      </c>
      <c r="CI1364">
        <v>0</v>
      </c>
      <c r="CJ1364">
        <v>0</v>
      </c>
      <c r="CK1364">
        <v>0</v>
      </c>
      <c r="CL1364">
        <v>0</v>
      </c>
      <c r="CM1364">
        <v>0</v>
      </c>
      <c r="CR1364" t="s">
        <v>2328</v>
      </c>
      <c r="CS1364" s="1369" t="str">
        <f>INDEX([8]Sheet1!$H:$H,MATCH(CR:CR,[8]Sheet1!$AU:$AU,0))</f>
        <v>Water Distribution</v>
      </c>
    </row>
    <row r="1365" spans="1:97" x14ac:dyDescent="0.2">
      <c r="A1365" t="s">
        <v>4412</v>
      </c>
      <c r="B1365">
        <v>1453</v>
      </c>
      <c r="C1365" t="s">
        <v>4412</v>
      </c>
      <c r="D1365">
        <v>51808</v>
      </c>
      <c r="E1365" t="s">
        <v>4413</v>
      </c>
      <c r="F1365" t="s">
        <v>2364</v>
      </c>
      <c r="G1365" t="s">
        <v>2364</v>
      </c>
      <c r="H1365" t="s">
        <v>2365</v>
      </c>
      <c r="I1365" t="s">
        <v>2365</v>
      </c>
      <c r="J1365" t="s">
        <v>2365</v>
      </c>
      <c r="K1365" t="s">
        <v>2365</v>
      </c>
      <c r="L1365">
        <v>1200</v>
      </c>
      <c r="M1365" t="s">
        <v>1480</v>
      </c>
      <c r="N1365">
        <v>1204</v>
      </c>
      <c r="O1365" t="s">
        <v>1487</v>
      </c>
      <c r="P1365" t="s">
        <v>2366</v>
      </c>
      <c r="Q1365" t="s">
        <v>2364</v>
      </c>
      <c r="R1365" t="s">
        <v>2364</v>
      </c>
      <c r="S1365" t="s">
        <v>553</v>
      </c>
      <c r="T1365" t="s">
        <v>2367</v>
      </c>
      <c r="U1365">
        <v>360</v>
      </c>
      <c r="V1365" t="s">
        <v>2368</v>
      </c>
      <c r="W1365">
        <v>360</v>
      </c>
      <c r="X1365" t="s">
        <v>711</v>
      </c>
      <c r="Y1365" t="s">
        <v>2365</v>
      </c>
      <c r="Z1365" t="s">
        <v>2365</v>
      </c>
      <c r="AA1365" t="s">
        <v>2365</v>
      </c>
      <c r="AB1365" t="s">
        <v>2365</v>
      </c>
      <c r="AC1365" s="813" t="s">
        <v>2365</v>
      </c>
      <c r="AD1365" s="813" t="s">
        <v>2365</v>
      </c>
      <c r="AE1365" s="813" t="s">
        <v>2365</v>
      </c>
      <c r="AF1365" t="s">
        <v>2365</v>
      </c>
      <c r="AG1365" t="s">
        <v>2365</v>
      </c>
      <c r="AH1365" t="s">
        <v>2365</v>
      </c>
      <c r="AI1365" t="s">
        <v>2365</v>
      </c>
      <c r="AJ1365" t="s">
        <v>2365</v>
      </c>
      <c r="AK1365">
        <v>363</v>
      </c>
      <c r="AL1365" t="s">
        <v>748</v>
      </c>
      <c r="AM1365">
        <v>363</v>
      </c>
      <c r="AN1365" t="s">
        <v>748</v>
      </c>
      <c r="AR1365" t="s">
        <v>2365</v>
      </c>
      <c r="AS1365" t="s">
        <v>2365</v>
      </c>
      <c r="AT1365" t="s">
        <v>2365</v>
      </c>
      <c r="AU1365" t="s">
        <v>2365</v>
      </c>
      <c r="AV1365" t="s">
        <v>2365</v>
      </c>
      <c r="AW1365" t="s">
        <v>2365</v>
      </c>
      <c r="AX1365" t="s">
        <v>2365</v>
      </c>
      <c r="AY1365" t="s">
        <v>2365</v>
      </c>
      <c r="AZ1365" t="s">
        <v>2365</v>
      </c>
      <c r="BA1365" t="s">
        <v>2365</v>
      </c>
      <c r="BB1365" t="s">
        <v>2365</v>
      </c>
      <c r="BC1365" t="s">
        <v>2365</v>
      </c>
      <c r="BD1365" t="s">
        <v>2366</v>
      </c>
      <c r="BE1365" t="s">
        <v>2365</v>
      </c>
      <c r="BF1365" t="s">
        <v>2365</v>
      </c>
      <c r="BG1365" t="s">
        <v>2365</v>
      </c>
      <c r="BH1365" t="s">
        <v>2365</v>
      </c>
      <c r="BI1365" t="s">
        <v>2366</v>
      </c>
      <c r="BJ1365" t="s">
        <v>2365</v>
      </c>
      <c r="BK1365" t="s">
        <v>2365</v>
      </c>
      <c r="BL1365" t="s">
        <v>2365</v>
      </c>
      <c r="BM1365" t="s">
        <v>2365</v>
      </c>
      <c r="BO1365">
        <v>1</v>
      </c>
      <c r="BP1365">
        <v>11</v>
      </c>
      <c r="BQ1365" t="s">
        <v>2369</v>
      </c>
      <c r="BR1365" t="s">
        <v>1487</v>
      </c>
      <c r="BU1365">
        <v>0</v>
      </c>
      <c r="BV1365">
        <v>0</v>
      </c>
      <c r="BW1365">
        <v>0</v>
      </c>
      <c r="BX1365">
        <v>0</v>
      </c>
      <c r="BY1365">
        <v>0</v>
      </c>
      <c r="BZ1365">
        <v>0</v>
      </c>
      <c r="CA1365">
        <v>0</v>
      </c>
      <c r="CB1365">
        <v>0</v>
      </c>
      <c r="CC1365">
        <v>0</v>
      </c>
      <c r="CD1365">
        <v>0</v>
      </c>
      <c r="CE1365">
        <v>0</v>
      </c>
      <c r="CF1365">
        <v>0</v>
      </c>
      <c r="CG1365">
        <v>0</v>
      </c>
      <c r="CH1365">
        <v>0</v>
      </c>
      <c r="CI1365">
        <v>0</v>
      </c>
      <c r="CJ1365">
        <v>0</v>
      </c>
      <c r="CK1365">
        <v>0</v>
      </c>
      <c r="CL1365">
        <v>0</v>
      </c>
      <c r="CM1365">
        <v>0</v>
      </c>
      <c r="CR1365" t="s">
        <v>2330</v>
      </c>
      <c r="CS1365" s="1369" t="str">
        <f>INDEX([8]Sheet1!$H:$H,MATCH(CR:CR,[8]Sheet1!$AU:$AU,0))</f>
        <v>Water Treatment</v>
      </c>
    </row>
    <row r="1366" spans="1:97" x14ac:dyDescent="0.2">
      <c r="A1366" t="s">
        <v>4414</v>
      </c>
      <c r="B1366">
        <v>1454</v>
      </c>
      <c r="C1366" t="s">
        <v>4414</v>
      </c>
      <c r="D1366">
        <v>51809</v>
      </c>
      <c r="E1366" t="s">
        <v>2413</v>
      </c>
      <c r="F1366" t="s">
        <v>2364</v>
      </c>
      <c r="G1366" t="s">
        <v>2364</v>
      </c>
      <c r="H1366" t="s">
        <v>2365</v>
      </c>
      <c r="I1366" t="s">
        <v>2365</v>
      </c>
      <c r="J1366" t="s">
        <v>2365</v>
      </c>
      <c r="K1366" t="s">
        <v>2365</v>
      </c>
      <c r="L1366">
        <v>1200</v>
      </c>
      <c r="M1366" t="s">
        <v>1480</v>
      </c>
      <c r="N1366">
        <v>1204</v>
      </c>
      <c r="O1366" t="s">
        <v>1487</v>
      </c>
      <c r="P1366" t="s">
        <v>2366</v>
      </c>
      <c r="Q1366" t="s">
        <v>2364</v>
      </c>
      <c r="R1366" t="s">
        <v>2364</v>
      </c>
      <c r="S1366" t="s">
        <v>553</v>
      </c>
      <c r="T1366" t="s">
        <v>2367</v>
      </c>
      <c r="U1366">
        <v>360</v>
      </c>
      <c r="V1366" t="s">
        <v>2368</v>
      </c>
      <c r="W1366">
        <v>360</v>
      </c>
      <c r="X1366" t="s">
        <v>711</v>
      </c>
      <c r="Y1366" t="s">
        <v>2365</v>
      </c>
      <c r="Z1366" t="s">
        <v>2365</v>
      </c>
      <c r="AA1366" t="s">
        <v>2365</v>
      </c>
      <c r="AB1366" t="s">
        <v>2365</v>
      </c>
      <c r="AC1366" s="813" t="s">
        <v>2365</v>
      </c>
      <c r="AD1366" s="813" t="s">
        <v>2365</v>
      </c>
      <c r="AE1366" s="813" t="s">
        <v>2365</v>
      </c>
      <c r="AF1366" t="s">
        <v>2365</v>
      </c>
      <c r="AG1366" t="s">
        <v>2365</v>
      </c>
      <c r="AH1366" t="s">
        <v>2365</v>
      </c>
      <c r="AI1366" t="s">
        <v>2365</v>
      </c>
      <c r="AJ1366" t="s">
        <v>2365</v>
      </c>
      <c r="AK1366">
        <v>363</v>
      </c>
      <c r="AL1366" t="s">
        <v>748</v>
      </c>
      <c r="AM1366">
        <v>363</v>
      </c>
      <c r="AN1366" t="s">
        <v>748</v>
      </c>
      <c r="AR1366" t="s">
        <v>2365</v>
      </c>
      <c r="AS1366" t="s">
        <v>2365</v>
      </c>
      <c r="AT1366" t="s">
        <v>2365</v>
      </c>
      <c r="AU1366" t="s">
        <v>2365</v>
      </c>
      <c r="AV1366" t="s">
        <v>2365</v>
      </c>
      <c r="AW1366" t="s">
        <v>2365</v>
      </c>
      <c r="AX1366" t="s">
        <v>2365</v>
      </c>
      <c r="AY1366" t="s">
        <v>2365</v>
      </c>
      <c r="AZ1366" t="s">
        <v>2365</v>
      </c>
      <c r="BA1366" t="s">
        <v>2365</v>
      </c>
      <c r="BB1366" t="s">
        <v>2365</v>
      </c>
      <c r="BC1366" t="s">
        <v>2365</v>
      </c>
      <c r="BD1366" t="s">
        <v>2366</v>
      </c>
      <c r="BE1366" t="s">
        <v>2365</v>
      </c>
      <c r="BF1366" t="s">
        <v>2365</v>
      </c>
      <c r="BG1366" t="s">
        <v>2365</v>
      </c>
      <c r="BH1366" t="s">
        <v>2365</v>
      </c>
      <c r="BI1366" t="s">
        <v>2366</v>
      </c>
      <c r="BJ1366" t="s">
        <v>2365</v>
      </c>
      <c r="BK1366" t="s">
        <v>2365</v>
      </c>
      <c r="BL1366" t="s">
        <v>2365</v>
      </c>
      <c r="BM1366" t="s">
        <v>2365</v>
      </c>
      <c r="BO1366">
        <v>1</v>
      </c>
      <c r="BP1366">
        <v>11</v>
      </c>
      <c r="BQ1366" t="s">
        <v>2369</v>
      </c>
      <c r="BR1366" t="s">
        <v>1487</v>
      </c>
      <c r="BU1366">
        <v>2800000</v>
      </c>
      <c r="BV1366">
        <v>0</v>
      </c>
      <c r="BW1366">
        <v>2800000</v>
      </c>
      <c r="BX1366">
        <v>-2800000</v>
      </c>
      <c r="BY1366">
        <v>0</v>
      </c>
      <c r="BZ1366">
        <v>0</v>
      </c>
      <c r="CA1366">
        <v>0</v>
      </c>
      <c r="CB1366">
        <v>0</v>
      </c>
      <c r="CC1366">
        <v>0</v>
      </c>
      <c r="CD1366">
        <v>0</v>
      </c>
      <c r="CE1366">
        <v>0</v>
      </c>
      <c r="CF1366">
        <v>0</v>
      </c>
      <c r="CG1366">
        <v>0</v>
      </c>
      <c r="CH1366">
        <v>0</v>
      </c>
      <c r="CI1366">
        <v>0</v>
      </c>
      <c r="CJ1366">
        <v>0</v>
      </c>
      <c r="CK1366">
        <v>0</v>
      </c>
      <c r="CL1366">
        <v>0</v>
      </c>
      <c r="CM1366">
        <v>0</v>
      </c>
      <c r="CR1366" t="s">
        <v>2330</v>
      </c>
      <c r="CS1366" s="1369" t="str">
        <f>INDEX([8]Sheet1!$H:$H,MATCH(CR:CR,[8]Sheet1!$AU:$AU,0))</f>
        <v>Water Treatment</v>
      </c>
    </row>
    <row r="1367" spans="1:97" x14ac:dyDescent="0.2">
      <c r="A1367" t="s">
        <v>4415</v>
      </c>
      <c r="B1367">
        <v>1455</v>
      </c>
      <c r="C1367" t="s">
        <v>4415</v>
      </c>
      <c r="D1367">
        <v>51810</v>
      </c>
      <c r="E1367" t="s">
        <v>4416</v>
      </c>
      <c r="F1367" t="s">
        <v>2364</v>
      </c>
      <c r="G1367" t="s">
        <v>2364</v>
      </c>
      <c r="H1367" t="s">
        <v>2365</v>
      </c>
      <c r="I1367" t="s">
        <v>2365</v>
      </c>
      <c r="J1367" t="s">
        <v>2365</v>
      </c>
      <c r="K1367" t="s">
        <v>2365</v>
      </c>
      <c r="L1367">
        <v>4100</v>
      </c>
      <c r="M1367" t="s">
        <v>1482</v>
      </c>
      <c r="N1367">
        <v>4101</v>
      </c>
      <c r="O1367" t="s">
        <v>1550</v>
      </c>
      <c r="P1367" t="s">
        <v>2366</v>
      </c>
      <c r="Q1367">
        <v>2010</v>
      </c>
      <c r="R1367" t="s">
        <v>668</v>
      </c>
      <c r="S1367" t="s">
        <v>553</v>
      </c>
      <c r="T1367" t="s">
        <v>2367</v>
      </c>
      <c r="U1367">
        <v>360</v>
      </c>
      <c r="V1367" t="s">
        <v>2368</v>
      </c>
      <c r="W1367">
        <v>360</v>
      </c>
      <c r="X1367" t="s">
        <v>711</v>
      </c>
      <c r="Y1367" t="s">
        <v>2365</v>
      </c>
      <c r="Z1367" t="s">
        <v>2365</v>
      </c>
      <c r="AA1367" t="s">
        <v>2365</v>
      </c>
      <c r="AB1367" t="s">
        <v>2365</v>
      </c>
      <c r="AC1367" s="813" t="s">
        <v>2365</v>
      </c>
      <c r="AD1367" s="813" t="s">
        <v>2365</v>
      </c>
      <c r="AE1367" s="813" t="s">
        <v>2365</v>
      </c>
      <c r="AF1367" t="s">
        <v>2365</v>
      </c>
      <c r="AG1367" t="s">
        <v>2365</v>
      </c>
      <c r="AH1367" t="s">
        <v>2365</v>
      </c>
      <c r="AI1367" t="s">
        <v>2365</v>
      </c>
      <c r="AJ1367" t="s">
        <v>2365</v>
      </c>
      <c r="AK1367">
        <v>363</v>
      </c>
      <c r="AL1367" t="s">
        <v>748</v>
      </c>
      <c r="AM1367">
        <v>363</v>
      </c>
      <c r="AN1367" t="s">
        <v>748</v>
      </c>
      <c r="AR1367" t="s">
        <v>2365</v>
      </c>
      <c r="AS1367" t="s">
        <v>2365</v>
      </c>
      <c r="AT1367" t="s">
        <v>2365</v>
      </c>
      <c r="AU1367" t="s">
        <v>2365</v>
      </c>
      <c r="AV1367" t="s">
        <v>2365</v>
      </c>
      <c r="AW1367" t="s">
        <v>2365</v>
      </c>
      <c r="AX1367" t="s">
        <v>2365</v>
      </c>
      <c r="AY1367" t="s">
        <v>2365</v>
      </c>
      <c r="AZ1367" t="s">
        <v>2365</v>
      </c>
      <c r="BA1367" t="s">
        <v>2365</v>
      </c>
      <c r="BB1367" t="s">
        <v>2365</v>
      </c>
      <c r="BC1367" t="s">
        <v>2365</v>
      </c>
      <c r="BD1367" t="s">
        <v>2366</v>
      </c>
      <c r="BE1367" t="s">
        <v>2365</v>
      </c>
      <c r="BF1367" t="s">
        <v>2365</v>
      </c>
      <c r="BG1367" t="s">
        <v>2365</v>
      </c>
      <c r="BH1367" t="s">
        <v>2365</v>
      </c>
      <c r="BI1367" t="s">
        <v>2366</v>
      </c>
      <c r="BJ1367" t="s">
        <v>2365</v>
      </c>
      <c r="BK1367" t="s">
        <v>2365</v>
      </c>
      <c r="BL1367" t="s">
        <v>2365</v>
      </c>
      <c r="BM1367" t="s">
        <v>2365</v>
      </c>
      <c r="BO1367">
        <v>6</v>
      </c>
      <c r="BP1367">
        <v>61</v>
      </c>
      <c r="BQ1367" t="s">
        <v>2445</v>
      </c>
      <c r="BR1367" t="s">
        <v>628</v>
      </c>
      <c r="BU1367">
        <v>0</v>
      </c>
      <c r="BV1367">
        <v>0</v>
      </c>
      <c r="BW1367">
        <v>0</v>
      </c>
      <c r="BX1367">
        <v>0</v>
      </c>
      <c r="BY1367">
        <v>0</v>
      </c>
      <c r="BZ1367">
        <v>0</v>
      </c>
      <c r="CA1367">
        <v>0</v>
      </c>
      <c r="CB1367">
        <v>0</v>
      </c>
      <c r="CC1367">
        <v>0</v>
      </c>
      <c r="CD1367">
        <v>0</v>
      </c>
      <c r="CE1367">
        <v>0</v>
      </c>
      <c r="CF1367">
        <v>0</v>
      </c>
      <c r="CG1367">
        <v>0</v>
      </c>
      <c r="CH1367">
        <v>0</v>
      </c>
      <c r="CI1367">
        <v>0</v>
      </c>
      <c r="CJ1367">
        <v>0</v>
      </c>
      <c r="CK1367">
        <v>0</v>
      </c>
      <c r="CL1367">
        <v>0</v>
      </c>
      <c r="CM1367">
        <v>0</v>
      </c>
      <c r="CR1367" t="s">
        <v>2330</v>
      </c>
      <c r="CS1367" s="1369" t="str">
        <f>INDEX([8]Sheet1!$H:$H,MATCH(CR:CR,[8]Sheet1!$AU:$AU,0))</f>
        <v>Water Treatment</v>
      </c>
    </row>
    <row r="1368" spans="1:97" x14ac:dyDescent="0.2">
      <c r="A1368" t="s">
        <v>4417</v>
      </c>
      <c r="B1368">
        <v>1456</v>
      </c>
      <c r="C1368" t="s">
        <v>4417</v>
      </c>
      <c r="D1368">
        <v>51811</v>
      </c>
      <c r="E1368" t="s">
        <v>2411</v>
      </c>
      <c r="F1368" t="s">
        <v>2364</v>
      </c>
      <c r="G1368" t="s">
        <v>2364</v>
      </c>
      <c r="H1368" t="s">
        <v>2365</v>
      </c>
      <c r="I1368" t="s">
        <v>2365</v>
      </c>
      <c r="J1368" t="s">
        <v>2365</v>
      </c>
      <c r="K1368" t="s">
        <v>2365</v>
      </c>
      <c r="L1368">
        <v>1200</v>
      </c>
      <c r="M1368" t="s">
        <v>1480</v>
      </c>
      <c r="N1368">
        <v>1204</v>
      </c>
      <c r="O1368" t="s">
        <v>1487</v>
      </c>
      <c r="P1368" t="s">
        <v>2366</v>
      </c>
      <c r="Q1368" t="s">
        <v>2364</v>
      </c>
      <c r="R1368" t="s">
        <v>2364</v>
      </c>
      <c r="S1368" t="s">
        <v>553</v>
      </c>
      <c r="T1368" t="s">
        <v>2367</v>
      </c>
      <c r="U1368">
        <v>360</v>
      </c>
      <c r="V1368" t="s">
        <v>2368</v>
      </c>
      <c r="W1368">
        <v>360</v>
      </c>
      <c r="X1368" t="s">
        <v>711</v>
      </c>
      <c r="Y1368" t="s">
        <v>2365</v>
      </c>
      <c r="Z1368" t="s">
        <v>2365</v>
      </c>
      <c r="AA1368" t="s">
        <v>2365</v>
      </c>
      <c r="AB1368" t="s">
        <v>2365</v>
      </c>
      <c r="AC1368" s="813" t="s">
        <v>2365</v>
      </c>
      <c r="AD1368" s="813" t="s">
        <v>2365</v>
      </c>
      <c r="AE1368" s="813" t="s">
        <v>2365</v>
      </c>
      <c r="AF1368" t="s">
        <v>2365</v>
      </c>
      <c r="AG1368" t="s">
        <v>2365</v>
      </c>
      <c r="AH1368" t="s">
        <v>2365</v>
      </c>
      <c r="AI1368" t="s">
        <v>2365</v>
      </c>
      <c r="AJ1368" t="s">
        <v>2365</v>
      </c>
      <c r="AK1368">
        <v>363</v>
      </c>
      <c r="AL1368" t="s">
        <v>748</v>
      </c>
      <c r="AM1368">
        <v>363</v>
      </c>
      <c r="AN1368" t="s">
        <v>748</v>
      </c>
      <c r="AR1368" t="s">
        <v>2365</v>
      </c>
      <c r="AS1368" t="s">
        <v>2365</v>
      </c>
      <c r="AT1368" t="s">
        <v>2365</v>
      </c>
      <c r="AU1368" t="s">
        <v>2365</v>
      </c>
      <c r="AV1368" t="s">
        <v>2365</v>
      </c>
      <c r="AW1368" t="s">
        <v>2365</v>
      </c>
      <c r="AX1368" t="s">
        <v>2365</v>
      </c>
      <c r="AY1368" t="s">
        <v>2365</v>
      </c>
      <c r="AZ1368" t="s">
        <v>2365</v>
      </c>
      <c r="BA1368" t="s">
        <v>2365</v>
      </c>
      <c r="BB1368" t="s">
        <v>2365</v>
      </c>
      <c r="BC1368" t="s">
        <v>2365</v>
      </c>
      <c r="BD1368" t="s">
        <v>2366</v>
      </c>
      <c r="BE1368" t="s">
        <v>2365</v>
      </c>
      <c r="BF1368" t="s">
        <v>2365</v>
      </c>
      <c r="BG1368" t="s">
        <v>2365</v>
      </c>
      <c r="BH1368" t="s">
        <v>2365</v>
      </c>
      <c r="BI1368" t="s">
        <v>2366</v>
      </c>
      <c r="BJ1368" t="s">
        <v>2365</v>
      </c>
      <c r="BK1368" t="s">
        <v>2365</v>
      </c>
      <c r="BL1368" t="s">
        <v>2365</v>
      </c>
      <c r="BM1368" t="s">
        <v>2365</v>
      </c>
      <c r="BO1368">
        <v>1</v>
      </c>
      <c r="BP1368">
        <v>11</v>
      </c>
      <c r="BQ1368" t="s">
        <v>2369</v>
      </c>
      <c r="BR1368" t="s">
        <v>1487</v>
      </c>
      <c r="BU1368">
        <v>1143000</v>
      </c>
      <c r="BV1368">
        <v>0</v>
      </c>
      <c r="BW1368">
        <v>1143000</v>
      </c>
      <c r="BX1368">
        <v>-1143000</v>
      </c>
      <c r="BY1368">
        <v>0</v>
      </c>
      <c r="BZ1368">
        <v>0</v>
      </c>
      <c r="CA1368">
        <v>0</v>
      </c>
      <c r="CB1368">
        <v>0</v>
      </c>
      <c r="CC1368">
        <v>0</v>
      </c>
      <c r="CD1368">
        <v>0</v>
      </c>
      <c r="CE1368">
        <v>0</v>
      </c>
      <c r="CF1368">
        <v>0</v>
      </c>
      <c r="CG1368">
        <v>0</v>
      </c>
      <c r="CH1368">
        <v>0</v>
      </c>
      <c r="CI1368">
        <v>0</v>
      </c>
      <c r="CJ1368">
        <v>0</v>
      </c>
      <c r="CK1368">
        <v>0</v>
      </c>
      <c r="CL1368">
        <v>0</v>
      </c>
      <c r="CM1368">
        <v>0</v>
      </c>
      <c r="CR1368" t="s">
        <v>2330</v>
      </c>
      <c r="CS1368" s="1369" t="str">
        <f>INDEX([8]Sheet1!$H:$H,MATCH(CR:CR,[8]Sheet1!$AU:$AU,0))</f>
        <v>Water Treatment</v>
      </c>
    </row>
    <row r="1369" spans="1:97" x14ac:dyDescent="0.2">
      <c r="A1369" t="s">
        <v>4418</v>
      </c>
      <c r="B1369">
        <v>1457</v>
      </c>
      <c r="C1369" t="s">
        <v>4418</v>
      </c>
      <c r="D1369">
        <v>51812</v>
      </c>
      <c r="E1369" t="s">
        <v>4419</v>
      </c>
      <c r="F1369" t="s">
        <v>2364</v>
      </c>
      <c r="G1369" t="s">
        <v>2364</v>
      </c>
      <c r="H1369" t="s">
        <v>2365</v>
      </c>
      <c r="I1369" t="s">
        <v>2365</v>
      </c>
      <c r="J1369" t="s">
        <v>2365</v>
      </c>
      <c r="K1369" t="s">
        <v>2365</v>
      </c>
      <c r="L1369">
        <v>1200</v>
      </c>
      <c r="M1369" t="s">
        <v>1480</v>
      </c>
      <c r="N1369">
        <v>1204</v>
      </c>
      <c r="O1369" t="s">
        <v>1487</v>
      </c>
      <c r="P1369" t="s">
        <v>2366</v>
      </c>
      <c r="Q1369" t="s">
        <v>2364</v>
      </c>
      <c r="R1369" t="s">
        <v>2364</v>
      </c>
      <c r="S1369" t="s">
        <v>553</v>
      </c>
      <c r="T1369" t="s">
        <v>2367</v>
      </c>
      <c r="U1369">
        <v>360</v>
      </c>
      <c r="V1369" t="s">
        <v>2368</v>
      </c>
      <c r="W1369">
        <v>360</v>
      </c>
      <c r="X1369" t="s">
        <v>711</v>
      </c>
      <c r="Y1369" t="s">
        <v>2365</v>
      </c>
      <c r="Z1369" t="s">
        <v>2365</v>
      </c>
      <c r="AA1369" t="s">
        <v>2365</v>
      </c>
      <c r="AB1369" t="s">
        <v>2365</v>
      </c>
      <c r="AC1369" s="813" t="s">
        <v>2365</v>
      </c>
      <c r="AD1369" s="813" t="s">
        <v>2365</v>
      </c>
      <c r="AE1369" s="813" t="s">
        <v>2365</v>
      </c>
      <c r="AF1369" t="s">
        <v>2365</v>
      </c>
      <c r="AG1369" t="s">
        <v>2365</v>
      </c>
      <c r="AH1369" t="s">
        <v>2365</v>
      </c>
      <c r="AI1369" t="s">
        <v>2365</v>
      </c>
      <c r="AJ1369" t="s">
        <v>2365</v>
      </c>
      <c r="AK1369">
        <v>363</v>
      </c>
      <c r="AL1369" t="s">
        <v>748</v>
      </c>
      <c r="AM1369">
        <v>363</v>
      </c>
      <c r="AN1369" t="s">
        <v>748</v>
      </c>
      <c r="AR1369" t="s">
        <v>2365</v>
      </c>
      <c r="AS1369" t="s">
        <v>2365</v>
      </c>
      <c r="AT1369" t="s">
        <v>2365</v>
      </c>
      <c r="AU1369" t="s">
        <v>2365</v>
      </c>
      <c r="AV1369" t="s">
        <v>2365</v>
      </c>
      <c r="AW1369" t="s">
        <v>2365</v>
      </c>
      <c r="AX1369" t="s">
        <v>2365</v>
      </c>
      <c r="AY1369" t="s">
        <v>2365</v>
      </c>
      <c r="AZ1369" t="s">
        <v>2365</v>
      </c>
      <c r="BA1369" t="s">
        <v>2365</v>
      </c>
      <c r="BB1369" t="s">
        <v>2365</v>
      </c>
      <c r="BC1369" t="s">
        <v>2365</v>
      </c>
      <c r="BD1369" t="s">
        <v>2366</v>
      </c>
      <c r="BE1369" t="s">
        <v>2365</v>
      </c>
      <c r="BF1369" t="s">
        <v>2365</v>
      </c>
      <c r="BG1369" t="s">
        <v>2365</v>
      </c>
      <c r="BH1369" t="s">
        <v>2365</v>
      </c>
      <c r="BI1369" t="s">
        <v>2366</v>
      </c>
      <c r="BJ1369" t="s">
        <v>2365</v>
      </c>
      <c r="BK1369" t="s">
        <v>2365</v>
      </c>
      <c r="BL1369" t="s">
        <v>2365</v>
      </c>
      <c r="BM1369" t="s">
        <v>2365</v>
      </c>
      <c r="BO1369">
        <v>1</v>
      </c>
      <c r="BP1369">
        <v>11</v>
      </c>
      <c r="BQ1369" t="s">
        <v>2369</v>
      </c>
      <c r="BR1369" t="s">
        <v>1487</v>
      </c>
      <c r="BU1369">
        <v>1817000</v>
      </c>
      <c r="BV1369">
        <v>0</v>
      </c>
      <c r="BW1369">
        <v>1817000</v>
      </c>
      <c r="BX1369">
        <v>-1817000</v>
      </c>
      <c r="BY1369">
        <v>0</v>
      </c>
      <c r="BZ1369">
        <v>0</v>
      </c>
      <c r="CA1369">
        <v>0</v>
      </c>
      <c r="CB1369">
        <v>0</v>
      </c>
      <c r="CC1369">
        <v>0</v>
      </c>
      <c r="CD1369">
        <v>0</v>
      </c>
      <c r="CE1369">
        <v>0</v>
      </c>
      <c r="CF1369">
        <v>0</v>
      </c>
      <c r="CG1369">
        <v>0</v>
      </c>
      <c r="CH1369">
        <v>0</v>
      </c>
      <c r="CI1369">
        <v>0</v>
      </c>
      <c r="CJ1369">
        <v>0</v>
      </c>
      <c r="CK1369">
        <v>0</v>
      </c>
      <c r="CL1369">
        <v>0</v>
      </c>
      <c r="CM1369">
        <v>0</v>
      </c>
      <c r="CR1369" t="s">
        <v>2330</v>
      </c>
      <c r="CS1369" s="1369" t="str">
        <f>INDEX([8]Sheet1!$H:$H,MATCH(CR:CR,[8]Sheet1!$AU:$AU,0))</f>
        <v>Water Treatment</v>
      </c>
    </row>
    <row r="1370" spans="1:97" x14ac:dyDescent="0.2">
      <c r="A1370" t="s">
        <v>4420</v>
      </c>
      <c r="B1370">
        <v>1458</v>
      </c>
      <c r="C1370" t="s">
        <v>4420</v>
      </c>
      <c r="D1370">
        <v>51813</v>
      </c>
      <c r="E1370" t="s">
        <v>2409</v>
      </c>
      <c r="F1370" t="s">
        <v>2364</v>
      </c>
      <c r="G1370" t="s">
        <v>2364</v>
      </c>
      <c r="H1370" t="s">
        <v>2365</v>
      </c>
      <c r="I1370" t="s">
        <v>2365</v>
      </c>
      <c r="J1370" t="s">
        <v>2365</v>
      </c>
      <c r="K1370" t="s">
        <v>2365</v>
      </c>
      <c r="L1370">
        <v>1200</v>
      </c>
      <c r="M1370" t="s">
        <v>1480</v>
      </c>
      <c r="N1370">
        <v>1204</v>
      </c>
      <c r="O1370" t="s">
        <v>1487</v>
      </c>
      <c r="P1370" t="s">
        <v>2366</v>
      </c>
      <c r="Q1370">
        <v>2010</v>
      </c>
      <c r="R1370" t="s">
        <v>668</v>
      </c>
      <c r="S1370" t="s">
        <v>553</v>
      </c>
      <c r="T1370" t="s">
        <v>2367</v>
      </c>
      <c r="U1370">
        <v>360</v>
      </c>
      <c r="V1370" t="s">
        <v>2368</v>
      </c>
      <c r="W1370">
        <v>360</v>
      </c>
      <c r="X1370" t="s">
        <v>711</v>
      </c>
      <c r="Y1370" t="s">
        <v>2365</v>
      </c>
      <c r="Z1370" t="s">
        <v>2365</v>
      </c>
      <c r="AA1370" t="s">
        <v>2365</v>
      </c>
      <c r="AB1370" t="s">
        <v>2365</v>
      </c>
      <c r="AC1370" s="813" t="s">
        <v>2365</v>
      </c>
      <c r="AD1370" s="813" t="s">
        <v>2365</v>
      </c>
      <c r="AE1370" s="813" t="s">
        <v>2365</v>
      </c>
      <c r="AF1370" t="s">
        <v>2365</v>
      </c>
      <c r="AG1370" t="s">
        <v>2365</v>
      </c>
      <c r="AH1370" t="s">
        <v>2365</v>
      </c>
      <c r="AI1370" t="s">
        <v>2365</v>
      </c>
      <c r="AJ1370" t="s">
        <v>2365</v>
      </c>
      <c r="AK1370">
        <v>363</v>
      </c>
      <c r="AL1370" t="s">
        <v>748</v>
      </c>
      <c r="AM1370">
        <v>363</v>
      </c>
      <c r="AN1370" t="s">
        <v>748</v>
      </c>
      <c r="AR1370" t="s">
        <v>2365</v>
      </c>
      <c r="AS1370" t="s">
        <v>2365</v>
      </c>
      <c r="AT1370" t="s">
        <v>2365</v>
      </c>
      <c r="AU1370" t="s">
        <v>2365</v>
      </c>
      <c r="AV1370" t="s">
        <v>2365</v>
      </c>
      <c r="AW1370" t="s">
        <v>2365</v>
      </c>
      <c r="AX1370" t="s">
        <v>2365</v>
      </c>
      <c r="AY1370" t="s">
        <v>2365</v>
      </c>
      <c r="AZ1370" t="s">
        <v>2365</v>
      </c>
      <c r="BA1370" t="s">
        <v>2365</v>
      </c>
      <c r="BB1370" t="s">
        <v>2365</v>
      </c>
      <c r="BC1370" t="s">
        <v>2365</v>
      </c>
      <c r="BD1370" t="s">
        <v>2366</v>
      </c>
      <c r="BE1370" t="s">
        <v>2365</v>
      </c>
      <c r="BF1370" t="s">
        <v>2365</v>
      </c>
      <c r="BG1370" t="s">
        <v>2365</v>
      </c>
      <c r="BH1370" t="s">
        <v>2365</v>
      </c>
      <c r="BI1370" t="s">
        <v>2366</v>
      </c>
      <c r="BJ1370" t="s">
        <v>2365</v>
      </c>
      <c r="BK1370" t="s">
        <v>2365</v>
      </c>
      <c r="BL1370" t="s">
        <v>2365</v>
      </c>
      <c r="BM1370" t="s">
        <v>2365</v>
      </c>
      <c r="BO1370">
        <v>1</v>
      </c>
      <c r="BP1370">
        <v>11</v>
      </c>
      <c r="BQ1370" t="s">
        <v>2369</v>
      </c>
      <c r="BR1370" t="s">
        <v>1487</v>
      </c>
      <c r="BU1370">
        <v>15996000</v>
      </c>
      <c r="BV1370">
        <v>0</v>
      </c>
      <c r="BW1370">
        <v>15996000</v>
      </c>
      <c r="BX1370">
        <v>-15996000</v>
      </c>
      <c r="BY1370">
        <v>0</v>
      </c>
      <c r="BZ1370">
        <v>0</v>
      </c>
      <c r="CA1370">
        <v>0</v>
      </c>
      <c r="CB1370">
        <v>0</v>
      </c>
      <c r="CC1370">
        <v>0</v>
      </c>
      <c r="CD1370">
        <v>0</v>
      </c>
      <c r="CE1370">
        <v>0</v>
      </c>
      <c r="CF1370">
        <v>0</v>
      </c>
      <c r="CG1370">
        <v>0</v>
      </c>
      <c r="CH1370">
        <v>0</v>
      </c>
      <c r="CI1370">
        <v>0</v>
      </c>
      <c r="CJ1370">
        <v>0</v>
      </c>
      <c r="CK1370">
        <v>0</v>
      </c>
      <c r="CL1370">
        <v>0</v>
      </c>
      <c r="CM1370">
        <v>0</v>
      </c>
      <c r="CR1370" t="s">
        <v>2330</v>
      </c>
      <c r="CS1370" s="1369" t="str">
        <f>INDEX([8]Sheet1!$H:$H,MATCH(CR:CR,[8]Sheet1!$AU:$AU,0))</f>
        <v>Water Treatment</v>
      </c>
    </row>
    <row r="1371" spans="1:97" x14ac:dyDescent="0.2">
      <c r="A1371" t="s">
        <v>4421</v>
      </c>
      <c r="B1371">
        <v>1459</v>
      </c>
      <c r="C1371" t="s">
        <v>4421</v>
      </c>
      <c r="D1371">
        <v>51814</v>
      </c>
      <c r="E1371" t="s">
        <v>4422</v>
      </c>
      <c r="F1371" t="s">
        <v>2364</v>
      </c>
      <c r="G1371" t="s">
        <v>2364</v>
      </c>
      <c r="H1371" t="s">
        <v>2365</v>
      </c>
      <c r="I1371" t="s">
        <v>2365</v>
      </c>
      <c r="J1371" t="s">
        <v>2365</v>
      </c>
      <c r="K1371" t="s">
        <v>2365</v>
      </c>
      <c r="L1371">
        <v>1200</v>
      </c>
      <c r="M1371" t="s">
        <v>1480</v>
      </c>
      <c r="N1371">
        <v>1204</v>
      </c>
      <c r="O1371" t="s">
        <v>1487</v>
      </c>
      <c r="P1371" t="s">
        <v>2366</v>
      </c>
      <c r="Q1371" t="s">
        <v>2364</v>
      </c>
      <c r="R1371" t="s">
        <v>2364</v>
      </c>
      <c r="S1371" t="s">
        <v>553</v>
      </c>
      <c r="T1371" t="s">
        <v>2175</v>
      </c>
      <c r="U1371">
        <v>150</v>
      </c>
      <c r="V1371" t="s">
        <v>694</v>
      </c>
      <c r="W1371">
        <v>150</v>
      </c>
      <c r="X1371" t="s">
        <v>694</v>
      </c>
      <c r="Y1371" t="s">
        <v>2365</v>
      </c>
      <c r="Z1371" t="s">
        <v>2365</v>
      </c>
      <c r="AA1371" t="s">
        <v>2365</v>
      </c>
      <c r="AB1371" t="s">
        <v>2365</v>
      </c>
      <c r="AC1371" s="813" t="s">
        <v>2365</v>
      </c>
      <c r="AD1371" s="813" t="s">
        <v>2365</v>
      </c>
      <c r="AE1371" s="813" t="s">
        <v>2365</v>
      </c>
      <c r="AF1371" t="s">
        <v>2365</v>
      </c>
      <c r="AG1371" t="s">
        <v>2365</v>
      </c>
      <c r="AH1371" t="s">
        <v>2365</v>
      </c>
      <c r="AI1371" t="s">
        <v>2365</v>
      </c>
      <c r="AJ1371" t="s">
        <v>2365</v>
      </c>
      <c r="AK1371" t="s">
        <v>2365</v>
      </c>
      <c r="AL1371" t="s">
        <v>2365</v>
      </c>
      <c r="AM1371" t="s">
        <v>2365</v>
      </c>
      <c r="AN1371" t="s">
        <v>2365</v>
      </c>
      <c r="AR1371" t="s">
        <v>2365</v>
      </c>
      <c r="AS1371" t="s">
        <v>2365</v>
      </c>
      <c r="AT1371" t="s">
        <v>2365</v>
      </c>
      <c r="AU1371" t="s">
        <v>2365</v>
      </c>
      <c r="AV1371" t="s">
        <v>2365</v>
      </c>
      <c r="AW1371" t="s">
        <v>2365</v>
      </c>
      <c r="AX1371" t="s">
        <v>2365</v>
      </c>
      <c r="AY1371" t="s">
        <v>2365</v>
      </c>
      <c r="AZ1371" t="s">
        <v>2365</v>
      </c>
      <c r="BA1371" t="s">
        <v>2365</v>
      </c>
      <c r="BB1371" t="s">
        <v>2365</v>
      </c>
      <c r="BC1371" t="s">
        <v>2365</v>
      </c>
      <c r="BD1371" t="s">
        <v>2366</v>
      </c>
      <c r="BE1371" t="s">
        <v>2365</v>
      </c>
      <c r="BF1371" t="s">
        <v>2365</v>
      </c>
      <c r="BG1371" t="s">
        <v>2365</v>
      </c>
      <c r="BH1371" t="s">
        <v>2365</v>
      </c>
      <c r="BI1371" t="s">
        <v>2366</v>
      </c>
      <c r="BJ1371" t="s">
        <v>2365</v>
      </c>
      <c r="BK1371" t="s">
        <v>2365</v>
      </c>
      <c r="BL1371" t="s">
        <v>2365</v>
      </c>
      <c r="BM1371" t="s">
        <v>2365</v>
      </c>
      <c r="BO1371">
        <v>1</v>
      </c>
      <c r="BP1371">
        <v>11</v>
      </c>
      <c r="BQ1371" t="s">
        <v>2369</v>
      </c>
      <c r="BR1371" t="s">
        <v>1487</v>
      </c>
      <c r="BU1371">
        <v>0</v>
      </c>
      <c r="BV1371">
        <v>0</v>
      </c>
      <c r="BW1371">
        <v>0</v>
      </c>
      <c r="BX1371">
        <v>0</v>
      </c>
      <c r="BY1371">
        <v>0</v>
      </c>
      <c r="BZ1371">
        <v>0</v>
      </c>
      <c r="CA1371">
        <v>0</v>
      </c>
      <c r="CB1371">
        <v>0</v>
      </c>
      <c r="CC1371">
        <v>0</v>
      </c>
      <c r="CD1371">
        <v>0</v>
      </c>
      <c r="CE1371">
        <v>0</v>
      </c>
      <c r="CF1371">
        <v>0</v>
      </c>
      <c r="CG1371">
        <v>0</v>
      </c>
      <c r="CH1371">
        <v>0</v>
      </c>
      <c r="CI1371">
        <v>0</v>
      </c>
      <c r="CJ1371">
        <v>0</v>
      </c>
      <c r="CK1371">
        <v>0</v>
      </c>
      <c r="CL1371">
        <v>0</v>
      </c>
      <c r="CM1371">
        <v>0</v>
      </c>
      <c r="CR1371" t="s">
        <v>2330</v>
      </c>
      <c r="CS1371" s="1369" t="str">
        <f>INDEX([8]Sheet1!$H:$H,MATCH(CR:CR,[8]Sheet1!$AU:$AU,0))</f>
        <v>Water Treatment</v>
      </c>
    </row>
    <row r="1372" spans="1:97" x14ac:dyDescent="0.2">
      <c r="A1372" t="s">
        <v>4423</v>
      </c>
      <c r="B1372">
        <v>1460</v>
      </c>
      <c r="C1372" t="s">
        <v>4423</v>
      </c>
      <c r="D1372">
        <v>51815</v>
      </c>
      <c r="E1372" t="s">
        <v>4424</v>
      </c>
      <c r="F1372" t="s">
        <v>2364</v>
      </c>
      <c r="G1372" t="s">
        <v>2364</v>
      </c>
      <c r="H1372" t="s">
        <v>2365</v>
      </c>
      <c r="I1372" t="s">
        <v>2365</v>
      </c>
      <c r="J1372" t="s">
        <v>2365</v>
      </c>
      <c r="K1372" t="s">
        <v>2365</v>
      </c>
      <c r="L1372">
        <v>1200</v>
      </c>
      <c r="M1372" t="s">
        <v>1480</v>
      </c>
      <c r="N1372">
        <v>1204</v>
      </c>
      <c r="O1372" t="s">
        <v>1487</v>
      </c>
      <c r="P1372" t="s">
        <v>2366</v>
      </c>
      <c r="Q1372" t="s">
        <v>2364</v>
      </c>
      <c r="R1372" t="s">
        <v>2364</v>
      </c>
      <c r="S1372" t="s">
        <v>553</v>
      </c>
      <c r="T1372" t="s">
        <v>2367</v>
      </c>
      <c r="U1372">
        <v>360</v>
      </c>
      <c r="V1372" t="s">
        <v>2368</v>
      </c>
      <c r="W1372">
        <v>360</v>
      </c>
      <c r="X1372" t="s">
        <v>711</v>
      </c>
      <c r="Y1372" t="s">
        <v>2365</v>
      </c>
      <c r="Z1372" t="s">
        <v>2365</v>
      </c>
      <c r="AA1372" t="s">
        <v>2365</v>
      </c>
      <c r="AB1372" t="s">
        <v>2365</v>
      </c>
      <c r="AC1372" s="813" t="s">
        <v>2365</v>
      </c>
      <c r="AD1372" s="813" t="s">
        <v>2365</v>
      </c>
      <c r="AE1372" s="813" t="s">
        <v>2365</v>
      </c>
      <c r="AF1372" t="s">
        <v>2365</v>
      </c>
      <c r="AG1372" t="s">
        <v>2365</v>
      </c>
      <c r="AH1372" t="s">
        <v>2365</v>
      </c>
      <c r="AI1372" t="s">
        <v>2365</v>
      </c>
      <c r="AJ1372" t="s">
        <v>2365</v>
      </c>
      <c r="AK1372">
        <v>364</v>
      </c>
      <c r="AL1372" t="s">
        <v>1209</v>
      </c>
      <c r="AM1372">
        <v>364</v>
      </c>
      <c r="AN1372" t="s">
        <v>1209</v>
      </c>
      <c r="AR1372" t="s">
        <v>2365</v>
      </c>
      <c r="AS1372" t="s">
        <v>2365</v>
      </c>
      <c r="AT1372" t="s">
        <v>2365</v>
      </c>
      <c r="AU1372" t="s">
        <v>2365</v>
      </c>
      <c r="AV1372" t="s">
        <v>2365</v>
      </c>
      <c r="AW1372" t="s">
        <v>2365</v>
      </c>
      <c r="AX1372" t="s">
        <v>2365</v>
      </c>
      <c r="AY1372" t="s">
        <v>2365</v>
      </c>
      <c r="AZ1372" t="s">
        <v>2365</v>
      </c>
      <c r="BA1372" t="s">
        <v>2365</v>
      </c>
      <c r="BB1372" t="s">
        <v>2365</v>
      </c>
      <c r="BC1372" t="s">
        <v>2365</v>
      </c>
      <c r="BD1372" t="s">
        <v>2366</v>
      </c>
      <c r="BE1372" t="s">
        <v>2365</v>
      </c>
      <c r="BF1372" t="s">
        <v>2365</v>
      </c>
      <c r="BG1372" t="s">
        <v>2365</v>
      </c>
      <c r="BH1372" t="s">
        <v>2365</v>
      </c>
      <c r="BI1372" t="s">
        <v>2366</v>
      </c>
      <c r="BJ1372" t="s">
        <v>2365</v>
      </c>
      <c r="BK1372" t="s">
        <v>2365</v>
      </c>
      <c r="BL1372" t="s">
        <v>2365</v>
      </c>
      <c r="BM1372" t="s">
        <v>2365</v>
      </c>
      <c r="BO1372">
        <v>1</v>
      </c>
      <c r="BP1372">
        <v>11</v>
      </c>
      <c r="BQ1372" t="s">
        <v>2369</v>
      </c>
      <c r="BR1372" t="s">
        <v>1487</v>
      </c>
      <c r="BU1372">
        <v>0</v>
      </c>
      <c r="BV1372">
        <v>0</v>
      </c>
      <c r="BW1372">
        <v>0</v>
      </c>
      <c r="BX1372">
        <v>0</v>
      </c>
      <c r="BY1372">
        <v>0</v>
      </c>
      <c r="BZ1372">
        <v>0</v>
      </c>
      <c r="CA1372">
        <v>0</v>
      </c>
      <c r="CB1372">
        <v>0</v>
      </c>
      <c r="CC1372">
        <v>0</v>
      </c>
      <c r="CD1372">
        <v>0</v>
      </c>
      <c r="CE1372">
        <v>0</v>
      </c>
      <c r="CF1372">
        <v>0</v>
      </c>
      <c r="CG1372">
        <v>0</v>
      </c>
      <c r="CH1372">
        <v>0</v>
      </c>
      <c r="CI1372">
        <v>0</v>
      </c>
      <c r="CJ1372">
        <v>0</v>
      </c>
      <c r="CK1372">
        <v>0</v>
      </c>
      <c r="CL1372">
        <v>0</v>
      </c>
      <c r="CM1372">
        <v>0</v>
      </c>
      <c r="CR1372" t="s">
        <v>2330</v>
      </c>
      <c r="CS1372" s="1369" t="str">
        <f>INDEX([8]Sheet1!$H:$H,MATCH(CR:CR,[8]Sheet1!$AU:$AU,0))</f>
        <v>Water Treatment</v>
      </c>
    </row>
    <row r="1373" spans="1:97" x14ac:dyDescent="0.2">
      <c r="A1373" t="s">
        <v>4425</v>
      </c>
      <c r="B1373">
        <v>1461</v>
      </c>
      <c r="C1373" t="s">
        <v>4425</v>
      </c>
      <c r="D1373">
        <v>51816</v>
      </c>
      <c r="E1373" t="s">
        <v>4426</v>
      </c>
      <c r="F1373" t="s">
        <v>2364</v>
      </c>
      <c r="G1373" t="s">
        <v>2364</v>
      </c>
      <c r="H1373" t="s">
        <v>2365</v>
      </c>
      <c r="I1373" t="s">
        <v>2365</v>
      </c>
      <c r="J1373" t="s">
        <v>2365</v>
      </c>
      <c r="K1373" t="s">
        <v>2365</v>
      </c>
      <c r="L1373">
        <v>1200</v>
      </c>
      <c r="M1373" t="s">
        <v>1480</v>
      </c>
      <c r="N1373">
        <v>1204</v>
      </c>
      <c r="O1373" t="s">
        <v>1487</v>
      </c>
      <c r="P1373" t="s">
        <v>2366</v>
      </c>
      <c r="Q1373" t="s">
        <v>2364</v>
      </c>
      <c r="R1373" t="s">
        <v>2364</v>
      </c>
      <c r="S1373" t="s">
        <v>553</v>
      </c>
      <c r="T1373" t="s">
        <v>2367</v>
      </c>
      <c r="U1373" t="s">
        <v>2366</v>
      </c>
      <c r="V1373" t="s">
        <v>2366</v>
      </c>
      <c r="W1373" t="s">
        <v>2366</v>
      </c>
      <c r="X1373" t="s">
        <v>2366</v>
      </c>
      <c r="Y1373" t="s">
        <v>2365</v>
      </c>
      <c r="Z1373" t="s">
        <v>2365</v>
      </c>
      <c r="AA1373" t="s">
        <v>2365</v>
      </c>
      <c r="AB1373" t="s">
        <v>2365</v>
      </c>
      <c r="AC1373" s="813" t="s">
        <v>2365</v>
      </c>
      <c r="AD1373" s="813" t="s">
        <v>2365</v>
      </c>
      <c r="AE1373" s="813" t="s">
        <v>2365</v>
      </c>
      <c r="AF1373" t="s">
        <v>2365</v>
      </c>
      <c r="AG1373" t="s">
        <v>2365</v>
      </c>
      <c r="AH1373" t="s">
        <v>2365</v>
      </c>
      <c r="AI1373" t="s">
        <v>2365</v>
      </c>
      <c r="AJ1373" t="s">
        <v>2365</v>
      </c>
      <c r="AK1373">
        <v>413</v>
      </c>
      <c r="AL1373" t="s">
        <v>632</v>
      </c>
      <c r="AM1373">
        <v>413</v>
      </c>
      <c r="AN1373" t="s">
        <v>632</v>
      </c>
      <c r="AR1373" t="s">
        <v>2365</v>
      </c>
      <c r="AS1373" t="s">
        <v>2365</v>
      </c>
      <c r="AT1373" t="s">
        <v>2365</v>
      </c>
      <c r="AU1373" t="s">
        <v>2365</v>
      </c>
      <c r="AV1373" t="s">
        <v>2365</v>
      </c>
      <c r="AW1373" t="s">
        <v>2365</v>
      </c>
      <c r="AX1373" t="s">
        <v>2365</v>
      </c>
      <c r="AY1373" t="s">
        <v>2365</v>
      </c>
      <c r="AZ1373" t="s">
        <v>2365</v>
      </c>
      <c r="BA1373" t="s">
        <v>2365</v>
      </c>
      <c r="BB1373" t="s">
        <v>2365</v>
      </c>
      <c r="BC1373" t="s">
        <v>2365</v>
      </c>
      <c r="BD1373" t="s">
        <v>2366</v>
      </c>
      <c r="BE1373" t="s">
        <v>2365</v>
      </c>
      <c r="BF1373" t="s">
        <v>2365</v>
      </c>
      <c r="BG1373" t="s">
        <v>2365</v>
      </c>
      <c r="BH1373" t="s">
        <v>2365</v>
      </c>
      <c r="BI1373" t="s">
        <v>2366</v>
      </c>
      <c r="BJ1373" t="s">
        <v>2365</v>
      </c>
      <c r="BK1373" t="s">
        <v>2365</v>
      </c>
      <c r="BL1373" t="s">
        <v>2365</v>
      </c>
      <c r="BM1373" t="s">
        <v>2365</v>
      </c>
      <c r="BO1373">
        <v>1</v>
      </c>
      <c r="BP1373">
        <v>11</v>
      </c>
      <c r="BQ1373" t="s">
        <v>2369</v>
      </c>
      <c r="BR1373" t="s">
        <v>1487</v>
      </c>
      <c r="BU1373">
        <v>0</v>
      </c>
      <c r="BV1373">
        <v>0</v>
      </c>
      <c r="BW1373">
        <v>0</v>
      </c>
      <c r="BX1373">
        <v>0</v>
      </c>
      <c r="BY1373">
        <v>0</v>
      </c>
      <c r="BZ1373">
        <v>0</v>
      </c>
      <c r="CA1373">
        <v>0</v>
      </c>
      <c r="CB1373">
        <v>0</v>
      </c>
      <c r="CC1373">
        <v>0</v>
      </c>
      <c r="CD1373">
        <v>0</v>
      </c>
      <c r="CE1373">
        <v>0</v>
      </c>
      <c r="CF1373">
        <v>0</v>
      </c>
      <c r="CG1373">
        <v>0</v>
      </c>
      <c r="CH1373">
        <v>0</v>
      </c>
      <c r="CI1373">
        <v>0</v>
      </c>
      <c r="CJ1373">
        <v>0</v>
      </c>
      <c r="CK1373">
        <v>0</v>
      </c>
      <c r="CL1373">
        <v>0</v>
      </c>
      <c r="CM1373">
        <v>0</v>
      </c>
      <c r="CR1373" t="s">
        <v>2330</v>
      </c>
      <c r="CS1373" s="1369" t="str">
        <f>INDEX([8]Sheet1!$H:$H,MATCH(CR:CR,[8]Sheet1!$AU:$AU,0))</f>
        <v>Water Treatment</v>
      </c>
    </row>
    <row r="1374" spans="1:97" x14ac:dyDescent="0.2">
      <c r="A1374" t="s">
        <v>4427</v>
      </c>
      <c r="B1374">
        <v>1462</v>
      </c>
      <c r="C1374" t="s">
        <v>4427</v>
      </c>
      <c r="D1374">
        <v>51817</v>
      </c>
      <c r="E1374" t="s">
        <v>4428</v>
      </c>
      <c r="F1374" t="s">
        <v>2364</v>
      </c>
      <c r="G1374" t="s">
        <v>2364</v>
      </c>
      <c r="H1374" t="s">
        <v>2365</v>
      </c>
      <c r="I1374" t="s">
        <v>2365</v>
      </c>
      <c r="J1374" t="s">
        <v>2365</v>
      </c>
      <c r="K1374" t="s">
        <v>2365</v>
      </c>
      <c r="L1374">
        <v>1200</v>
      </c>
      <c r="M1374" t="s">
        <v>1480</v>
      </c>
      <c r="N1374">
        <v>1204</v>
      </c>
      <c r="O1374" t="s">
        <v>1487</v>
      </c>
      <c r="P1374" t="s">
        <v>2366</v>
      </c>
      <c r="Q1374" t="s">
        <v>2364</v>
      </c>
      <c r="R1374" t="s">
        <v>2364</v>
      </c>
      <c r="S1374" t="s">
        <v>553</v>
      </c>
      <c r="T1374" t="s">
        <v>2367</v>
      </c>
      <c r="U1374">
        <v>350</v>
      </c>
      <c r="V1374" t="s">
        <v>3778</v>
      </c>
      <c r="W1374">
        <v>350</v>
      </c>
      <c r="X1374" t="s">
        <v>710</v>
      </c>
      <c r="Y1374" t="s">
        <v>2365</v>
      </c>
      <c r="Z1374" t="s">
        <v>2365</v>
      </c>
      <c r="AA1374" t="s">
        <v>2365</v>
      </c>
      <c r="AB1374" t="s">
        <v>2365</v>
      </c>
      <c r="AC1374" s="813" t="s">
        <v>2365</v>
      </c>
      <c r="AD1374" s="813" t="s">
        <v>2365</v>
      </c>
      <c r="AE1374" s="813" t="s">
        <v>2365</v>
      </c>
      <c r="AF1374" t="s">
        <v>2365</v>
      </c>
      <c r="AG1374" t="s">
        <v>2365</v>
      </c>
      <c r="AH1374" t="s">
        <v>2365</v>
      </c>
      <c r="AI1374" t="s">
        <v>2365</v>
      </c>
      <c r="AJ1374" t="s">
        <v>2365</v>
      </c>
      <c r="AK1374" t="s">
        <v>2365</v>
      </c>
      <c r="AL1374" t="s">
        <v>2365</v>
      </c>
      <c r="AM1374" t="s">
        <v>2365</v>
      </c>
      <c r="AN1374" t="s">
        <v>2365</v>
      </c>
      <c r="AR1374" t="s">
        <v>2365</v>
      </c>
      <c r="AS1374" t="s">
        <v>2365</v>
      </c>
      <c r="AT1374" t="s">
        <v>2365</v>
      </c>
      <c r="AU1374" t="s">
        <v>2365</v>
      </c>
      <c r="AV1374" t="s">
        <v>2365</v>
      </c>
      <c r="AW1374" t="s">
        <v>2365</v>
      </c>
      <c r="AX1374" t="s">
        <v>2365</v>
      </c>
      <c r="AY1374" t="s">
        <v>2365</v>
      </c>
      <c r="AZ1374" t="s">
        <v>2365</v>
      </c>
      <c r="BA1374" t="s">
        <v>2365</v>
      </c>
      <c r="BB1374" t="s">
        <v>2365</v>
      </c>
      <c r="BC1374" t="s">
        <v>2365</v>
      </c>
      <c r="BD1374" t="s">
        <v>2366</v>
      </c>
      <c r="BE1374" t="s">
        <v>2365</v>
      </c>
      <c r="BF1374" t="s">
        <v>2365</v>
      </c>
      <c r="BG1374" t="s">
        <v>2365</v>
      </c>
      <c r="BH1374" t="s">
        <v>2365</v>
      </c>
      <c r="BI1374" t="s">
        <v>2366</v>
      </c>
      <c r="BJ1374" t="s">
        <v>2365</v>
      </c>
      <c r="BK1374" t="s">
        <v>2365</v>
      </c>
      <c r="BL1374" t="s">
        <v>2365</v>
      </c>
      <c r="BM1374" t="s">
        <v>2365</v>
      </c>
      <c r="BO1374">
        <v>1</v>
      </c>
      <c r="BP1374">
        <v>11</v>
      </c>
      <c r="BQ1374" t="s">
        <v>2369</v>
      </c>
      <c r="BR1374" t="s">
        <v>1487</v>
      </c>
      <c r="BU1374">
        <v>0</v>
      </c>
      <c r="BV1374">
        <v>0</v>
      </c>
      <c r="BW1374">
        <v>0</v>
      </c>
      <c r="BX1374">
        <v>0</v>
      </c>
      <c r="BY1374">
        <v>0</v>
      </c>
      <c r="BZ1374">
        <v>0</v>
      </c>
      <c r="CA1374">
        <v>0</v>
      </c>
      <c r="CB1374">
        <v>0</v>
      </c>
      <c r="CC1374">
        <v>0</v>
      </c>
      <c r="CD1374">
        <v>0</v>
      </c>
      <c r="CE1374">
        <v>0</v>
      </c>
      <c r="CF1374">
        <v>0</v>
      </c>
      <c r="CG1374">
        <v>0</v>
      </c>
      <c r="CH1374">
        <v>0</v>
      </c>
      <c r="CI1374">
        <v>0</v>
      </c>
      <c r="CJ1374">
        <v>0</v>
      </c>
      <c r="CK1374">
        <v>0</v>
      </c>
      <c r="CL1374">
        <v>0</v>
      </c>
      <c r="CM1374">
        <v>0</v>
      </c>
      <c r="CR1374" t="s">
        <v>2330</v>
      </c>
      <c r="CS1374" s="1369" t="str">
        <f>INDEX([8]Sheet1!$H:$H,MATCH(CR:CR,[8]Sheet1!$AU:$AU,0))</f>
        <v>Water Treatment</v>
      </c>
    </row>
    <row r="1375" spans="1:97" x14ac:dyDescent="0.2">
      <c r="A1375" t="s">
        <v>4429</v>
      </c>
      <c r="B1375">
        <v>1464</v>
      </c>
      <c r="C1375" t="s">
        <v>4429</v>
      </c>
      <c r="D1375">
        <v>51839</v>
      </c>
      <c r="E1375" t="s">
        <v>4430</v>
      </c>
      <c r="F1375">
        <v>2900</v>
      </c>
      <c r="G1375" t="s">
        <v>569</v>
      </c>
      <c r="H1375" t="s">
        <v>2366</v>
      </c>
      <c r="I1375" t="s">
        <v>2366</v>
      </c>
      <c r="J1375">
        <v>2904</v>
      </c>
      <c r="K1375" t="s">
        <v>1432</v>
      </c>
      <c r="L1375">
        <v>3100</v>
      </c>
      <c r="M1375" t="s">
        <v>624</v>
      </c>
      <c r="N1375">
        <v>3107</v>
      </c>
      <c r="O1375" t="s">
        <v>1536</v>
      </c>
      <c r="P1375" t="s">
        <v>2366</v>
      </c>
      <c r="Q1375" t="s">
        <v>2364</v>
      </c>
      <c r="R1375" t="s">
        <v>2364</v>
      </c>
      <c r="S1375" t="s">
        <v>1881</v>
      </c>
      <c r="T1375" t="s">
        <v>1812</v>
      </c>
      <c r="U1375" t="s">
        <v>2365</v>
      </c>
      <c r="V1375" t="s">
        <v>2365</v>
      </c>
      <c r="W1375" t="s">
        <v>2365</v>
      </c>
      <c r="X1375" t="s">
        <v>2365</v>
      </c>
      <c r="Y1375" t="s">
        <v>2365</v>
      </c>
      <c r="Z1375" t="s">
        <v>2365</v>
      </c>
      <c r="AA1375" t="s">
        <v>2365</v>
      </c>
      <c r="AB1375" t="s">
        <v>2365</v>
      </c>
      <c r="AC1375" s="813" t="s">
        <v>2365</v>
      </c>
      <c r="AD1375" s="813" t="s">
        <v>2365</v>
      </c>
      <c r="AE1375" s="813" t="s">
        <v>2365</v>
      </c>
      <c r="AF1375" t="s">
        <v>2365</v>
      </c>
      <c r="AG1375" t="s">
        <v>2365</v>
      </c>
      <c r="AH1375" t="s">
        <v>2365</v>
      </c>
      <c r="AI1375" t="s">
        <v>2365</v>
      </c>
      <c r="AJ1375" t="s">
        <v>2365</v>
      </c>
      <c r="AK1375" t="s">
        <v>2365</v>
      </c>
      <c r="AL1375" t="s">
        <v>2365</v>
      </c>
      <c r="AM1375" t="s">
        <v>2365</v>
      </c>
      <c r="AN1375" t="s">
        <v>2365</v>
      </c>
      <c r="AR1375" t="s">
        <v>2365</v>
      </c>
      <c r="AS1375" t="s">
        <v>2365</v>
      </c>
      <c r="AT1375" t="s">
        <v>2365</v>
      </c>
      <c r="AU1375" t="s">
        <v>2365</v>
      </c>
      <c r="AV1375" t="s">
        <v>2365</v>
      </c>
      <c r="AW1375" t="s">
        <v>2365</v>
      </c>
      <c r="AX1375" t="s">
        <v>2365</v>
      </c>
      <c r="AY1375" t="s">
        <v>2365</v>
      </c>
      <c r="AZ1375" t="s">
        <v>2365</v>
      </c>
      <c r="BA1375" t="s">
        <v>2365</v>
      </c>
      <c r="BB1375" t="s">
        <v>2365</v>
      </c>
      <c r="BC1375" t="s">
        <v>2365</v>
      </c>
      <c r="BD1375" t="s">
        <v>2366</v>
      </c>
      <c r="BE1375" t="s">
        <v>2365</v>
      </c>
      <c r="BF1375" t="s">
        <v>2365</v>
      </c>
      <c r="BG1375" t="s">
        <v>2365</v>
      </c>
      <c r="BH1375" t="s">
        <v>2365</v>
      </c>
      <c r="BI1375" t="s">
        <v>2366</v>
      </c>
      <c r="BJ1375" t="s">
        <v>2365</v>
      </c>
      <c r="BK1375" t="s">
        <v>2365</v>
      </c>
      <c r="BL1375" t="s">
        <v>2365</v>
      </c>
      <c r="BM1375" t="s">
        <v>2365</v>
      </c>
      <c r="BO1375">
        <v>8</v>
      </c>
      <c r="BP1375">
        <v>81</v>
      </c>
      <c r="BQ1375" t="s">
        <v>2442</v>
      </c>
      <c r="BR1375" t="s">
        <v>1536</v>
      </c>
      <c r="BU1375">
        <v>0</v>
      </c>
      <c r="BV1375">
        <v>0</v>
      </c>
      <c r="BW1375">
        <v>0</v>
      </c>
      <c r="BX1375">
        <v>0</v>
      </c>
      <c r="BY1375">
        <v>0</v>
      </c>
      <c r="BZ1375">
        <v>0</v>
      </c>
      <c r="CA1375">
        <v>0</v>
      </c>
      <c r="CB1375">
        <v>0</v>
      </c>
      <c r="CC1375">
        <v>0</v>
      </c>
      <c r="CD1375">
        <v>0</v>
      </c>
      <c r="CE1375">
        <v>0</v>
      </c>
      <c r="CF1375">
        <v>0</v>
      </c>
      <c r="CG1375">
        <v>0</v>
      </c>
      <c r="CH1375">
        <v>0</v>
      </c>
      <c r="CI1375">
        <v>0</v>
      </c>
      <c r="CJ1375">
        <v>0</v>
      </c>
      <c r="CK1375">
        <v>0</v>
      </c>
      <c r="CL1375">
        <v>0</v>
      </c>
      <c r="CM1375">
        <v>0</v>
      </c>
      <c r="CR1375" t="s">
        <v>2330</v>
      </c>
      <c r="CS1375" s="1369" t="str">
        <f>INDEX([8]Sheet1!$H:$H,MATCH(CR:CR,[8]Sheet1!$AU:$AU,0))</f>
        <v>Water Treatment</v>
      </c>
    </row>
    <row r="1376" spans="1:97" x14ac:dyDescent="0.2">
      <c r="A1376" t="s">
        <v>4431</v>
      </c>
      <c r="B1376">
        <v>1465</v>
      </c>
      <c r="C1376" t="s">
        <v>4431</v>
      </c>
      <c r="D1376">
        <v>41546</v>
      </c>
      <c r="E1376" t="s">
        <v>4432</v>
      </c>
      <c r="F1376">
        <v>2000</v>
      </c>
      <c r="G1376" t="s">
        <v>652</v>
      </c>
      <c r="H1376" s="1373" t="s">
        <v>2563</v>
      </c>
      <c r="I1376" t="s">
        <v>1160</v>
      </c>
      <c r="J1376">
        <v>2012</v>
      </c>
      <c r="K1376" t="s">
        <v>1160</v>
      </c>
      <c r="L1376" s="1373">
        <v>5000</v>
      </c>
      <c r="M1376" t="s">
        <v>632</v>
      </c>
      <c r="N1376">
        <v>5004</v>
      </c>
      <c r="O1376" t="s">
        <v>1560</v>
      </c>
      <c r="P1376" t="s">
        <v>2366</v>
      </c>
      <c r="Q1376" t="s">
        <v>2364</v>
      </c>
      <c r="R1376" t="s">
        <v>2364</v>
      </c>
      <c r="S1376" t="s">
        <v>1881</v>
      </c>
      <c r="T1376" t="s">
        <v>1812</v>
      </c>
      <c r="U1376" t="s">
        <v>2365</v>
      </c>
      <c r="V1376" t="s">
        <v>2365</v>
      </c>
      <c r="W1376" t="s">
        <v>2365</v>
      </c>
      <c r="X1376" t="s">
        <v>2365</v>
      </c>
      <c r="Y1376" t="s">
        <v>2365</v>
      </c>
      <c r="Z1376" t="s">
        <v>2365</v>
      </c>
      <c r="AA1376" t="s">
        <v>2365</v>
      </c>
      <c r="AB1376" t="s">
        <v>2365</v>
      </c>
      <c r="AC1376" s="813" t="s">
        <v>2365</v>
      </c>
      <c r="AD1376" s="813" t="s">
        <v>2365</v>
      </c>
      <c r="AE1376" s="813" t="s">
        <v>2365</v>
      </c>
      <c r="AF1376" t="s">
        <v>2365</v>
      </c>
      <c r="AG1376" t="s">
        <v>2365</v>
      </c>
      <c r="AH1376" t="s">
        <v>2365</v>
      </c>
      <c r="AI1376" t="s">
        <v>2365</v>
      </c>
      <c r="AJ1376" t="s">
        <v>2365</v>
      </c>
      <c r="AK1376" t="s">
        <v>2365</v>
      </c>
      <c r="AL1376" t="s">
        <v>2365</v>
      </c>
      <c r="AM1376" t="s">
        <v>2365</v>
      </c>
      <c r="AN1376" t="s">
        <v>2365</v>
      </c>
      <c r="AR1376" t="s">
        <v>2365</v>
      </c>
      <c r="AS1376" t="s">
        <v>2365</v>
      </c>
      <c r="AT1376" t="s">
        <v>2365</v>
      </c>
      <c r="AU1376" t="s">
        <v>2365</v>
      </c>
      <c r="AV1376" t="s">
        <v>2365</v>
      </c>
      <c r="AW1376" t="s">
        <v>2365</v>
      </c>
      <c r="AX1376" t="s">
        <v>2365</v>
      </c>
      <c r="AY1376" t="s">
        <v>2365</v>
      </c>
      <c r="AZ1376" t="s">
        <v>2365</v>
      </c>
      <c r="BA1376" t="s">
        <v>2365</v>
      </c>
      <c r="BB1376" t="s">
        <v>2365</v>
      </c>
      <c r="BC1376" t="s">
        <v>2365</v>
      </c>
      <c r="BD1376" t="s">
        <v>2366</v>
      </c>
      <c r="BE1376" t="s">
        <v>2365</v>
      </c>
      <c r="BF1376" t="s">
        <v>2365</v>
      </c>
      <c r="BG1376" t="s">
        <v>2365</v>
      </c>
      <c r="BH1376" t="s">
        <v>2365</v>
      </c>
      <c r="BI1376" t="s">
        <v>2366</v>
      </c>
      <c r="BJ1376" t="s">
        <v>2365</v>
      </c>
      <c r="BK1376" t="s">
        <v>2365</v>
      </c>
      <c r="BL1376" t="s">
        <v>2365</v>
      </c>
      <c r="BM1376" t="s">
        <v>2365</v>
      </c>
      <c r="BN1376" t="s">
        <v>2177</v>
      </c>
      <c r="BO1376">
        <v>11</v>
      </c>
      <c r="BP1376">
        <v>111</v>
      </c>
      <c r="BQ1376" t="s">
        <v>632</v>
      </c>
      <c r="BR1376" t="s">
        <v>1560</v>
      </c>
      <c r="BU1376" s="1371">
        <v>0</v>
      </c>
      <c r="BV1376" s="1371">
        <v>0</v>
      </c>
      <c r="BW1376" s="1371">
        <v>0</v>
      </c>
      <c r="BX1376" s="1371">
        <v>0</v>
      </c>
      <c r="BY1376" s="1371">
        <v>0</v>
      </c>
      <c r="BZ1376">
        <v>0</v>
      </c>
      <c r="CA1376">
        <v>0</v>
      </c>
      <c r="CB1376">
        <v>0</v>
      </c>
      <c r="CC1376">
        <v>0</v>
      </c>
      <c r="CD1376">
        <v>0</v>
      </c>
      <c r="CE1376">
        <v>0</v>
      </c>
      <c r="CF1376">
        <v>0</v>
      </c>
      <c r="CG1376">
        <v>0</v>
      </c>
      <c r="CH1376">
        <v>0</v>
      </c>
      <c r="CI1376">
        <v>0</v>
      </c>
      <c r="CJ1376">
        <v>0</v>
      </c>
      <c r="CK1376">
        <v>0</v>
      </c>
      <c r="CL1376">
        <v>0</v>
      </c>
      <c r="CM1376">
        <v>0</v>
      </c>
      <c r="CR1376" t="s">
        <v>2330</v>
      </c>
      <c r="CS1376" s="1369" t="str">
        <f>INDEX([8]Sheet1!$H:$H,MATCH(CR:CR,[8]Sheet1!$AU:$AU,0))</f>
        <v>Water Treatment</v>
      </c>
    </row>
    <row r="1377" spans="1:97" x14ac:dyDescent="0.2">
      <c r="A1377" t="s">
        <v>4433</v>
      </c>
      <c r="B1377">
        <v>1466</v>
      </c>
      <c r="C1377" t="s">
        <v>4433</v>
      </c>
      <c r="D1377">
        <v>41547</v>
      </c>
      <c r="E1377" t="s">
        <v>4434</v>
      </c>
      <c r="F1377">
        <v>2000</v>
      </c>
      <c r="G1377" t="s">
        <v>652</v>
      </c>
      <c r="H1377" t="s">
        <v>2563</v>
      </c>
      <c r="I1377" t="s">
        <v>1160</v>
      </c>
      <c r="J1377">
        <v>2012</v>
      </c>
      <c r="K1377" t="s">
        <v>1160</v>
      </c>
      <c r="L1377">
        <v>2100</v>
      </c>
      <c r="M1377" t="s">
        <v>618</v>
      </c>
      <c r="N1377">
        <v>2106</v>
      </c>
      <c r="O1377" t="s">
        <v>1499</v>
      </c>
      <c r="P1377" t="s">
        <v>2366</v>
      </c>
      <c r="Q1377" t="s">
        <v>2364</v>
      </c>
      <c r="R1377" t="s">
        <v>2364</v>
      </c>
      <c r="S1377" t="s">
        <v>1881</v>
      </c>
      <c r="T1377" t="s">
        <v>1812</v>
      </c>
      <c r="U1377" t="s">
        <v>2365</v>
      </c>
      <c r="V1377" t="s">
        <v>2365</v>
      </c>
      <c r="W1377" t="s">
        <v>2365</v>
      </c>
      <c r="X1377" t="s">
        <v>2365</v>
      </c>
      <c r="Y1377" t="s">
        <v>2365</v>
      </c>
      <c r="Z1377" t="s">
        <v>2365</v>
      </c>
      <c r="AA1377" t="s">
        <v>2365</v>
      </c>
      <c r="AB1377" t="s">
        <v>2365</v>
      </c>
      <c r="AC1377" s="813" t="s">
        <v>2365</v>
      </c>
      <c r="AD1377" s="813" t="s">
        <v>2365</v>
      </c>
      <c r="AE1377" s="813" t="s">
        <v>2365</v>
      </c>
      <c r="AF1377" t="s">
        <v>2365</v>
      </c>
      <c r="AG1377" t="s">
        <v>2365</v>
      </c>
      <c r="AH1377" t="s">
        <v>2365</v>
      </c>
      <c r="AI1377" t="s">
        <v>2365</v>
      </c>
      <c r="AJ1377" t="s">
        <v>2365</v>
      </c>
      <c r="AK1377" t="s">
        <v>2365</v>
      </c>
      <c r="AL1377" t="s">
        <v>2365</v>
      </c>
      <c r="AM1377" t="s">
        <v>2365</v>
      </c>
      <c r="AN1377" t="s">
        <v>2365</v>
      </c>
      <c r="AR1377" t="s">
        <v>2365</v>
      </c>
      <c r="AS1377" t="s">
        <v>2365</v>
      </c>
      <c r="AT1377" t="s">
        <v>2365</v>
      </c>
      <c r="AU1377" t="s">
        <v>2365</v>
      </c>
      <c r="AV1377" t="s">
        <v>2365</v>
      </c>
      <c r="AW1377" t="s">
        <v>2365</v>
      </c>
      <c r="AX1377" t="s">
        <v>2365</v>
      </c>
      <c r="AY1377" t="s">
        <v>2365</v>
      </c>
      <c r="AZ1377" t="s">
        <v>2365</v>
      </c>
      <c r="BA1377" t="s">
        <v>2365</v>
      </c>
      <c r="BB1377" t="s">
        <v>2365</v>
      </c>
      <c r="BC1377" t="s">
        <v>2365</v>
      </c>
      <c r="BD1377" t="s">
        <v>2366</v>
      </c>
      <c r="BE1377" t="s">
        <v>2365</v>
      </c>
      <c r="BF1377" t="s">
        <v>2365</v>
      </c>
      <c r="BG1377" t="s">
        <v>2365</v>
      </c>
      <c r="BH1377" t="s">
        <v>2365</v>
      </c>
      <c r="BI1377" t="s">
        <v>2366</v>
      </c>
      <c r="BJ1377" t="s">
        <v>2365</v>
      </c>
      <c r="BK1377" t="s">
        <v>2365</v>
      </c>
      <c r="BL1377" t="s">
        <v>2365</v>
      </c>
      <c r="BM1377" t="s">
        <v>2365</v>
      </c>
      <c r="BN1377" t="s">
        <v>2176</v>
      </c>
      <c r="BO1377">
        <v>5</v>
      </c>
      <c r="BP1377">
        <v>53</v>
      </c>
      <c r="BQ1377" t="s">
        <v>2438</v>
      </c>
      <c r="BR1377" t="s">
        <v>1499</v>
      </c>
      <c r="BU1377">
        <v>0</v>
      </c>
      <c r="BV1377">
        <v>0</v>
      </c>
      <c r="BW1377">
        <v>0</v>
      </c>
      <c r="BX1377">
        <v>0</v>
      </c>
      <c r="BY1377">
        <v>0</v>
      </c>
      <c r="BZ1377">
        <v>0</v>
      </c>
      <c r="CA1377">
        <v>0</v>
      </c>
      <c r="CB1377">
        <v>0</v>
      </c>
      <c r="CC1377">
        <v>0</v>
      </c>
      <c r="CD1377">
        <v>0</v>
      </c>
      <c r="CE1377">
        <v>0</v>
      </c>
      <c r="CF1377">
        <v>0</v>
      </c>
      <c r="CG1377">
        <v>0</v>
      </c>
      <c r="CH1377">
        <v>0</v>
      </c>
      <c r="CI1377">
        <v>0</v>
      </c>
      <c r="CJ1377">
        <v>0</v>
      </c>
      <c r="CK1377">
        <v>0</v>
      </c>
      <c r="CL1377">
        <v>0</v>
      </c>
      <c r="CM1377">
        <v>0</v>
      </c>
      <c r="CR1377" t="s">
        <v>2330</v>
      </c>
      <c r="CS1377" s="1369" t="str">
        <f>INDEX([8]Sheet1!$H:$H,MATCH(CR:CR,[8]Sheet1!$AU:$AU,0))</f>
        <v>Water Treatment</v>
      </c>
    </row>
    <row r="1378" spans="1:97" x14ac:dyDescent="0.2">
      <c r="A1378" t="s">
        <v>4435</v>
      </c>
      <c r="B1378">
        <v>1467</v>
      </c>
      <c r="C1378" t="s">
        <v>4435</v>
      </c>
      <c r="D1378">
        <v>41548</v>
      </c>
      <c r="E1378" t="s">
        <v>4432</v>
      </c>
      <c r="F1378">
        <v>2000</v>
      </c>
      <c r="G1378" t="s">
        <v>652</v>
      </c>
      <c r="H1378" t="s">
        <v>2563</v>
      </c>
      <c r="I1378" t="s">
        <v>1160</v>
      </c>
      <c r="J1378">
        <v>2012</v>
      </c>
      <c r="K1378" t="s">
        <v>1160</v>
      </c>
      <c r="L1378">
        <v>2100</v>
      </c>
      <c r="M1378" t="s">
        <v>618</v>
      </c>
      <c r="N1378">
        <v>2106</v>
      </c>
      <c r="O1378" t="s">
        <v>1499</v>
      </c>
      <c r="P1378" t="s">
        <v>2366</v>
      </c>
      <c r="Q1378" t="s">
        <v>2364</v>
      </c>
      <c r="R1378" t="s">
        <v>2364</v>
      </c>
      <c r="S1378" t="s">
        <v>1881</v>
      </c>
      <c r="T1378" t="s">
        <v>1812</v>
      </c>
      <c r="U1378" t="s">
        <v>2365</v>
      </c>
      <c r="V1378" t="s">
        <v>2365</v>
      </c>
      <c r="W1378" t="s">
        <v>2365</v>
      </c>
      <c r="X1378" t="s">
        <v>2365</v>
      </c>
      <c r="Y1378" t="s">
        <v>2365</v>
      </c>
      <c r="Z1378" t="s">
        <v>2365</v>
      </c>
      <c r="AA1378" t="s">
        <v>2365</v>
      </c>
      <c r="AB1378" t="s">
        <v>2365</v>
      </c>
      <c r="AC1378" s="813" t="s">
        <v>2365</v>
      </c>
      <c r="AD1378" s="813" t="s">
        <v>2365</v>
      </c>
      <c r="AE1378" s="813" t="s">
        <v>2365</v>
      </c>
      <c r="AF1378" t="s">
        <v>2365</v>
      </c>
      <c r="AG1378" t="s">
        <v>2365</v>
      </c>
      <c r="AH1378" t="s">
        <v>2365</v>
      </c>
      <c r="AI1378" t="s">
        <v>2365</v>
      </c>
      <c r="AJ1378" t="s">
        <v>2365</v>
      </c>
      <c r="AK1378" t="s">
        <v>2365</v>
      </c>
      <c r="AL1378" t="s">
        <v>2365</v>
      </c>
      <c r="AM1378" t="s">
        <v>2365</v>
      </c>
      <c r="AN1378" t="s">
        <v>2365</v>
      </c>
      <c r="AR1378" t="s">
        <v>2365</v>
      </c>
      <c r="AS1378" t="s">
        <v>2365</v>
      </c>
      <c r="AT1378" t="s">
        <v>2365</v>
      </c>
      <c r="AU1378" t="s">
        <v>2365</v>
      </c>
      <c r="AV1378" t="s">
        <v>2365</v>
      </c>
      <c r="AW1378" t="s">
        <v>2365</v>
      </c>
      <c r="AX1378" t="s">
        <v>2365</v>
      </c>
      <c r="AY1378" t="s">
        <v>2365</v>
      </c>
      <c r="AZ1378" t="s">
        <v>2365</v>
      </c>
      <c r="BA1378" t="s">
        <v>2365</v>
      </c>
      <c r="BB1378" t="s">
        <v>2365</v>
      </c>
      <c r="BC1378" t="s">
        <v>2365</v>
      </c>
      <c r="BD1378" t="s">
        <v>2366</v>
      </c>
      <c r="BE1378" t="s">
        <v>2365</v>
      </c>
      <c r="BF1378" t="s">
        <v>2365</v>
      </c>
      <c r="BG1378" t="s">
        <v>2365</v>
      </c>
      <c r="BH1378" t="s">
        <v>2365</v>
      </c>
      <c r="BI1378" t="s">
        <v>2366</v>
      </c>
      <c r="BJ1378" t="s">
        <v>2365</v>
      </c>
      <c r="BK1378" t="s">
        <v>2365</v>
      </c>
      <c r="BL1378" t="s">
        <v>2365</v>
      </c>
      <c r="BM1378" t="s">
        <v>2365</v>
      </c>
      <c r="BN1378" t="s">
        <v>2177</v>
      </c>
      <c r="BO1378">
        <v>5</v>
      </c>
      <c r="BP1378">
        <v>53</v>
      </c>
      <c r="BQ1378" t="s">
        <v>2438</v>
      </c>
      <c r="BR1378" t="s">
        <v>1499</v>
      </c>
      <c r="BU1378">
        <v>0</v>
      </c>
      <c r="BV1378">
        <v>0</v>
      </c>
      <c r="BW1378">
        <v>0</v>
      </c>
      <c r="BX1378">
        <v>0</v>
      </c>
      <c r="BY1378">
        <v>0</v>
      </c>
      <c r="BZ1378">
        <v>0</v>
      </c>
      <c r="CA1378">
        <v>0</v>
      </c>
      <c r="CB1378">
        <v>0</v>
      </c>
      <c r="CC1378">
        <v>0</v>
      </c>
      <c r="CD1378">
        <v>0</v>
      </c>
      <c r="CE1378">
        <v>0</v>
      </c>
      <c r="CF1378">
        <v>0</v>
      </c>
      <c r="CG1378">
        <v>0</v>
      </c>
      <c r="CH1378">
        <v>0</v>
      </c>
      <c r="CI1378">
        <v>0</v>
      </c>
      <c r="CJ1378">
        <v>0</v>
      </c>
      <c r="CK1378">
        <v>0</v>
      </c>
      <c r="CL1378">
        <v>0</v>
      </c>
      <c r="CM1378">
        <v>0</v>
      </c>
      <c r="CR1378" t="s">
        <v>2330</v>
      </c>
      <c r="CS1378" s="1369" t="str">
        <f>INDEX([8]Sheet1!$H:$H,MATCH(CR:CR,[8]Sheet1!$AU:$AU,0))</f>
        <v>Water Treatment</v>
      </c>
    </row>
    <row r="1379" spans="1:97" x14ac:dyDescent="0.2">
      <c r="A1379" t="s">
        <v>4436</v>
      </c>
      <c r="B1379">
        <v>1468</v>
      </c>
      <c r="C1379" t="s">
        <v>4436</v>
      </c>
      <c r="D1379">
        <v>41549</v>
      </c>
      <c r="E1379" t="s">
        <v>4432</v>
      </c>
      <c r="F1379">
        <v>2000</v>
      </c>
      <c r="G1379" t="s">
        <v>652</v>
      </c>
      <c r="H1379" t="s">
        <v>2563</v>
      </c>
      <c r="I1379" t="s">
        <v>1160</v>
      </c>
      <c r="J1379">
        <v>2012</v>
      </c>
      <c r="K1379" t="s">
        <v>1160</v>
      </c>
      <c r="L1379">
        <v>3200</v>
      </c>
      <c r="M1379" t="s">
        <v>625</v>
      </c>
      <c r="N1379">
        <v>3205</v>
      </c>
      <c r="O1379" t="s">
        <v>1002</v>
      </c>
      <c r="P1379" t="s">
        <v>2366</v>
      </c>
      <c r="Q1379" t="s">
        <v>2364</v>
      </c>
      <c r="R1379" t="s">
        <v>2364</v>
      </c>
      <c r="S1379" t="s">
        <v>1881</v>
      </c>
      <c r="T1379" t="s">
        <v>1812</v>
      </c>
      <c r="U1379" t="s">
        <v>2365</v>
      </c>
      <c r="V1379" t="s">
        <v>2365</v>
      </c>
      <c r="W1379" t="s">
        <v>2365</v>
      </c>
      <c r="X1379" t="s">
        <v>2365</v>
      </c>
      <c r="Y1379" t="s">
        <v>2365</v>
      </c>
      <c r="Z1379" t="s">
        <v>2365</v>
      </c>
      <c r="AA1379" t="s">
        <v>2365</v>
      </c>
      <c r="AB1379" t="s">
        <v>2365</v>
      </c>
      <c r="AC1379" s="813" t="s">
        <v>2365</v>
      </c>
      <c r="AD1379" s="813" t="s">
        <v>2365</v>
      </c>
      <c r="AE1379" s="813" t="s">
        <v>2365</v>
      </c>
      <c r="AF1379" t="s">
        <v>2365</v>
      </c>
      <c r="AG1379" t="s">
        <v>2365</v>
      </c>
      <c r="AH1379" t="s">
        <v>2365</v>
      </c>
      <c r="AI1379" t="s">
        <v>2365</v>
      </c>
      <c r="AJ1379" t="s">
        <v>2365</v>
      </c>
      <c r="AK1379" t="s">
        <v>2365</v>
      </c>
      <c r="AL1379" t="s">
        <v>2365</v>
      </c>
      <c r="AM1379" t="s">
        <v>2365</v>
      </c>
      <c r="AN1379" t="s">
        <v>2365</v>
      </c>
      <c r="AR1379" t="s">
        <v>2365</v>
      </c>
      <c r="AS1379" t="s">
        <v>2365</v>
      </c>
      <c r="AT1379" t="s">
        <v>2365</v>
      </c>
      <c r="AU1379" t="s">
        <v>2365</v>
      </c>
      <c r="AV1379" t="s">
        <v>2365</v>
      </c>
      <c r="AW1379" t="s">
        <v>2365</v>
      </c>
      <c r="AX1379" t="s">
        <v>2365</v>
      </c>
      <c r="AY1379" t="s">
        <v>2365</v>
      </c>
      <c r="AZ1379" t="s">
        <v>2365</v>
      </c>
      <c r="BA1379" t="s">
        <v>2365</v>
      </c>
      <c r="BB1379" t="s">
        <v>2365</v>
      </c>
      <c r="BC1379" t="s">
        <v>2365</v>
      </c>
      <c r="BD1379" t="s">
        <v>2366</v>
      </c>
      <c r="BE1379" t="s">
        <v>2365</v>
      </c>
      <c r="BF1379" t="s">
        <v>2365</v>
      </c>
      <c r="BG1379" t="s">
        <v>2365</v>
      </c>
      <c r="BH1379" t="s">
        <v>2365</v>
      </c>
      <c r="BI1379" t="s">
        <v>2366</v>
      </c>
      <c r="BJ1379" t="s">
        <v>2365</v>
      </c>
      <c r="BK1379" t="s">
        <v>2365</v>
      </c>
      <c r="BL1379" t="s">
        <v>2365</v>
      </c>
      <c r="BM1379" t="s">
        <v>2365</v>
      </c>
      <c r="BN1379" t="s">
        <v>2177</v>
      </c>
      <c r="BO1379">
        <v>7</v>
      </c>
      <c r="BP1379">
        <v>71</v>
      </c>
      <c r="BQ1379" t="s">
        <v>2665</v>
      </c>
      <c r="BR1379" t="s">
        <v>1002</v>
      </c>
      <c r="BU1379">
        <v>0</v>
      </c>
      <c r="BV1379">
        <v>0</v>
      </c>
      <c r="BW1379">
        <v>0</v>
      </c>
      <c r="BX1379">
        <v>66000</v>
      </c>
      <c r="BY1379">
        <v>66000</v>
      </c>
      <c r="BZ1379">
        <v>0</v>
      </c>
      <c r="CA1379">
        <v>0</v>
      </c>
      <c r="CB1379">
        <v>0</v>
      </c>
      <c r="CC1379">
        <v>32639.829999999998</v>
      </c>
      <c r="CD1379">
        <v>0</v>
      </c>
      <c r="CE1379">
        <v>0</v>
      </c>
      <c r="CF1379">
        <v>0</v>
      </c>
      <c r="CG1379">
        <v>0</v>
      </c>
      <c r="CH1379">
        <v>0</v>
      </c>
      <c r="CI1379">
        <v>0</v>
      </c>
      <c r="CJ1379">
        <v>0</v>
      </c>
      <c r="CK1379">
        <v>0</v>
      </c>
      <c r="CL1379">
        <v>0</v>
      </c>
      <c r="CM1379">
        <v>0</v>
      </c>
      <c r="CR1379" t="s">
        <v>2330</v>
      </c>
      <c r="CS1379" s="1369" t="str">
        <f>INDEX([8]Sheet1!$H:$H,MATCH(CR:CR,[8]Sheet1!$AU:$AU,0))</f>
        <v>Water Treatment</v>
      </c>
    </row>
    <row r="1380" spans="1:97" x14ac:dyDescent="0.2">
      <c r="A1380" t="s">
        <v>4437</v>
      </c>
      <c r="B1380">
        <v>1469</v>
      </c>
      <c r="C1380" t="s">
        <v>4437</v>
      </c>
      <c r="D1380">
        <v>41550</v>
      </c>
      <c r="E1380" t="s">
        <v>4434</v>
      </c>
      <c r="F1380">
        <v>2000</v>
      </c>
      <c r="G1380" t="s">
        <v>652</v>
      </c>
      <c r="H1380" t="s">
        <v>2563</v>
      </c>
      <c r="I1380" t="s">
        <v>1160</v>
      </c>
      <c r="J1380">
        <v>2012</v>
      </c>
      <c r="K1380" t="s">
        <v>1160</v>
      </c>
      <c r="L1380">
        <v>3200</v>
      </c>
      <c r="M1380" t="s">
        <v>625</v>
      </c>
      <c r="N1380">
        <v>3205</v>
      </c>
      <c r="O1380" t="s">
        <v>1002</v>
      </c>
      <c r="P1380" t="s">
        <v>2366</v>
      </c>
      <c r="Q1380" t="s">
        <v>2364</v>
      </c>
      <c r="R1380" t="s">
        <v>2364</v>
      </c>
      <c r="S1380" t="s">
        <v>1881</v>
      </c>
      <c r="T1380" t="s">
        <v>1812</v>
      </c>
      <c r="U1380" t="s">
        <v>2365</v>
      </c>
      <c r="V1380" t="s">
        <v>2365</v>
      </c>
      <c r="W1380" t="s">
        <v>2365</v>
      </c>
      <c r="X1380" t="s">
        <v>2365</v>
      </c>
      <c r="Y1380" t="s">
        <v>2365</v>
      </c>
      <c r="Z1380" t="s">
        <v>2365</v>
      </c>
      <c r="AA1380" t="s">
        <v>2365</v>
      </c>
      <c r="AB1380" t="s">
        <v>2365</v>
      </c>
      <c r="AC1380" s="813" t="s">
        <v>2365</v>
      </c>
      <c r="AD1380" s="813" t="s">
        <v>2365</v>
      </c>
      <c r="AE1380" s="813" t="s">
        <v>2365</v>
      </c>
      <c r="AF1380" t="s">
        <v>2365</v>
      </c>
      <c r="AG1380" t="s">
        <v>2365</v>
      </c>
      <c r="AH1380" t="s">
        <v>2365</v>
      </c>
      <c r="AI1380" t="s">
        <v>2365</v>
      </c>
      <c r="AJ1380" t="s">
        <v>2365</v>
      </c>
      <c r="AK1380" t="s">
        <v>2365</v>
      </c>
      <c r="AL1380" t="s">
        <v>2365</v>
      </c>
      <c r="AM1380" t="s">
        <v>2365</v>
      </c>
      <c r="AN1380" t="s">
        <v>2365</v>
      </c>
      <c r="AR1380" t="s">
        <v>2365</v>
      </c>
      <c r="AS1380" t="s">
        <v>2365</v>
      </c>
      <c r="AT1380" t="s">
        <v>2365</v>
      </c>
      <c r="AU1380" t="s">
        <v>2365</v>
      </c>
      <c r="AV1380" t="s">
        <v>2365</v>
      </c>
      <c r="AW1380" t="s">
        <v>2365</v>
      </c>
      <c r="AX1380" t="s">
        <v>2365</v>
      </c>
      <c r="AY1380" t="s">
        <v>2365</v>
      </c>
      <c r="AZ1380" t="s">
        <v>2365</v>
      </c>
      <c r="BA1380" t="s">
        <v>2365</v>
      </c>
      <c r="BB1380" t="s">
        <v>2365</v>
      </c>
      <c r="BC1380" t="s">
        <v>2365</v>
      </c>
      <c r="BD1380" t="s">
        <v>2366</v>
      </c>
      <c r="BE1380" t="s">
        <v>2365</v>
      </c>
      <c r="BF1380" t="s">
        <v>2365</v>
      </c>
      <c r="BG1380" t="s">
        <v>2365</v>
      </c>
      <c r="BH1380" t="s">
        <v>2365</v>
      </c>
      <c r="BI1380" t="s">
        <v>2366</v>
      </c>
      <c r="BJ1380" t="s">
        <v>2365</v>
      </c>
      <c r="BK1380" t="s">
        <v>2365</v>
      </c>
      <c r="BL1380" t="s">
        <v>2365</v>
      </c>
      <c r="BM1380" t="s">
        <v>2365</v>
      </c>
      <c r="BN1380" t="s">
        <v>2176</v>
      </c>
      <c r="BO1380">
        <v>7</v>
      </c>
      <c r="BP1380">
        <v>71</v>
      </c>
      <c r="BQ1380" t="s">
        <v>2665</v>
      </c>
      <c r="BR1380" t="s">
        <v>1002</v>
      </c>
      <c r="BU1380">
        <v>0</v>
      </c>
      <c r="BV1380">
        <v>0</v>
      </c>
      <c r="BW1380">
        <v>0</v>
      </c>
      <c r="BX1380">
        <v>0</v>
      </c>
      <c r="BY1380">
        <v>0</v>
      </c>
      <c r="BZ1380">
        <v>0</v>
      </c>
      <c r="CA1380">
        <v>0</v>
      </c>
      <c r="CB1380">
        <v>0</v>
      </c>
      <c r="CC1380">
        <v>0</v>
      </c>
      <c r="CD1380">
        <v>0</v>
      </c>
      <c r="CE1380">
        <v>0</v>
      </c>
      <c r="CF1380">
        <v>0</v>
      </c>
      <c r="CG1380">
        <v>0</v>
      </c>
      <c r="CH1380">
        <v>0</v>
      </c>
      <c r="CI1380">
        <v>0</v>
      </c>
      <c r="CJ1380">
        <v>0</v>
      </c>
      <c r="CK1380">
        <v>0</v>
      </c>
      <c r="CL1380">
        <v>0</v>
      </c>
      <c r="CM1380">
        <v>0</v>
      </c>
      <c r="CR1380" t="s">
        <v>2330</v>
      </c>
      <c r="CS1380" s="1369" t="str">
        <f>INDEX([8]Sheet1!$H:$H,MATCH(CR:CR,[8]Sheet1!$AU:$AU,0))</f>
        <v>Water Treatment</v>
      </c>
    </row>
    <row r="1381" spans="1:97" x14ac:dyDescent="0.2">
      <c r="A1381" t="s">
        <v>4438</v>
      </c>
      <c r="B1381">
        <v>1470</v>
      </c>
      <c r="C1381" t="s">
        <v>4438</v>
      </c>
      <c r="D1381">
        <v>51840</v>
      </c>
      <c r="E1381" t="s">
        <v>4439</v>
      </c>
      <c r="F1381" t="s">
        <v>2364</v>
      </c>
      <c r="G1381" t="s">
        <v>2364</v>
      </c>
      <c r="H1381" t="s">
        <v>2365</v>
      </c>
      <c r="I1381" t="s">
        <v>2365</v>
      </c>
      <c r="J1381" t="s">
        <v>2365</v>
      </c>
      <c r="K1381" t="s">
        <v>2365</v>
      </c>
      <c r="L1381">
        <v>1200</v>
      </c>
      <c r="M1381" t="s">
        <v>1480</v>
      </c>
      <c r="N1381">
        <v>1204</v>
      </c>
      <c r="O1381" t="s">
        <v>1487</v>
      </c>
      <c r="P1381" t="s">
        <v>2366</v>
      </c>
      <c r="Q1381" t="s">
        <v>2364</v>
      </c>
      <c r="R1381" t="s">
        <v>2364</v>
      </c>
      <c r="S1381" t="s">
        <v>553</v>
      </c>
      <c r="T1381" t="s">
        <v>2175</v>
      </c>
      <c r="U1381">
        <v>140</v>
      </c>
      <c r="V1381" t="s">
        <v>693</v>
      </c>
      <c r="W1381">
        <v>140</v>
      </c>
      <c r="X1381" t="s">
        <v>693</v>
      </c>
      <c r="Y1381" t="s">
        <v>2365</v>
      </c>
      <c r="Z1381" t="s">
        <v>2365</v>
      </c>
      <c r="AA1381" t="s">
        <v>2365</v>
      </c>
      <c r="AB1381" t="s">
        <v>2365</v>
      </c>
      <c r="AC1381" s="813" t="s">
        <v>2365</v>
      </c>
      <c r="AD1381" s="813" t="s">
        <v>2365</v>
      </c>
      <c r="AE1381" s="813" t="s">
        <v>2365</v>
      </c>
      <c r="AF1381" t="s">
        <v>2365</v>
      </c>
      <c r="AG1381" t="s">
        <v>2365</v>
      </c>
      <c r="AH1381" t="s">
        <v>2365</v>
      </c>
      <c r="AI1381" t="s">
        <v>2365</v>
      </c>
      <c r="AJ1381" t="s">
        <v>2365</v>
      </c>
      <c r="AK1381" t="s">
        <v>2366</v>
      </c>
      <c r="AL1381" t="s">
        <v>2366</v>
      </c>
      <c r="AM1381" t="s">
        <v>2366</v>
      </c>
      <c r="AN1381" t="s">
        <v>2366</v>
      </c>
      <c r="AR1381" t="s">
        <v>2365</v>
      </c>
      <c r="AS1381" t="s">
        <v>2365</v>
      </c>
      <c r="AT1381" t="s">
        <v>2365</v>
      </c>
      <c r="AU1381" t="s">
        <v>2365</v>
      </c>
      <c r="AV1381" t="s">
        <v>2365</v>
      </c>
      <c r="AW1381" t="s">
        <v>2365</v>
      </c>
      <c r="AX1381" t="s">
        <v>2365</v>
      </c>
      <c r="AY1381" t="s">
        <v>2365</v>
      </c>
      <c r="AZ1381" t="s">
        <v>2365</v>
      </c>
      <c r="BA1381" t="s">
        <v>2365</v>
      </c>
      <c r="BB1381" t="s">
        <v>2365</v>
      </c>
      <c r="BC1381" t="s">
        <v>2365</v>
      </c>
      <c r="BD1381" t="s">
        <v>2366</v>
      </c>
      <c r="BE1381" t="s">
        <v>2365</v>
      </c>
      <c r="BF1381" t="s">
        <v>2365</v>
      </c>
      <c r="BG1381" t="s">
        <v>2365</v>
      </c>
      <c r="BH1381" t="s">
        <v>2365</v>
      </c>
      <c r="BI1381" t="s">
        <v>2366</v>
      </c>
      <c r="BJ1381" t="s">
        <v>2365</v>
      </c>
      <c r="BK1381" t="s">
        <v>2365</v>
      </c>
      <c r="BL1381" t="s">
        <v>2365</v>
      </c>
      <c r="BM1381" t="s">
        <v>2365</v>
      </c>
      <c r="BO1381">
        <v>1</v>
      </c>
      <c r="BP1381">
        <v>11</v>
      </c>
      <c r="BQ1381" t="s">
        <v>2369</v>
      </c>
      <c r="BR1381" t="s">
        <v>1487</v>
      </c>
      <c r="BU1381">
        <v>0</v>
      </c>
      <c r="BV1381">
        <v>0</v>
      </c>
      <c r="BW1381">
        <v>0</v>
      </c>
      <c r="BX1381">
        <v>0</v>
      </c>
      <c r="BY1381">
        <v>0</v>
      </c>
      <c r="BZ1381">
        <v>0</v>
      </c>
      <c r="CA1381">
        <v>0</v>
      </c>
      <c r="CB1381">
        <v>0</v>
      </c>
      <c r="CC1381">
        <v>0</v>
      </c>
      <c r="CD1381">
        <v>0</v>
      </c>
      <c r="CE1381">
        <v>0</v>
      </c>
      <c r="CF1381">
        <v>0</v>
      </c>
      <c r="CG1381">
        <v>0</v>
      </c>
      <c r="CH1381">
        <v>0</v>
      </c>
      <c r="CI1381">
        <v>0</v>
      </c>
      <c r="CJ1381">
        <v>0</v>
      </c>
      <c r="CK1381">
        <v>0</v>
      </c>
      <c r="CL1381">
        <v>0</v>
      </c>
      <c r="CM1381">
        <v>0</v>
      </c>
      <c r="CR1381" t="s">
        <v>2330</v>
      </c>
      <c r="CS1381" s="1369" t="str">
        <f>INDEX([8]Sheet1!$H:$H,MATCH(CR:CR,[8]Sheet1!$AU:$AU,0))</f>
        <v>Water Treatment</v>
      </c>
    </row>
    <row r="1382" spans="1:97" x14ac:dyDescent="0.2">
      <c r="A1382" t="s">
        <v>4440</v>
      </c>
      <c r="B1382">
        <v>1471</v>
      </c>
      <c r="C1382" t="s">
        <v>4440</v>
      </c>
      <c r="D1382">
        <v>51841</v>
      </c>
      <c r="E1382" t="s">
        <v>4406</v>
      </c>
      <c r="F1382" t="s">
        <v>2364</v>
      </c>
      <c r="G1382" t="s">
        <v>2364</v>
      </c>
      <c r="H1382" t="s">
        <v>2365</v>
      </c>
      <c r="I1382" t="s">
        <v>2365</v>
      </c>
      <c r="J1382" t="s">
        <v>2365</v>
      </c>
      <c r="K1382" t="s">
        <v>2365</v>
      </c>
      <c r="L1382">
        <v>1200</v>
      </c>
      <c r="M1382" t="s">
        <v>1480</v>
      </c>
      <c r="N1382">
        <v>1204</v>
      </c>
      <c r="O1382" t="s">
        <v>1487</v>
      </c>
      <c r="P1382" t="s">
        <v>2366</v>
      </c>
      <c r="Q1382" t="s">
        <v>2364</v>
      </c>
      <c r="R1382" t="s">
        <v>2364</v>
      </c>
      <c r="S1382" t="s">
        <v>553</v>
      </c>
      <c r="T1382" t="s">
        <v>2367</v>
      </c>
      <c r="U1382">
        <v>360</v>
      </c>
      <c r="V1382" t="s">
        <v>2368</v>
      </c>
      <c r="W1382">
        <v>360</v>
      </c>
      <c r="X1382" t="s">
        <v>711</v>
      </c>
      <c r="Y1382" t="s">
        <v>2365</v>
      </c>
      <c r="Z1382" t="s">
        <v>2365</v>
      </c>
      <c r="AA1382" t="s">
        <v>2365</v>
      </c>
      <c r="AB1382" t="s">
        <v>2365</v>
      </c>
      <c r="AC1382" s="813" t="s">
        <v>2365</v>
      </c>
      <c r="AD1382" s="813" t="s">
        <v>2365</v>
      </c>
      <c r="AE1382" s="813" t="s">
        <v>2365</v>
      </c>
      <c r="AF1382" t="s">
        <v>2365</v>
      </c>
      <c r="AG1382" t="s">
        <v>2365</v>
      </c>
      <c r="AH1382" t="s">
        <v>2365</v>
      </c>
      <c r="AI1382" t="s">
        <v>2365</v>
      </c>
      <c r="AJ1382" t="s">
        <v>2365</v>
      </c>
      <c r="AK1382">
        <v>363</v>
      </c>
      <c r="AL1382" t="s">
        <v>748</v>
      </c>
      <c r="AM1382">
        <v>363</v>
      </c>
      <c r="AN1382" t="s">
        <v>748</v>
      </c>
      <c r="AR1382" t="s">
        <v>2365</v>
      </c>
      <c r="AS1382" t="s">
        <v>2365</v>
      </c>
      <c r="AT1382" t="s">
        <v>2365</v>
      </c>
      <c r="AU1382" t="s">
        <v>2365</v>
      </c>
      <c r="AV1382" t="s">
        <v>2365</v>
      </c>
      <c r="AW1382" t="s">
        <v>2365</v>
      </c>
      <c r="AX1382" t="s">
        <v>2365</v>
      </c>
      <c r="AY1382" t="s">
        <v>2365</v>
      </c>
      <c r="AZ1382" t="s">
        <v>2365</v>
      </c>
      <c r="BA1382" t="s">
        <v>2365</v>
      </c>
      <c r="BB1382" t="s">
        <v>2365</v>
      </c>
      <c r="BC1382" t="s">
        <v>2365</v>
      </c>
      <c r="BD1382" t="s">
        <v>2366</v>
      </c>
      <c r="BE1382" t="s">
        <v>2365</v>
      </c>
      <c r="BF1382" t="s">
        <v>2365</v>
      </c>
      <c r="BG1382" t="s">
        <v>2365</v>
      </c>
      <c r="BH1382" t="s">
        <v>2365</v>
      </c>
      <c r="BI1382" t="s">
        <v>2366</v>
      </c>
      <c r="BJ1382" t="s">
        <v>2365</v>
      </c>
      <c r="BK1382" t="s">
        <v>2365</v>
      </c>
      <c r="BL1382" t="s">
        <v>2365</v>
      </c>
      <c r="BM1382" t="s">
        <v>2365</v>
      </c>
      <c r="BO1382">
        <v>1</v>
      </c>
      <c r="BP1382">
        <v>11</v>
      </c>
      <c r="BQ1382" t="s">
        <v>2369</v>
      </c>
      <c r="BR1382" t="s">
        <v>1487</v>
      </c>
      <c r="BU1382">
        <v>0</v>
      </c>
      <c r="BV1382">
        <v>0</v>
      </c>
      <c r="BW1382">
        <v>0</v>
      </c>
      <c r="BX1382">
        <v>0</v>
      </c>
      <c r="BY1382">
        <v>0</v>
      </c>
      <c r="BZ1382">
        <v>0</v>
      </c>
      <c r="CA1382">
        <v>0</v>
      </c>
      <c r="CB1382">
        <v>0</v>
      </c>
      <c r="CC1382">
        <v>0</v>
      </c>
      <c r="CD1382">
        <v>0</v>
      </c>
      <c r="CE1382">
        <v>0</v>
      </c>
      <c r="CF1382">
        <v>0</v>
      </c>
      <c r="CG1382">
        <v>0</v>
      </c>
      <c r="CH1382">
        <v>0</v>
      </c>
      <c r="CI1382">
        <v>0</v>
      </c>
      <c r="CJ1382">
        <v>0</v>
      </c>
      <c r="CK1382">
        <v>0</v>
      </c>
      <c r="CL1382">
        <v>0</v>
      </c>
      <c r="CM1382">
        <v>0</v>
      </c>
      <c r="CR1382" t="s">
        <v>2330</v>
      </c>
      <c r="CS1382" s="1369" t="str">
        <f>INDEX([8]Sheet1!$H:$H,MATCH(CR:CR,[8]Sheet1!$AU:$AU,0))</f>
        <v>Water Treatment</v>
      </c>
    </row>
    <row r="1383" spans="1:97" x14ac:dyDescent="0.2">
      <c r="A1383" t="s">
        <v>4441</v>
      </c>
      <c r="B1383">
        <v>1472</v>
      </c>
      <c r="C1383" t="s">
        <v>4441</v>
      </c>
      <c r="D1383">
        <v>51842</v>
      </c>
      <c r="E1383" t="s">
        <v>4442</v>
      </c>
      <c r="F1383" t="s">
        <v>2364</v>
      </c>
      <c r="G1383" t="s">
        <v>2364</v>
      </c>
      <c r="H1383" t="s">
        <v>2365</v>
      </c>
      <c r="I1383" t="s">
        <v>2365</v>
      </c>
      <c r="J1383" t="s">
        <v>2365</v>
      </c>
      <c r="K1383" t="s">
        <v>2365</v>
      </c>
      <c r="L1383">
        <v>1200</v>
      </c>
      <c r="M1383" t="s">
        <v>1480</v>
      </c>
      <c r="N1383">
        <v>1204</v>
      </c>
      <c r="O1383" t="s">
        <v>1487</v>
      </c>
      <c r="P1383" t="s">
        <v>2366</v>
      </c>
      <c r="Q1383" t="s">
        <v>2364</v>
      </c>
      <c r="R1383" t="s">
        <v>2364</v>
      </c>
      <c r="S1383" t="s">
        <v>553</v>
      </c>
      <c r="T1383" t="s">
        <v>2367</v>
      </c>
      <c r="U1383">
        <v>360</v>
      </c>
      <c r="V1383" t="s">
        <v>2368</v>
      </c>
      <c r="W1383">
        <v>360</v>
      </c>
      <c r="X1383" t="s">
        <v>711</v>
      </c>
      <c r="Y1383" t="s">
        <v>2365</v>
      </c>
      <c r="Z1383" t="s">
        <v>2365</v>
      </c>
      <c r="AA1383" t="s">
        <v>2365</v>
      </c>
      <c r="AB1383" t="s">
        <v>2365</v>
      </c>
      <c r="AC1383" s="813">
        <v>200</v>
      </c>
      <c r="AD1383" s="813" t="s">
        <v>4443</v>
      </c>
      <c r="AE1383" s="813">
        <v>480</v>
      </c>
      <c r="AF1383" t="s">
        <v>569</v>
      </c>
      <c r="AG1383" t="s">
        <v>2365</v>
      </c>
      <c r="AH1383" t="s">
        <v>2365</v>
      </c>
      <c r="AI1383" t="s">
        <v>2365</v>
      </c>
      <c r="AJ1383" t="s">
        <v>2365</v>
      </c>
      <c r="AK1383">
        <v>363</v>
      </c>
      <c r="AL1383" t="s">
        <v>748</v>
      </c>
      <c r="AM1383">
        <v>363</v>
      </c>
      <c r="AN1383" t="s">
        <v>748</v>
      </c>
      <c r="AR1383" t="s">
        <v>2365</v>
      </c>
      <c r="AS1383" t="s">
        <v>2365</v>
      </c>
      <c r="AT1383" t="s">
        <v>2365</v>
      </c>
      <c r="AU1383" t="s">
        <v>2365</v>
      </c>
      <c r="AV1383" t="s">
        <v>2365</v>
      </c>
      <c r="AW1383" t="s">
        <v>2365</v>
      </c>
      <c r="AX1383" t="s">
        <v>2365</v>
      </c>
      <c r="AY1383" t="s">
        <v>2365</v>
      </c>
      <c r="AZ1383" t="s">
        <v>2365</v>
      </c>
      <c r="BA1383" t="s">
        <v>2365</v>
      </c>
      <c r="BB1383" t="s">
        <v>2365</v>
      </c>
      <c r="BC1383" t="s">
        <v>2365</v>
      </c>
      <c r="BD1383" t="s">
        <v>2366</v>
      </c>
      <c r="BE1383" t="s">
        <v>2365</v>
      </c>
      <c r="BF1383" t="s">
        <v>2365</v>
      </c>
      <c r="BG1383" t="s">
        <v>2365</v>
      </c>
      <c r="BH1383" t="s">
        <v>2365</v>
      </c>
      <c r="BI1383" t="s">
        <v>2366</v>
      </c>
      <c r="BJ1383" t="s">
        <v>2365</v>
      </c>
      <c r="BK1383" t="s">
        <v>2365</v>
      </c>
      <c r="BL1383" t="s">
        <v>2365</v>
      </c>
      <c r="BM1383" t="s">
        <v>2365</v>
      </c>
      <c r="BO1383">
        <v>1</v>
      </c>
      <c r="BP1383">
        <v>11</v>
      </c>
      <c r="BQ1383" t="s">
        <v>2369</v>
      </c>
      <c r="BR1383" t="s">
        <v>1487</v>
      </c>
      <c r="BU1383">
        <v>0</v>
      </c>
      <c r="BV1383">
        <v>0</v>
      </c>
      <c r="BW1383">
        <v>0</v>
      </c>
      <c r="BX1383">
        <v>0</v>
      </c>
      <c r="BY1383">
        <v>0</v>
      </c>
      <c r="BZ1383">
        <v>0</v>
      </c>
      <c r="CA1383">
        <v>0</v>
      </c>
      <c r="CB1383">
        <v>0</v>
      </c>
      <c r="CC1383">
        <v>0</v>
      </c>
      <c r="CD1383">
        <v>0</v>
      </c>
      <c r="CE1383">
        <v>0</v>
      </c>
      <c r="CF1383">
        <v>0</v>
      </c>
      <c r="CG1383">
        <v>0</v>
      </c>
      <c r="CH1383">
        <v>0</v>
      </c>
      <c r="CI1383">
        <v>0</v>
      </c>
      <c r="CJ1383">
        <v>0</v>
      </c>
      <c r="CK1383">
        <v>0</v>
      </c>
      <c r="CL1383">
        <v>0</v>
      </c>
      <c r="CM1383">
        <v>0</v>
      </c>
      <c r="CR1383" t="s">
        <v>2320</v>
      </c>
      <c r="CS1383" s="1369" t="str">
        <f>INDEX([8]Sheet1!$H:$H,MATCH(CR:CR,[8]Sheet1!$AU:$AU,0))</f>
        <v>Administrative and Corporate Support</v>
      </c>
    </row>
    <row r="1384" spans="1:97" x14ac:dyDescent="0.2">
      <c r="A1384" t="s">
        <v>4444</v>
      </c>
      <c r="B1384">
        <v>1473</v>
      </c>
      <c r="C1384" t="s">
        <v>4444</v>
      </c>
      <c r="D1384">
        <v>30369</v>
      </c>
      <c r="E1384" t="s">
        <v>3507</v>
      </c>
      <c r="F1384" t="s">
        <v>2364</v>
      </c>
      <c r="G1384" t="s">
        <v>2364</v>
      </c>
      <c r="H1384" t="s">
        <v>2365</v>
      </c>
      <c r="I1384" t="s">
        <v>2365</v>
      </c>
      <c r="J1384" t="s">
        <v>2365</v>
      </c>
      <c r="K1384" t="s">
        <v>2365</v>
      </c>
      <c r="L1384">
        <v>1200</v>
      </c>
      <c r="M1384" t="s">
        <v>1480</v>
      </c>
      <c r="N1384">
        <v>1204</v>
      </c>
      <c r="O1384" t="s">
        <v>1487</v>
      </c>
      <c r="P1384" t="s">
        <v>2366</v>
      </c>
      <c r="Q1384" t="s">
        <v>2364</v>
      </c>
      <c r="R1384" t="s">
        <v>2364</v>
      </c>
      <c r="S1384" t="s">
        <v>553</v>
      </c>
      <c r="T1384" t="s">
        <v>2175</v>
      </c>
      <c r="U1384">
        <v>140</v>
      </c>
      <c r="V1384" t="s">
        <v>693</v>
      </c>
      <c r="W1384">
        <v>140</v>
      </c>
      <c r="X1384" t="s">
        <v>693</v>
      </c>
      <c r="Y1384" t="s">
        <v>2365</v>
      </c>
      <c r="Z1384" t="s">
        <v>2365</v>
      </c>
      <c r="AA1384" t="s">
        <v>2365</v>
      </c>
      <c r="AB1384" t="s">
        <v>2365</v>
      </c>
      <c r="AC1384" s="813" t="s">
        <v>2365</v>
      </c>
      <c r="AD1384" s="813" t="s">
        <v>2365</v>
      </c>
      <c r="AE1384" s="813" t="s">
        <v>2365</v>
      </c>
      <c r="AF1384" t="s">
        <v>2365</v>
      </c>
      <c r="AG1384" t="s">
        <v>2365</v>
      </c>
      <c r="AH1384" t="s">
        <v>2365</v>
      </c>
      <c r="AI1384" t="s">
        <v>2365</v>
      </c>
      <c r="AJ1384" t="s">
        <v>2365</v>
      </c>
      <c r="AK1384" t="s">
        <v>2366</v>
      </c>
      <c r="AL1384" t="s">
        <v>2366</v>
      </c>
      <c r="AM1384" t="s">
        <v>2366</v>
      </c>
      <c r="AN1384" t="s">
        <v>2366</v>
      </c>
      <c r="AR1384" t="s">
        <v>2365</v>
      </c>
      <c r="AS1384" t="s">
        <v>2365</v>
      </c>
      <c r="AT1384" t="s">
        <v>2365</v>
      </c>
      <c r="AU1384" t="s">
        <v>2365</v>
      </c>
      <c r="AV1384" t="s">
        <v>2365</v>
      </c>
      <c r="AW1384" t="s">
        <v>2365</v>
      </c>
      <c r="AX1384" t="s">
        <v>2365</v>
      </c>
      <c r="AY1384" t="s">
        <v>2365</v>
      </c>
      <c r="AZ1384" t="s">
        <v>2365</v>
      </c>
      <c r="BA1384" t="s">
        <v>2365</v>
      </c>
      <c r="BB1384" t="s">
        <v>2365</v>
      </c>
      <c r="BC1384" t="s">
        <v>2365</v>
      </c>
      <c r="BD1384" t="s">
        <v>2366</v>
      </c>
      <c r="BE1384" t="s">
        <v>2365</v>
      </c>
      <c r="BF1384" t="s">
        <v>2365</v>
      </c>
      <c r="BG1384" t="s">
        <v>2365</v>
      </c>
      <c r="BH1384" t="s">
        <v>2365</v>
      </c>
      <c r="BI1384" t="s">
        <v>2366</v>
      </c>
      <c r="BJ1384" t="s">
        <v>2365</v>
      </c>
      <c r="BK1384" t="s">
        <v>2365</v>
      </c>
      <c r="BL1384" t="s">
        <v>2365</v>
      </c>
      <c r="BM1384" t="s">
        <v>2365</v>
      </c>
      <c r="BO1384">
        <v>1</v>
      </c>
      <c r="BP1384">
        <v>11</v>
      </c>
      <c r="BQ1384" t="s">
        <v>2369</v>
      </c>
      <c r="BR1384" t="s">
        <v>1487</v>
      </c>
      <c r="BU1384">
        <v>0</v>
      </c>
      <c r="BV1384">
        <v>0</v>
      </c>
      <c r="BW1384">
        <v>0</v>
      </c>
      <c r="BX1384">
        <v>0</v>
      </c>
      <c r="BY1384">
        <v>0</v>
      </c>
      <c r="BZ1384">
        <v>0</v>
      </c>
      <c r="CA1384">
        <v>0</v>
      </c>
      <c r="CB1384">
        <v>0</v>
      </c>
      <c r="CC1384">
        <v>0</v>
      </c>
      <c r="CD1384">
        <v>0</v>
      </c>
      <c r="CE1384">
        <v>0</v>
      </c>
      <c r="CF1384">
        <v>0</v>
      </c>
      <c r="CG1384">
        <v>0</v>
      </c>
      <c r="CH1384">
        <v>0</v>
      </c>
      <c r="CI1384">
        <v>0</v>
      </c>
      <c r="CJ1384">
        <v>0</v>
      </c>
      <c r="CK1384">
        <v>0</v>
      </c>
      <c r="CL1384">
        <v>0</v>
      </c>
      <c r="CM1384">
        <v>0</v>
      </c>
      <c r="CR1384" t="s">
        <v>2335</v>
      </c>
      <c r="CS1384" s="1369" t="str">
        <f>INDEX([8]Sheet1!$H:$H,MATCH(CR:CR,[8]Sheet1!$AU:$AU,0))</f>
        <v>Economic Development/Planning</v>
      </c>
    </row>
    <row r="1385" spans="1:97" x14ac:dyDescent="0.2">
      <c r="A1385" t="s">
        <v>4445</v>
      </c>
      <c r="B1385">
        <v>1474</v>
      </c>
      <c r="C1385" t="s">
        <v>4445</v>
      </c>
      <c r="D1385">
        <v>30528</v>
      </c>
      <c r="E1385" t="s">
        <v>3551</v>
      </c>
      <c r="F1385" t="s">
        <v>2364</v>
      </c>
      <c r="G1385" t="s">
        <v>2364</v>
      </c>
      <c r="H1385" s="1373" t="s">
        <v>2365</v>
      </c>
      <c r="I1385" t="s">
        <v>2365</v>
      </c>
      <c r="J1385" t="s">
        <v>2365</v>
      </c>
      <c r="K1385" t="s">
        <v>2365</v>
      </c>
      <c r="L1385" s="1373">
        <v>1200</v>
      </c>
      <c r="M1385" t="s">
        <v>1480</v>
      </c>
      <c r="N1385">
        <v>1204</v>
      </c>
      <c r="O1385" t="s">
        <v>1487</v>
      </c>
      <c r="P1385" t="s">
        <v>2366</v>
      </c>
      <c r="Q1385" t="s">
        <v>2364</v>
      </c>
      <c r="R1385" t="s">
        <v>2364</v>
      </c>
      <c r="S1385" t="s">
        <v>553</v>
      </c>
      <c r="T1385" t="s">
        <v>2175</v>
      </c>
      <c r="U1385">
        <v>140</v>
      </c>
      <c r="V1385" t="s">
        <v>693</v>
      </c>
      <c r="W1385">
        <v>140</v>
      </c>
      <c r="X1385" t="s">
        <v>693</v>
      </c>
      <c r="Y1385" t="s">
        <v>2365</v>
      </c>
      <c r="Z1385" t="s">
        <v>2365</v>
      </c>
      <c r="AA1385" t="s">
        <v>2365</v>
      </c>
      <c r="AB1385" t="s">
        <v>2365</v>
      </c>
      <c r="AC1385" s="813" t="s">
        <v>2365</v>
      </c>
      <c r="AD1385" s="813" t="s">
        <v>2365</v>
      </c>
      <c r="AE1385" s="813" t="s">
        <v>2365</v>
      </c>
      <c r="AF1385" t="s">
        <v>2365</v>
      </c>
      <c r="AG1385" t="s">
        <v>2365</v>
      </c>
      <c r="AH1385" t="s">
        <v>2365</v>
      </c>
      <c r="AI1385" t="s">
        <v>2365</v>
      </c>
      <c r="AJ1385" t="s">
        <v>2365</v>
      </c>
      <c r="AK1385" t="s">
        <v>2366</v>
      </c>
      <c r="AL1385" t="s">
        <v>2366</v>
      </c>
      <c r="AM1385" t="s">
        <v>2366</v>
      </c>
      <c r="AN1385" t="s">
        <v>2366</v>
      </c>
      <c r="AR1385" t="s">
        <v>2365</v>
      </c>
      <c r="AS1385" t="s">
        <v>2365</v>
      </c>
      <c r="AT1385" t="s">
        <v>2365</v>
      </c>
      <c r="AU1385" t="s">
        <v>2365</v>
      </c>
      <c r="AV1385" t="s">
        <v>2365</v>
      </c>
      <c r="AW1385" t="s">
        <v>2365</v>
      </c>
      <c r="AX1385" t="s">
        <v>2365</v>
      </c>
      <c r="AY1385" t="s">
        <v>2365</v>
      </c>
      <c r="AZ1385" t="s">
        <v>2365</v>
      </c>
      <c r="BA1385" t="s">
        <v>2365</v>
      </c>
      <c r="BB1385" t="s">
        <v>2365</v>
      </c>
      <c r="BC1385" t="s">
        <v>2365</v>
      </c>
      <c r="BD1385" t="s">
        <v>2366</v>
      </c>
      <c r="BE1385" t="s">
        <v>2365</v>
      </c>
      <c r="BF1385" t="s">
        <v>2365</v>
      </c>
      <c r="BG1385" t="s">
        <v>2365</v>
      </c>
      <c r="BH1385" t="s">
        <v>2365</v>
      </c>
      <c r="BI1385" t="s">
        <v>2366</v>
      </c>
      <c r="BJ1385" t="s">
        <v>2365</v>
      </c>
      <c r="BK1385" t="s">
        <v>2365</v>
      </c>
      <c r="BL1385" t="s">
        <v>2365</v>
      </c>
      <c r="BM1385" t="s">
        <v>2365</v>
      </c>
      <c r="BO1385">
        <v>1</v>
      </c>
      <c r="BP1385">
        <v>11</v>
      </c>
      <c r="BQ1385" t="s">
        <v>2369</v>
      </c>
      <c r="BR1385" t="s">
        <v>1487</v>
      </c>
      <c r="BU1385" s="1371">
        <v>0</v>
      </c>
      <c r="BV1385" s="1371">
        <v>0</v>
      </c>
      <c r="BW1385" s="1371">
        <v>0</v>
      </c>
      <c r="BX1385" s="1371">
        <v>0</v>
      </c>
      <c r="BY1385" s="1371">
        <v>0</v>
      </c>
      <c r="BZ1385">
        <v>0</v>
      </c>
      <c r="CA1385">
        <v>0</v>
      </c>
      <c r="CB1385">
        <v>0</v>
      </c>
      <c r="CC1385">
        <v>0</v>
      </c>
      <c r="CD1385">
        <v>0</v>
      </c>
      <c r="CE1385">
        <v>0</v>
      </c>
      <c r="CF1385">
        <v>0</v>
      </c>
      <c r="CG1385">
        <v>0</v>
      </c>
      <c r="CH1385">
        <v>0</v>
      </c>
      <c r="CI1385">
        <v>0</v>
      </c>
      <c r="CJ1385">
        <v>0</v>
      </c>
      <c r="CK1385">
        <v>0</v>
      </c>
      <c r="CL1385">
        <v>0</v>
      </c>
      <c r="CM1385">
        <v>0</v>
      </c>
      <c r="CR1385" t="s">
        <v>2320</v>
      </c>
      <c r="CS1385" s="1369" t="str">
        <f>INDEX([8]Sheet1!$H:$H,MATCH(CR:CR,[8]Sheet1!$AU:$AU,0))</f>
        <v>Administrative and Corporate Support</v>
      </c>
    </row>
    <row r="1386" spans="1:97" x14ac:dyDescent="0.2">
      <c r="A1386" t="s">
        <v>4446</v>
      </c>
      <c r="B1386">
        <v>1475</v>
      </c>
      <c r="C1386" t="s">
        <v>4446</v>
      </c>
      <c r="D1386">
        <v>30530</v>
      </c>
      <c r="E1386" t="s">
        <v>3559</v>
      </c>
      <c r="F1386" t="s">
        <v>2364</v>
      </c>
      <c r="G1386" t="s">
        <v>2364</v>
      </c>
      <c r="H1386" s="1373" t="s">
        <v>2365</v>
      </c>
      <c r="I1386" t="s">
        <v>2365</v>
      </c>
      <c r="J1386" t="s">
        <v>2365</v>
      </c>
      <c r="K1386" t="s">
        <v>2365</v>
      </c>
      <c r="L1386" s="1373">
        <v>1200</v>
      </c>
      <c r="M1386" t="s">
        <v>1480</v>
      </c>
      <c r="N1386">
        <v>1204</v>
      </c>
      <c r="O1386" t="s">
        <v>1487</v>
      </c>
      <c r="P1386" t="s">
        <v>2366</v>
      </c>
      <c r="Q1386" t="s">
        <v>2364</v>
      </c>
      <c r="R1386" t="s">
        <v>2364</v>
      </c>
      <c r="S1386" t="s">
        <v>553</v>
      </c>
      <c r="T1386" t="s">
        <v>2175</v>
      </c>
      <c r="U1386">
        <v>140</v>
      </c>
      <c r="V1386" t="s">
        <v>693</v>
      </c>
      <c r="W1386">
        <v>140</v>
      </c>
      <c r="X1386" t="s">
        <v>693</v>
      </c>
      <c r="Y1386" t="s">
        <v>2365</v>
      </c>
      <c r="Z1386" t="s">
        <v>2365</v>
      </c>
      <c r="AA1386" t="s">
        <v>2365</v>
      </c>
      <c r="AB1386" t="s">
        <v>2365</v>
      </c>
      <c r="AC1386" s="813" t="s">
        <v>2365</v>
      </c>
      <c r="AD1386" s="813" t="s">
        <v>2365</v>
      </c>
      <c r="AE1386" s="813" t="s">
        <v>2365</v>
      </c>
      <c r="AF1386" t="s">
        <v>2365</v>
      </c>
      <c r="AG1386" t="s">
        <v>2365</v>
      </c>
      <c r="AH1386" t="s">
        <v>2365</v>
      </c>
      <c r="AI1386" t="s">
        <v>2365</v>
      </c>
      <c r="AJ1386" t="s">
        <v>2365</v>
      </c>
      <c r="AK1386">
        <v>147</v>
      </c>
      <c r="AL1386" t="s">
        <v>1200</v>
      </c>
      <c r="AM1386">
        <v>147</v>
      </c>
      <c r="AN1386" t="s">
        <v>1200</v>
      </c>
      <c r="AR1386" t="s">
        <v>2365</v>
      </c>
      <c r="AS1386" t="s">
        <v>2365</v>
      </c>
      <c r="AT1386" t="s">
        <v>2365</v>
      </c>
      <c r="AU1386" t="s">
        <v>2365</v>
      </c>
      <c r="AV1386" t="s">
        <v>2365</v>
      </c>
      <c r="AW1386" t="s">
        <v>2365</v>
      </c>
      <c r="AX1386" t="s">
        <v>2365</v>
      </c>
      <c r="AY1386" t="s">
        <v>2365</v>
      </c>
      <c r="AZ1386" t="s">
        <v>2365</v>
      </c>
      <c r="BA1386" t="s">
        <v>2365</v>
      </c>
      <c r="BB1386" t="s">
        <v>2365</v>
      </c>
      <c r="BC1386" t="s">
        <v>2365</v>
      </c>
      <c r="BD1386" t="s">
        <v>2366</v>
      </c>
      <c r="BE1386" t="s">
        <v>2365</v>
      </c>
      <c r="BF1386" t="s">
        <v>2365</v>
      </c>
      <c r="BG1386" t="s">
        <v>2365</v>
      </c>
      <c r="BH1386" t="s">
        <v>2365</v>
      </c>
      <c r="BI1386" t="s">
        <v>2366</v>
      </c>
      <c r="BJ1386" t="s">
        <v>2365</v>
      </c>
      <c r="BK1386" t="s">
        <v>2365</v>
      </c>
      <c r="BL1386" t="s">
        <v>2365</v>
      </c>
      <c r="BM1386" t="s">
        <v>2365</v>
      </c>
      <c r="BO1386">
        <v>1</v>
      </c>
      <c r="BP1386">
        <v>11</v>
      </c>
      <c r="BQ1386" t="s">
        <v>2369</v>
      </c>
      <c r="BR1386" t="s">
        <v>1487</v>
      </c>
      <c r="BU1386" s="1371">
        <v>0</v>
      </c>
      <c r="BV1386" s="1371">
        <v>0</v>
      </c>
      <c r="BW1386" s="1371">
        <v>0</v>
      </c>
      <c r="BX1386" s="1371">
        <v>0</v>
      </c>
      <c r="BY1386" s="1371">
        <v>0</v>
      </c>
      <c r="BZ1386">
        <v>0</v>
      </c>
      <c r="CA1386">
        <v>0</v>
      </c>
      <c r="CB1386">
        <v>0</v>
      </c>
      <c r="CC1386">
        <v>0</v>
      </c>
      <c r="CD1386">
        <v>0</v>
      </c>
      <c r="CE1386">
        <v>0</v>
      </c>
      <c r="CF1386">
        <v>0</v>
      </c>
      <c r="CG1386">
        <v>0</v>
      </c>
      <c r="CH1386">
        <v>0</v>
      </c>
      <c r="CI1386">
        <v>0</v>
      </c>
      <c r="CJ1386">
        <v>0</v>
      </c>
      <c r="CK1386">
        <v>0</v>
      </c>
      <c r="CL1386">
        <v>0</v>
      </c>
      <c r="CM1386">
        <v>0</v>
      </c>
      <c r="CR1386" t="s">
        <v>2335</v>
      </c>
      <c r="CS1386" s="1369" t="str">
        <f>INDEX([8]Sheet1!$H:$H,MATCH(CR:CR,[8]Sheet1!$AU:$AU,0))</f>
        <v>Economic Development/Planning</v>
      </c>
    </row>
    <row r="1387" spans="1:97" x14ac:dyDescent="0.2">
      <c r="A1387" t="s">
        <v>4447</v>
      </c>
      <c r="B1387">
        <v>1476</v>
      </c>
      <c r="C1387" t="s">
        <v>4447</v>
      </c>
      <c r="D1387">
        <v>30533</v>
      </c>
      <c r="E1387" t="s">
        <v>3571</v>
      </c>
      <c r="F1387" t="s">
        <v>2364</v>
      </c>
      <c r="G1387" t="s">
        <v>2364</v>
      </c>
      <c r="H1387" s="1373" t="s">
        <v>2365</v>
      </c>
      <c r="I1387" t="s">
        <v>2365</v>
      </c>
      <c r="J1387" t="s">
        <v>2365</v>
      </c>
      <c r="K1387" t="s">
        <v>2365</v>
      </c>
      <c r="L1387" s="1373">
        <v>1200</v>
      </c>
      <c r="M1387" t="s">
        <v>1480</v>
      </c>
      <c r="N1387">
        <v>1204</v>
      </c>
      <c r="O1387" t="s">
        <v>1487</v>
      </c>
      <c r="P1387" t="s">
        <v>2366</v>
      </c>
      <c r="Q1387" t="s">
        <v>2364</v>
      </c>
      <c r="R1387" t="s">
        <v>2364</v>
      </c>
      <c r="S1387" t="s">
        <v>553</v>
      </c>
      <c r="T1387" t="s">
        <v>2175</v>
      </c>
      <c r="U1387">
        <v>140</v>
      </c>
      <c r="V1387" t="s">
        <v>693</v>
      </c>
      <c r="W1387">
        <v>140</v>
      </c>
      <c r="X1387" t="s">
        <v>693</v>
      </c>
      <c r="Y1387" t="s">
        <v>2365</v>
      </c>
      <c r="Z1387" t="s">
        <v>2365</v>
      </c>
      <c r="AA1387" t="s">
        <v>2365</v>
      </c>
      <c r="AB1387" t="s">
        <v>2365</v>
      </c>
      <c r="AC1387" s="813" t="s">
        <v>2365</v>
      </c>
      <c r="AD1387" s="813" t="s">
        <v>2365</v>
      </c>
      <c r="AE1387" s="813" t="s">
        <v>2365</v>
      </c>
      <c r="AF1387" t="s">
        <v>2365</v>
      </c>
      <c r="AG1387" t="s">
        <v>2365</v>
      </c>
      <c r="AH1387" t="s">
        <v>2365</v>
      </c>
      <c r="AI1387" t="s">
        <v>2365</v>
      </c>
      <c r="AJ1387" t="s">
        <v>2365</v>
      </c>
      <c r="AK1387" t="s">
        <v>2366</v>
      </c>
      <c r="AL1387" t="s">
        <v>2366</v>
      </c>
      <c r="AM1387" t="s">
        <v>2366</v>
      </c>
      <c r="AN1387" t="s">
        <v>2366</v>
      </c>
      <c r="AR1387" t="s">
        <v>2365</v>
      </c>
      <c r="AS1387" t="s">
        <v>2365</v>
      </c>
      <c r="AT1387" t="s">
        <v>2365</v>
      </c>
      <c r="AU1387" t="s">
        <v>2365</v>
      </c>
      <c r="AV1387" t="s">
        <v>2365</v>
      </c>
      <c r="AW1387" t="s">
        <v>2365</v>
      </c>
      <c r="AX1387" t="s">
        <v>2365</v>
      </c>
      <c r="AY1387" t="s">
        <v>2365</v>
      </c>
      <c r="AZ1387" t="s">
        <v>2365</v>
      </c>
      <c r="BA1387" t="s">
        <v>2365</v>
      </c>
      <c r="BB1387" t="s">
        <v>2365</v>
      </c>
      <c r="BC1387" t="s">
        <v>2365</v>
      </c>
      <c r="BD1387" t="s">
        <v>2366</v>
      </c>
      <c r="BE1387" t="s">
        <v>2365</v>
      </c>
      <c r="BF1387" t="s">
        <v>2365</v>
      </c>
      <c r="BG1387" t="s">
        <v>2365</v>
      </c>
      <c r="BH1387" t="s">
        <v>2365</v>
      </c>
      <c r="BI1387" t="s">
        <v>2366</v>
      </c>
      <c r="BJ1387" t="s">
        <v>2365</v>
      </c>
      <c r="BK1387" t="s">
        <v>2365</v>
      </c>
      <c r="BL1387" t="s">
        <v>2365</v>
      </c>
      <c r="BM1387" t="s">
        <v>2365</v>
      </c>
      <c r="BO1387">
        <v>1</v>
      </c>
      <c r="BP1387">
        <v>11</v>
      </c>
      <c r="BQ1387" t="s">
        <v>2369</v>
      </c>
      <c r="BR1387" t="s">
        <v>1487</v>
      </c>
      <c r="BU1387" s="1371">
        <v>0</v>
      </c>
      <c r="BV1387" s="1371">
        <v>0</v>
      </c>
      <c r="BW1387" s="1371">
        <v>0</v>
      </c>
      <c r="BX1387" s="1371">
        <v>0</v>
      </c>
      <c r="BY1387" s="1371">
        <v>0</v>
      </c>
      <c r="BZ1387">
        <v>0</v>
      </c>
      <c r="CA1387">
        <v>0</v>
      </c>
      <c r="CB1387">
        <v>0</v>
      </c>
      <c r="CC1387">
        <v>0</v>
      </c>
      <c r="CD1387">
        <v>0</v>
      </c>
      <c r="CE1387">
        <v>0</v>
      </c>
      <c r="CF1387">
        <v>0</v>
      </c>
      <c r="CG1387">
        <v>0</v>
      </c>
      <c r="CH1387">
        <v>0</v>
      </c>
      <c r="CI1387">
        <v>0</v>
      </c>
      <c r="CJ1387">
        <v>0</v>
      </c>
      <c r="CK1387">
        <v>0</v>
      </c>
      <c r="CL1387">
        <v>0</v>
      </c>
      <c r="CM1387">
        <v>0</v>
      </c>
      <c r="CR1387" t="s">
        <v>2335</v>
      </c>
      <c r="CS1387" s="1369" t="str">
        <f>INDEX([8]Sheet1!$H:$H,MATCH(CR:CR,[8]Sheet1!$AU:$AU,0))</f>
        <v>Economic Development/Planning</v>
      </c>
    </row>
    <row r="1388" spans="1:97" x14ac:dyDescent="0.2">
      <c r="A1388" t="s">
        <v>4448</v>
      </c>
      <c r="B1388">
        <v>1477</v>
      </c>
      <c r="C1388" t="s">
        <v>4448</v>
      </c>
      <c r="D1388">
        <v>30551</v>
      </c>
      <c r="E1388" t="s">
        <v>2656</v>
      </c>
      <c r="F1388" t="s">
        <v>2364</v>
      </c>
      <c r="G1388" t="s">
        <v>2364</v>
      </c>
      <c r="H1388" t="s">
        <v>2365</v>
      </c>
      <c r="I1388" t="s">
        <v>2365</v>
      </c>
      <c r="J1388" t="s">
        <v>2365</v>
      </c>
      <c r="K1388" t="s">
        <v>2365</v>
      </c>
      <c r="L1388">
        <v>1200</v>
      </c>
      <c r="M1388" t="s">
        <v>1480</v>
      </c>
      <c r="N1388">
        <v>1210</v>
      </c>
      <c r="O1388" t="s">
        <v>998</v>
      </c>
      <c r="P1388" t="s">
        <v>2366</v>
      </c>
      <c r="Q1388" t="s">
        <v>2364</v>
      </c>
      <c r="R1388" t="s">
        <v>2364</v>
      </c>
      <c r="S1388" t="s">
        <v>553</v>
      </c>
      <c r="T1388" t="s">
        <v>2175</v>
      </c>
      <c r="U1388">
        <v>150</v>
      </c>
      <c r="V1388" t="s">
        <v>694</v>
      </c>
      <c r="W1388">
        <v>150</v>
      </c>
      <c r="X1388" t="s">
        <v>694</v>
      </c>
      <c r="Y1388" t="s">
        <v>2365</v>
      </c>
      <c r="Z1388" t="s">
        <v>2365</v>
      </c>
      <c r="AA1388" t="s">
        <v>2365</v>
      </c>
      <c r="AB1388" t="s">
        <v>2365</v>
      </c>
      <c r="AC1388" s="813" t="s">
        <v>2365</v>
      </c>
      <c r="AD1388" s="813" t="s">
        <v>2365</v>
      </c>
      <c r="AE1388" s="813" t="s">
        <v>2365</v>
      </c>
      <c r="AF1388" t="s">
        <v>2365</v>
      </c>
      <c r="AG1388" t="s">
        <v>2365</v>
      </c>
      <c r="AH1388" t="s">
        <v>2365</v>
      </c>
      <c r="AI1388" t="s">
        <v>2365</v>
      </c>
      <c r="AJ1388" t="s">
        <v>2365</v>
      </c>
      <c r="AK1388" t="s">
        <v>2365</v>
      </c>
      <c r="AL1388" t="s">
        <v>2365</v>
      </c>
      <c r="AM1388" t="s">
        <v>2365</v>
      </c>
      <c r="AN1388" t="s">
        <v>2365</v>
      </c>
      <c r="AR1388" t="s">
        <v>2365</v>
      </c>
      <c r="AS1388" t="s">
        <v>2365</v>
      </c>
      <c r="AT1388" t="s">
        <v>2365</v>
      </c>
      <c r="AU1388" t="s">
        <v>2365</v>
      </c>
      <c r="AV1388" t="s">
        <v>2365</v>
      </c>
      <c r="AW1388" t="s">
        <v>2365</v>
      </c>
      <c r="AX1388" t="s">
        <v>2365</v>
      </c>
      <c r="AY1388" t="s">
        <v>2365</v>
      </c>
      <c r="AZ1388" t="s">
        <v>2365</v>
      </c>
      <c r="BA1388" t="s">
        <v>2365</v>
      </c>
      <c r="BB1388" t="s">
        <v>2365</v>
      </c>
      <c r="BC1388" t="s">
        <v>2365</v>
      </c>
      <c r="BD1388" t="s">
        <v>2366</v>
      </c>
      <c r="BE1388" t="s">
        <v>2365</v>
      </c>
      <c r="BF1388" t="s">
        <v>2365</v>
      </c>
      <c r="BG1388" t="s">
        <v>2365</v>
      </c>
      <c r="BH1388" t="s">
        <v>2365</v>
      </c>
      <c r="BI1388" t="s">
        <v>2366</v>
      </c>
      <c r="BJ1388" t="s">
        <v>2365</v>
      </c>
      <c r="BK1388" t="s">
        <v>2365</v>
      </c>
      <c r="BL1388" t="s">
        <v>2365</v>
      </c>
      <c r="BM1388" t="s">
        <v>2365</v>
      </c>
      <c r="BO1388">
        <v>1</v>
      </c>
      <c r="BP1388">
        <v>16</v>
      </c>
      <c r="BQ1388" t="s">
        <v>2369</v>
      </c>
      <c r="BR1388" t="s">
        <v>998</v>
      </c>
      <c r="BU1388">
        <v>0</v>
      </c>
      <c r="BV1388">
        <v>0</v>
      </c>
      <c r="BW1388">
        <v>0</v>
      </c>
      <c r="BX1388">
        <v>0</v>
      </c>
      <c r="BY1388">
        <v>0</v>
      </c>
      <c r="BZ1388">
        <v>0</v>
      </c>
      <c r="CA1388">
        <v>0</v>
      </c>
      <c r="CB1388">
        <v>0</v>
      </c>
      <c r="CC1388">
        <v>0</v>
      </c>
      <c r="CD1388">
        <v>0</v>
      </c>
      <c r="CE1388">
        <v>0</v>
      </c>
      <c r="CF1388">
        <v>0</v>
      </c>
      <c r="CG1388">
        <v>0</v>
      </c>
      <c r="CH1388">
        <v>0</v>
      </c>
      <c r="CI1388">
        <v>0</v>
      </c>
      <c r="CJ1388">
        <v>0</v>
      </c>
      <c r="CK1388">
        <v>0</v>
      </c>
      <c r="CL1388">
        <v>0</v>
      </c>
      <c r="CM1388">
        <v>0</v>
      </c>
      <c r="CR1388" t="s">
        <v>2320</v>
      </c>
      <c r="CS1388" s="1369" t="str">
        <f>INDEX([8]Sheet1!$H:$H,MATCH(CR:CR,[8]Sheet1!$AU:$AU,0))</f>
        <v>Administrative and Corporate Support</v>
      </c>
    </row>
    <row r="1389" spans="1:97" x14ac:dyDescent="0.2">
      <c r="A1389" t="s">
        <v>4449</v>
      </c>
      <c r="B1389">
        <v>1478</v>
      </c>
      <c r="C1389" t="s">
        <v>4449</v>
      </c>
      <c r="D1389">
        <v>51843</v>
      </c>
      <c r="E1389" t="s">
        <v>4450</v>
      </c>
      <c r="F1389">
        <v>2300</v>
      </c>
      <c r="G1389" t="s">
        <v>566</v>
      </c>
      <c r="H1389" t="s">
        <v>3312</v>
      </c>
      <c r="I1389" t="s">
        <v>1163</v>
      </c>
      <c r="J1389">
        <v>2301</v>
      </c>
      <c r="K1389" t="s">
        <v>3313</v>
      </c>
      <c r="L1389">
        <v>1200</v>
      </c>
      <c r="M1389" t="s">
        <v>1480</v>
      </c>
      <c r="N1389">
        <v>1202</v>
      </c>
      <c r="O1389" t="s">
        <v>595</v>
      </c>
      <c r="P1389" t="s">
        <v>2366</v>
      </c>
      <c r="Q1389" t="s">
        <v>2364</v>
      </c>
      <c r="R1389" t="s">
        <v>2364</v>
      </c>
      <c r="S1389" t="s">
        <v>1881</v>
      </c>
      <c r="T1389" t="s">
        <v>1812</v>
      </c>
      <c r="U1389" t="s">
        <v>2365</v>
      </c>
      <c r="V1389" t="s">
        <v>2365</v>
      </c>
      <c r="W1389" t="s">
        <v>2365</v>
      </c>
      <c r="X1389" t="s">
        <v>2365</v>
      </c>
      <c r="Y1389" t="s">
        <v>2365</v>
      </c>
      <c r="Z1389" t="s">
        <v>2365</v>
      </c>
      <c r="AA1389" t="s">
        <v>2365</v>
      </c>
      <c r="AB1389" t="s">
        <v>2365</v>
      </c>
      <c r="AC1389" s="813" t="s">
        <v>2365</v>
      </c>
      <c r="AD1389" s="813" t="s">
        <v>2365</v>
      </c>
      <c r="AE1389" s="813" t="s">
        <v>2365</v>
      </c>
      <c r="AF1389" t="s">
        <v>2365</v>
      </c>
      <c r="AG1389" t="s">
        <v>2365</v>
      </c>
      <c r="AH1389" t="s">
        <v>2365</v>
      </c>
      <c r="AI1389" t="s">
        <v>2365</v>
      </c>
      <c r="AJ1389" t="s">
        <v>2365</v>
      </c>
      <c r="AK1389" t="s">
        <v>2365</v>
      </c>
      <c r="AL1389" t="s">
        <v>2365</v>
      </c>
      <c r="AM1389" t="s">
        <v>2365</v>
      </c>
      <c r="AN1389" t="s">
        <v>2365</v>
      </c>
      <c r="AR1389" t="s">
        <v>2365</v>
      </c>
      <c r="AS1389" t="s">
        <v>2365</v>
      </c>
      <c r="AT1389" t="s">
        <v>2365</v>
      </c>
      <c r="AU1389" t="s">
        <v>2365</v>
      </c>
      <c r="AV1389" t="s">
        <v>2365</v>
      </c>
      <c r="AW1389" t="s">
        <v>2365</v>
      </c>
      <c r="AX1389" t="s">
        <v>2365</v>
      </c>
      <c r="AY1389" t="s">
        <v>2365</v>
      </c>
      <c r="AZ1389" t="s">
        <v>2365</v>
      </c>
      <c r="BA1389" t="s">
        <v>2365</v>
      </c>
      <c r="BB1389" t="s">
        <v>2365</v>
      </c>
      <c r="BC1389" t="s">
        <v>2365</v>
      </c>
      <c r="BD1389" t="s">
        <v>2366</v>
      </c>
      <c r="BE1389">
        <v>1470</v>
      </c>
      <c r="BF1389" t="s">
        <v>1674</v>
      </c>
      <c r="BG1389">
        <v>1470</v>
      </c>
      <c r="BH1389" t="s">
        <v>1674</v>
      </c>
      <c r="BI1389" t="s">
        <v>1907</v>
      </c>
      <c r="BJ1389" t="s">
        <v>2365</v>
      </c>
      <c r="BK1389" t="s">
        <v>2365</v>
      </c>
      <c r="BL1389" t="s">
        <v>2365</v>
      </c>
      <c r="BM1389" t="s">
        <v>2365</v>
      </c>
      <c r="BO1389">
        <v>1</v>
      </c>
      <c r="BP1389">
        <v>13</v>
      </c>
      <c r="BQ1389" t="s">
        <v>2369</v>
      </c>
      <c r="BR1389" t="s">
        <v>595</v>
      </c>
      <c r="BU1389">
        <v>712510</v>
      </c>
      <c r="BV1389">
        <v>0</v>
      </c>
      <c r="BW1389">
        <v>712510</v>
      </c>
      <c r="BX1389">
        <v>0</v>
      </c>
      <c r="BY1389">
        <v>712510</v>
      </c>
      <c r="BZ1389">
        <v>783761</v>
      </c>
      <c r="CA1389">
        <v>862137</v>
      </c>
      <c r="CB1389">
        <v>0</v>
      </c>
      <c r="CC1389">
        <v>0</v>
      </c>
      <c r="CD1389">
        <v>9552.7000000000007</v>
      </c>
      <c r="CE1389">
        <v>16609.02</v>
      </c>
      <c r="CF1389">
        <v>16073.25</v>
      </c>
      <c r="CG1389">
        <v>16609.02</v>
      </c>
      <c r="CH1389">
        <v>16609.02</v>
      </c>
      <c r="CI1389">
        <v>14992.55</v>
      </c>
      <c r="CJ1389">
        <v>0</v>
      </c>
      <c r="CK1389">
        <v>0</v>
      </c>
      <c r="CL1389">
        <v>0</v>
      </c>
      <c r="CM1389">
        <v>0</v>
      </c>
      <c r="CR1389" t="s">
        <v>2320</v>
      </c>
      <c r="CS1389" s="1369" t="str">
        <f>INDEX([8]Sheet1!$H:$H,MATCH(CR:CR,[8]Sheet1!$AU:$AU,0))</f>
        <v>Administrative and Corporate Support</v>
      </c>
    </row>
    <row r="1390" spans="1:97" x14ac:dyDescent="0.2">
      <c r="A1390" t="s">
        <v>4451</v>
      </c>
      <c r="B1390">
        <v>1479</v>
      </c>
      <c r="C1390" t="s">
        <v>4451</v>
      </c>
      <c r="D1390">
        <v>51846</v>
      </c>
      <c r="E1390" t="s">
        <v>4452</v>
      </c>
      <c r="F1390">
        <v>1300</v>
      </c>
      <c r="G1390" t="s">
        <v>648</v>
      </c>
      <c r="H1390">
        <v>1300</v>
      </c>
      <c r="I1390" t="s">
        <v>648</v>
      </c>
      <c r="J1390" t="s">
        <v>2365</v>
      </c>
      <c r="K1390" t="s">
        <v>2365</v>
      </c>
      <c r="L1390">
        <v>5000</v>
      </c>
      <c r="M1390" t="s">
        <v>632</v>
      </c>
      <c r="N1390">
        <v>5004</v>
      </c>
      <c r="O1390" t="s">
        <v>1560</v>
      </c>
      <c r="P1390" t="s">
        <v>2366</v>
      </c>
      <c r="Q1390" t="s">
        <v>2364</v>
      </c>
      <c r="R1390" t="s">
        <v>2364</v>
      </c>
      <c r="S1390" t="s">
        <v>553</v>
      </c>
      <c r="T1390" t="s">
        <v>1811</v>
      </c>
      <c r="U1390" t="s">
        <v>2365</v>
      </c>
      <c r="V1390" t="s">
        <v>2365</v>
      </c>
      <c r="W1390" t="s">
        <v>2365</v>
      </c>
      <c r="X1390" t="s">
        <v>2365</v>
      </c>
      <c r="Y1390" t="s">
        <v>2365</v>
      </c>
      <c r="Z1390" t="s">
        <v>2365</v>
      </c>
      <c r="AA1390" t="s">
        <v>2365</v>
      </c>
      <c r="AB1390" t="s">
        <v>2365</v>
      </c>
      <c r="AC1390" s="813" t="s">
        <v>2365</v>
      </c>
      <c r="AD1390" s="813" t="s">
        <v>2365</v>
      </c>
      <c r="AE1390" s="813" t="s">
        <v>2365</v>
      </c>
      <c r="AF1390" t="s">
        <v>2365</v>
      </c>
      <c r="AG1390" t="s">
        <v>2365</v>
      </c>
      <c r="AH1390" t="s">
        <v>2365</v>
      </c>
      <c r="AI1390" t="s">
        <v>2365</v>
      </c>
      <c r="AJ1390" t="s">
        <v>2365</v>
      </c>
      <c r="AK1390" t="s">
        <v>2365</v>
      </c>
      <c r="AL1390" t="s">
        <v>2365</v>
      </c>
      <c r="AM1390" t="s">
        <v>2365</v>
      </c>
      <c r="AN1390" t="s">
        <v>2365</v>
      </c>
      <c r="AR1390" t="s">
        <v>2365</v>
      </c>
      <c r="AS1390" t="s">
        <v>2365</v>
      </c>
      <c r="AT1390" t="s">
        <v>2365</v>
      </c>
      <c r="AU1390" t="s">
        <v>2365</v>
      </c>
      <c r="AV1390" t="s">
        <v>2365</v>
      </c>
      <c r="AW1390" t="s">
        <v>2365</v>
      </c>
      <c r="AX1390" t="s">
        <v>2365</v>
      </c>
      <c r="AY1390" t="s">
        <v>2365</v>
      </c>
      <c r="AZ1390" t="s">
        <v>2365</v>
      </c>
      <c r="BA1390" t="s">
        <v>2365</v>
      </c>
      <c r="BB1390" t="s">
        <v>2365</v>
      </c>
      <c r="BC1390" t="s">
        <v>2365</v>
      </c>
      <c r="BD1390" t="s">
        <v>2366</v>
      </c>
      <c r="BE1390" t="s">
        <v>2365</v>
      </c>
      <c r="BF1390" t="s">
        <v>2365</v>
      </c>
      <c r="BG1390" t="s">
        <v>2365</v>
      </c>
      <c r="BH1390" t="s">
        <v>2365</v>
      </c>
      <c r="BI1390" t="s">
        <v>2366</v>
      </c>
      <c r="BJ1390" t="s">
        <v>2365</v>
      </c>
      <c r="BK1390" t="s">
        <v>2365</v>
      </c>
      <c r="BL1390" t="s">
        <v>2365</v>
      </c>
      <c r="BM1390" t="s">
        <v>2365</v>
      </c>
      <c r="BO1390">
        <v>11</v>
      </c>
      <c r="BP1390">
        <v>111</v>
      </c>
      <c r="BQ1390" t="s">
        <v>632</v>
      </c>
      <c r="BR1390" t="s">
        <v>1560</v>
      </c>
      <c r="BU1390">
        <v>0</v>
      </c>
      <c r="BV1390">
        <v>0</v>
      </c>
      <c r="BW1390">
        <v>0</v>
      </c>
      <c r="BX1390">
        <v>3416568</v>
      </c>
      <c r="BY1390">
        <v>-3416568</v>
      </c>
      <c r="BZ1390">
        <v>0</v>
      </c>
      <c r="CA1390">
        <v>0</v>
      </c>
      <c r="CB1390">
        <v>-122852.18</v>
      </c>
      <c r="CC1390">
        <v>-93573.93</v>
      </c>
      <c r="CD1390">
        <v>-220408.70000000004</v>
      </c>
      <c r="CE1390">
        <v>0</v>
      </c>
      <c r="CF1390">
        <v>-502078.24999999994</v>
      </c>
      <c r="CG1390">
        <v>-167339.12</v>
      </c>
      <c r="CH1390">
        <v>-6800</v>
      </c>
      <c r="CI1390">
        <v>-137652.17000000001</v>
      </c>
      <c r="CJ1390">
        <v>-66252.179999999993</v>
      </c>
      <c r="CK1390">
        <v>0</v>
      </c>
      <c r="CL1390">
        <v>0</v>
      </c>
      <c r="CM1390">
        <v>0</v>
      </c>
      <c r="CR1390" t="s">
        <v>2335</v>
      </c>
      <c r="CS1390" s="1369" t="str">
        <f>INDEX([8]Sheet1!$H:$H,MATCH(CR:CR,[8]Sheet1!$AU:$AU,0))</f>
        <v>Economic Development/Planning</v>
      </c>
    </row>
    <row r="1391" spans="1:97" x14ac:dyDescent="0.2">
      <c r="A1391" t="s">
        <v>4453</v>
      </c>
      <c r="B1391">
        <v>1480</v>
      </c>
      <c r="C1391" t="s">
        <v>4453</v>
      </c>
      <c r="D1391">
        <v>51847</v>
      </c>
      <c r="E1391" t="s">
        <v>4454</v>
      </c>
      <c r="F1391">
        <v>1300</v>
      </c>
      <c r="G1391" t="s">
        <v>648</v>
      </c>
      <c r="H1391">
        <v>1300</v>
      </c>
      <c r="I1391" t="s">
        <v>648</v>
      </c>
      <c r="J1391" t="s">
        <v>2365</v>
      </c>
      <c r="K1391" t="s">
        <v>2365</v>
      </c>
      <c r="L1391">
        <v>5000</v>
      </c>
      <c r="M1391" t="s">
        <v>632</v>
      </c>
      <c r="N1391">
        <v>5004</v>
      </c>
      <c r="O1391" t="s">
        <v>1560</v>
      </c>
      <c r="P1391" t="s">
        <v>2366</v>
      </c>
      <c r="Q1391" t="s">
        <v>2364</v>
      </c>
      <c r="R1391" t="s">
        <v>2364</v>
      </c>
      <c r="S1391" t="s">
        <v>553</v>
      </c>
      <c r="T1391" t="s">
        <v>1811</v>
      </c>
      <c r="U1391" t="s">
        <v>2365</v>
      </c>
      <c r="V1391" t="s">
        <v>2365</v>
      </c>
      <c r="W1391" t="s">
        <v>2365</v>
      </c>
      <c r="X1391" t="s">
        <v>2365</v>
      </c>
      <c r="Y1391" t="s">
        <v>2365</v>
      </c>
      <c r="Z1391" t="s">
        <v>2365</v>
      </c>
      <c r="AA1391" t="s">
        <v>2365</v>
      </c>
      <c r="AB1391" t="s">
        <v>2365</v>
      </c>
      <c r="AC1391" s="813" t="s">
        <v>2365</v>
      </c>
      <c r="AD1391" s="813" t="s">
        <v>2365</v>
      </c>
      <c r="AE1391" s="813" t="s">
        <v>2365</v>
      </c>
      <c r="AF1391" t="s">
        <v>2365</v>
      </c>
      <c r="AG1391" t="s">
        <v>2365</v>
      </c>
      <c r="AH1391" t="s">
        <v>2365</v>
      </c>
      <c r="AI1391" t="s">
        <v>2365</v>
      </c>
      <c r="AJ1391" t="s">
        <v>2365</v>
      </c>
      <c r="AK1391" t="s">
        <v>2365</v>
      </c>
      <c r="AL1391" t="s">
        <v>2365</v>
      </c>
      <c r="AM1391" t="s">
        <v>2365</v>
      </c>
      <c r="AN1391" t="s">
        <v>2365</v>
      </c>
      <c r="AR1391" t="s">
        <v>2365</v>
      </c>
      <c r="AS1391" t="s">
        <v>2365</v>
      </c>
      <c r="AT1391" t="s">
        <v>2365</v>
      </c>
      <c r="AU1391" t="s">
        <v>2365</v>
      </c>
      <c r="AV1391" t="s">
        <v>2365</v>
      </c>
      <c r="AW1391" t="s">
        <v>2365</v>
      </c>
      <c r="AX1391" t="s">
        <v>2365</v>
      </c>
      <c r="AY1391" t="s">
        <v>2365</v>
      </c>
      <c r="AZ1391" t="s">
        <v>2365</v>
      </c>
      <c r="BA1391" t="s">
        <v>2365</v>
      </c>
      <c r="BB1391" t="s">
        <v>2365</v>
      </c>
      <c r="BC1391" t="s">
        <v>2365</v>
      </c>
      <c r="BD1391" t="s">
        <v>2366</v>
      </c>
      <c r="BE1391" t="s">
        <v>2365</v>
      </c>
      <c r="BF1391" t="s">
        <v>2365</v>
      </c>
      <c r="BG1391" t="s">
        <v>2365</v>
      </c>
      <c r="BH1391" t="s">
        <v>2365</v>
      </c>
      <c r="BI1391" t="s">
        <v>2366</v>
      </c>
      <c r="BJ1391" t="s">
        <v>2365</v>
      </c>
      <c r="BK1391" t="s">
        <v>2365</v>
      </c>
      <c r="BL1391" t="s">
        <v>2365</v>
      </c>
      <c r="BM1391" t="s">
        <v>2365</v>
      </c>
      <c r="BO1391">
        <v>11</v>
      </c>
      <c r="BP1391">
        <v>111</v>
      </c>
      <c r="BQ1391" t="s">
        <v>632</v>
      </c>
      <c r="BR1391" t="s">
        <v>1560</v>
      </c>
      <c r="BU1391">
        <v>-3416568</v>
      </c>
      <c r="BV1391">
        <v>0</v>
      </c>
      <c r="BW1391">
        <v>-3416568</v>
      </c>
      <c r="BX1391">
        <v>-3416568</v>
      </c>
      <c r="BY1391">
        <v>0</v>
      </c>
      <c r="BZ1391">
        <v>-3621562</v>
      </c>
      <c r="CA1391">
        <v>-3838855</v>
      </c>
      <c r="CB1391">
        <v>0</v>
      </c>
      <c r="CC1391">
        <v>0</v>
      </c>
      <c r="CD1391">
        <v>0</v>
      </c>
      <c r="CE1391">
        <v>0</v>
      </c>
      <c r="CF1391">
        <v>0</v>
      </c>
      <c r="CG1391">
        <v>0</v>
      </c>
      <c r="CH1391">
        <v>0</v>
      </c>
      <c r="CI1391">
        <v>0</v>
      </c>
      <c r="CJ1391">
        <v>0</v>
      </c>
      <c r="CK1391">
        <v>0</v>
      </c>
      <c r="CL1391">
        <v>0</v>
      </c>
      <c r="CM1391">
        <v>0</v>
      </c>
      <c r="CR1391" t="s">
        <v>2324</v>
      </c>
      <c r="CS1391" s="1369" t="str">
        <f>INDEX([8]Sheet1!$H:$H,MATCH(CR:CR,[8]Sheet1!$AU:$AU,0))</f>
        <v>Finance</v>
      </c>
    </row>
    <row r="1392" spans="1:97" x14ac:dyDescent="0.2">
      <c r="A1392" t="s">
        <v>4455</v>
      </c>
      <c r="B1392">
        <v>1481</v>
      </c>
      <c r="C1392" t="s">
        <v>4455</v>
      </c>
      <c r="D1392">
        <v>51848</v>
      </c>
      <c r="E1392" t="s">
        <v>4456</v>
      </c>
      <c r="F1392" t="s">
        <v>2364</v>
      </c>
      <c r="G1392" t="s">
        <v>2364</v>
      </c>
      <c r="H1392" t="s">
        <v>2365</v>
      </c>
      <c r="I1392" t="s">
        <v>2365</v>
      </c>
      <c r="J1392" t="s">
        <v>2365</v>
      </c>
      <c r="K1392" t="s">
        <v>2365</v>
      </c>
      <c r="L1392">
        <v>1200</v>
      </c>
      <c r="M1392" t="s">
        <v>1480</v>
      </c>
      <c r="N1392">
        <v>1204</v>
      </c>
      <c r="O1392" t="s">
        <v>1487</v>
      </c>
      <c r="P1392" t="s">
        <v>2366</v>
      </c>
      <c r="Q1392" t="s">
        <v>2364</v>
      </c>
      <c r="R1392" t="s">
        <v>2364</v>
      </c>
      <c r="S1392" t="s">
        <v>553</v>
      </c>
      <c r="T1392" t="s">
        <v>2175</v>
      </c>
      <c r="U1392">
        <v>150</v>
      </c>
      <c r="V1392" t="s">
        <v>694</v>
      </c>
      <c r="W1392">
        <v>150</v>
      </c>
      <c r="X1392" t="s">
        <v>694</v>
      </c>
      <c r="Y1392" t="s">
        <v>2365</v>
      </c>
      <c r="Z1392" t="s">
        <v>2365</v>
      </c>
      <c r="AA1392" t="s">
        <v>2365</v>
      </c>
      <c r="AB1392" t="s">
        <v>2365</v>
      </c>
      <c r="AC1392" s="813" t="s">
        <v>2365</v>
      </c>
      <c r="AD1392" s="813" t="s">
        <v>2365</v>
      </c>
      <c r="AE1392" s="813" t="s">
        <v>2365</v>
      </c>
      <c r="AF1392" t="s">
        <v>2365</v>
      </c>
      <c r="AG1392" t="s">
        <v>2365</v>
      </c>
      <c r="AH1392" t="s">
        <v>2365</v>
      </c>
      <c r="AI1392" t="s">
        <v>2365</v>
      </c>
      <c r="AJ1392" t="s">
        <v>2365</v>
      </c>
      <c r="AK1392" t="s">
        <v>2365</v>
      </c>
      <c r="AL1392" t="s">
        <v>2365</v>
      </c>
      <c r="AM1392" t="s">
        <v>2365</v>
      </c>
      <c r="AN1392" t="s">
        <v>2365</v>
      </c>
      <c r="AR1392" t="s">
        <v>2365</v>
      </c>
      <c r="AS1392" t="s">
        <v>2365</v>
      </c>
      <c r="AT1392" t="s">
        <v>2365</v>
      </c>
      <c r="AU1392" t="s">
        <v>2365</v>
      </c>
      <c r="AV1392" t="s">
        <v>2365</v>
      </c>
      <c r="AW1392" t="s">
        <v>2365</v>
      </c>
      <c r="AX1392" t="s">
        <v>2365</v>
      </c>
      <c r="AY1392" t="s">
        <v>2365</v>
      </c>
      <c r="AZ1392" t="s">
        <v>2365</v>
      </c>
      <c r="BA1392" t="s">
        <v>2365</v>
      </c>
      <c r="BB1392" t="s">
        <v>2365</v>
      </c>
      <c r="BC1392" t="s">
        <v>2365</v>
      </c>
      <c r="BD1392" t="s">
        <v>2366</v>
      </c>
      <c r="BE1392" t="s">
        <v>2365</v>
      </c>
      <c r="BF1392" t="s">
        <v>2365</v>
      </c>
      <c r="BG1392" t="s">
        <v>2365</v>
      </c>
      <c r="BH1392" t="s">
        <v>2365</v>
      </c>
      <c r="BI1392" t="s">
        <v>2366</v>
      </c>
      <c r="BJ1392" t="s">
        <v>2365</v>
      </c>
      <c r="BK1392" t="s">
        <v>2365</v>
      </c>
      <c r="BL1392" t="s">
        <v>2365</v>
      </c>
      <c r="BM1392" t="s">
        <v>2365</v>
      </c>
      <c r="BO1392">
        <v>1</v>
      </c>
      <c r="BP1392">
        <v>11</v>
      </c>
      <c r="BQ1392" t="s">
        <v>2369</v>
      </c>
      <c r="BR1392" t="s">
        <v>1487</v>
      </c>
      <c r="BU1392">
        <v>0</v>
      </c>
      <c r="BV1392">
        <v>0</v>
      </c>
      <c r="BW1392">
        <v>0</v>
      </c>
      <c r="BX1392">
        <v>0</v>
      </c>
      <c r="BY1392">
        <v>0</v>
      </c>
      <c r="BZ1392">
        <v>0</v>
      </c>
      <c r="CA1392">
        <v>0</v>
      </c>
      <c r="CB1392">
        <v>0</v>
      </c>
      <c r="CC1392">
        <v>0</v>
      </c>
      <c r="CD1392">
        <v>0</v>
      </c>
      <c r="CE1392">
        <v>0</v>
      </c>
      <c r="CF1392">
        <v>0</v>
      </c>
      <c r="CG1392">
        <v>0</v>
      </c>
      <c r="CH1392">
        <v>0</v>
      </c>
      <c r="CI1392">
        <v>0</v>
      </c>
      <c r="CJ1392">
        <v>0</v>
      </c>
      <c r="CK1392">
        <v>0</v>
      </c>
      <c r="CL1392">
        <v>0</v>
      </c>
      <c r="CM1392">
        <v>0</v>
      </c>
      <c r="CR1392" t="s">
        <v>2324</v>
      </c>
      <c r="CS1392" s="1369" t="str">
        <f>INDEX([8]Sheet1!$H:$H,MATCH(CR:CR,[8]Sheet1!$AU:$AU,0))</f>
        <v>Finance</v>
      </c>
    </row>
    <row r="1393" spans="1:97" x14ac:dyDescent="0.2">
      <c r="A1393" t="s">
        <v>4457</v>
      </c>
      <c r="B1393">
        <v>1482</v>
      </c>
      <c r="C1393" t="s">
        <v>4457</v>
      </c>
      <c r="D1393">
        <v>51850</v>
      </c>
      <c r="E1393" t="s">
        <v>2841</v>
      </c>
      <c r="F1393">
        <v>2000</v>
      </c>
      <c r="G1393" t="s">
        <v>652</v>
      </c>
      <c r="H1393" t="s">
        <v>2553</v>
      </c>
      <c r="I1393" t="s">
        <v>1378</v>
      </c>
      <c r="J1393">
        <v>2008</v>
      </c>
      <c r="K1393" t="s">
        <v>1378</v>
      </c>
      <c r="L1393">
        <v>2100</v>
      </c>
      <c r="M1393" t="s">
        <v>618</v>
      </c>
      <c r="N1393">
        <v>2106</v>
      </c>
      <c r="O1393" t="s">
        <v>1499</v>
      </c>
      <c r="P1393" t="s">
        <v>2366</v>
      </c>
      <c r="Q1393" t="s">
        <v>2364</v>
      </c>
      <c r="R1393" t="s">
        <v>2364</v>
      </c>
      <c r="S1393" t="s">
        <v>1881</v>
      </c>
      <c r="T1393" t="s">
        <v>1812</v>
      </c>
      <c r="U1393" t="s">
        <v>2365</v>
      </c>
      <c r="V1393" t="s">
        <v>2365</v>
      </c>
      <c r="W1393" t="s">
        <v>2365</v>
      </c>
      <c r="X1393" t="s">
        <v>2365</v>
      </c>
      <c r="Y1393" t="s">
        <v>2365</v>
      </c>
      <c r="Z1393" t="s">
        <v>2365</v>
      </c>
      <c r="AA1393" t="s">
        <v>2365</v>
      </c>
      <c r="AB1393" t="s">
        <v>2365</v>
      </c>
      <c r="AC1393" s="813" t="s">
        <v>2365</v>
      </c>
      <c r="AD1393" s="813" t="s">
        <v>2365</v>
      </c>
      <c r="AE1393" s="813" t="s">
        <v>2365</v>
      </c>
      <c r="AF1393" t="s">
        <v>2365</v>
      </c>
      <c r="AG1393" t="s">
        <v>2365</v>
      </c>
      <c r="AH1393" t="s">
        <v>2365</v>
      </c>
      <c r="AI1393" t="s">
        <v>2365</v>
      </c>
      <c r="AJ1393" t="s">
        <v>2365</v>
      </c>
      <c r="AK1393" t="s">
        <v>2365</v>
      </c>
      <c r="AL1393" t="s">
        <v>2365</v>
      </c>
      <c r="AM1393" t="s">
        <v>2365</v>
      </c>
      <c r="AN1393" t="s">
        <v>2365</v>
      </c>
      <c r="AR1393" t="s">
        <v>2365</v>
      </c>
      <c r="AS1393" t="s">
        <v>2365</v>
      </c>
      <c r="AT1393" t="s">
        <v>2365</v>
      </c>
      <c r="AU1393" t="s">
        <v>2365</v>
      </c>
      <c r="AV1393" t="s">
        <v>2365</v>
      </c>
      <c r="AW1393" t="s">
        <v>2365</v>
      </c>
      <c r="AX1393" t="s">
        <v>2365</v>
      </c>
      <c r="AY1393" t="s">
        <v>2365</v>
      </c>
      <c r="AZ1393" t="s">
        <v>2365</v>
      </c>
      <c r="BA1393" t="s">
        <v>2365</v>
      </c>
      <c r="BB1393" t="s">
        <v>2365</v>
      </c>
      <c r="BC1393" t="s">
        <v>2365</v>
      </c>
      <c r="BD1393" t="s">
        <v>2366</v>
      </c>
      <c r="BE1393" t="s">
        <v>2365</v>
      </c>
      <c r="BF1393" t="s">
        <v>2365</v>
      </c>
      <c r="BG1393" t="s">
        <v>2365</v>
      </c>
      <c r="BH1393" t="s">
        <v>2365</v>
      </c>
      <c r="BI1393" t="s">
        <v>2366</v>
      </c>
      <c r="BJ1393" t="s">
        <v>2365</v>
      </c>
      <c r="BK1393" t="s">
        <v>2365</v>
      </c>
      <c r="BL1393" t="s">
        <v>2365</v>
      </c>
      <c r="BM1393" t="s">
        <v>2365</v>
      </c>
      <c r="BN1393" t="s">
        <v>2176</v>
      </c>
      <c r="BO1393">
        <v>5</v>
      </c>
      <c r="BP1393">
        <v>53</v>
      </c>
      <c r="BQ1393" t="s">
        <v>2438</v>
      </c>
      <c r="BR1393" t="s">
        <v>1499</v>
      </c>
      <c r="BU1393">
        <v>0</v>
      </c>
      <c r="BV1393">
        <v>0</v>
      </c>
      <c r="BW1393">
        <v>0</v>
      </c>
      <c r="BX1393">
        <v>0</v>
      </c>
      <c r="BY1393">
        <v>0</v>
      </c>
      <c r="BZ1393">
        <v>0</v>
      </c>
      <c r="CA1393">
        <v>0</v>
      </c>
      <c r="CB1393">
        <v>0</v>
      </c>
      <c r="CC1393">
        <v>0</v>
      </c>
      <c r="CD1393">
        <v>0</v>
      </c>
      <c r="CE1393">
        <v>0</v>
      </c>
      <c r="CF1393">
        <v>0</v>
      </c>
      <c r="CG1393">
        <v>0</v>
      </c>
      <c r="CH1393">
        <v>0</v>
      </c>
      <c r="CI1393">
        <v>0</v>
      </c>
      <c r="CJ1393">
        <v>0</v>
      </c>
      <c r="CK1393">
        <v>0</v>
      </c>
      <c r="CL1393">
        <v>0</v>
      </c>
      <c r="CM1393">
        <v>0</v>
      </c>
      <c r="CR1393" t="s">
        <v>2324</v>
      </c>
      <c r="CS1393" s="1369" t="str">
        <f>INDEX([8]Sheet1!$H:$H,MATCH(CR:CR,[8]Sheet1!$AU:$AU,0))</f>
        <v>Finance</v>
      </c>
    </row>
    <row r="1394" spans="1:97" x14ac:dyDescent="0.2">
      <c r="A1394" t="s">
        <v>4458</v>
      </c>
      <c r="B1394">
        <v>1483</v>
      </c>
      <c r="C1394" t="s">
        <v>4458</v>
      </c>
      <c r="D1394">
        <v>41742</v>
      </c>
      <c r="E1394" t="s">
        <v>4459</v>
      </c>
      <c r="F1394" t="s">
        <v>2364</v>
      </c>
      <c r="G1394" t="s">
        <v>2364</v>
      </c>
      <c r="H1394" t="s">
        <v>2365</v>
      </c>
      <c r="I1394" t="s">
        <v>2365</v>
      </c>
      <c r="J1394" t="s">
        <v>2365</v>
      </c>
      <c r="K1394" t="s">
        <v>2365</v>
      </c>
      <c r="L1394">
        <v>1200</v>
      </c>
      <c r="M1394" t="s">
        <v>1480</v>
      </c>
      <c r="N1394">
        <v>1204</v>
      </c>
      <c r="O1394" t="s">
        <v>1487</v>
      </c>
      <c r="P1394" t="s">
        <v>2366</v>
      </c>
      <c r="Q1394" t="s">
        <v>2364</v>
      </c>
      <c r="R1394" t="s">
        <v>2364</v>
      </c>
      <c r="S1394" t="s">
        <v>553</v>
      </c>
      <c r="T1394" t="s">
        <v>2175</v>
      </c>
      <c r="U1394">
        <v>130</v>
      </c>
      <c r="V1394" t="s">
        <v>2652</v>
      </c>
      <c r="W1394">
        <v>130</v>
      </c>
      <c r="X1394" t="s">
        <v>2652</v>
      </c>
      <c r="Y1394" t="s">
        <v>2365</v>
      </c>
      <c r="Z1394" t="s">
        <v>2365</v>
      </c>
      <c r="AA1394" t="s">
        <v>2365</v>
      </c>
      <c r="AB1394" t="s">
        <v>2365</v>
      </c>
      <c r="AC1394" s="813" t="s">
        <v>2365</v>
      </c>
      <c r="AD1394" s="813" t="s">
        <v>2365</v>
      </c>
      <c r="AE1394" s="813" t="s">
        <v>2365</v>
      </c>
      <c r="AF1394" t="s">
        <v>2365</v>
      </c>
      <c r="AG1394" t="s">
        <v>2365</v>
      </c>
      <c r="AH1394" t="s">
        <v>2365</v>
      </c>
      <c r="AI1394" t="s">
        <v>2365</v>
      </c>
      <c r="AJ1394" t="s">
        <v>2365</v>
      </c>
      <c r="AK1394" s="1373" t="s">
        <v>2365</v>
      </c>
      <c r="AL1394" t="s">
        <v>2365</v>
      </c>
      <c r="AM1394" t="s">
        <v>2365</v>
      </c>
      <c r="AN1394" t="s">
        <v>2365</v>
      </c>
      <c r="AQ1394" t="s">
        <v>553</v>
      </c>
      <c r="AR1394" t="s">
        <v>2365</v>
      </c>
      <c r="AS1394" t="s">
        <v>2365</v>
      </c>
      <c r="AT1394" t="s">
        <v>2365</v>
      </c>
      <c r="AU1394" t="s">
        <v>2365</v>
      </c>
      <c r="AV1394" t="s">
        <v>2365</v>
      </c>
      <c r="AW1394" t="s">
        <v>2365</v>
      </c>
      <c r="AX1394" t="s">
        <v>2365</v>
      </c>
      <c r="AY1394" t="s">
        <v>2365</v>
      </c>
      <c r="AZ1394" t="s">
        <v>2365</v>
      </c>
      <c r="BA1394" t="s">
        <v>2365</v>
      </c>
      <c r="BB1394" t="s">
        <v>2365</v>
      </c>
      <c r="BC1394" t="s">
        <v>2365</v>
      </c>
      <c r="BD1394" t="s">
        <v>2366</v>
      </c>
      <c r="BE1394" t="s">
        <v>2365</v>
      </c>
      <c r="BF1394" t="s">
        <v>2365</v>
      </c>
      <c r="BG1394" t="s">
        <v>2365</v>
      </c>
      <c r="BH1394" t="s">
        <v>2365</v>
      </c>
      <c r="BI1394" t="s">
        <v>2366</v>
      </c>
      <c r="BJ1394" t="s">
        <v>2365</v>
      </c>
      <c r="BK1394" t="s">
        <v>2365</v>
      </c>
      <c r="BL1394" t="s">
        <v>2365</v>
      </c>
      <c r="BM1394" t="s">
        <v>2365</v>
      </c>
      <c r="BO1394">
        <v>1</v>
      </c>
      <c r="BP1394">
        <v>11</v>
      </c>
      <c r="BQ1394" t="s">
        <v>2369</v>
      </c>
      <c r="BR1394" t="s">
        <v>1487</v>
      </c>
      <c r="BU1394">
        <v>0</v>
      </c>
      <c r="BV1394">
        <v>0</v>
      </c>
      <c r="BW1394">
        <v>0</v>
      </c>
      <c r="BX1394">
        <v>0</v>
      </c>
      <c r="BY1394">
        <v>0</v>
      </c>
      <c r="BZ1394">
        <v>0</v>
      </c>
      <c r="CA1394">
        <v>0</v>
      </c>
      <c r="CB1394">
        <v>0</v>
      </c>
      <c r="CC1394">
        <v>0</v>
      </c>
      <c r="CD1394">
        <v>0</v>
      </c>
      <c r="CE1394">
        <v>0</v>
      </c>
      <c r="CF1394">
        <v>0</v>
      </c>
      <c r="CG1394">
        <v>0</v>
      </c>
      <c r="CH1394">
        <v>0</v>
      </c>
      <c r="CI1394">
        <v>0</v>
      </c>
      <c r="CJ1394">
        <v>0</v>
      </c>
      <c r="CK1394">
        <v>0</v>
      </c>
      <c r="CL1394">
        <v>0</v>
      </c>
      <c r="CM1394">
        <v>0</v>
      </c>
      <c r="CR1394" t="s">
        <v>2324</v>
      </c>
      <c r="CS1394" s="1369" t="str">
        <f>INDEX([8]Sheet1!$H:$H,MATCH(CR:CR,[8]Sheet1!$AU:$AU,0))</f>
        <v>Finance</v>
      </c>
    </row>
    <row r="1395" spans="1:97" x14ac:dyDescent="0.2">
      <c r="A1395" t="s">
        <v>4460</v>
      </c>
      <c r="B1395">
        <v>1484</v>
      </c>
      <c r="C1395" t="s">
        <v>4460</v>
      </c>
      <c r="D1395">
        <v>51849</v>
      </c>
      <c r="E1395" t="s">
        <v>4461</v>
      </c>
      <c r="F1395" t="s">
        <v>2364</v>
      </c>
      <c r="G1395" t="s">
        <v>2364</v>
      </c>
      <c r="H1395" t="s">
        <v>2365</v>
      </c>
      <c r="I1395" t="s">
        <v>2365</v>
      </c>
      <c r="J1395" t="s">
        <v>2365</v>
      </c>
      <c r="K1395" t="s">
        <v>2365</v>
      </c>
      <c r="L1395">
        <v>1200</v>
      </c>
      <c r="M1395" t="s">
        <v>1480</v>
      </c>
      <c r="N1395">
        <v>1204</v>
      </c>
      <c r="O1395" t="s">
        <v>1487</v>
      </c>
      <c r="P1395" t="s">
        <v>2366</v>
      </c>
      <c r="Q1395" t="s">
        <v>2364</v>
      </c>
      <c r="R1395" t="s">
        <v>2364</v>
      </c>
      <c r="S1395" t="s">
        <v>553</v>
      </c>
      <c r="T1395" t="s">
        <v>2367</v>
      </c>
      <c r="U1395">
        <v>360</v>
      </c>
      <c r="V1395" t="s">
        <v>2368</v>
      </c>
      <c r="W1395">
        <v>360</v>
      </c>
      <c r="X1395" t="s">
        <v>711</v>
      </c>
      <c r="Y1395" t="s">
        <v>2365</v>
      </c>
      <c r="Z1395" t="s">
        <v>2365</v>
      </c>
      <c r="AA1395" t="s">
        <v>2365</v>
      </c>
      <c r="AB1395" t="s">
        <v>2365</v>
      </c>
      <c r="AC1395" s="813" t="s">
        <v>2365</v>
      </c>
      <c r="AD1395" s="813" t="s">
        <v>2365</v>
      </c>
      <c r="AE1395" s="813" t="s">
        <v>2365</v>
      </c>
      <c r="AF1395" t="s">
        <v>2365</v>
      </c>
      <c r="AG1395" t="s">
        <v>2365</v>
      </c>
      <c r="AH1395" t="s">
        <v>2365</v>
      </c>
      <c r="AI1395" t="s">
        <v>2365</v>
      </c>
      <c r="AJ1395" t="s">
        <v>2365</v>
      </c>
      <c r="AK1395">
        <v>361</v>
      </c>
      <c r="AL1395" t="s">
        <v>1804</v>
      </c>
      <c r="AM1395">
        <v>361</v>
      </c>
      <c r="AN1395" t="s">
        <v>1804</v>
      </c>
      <c r="AR1395" t="s">
        <v>2365</v>
      </c>
      <c r="AS1395" t="s">
        <v>2365</v>
      </c>
      <c r="AT1395" t="s">
        <v>2365</v>
      </c>
      <c r="AU1395" t="s">
        <v>2365</v>
      </c>
      <c r="AV1395" t="s">
        <v>2365</v>
      </c>
      <c r="AW1395" t="s">
        <v>2365</v>
      </c>
      <c r="AX1395" t="s">
        <v>2365</v>
      </c>
      <c r="AY1395" t="s">
        <v>2365</v>
      </c>
      <c r="AZ1395" t="s">
        <v>2365</v>
      </c>
      <c r="BA1395" t="s">
        <v>2365</v>
      </c>
      <c r="BB1395" t="s">
        <v>2365</v>
      </c>
      <c r="BC1395" t="s">
        <v>2365</v>
      </c>
      <c r="BD1395" t="s">
        <v>2366</v>
      </c>
      <c r="BE1395" t="s">
        <v>2365</v>
      </c>
      <c r="BF1395" t="s">
        <v>2365</v>
      </c>
      <c r="BG1395" t="s">
        <v>2365</v>
      </c>
      <c r="BH1395" t="s">
        <v>2365</v>
      </c>
      <c r="BI1395" t="s">
        <v>2366</v>
      </c>
      <c r="BJ1395" t="s">
        <v>2365</v>
      </c>
      <c r="BK1395" t="s">
        <v>2365</v>
      </c>
      <c r="BL1395" t="s">
        <v>2365</v>
      </c>
      <c r="BM1395" t="s">
        <v>2365</v>
      </c>
      <c r="BO1395">
        <v>1</v>
      </c>
      <c r="BP1395">
        <v>11</v>
      </c>
      <c r="BQ1395" t="s">
        <v>2369</v>
      </c>
      <c r="BR1395" t="s">
        <v>1487</v>
      </c>
      <c r="BU1395">
        <v>0</v>
      </c>
      <c r="BV1395">
        <v>0</v>
      </c>
      <c r="BW1395">
        <v>0</v>
      </c>
      <c r="BX1395">
        <v>0</v>
      </c>
      <c r="BY1395">
        <v>0</v>
      </c>
      <c r="BZ1395">
        <v>0</v>
      </c>
      <c r="CA1395">
        <v>0</v>
      </c>
      <c r="CB1395">
        <v>0</v>
      </c>
      <c r="CC1395">
        <v>0</v>
      </c>
      <c r="CD1395">
        <v>-440300.00000000012</v>
      </c>
      <c r="CE1395">
        <v>0</v>
      </c>
      <c r="CF1395">
        <v>0</v>
      </c>
      <c r="CG1395">
        <v>0</v>
      </c>
      <c r="CH1395">
        <v>0</v>
      </c>
      <c r="CI1395">
        <v>0</v>
      </c>
      <c r="CJ1395">
        <v>0</v>
      </c>
      <c r="CK1395">
        <v>0</v>
      </c>
      <c r="CL1395">
        <v>0</v>
      </c>
      <c r="CM1395">
        <v>0</v>
      </c>
      <c r="CR1395" t="s">
        <v>2319</v>
      </c>
      <c r="CS1395" s="1369" t="str">
        <f>INDEX([8]Sheet1!$H:$H,MATCH(CR:CR,[8]Sheet1!$AU:$AU,0))</f>
        <v>Mayor and Council</v>
      </c>
    </row>
    <row r="1396" spans="1:97" x14ac:dyDescent="0.2">
      <c r="A1396" t="s">
        <v>4462</v>
      </c>
      <c r="B1396">
        <v>1485</v>
      </c>
      <c r="C1396" t="s">
        <v>4462</v>
      </c>
      <c r="D1396">
        <v>51851</v>
      </c>
      <c r="E1396" t="s">
        <v>2526</v>
      </c>
      <c r="F1396">
        <v>2900</v>
      </c>
      <c r="G1396" t="s">
        <v>569</v>
      </c>
      <c r="H1396" t="s">
        <v>2366</v>
      </c>
      <c r="I1396" t="s">
        <v>2366</v>
      </c>
      <c r="J1396">
        <v>2904</v>
      </c>
      <c r="K1396" t="s">
        <v>1432</v>
      </c>
      <c r="L1396">
        <v>1200</v>
      </c>
      <c r="M1396" t="s">
        <v>1480</v>
      </c>
      <c r="N1396">
        <v>1204</v>
      </c>
      <c r="O1396" t="s">
        <v>1487</v>
      </c>
      <c r="P1396" t="s">
        <v>2366</v>
      </c>
      <c r="Q1396" t="s">
        <v>2364</v>
      </c>
      <c r="R1396" t="s">
        <v>2364</v>
      </c>
      <c r="S1396" t="s">
        <v>1881</v>
      </c>
      <c r="T1396" t="s">
        <v>1812</v>
      </c>
      <c r="U1396" t="s">
        <v>2365</v>
      </c>
      <c r="V1396" t="s">
        <v>2365</v>
      </c>
      <c r="W1396" t="s">
        <v>2365</v>
      </c>
      <c r="X1396" t="s">
        <v>2365</v>
      </c>
      <c r="Y1396" t="s">
        <v>2365</v>
      </c>
      <c r="Z1396" t="s">
        <v>2365</v>
      </c>
      <c r="AA1396" t="s">
        <v>2365</v>
      </c>
      <c r="AB1396" t="s">
        <v>2365</v>
      </c>
      <c r="AC1396" s="813" t="s">
        <v>2365</v>
      </c>
      <c r="AD1396" s="813" t="s">
        <v>2365</v>
      </c>
      <c r="AE1396" s="813" t="s">
        <v>2365</v>
      </c>
      <c r="AF1396" t="s">
        <v>2365</v>
      </c>
      <c r="AG1396" t="s">
        <v>2365</v>
      </c>
      <c r="AH1396" t="s">
        <v>2365</v>
      </c>
      <c r="AI1396" t="s">
        <v>2365</v>
      </c>
      <c r="AJ1396" t="s">
        <v>2365</v>
      </c>
      <c r="AK1396" t="s">
        <v>2365</v>
      </c>
      <c r="AL1396" t="s">
        <v>2365</v>
      </c>
      <c r="AM1396" t="s">
        <v>2365</v>
      </c>
      <c r="AN1396" t="s">
        <v>2365</v>
      </c>
      <c r="AR1396" t="s">
        <v>2365</v>
      </c>
      <c r="AS1396" t="s">
        <v>2365</v>
      </c>
      <c r="AT1396" t="s">
        <v>2365</v>
      </c>
      <c r="AU1396" t="s">
        <v>2365</v>
      </c>
      <c r="AV1396" t="s">
        <v>2365</v>
      </c>
      <c r="AW1396" t="s">
        <v>2365</v>
      </c>
      <c r="AX1396" t="s">
        <v>2365</v>
      </c>
      <c r="AY1396" t="s">
        <v>2365</v>
      </c>
      <c r="AZ1396" t="s">
        <v>2365</v>
      </c>
      <c r="BA1396" t="s">
        <v>2365</v>
      </c>
      <c r="BB1396" t="s">
        <v>2365</v>
      </c>
      <c r="BC1396" t="s">
        <v>2365</v>
      </c>
      <c r="BD1396" t="s">
        <v>2366</v>
      </c>
      <c r="BE1396" t="s">
        <v>2365</v>
      </c>
      <c r="BF1396" t="s">
        <v>2365</v>
      </c>
      <c r="BG1396" t="s">
        <v>2365</v>
      </c>
      <c r="BH1396" t="s">
        <v>2365</v>
      </c>
      <c r="BI1396" t="s">
        <v>2366</v>
      </c>
      <c r="BJ1396" t="s">
        <v>2365</v>
      </c>
      <c r="BK1396" t="s">
        <v>2365</v>
      </c>
      <c r="BL1396" t="s">
        <v>2365</v>
      </c>
      <c r="BM1396" t="s">
        <v>2365</v>
      </c>
      <c r="BO1396">
        <v>1</v>
      </c>
      <c r="BP1396">
        <v>11</v>
      </c>
      <c r="BQ1396" t="s">
        <v>2369</v>
      </c>
      <c r="BR1396" t="s">
        <v>1487</v>
      </c>
      <c r="BU1396">
        <v>0</v>
      </c>
      <c r="BV1396">
        <v>0</v>
      </c>
      <c r="BW1396">
        <v>0</v>
      </c>
      <c r="BX1396">
        <v>0</v>
      </c>
      <c r="BY1396">
        <v>0</v>
      </c>
      <c r="BZ1396">
        <v>0</v>
      </c>
      <c r="CA1396">
        <v>0</v>
      </c>
      <c r="CB1396">
        <v>0</v>
      </c>
      <c r="CC1396">
        <v>0</v>
      </c>
      <c r="CD1396">
        <v>0</v>
      </c>
      <c r="CE1396">
        <v>0</v>
      </c>
      <c r="CF1396">
        <v>0</v>
      </c>
      <c r="CG1396">
        <v>0</v>
      </c>
      <c r="CH1396">
        <v>0</v>
      </c>
      <c r="CI1396">
        <v>0</v>
      </c>
      <c r="CJ1396">
        <v>0</v>
      </c>
      <c r="CK1396">
        <v>0</v>
      </c>
      <c r="CL1396">
        <v>0</v>
      </c>
      <c r="CM1396">
        <v>0</v>
      </c>
      <c r="CR1396" t="s">
        <v>2319</v>
      </c>
      <c r="CS1396" s="1369" t="str">
        <f>INDEX([8]Sheet1!$H:$H,MATCH(CR:CR,[8]Sheet1!$AU:$AU,0))</f>
        <v>Mayor and Council</v>
      </c>
    </row>
    <row r="1397" spans="1:97" x14ac:dyDescent="0.2">
      <c r="A1397" t="s">
        <v>4463</v>
      </c>
      <c r="B1397">
        <v>1486</v>
      </c>
      <c r="C1397" t="s">
        <v>4463</v>
      </c>
      <c r="D1397">
        <v>51852</v>
      </c>
      <c r="E1397" t="s">
        <v>2539</v>
      </c>
      <c r="F1397">
        <v>2000</v>
      </c>
      <c r="G1397" t="s">
        <v>652</v>
      </c>
      <c r="H1397" t="s">
        <v>2540</v>
      </c>
      <c r="I1397" t="s">
        <v>1157</v>
      </c>
      <c r="J1397">
        <v>2009</v>
      </c>
      <c r="K1397" t="s">
        <v>1185</v>
      </c>
      <c r="L1397">
        <v>1200</v>
      </c>
      <c r="M1397" t="s">
        <v>1480</v>
      </c>
      <c r="N1397">
        <v>1204</v>
      </c>
      <c r="O1397" t="s">
        <v>1487</v>
      </c>
      <c r="P1397" t="s">
        <v>2366</v>
      </c>
      <c r="Q1397" t="s">
        <v>2364</v>
      </c>
      <c r="R1397" t="s">
        <v>2364</v>
      </c>
      <c r="S1397" t="s">
        <v>1881</v>
      </c>
      <c r="T1397" t="s">
        <v>1812</v>
      </c>
      <c r="U1397" t="s">
        <v>2365</v>
      </c>
      <c r="V1397" t="s">
        <v>2365</v>
      </c>
      <c r="W1397" t="s">
        <v>2365</v>
      </c>
      <c r="X1397" t="s">
        <v>2365</v>
      </c>
      <c r="Y1397" t="s">
        <v>2365</v>
      </c>
      <c r="Z1397" t="s">
        <v>2365</v>
      </c>
      <c r="AA1397" t="s">
        <v>2365</v>
      </c>
      <c r="AB1397" t="s">
        <v>2365</v>
      </c>
      <c r="AC1397" s="813" t="s">
        <v>2365</v>
      </c>
      <c r="AD1397" s="813" t="s">
        <v>2365</v>
      </c>
      <c r="AE1397" s="813" t="s">
        <v>2365</v>
      </c>
      <c r="AF1397" t="s">
        <v>2365</v>
      </c>
      <c r="AG1397" t="s">
        <v>2365</v>
      </c>
      <c r="AH1397" t="s">
        <v>2365</v>
      </c>
      <c r="AI1397" t="s">
        <v>2365</v>
      </c>
      <c r="AJ1397" t="s">
        <v>2365</v>
      </c>
      <c r="AK1397" t="s">
        <v>2365</v>
      </c>
      <c r="AL1397" t="s">
        <v>2365</v>
      </c>
      <c r="AM1397" t="s">
        <v>2365</v>
      </c>
      <c r="AN1397" t="s">
        <v>2365</v>
      </c>
      <c r="AR1397" t="s">
        <v>2365</v>
      </c>
      <c r="AS1397" t="s">
        <v>2365</v>
      </c>
      <c r="AT1397" t="s">
        <v>2365</v>
      </c>
      <c r="AU1397" t="s">
        <v>2365</v>
      </c>
      <c r="AV1397" t="s">
        <v>2365</v>
      </c>
      <c r="AW1397" t="s">
        <v>2365</v>
      </c>
      <c r="AX1397" t="s">
        <v>2365</v>
      </c>
      <c r="AY1397" t="s">
        <v>2365</v>
      </c>
      <c r="AZ1397" t="s">
        <v>2365</v>
      </c>
      <c r="BA1397" t="s">
        <v>2365</v>
      </c>
      <c r="BB1397" t="s">
        <v>2365</v>
      </c>
      <c r="BC1397" t="s">
        <v>2365</v>
      </c>
      <c r="BD1397" t="s">
        <v>2366</v>
      </c>
      <c r="BE1397" t="s">
        <v>2365</v>
      </c>
      <c r="BF1397" t="s">
        <v>2365</v>
      </c>
      <c r="BG1397" t="s">
        <v>2365</v>
      </c>
      <c r="BH1397" t="s">
        <v>2365</v>
      </c>
      <c r="BI1397" t="s">
        <v>2366</v>
      </c>
      <c r="BJ1397" t="s">
        <v>2365</v>
      </c>
      <c r="BK1397" t="s">
        <v>2365</v>
      </c>
      <c r="BL1397" t="s">
        <v>2365</v>
      </c>
      <c r="BM1397" t="s">
        <v>2365</v>
      </c>
      <c r="BN1397" t="s">
        <v>2177</v>
      </c>
      <c r="BO1397">
        <v>1</v>
      </c>
      <c r="BP1397">
        <v>11</v>
      </c>
      <c r="BQ1397" t="s">
        <v>2369</v>
      </c>
      <c r="BR1397" t="s">
        <v>1487</v>
      </c>
      <c r="BU1397">
        <v>0</v>
      </c>
      <c r="BV1397">
        <v>0</v>
      </c>
      <c r="BW1397">
        <v>0</v>
      </c>
      <c r="BX1397">
        <v>0</v>
      </c>
      <c r="BY1397">
        <v>0</v>
      </c>
      <c r="BZ1397">
        <v>0</v>
      </c>
      <c r="CA1397">
        <v>0</v>
      </c>
      <c r="CB1397">
        <v>0</v>
      </c>
      <c r="CC1397">
        <v>0</v>
      </c>
      <c r="CD1397">
        <v>0</v>
      </c>
      <c r="CE1397">
        <v>0</v>
      </c>
      <c r="CF1397">
        <v>0</v>
      </c>
      <c r="CG1397">
        <v>0</v>
      </c>
      <c r="CH1397">
        <v>0</v>
      </c>
      <c r="CI1397">
        <v>0</v>
      </c>
      <c r="CJ1397">
        <v>0</v>
      </c>
      <c r="CK1397">
        <v>0</v>
      </c>
      <c r="CL1397">
        <v>0</v>
      </c>
      <c r="CM1397">
        <v>0</v>
      </c>
      <c r="CR1397" t="s">
        <v>2333</v>
      </c>
      <c r="CS1397" s="1369" t="str">
        <f>INDEX([8]Sheet1!$H:$H,MATCH(CR:CR,[8]Sheet1!$AU:$AU,0))</f>
        <v>Municipal Manager, Town Secretary and Chief Executive</v>
      </c>
    </row>
    <row r="1398" spans="1:97" x14ac:dyDescent="0.2">
      <c r="A1398" t="s">
        <v>4464</v>
      </c>
      <c r="B1398">
        <v>1487</v>
      </c>
      <c r="C1398" t="s">
        <v>4464</v>
      </c>
      <c r="D1398">
        <v>51853</v>
      </c>
      <c r="E1398" t="s">
        <v>2542</v>
      </c>
      <c r="F1398">
        <v>2000</v>
      </c>
      <c r="G1398" t="s">
        <v>652</v>
      </c>
      <c r="H1398" t="s">
        <v>2540</v>
      </c>
      <c r="I1398" t="s">
        <v>1157</v>
      </c>
      <c r="J1398">
        <v>2009</v>
      </c>
      <c r="K1398" t="s">
        <v>1185</v>
      </c>
      <c r="L1398">
        <v>1200</v>
      </c>
      <c r="M1398" t="s">
        <v>1480</v>
      </c>
      <c r="N1398">
        <v>1204</v>
      </c>
      <c r="O1398" t="s">
        <v>1487</v>
      </c>
      <c r="P1398" t="s">
        <v>2366</v>
      </c>
      <c r="Q1398" t="s">
        <v>2364</v>
      </c>
      <c r="R1398" t="s">
        <v>2364</v>
      </c>
      <c r="S1398" t="s">
        <v>1881</v>
      </c>
      <c r="T1398" t="s">
        <v>1812</v>
      </c>
      <c r="U1398" t="s">
        <v>2365</v>
      </c>
      <c r="V1398" t="s">
        <v>2365</v>
      </c>
      <c r="W1398" t="s">
        <v>2365</v>
      </c>
      <c r="X1398" t="s">
        <v>2365</v>
      </c>
      <c r="Y1398" t="s">
        <v>2365</v>
      </c>
      <c r="Z1398" t="s">
        <v>2365</v>
      </c>
      <c r="AA1398" t="s">
        <v>2365</v>
      </c>
      <c r="AB1398" t="s">
        <v>2365</v>
      </c>
      <c r="AC1398" s="813" t="s">
        <v>2365</v>
      </c>
      <c r="AD1398" s="813" t="s">
        <v>2365</v>
      </c>
      <c r="AE1398" s="813" t="s">
        <v>2365</v>
      </c>
      <c r="AF1398" t="s">
        <v>2365</v>
      </c>
      <c r="AG1398" t="s">
        <v>2365</v>
      </c>
      <c r="AH1398" t="s">
        <v>2365</v>
      </c>
      <c r="AI1398" t="s">
        <v>2365</v>
      </c>
      <c r="AJ1398" t="s">
        <v>2365</v>
      </c>
      <c r="AK1398" t="s">
        <v>2365</v>
      </c>
      <c r="AL1398" t="s">
        <v>2365</v>
      </c>
      <c r="AM1398" t="s">
        <v>2365</v>
      </c>
      <c r="AN1398" t="s">
        <v>2365</v>
      </c>
      <c r="AR1398" t="s">
        <v>2365</v>
      </c>
      <c r="AS1398" t="s">
        <v>2365</v>
      </c>
      <c r="AT1398" t="s">
        <v>2365</v>
      </c>
      <c r="AU1398" t="s">
        <v>2365</v>
      </c>
      <c r="AV1398" t="s">
        <v>2365</v>
      </c>
      <c r="AW1398" t="s">
        <v>2365</v>
      </c>
      <c r="AX1398" t="s">
        <v>2365</v>
      </c>
      <c r="AY1398" t="s">
        <v>2365</v>
      </c>
      <c r="AZ1398" t="s">
        <v>2365</v>
      </c>
      <c r="BA1398" t="s">
        <v>2365</v>
      </c>
      <c r="BB1398" t="s">
        <v>2365</v>
      </c>
      <c r="BC1398" t="s">
        <v>2365</v>
      </c>
      <c r="BD1398" t="s">
        <v>2366</v>
      </c>
      <c r="BE1398" t="s">
        <v>2365</v>
      </c>
      <c r="BF1398" t="s">
        <v>2365</v>
      </c>
      <c r="BG1398" t="s">
        <v>2365</v>
      </c>
      <c r="BH1398" t="s">
        <v>2365</v>
      </c>
      <c r="BI1398" t="s">
        <v>2366</v>
      </c>
      <c r="BJ1398" t="s">
        <v>2365</v>
      </c>
      <c r="BK1398" t="s">
        <v>2365</v>
      </c>
      <c r="BL1398" t="s">
        <v>2365</v>
      </c>
      <c r="BM1398" t="s">
        <v>2365</v>
      </c>
      <c r="BN1398" t="s">
        <v>2177</v>
      </c>
      <c r="BO1398">
        <v>1</v>
      </c>
      <c r="BP1398">
        <v>11</v>
      </c>
      <c r="BQ1398" t="s">
        <v>2369</v>
      </c>
      <c r="BR1398" t="s">
        <v>1487</v>
      </c>
      <c r="BU1398">
        <v>0</v>
      </c>
      <c r="BV1398">
        <v>0</v>
      </c>
      <c r="BW1398">
        <v>0</v>
      </c>
      <c r="BX1398">
        <v>0</v>
      </c>
      <c r="BY1398">
        <v>0</v>
      </c>
      <c r="BZ1398">
        <v>0</v>
      </c>
      <c r="CA1398">
        <v>0</v>
      </c>
      <c r="CB1398">
        <v>0</v>
      </c>
      <c r="CC1398">
        <v>0</v>
      </c>
      <c r="CD1398">
        <v>0</v>
      </c>
      <c r="CE1398">
        <v>0</v>
      </c>
      <c r="CF1398">
        <v>0</v>
      </c>
      <c r="CG1398">
        <v>0</v>
      </c>
      <c r="CH1398">
        <v>0</v>
      </c>
      <c r="CI1398">
        <v>0</v>
      </c>
      <c r="CJ1398">
        <v>0</v>
      </c>
      <c r="CK1398">
        <v>0</v>
      </c>
      <c r="CL1398">
        <v>0</v>
      </c>
      <c r="CM1398">
        <v>0</v>
      </c>
      <c r="CR1398" t="s">
        <v>2333</v>
      </c>
      <c r="CS1398" s="1369" t="str">
        <f>INDEX([8]Sheet1!$H:$H,MATCH(CR:CR,[8]Sheet1!$AU:$AU,0))</f>
        <v>Municipal Manager, Town Secretary and Chief Executive</v>
      </c>
    </row>
    <row r="1399" spans="1:97" x14ac:dyDescent="0.2">
      <c r="A1399" t="s">
        <v>4465</v>
      </c>
      <c r="B1399">
        <v>1488</v>
      </c>
      <c r="C1399" t="s">
        <v>4465</v>
      </c>
      <c r="D1399">
        <v>51854</v>
      </c>
      <c r="E1399" t="s">
        <v>4466</v>
      </c>
      <c r="F1399" t="s">
        <v>2364</v>
      </c>
      <c r="G1399" t="s">
        <v>2364</v>
      </c>
      <c r="H1399" t="s">
        <v>2365</v>
      </c>
      <c r="I1399" t="s">
        <v>2365</v>
      </c>
      <c r="J1399" t="s">
        <v>2365</v>
      </c>
      <c r="K1399" t="s">
        <v>2365</v>
      </c>
      <c r="L1399">
        <v>1200</v>
      </c>
      <c r="M1399" t="s">
        <v>1480</v>
      </c>
      <c r="N1399">
        <v>1204</v>
      </c>
      <c r="O1399" t="s">
        <v>1487</v>
      </c>
      <c r="P1399" t="s">
        <v>2366</v>
      </c>
      <c r="Q1399" t="s">
        <v>2364</v>
      </c>
      <c r="R1399" t="s">
        <v>2364</v>
      </c>
      <c r="S1399" t="s">
        <v>553</v>
      </c>
      <c r="T1399" t="s">
        <v>2175</v>
      </c>
      <c r="U1399">
        <v>130</v>
      </c>
      <c r="V1399" t="s">
        <v>2652</v>
      </c>
      <c r="W1399">
        <v>130</v>
      </c>
      <c r="X1399" t="s">
        <v>2652</v>
      </c>
      <c r="Y1399" t="s">
        <v>2178</v>
      </c>
      <c r="Z1399" t="s">
        <v>4467</v>
      </c>
      <c r="AA1399" t="s">
        <v>2178</v>
      </c>
      <c r="AB1399" t="s">
        <v>4467</v>
      </c>
      <c r="AC1399" s="813" t="s">
        <v>2365</v>
      </c>
      <c r="AD1399" s="813" t="s">
        <v>2365</v>
      </c>
      <c r="AE1399" s="813" t="s">
        <v>2365</v>
      </c>
      <c r="AF1399" t="s">
        <v>2365</v>
      </c>
      <c r="AG1399" t="s">
        <v>2365</v>
      </c>
      <c r="AH1399" t="s">
        <v>2365</v>
      </c>
      <c r="AI1399" t="s">
        <v>2365</v>
      </c>
      <c r="AJ1399" t="s">
        <v>2365</v>
      </c>
      <c r="AK1399" t="s">
        <v>2365</v>
      </c>
      <c r="AL1399" t="s">
        <v>2365</v>
      </c>
      <c r="AM1399" t="s">
        <v>2365</v>
      </c>
      <c r="AN1399" t="s">
        <v>2365</v>
      </c>
      <c r="AQ1399" t="s">
        <v>553</v>
      </c>
      <c r="AR1399" t="s">
        <v>2365</v>
      </c>
      <c r="AS1399" t="s">
        <v>2365</v>
      </c>
      <c r="AT1399" t="s">
        <v>2365</v>
      </c>
      <c r="AU1399" t="s">
        <v>2365</v>
      </c>
      <c r="AV1399" t="s">
        <v>2365</v>
      </c>
      <c r="AW1399" t="s">
        <v>2365</v>
      </c>
      <c r="AX1399" t="s">
        <v>2365</v>
      </c>
      <c r="AY1399" t="s">
        <v>2365</v>
      </c>
      <c r="AZ1399" t="s">
        <v>2365</v>
      </c>
      <c r="BA1399" t="s">
        <v>2365</v>
      </c>
      <c r="BB1399" t="s">
        <v>2365</v>
      </c>
      <c r="BC1399" t="s">
        <v>2365</v>
      </c>
      <c r="BD1399" t="s">
        <v>2366</v>
      </c>
      <c r="BE1399" t="s">
        <v>2365</v>
      </c>
      <c r="BF1399" t="s">
        <v>2365</v>
      </c>
      <c r="BG1399" t="s">
        <v>2365</v>
      </c>
      <c r="BH1399" t="s">
        <v>2365</v>
      </c>
      <c r="BI1399" t="s">
        <v>2366</v>
      </c>
      <c r="BJ1399" t="s">
        <v>2365</v>
      </c>
      <c r="BK1399" t="s">
        <v>2365</v>
      </c>
      <c r="BL1399" t="s">
        <v>2365</v>
      </c>
      <c r="BM1399" t="s">
        <v>2365</v>
      </c>
      <c r="BO1399">
        <v>1</v>
      </c>
      <c r="BP1399">
        <v>11</v>
      </c>
      <c r="BQ1399" t="s">
        <v>2369</v>
      </c>
      <c r="BR1399" t="s">
        <v>1487</v>
      </c>
      <c r="BS1399">
        <v>8</v>
      </c>
      <c r="BU1399">
        <v>3408647</v>
      </c>
      <c r="BV1399">
        <v>0</v>
      </c>
      <c r="BW1399">
        <v>3408647</v>
      </c>
      <c r="BX1399">
        <v>-3408647</v>
      </c>
      <c r="BY1399">
        <v>0</v>
      </c>
      <c r="BZ1399">
        <v>0</v>
      </c>
      <c r="CA1399">
        <v>0</v>
      </c>
      <c r="CB1399">
        <v>0</v>
      </c>
      <c r="CC1399">
        <v>0</v>
      </c>
      <c r="CD1399">
        <v>0</v>
      </c>
      <c r="CE1399">
        <v>0</v>
      </c>
      <c r="CF1399">
        <v>0</v>
      </c>
      <c r="CG1399">
        <v>0</v>
      </c>
      <c r="CH1399">
        <v>0</v>
      </c>
      <c r="CI1399">
        <v>0</v>
      </c>
      <c r="CJ1399">
        <v>0</v>
      </c>
      <c r="CK1399">
        <v>0</v>
      </c>
      <c r="CL1399">
        <v>0</v>
      </c>
      <c r="CM1399">
        <v>0</v>
      </c>
      <c r="CR1399" t="s">
        <v>2319</v>
      </c>
      <c r="CS1399" s="1369" t="str">
        <f>INDEX([8]Sheet1!$H:$H,MATCH(CR:CR,[8]Sheet1!$AU:$AU,0))</f>
        <v>Mayor and Council</v>
      </c>
    </row>
    <row r="1400" spans="1:97" x14ac:dyDescent="0.2">
      <c r="A1400" t="s">
        <v>4468</v>
      </c>
      <c r="B1400">
        <v>1489</v>
      </c>
      <c r="C1400" t="s">
        <v>4468</v>
      </c>
      <c r="D1400">
        <v>51855</v>
      </c>
      <c r="E1400" t="s">
        <v>4469</v>
      </c>
      <c r="F1400" t="s">
        <v>2364</v>
      </c>
      <c r="G1400" t="s">
        <v>2364</v>
      </c>
      <c r="H1400" t="s">
        <v>2365</v>
      </c>
      <c r="I1400" t="s">
        <v>2365</v>
      </c>
      <c r="J1400" t="s">
        <v>2365</v>
      </c>
      <c r="K1400" t="s">
        <v>2365</v>
      </c>
      <c r="L1400">
        <v>1200</v>
      </c>
      <c r="M1400" t="s">
        <v>1480</v>
      </c>
      <c r="N1400">
        <v>1204</v>
      </c>
      <c r="O1400" t="s">
        <v>1487</v>
      </c>
      <c r="P1400" t="s">
        <v>2366</v>
      </c>
      <c r="Q1400" t="s">
        <v>2364</v>
      </c>
      <c r="R1400" t="s">
        <v>2364</v>
      </c>
      <c r="S1400" t="s">
        <v>553</v>
      </c>
      <c r="T1400" t="s">
        <v>2175</v>
      </c>
      <c r="U1400">
        <v>130</v>
      </c>
      <c r="V1400" t="s">
        <v>2652</v>
      </c>
      <c r="W1400">
        <v>130</v>
      </c>
      <c r="X1400" t="s">
        <v>2652</v>
      </c>
      <c r="Y1400" t="s">
        <v>2178</v>
      </c>
      <c r="Z1400" t="s">
        <v>4467</v>
      </c>
      <c r="AA1400" t="s">
        <v>2178</v>
      </c>
      <c r="AB1400" t="s">
        <v>4467</v>
      </c>
      <c r="AC1400" s="813">
        <v>200</v>
      </c>
      <c r="AD1400" s="813" t="s">
        <v>4443</v>
      </c>
      <c r="AE1400" s="813">
        <v>480</v>
      </c>
      <c r="AF1400" t="s">
        <v>569</v>
      </c>
      <c r="AG1400" t="s">
        <v>2365</v>
      </c>
      <c r="AH1400" t="s">
        <v>2365</v>
      </c>
      <c r="AI1400" t="s">
        <v>2365</v>
      </c>
      <c r="AJ1400" t="s">
        <v>2365</v>
      </c>
      <c r="AK1400" t="s">
        <v>2365</v>
      </c>
      <c r="AL1400" t="s">
        <v>2365</v>
      </c>
      <c r="AM1400" t="s">
        <v>2365</v>
      </c>
      <c r="AN1400" t="s">
        <v>2365</v>
      </c>
      <c r="AQ1400" t="s">
        <v>553</v>
      </c>
      <c r="AR1400" t="s">
        <v>2365</v>
      </c>
      <c r="AS1400" t="s">
        <v>2365</v>
      </c>
      <c r="AT1400" t="s">
        <v>2365</v>
      </c>
      <c r="AU1400" t="s">
        <v>2365</v>
      </c>
      <c r="AV1400" t="s">
        <v>2365</v>
      </c>
      <c r="AW1400" t="s">
        <v>2365</v>
      </c>
      <c r="AX1400" t="s">
        <v>2365</v>
      </c>
      <c r="AY1400" t="s">
        <v>2365</v>
      </c>
      <c r="AZ1400" t="s">
        <v>2365</v>
      </c>
      <c r="BA1400" t="s">
        <v>2365</v>
      </c>
      <c r="BB1400" t="s">
        <v>2365</v>
      </c>
      <c r="BC1400" t="s">
        <v>2365</v>
      </c>
      <c r="BD1400" t="s">
        <v>2366</v>
      </c>
      <c r="BE1400" t="s">
        <v>2365</v>
      </c>
      <c r="BF1400" t="s">
        <v>2365</v>
      </c>
      <c r="BG1400" t="s">
        <v>2365</v>
      </c>
      <c r="BH1400" t="s">
        <v>2365</v>
      </c>
      <c r="BI1400" t="s">
        <v>2366</v>
      </c>
      <c r="BJ1400" t="s">
        <v>2365</v>
      </c>
      <c r="BK1400" t="s">
        <v>2365</v>
      </c>
      <c r="BL1400" t="s">
        <v>2365</v>
      </c>
      <c r="BM1400" t="s">
        <v>2365</v>
      </c>
      <c r="BO1400">
        <v>1</v>
      </c>
      <c r="BP1400">
        <v>11</v>
      </c>
      <c r="BQ1400" t="s">
        <v>2369</v>
      </c>
      <c r="BR1400" t="s">
        <v>1487</v>
      </c>
      <c r="BS1400">
        <v>8</v>
      </c>
      <c r="BU1400">
        <v>0</v>
      </c>
      <c r="BV1400">
        <v>0</v>
      </c>
      <c r="BW1400">
        <v>0</v>
      </c>
      <c r="BX1400">
        <v>0</v>
      </c>
      <c r="BY1400">
        <v>0</v>
      </c>
      <c r="BZ1400">
        <v>0</v>
      </c>
      <c r="CA1400">
        <v>0</v>
      </c>
      <c r="CB1400">
        <v>0</v>
      </c>
      <c r="CC1400">
        <v>0</v>
      </c>
      <c r="CD1400">
        <v>0</v>
      </c>
      <c r="CE1400">
        <v>0</v>
      </c>
      <c r="CF1400">
        <v>0</v>
      </c>
      <c r="CG1400">
        <v>0</v>
      </c>
      <c r="CH1400">
        <v>0</v>
      </c>
      <c r="CI1400">
        <v>0</v>
      </c>
      <c r="CJ1400">
        <v>0</v>
      </c>
      <c r="CK1400">
        <v>0</v>
      </c>
      <c r="CL1400">
        <v>0</v>
      </c>
      <c r="CM1400">
        <v>0</v>
      </c>
      <c r="CR1400" t="s">
        <v>2319</v>
      </c>
      <c r="CS1400" s="1369" t="str">
        <f>INDEX([8]Sheet1!$H:$H,MATCH(CR:CR,[8]Sheet1!$AU:$AU,0))</f>
        <v>Mayor and Council</v>
      </c>
    </row>
    <row r="1401" spans="1:97" x14ac:dyDescent="0.2">
      <c r="A1401" t="s">
        <v>4470</v>
      </c>
      <c r="B1401">
        <v>1490</v>
      </c>
      <c r="C1401" t="s">
        <v>4470</v>
      </c>
      <c r="D1401">
        <v>51856</v>
      </c>
      <c r="E1401" t="s">
        <v>4371</v>
      </c>
      <c r="F1401" t="s">
        <v>2364</v>
      </c>
      <c r="G1401" t="s">
        <v>2364</v>
      </c>
      <c r="H1401" t="s">
        <v>2365</v>
      </c>
      <c r="I1401" t="s">
        <v>2365</v>
      </c>
      <c r="J1401" t="s">
        <v>2365</v>
      </c>
      <c r="K1401" t="s">
        <v>2365</v>
      </c>
      <c r="L1401">
        <v>1200</v>
      </c>
      <c r="M1401" t="s">
        <v>1480</v>
      </c>
      <c r="N1401">
        <v>1204</v>
      </c>
      <c r="O1401" t="s">
        <v>1487</v>
      </c>
      <c r="P1401" t="s">
        <v>2366</v>
      </c>
      <c r="Q1401" t="s">
        <v>2364</v>
      </c>
      <c r="R1401" t="s">
        <v>2364</v>
      </c>
      <c r="S1401" t="s">
        <v>553</v>
      </c>
      <c r="T1401" t="s">
        <v>2175</v>
      </c>
      <c r="U1401">
        <v>130</v>
      </c>
      <c r="V1401" t="s">
        <v>2652</v>
      </c>
      <c r="W1401">
        <v>130</v>
      </c>
      <c r="X1401" t="s">
        <v>2652</v>
      </c>
      <c r="Y1401" t="s">
        <v>2178</v>
      </c>
      <c r="Z1401" t="s">
        <v>4467</v>
      </c>
      <c r="AA1401" t="s">
        <v>2178</v>
      </c>
      <c r="AB1401" t="s">
        <v>4467</v>
      </c>
      <c r="AC1401" s="813" t="s">
        <v>2365</v>
      </c>
      <c r="AD1401" s="813" t="s">
        <v>2365</v>
      </c>
      <c r="AE1401" s="813" t="s">
        <v>2365</v>
      </c>
      <c r="AF1401" t="s">
        <v>2365</v>
      </c>
      <c r="AG1401" t="s">
        <v>2365</v>
      </c>
      <c r="AH1401" t="s">
        <v>2365</v>
      </c>
      <c r="AI1401" t="s">
        <v>2365</v>
      </c>
      <c r="AJ1401" t="s">
        <v>2365</v>
      </c>
      <c r="AK1401" t="s">
        <v>2365</v>
      </c>
      <c r="AL1401" t="s">
        <v>2365</v>
      </c>
      <c r="AM1401" t="s">
        <v>2365</v>
      </c>
      <c r="AN1401" t="s">
        <v>2365</v>
      </c>
      <c r="AQ1401" t="s">
        <v>553</v>
      </c>
      <c r="AR1401" t="s">
        <v>2365</v>
      </c>
      <c r="AS1401" t="s">
        <v>2365</v>
      </c>
      <c r="AT1401" t="s">
        <v>2365</v>
      </c>
      <c r="AU1401" t="s">
        <v>2365</v>
      </c>
      <c r="AV1401" t="s">
        <v>2365</v>
      </c>
      <c r="AW1401" t="s">
        <v>2365</v>
      </c>
      <c r="AX1401" t="s">
        <v>2365</v>
      </c>
      <c r="AY1401" t="s">
        <v>2365</v>
      </c>
      <c r="AZ1401" t="s">
        <v>2365</v>
      </c>
      <c r="BA1401" t="s">
        <v>2365</v>
      </c>
      <c r="BB1401" t="s">
        <v>2365</v>
      </c>
      <c r="BC1401" t="s">
        <v>2365</v>
      </c>
      <c r="BD1401" t="s">
        <v>2366</v>
      </c>
      <c r="BE1401" t="s">
        <v>2365</v>
      </c>
      <c r="BF1401" t="s">
        <v>2365</v>
      </c>
      <c r="BG1401" t="s">
        <v>2365</v>
      </c>
      <c r="BH1401" t="s">
        <v>2365</v>
      </c>
      <c r="BI1401" t="s">
        <v>2366</v>
      </c>
      <c r="BJ1401" t="s">
        <v>2365</v>
      </c>
      <c r="BK1401" t="s">
        <v>2365</v>
      </c>
      <c r="BL1401" t="s">
        <v>2365</v>
      </c>
      <c r="BM1401" t="s">
        <v>2365</v>
      </c>
      <c r="BO1401">
        <v>1</v>
      </c>
      <c r="BP1401">
        <v>11</v>
      </c>
      <c r="BQ1401" t="s">
        <v>2369</v>
      </c>
      <c r="BR1401" t="s">
        <v>1487</v>
      </c>
      <c r="BS1401">
        <v>8</v>
      </c>
      <c r="BU1401">
        <v>0</v>
      </c>
      <c r="BV1401">
        <v>0</v>
      </c>
      <c r="BW1401">
        <v>0</v>
      </c>
      <c r="BX1401">
        <v>0</v>
      </c>
      <c r="BY1401">
        <v>0</v>
      </c>
      <c r="BZ1401">
        <v>0</v>
      </c>
      <c r="CA1401">
        <v>0</v>
      </c>
      <c r="CB1401">
        <v>0</v>
      </c>
      <c r="CC1401">
        <v>30000000</v>
      </c>
      <c r="CD1401">
        <v>0</v>
      </c>
      <c r="CE1401">
        <v>0</v>
      </c>
      <c r="CF1401">
        <v>0</v>
      </c>
      <c r="CG1401">
        <v>0</v>
      </c>
      <c r="CH1401">
        <v>0</v>
      </c>
      <c r="CI1401">
        <v>0</v>
      </c>
      <c r="CJ1401">
        <v>0</v>
      </c>
      <c r="CK1401">
        <v>0</v>
      </c>
      <c r="CL1401">
        <v>0</v>
      </c>
      <c r="CM1401">
        <v>0</v>
      </c>
      <c r="CR1401" t="s">
        <v>2328</v>
      </c>
      <c r="CS1401" s="1369" t="str">
        <f>INDEX([8]Sheet1!$H:$H,MATCH(CR:CR,[8]Sheet1!$AU:$AU,0))</f>
        <v>Water Distribution</v>
      </c>
    </row>
    <row r="1402" spans="1:97" x14ac:dyDescent="0.2">
      <c r="A1402" t="s">
        <v>4471</v>
      </c>
      <c r="B1402">
        <v>1491</v>
      </c>
      <c r="C1402" t="s">
        <v>4471</v>
      </c>
      <c r="D1402">
        <v>51857</v>
      </c>
      <c r="E1402" t="s">
        <v>4472</v>
      </c>
      <c r="F1402" t="s">
        <v>2364</v>
      </c>
      <c r="G1402" t="s">
        <v>2364</v>
      </c>
      <c r="H1402" t="s">
        <v>2365</v>
      </c>
      <c r="I1402" t="s">
        <v>2365</v>
      </c>
      <c r="J1402" t="s">
        <v>2365</v>
      </c>
      <c r="K1402" t="s">
        <v>2365</v>
      </c>
      <c r="L1402">
        <v>1200</v>
      </c>
      <c r="M1402" t="s">
        <v>1480</v>
      </c>
      <c r="N1402">
        <v>1204</v>
      </c>
      <c r="O1402" t="s">
        <v>1487</v>
      </c>
      <c r="P1402" t="s">
        <v>2366</v>
      </c>
      <c r="Q1402" t="s">
        <v>2364</v>
      </c>
      <c r="R1402" t="s">
        <v>2364</v>
      </c>
      <c r="S1402" t="s">
        <v>553</v>
      </c>
      <c r="T1402" t="s">
        <v>2175</v>
      </c>
      <c r="U1402">
        <v>130</v>
      </c>
      <c r="V1402" t="s">
        <v>2652</v>
      </c>
      <c r="W1402">
        <v>130</v>
      </c>
      <c r="X1402" t="s">
        <v>2652</v>
      </c>
      <c r="Y1402" t="s">
        <v>4473</v>
      </c>
      <c r="Z1402" t="s">
        <v>4467</v>
      </c>
      <c r="AA1402" t="s">
        <v>4473</v>
      </c>
      <c r="AB1402" t="s">
        <v>4467</v>
      </c>
      <c r="AC1402" s="813" t="s">
        <v>2365</v>
      </c>
      <c r="AD1402" s="813" t="s">
        <v>2365</v>
      </c>
      <c r="AE1402" s="813" t="s">
        <v>2365</v>
      </c>
      <c r="AF1402" t="s">
        <v>2365</v>
      </c>
      <c r="AG1402" t="s">
        <v>2365</v>
      </c>
      <c r="AH1402" t="s">
        <v>2365</v>
      </c>
      <c r="AI1402" t="s">
        <v>2365</v>
      </c>
      <c r="AJ1402" t="s">
        <v>2365</v>
      </c>
      <c r="AK1402" t="s">
        <v>2365</v>
      </c>
      <c r="AL1402" t="s">
        <v>2365</v>
      </c>
      <c r="AM1402" t="s">
        <v>2365</v>
      </c>
      <c r="AN1402" t="s">
        <v>2365</v>
      </c>
      <c r="AQ1402" t="s">
        <v>2423</v>
      </c>
      <c r="AR1402" t="s">
        <v>2365</v>
      </c>
      <c r="AS1402" t="s">
        <v>2365</v>
      </c>
      <c r="AT1402" t="s">
        <v>2365</v>
      </c>
      <c r="AU1402" t="s">
        <v>2365</v>
      </c>
      <c r="AV1402" t="s">
        <v>2365</v>
      </c>
      <c r="AW1402" t="s">
        <v>2365</v>
      </c>
      <c r="AX1402" t="s">
        <v>2365</v>
      </c>
      <c r="AY1402" t="s">
        <v>2365</v>
      </c>
      <c r="AZ1402" t="s">
        <v>2365</v>
      </c>
      <c r="BA1402" t="s">
        <v>2365</v>
      </c>
      <c r="BB1402" t="s">
        <v>2365</v>
      </c>
      <c r="BC1402" t="s">
        <v>2365</v>
      </c>
      <c r="BD1402" t="s">
        <v>2366</v>
      </c>
      <c r="BE1402" t="s">
        <v>2365</v>
      </c>
      <c r="BF1402" t="s">
        <v>2365</v>
      </c>
      <c r="BG1402" t="s">
        <v>2365</v>
      </c>
      <c r="BH1402" t="s">
        <v>2365</v>
      </c>
      <c r="BI1402" t="s">
        <v>2366</v>
      </c>
      <c r="BJ1402" t="s">
        <v>2365</v>
      </c>
      <c r="BK1402" t="s">
        <v>2365</v>
      </c>
      <c r="BL1402" t="s">
        <v>2365</v>
      </c>
      <c r="BM1402" t="s">
        <v>2365</v>
      </c>
      <c r="BO1402">
        <v>1</v>
      </c>
      <c r="BP1402">
        <v>11</v>
      </c>
      <c r="BQ1402" t="s">
        <v>2369</v>
      </c>
      <c r="BR1402" t="s">
        <v>1487</v>
      </c>
      <c r="BS1402">
        <v>8</v>
      </c>
      <c r="BU1402">
        <v>0</v>
      </c>
      <c r="BV1402">
        <v>0</v>
      </c>
      <c r="BW1402">
        <v>0</v>
      </c>
      <c r="BX1402">
        <v>0</v>
      </c>
      <c r="BY1402">
        <v>0</v>
      </c>
      <c r="BZ1402">
        <v>0</v>
      </c>
      <c r="CA1402">
        <v>0</v>
      </c>
      <c r="CB1402">
        <v>0</v>
      </c>
      <c r="CC1402">
        <v>0</v>
      </c>
      <c r="CD1402">
        <v>0</v>
      </c>
      <c r="CE1402">
        <v>0</v>
      </c>
      <c r="CF1402">
        <v>0</v>
      </c>
      <c r="CG1402">
        <v>0</v>
      </c>
      <c r="CH1402">
        <v>0</v>
      </c>
      <c r="CI1402">
        <v>0</v>
      </c>
      <c r="CJ1402">
        <v>0</v>
      </c>
      <c r="CK1402">
        <v>0</v>
      </c>
      <c r="CL1402">
        <v>0</v>
      </c>
      <c r="CM1402">
        <v>0</v>
      </c>
      <c r="CR1402" t="s">
        <v>2328</v>
      </c>
      <c r="CS1402" s="1369" t="str">
        <f>INDEX([8]Sheet1!$H:$H,MATCH(CR:CR,[8]Sheet1!$AU:$AU,0))</f>
        <v>Water Distribution</v>
      </c>
    </row>
    <row r="1403" spans="1:97" x14ac:dyDescent="0.2">
      <c r="A1403" t="s">
        <v>4474</v>
      </c>
      <c r="B1403">
        <v>1492</v>
      </c>
      <c r="C1403" t="s">
        <v>4474</v>
      </c>
      <c r="D1403">
        <v>51860</v>
      </c>
      <c r="E1403" t="s">
        <v>4475</v>
      </c>
      <c r="F1403" t="s">
        <v>2364</v>
      </c>
      <c r="G1403" t="s">
        <v>2364</v>
      </c>
      <c r="H1403" t="s">
        <v>2365</v>
      </c>
      <c r="I1403" t="s">
        <v>2365</v>
      </c>
      <c r="J1403" t="s">
        <v>2365</v>
      </c>
      <c r="K1403" t="s">
        <v>2365</v>
      </c>
      <c r="L1403">
        <v>1200</v>
      </c>
      <c r="M1403" t="s">
        <v>1480</v>
      </c>
      <c r="N1403">
        <v>1202</v>
      </c>
      <c r="O1403" t="s">
        <v>595</v>
      </c>
      <c r="P1403" t="s">
        <v>2366</v>
      </c>
      <c r="Q1403">
        <v>2080</v>
      </c>
      <c r="R1403" t="s">
        <v>579</v>
      </c>
      <c r="S1403" t="s">
        <v>552</v>
      </c>
      <c r="T1403" t="s">
        <v>2175</v>
      </c>
      <c r="U1403">
        <v>220</v>
      </c>
      <c r="V1403" t="s">
        <v>4476</v>
      </c>
      <c r="W1403">
        <v>220</v>
      </c>
      <c r="X1403" t="s">
        <v>700</v>
      </c>
      <c r="Y1403" t="s">
        <v>2365</v>
      </c>
      <c r="Z1403" t="s">
        <v>2365</v>
      </c>
      <c r="AA1403" t="s">
        <v>2365</v>
      </c>
      <c r="AB1403" t="s">
        <v>2365</v>
      </c>
      <c r="AC1403" s="813" t="s">
        <v>2365</v>
      </c>
      <c r="AD1403" s="813" t="s">
        <v>2365</v>
      </c>
      <c r="AE1403" s="813" t="s">
        <v>2365</v>
      </c>
      <c r="AF1403" t="s">
        <v>2365</v>
      </c>
      <c r="AG1403">
        <v>1110</v>
      </c>
      <c r="AH1403" t="s">
        <v>768</v>
      </c>
      <c r="AI1403">
        <v>1110</v>
      </c>
      <c r="AJ1403" t="s">
        <v>768</v>
      </c>
      <c r="AK1403" t="s">
        <v>2365</v>
      </c>
      <c r="AL1403" t="s">
        <v>2365</v>
      </c>
      <c r="AM1403" t="s">
        <v>2365</v>
      </c>
      <c r="AN1403" t="s">
        <v>2365</v>
      </c>
      <c r="AR1403" t="s">
        <v>2365</v>
      </c>
      <c r="AS1403" t="s">
        <v>2365</v>
      </c>
      <c r="AT1403" t="s">
        <v>2365</v>
      </c>
      <c r="AU1403" t="s">
        <v>2365</v>
      </c>
      <c r="AV1403">
        <v>1160</v>
      </c>
      <c r="AW1403" t="s">
        <v>1648</v>
      </c>
      <c r="AX1403">
        <v>1160</v>
      </c>
      <c r="AY1403" t="s">
        <v>1648</v>
      </c>
      <c r="AZ1403" t="s">
        <v>2365</v>
      </c>
      <c r="BA1403" t="s">
        <v>2365</v>
      </c>
      <c r="BB1403" t="s">
        <v>2365</v>
      </c>
      <c r="BC1403" t="s">
        <v>2365</v>
      </c>
      <c r="BD1403" t="s">
        <v>2366</v>
      </c>
      <c r="BE1403" t="s">
        <v>2365</v>
      </c>
      <c r="BF1403" t="s">
        <v>2365</v>
      </c>
      <c r="BG1403" t="s">
        <v>2365</v>
      </c>
      <c r="BH1403" t="s">
        <v>2365</v>
      </c>
      <c r="BI1403" t="s">
        <v>2366</v>
      </c>
      <c r="BJ1403" t="s">
        <v>2365</v>
      </c>
      <c r="BK1403" t="s">
        <v>2365</v>
      </c>
      <c r="BL1403" t="s">
        <v>2365</v>
      </c>
      <c r="BM1403" t="s">
        <v>2365</v>
      </c>
      <c r="BO1403">
        <v>1</v>
      </c>
      <c r="BP1403">
        <v>13</v>
      </c>
      <c r="BQ1403" t="s">
        <v>2369</v>
      </c>
      <c r="BR1403" t="s">
        <v>595</v>
      </c>
      <c r="BU1403">
        <v>0</v>
      </c>
      <c r="BV1403">
        <v>0</v>
      </c>
      <c r="BW1403">
        <v>0</v>
      </c>
      <c r="BX1403">
        <v>0</v>
      </c>
      <c r="BY1403">
        <v>0</v>
      </c>
      <c r="BZ1403">
        <v>0</v>
      </c>
      <c r="CA1403">
        <v>0</v>
      </c>
      <c r="CB1403">
        <v>0</v>
      </c>
      <c r="CC1403">
        <v>0</v>
      </c>
      <c r="CD1403">
        <v>0</v>
      </c>
      <c r="CE1403">
        <v>0</v>
      </c>
      <c r="CF1403">
        <v>0</v>
      </c>
      <c r="CG1403">
        <v>0</v>
      </c>
      <c r="CH1403">
        <v>0</v>
      </c>
      <c r="CI1403">
        <v>0</v>
      </c>
      <c r="CJ1403">
        <v>0</v>
      </c>
      <c r="CK1403">
        <v>0</v>
      </c>
      <c r="CL1403">
        <v>0</v>
      </c>
      <c r="CM1403">
        <v>0</v>
      </c>
      <c r="CR1403" t="s">
        <v>2328</v>
      </c>
      <c r="CS1403" s="1369" t="str">
        <f>INDEX([8]Sheet1!$H:$H,MATCH(CR:CR,[8]Sheet1!$AU:$AU,0))</f>
        <v>Water Distribution</v>
      </c>
    </row>
    <row r="1404" spans="1:97" x14ac:dyDescent="0.2">
      <c r="A1404" t="s">
        <v>4477</v>
      </c>
      <c r="B1404">
        <v>1493</v>
      </c>
      <c r="C1404" t="s">
        <v>4477</v>
      </c>
      <c r="D1404">
        <v>51861</v>
      </c>
      <c r="E1404" t="s">
        <v>4478</v>
      </c>
      <c r="F1404">
        <v>1000</v>
      </c>
      <c r="G1404" t="s">
        <v>646</v>
      </c>
      <c r="H1404">
        <v>1000</v>
      </c>
      <c r="I1404" t="s">
        <v>646</v>
      </c>
      <c r="J1404" t="s">
        <v>2365</v>
      </c>
      <c r="K1404" t="s">
        <v>2365</v>
      </c>
      <c r="L1404">
        <v>1200</v>
      </c>
      <c r="M1404" t="s">
        <v>1480</v>
      </c>
      <c r="N1404">
        <v>1204</v>
      </c>
      <c r="O1404" t="s">
        <v>1487</v>
      </c>
      <c r="P1404" t="s">
        <v>2366</v>
      </c>
      <c r="Q1404" t="s">
        <v>2364</v>
      </c>
      <c r="R1404" t="s">
        <v>2364</v>
      </c>
      <c r="S1404" t="s">
        <v>553</v>
      </c>
      <c r="T1404" t="s">
        <v>1811</v>
      </c>
      <c r="U1404" t="s">
        <v>2365</v>
      </c>
      <c r="V1404" t="s">
        <v>2365</v>
      </c>
      <c r="W1404" t="s">
        <v>2365</v>
      </c>
      <c r="X1404" t="s">
        <v>2365</v>
      </c>
      <c r="Y1404" t="s">
        <v>2365</v>
      </c>
      <c r="Z1404" t="s">
        <v>2365</v>
      </c>
      <c r="AA1404" t="s">
        <v>2365</v>
      </c>
      <c r="AB1404" t="s">
        <v>2365</v>
      </c>
      <c r="AC1404" s="813" t="s">
        <v>2365</v>
      </c>
      <c r="AD1404" s="813" t="s">
        <v>2365</v>
      </c>
      <c r="AE1404" s="813" t="s">
        <v>2365</v>
      </c>
      <c r="AF1404" t="s">
        <v>2365</v>
      </c>
      <c r="AG1404" t="s">
        <v>2365</v>
      </c>
      <c r="AH1404" t="s">
        <v>2365</v>
      </c>
      <c r="AI1404" t="s">
        <v>2365</v>
      </c>
      <c r="AJ1404" t="s">
        <v>2365</v>
      </c>
      <c r="AK1404" t="s">
        <v>2365</v>
      </c>
      <c r="AL1404" t="s">
        <v>2365</v>
      </c>
      <c r="AM1404" t="s">
        <v>2365</v>
      </c>
      <c r="AN1404" t="s">
        <v>2365</v>
      </c>
      <c r="AR1404" t="s">
        <v>2365</v>
      </c>
      <c r="AS1404" t="s">
        <v>2365</v>
      </c>
      <c r="AT1404" t="s">
        <v>2365</v>
      </c>
      <c r="AU1404" t="s">
        <v>2365</v>
      </c>
      <c r="AV1404" t="s">
        <v>2365</v>
      </c>
      <c r="AW1404" t="s">
        <v>2365</v>
      </c>
      <c r="AX1404" t="s">
        <v>2365</v>
      </c>
      <c r="AY1404" t="s">
        <v>2365</v>
      </c>
      <c r="AZ1404" t="s">
        <v>2365</v>
      </c>
      <c r="BA1404" t="s">
        <v>2365</v>
      </c>
      <c r="BB1404" t="s">
        <v>2365</v>
      </c>
      <c r="BC1404" t="s">
        <v>2365</v>
      </c>
      <c r="BD1404" t="s">
        <v>2366</v>
      </c>
      <c r="BE1404" t="s">
        <v>2365</v>
      </c>
      <c r="BF1404" t="s">
        <v>2365</v>
      </c>
      <c r="BG1404" t="s">
        <v>2365</v>
      </c>
      <c r="BH1404" t="s">
        <v>2365</v>
      </c>
      <c r="BI1404" t="s">
        <v>2366</v>
      </c>
      <c r="BJ1404" t="s">
        <v>2365</v>
      </c>
      <c r="BK1404" t="s">
        <v>2365</v>
      </c>
      <c r="BL1404" t="s">
        <v>2365</v>
      </c>
      <c r="BM1404" t="s">
        <v>2365</v>
      </c>
      <c r="BO1404">
        <v>1</v>
      </c>
      <c r="BP1404">
        <v>11</v>
      </c>
      <c r="BQ1404" t="s">
        <v>2369</v>
      </c>
      <c r="BR1404" t="s">
        <v>1487</v>
      </c>
      <c r="BU1404">
        <v>0</v>
      </c>
      <c r="BV1404">
        <v>0</v>
      </c>
      <c r="BW1404">
        <v>0</v>
      </c>
      <c r="BX1404">
        <v>0</v>
      </c>
      <c r="BY1404">
        <v>0</v>
      </c>
      <c r="BZ1404">
        <v>0</v>
      </c>
      <c r="CA1404">
        <v>0</v>
      </c>
      <c r="CB1404">
        <v>0</v>
      </c>
      <c r="CC1404">
        <v>0</v>
      </c>
      <c r="CD1404">
        <v>0</v>
      </c>
      <c r="CE1404">
        <v>0</v>
      </c>
      <c r="CF1404">
        <v>0</v>
      </c>
      <c r="CG1404">
        <v>0</v>
      </c>
      <c r="CH1404">
        <v>0</v>
      </c>
      <c r="CI1404">
        <v>0</v>
      </c>
      <c r="CJ1404">
        <v>0</v>
      </c>
      <c r="CK1404">
        <v>0</v>
      </c>
      <c r="CL1404">
        <v>0</v>
      </c>
      <c r="CM1404">
        <v>0</v>
      </c>
      <c r="CR1404" t="s">
        <v>2333</v>
      </c>
      <c r="CS1404" s="1369" t="str">
        <f>INDEX([8]Sheet1!$H:$H,MATCH(CR:CR,[8]Sheet1!$AU:$AU,0))</f>
        <v>Municipal Manager, Town Secretary and Chief Executive</v>
      </c>
    </row>
    <row r="1405" spans="1:97" x14ac:dyDescent="0.2">
      <c r="A1405" t="s">
        <v>4479</v>
      </c>
      <c r="B1405">
        <v>1494</v>
      </c>
      <c r="C1405" t="s">
        <v>4479</v>
      </c>
      <c r="D1405">
        <v>40764</v>
      </c>
      <c r="E1405" t="s">
        <v>2600</v>
      </c>
      <c r="F1405">
        <v>2900</v>
      </c>
      <c r="G1405" t="s">
        <v>569</v>
      </c>
      <c r="H1405" t="s">
        <v>2366</v>
      </c>
      <c r="I1405" t="s">
        <v>2366</v>
      </c>
      <c r="J1405">
        <v>2904</v>
      </c>
      <c r="K1405" t="s">
        <v>1432</v>
      </c>
      <c r="L1405">
        <v>2100</v>
      </c>
      <c r="M1405" t="s">
        <v>618</v>
      </c>
      <c r="N1405">
        <v>2114</v>
      </c>
      <c r="O1405" t="s">
        <v>999</v>
      </c>
      <c r="P1405" t="s">
        <v>2366</v>
      </c>
      <c r="Q1405" t="s">
        <v>2364</v>
      </c>
      <c r="R1405" t="s">
        <v>2364</v>
      </c>
      <c r="S1405" t="s">
        <v>1881</v>
      </c>
      <c r="T1405" t="s">
        <v>1812</v>
      </c>
      <c r="U1405" t="s">
        <v>2365</v>
      </c>
      <c r="V1405" t="s">
        <v>2365</v>
      </c>
      <c r="W1405" t="s">
        <v>2365</v>
      </c>
      <c r="X1405" t="s">
        <v>2365</v>
      </c>
      <c r="Y1405" t="s">
        <v>2365</v>
      </c>
      <c r="Z1405" t="s">
        <v>2365</v>
      </c>
      <c r="AA1405" t="s">
        <v>2365</v>
      </c>
      <c r="AB1405" t="s">
        <v>2365</v>
      </c>
      <c r="AC1405" s="813" t="s">
        <v>2365</v>
      </c>
      <c r="AD1405" s="813" t="s">
        <v>2365</v>
      </c>
      <c r="AE1405" s="813" t="s">
        <v>2365</v>
      </c>
      <c r="AF1405" t="s">
        <v>2365</v>
      </c>
      <c r="AG1405" t="s">
        <v>2365</v>
      </c>
      <c r="AH1405" t="s">
        <v>2365</v>
      </c>
      <c r="AI1405" t="s">
        <v>2365</v>
      </c>
      <c r="AJ1405" t="s">
        <v>2365</v>
      </c>
      <c r="AK1405" t="s">
        <v>2365</v>
      </c>
      <c r="AL1405" t="s">
        <v>2365</v>
      </c>
      <c r="AM1405" t="s">
        <v>2365</v>
      </c>
      <c r="AN1405" t="s">
        <v>2365</v>
      </c>
      <c r="AR1405" t="s">
        <v>2365</v>
      </c>
      <c r="AS1405" t="s">
        <v>2365</v>
      </c>
      <c r="AT1405" t="s">
        <v>2365</v>
      </c>
      <c r="AU1405" t="s">
        <v>2365</v>
      </c>
      <c r="AV1405" t="s">
        <v>2365</v>
      </c>
      <c r="AW1405" t="s">
        <v>2365</v>
      </c>
      <c r="AX1405" t="s">
        <v>2365</v>
      </c>
      <c r="AY1405" t="s">
        <v>2365</v>
      </c>
      <c r="AZ1405" t="s">
        <v>2365</v>
      </c>
      <c r="BA1405" t="s">
        <v>2365</v>
      </c>
      <c r="BB1405" t="s">
        <v>2365</v>
      </c>
      <c r="BC1405" t="s">
        <v>2365</v>
      </c>
      <c r="BD1405" t="s">
        <v>2366</v>
      </c>
      <c r="BE1405" t="s">
        <v>2365</v>
      </c>
      <c r="BF1405" t="s">
        <v>2365</v>
      </c>
      <c r="BG1405" t="s">
        <v>2365</v>
      </c>
      <c r="BH1405" t="s">
        <v>2365</v>
      </c>
      <c r="BI1405" t="s">
        <v>2366</v>
      </c>
      <c r="BJ1405" t="s">
        <v>2365</v>
      </c>
      <c r="BK1405" t="s">
        <v>2365</v>
      </c>
      <c r="BL1405" t="s">
        <v>2365</v>
      </c>
      <c r="BM1405" t="s">
        <v>2365</v>
      </c>
      <c r="BO1405">
        <v>4</v>
      </c>
      <c r="BP1405">
        <v>42</v>
      </c>
      <c r="BQ1405" t="s">
        <v>2433</v>
      </c>
      <c r="BR1405" t="s">
        <v>999</v>
      </c>
      <c r="BU1405">
        <v>0</v>
      </c>
      <c r="BV1405">
        <v>0</v>
      </c>
      <c r="BW1405">
        <v>0</v>
      </c>
      <c r="BX1405">
        <v>0</v>
      </c>
      <c r="BY1405">
        <v>0</v>
      </c>
      <c r="BZ1405">
        <v>0</v>
      </c>
      <c r="CA1405">
        <v>0</v>
      </c>
      <c r="CB1405">
        <v>0</v>
      </c>
      <c r="CC1405">
        <v>0</v>
      </c>
      <c r="CD1405">
        <v>0</v>
      </c>
      <c r="CE1405">
        <v>0</v>
      </c>
      <c r="CF1405">
        <v>0</v>
      </c>
      <c r="CG1405">
        <v>0</v>
      </c>
      <c r="CH1405">
        <v>0</v>
      </c>
      <c r="CI1405">
        <v>0</v>
      </c>
      <c r="CJ1405">
        <v>0</v>
      </c>
      <c r="CK1405">
        <v>0</v>
      </c>
      <c r="CL1405">
        <v>0</v>
      </c>
      <c r="CM1405">
        <v>0</v>
      </c>
      <c r="CR1405" t="s">
        <v>2328</v>
      </c>
      <c r="CS1405" s="1369" t="str">
        <f>INDEX([8]Sheet1!$H:$H,MATCH(CR:CR,[8]Sheet1!$AU:$AU,0))</f>
        <v>Water Distribution</v>
      </c>
    </row>
    <row r="1406" spans="1:97" x14ac:dyDescent="0.2">
      <c r="A1406" t="s">
        <v>4480</v>
      </c>
      <c r="B1406">
        <v>1495</v>
      </c>
      <c r="C1406" t="s">
        <v>4480</v>
      </c>
      <c r="D1406">
        <v>51863</v>
      </c>
      <c r="E1406" t="s">
        <v>4481</v>
      </c>
      <c r="F1406" t="s">
        <v>2364</v>
      </c>
      <c r="G1406" t="s">
        <v>2364</v>
      </c>
      <c r="H1406" t="s">
        <v>2365</v>
      </c>
      <c r="I1406" t="s">
        <v>2365</v>
      </c>
      <c r="J1406" t="s">
        <v>2365</v>
      </c>
      <c r="K1406" t="s">
        <v>2365</v>
      </c>
      <c r="L1406">
        <v>1200</v>
      </c>
      <c r="M1406" t="s">
        <v>1480</v>
      </c>
      <c r="N1406">
        <v>1204</v>
      </c>
      <c r="O1406" t="s">
        <v>1487</v>
      </c>
      <c r="P1406" t="s">
        <v>2366</v>
      </c>
      <c r="Q1406">
        <v>2080</v>
      </c>
      <c r="R1406" t="s">
        <v>579</v>
      </c>
      <c r="S1406" t="s">
        <v>552</v>
      </c>
      <c r="T1406" t="s">
        <v>2175</v>
      </c>
      <c r="U1406">
        <v>220</v>
      </c>
      <c r="V1406" t="s">
        <v>4476</v>
      </c>
      <c r="W1406">
        <v>220</v>
      </c>
      <c r="X1406" t="s">
        <v>700</v>
      </c>
      <c r="Y1406" t="s">
        <v>2365</v>
      </c>
      <c r="Z1406" t="s">
        <v>2365</v>
      </c>
      <c r="AA1406" t="s">
        <v>2365</v>
      </c>
      <c r="AB1406" t="s">
        <v>2365</v>
      </c>
      <c r="AC1406" s="813" t="s">
        <v>2365</v>
      </c>
      <c r="AD1406" s="813" t="s">
        <v>2365</v>
      </c>
      <c r="AE1406" s="813" t="s">
        <v>2365</v>
      </c>
      <c r="AF1406" t="s">
        <v>2365</v>
      </c>
      <c r="AG1406">
        <v>1110</v>
      </c>
      <c r="AH1406" t="s">
        <v>768</v>
      </c>
      <c r="AI1406">
        <v>1110</v>
      </c>
      <c r="AJ1406" t="s">
        <v>768</v>
      </c>
      <c r="AK1406" t="s">
        <v>2365</v>
      </c>
      <c r="AL1406" t="s">
        <v>2365</v>
      </c>
      <c r="AM1406" t="s">
        <v>2365</v>
      </c>
      <c r="AN1406" t="s">
        <v>2365</v>
      </c>
      <c r="AR1406" t="s">
        <v>2365</v>
      </c>
      <c r="AS1406" t="s">
        <v>2365</v>
      </c>
      <c r="AT1406" t="s">
        <v>2365</v>
      </c>
      <c r="AU1406" t="s">
        <v>2365</v>
      </c>
      <c r="AV1406" t="s">
        <v>2365</v>
      </c>
      <c r="AW1406" t="s">
        <v>2365</v>
      </c>
      <c r="AX1406" t="s">
        <v>2365</v>
      </c>
      <c r="AY1406" t="s">
        <v>2365</v>
      </c>
      <c r="AZ1406" t="s">
        <v>2365</v>
      </c>
      <c r="BA1406" t="s">
        <v>2365</v>
      </c>
      <c r="BB1406" t="s">
        <v>2365</v>
      </c>
      <c r="BC1406" t="s">
        <v>2365</v>
      </c>
      <c r="BD1406" t="s">
        <v>2366</v>
      </c>
      <c r="BE1406" t="s">
        <v>2365</v>
      </c>
      <c r="BF1406" t="s">
        <v>2365</v>
      </c>
      <c r="BG1406" t="s">
        <v>2365</v>
      </c>
      <c r="BH1406" t="s">
        <v>2365</v>
      </c>
      <c r="BI1406" t="s">
        <v>2366</v>
      </c>
      <c r="BJ1406">
        <v>1130</v>
      </c>
      <c r="BK1406" t="s">
        <v>1648</v>
      </c>
      <c r="BL1406">
        <v>1130</v>
      </c>
      <c r="BM1406" t="s">
        <v>1648</v>
      </c>
      <c r="BO1406">
        <v>1</v>
      </c>
      <c r="BP1406">
        <v>11</v>
      </c>
      <c r="BQ1406" t="s">
        <v>2369</v>
      </c>
      <c r="BR1406" t="s">
        <v>1487</v>
      </c>
      <c r="BU1406">
        <v>0</v>
      </c>
      <c r="BV1406">
        <v>0</v>
      </c>
      <c r="BW1406">
        <v>0</v>
      </c>
      <c r="BX1406">
        <v>0</v>
      </c>
      <c r="BY1406">
        <v>0</v>
      </c>
      <c r="BZ1406">
        <v>0</v>
      </c>
      <c r="CA1406">
        <v>0</v>
      </c>
      <c r="CB1406">
        <v>0</v>
      </c>
      <c r="CC1406">
        <v>0</v>
      </c>
      <c r="CD1406">
        <v>0</v>
      </c>
      <c r="CE1406">
        <v>0</v>
      </c>
      <c r="CF1406">
        <v>0</v>
      </c>
      <c r="CG1406">
        <v>0</v>
      </c>
      <c r="CH1406">
        <v>0</v>
      </c>
      <c r="CI1406">
        <v>0</v>
      </c>
      <c r="CJ1406">
        <v>0</v>
      </c>
      <c r="CK1406">
        <v>0</v>
      </c>
      <c r="CL1406">
        <v>0</v>
      </c>
      <c r="CM1406">
        <v>0</v>
      </c>
      <c r="CR1406" t="s">
        <v>2333</v>
      </c>
      <c r="CS1406" s="1369" t="str">
        <f>INDEX([8]Sheet1!$H:$H,MATCH(CR:CR,[8]Sheet1!$AU:$AU,0))</f>
        <v>Municipal Manager, Town Secretary and Chief Executive</v>
      </c>
    </row>
    <row r="1407" spans="1:97" x14ac:dyDescent="0.2">
      <c r="A1407" t="s">
        <v>4482</v>
      </c>
      <c r="B1407">
        <v>1496</v>
      </c>
      <c r="C1407" t="s">
        <v>4482</v>
      </c>
      <c r="D1407">
        <v>30573</v>
      </c>
      <c r="E1407" t="s">
        <v>3262</v>
      </c>
      <c r="F1407">
        <v>2700</v>
      </c>
      <c r="G1407" t="s">
        <v>656</v>
      </c>
      <c r="H1407" s="1373" t="s">
        <v>2664</v>
      </c>
      <c r="I1407" t="s">
        <v>1801</v>
      </c>
      <c r="J1407">
        <v>2702</v>
      </c>
      <c r="K1407" t="s">
        <v>1801</v>
      </c>
      <c r="L1407" s="1373">
        <v>1200</v>
      </c>
      <c r="M1407" t="s">
        <v>1480</v>
      </c>
      <c r="N1407">
        <v>1210</v>
      </c>
      <c r="O1407" t="s">
        <v>998</v>
      </c>
      <c r="P1407" t="s">
        <v>2366</v>
      </c>
      <c r="Q1407" t="s">
        <v>2364</v>
      </c>
      <c r="R1407" t="s">
        <v>2364</v>
      </c>
      <c r="S1407" t="s">
        <v>1881</v>
      </c>
      <c r="T1407" t="s">
        <v>1812</v>
      </c>
      <c r="U1407" t="s">
        <v>2365</v>
      </c>
      <c r="V1407" t="s">
        <v>2365</v>
      </c>
      <c r="W1407" t="s">
        <v>2365</v>
      </c>
      <c r="X1407" t="s">
        <v>2365</v>
      </c>
      <c r="Y1407" t="s">
        <v>2365</v>
      </c>
      <c r="Z1407" t="s">
        <v>2365</v>
      </c>
      <c r="AA1407" t="s">
        <v>2365</v>
      </c>
      <c r="AB1407" t="s">
        <v>2365</v>
      </c>
      <c r="AC1407" s="813" t="s">
        <v>2365</v>
      </c>
      <c r="AD1407" s="813" t="s">
        <v>2365</v>
      </c>
      <c r="AE1407" s="813" t="s">
        <v>2365</v>
      </c>
      <c r="AF1407" t="s">
        <v>2365</v>
      </c>
      <c r="AG1407" t="s">
        <v>2365</v>
      </c>
      <c r="AH1407" t="s">
        <v>2365</v>
      </c>
      <c r="AI1407" t="s">
        <v>2365</v>
      </c>
      <c r="AJ1407" t="s">
        <v>2365</v>
      </c>
      <c r="AK1407" t="s">
        <v>2365</v>
      </c>
      <c r="AL1407" t="s">
        <v>2365</v>
      </c>
      <c r="AM1407" t="s">
        <v>2365</v>
      </c>
      <c r="AN1407" t="s">
        <v>2365</v>
      </c>
      <c r="AR1407" t="s">
        <v>2365</v>
      </c>
      <c r="AS1407" t="s">
        <v>2365</v>
      </c>
      <c r="AT1407" t="s">
        <v>2365</v>
      </c>
      <c r="AU1407" t="s">
        <v>2365</v>
      </c>
      <c r="AV1407" t="s">
        <v>2365</v>
      </c>
      <c r="AW1407" t="s">
        <v>2365</v>
      </c>
      <c r="AX1407" t="s">
        <v>2365</v>
      </c>
      <c r="AY1407" t="s">
        <v>2365</v>
      </c>
      <c r="AZ1407" t="s">
        <v>2365</v>
      </c>
      <c r="BA1407" t="s">
        <v>2365</v>
      </c>
      <c r="BB1407" t="s">
        <v>2365</v>
      </c>
      <c r="BC1407" t="s">
        <v>2365</v>
      </c>
      <c r="BD1407" t="s">
        <v>2366</v>
      </c>
      <c r="BE1407" t="s">
        <v>2365</v>
      </c>
      <c r="BF1407" t="s">
        <v>2365</v>
      </c>
      <c r="BG1407" t="s">
        <v>2365</v>
      </c>
      <c r="BH1407" t="s">
        <v>2365</v>
      </c>
      <c r="BI1407" t="s">
        <v>2366</v>
      </c>
      <c r="BJ1407" t="s">
        <v>2365</v>
      </c>
      <c r="BK1407" t="s">
        <v>2365</v>
      </c>
      <c r="BL1407" t="s">
        <v>2365</v>
      </c>
      <c r="BM1407" t="s">
        <v>2365</v>
      </c>
      <c r="BO1407">
        <v>1</v>
      </c>
      <c r="BP1407">
        <v>16</v>
      </c>
      <c r="BQ1407" t="s">
        <v>2369</v>
      </c>
      <c r="BR1407" t="s">
        <v>998</v>
      </c>
      <c r="BU1407" s="1371">
        <v>0</v>
      </c>
      <c r="BV1407" s="1371">
        <v>0</v>
      </c>
      <c r="BW1407" s="1371">
        <v>0</v>
      </c>
      <c r="BX1407" s="1371">
        <v>0</v>
      </c>
      <c r="BY1407" s="1371">
        <v>0</v>
      </c>
      <c r="BZ1407">
        <v>0</v>
      </c>
      <c r="CA1407">
        <v>0</v>
      </c>
      <c r="CB1407">
        <v>0</v>
      </c>
      <c r="CC1407">
        <v>0</v>
      </c>
      <c r="CD1407">
        <v>0</v>
      </c>
      <c r="CE1407">
        <v>0</v>
      </c>
      <c r="CF1407">
        <v>0</v>
      </c>
      <c r="CG1407">
        <v>0</v>
      </c>
      <c r="CH1407">
        <v>0</v>
      </c>
      <c r="CI1407">
        <v>0</v>
      </c>
      <c r="CJ1407">
        <v>0</v>
      </c>
      <c r="CK1407">
        <v>0</v>
      </c>
      <c r="CL1407">
        <v>0</v>
      </c>
      <c r="CM1407">
        <v>0</v>
      </c>
      <c r="CR1407" t="s">
        <v>2324</v>
      </c>
      <c r="CS1407" s="1369" t="str">
        <f>INDEX([8]Sheet1!$H:$H,MATCH(CR:CR,[8]Sheet1!$AU:$AU,0))</f>
        <v>Finance</v>
      </c>
    </row>
    <row r="1408" spans="1:97" x14ac:dyDescent="0.2">
      <c r="A1408" t="s">
        <v>4483</v>
      </c>
      <c r="B1408">
        <v>1497</v>
      </c>
      <c r="C1408" t="s">
        <v>4483</v>
      </c>
      <c r="D1408">
        <v>51864</v>
      </c>
      <c r="E1408" t="s">
        <v>4484</v>
      </c>
      <c r="F1408">
        <v>2700</v>
      </c>
      <c r="G1408" t="s">
        <v>656</v>
      </c>
      <c r="H1408" t="s">
        <v>2664</v>
      </c>
      <c r="I1408" t="s">
        <v>1801</v>
      </c>
      <c r="J1408">
        <v>2702</v>
      </c>
      <c r="K1408" t="s">
        <v>1801</v>
      </c>
      <c r="L1408">
        <v>1200</v>
      </c>
      <c r="M1408" t="s">
        <v>1480</v>
      </c>
      <c r="N1408">
        <v>1206</v>
      </c>
      <c r="O1408" t="s">
        <v>996</v>
      </c>
      <c r="P1408" t="s">
        <v>2366</v>
      </c>
      <c r="Q1408" t="s">
        <v>2364</v>
      </c>
      <c r="R1408" t="s">
        <v>2364</v>
      </c>
      <c r="S1408" t="s">
        <v>1881</v>
      </c>
      <c r="T1408" t="s">
        <v>1812</v>
      </c>
      <c r="U1408" t="s">
        <v>2365</v>
      </c>
      <c r="V1408" t="s">
        <v>2365</v>
      </c>
      <c r="W1408" t="s">
        <v>2365</v>
      </c>
      <c r="X1408" t="s">
        <v>2365</v>
      </c>
      <c r="Y1408" t="s">
        <v>2365</v>
      </c>
      <c r="Z1408" t="s">
        <v>2365</v>
      </c>
      <c r="AA1408" t="s">
        <v>2365</v>
      </c>
      <c r="AB1408" t="s">
        <v>2365</v>
      </c>
      <c r="AC1408" s="813" t="s">
        <v>2365</v>
      </c>
      <c r="AD1408" s="813" t="s">
        <v>2365</v>
      </c>
      <c r="AE1408" s="813" t="s">
        <v>2365</v>
      </c>
      <c r="AF1408" t="s">
        <v>2365</v>
      </c>
      <c r="AG1408" t="s">
        <v>2365</v>
      </c>
      <c r="AH1408" t="s">
        <v>2365</v>
      </c>
      <c r="AI1408" t="s">
        <v>2365</v>
      </c>
      <c r="AJ1408" t="s">
        <v>2365</v>
      </c>
      <c r="AK1408" t="s">
        <v>2365</v>
      </c>
      <c r="AL1408" t="s">
        <v>2365</v>
      </c>
      <c r="AM1408" t="s">
        <v>2365</v>
      </c>
      <c r="AN1408" t="s">
        <v>2365</v>
      </c>
      <c r="AR1408" t="s">
        <v>2365</v>
      </c>
      <c r="AS1408" t="s">
        <v>2365</v>
      </c>
      <c r="AT1408" t="s">
        <v>2365</v>
      </c>
      <c r="AU1408" t="s">
        <v>2365</v>
      </c>
      <c r="AV1408" t="s">
        <v>2365</v>
      </c>
      <c r="AW1408" t="s">
        <v>2365</v>
      </c>
      <c r="AX1408" t="s">
        <v>2365</v>
      </c>
      <c r="AY1408" t="s">
        <v>2365</v>
      </c>
      <c r="AZ1408" t="s">
        <v>2365</v>
      </c>
      <c r="BA1408" t="s">
        <v>2365</v>
      </c>
      <c r="BB1408" t="s">
        <v>2365</v>
      </c>
      <c r="BC1408" t="s">
        <v>2365</v>
      </c>
      <c r="BD1408" t="s">
        <v>2366</v>
      </c>
      <c r="BE1408" t="s">
        <v>2365</v>
      </c>
      <c r="BF1408" t="s">
        <v>2365</v>
      </c>
      <c r="BG1408" t="s">
        <v>2365</v>
      </c>
      <c r="BH1408" t="s">
        <v>2365</v>
      </c>
      <c r="BI1408" t="s">
        <v>2366</v>
      </c>
      <c r="BJ1408" t="s">
        <v>2365</v>
      </c>
      <c r="BK1408" t="s">
        <v>2365</v>
      </c>
      <c r="BL1408" t="s">
        <v>2365</v>
      </c>
      <c r="BM1408" t="s">
        <v>2365</v>
      </c>
      <c r="BO1408">
        <v>1</v>
      </c>
      <c r="BP1408">
        <v>15</v>
      </c>
      <c r="BQ1408" t="s">
        <v>2369</v>
      </c>
      <c r="BR1408" t="s">
        <v>996</v>
      </c>
      <c r="BU1408">
        <v>50000</v>
      </c>
      <c r="BV1408">
        <v>0</v>
      </c>
      <c r="BW1408">
        <v>50000</v>
      </c>
      <c r="BX1408">
        <v>-20000</v>
      </c>
      <c r="BY1408">
        <v>30000</v>
      </c>
      <c r="BZ1408">
        <v>53000</v>
      </c>
      <c r="CA1408">
        <v>56180</v>
      </c>
      <c r="CB1408">
        <v>0</v>
      </c>
      <c r="CC1408">
        <v>4090</v>
      </c>
      <c r="CD1408">
        <v>0</v>
      </c>
      <c r="CE1408">
        <v>0</v>
      </c>
      <c r="CF1408">
        <v>10624.17</v>
      </c>
      <c r="CG1408">
        <v>0</v>
      </c>
      <c r="CH1408">
        <v>950</v>
      </c>
      <c r="CI1408">
        <v>0</v>
      </c>
      <c r="CJ1408">
        <v>0</v>
      </c>
      <c r="CK1408">
        <v>0</v>
      </c>
      <c r="CL1408">
        <v>0</v>
      </c>
      <c r="CM1408">
        <v>0</v>
      </c>
      <c r="CR1408" t="s">
        <v>2320</v>
      </c>
      <c r="CS1408" s="1369" t="str">
        <f>INDEX([8]Sheet1!$H:$H,MATCH(CR:CR,[8]Sheet1!$AU:$AU,0))</f>
        <v>Administrative and Corporate Support</v>
      </c>
    </row>
    <row r="1409" spans="1:97" x14ac:dyDescent="0.2">
      <c r="A1409" t="s">
        <v>4485</v>
      </c>
      <c r="B1409">
        <v>1498</v>
      </c>
      <c r="C1409" t="s">
        <v>4485</v>
      </c>
      <c r="D1409">
        <v>51865</v>
      </c>
      <c r="E1409" t="s">
        <v>2430</v>
      </c>
      <c r="F1409">
        <v>2700</v>
      </c>
      <c r="G1409" t="s">
        <v>656</v>
      </c>
      <c r="H1409" s="1373" t="s">
        <v>2428</v>
      </c>
      <c r="I1409" t="s">
        <v>1800</v>
      </c>
      <c r="J1409">
        <v>2701</v>
      </c>
      <c r="K1409" t="s">
        <v>1800</v>
      </c>
      <c r="L1409" s="1373">
        <v>1200</v>
      </c>
      <c r="M1409" t="s">
        <v>1480</v>
      </c>
      <c r="N1409">
        <v>1201</v>
      </c>
      <c r="O1409" t="s">
        <v>1486</v>
      </c>
      <c r="P1409" t="s">
        <v>2366</v>
      </c>
      <c r="Q1409" t="s">
        <v>2364</v>
      </c>
      <c r="R1409" t="s">
        <v>2364</v>
      </c>
      <c r="S1409" t="s">
        <v>1881</v>
      </c>
      <c r="T1409" t="s">
        <v>1812</v>
      </c>
      <c r="U1409" t="s">
        <v>2365</v>
      </c>
      <c r="V1409" t="s">
        <v>2365</v>
      </c>
      <c r="W1409" t="s">
        <v>2365</v>
      </c>
      <c r="X1409" t="s">
        <v>2365</v>
      </c>
      <c r="Y1409" t="s">
        <v>2365</v>
      </c>
      <c r="Z1409" t="s">
        <v>2365</v>
      </c>
      <c r="AA1409" t="s">
        <v>2365</v>
      </c>
      <c r="AB1409" t="s">
        <v>2365</v>
      </c>
      <c r="AC1409" s="813" t="s">
        <v>2365</v>
      </c>
      <c r="AD1409" s="813" t="s">
        <v>2365</v>
      </c>
      <c r="AE1409" s="813" t="s">
        <v>2365</v>
      </c>
      <c r="AF1409" t="s">
        <v>2365</v>
      </c>
      <c r="AG1409" t="s">
        <v>2365</v>
      </c>
      <c r="AH1409" t="s">
        <v>2365</v>
      </c>
      <c r="AI1409" t="s">
        <v>2365</v>
      </c>
      <c r="AJ1409" t="s">
        <v>2365</v>
      </c>
      <c r="AK1409" t="s">
        <v>2365</v>
      </c>
      <c r="AL1409" t="s">
        <v>2365</v>
      </c>
      <c r="AM1409" t="s">
        <v>2365</v>
      </c>
      <c r="AN1409" t="s">
        <v>2365</v>
      </c>
      <c r="AR1409" t="s">
        <v>2365</v>
      </c>
      <c r="AS1409" t="s">
        <v>2365</v>
      </c>
      <c r="AT1409" t="s">
        <v>2365</v>
      </c>
      <c r="AU1409" t="s">
        <v>2365</v>
      </c>
      <c r="AV1409" t="s">
        <v>2365</v>
      </c>
      <c r="AW1409" t="s">
        <v>2365</v>
      </c>
      <c r="AX1409" t="s">
        <v>2365</v>
      </c>
      <c r="AY1409" t="s">
        <v>2365</v>
      </c>
      <c r="AZ1409" t="s">
        <v>2365</v>
      </c>
      <c r="BA1409" t="s">
        <v>2365</v>
      </c>
      <c r="BB1409" t="s">
        <v>2365</v>
      </c>
      <c r="BC1409" t="s">
        <v>2365</v>
      </c>
      <c r="BD1409" t="s">
        <v>2366</v>
      </c>
      <c r="BE1409" t="s">
        <v>2365</v>
      </c>
      <c r="BF1409" t="s">
        <v>2365</v>
      </c>
      <c r="BG1409" t="s">
        <v>2365</v>
      </c>
      <c r="BH1409" t="s">
        <v>2365</v>
      </c>
      <c r="BI1409" t="s">
        <v>2366</v>
      </c>
      <c r="BJ1409" t="s">
        <v>2365</v>
      </c>
      <c r="BK1409" t="s">
        <v>2365</v>
      </c>
      <c r="BL1409" t="s">
        <v>2365</v>
      </c>
      <c r="BM1409" t="s">
        <v>2365</v>
      </c>
      <c r="BO1409">
        <v>1</v>
      </c>
      <c r="BP1409">
        <v>14</v>
      </c>
      <c r="BQ1409" t="s">
        <v>2369</v>
      </c>
      <c r="BR1409" t="s">
        <v>1486</v>
      </c>
      <c r="BU1409" s="1371">
        <v>0</v>
      </c>
      <c r="BV1409" s="1371">
        <v>0</v>
      </c>
      <c r="BW1409" s="1371">
        <v>0</v>
      </c>
      <c r="BX1409" s="1371">
        <v>0</v>
      </c>
      <c r="BY1409" s="1371">
        <v>0</v>
      </c>
      <c r="BZ1409">
        <v>0</v>
      </c>
      <c r="CA1409">
        <v>0</v>
      </c>
      <c r="CB1409">
        <v>0</v>
      </c>
      <c r="CC1409">
        <v>0</v>
      </c>
      <c r="CD1409">
        <v>0</v>
      </c>
      <c r="CE1409">
        <v>0</v>
      </c>
      <c r="CF1409">
        <v>0</v>
      </c>
      <c r="CG1409">
        <v>0</v>
      </c>
      <c r="CH1409">
        <v>0</v>
      </c>
      <c r="CI1409">
        <v>0</v>
      </c>
      <c r="CJ1409">
        <v>0</v>
      </c>
      <c r="CK1409">
        <v>0</v>
      </c>
      <c r="CL1409">
        <v>0</v>
      </c>
      <c r="CM1409">
        <v>0</v>
      </c>
      <c r="CR1409" t="s">
        <v>2320</v>
      </c>
      <c r="CS1409" s="1369" t="str">
        <f>INDEX([8]Sheet1!$H:$H,MATCH(CR:CR,[8]Sheet1!$AU:$AU,0))</f>
        <v>Administrative and Corporate Support</v>
      </c>
    </row>
    <row r="1410" spans="1:97" x14ac:dyDescent="0.2">
      <c r="A1410" t="s">
        <v>4486</v>
      </c>
      <c r="B1410">
        <v>1499</v>
      </c>
      <c r="C1410" t="s">
        <v>4486</v>
      </c>
      <c r="D1410">
        <v>51866</v>
      </c>
      <c r="E1410" t="s">
        <v>2508</v>
      </c>
      <c r="F1410">
        <v>2900</v>
      </c>
      <c r="G1410" t="s">
        <v>569</v>
      </c>
      <c r="H1410" t="s">
        <v>2366</v>
      </c>
      <c r="I1410" t="s">
        <v>2366</v>
      </c>
      <c r="J1410">
        <v>2904</v>
      </c>
      <c r="K1410" t="s">
        <v>1432</v>
      </c>
      <c r="L1410">
        <v>1200</v>
      </c>
      <c r="M1410" t="s">
        <v>1480</v>
      </c>
      <c r="N1410">
        <v>1201</v>
      </c>
      <c r="O1410" t="s">
        <v>1486</v>
      </c>
      <c r="P1410" t="s">
        <v>2366</v>
      </c>
      <c r="Q1410" t="s">
        <v>2364</v>
      </c>
      <c r="R1410" t="s">
        <v>2364</v>
      </c>
      <c r="S1410" t="s">
        <v>1881</v>
      </c>
      <c r="T1410" t="s">
        <v>1812</v>
      </c>
      <c r="U1410" t="s">
        <v>2365</v>
      </c>
      <c r="V1410" t="s">
        <v>2365</v>
      </c>
      <c r="W1410" t="s">
        <v>2365</v>
      </c>
      <c r="X1410" t="s">
        <v>2365</v>
      </c>
      <c r="Y1410" t="s">
        <v>2365</v>
      </c>
      <c r="Z1410" t="s">
        <v>2365</v>
      </c>
      <c r="AA1410" t="s">
        <v>2365</v>
      </c>
      <c r="AB1410" t="s">
        <v>2365</v>
      </c>
      <c r="AC1410" s="813" t="s">
        <v>2365</v>
      </c>
      <c r="AD1410" s="813" t="s">
        <v>2365</v>
      </c>
      <c r="AE1410" s="813" t="s">
        <v>2365</v>
      </c>
      <c r="AF1410" t="s">
        <v>2365</v>
      </c>
      <c r="AG1410" t="s">
        <v>2365</v>
      </c>
      <c r="AH1410" t="s">
        <v>2365</v>
      </c>
      <c r="AI1410" t="s">
        <v>2365</v>
      </c>
      <c r="AJ1410" t="s">
        <v>2365</v>
      </c>
      <c r="AK1410" t="s">
        <v>2365</v>
      </c>
      <c r="AL1410" t="s">
        <v>2365</v>
      </c>
      <c r="AM1410" t="s">
        <v>2365</v>
      </c>
      <c r="AN1410" t="s">
        <v>2365</v>
      </c>
      <c r="AR1410" t="s">
        <v>2365</v>
      </c>
      <c r="AS1410" t="s">
        <v>2365</v>
      </c>
      <c r="AT1410" t="s">
        <v>2365</v>
      </c>
      <c r="AU1410" t="s">
        <v>2365</v>
      </c>
      <c r="AV1410" t="s">
        <v>2365</v>
      </c>
      <c r="AW1410" t="s">
        <v>2365</v>
      </c>
      <c r="AX1410" t="s">
        <v>2365</v>
      </c>
      <c r="AY1410" t="s">
        <v>2365</v>
      </c>
      <c r="AZ1410" t="s">
        <v>2365</v>
      </c>
      <c r="BA1410" t="s">
        <v>2365</v>
      </c>
      <c r="BB1410" t="s">
        <v>2365</v>
      </c>
      <c r="BC1410" t="s">
        <v>2365</v>
      </c>
      <c r="BD1410" t="s">
        <v>2366</v>
      </c>
      <c r="BE1410" t="s">
        <v>2365</v>
      </c>
      <c r="BF1410" t="s">
        <v>2365</v>
      </c>
      <c r="BG1410" t="s">
        <v>2365</v>
      </c>
      <c r="BH1410" t="s">
        <v>2365</v>
      </c>
      <c r="BI1410" t="s">
        <v>2366</v>
      </c>
      <c r="BJ1410" t="s">
        <v>2365</v>
      </c>
      <c r="BK1410" t="s">
        <v>2365</v>
      </c>
      <c r="BL1410" t="s">
        <v>2365</v>
      </c>
      <c r="BM1410" t="s">
        <v>2365</v>
      </c>
      <c r="BO1410">
        <v>1</v>
      </c>
      <c r="BP1410">
        <v>14</v>
      </c>
      <c r="BQ1410" t="s">
        <v>2369</v>
      </c>
      <c r="BR1410" t="s">
        <v>1486</v>
      </c>
      <c r="BU1410">
        <v>0</v>
      </c>
      <c r="BV1410">
        <v>0</v>
      </c>
      <c r="BW1410">
        <v>0</v>
      </c>
      <c r="BX1410">
        <v>0</v>
      </c>
      <c r="BY1410">
        <v>0</v>
      </c>
      <c r="BZ1410">
        <v>0</v>
      </c>
      <c r="CA1410">
        <v>0</v>
      </c>
      <c r="CB1410">
        <v>0</v>
      </c>
      <c r="CC1410">
        <v>0</v>
      </c>
      <c r="CD1410">
        <v>0</v>
      </c>
      <c r="CE1410">
        <v>0</v>
      </c>
      <c r="CF1410">
        <v>0</v>
      </c>
      <c r="CG1410">
        <v>0</v>
      </c>
      <c r="CH1410">
        <v>0</v>
      </c>
      <c r="CI1410">
        <v>0</v>
      </c>
      <c r="CJ1410">
        <v>0</v>
      </c>
      <c r="CK1410">
        <v>0</v>
      </c>
      <c r="CL1410">
        <v>0</v>
      </c>
      <c r="CM1410">
        <v>0</v>
      </c>
      <c r="CR1410" t="s">
        <v>2324</v>
      </c>
      <c r="CS1410" s="1369" t="str">
        <f>INDEX([8]Sheet1!$H:$H,MATCH(CR:CR,[8]Sheet1!$AU:$AU,0))</f>
        <v>Finance</v>
      </c>
    </row>
    <row r="1411" spans="1:97" x14ac:dyDescent="0.2">
      <c r="A1411" t="s">
        <v>4487</v>
      </c>
      <c r="B1411">
        <v>1500</v>
      </c>
      <c r="C1411" t="s">
        <v>4487</v>
      </c>
      <c r="D1411">
        <v>51867</v>
      </c>
      <c r="E1411" t="s">
        <v>2493</v>
      </c>
      <c r="F1411">
        <v>2900</v>
      </c>
      <c r="G1411" t="s">
        <v>569</v>
      </c>
      <c r="H1411" t="s">
        <v>2366</v>
      </c>
      <c r="I1411" t="s">
        <v>2366</v>
      </c>
      <c r="J1411">
        <v>2904</v>
      </c>
      <c r="K1411" t="s">
        <v>1432</v>
      </c>
      <c r="L1411">
        <v>1200</v>
      </c>
      <c r="M1411" t="s">
        <v>1480</v>
      </c>
      <c r="N1411">
        <v>1201</v>
      </c>
      <c r="O1411" t="s">
        <v>1486</v>
      </c>
      <c r="P1411" t="s">
        <v>2366</v>
      </c>
      <c r="Q1411" t="s">
        <v>2364</v>
      </c>
      <c r="R1411" t="s">
        <v>2364</v>
      </c>
      <c r="S1411" t="s">
        <v>1881</v>
      </c>
      <c r="T1411" t="s">
        <v>1812</v>
      </c>
      <c r="U1411" t="s">
        <v>2365</v>
      </c>
      <c r="V1411" t="s">
        <v>2365</v>
      </c>
      <c r="W1411" t="s">
        <v>2365</v>
      </c>
      <c r="X1411" t="s">
        <v>2365</v>
      </c>
      <c r="Y1411" t="s">
        <v>2365</v>
      </c>
      <c r="Z1411" t="s">
        <v>2365</v>
      </c>
      <c r="AA1411" t="s">
        <v>2365</v>
      </c>
      <c r="AB1411" t="s">
        <v>2365</v>
      </c>
      <c r="AC1411" s="813" t="s">
        <v>2365</v>
      </c>
      <c r="AD1411" s="813" t="s">
        <v>2365</v>
      </c>
      <c r="AE1411" s="813" t="s">
        <v>2365</v>
      </c>
      <c r="AF1411" t="s">
        <v>2365</v>
      </c>
      <c r="AG1411" t="s">
        <v>2365</v>
      </c>
      <c r="AH1411" t="s">
        <v>2365</v>
      </c>
      <c r="AI1411" t="s">
        <v>2365</v>
      </c>
      <c r="AJ1411" t="s">
        <v>2365</v>
      </c>
      <c r="AK1411" t="s">
        <v>2365</v>
      </c>
      <c r="AL1411" t="s">
        <v>2365</v>
      </c>
      <c r="AM1411" t="s">
        <v>2365</v>
      </c>
      <c r="AN1411" t="s">
        <v>2365</v>
      </c>
      <c r="AR1411" t="s">
        <v>2365</v>
      </c>
      <c r="AS1411" t="s">
        <v>2365</v>
      </c>
      <c r="AT1411" t="s">
        <v>2365</v>
      </c>
      <c r="AU1411" t="s">
        <v>2365</v>
      </c>
      <c r="AV1411" t="s">
        <v>2365</v>
      </c>
      <c r="AW1411" t="s">
        <v>2365</v>
      </c>
      <c r="AX1411" t="s">
        <v>2365</v>
      </c>
      <c r="AY1411" t="s">
        <v>2365</v>
      </c>
      <c r="AZ1411" t="s">
        <v>2365</v>
      </c>
      <c r="BA1411" t="s">
        <v>2365</v>
      </c>
      <c r="BB1411" t="s">
        <v>2365</v>
      </c>
      <c r="BC1411" t="s">
        <v>2365</v>
      </c>
      <c r="BD1411" t="s">
        <v>2366</v>
      </c>
      <c r="BE1411" t="s">
        <v>2365</v>
      </c>
      <c r="BF1411" t="s">
        <v>2365</v>
      </c>
      <c r="BG1411" t="s">
        <v>2365</v>
      </c>
      <c r="BH1411" t="s">
        <v>2365</v>
      </c>
      <c r="BI1411" t="s">
        <v>2366</v>
      </c>
      <c r="BJ1411" t="s">
        <v>2365</v>
      </c>
      <c r="BK1411" t="s">
        <v>2365</v>
      </c>
      <c r="BL1411" t="s">
        <v>2365</v>
      </c>
      <c r="BM1411" t="s">
        <v>2365</v>
      </c>
      <c r="BO1411">
        <v>1</v>
      </c>
      <c r="BP1411">
        <v>14</v>
      </c>
      <c r="BQ1411" t="s">
        <v>2369</v>
      </c>
      <c r="BR1411" t="s">
        <v>1486</v>
      </c>
      <c r="BU1411">
        <v>0</v>
      </c>
      <c r="BV1411">
        <v>0</v>
      </c>
      <c r="BW1411">
        <v>0</v>
      </c>
      <c r="BX1411">
        <v>0</v>
      </c>
      <c r="BY1411">
        <v>0</v>
      </c>
      <c r="BZ1411">
        <v>0</v>
      </c>
      <c r="CA1411">
        <v>0</v>
      </c>
      <c r="CB1411">
        <v>0</v>
      </c>
      <c r="CC1411">
        <v>0</v>
      </c>
      <c r="CD1411">
        <v>0</v>
      </c>
      <c r="CE1411">
        <v>0</v>
      </c>
      <c r="CF1411">
        <v>0</v>
      </c>
      <c r="CG1411">
        <v>0</v>
      </c>
      <c r="CH1411">
        <v>0</v>
      </c>
      <c r="CI1411">
        <v>0</v>
      </c>
      <c r="CJ1411">
        <v>0</v>
      </c>
      <c r="CK1411">
        <v>0</v>
      </c>
      <c r="CL1411">
        <v>0</v>
      </c>
      <c r="CM1411">
        <v>0</v>
      </c>
      <c r="CR1411" t="s">
        <v>2319</v>
      </c>
      <c r="CS1411" s="1369" t="str">
        <f>INDEX([8]Sheet1!$H:$H,MATCH(CR:CR,[8]Sheet1!$AU:$AU,0))</f>
        <v>Mayor and Council</v>
      </c>
    </row>
    <row r="1412" spans="1:97" x14ac:dyDescent="0.2">
      <c r="A1412" t="s">
        <v>4488</v>
      </c>
      <c r="B1412">
        <v>1501</v>
      </c>
      <c r="C1412" t="s">
        <v>4488</v>
      </c>
      <c r="D1412">
        <v>51868</v>
      </c>
      <c r="E1412" t="s">
        <v>2499</v>
      </c>
      <c r="F1412">
        <v>2900</v>
      </c>
      <c r="G1412" t="s">
        <v>569</v>
      </c>
      <c r="H1412" t="s">
        <v>2366</v>
      </c>
      <c r="I1412" t="s">
        <v>2366</v>
      </c>
      <c r="J1412">
        <v>2904</v>
      </c>
      <c r="K1412" t="s">
        <v>1432</v>
      </c>
      <c r="L1412">
        <v>1200</v>
      </c>
      <c r="M1412" t="s">
        <v>1480</v>
      </c>
      <c r="N1412">
        <v>1201</v>
      </c>
      <c r="O1412" t="s">
        <v>1486</v>
      </c>
      <c r="P1412" t="s">
        <v>2366</v>
      </c>
      <c r="Q1412" t="s">
        <v>2364</v>
      </c>
      <c r="R1412" t="s">
        <v>2364</v>
      </c>
      <c r="S1412" t="s">
        <v>1881</v>
      </c>
      <c r="T1412" t="s">
        <v>1812</v>
      </c>
      <c r="U1412" t="s">
        <v>2365</v>
      </c>
      <c r="V1412" t="s">
        <v>2365</v>
      </c>
      <c r="W1412" t="s">
        <v>2365</v>
      </c>
      <c r="X1412" t="s">
        <v>2365</v>
      </c>
      <c r="Y1412" t="s">
        <v>2365</v>
      </c>
      <c r="Z1412" t="s">
        <v>2365</v>
      </c>
      <c r="AA1412" t="s">
        <v>2365</v>
      </c>
      <c r="AB1412" t="s">
        <v>2365</v>
      </c>
      <c r="AC1412" s="813" t="s">
        <v>2365</v>
      </c>
      <c r="AD1412" s="813" t="s">
        <v>2365</v>
      </c>
      <c r="AE1412" s="813" t="s">
        <v>2365</v>
      </c>
      <c r="AF1412" t="s">
        <v>2365</v>
      </c>
      <c r="AG1412" t="s">
        <v>2365</v>
      </c>
      <c r="AH1412" t="s">
        <v>2365</v>
      </c>
      <c r="AI1412" t="s">
        <v>2365</v>
      </c>
      <c r="AJ1412" t="s">
        <v>2365</v>
      </c>
      <c r="AK1412" t="s">
        <v>2365</v>
      </c>
      <c r="AL1412" t="s">
        <v>2365</v>
      </c>
      <c r="AM1412" t="s">
        <v>2365</v>
      </c>
      <c r="AN1412" t="s">
        <v>2365</v>
      </c>
      <c r="AR1412" t="s">
        <v>2365</v>
      </c>
      <c r="AS1412" t="s">
        <v>2365</v>
      </c>
      <c r="AT1412" t="s">
        <v>2365</v>
      </c>
      <c r="AU1412" t="s">
        <v>2365</v>
      </c>
      <c r="AV1412" t="s">
        <v>2365</v>
      </c>
      <c r="AW1412" t="s">
        <v>2365</v>
      </c>
      <c r="AX1412" t="s">
        <v>2365</v>
      </c>
      <c r="AY1412" t="s">
        <v>2365</v>
      </c>
      <c r="AZ1412" t="s">
        <v>2365</v>
      </c>
      <c r="BA1412" t="s">
        <v>2365</v>
      </c>
      <c r="BB1412" t="s">
        <v>2365</v>
      </c>
      <c r="BC1412" t="s">
        <v>2365</v>
      </c>
      <c r="BD1412" t="s">
        <v>2366</v>
      </c>
      <c r="BE1412" t="s">
        <v>2365</v>
      </c>
      <c r="BF1412" t="s">
        <v>2365</v>
      </c>
      <c r="BG1412" t="s">
        <v>2365</v>
      </c>
      <c r="BH1412" t="s">
        <v>2365</v>
      </c>
      <c r="BI1412" t="s">
        <v>2366</v>
      </c>
      <c r="BJ1412" t="s">
        <v>2365</v>
      </c>
      <c r="BK1412" t="s">
        <v>2365</v>
      </c>
      <c r="BL1412" t="s">
        <v>2365</v>
      </c>
      <c r="BM1412" t="s">
        <v>2365</v>
      </c>
      <c r="BO1412">
        <v>1</v>
      </c>
      <c r="BP1412">
        <v>14</v>
      </c>
      <c r="BQ1412" t="s">
        <v>2369</v>
      </c>
      <c r="BR1412" t="s">
        <v>1486</v>
      </c>
      <c r="BU1412">
        <v>0</v>
      </c>
      <c r="BV1412">
        <v>0</v>
      </c>
      <c r="BW1412">
        <v>0</v>
      </c>
      <c r="BX1412">
        <v>0</v>
      </c>
      <c r="BY1412">
        <v>0</v>
      </c>
      <c r="BZ1412">
        <v>0</v>
      </c>
      <c r="CA1412">
        <v>0</v>
      </c>
      <c r="CB1412">
        <v>0</v>
      </c>
      <c r="CC1412">
        <v>0</v>
      </c>
      <c r="CD1412">
        <v>0</v>
      </c>
      <c r="CE1412">
        <v>0</v>
      </c>
      <c r="CF1412">
        <v>0</v>
      </c>
      <c r="CG1412">
        <v>0</v>
      </c>
      <c r="CH1412">
        <v>0</v>
      </c>
      <c r="CI1412">
        <v>0</v>
      </c>
      <c r="CJ1412">
        <v>0</v>
      </c>
      <c r="CK1412">
        <v>0</v>
      </c>
      <c r="CL1412">
        <v>0</v>
      </c>
      <c r="CM1412">
        <v>0</v>
      </c>
      <c r="CR1412" t="s">
        <v>2319</v>
      </c>
      <c r="CS1412" s="1369" t="str">
        <f>INDEX([8]Sheet1!$H:$H,MATCH(CR:CR,[8]Sheet1!$AU:$AU,0))</f>
        <v>Mayor and Council</v>
      </c>
    </row>
    <row r="1413" spans="1:97" x14ac:dyDescent="0.2">
      <c r="A1413" t="s">
        <v>4489</v>
      </c>
      <c r="B1413">
        <v>1502</v>
      </c>
      <c r="C1413" t="s">
        <v>4489</v>
      </c>
      <c r="D1413">
        <v>51869</v>
      </c>
      <c r="E1413" t="s">
        <v>2681</v>
      </c>
      <c r="F1413">
        <v>2700</v>
      </c>
      <c r="G1413" t="s">
        <v>656</v>
      </c>
      <c r="H1413" s="1373" t="s">
        <v>2478</v>
      </c>
      <c r="I1413" t="s">
        <v>1802</v>
      </c>
      <c r="J1413">
        <v>2703</v>
      </c>
      <c r="K1413" t="s">
        <v>1802</v>
      </c>
      <c r="L1413" s="1373">
        <v>3100</v>
      </c>
      <c r="M1413" t="s">
        <v>624</v>
      </c>
      <c r="N1413">
        <v>3107</v>
      </c>
      <c r="O1413" t="s">
        <v>1536</v>
      </c>
      <c r="P1413" t="s">
        <v>2366</v>
      </c>
      <c r="Q1413" t="s">
        <v>2364</v>
      </c>
      <c r="R1413" t="s">
        <v>2364</v>
      </c>
      <c r="S1413" t="s">
        <v>1881</v>
      </c>
      <c r="T1413" t="s">
        <v>1812</v>
      </c>
      <c r="U1413" t="s">
        <v>2365</v>
      </c>
      <c r="V1413" t="s">
        <v>2365</v>
      </c>
      <c r="W1413" t="s">
        <v>2365</v>
      </c>
      <c r="X1413" t="s">
        <v>2365</v>
      </c>
      <c r="Y1413" t="s">
        <v>2365</v>
      </c>
      <c r="Z1413" t="s">
        <v>2365</v>
      </c>
      <c r="AA1413" t="s">
        <v>2365</v>
      </c>
      <c r="AB1413" t="s">
        <v>2365</v>
      </c>
      <c r="AC1413" s="813" t="s">
        <v>2365</v>
      </c>
      <c r="AD1413" s="813" t="s">
        <v>2365</v>
      </c>
      <c r="AE1413" s="813" t="s">
        <v>2365</v>
      </c>
      <c r="AF1413" t="s">
        <v>2365</v>
      </c>
      <c r="AG1413" t="s">
        <v>2365</v>
      </c>
      <c r="AH1413" t="s">
        <v>2365</v>
      </c>
      <c r="AI1413" t="s">
        <v>2365</v>
      </c>
      <c r="AJ1413" t="s">
        <v>2365</v>
      </c>
      <c r="AK1413" t="s">
        <v>2365</v>
      </c>
      <c r="AL1413" t="s">
        <v>2365</v>
      </c>
      <c r="AM1413" t="s">
        <v>2365</v>
      </c>
      <c r="AN1413" t="s">
        <v>2365</v>
      </c>
      <c r="AR1413" t="s">
        <v>2365</v>
      </c>
      <c r="AS1413" t="s">
        <v>2365</v>
      </c>
      <c r="AT1413" t="s">
        <v>2365</v>
      </c>
      <c r="AU1413" t="s">
        <v>2365</v>
      </c>
      <c r="AV1413" t="s">
        <v>2365</v>
      </c>
      <c r="AW1413" t="s">
        <v>2365</v>
      </c>
      <c r="AX1413" t="s">
        <v>2365</v>
      </c>
      <c r="AY1413" t="s">
        <v>2365</v>
      </c>
      <c r="AZ1413">
        <v>1200</v>
      </c>
      <c r="BA1413" t="s">
        <v>1652</v>
      </c>
      <c r="BB1413">
        <v>1200</v>
      </c>
      <c r="BC1413" t="s">
        <v>1652</v>
      </c>
      <c r="BD1413" t="s">
        <v>1906</v>
      </c>
      <c r="BE1413" t="s">
        <v>2365</v>
      </c>
      <c r="BF1413" t="s">
        <v>2365</v>
      </c>
      <c r="BG1413" t="s">
        <v>2365</v>
      </c>
      <c r="BH1413" t="s">
        <v>2365</v>
      </c>
      <c r="BI1413" t="s">
        <v>2366</v>
      </c>
      <c r="BJ1413" t="s">
        <v>2365</v>
      </c>
      <c r="BK1413" t="s">
        <v>2365</v>
      </c>
      <c r="BL1413" t="s">
        <v>2365</v>
      </c>
      <c r="BM1413" t="s">
        <v>2365</v>
      </c>
      <c r="BO1413">
        <v>8</v>
      </c>
      <c r="BP1413">
        <v>81</v>
      </c>
      <c r="BQ1413" t="s">
        <v>2442</v>
      </c>
      <c r="BR1413" t="s">
        <v>1536</v>
      </c>
      <c r="BU1413" s="1371">
        <v>0</v>
      </c>
      <c r="BV1413" s="1371">
        <v>0</v>
      </c>
      <c r="BW1413" s="1371">
        <v>0</v>
      </c>
      <c r="BX1413" s="1371">
        <v>0</v>
      </c>
      <c r="BY1413" s="1371">
        <v>0</v>
      </c>
      <c r="BZ1413">
        <v>0</v>
      </c>
      <c r="CA1413">
        <v>0</v>
      </c>
      <c r="CB1413">
        <v>0</v>
      </c>
      <c r="CC1413">
        <v>0</v>
      </c>
      <c r="CD1413">
        <v>0</v>
      </c>
      <c r="CE1413">
        <v>0</v>
      </c>
      <c r="CF1413">
        <v>0</v>
      </c>
      <c r="CG1413">
        <v>0</v>
      </c>
      <c r="CH1413">
        <v>0</v>
      </c>
      <c r="CI1413">
        <v>0</v>
      </c>
      <c r="CJ1413">
        <v>0</v>
      </c>
      <c r="CK1413">
        <v>0</v>
      </c>
      <c r="CL1413">
        <v>0</v>
      </c>
      <c r="CM1413">
        <v>0</v>
      </c>
      <c r="CR1413" t="s">
        <v>2319</v>
      </c>
      <c r="CS1413" s="1369" t="str">
        <f>INDEX([8]Sheet1!$H:$H,MATCH(CR:CR,[8]Sheet1!$AU:$AU,0))</f>
        <v>Mayor and Council</v>
      </c>
    </row>
    <row r="1414" spans="1:97" x14ac:dyDescent="0.2">
      <c r="A1414" t="s">
        <v>4490</v>
      </c>
      <c r="B1414">
        <v>1503</v>
      </c>
      <c r="C1414" t="s">
        <v>4490</v>
      </c>
      <c r="D1414">
        <v>51870</v>
      </c>
      <c r="E1414" t="s">
        <v>4430</v>
      </c>
      <c r="F1414">
        <v>2900</v>
      </c>
      <c r="G1414" t="s">
        <v>569</v>
      </c>
      <c r="H1414" t="s">
        <v>2366</v>
      </c>
      <c r="I1414" t="s">
        <v>2366</v>
      </c>
      <c r="J1414">
        <v>2904</v>
      </c>
      <c r="K1414" t="s">
        <v>1432</v>
      </c>
      <c r="L1414">
        <v>1200</v>
      </c>
      <c r="M1414" t="s">
        <v>1480</v>
      </c>
      <c r="N1414">
        <v>1204</v>
      </c>
      <c r="O1414" t="s">
        <v>1487</v>
      </c>
      <c r="P1414" t="s">
        <v>2366</v>
      </c>
      <c r="Q1414" t="s">
        <v>2364</v>
      </c>
      <c r="R1414" t="s">
        <v>2364</v>
      </c>
      <c r="S1414" t="s">
        <v>1881</v>
      </c>
      <c r="T1414" t="s">
        <v>1812</v>
      </c>
      <c r="U1414" t="s">
        <v>2365</v>
      </c>
      <c r="V1414" t="s">
        <v>2365</v>
      </c>
      <c r="W1414" t="s">
        <v>2365</v>
      </c>
      <c r="X1414" t="s">
        <v>2365</v>
      </c>
      <c r="Y1414" t="s">
        <v>2365</v>
      </c>
      <c r="Z1414" t="s">
        <v>2365</v>
      </c>
      <c r="AA1414" t="s">
        <v>2365</v>
      </c>
      <c r="AB1414" t="s">
        <v>2365</v>
      </c>
      <c r="AC1414" s="813" t="s">
        <v>2365</v>
      </c>
      <c r="AD1414" s="813" t="s">
        <v>2365</v>
      </c>
      <c r="AE1414" s="813" t="s">
        <v>2365</v>
      </c>
      <c r="AF1414" t="s">
        <v>2365</v>
      </c>
      <c r="AG1414" t="s">
        <v>2365</v>
      </c>
      <c r="AH1414" t="s">
        <v>2365</v>
      </c>
      <c r="AI1414" t="s">
        <v>2365</v>
      </c>
      <c r="AJ1414" t="s">
        <v>2365</v>
      </c>
      <c r="AK1414" t="s">
        <v>2365</v>
      </c>
      <c r="AL1414" t="s">
        <v>2365</v>
      </c>
      <c r="AM1414" t="s">
        <v>2365</v>
      </c>
      <c r="AN1414" t="s">
        <v>2365</v>
      </c>
      <c r="AR1414" t="s">
        <v>2365</v>
      </c>
      <c r="AS1414" t="s">
        <v>2365</v>
      </c>
      <c r="AT1414" t="s">
        <v>2365</v>
      </c>
      <c r="AU1414" t="s">
        <v>2365</v>
      </c>
      <c r="AV1414" t="s">
        <v>2365</v>
      </c>
      <c r="AW1414" t="s">
        <v>2365</v>
      </c>
      <c r="AX1414" t="s">
        <v>2365</v>
      </c>
      <c r="AY1414" t="s">
        <v>2365</v>
      </c>
      <c r="AZ1414" t="s">
        <v>2365</v>
      </c>
      <c r="BA1414" t="s">
        <v>2365</v>
      </c>
      <c r="BB1414" t="s">
        <v>2365</v>
      </c>
      <c r="BC1414" t="s">
        <v>2365</v>
      </c>
      <c r="BD1414" t="s">
        <v>2366</v>
      </c>
      <c r="BE1414" t="s">
        <v>2365</v>
      </c>
      <c r="BF1414" t="s">
        <v>2365</v>
      </c>
      <c r="BG1414" t="s">
        <v>2365</v>
      </c>
      <c r="BH1414" t="s">
        <v>2365</v>
      </c>
      <c r="BI1414" t="s">
        <v>2366</v>
      </c>
      <c r="BJ1414" t="s">
        <v>2365</v>
      </c>
      <c r="BK1414" t="s">
        <v>2365</v>
      </c>
      <c r="BL1414" t="s">
        <v>2365</v>
      </c>
      <c r="BM1414" t="s">
        <v>2365</v>
      </c>
      <c r="BO1414">
        <v>1</v>
      </c>
      <c r="BP1414">
        <v>11</v>
      </c>
      <c r="BQ1414" t="s">
        <v>2369</v>
      </c>
      <c r="BR1414" t="s">
        <v>1487</v>
      </c>
      <c r="BU1414">
        <v>70276</v>
      </c>
      <c r="BV1414">
        <v>0</v>
      </c>
      <c r="BW1414">
        <v>70276</v>
      </c>
      <c r="BX1414">
        <v>0</v>
      </c>
      <c r="BY1414">
        <v>70276</v>
      </c>
      <c r="BZ1414">
        <v>77304</v>
      </c>
      <c r="CA1414">
        <v>85034</v>
      </c>
      <c r="CB1414">
        <v>0</v>
      </c>
      <c r="CC1414">
        <v>53988.44</v>
      </c>
      <c r="CD1414">
        <v>0</v>
      </c>
      <c r="CE1414">
        <v>15406.74</v>
      </c>
      <c r="CF1414">
        <v>0</v>
      </c>
      <c r="CG1414">
        <v>108602.3</v>
      </c>
      <c r="CH1414">
        <v>20245.48</v>
      </c>
      <c r="CI1414">
        <v>123306.85</v>
      </c>
      <c r="CJ1414">
        <v>0</v>
      </c>
      <c r="CK1414">
        <v>0</v>
      </c>
      <c r="CL1414">
        <v>0</v>
      </c>
      <c r="CM1414">
        <v>0</v>
      </c>
      <c r="CR1414" t="s">
        <v>2319</v>
      </c>
      <c r="CS1414" s="1369" t="str">
        <f>INDEX([8]Sheet1!$H:$H,MATCH(CR:CR,[8]Sheet1!$AU:$AU,0))</f>
        <v>Mayor and Council</v>
      </c>
    </row>
    <row r="1415" spans="1:97" x14ac:dyDescent="0.2">
      <c r="A1415" t="s">
        <v>4491</v>
      </c>
      <c r="B1415">
        <v>1504</v>
      </c>
      <c r="C1415" t="s">
        <v>4491</v>
      </c>
      <c r="D1415">
        <v>51871</v>
      </c>
      <c r="E1415" t="s">
        <v>3340</v>
      </c>
      <c r="F1415">
        <v>2900</v>
      </c>
      <c r="G1415" t="s">
        <v>569</v>
      </c>
      <c r="H1415" t="s">
        <v>2366</v>
      </c>
      <c r="I1415" t="s">
        <v>2366</v>
      </c>
      <c r="J1415">
        <v>2904</v>
      </c>
      <c r="K1415" t="s">
        <v>1432</v>
      </c>
      <c r="L1415">
        <v>1200</v>
      </c>
      <c r="M1415" t="s">
        <v>1480</v>
      </c>
      <c r="N1415">
        <v>1204</v>
      </c>
      <c r="O1415" t="s">
        <v>1487</v>
      </c>
      <c r="P1415" t="s">
        <v>2366</v>
      </c>
      <c r="Q1415" t="s">
        <v>2364</v>
      </c>
      <c r="R1415" t="s">
        <v>2364</v>
      </c>
      <c r="S1415" t="s">
        <v>1881</v>
      </c>
      <c r="T1415" t="s">
        <v>1812</v>
      </c>
      <c r="U1415" t="s">
        <v>2365</v>
      </c>
      <c r="V1415" t="s">
        <v>2365</v>
      </c>
      <c r="W1415" t="s">
        <v>2365</v>
      </c>
      <c r="X1415" t="s">
        <v>2365</v>
      </c>
      <c r="Y1415" t="s">
        <v>2365</v>
      </c>
      <c r="Z1415" t="s">
        <v>2365</v>
      </c>
      <c r="AA1415" t="s">
        <v>2365</v>
      </c>
      <c r="AB1415" t="s">
        <v>2365</v>
      </c>
      <c r="AC1415" s="813" t="s">
        <v>2365</v>
      </c>
      <c r="AD1415" s="813" t="s">
        <v>2365</v>
      </c>
      <c r="AE1415" s="813" t="s">
        <v>2365</v>
      </c>
      <c r="AF1415" t="s">
        <v>2365</v>
      </c>
      <c r="AG1415" t="s">
        <v>2365</v>
      </c>
      <c r="AH1415" t="s">
        <v>2365</v>
      </c>
      <c r="AI1415" t="s">
        <v>2365</v>
      </c>
      <c r="AJ1415" t="s">
        <v>2365</v>
      </c>
      <c r="AK1415" t="s">
        <v>2365</v>
      </c>
      <c r="AL1415" t="s">
        <v>2365</v>
      </c>
      <c r="AM1415" t="s">
        <v>2365</v>
      </c>
      <c r="AN1415" t="s">
        <v>2365</v>
      </c>
      <c r="AR1415" t="s">
        <v>2365</v>
      </c>
      <c r="AS1415" t="s">
        <v>2365</v>
      </c>
      <c r="AT1415" t="s">
        <v>2365</v>
      </c>
      <c r="AU1415" t="s">
        <v>2365</v>
      </c>
      <c r="AV1415" t="s">
        <v>2365</v>
      </c>
      <c r="AW1415" t="s">
        <v>2365</v>
      </c>
      <c r="AX1415" t="s">
        <v>2365</v>
      </c>
      <c r="AY1415" t="s">
        <v>2365</v>
      </c>
      <c r="AZ1415" t="s">
        <v>2365</v>
      </c>
      <c r="BA1415" t="s">
        <v>2365</v>
      </c>
      <c r="BB1415" t="s">
        <v>2365</v>
      </c>
      <c r="BC1415" t="s">
        <v>2365</v>
      </c>
      <c r="BD1415" t="s">
        <v>2366</v>
      </c>
      <c r="BE1415" t="s">
        <v>2365</v>
      </c>
      <c r="BF1415" t="s">
        <v>2365</v>
      </c>
      <c r="BG1415" t="s">
        <v>2365</v>
      </c>
      <c r="BH1415" t="s">
        <v>2365</v>
      </c>
      <c r="BI1415" t="s">
        <v>2366</v>
      </c>
      <c r="BJ1415" t="s">
        <v>2365</v>
      </c>
      <c r="BK1415" t="s">
        <v>2365</v>
      </c>
      <c r="BL1415" t="s">
        <v>2365</v>
      </c>
      <c r="BM1415" t="s">
        <v>2365</v>
      </c>
      <c r="BO1415">
        <v>1</v>
      </c>
      <c r="BP1415">
        <v>11</v>
      </c>
      <c r="BQ1415" t="s">
        <v>2369</v>
      </c>
      <c r="BR1415" t="s">
        <v>1487</v>
      </c>
      <c r="BU1415">
        <v>170335</v>
      </c>
      <c r="BV1415">
        <v>0</v>
      </c>
      <c r="BW1415">
        <v>170335</v>
      </c>
      <c r="BX1415">
        <v>0</v>
      </c>
      <c r="BY1415">
        <v>170335</v>
      </c>
      <c r="BZ1415">
        <v>187369</v>
      </c>
      <c r="CA1415">
        <v>206105</v>
      </c>
      <c r="CB1415">
        <v>0</v>
      </c>
      <c r="CC1415">
        <v>4017.5</v>
      </c>
      <c r="CD1415">
        <v>66277.03</v>
      </c>
      <c r="CE1415">
        <v>0</v>
      </c>
      <c r="CF1415">
        <v>0</v>
      </c>
      <c r="CG1415">
        <v>13555.78</v>
      </c>
      <c r="CH1415">
        <v>0</v>
      </c>
      <c r="CI1415">
        <v>0</v>
      </c>
      <c r="CJ1415">
        <v>0</v>
      </c>
      <c r="CK1415">
        <v>0</v>
      </c>
      <c r="CL1415">
        <v>0</v>
      </c>
      <c r="CM1415">
        <v>0</v>
      </c>
      <c r="CR1415" t="s">
        <v>2319</v>
      </c>
      <c r="CS1415" s="1369" t="str">
        <f>INDEX([8]Sheet1!$H:$H,MATCH(CR:CR,[8]Sheet1!$AU:$AU,0))</f>
        <v>Mayor and Council</v>
      </c>
    </row>
    <row r="1416" spans="1:97" x14ac:dyDescent="0.2">
      <c r="A1416" t="s">
        <v>4492</v>
      </c>
      <c r="B1416">
        <v>1505</v>
      </c>
      <c r="C1416" t="s">
        <v>4492</v>
      </c>
      <c r="D1416">
        <v>51872</v>
      </c>
      <c r="E1416" t="s">
        <v>2516</v>
      </c>
      <c r="F1416">
        <v>2900</v>
      </c>
      <c r="G1416" t="s">
        <v>569</v>
      </c>
      <c r="H1416" t="s">
        <v>2366</v>
      </c>
      <c r="I1416" t="s">
        <v>2366</v>
      </c>
      <c r="J1416">
        <v>2904</v>
      </c>
      <c r="K1416" t="s">
        <v>1432</v>
      </c>
      <c r="L1416">
        <v>1200</v>
      </c>
      <c r="M1416" t="s">
        <v>1480</v>
      </c>
      <c r="N1416">
        <v>1204</v>
      </c>
      <c r="O1416" t="s">
        <v>1487</v>
      </c>
      <c r="P1416" t="s">
        <v>2366</v>
      </c>
      <c r="Q1416" t="s">
        <v>2364</v>
      </c>
      <c r="R1416" t="s">
        <v>2364</v>
      </c>
      <c r="S1416" t="s">
        <v>1881</v>
      </c>
      <c r="T1416" t="s">
        <v>1812</v>
      </c>
      <c r="U1416" t="s">
        <v>2365</v>
      </c>
      <c r="V1416" t="s">
        <v>2365</v>
      </c>
      <c r="W1416" t="s">
        <v>2365</v>
      </c>
      <c r="X1416" t="s">
        <v>2365</v>
      </c>
      <c r="Y1416" t="s">
        <v>2365</v>
      </c>
      <c r="Z1416" t="s">
        <v>2365</v>
      </c>
      <c r="AA1416" t="s">
        <v>2365</v>
      </c>
      <c r="AB1416" t="s">
        <v>2365</v>
      </c>
      <c r="AC1416" s="813" t="s">
        <v>2365</v>
      </c>
      <c r="AD1416" s="813" t="s">
        <v>2365</v>
      </c>
      <c r="AE1416" s="813" t="s">
        <v>2365</v>
      </c>
      <c r="AF1416" t="s">
        <v>2365</v>
      </c>
      <c r="AG1416" t="s">
        <v>2365</v>
      </c>
      <c r="AH1416" t="s">
        <v>2365</v>
      </c>
      <c r="AI1416" t="s">
        <v>2365</v>
      </c>
      <c r="AJ1416" t="s">
        <v>2365</v>
      </c>
      <c r="AK1416" t="s">
        <v>2365</v>
      </c>
      <c r="AL1416" t="s">
        <v>2365</v>
      </c>
      <c r="AM1416" t="s">
        <v>2365</v>
      </c>
      <c r="AN1416" t="s">
        <v>2365</v>
      </c>
      <c r="AR1416" t="s">
        <v>2365</v>
      </c>
      <c r="AS1416" t="s">
        <v>2365</v>
      </c>
      <c r="AT1416" t="s">
        <v>2365</v>
      </c>
      <c r="AU1416" t="s">
        <v>2365</v>
      </c>
      <c r="AV1416" t="s">
        <v>2365</v>
      </c>
      <c r="AW1416" t="s">
        <v>2365</v>
      </c>
      <c r="AX1416" t="s">
        <v>2365</v>
      </c>
      <c r="AY1416" t="s">
        <v>2365</v>
      </c>
      <c r="AZ1416" t="s">
        <v>2365</v>
      </c>
      <c r="BA1416" t="s">
        <v>2365</v>
      </c>
      <c r="BB1416" t="s">
        <v>2365</v>
      </c>
      <c r="BC1416" t="s">
        <v>2365</v>
      </c>
      <c r="BD1416" t="s">
        <v>2366</v>
      </c>
      <c r="BE1416" t="s">
        <v>2365</v>
      </c>
      <c r="BF1416" t="s">
        <v>2365</v>
      </c>
      <c r="BG1416" t="s">
        <v>2365</v>
      </c>
      <c r="BH1416" t="s">
        <v>2365</v>
      </c>
      <c r="BI1416" t="s">
        <v>2366</v>
      </c>
      <c r="BJ1416" t="s">
        <v>2365</v>
      </c>
      <c r="BK1416" t="s">
        <v>2365</v>
      </c>
      <c r="BL1416" t="s">
        <v>2365</v>
      </c>
      <c r="BM1416" t="s">
        <v>2365</v>
      </c>
      <c r="BO1416">
        <v>1</v>
      </c>
      <c r="BP1416">
        <v>11</v>
      </c>
      <c r="BQ1416" t="s">
        <v>2369</v>
      </c>
      <c r="BR1416" t="s">
        <v>1487</v>
      </c>
      <c r="BU1416">
        <v>52250</v>
      </c>
      <c r="BV1416">
        <v>0</v>
      </c>
      <c r="BW1416">
        <v>52250</v>
      </c>
      <c r="BX1416">
        <v>0</v>
      </c>
      <c r="BY1416">
        <v>52250</v>
      </c>
      <c r="BZ1416">
        <v>57475</v>
      </c>
      <c r="CA1416">
        <v>63223</v>
      </c>
      <c r="CB1416">
        <v>2008.75</v>
      </c>
      <c r="CC1416">
        <v>0</v>
      </c>
      <c r="CD1416">
        <v>0</v>
      </c>
      <c r="CE1416">
        <v>0</v>
      </c>
      <c r="CF1416">
        <v>0</v>
      </c>
      <c r="CG1416">
        <v>0</v>
      </c>
      <c r="CH1416">
        <v>0</v>
      </c>
      <c r="CI1416">
        <v>0</v>
      </c>
      <c r="CJ1416">
        <v>0</v>
      </c>
      <c r="CK1416">
        <v>0</v>
      </c>
      <c r="CL1416">
        <v>0</v>
      </c>
      <c r="CM1416">
        <v>0</v>
      </c>
      <c r="CR1416" t="s">
        <v>2319</v>
      </c>
      <c r="CS1416" s="1369" t="str">
        <f>INDEX([8]Sheet1!$H:$H,MATCH(CR:CR,[8]Sheet1!$AU:$AU,0))</f>
        <v>Mayor and Council</v>
      </c>
    </row>
    <row r="1417" spans="1:97" x14ac:dyDescent="0.2">
      <c r="A1417" t="s">
        <v>4493</v>
      </c>
      <c r="B1417">
        <v>1506</v>
      </c>
      <c r="C1417" t="s">
        <v>4493</v>
      </c>
      <c r="D1417">
        <v>51873</v>
      </c>
      <c r="E1417" t="s">
        <v>2493</v>
      </c>
      <c r="F1417">
        <v>2900</v>
      </c>
      <c r="G1417" t="s">
        <v>569</v>
      </c>
      <c r="H1417" s="1373" t="s">
        <v>2366</v>
      </c>
      <c r="I1417" t="s">
        <v>2366</v>
      </c>
      <c r="J1417">
        <v>2904</v>
      </c>
      <c r="K1417" t="s">
        <v>1432</v>
      </c>
      <c r="L1417" s="1373">
        <v>1200</v>
      </c>
      <c r="M1417" t="s">
        <v>1480</v>
      </c>
      <c r="N1417">
        <v>1201</v>
      </c>
      <c r="O1417" t="s">
        <v>1486</v>
      </c>
      <c r="P1417" t="s">
        <v>2366</v>
      </c>
      <c r="Q1417" t="s">
        <v>2364</v>
      </c>
      <c r="R1417" t="s">
        <v>2364</v>
      </c>
      <c r="S1417" t="s">
        <v>1881</v>
      </c>
      <c r="T1417" t="s">
        <v>1812</v>
      </c>
      <c r="U1417" t="s">
        <v>2365</v>
      </c>
      <c r="V1417" t="s">
        <v>2365</v>
      </c>
      <c r="W1417" t="s">
        <v>2365</v>
      </c>
      <c r="X1417" t="s">
        <v>2365</v>
      </c>
      <c r="Y1417" t="s">
        <v>2365</v>
      </c>
      <c r="Z1417" t="s">
        <v>2365</v>
      </c>
      <c r="AA1417" t="s">
        <v>2365</v>
      </c>
      <c r="AB1417" t="s">
        <v>2365</v>
      </c>
      <c r="AC1417" s="813" t="s">
        <v>2365</v>
      </c>
      <c r="AD1417" s="813" t="s">
        <v>2365</v>
      </c>
      <c r="AE1417" s="813" t="s">
        <v>2365</v>
      </c>
      <c r="AF1417" t="s">
        <v>2365</v>
      </c>
      <c r="AG1417" t="s">
        <v>2365</v>
      </c>
      <c r="AH1417" t="s">
        <v>2365</v>
      </c>
      <c r="AI1417" t="s">
        <v>2365</v>
      </c>
      <c r="AJ1417" t="s">
        <v>2365</v>
      </c>
      <c r="AK1417" t="s">
        <v>2365</v>
      </c>
      <c r="AL1417" t="s">
        <v>2365</v>
      </c>
      <c r="AM1417" t="s">
        <v>2365</v>
      </c>
      <c r="AN1417" t="s">
        <v>2365</v>
      </c>
      <c r="AR1417" t="s">
        <v>2365</v>
      </c>
      <c r="AS1417" t="s">
        <v>2365</v>
      </c>
      <c r="AT1417" t="s">
        <v>2365</v>
      </c>
      <c r="AU1417" t="s">
        <v>2365</v>
      </c>
      <c r="AV1417" t="s">
        <v>2365</v>
      </c>
      <c r="AW1417" t="s">
        <v>2365</v>
      </c>
      <c r="AX1417" t="s">
        <v>2365</v>
      </c>
      <c r="AY1417" t="s">
        <v>2365</v>
      </c>
      <c r="AZ1417" t="s">
        <v>2365</v>
      </c>
      <c r="BA1417" t="s">
        <v>2365</v>
      </c>
      <c r="BB1417" t="s">
        <v>2365</v>
      </c>
      <c r="BC1417" t="s">
        <v>2365</v>
      </c>
      <c r="BD1417" t="s">
        <v>2366</v>
      </c>
      <c r="BE1417" t="s">
        <v>2365</v>
      </c>
      <c r="BF1417" t="s">
        <v>2365</v>
      </c>
      <c r="BG1417" t="s">
        <v>2365</v>
      </c>
      <c r="BH1417" t="s">
        <v>2365</v>
      </c>
      <c r="BI1417" t="s">
        <v>2366</v>
      </c>
      <c r="BJ1417" t="s">
        <v>2365</v>
      </c>
      <c r="BK1417" t="s">
        <v>2365</v>
      </c>
      <c r="BL1417" t="s">
        <v>2365</v>
      </c>
      <c r="BM1417" t="s">
        <v>2365</v>
      </c>
      <c r="BO1417">
        <v>1</v>
      </c>
      <c r="BP1417">
        <v>14</v>
      </c>
      <c r="BQ1417" t="s">
        <v>2369</v>
      </c>
      <c r="BR1417" t="s">
        <v>1486</v>
      </c>
      <c r="BU1417" s="1371">
        <v>0</v>
      </c>
      <c r="BV1417" s="1371">
        <v>0</v>
      </c>
      <c r="BW1417" s="1371">
        <v>0</v>
      </c>
      <c r="BX1417" s="1371">
        <v>0</v>
      </c>
      <c r="BY1417" s="1371">
        <v>0</v>
      </c>
      <c r="BZ1417">
        <v>0</v>
      </c>
      <c r="CA1417">
        <v>0</v>
      </c>
      <c r="CB1417">
        <v>0</v>
      </c>
      <c r="CC1417">
        <v>0</v>
      </c>
      <c r="CD1417">
        <v>0</v>
      </c>
      <c r="CE1417">
        <v>0</v>
      </c>
      <c r="CF1417">
        <v>0</v>
      </c>
      <c r="CG1417">
        <v>0</v>
      </c>
      <c r="CH1417">
        <v>0</v>
      </c>
      <c r="CI1417">
        <v>0</v>
      </c>
      <c r="CJ1417">
        <v>0</v>
      </c>
      <c r="CK1417">
        <v>0</v>
      </c>
      <c r="CL1417">
        <v>0</v>
      </c>
      <c r="CM1417">
        <v>0</v>
      </c>
      <c r="CR1417" t="s">
        <v>2327</v>
      </c>
      <c r="CS1417" s="1369" t="str">
        <f>INDEX([8]Sheet1!$H:$H,MATCH(CR:CR,[8]Sheet1!$AU:$AU,0))</f>
        <v>Education</v>
      </c>
    </row>
    <row r="1418" spans="1:97" x14ac:dyDescent="0.2">
      <c r="A1418" t="s">
        <v>4494</v>
      </c>
      <c r="B1418">
        <v>1507</v>
      </c>
      <c r="C1418" t="s">
        <v>4494</v>
      </c>
      <c r="D1418">
        <v>51874</v>
      </c>
      <c r="E1418" t="s">
        <v>2427</v>
      </c>
      <c r="F1418">
        <v>2700</v>
      </c>
      <c r="G1418" t="s">
        <v>656</v>
      </c>
      <c r="H1418" t="s">
        <v>2428</v>
      </c>
      <c r="I1418" t="s">
        <v>1800</v>
      </c>
      <c r="J1418">
        <v>2701</v>
      </c>
      <c r="K1418" t="s">
        <v>1800</v>
      </c>
      <c r="L1418">
        <v>2100</v>
      </c>
      <c r="M1418" t="s">
        <v>618</v>
      </c>
      <c r="N1418">
        <v>2111</v>
      </c>
      <c r="O1418" t="s">
        <v>1503</v>
      </c>
      <c r="P1418" t="s">
        <v>2366</v>
      </c>
      <c r="Q1418" t="s">
        <v>2364</v>
      </c>
      <c r="R1418" t="s">
        <v>2364</v>
      </c>
      <c r="S1418" t="s">
        <v>1881</v>
      </c>
      <c r="T1418" t="s">
        <v>1812</v>
      </c>
      <c r="U1418" t="s">
        <v>2365</v>
      </c>
      <c r="V1418" t="s">
        <v>2365</v>
      </c>
      <c r="W1418" t="s">
        <v>2365</v>
      </c>
      <c r="X1418" t="s">
        <v>2365</v>
      </c>
      <c r="Y1418" t="s">
        <v>2365</v>
      </c>
      <c r="Z1418" t="s">
        <v>2365</v>
      </c>
      <c r="AA1418" t="s">
        <v>2365</v>
      </c>
      <c r="AB1418" t="s">
        <v>2365</v>
      </c>
      <c r="AC1418" s="813" t="s">
        <v>2365</v>
      </c>
      <c r="AD1418" s="813" t="s">
        <v>2365</v>
      </c>
      <c r="AE1418" s="813" t="s">
        <v>2365</v>
      </c>
      <c r="AF1418" t="s">
        <v>2365</v>
      </c>
      <c r="AG1418" t="s">
        <v>2365</v>
      </c>
      <c r="AH1418" t="s">
        <v>2365</v>
      </c>
      <c r="AI1418" t="s">
        <v>2365</v>
      </c>
      <c r="AJ1418" t="s">
        <v>2365</v>
      </c>
      <c r="AK1418" t="s">
        <v>2365</v>
      </c>
      <c r="AL1418" t="s">
        <v>2365</v>
      </c>
      <c r="AM1418" t="s">
        <v>2365</v>
      </c>
      <c r="AN1418" t="s">
        <v>2365</v>
      </c>
      <c r="AR1418" t="s">
        <v>2365</v>
      </c>
      <c r="AS1418" t="s">
        <v>2365</v>
      </c>
      <c r="AT1418" t="s">
        <v>2365</v>
      </c>
      <c r="AU1418" t="s">
        <v>2365</v>
      </c>
      <c r="AV1418" t="s">
        <v>2365</v>
      </c>
      <c r="AW1418" t="s">
        <v>2365</v>
      </c>
      <c r="AX1418" t="s">
        <v>2365</v>
      </c>
      <c r="AY1418" t="s">
        <v>2365</v>
      </c>
      <c r="AZ1418" t="s">
        <v>2365</v>
      </c>
      <c r="BA1418" t="s">
        <v>2365</v>
      </c>
      <c r="BB1418" t="s">
        <v>2365</v>
      </c>
      <c r="BC1418" t="s">
        <v>2365</v>
      </c>
      <c r="BD1418" t="s">
        <v>2366</v>
      </c>
      <c r="BE1418" t="s">
        <v>2365</v>
      </c>
      <c r="BF1418" t="s">
        <v>2365</v>
      </c>
      <c r="BG1418" t="s">
        <v>2365</v>
      </c>
      <c r="BH1418" t="s">
        <v>2365</v>
      </c>
      <c r="BI1418" t="s">
        <v>2366</v>
      </c>
      <c r="BJ1418" t="s">
        <v>2365</v>
      </c>
      <c r="BK1418" t="s">
        <v>2365</v>
      </c>
      <c r="BL1418" t="s">
        <v>2365</v>
      </c>
      <c r="BM1418" t="s">
        <v>2365</v>
      </c>
      <c r="BO1418">
        <v>4</v>
      </c>
      <c r="BP1418">
        <v>45</v>
      </c>
      <c r="BQ1418" t="s">
        <v>2433</v>
      </c>
      <c r="BR1418" t="s">
        <v>1503</v>
      </c>
      <c r="BU1418">
        <v>65000</v>
      </c>
      <c r="BV1418">
        <v>0</v>
      </c>
      <c r="BW1418">
        <v>65000</v>
      </c>
      <c r="BX1418">
        <v>0</v>
      </c>
      <c r="BY1418">
        <v>65000</v>
      </c>
      <c r="BZ1418">
        <v>68900</v>
      </c>
      <c r="CA1418">
        <v>73034</v>
      </c>
      <c r="CB1418">
        <v>0</v>
      </c>
      <c r="CC1418">
        <v>0</v>
      </c>
      <c r="CD1418">
        <v>0</v>
      </c>
      <c r="CE1418">
        <v>0</v>
      </c>
      <c r="CF1418">
        <v>0</v>
      </c>
      <c r="CG1418">
        <v>0</v>
      </c>
      <c r="CH1418">
        <v>0</v>
      </c>
      <c r="CI1418">
        <v>0</v>
      </c>
      <c r="CJ1418">
        <v>0</v>
      </c>
      <c r="CK1418">
        <v>0</v>
      </c>
      <c r="CL1418">
        <v>0</v>
      </c>
      <c r="CM1418">
        <v>0</v>
      </c>
      <c r="CR1418" t="s">
        <v>2324</v>
      </c>
      <c r="CS1418" s="1369" t="str">
        <f>INDEX([8]Sheet1!$H:$H,MATCH(CR:CR,[8]Sheet1!$AU:$AU,0))</f>
        <v>Finance</v>
      </c>
    </row>
    <row r="1419" spans="1:97" x14ac:dyDescent="0.2">
      <c r="A1419" t="s">
        <v>4495</v>
      </c>
      <c r="B1419">
        <v>1508</v>
      </c>
      <c r="C1419" t="s">
        <v>4495</v>
      </c>
      <c r="D1419">
        <v>51875</v>
      </c>
      <c r="E1419" t="s">
        <v>3010</v>
      </c>
      <c r="F1419">
        <v>2700</v>
      </c>
      <c r="G1419" t="s">
        <v>656</v>
      </c>
      <c r="H1419" t="s">
        <v>2428</v>
      </c>
      <c r="I1419" t="s">
        <v>1800</v>
      </c>
      <c r="J1419">
        <v>2701</v>
      </c>
      <c r="K1419" t="s">
        <v>1800</v>
      </c>
      <c r="L1419">
        <v>2500</v>
      </c>
      <c r="M1419" t="s">
        <v>622</v>
      </c>
      <c r="N1419">
        <v>2502</v>
      </c>
      <c r="O1419" t="s">
        <v>1524</v>
      </c>
      <c r="P1419" t="s">
        <v>2366</v>
      </c>
      <c r="Q1419" t="s">
        <v>2364</v>
      </c>
      <c r="R1419" t="s">
        <v>2364</v>
      </c>
      <c r="S1419" t="s">
        <v>1881</v>
      </c>
      <c r="T1419" t="s">
        <v>1812</v>
      </c>
      <c r="U1419" t="s">
        <v>2365</v>
      </c>
      <c r="V1419" t="s">
        <v>2365</v>
      </c>
      <c r="W1419" t="s">
        <v>2365</v>
      </c>
      <c r="X1419" t="s">
        <v>2365</v>
      </c>
      <c r="Y1419" t="s">
        <v>2365</v>
      </c>
      <c r="Z1419" t="s">
        <v>2365</v>
      </c>
      <c r="AA1419" t="s">
        <v>2365</v>
      </c>
      <c r="AB1419" t="s">
        <v>2365</v>
      </c>
      <c r="AC1419" s="813" t="s">
        <v>2365</v>
      </c>
      <c r="AD1419" s="813" t="s">
        <v>2365</v>
      </c>
      <c r="AE1419" s="813" t="s">
        <v>2365</v>
      </c>
      <c r="AF1419" t="s">
        <v>2365</v>
      </c>
      <c r="AG1419" t="s">
        <v>2365</v>
      </c>
      <c r="AH1419" t="s">
        <v>2365</v>
      </c>
      <c r="AI1419" t="s">
        <v>2365</v>
      </c>
      <c r="AJ1419" t="s">
        <v>2365</v>
      </c>
      <c r="AK1419" t="s">
        <v>2365</v>
      </c>
      <c r="AL1419" t="s">
        <v>2365</v>
      </c>
      <c r="AM1419" t="s">
        <v>2365</v>
      </c>
      <c r="AN1419" t="s">
        <v>2365</v>
      </c>
      <c r="AR1419" t="s">
        <v>2365</v>
      </c>
      <c r="AS1419" t="s">
        <v>2365</v>
      </c>
      <c r="AT1419" t="s">
        <v>2365</v>
      </c>
      <c r="AU1419" t="s">
        <v>2365</v>
      </c>
      <c r="AV1419" t="s">
        <v>2365</v>
      </c>
      <c r="AW1419" t="s">
        <v>2365</v>
      </c>
      <c r="AX1419" t="s">
        <v>2365</v>
      </c>
      <c r="AY1419" t="s">
        <v>2365</v>
      </c>
      <c r="AZ1419" t="s">
        <v>2365</v>
      </c>
      <c r="BA1419" t="s">
        <v>2365</v>
      </c>
      <c r="BB1419" t="s">
        <v>2365</v>
      </c>
      <c r="BC1419" t="s">
        <v>2365</v>
      </c>
      <c r="BD1419" t="s">
        <v>2366</v>
      </c>
      <c r="BE1419" t="s">
        <v>2365</v>
      </c>
      <c r="BF1419" t="s">
        <v>2365</v>
      </c>
      <c r="BG1419" t="s">
        <v>2365</v>
      </c>
      <c r="BH1419" t="s">
        <v>2365</v>
      </c>
      <c r="BI1419" t="s">
        <v>2366</v>
      </c>
      <c r="BJ1419" t="s">
        <v>2365</v>
      </c>
      <c r="BK1419" t="s">
        <v>2365</v>
      </c>
      <c r="BL1419" t="s">
        <v>2365</v>
      </c>
      <c r="BM1419" t="s">
        <v>2365</v>
      </c>
      <c r="BO1419">
        <v>15</v>
      </c>
      <c r="BP1419">
        <v>151</v>
      </c>
      <c r="BQ1419" t="s">
        <v>622</v>
      </c>
      <c r="BR1419" t="s">
        <v>1524</v>
      </c>
      <c r="BU1419">
        <v>20000</v>
      </c>
      <c r="BV1419">
        <v>0</v>
      </c>
      <c r="BW1419">
        <v>20000</v>
      </c>
      <c r="BX1419">
        <v>35000</v>
      </c>
      <c r="BY1419">
        <v>55000</v>
      </c>
      <c r="BZ1419">
        <v>21200</v>
      </c>
      <c r="CA1419">
        <v>22472</v>
      </c>
      <c r="CB1419">
        <v>0</v>
      </c>
      <c r="CC1419">
        <v>0</v>
      </c>
      <c r="CD1419">
        <v>0</v>
      </c>
      <c r="CE1419">
        <v>0</v>
      </c>
      <c r="CF1419">
        <v>0</v>
      </c>
      <c r="CG1419">
        <v>0</v>
      </c>
      <c r="CH1419">
        <v>0</v>
      </c>
      <c r="CI1419">
        <v>0</v>
      </c>
      <c r="CJ1419">
        <v>0</v>
      </c>
      <c r="CK1419">
        <v>0</v>
      </c>
      <c r="CL1419">
        <v>0</v>
      </c>
      <c r="CM1419">
        <v>0</v>
      </c>
      <c r="CR1419" t="s">
        <v>2324</v>
      </c>
      <c r="CS1419" s="1369" t="str">
        <f>INDEX([8]Sheet1!$H:$H,MATCH(CR:CR,[8]Sheet1!$AU:$AU,0))</f>
        <v>Finance</v>
      </c>
    </row>
    <row r="1420" spans="1:97" x14ac:dyDescent="0.2">
      <c r="A1420" t="s">
        <v>4496</v>
      </c>
      <c r="B1420">
        <v>1509</v>
      </c>
      <c r="C1420" t="s">
        <v>4496</v>
      </c>
      <c r="D1420">
        <v>51876</v>
      </c>
      <c r="E1420" t="s">
        <v>2427</v>
      </c>
      <c r="F1420">
        <v>2700</v>
      </c>
      <c r="G1420" t="s">
        <v>656</v>
      </c>
      <c r="H1420" t="s">
        <v>2428</v>
      </c>
      <c r="I1420" t="s">
        <v>1800</v>
      </c>
      <c r="J1420">
        <v>2701</v>
      </c>
      <c r="K1420" t="s">
        <v>1800</v>
      </c>
      <c r="L1420">
        <v>2500</v>
      </c>
      <c r="M1420" t="s">
        <v>622</v>
      </c>
      <c r="N1420">
        <v>2502</v>
      </c>
      <c r="O1420" t="s">
        <v>1524</v>
      </c>
      <c r="P1420" t="s">
        <v>2366</v>
      </c>
      <c r="Q1420" t="s">
        <v>2364</v>
      </c>
      <c r="R1420" t="s">
        <v>2364</v>
      </c>
      <c r="S1420" t="s">
        <v>1881</v>
      </c>
      <c r="T1420" t="s">
        <v>1812</v>
      </c>
      <c r="U1420" t="s">
        <v>2365</v>
      </c>
      <c r="V1420" t="s">
        <v>2365</v>
      </c>
      <c r="W1420" t="s">
        <v>2365</v>
      </c>
      <c r="X1420" t="s">
        <v>2365</v>
      </c>
      <c r="Y1420" t="s">
        <v>2365</v>
      </c>
      <c r="Z1420" t="s">
        <v>2365</v>
      </c>
      <c r="AA1420" t="s">
        <v>2365</v>
      </c>
      <c r="AB1420" t="s">
        <v>2365</v>
      </c>
      <c r="AC1420" s="813" t="s">
        <v>2365</v>
      </c>
      <c r="AD1420" s="813" t="s">
        <v>2365</v>
      </c>
      <c r="AE1420" s="813" t="s">
        <v>2365</v>
      </c>
      <c r="AF1420" t="s">
        <v>2365</v>
      </c>
      <c r="AG1420" t="s">
        <v>2365</v>
      </c>
      <c r="AH1420" t="s">
        <v>2365</v>
      </c>
      <c r="AI1420" t="s">
        <v>2365</v>
      </c>
      <c r="AJ1420" t="s">
        <v>2365</v>
      </c>
      <c r="AK1420" t="s">
        <v>2365</v>
      </c>
      <c r="AL1420" t="s">
        <v>2365</v>
      </c>
      <c r="AM1420" t="s">
        <v>2365</v>
      </c>
      <c r="AN1420" t="s">
        <v>2365</v>
      </c>
      <c r="AR1420" t="s">
        <v>2365</v>
      </c>
      <c r="AS1420" t="s">
        <v>2365</v>
      </c>
      <c r="AT1420" t="s">
        <v>2365</v>
      </c>
      <c r="AU1420" t="s">
        <v>2365</v>
      </c>
      <c r="AV1420" t="s">
        <v>2365</v>
      </c>
      <c r="AW1420" t="s">
        <v>2365</v>
      </c>
      <c r="AX1420" t="s">
        <v>2365</v>
      </c>
      <c r="AY1420" t="s">
        <v>2365</v>
      </c>
      <c r="AZ1420" t="s">
        <v>2365</v>
      </c>
      <c r="BA1420" t="s">
        <v>2365</v>
      </c>
      <c r="BB1420" t="s">
        <v>2365</v>
      </c>
      <c r="BC1420" t="s">
        <v>2365</v>
      </c>
      <c r="BD1420" t="s">
        <v>2366</v>
      </c>
      <c r="BE1420" t="s">
        <v>2365</v>
      </c>
      <c r="BF1420" t="s">
        <v>2365</v>
      </c>
      <c r="BG1420" t="s">
        <v>2365</v>
      </c>
      <c r="BH1420" t="s">
        <v>2365</v>
      </c>
      <c r="BI1420" t="s">
        <v>2366</v>
      </c>
      <c r="BJ1420" t="s">
        <v>2365</v>
      </c>
      <c r="BK1420" t="s">
        <v>2365</v>
      </c>
      <c r="BL1420" t="s">
        <v>2365</v>
      </c>
      <c r="BM1420" t="s">
        <v>2365</v>
      </c>
      <c r="BO1420">
        <v>15</v>
      </c>
      <c r="BP1420">
        <v>151</v>
      </c>
      <c r="BQ1420" t="s">
        <v>622</v>
      </c>
      <c r="BR1420" t="s">
        <v>1524</v>
      </c>
      <c r="BU1420">
        <v>40000</v>
      </c>
      <c r="BV1420">
        <v>0</v>
      </c>
      <c r="BW1420">
        <v>40000</v>
      </c>
      <c r="BX1420">
        <v>-40000</v>
      </c>
      <c r="BY1420">
        <v>0</v>
      </c>
      <c r="BZ1420">
        <v>42400</v>
      </c>
      <c r="CA1420">
        <v>44944</v>
      </c>
      <c r="CB1420">
        <v>0</v>
      </c>
      <c r="CC1420">
        <v>0</v>
      </c>
      <c r="CD1420">
        <v>0</v>
      </c>
      <c r="CE1420">
        <v>0</v>
      </c>
      <c r="CF1420">
        <v>0</v>
      </c>
      <c r="CG1420">
        <v>0</v>
      </c>
      <c r="CH1420">
        <v>0</v>
      </c>
      <c r="CI1420">
        <v>0</v>
      </c>
      <c r="CJ1420">
        <v>0</v>
      </c>
      <c r="CK1420">
        <v>0</v>
      </c>
      <c r="CL1420">
        <v>0</v>
      </c>
      <c r="CM1420">
        <v>0</v>
      </c>
      <c r="CR1420" t="s">
        <v>2324</v>
      </c>
      <c r="CS1420" s="1369" t="str">
        <f>INDEX([8]Sheet1!$H:$H,MATCH(CR:CR,[8]Sheet1!$AU:$AU,0))</f>
        <v>Finance</v>
      </c>
    </row>
    <row r="1421" spans="1:97" x14ac:dyDescent="0.2">
      <c r="A1421" t="s">
        <v>4497</v>
      </c>
      <c r="B1421">
        <v>1510</v>
      </c>
      <c r="C1421" t="s">
        <v>4497</v>
      </c>
      <c r="D1421">
        <v>51877</v>
      </c>
      <c r="E1421" t="s">
        <v>2455</v>
      </c>
      <c r="F1421">
        <v>2900</v>
      </c>
      <c r="G1421" t="s">
        <v>569</v>
      </c>
      <c r="H1421" t="s">
        <v>2366</v>
      </c>
      <c r="I1421" t="s">
        <v>2366</v>
      </c>
      <c r="J1421">
        <v>2904</v>
      </c>
      <c r="K1421" t="s">
        <v>1432</v>
      </c>
      <c r="L1421">
        <v>2500</v>
      </c>
      <c r="M1421" t="s">
        <v>622</v>
      </c>
      <c r="N1421">
        <v>2502</v>
      </c>
      <c r="O1421" t="s">
        <v>1524</v>
      </c>
      <c r="P1421" t="s">
        <v>2366</v>
      </c>
      <c r="Q1421" t="s">
        <v>2364</v>
      </c>
      <c r="R1421" t="s">
        <v>2364</v>
      </c>
      <c r="S1421" t="s">
        <v>1881</v>
      </c>
      <c r="T1421" t="s">
        <v>1812</v>
      </c>
      <c r="U1421" t="s">
        <v>2365</v>
      </c>
      <c r="V1421" t="s">
        <v>2365</v>
      </c>
      <c r="W1421" t="s">
        <v>2365</v>
      </c>
      <c r="X1421" t="s">
        <v>2365</v>
      </c>
      <c r="Y1421" t="s">
        <v>2365</v>
      </c>
      <c r="Z1421" t="s">
        <v>2365</v>
      </c>
      <c r="AA1421" t="s">
        <v>2365</v>
      </c>
      <c r="AB1421" t="s">
        <v>2365</v>
      </c>
      <c r="AC1421" s="813" t="s">
        <v>2365</v>
      </c>
      <c r="AD1421" s="813" t="s">
        <v>2365</v>
      </c>
      <c r="AE1421" s="813" t="s">
        <v>2365</v>
      </c>
      <c r="AF1421" t="s">
        <v>2365</v>
      </c>
      <c r="AG1421" t="s">
        <v>2365</v>
      </c>
      <c r="AH1421" t="s">
        <v>2365</v>
      </c>
      <c r="AI1421" t="s">
        <v>2365</v>
      </c>
      <c r="AJ1421" t="s">
        <v>2365</v>
      </c>
      <c r="AK1421" t="s">
        <v>2365</v>
      </c>
      <c r="AL1421" t="s">
        <v>2365</v>
      </c>
      <c r="AM1421" t="s">
        <v>2365</v>
      </c>
      <c r="AN1421" t="s">
        <v>2365</v>
      </c>
      <c r="AR1421" t="s">
        <v>2365</v>
      </c>
      <c r="AS1421" t="s">
        <v>2365</v>
      </c>
      <c r="AT1421" t="s">
        <v>2365</v>
      </c>
      <c r="AU1421" t="s">
        <v>2365</v>
      </c>
      <c r="AV1421" t="s">
        <v>2365</v>
      </c>
      <c r="AW1421" t="s">
        <v>2365</v>
      </c>
      <c r="AX1421" t="s">
        <v>2365</v>
      </c>
      <c r="AY1421" t="s">
        <v>2365</v>
      </c>
      <c r="AZ1421" t="s">
        <v>2365</v>
      </c>
      <c r="BA1421" t="s">
        <v>2365</v>
      </c>
      <c r="BB1421" t="s">
        <v>2365</v>
      </c>
      <c r="BC1421" t="s">
        <v>2365</v>
      </c>
      <c r="BD1421" t="s">
        <v>2366</v>
      </c>
      <c r="BE1421" t="s">
        <v>2365</v>
      </c>
      <c r="BF1421" t="s">
        <v>2365</v>
      </c>
      <c r="BG1421" t="s">
        <v>2365</v>
      </c>
      <c r="BH1421" t="s">
        <v>2365</v>
      </c>
      <c r="BI1421" t="s">
        <v>2366</v>
      </c>
      <c r="BJ1421" t="s">
        <v>2365</v>
      </c>
      <c r="BK1421" t="s">
        <v>2365</v>
      </c>
      <c r="BL1421" t="s">
        <v>2365</v>
      </c>
      <c r="BM1421" t="s">
        <v>2365</v>
      </c>
      <c r="BO1421">
        <v>15</v>
      </c>
      <c r="BP1421">
        <v>151</v>
      </c>
      <c r="BQ1421" t="s">
        <v>622</v>
      </c>
      <c r="BR1421" t="s">
        <v>1524</v>
      </c>
      <c r="BU1421">
        <v>0</v>
      </c>
      <c r="BV1421">
        <v>0</v>
      </c>
      <c r="BW1421">
        <v>0</v>
      </c>
      <c r="BX1421">
        <v>30000</v>
      </c>
      <c r="BY1421">
        <v>30000</v>
      </c>
      <c r="BZ1421">
        <v>0</v>
      </c>
      <c r="CA1421">
        <v>0</v>
      </c>
      <c r="CB1421">
        <v>0</v>
      </c>
      <c r="CC1421">
        <v>0</v>
      </c>
      <c r="CD1421">
        <v>0</v>
      </c>
      <c r="CE1421">
        <v>0</v>
      </c>
      <c r="CF1421">
        <v>0</v>
      </c>
      <c r="CG1421">
        <v>0</v>
      </c>
      <c r="CH1421">
        <v>0</v>
      </c>
      <c r="CI1421">
        <v>0</v>
      </c>
      <c r="CJ1421">
        <v>0</v>
      </c>
      <c r="CK1421">
        <v>0</v>
      </c>
      <c r="CL1421">
        <v>0</v>
      </c>
      <c r="CM1421">
        <v>0</v>
      </c>
      <c r="CR1421" t="s">
        <v>2324</v>
      </c>
      <c r="CS1421" s="1369" t="str">
        <f>INDEX([8]Sheet1!$H:$H,MATCH(CR:CR,[8]Sheet1!$AU:$AU,0))</f>
        <v>Finance</v>
      </c>
    </row>
    <row r="1422" spans="1:97" x14ac:dyDescent="0.2">
      <c r="A1422" t="s">
        <v>4498</v>
      </c>
      <c r="B1422">
        <v>1511</v>
      </c>
      <c r="C1422" t="s">
        <v>4498</v>
      </c>
      <c r="D1422">
        <v>51878</v>
      </c>
      <c r="E1422" t="s">
        <v>2430</v>
      </c>
      <c r="F1422">
        <v>2700</v>
      </c>
      <c r="G1422" t="s">
        <v>656</v>
      </c>
      <c r="H1422" t="s">
        <v>2428</v>
      </c>
      <c r="I1422" t="s">
        <v>1800</v>
      </c>
      <c r="J1422">
        <v>2701</v>
      </c>
      <c r="K1422" t="s">
        <v>1800</v>
      </c>
      <c r="L1422">
        <v>2500</v>
      </c>
      <c r="M1422" t="s">
        <v>622</v>
      </c>
      <c r="N1422">
        <v>2502</v>
      </c>
      <c r="O1422" t="s">
        <v>1524</v>
      </c>
      <c r="P1422" t="s">
        <v>2366</v>
      </c>
      <c r="Q1422" t="s">
        <v>2364</v>
      </c>
      <c r="R1422" t="s">
        <v>2364</v>
      </c>
      <c r="S1422" t="s">
        <v>1881</v>
      </c>
      <c r="T1422" t="s">
        <v>1812</v>
      </c>
      <c r="U1422" t="s">
        <v>2365</v>
      </c>
      <c r="V1422" t="s">
        <v>2365</v>
      </c>
      <c r="W1422" t="s">
        <v>2365</v>
      </c>
      <c r="X1422" t="s">
        <v>2365</v>
      </c>
      <c r="Y1422" t="s">
        <v>2365</v>
      </c>
      <c r="Z1422" t="s">
        <v>2365</v>
      </c>
      <c r="AA1422" t="s">
        <v>2365</v>
      </c>
      <c r="AB1422" t="s">
        <v>2365</v>
      </c>
      <c r="AC1422" s="813" t="s">
        <v>2365</v>
      </c>
      <c r="AD1422" s="813" t="s">
        <v>2365</v>
      </c>
      <c r="AE1422" s="813" t="s">
        <v>2365</v>
      </c>
      <c r="AF1422" t="s">
        <v>2365</v>
      </c>
      <c r="AG1422" t="s">
        <v>2365</v>
      </c>
      <c r="AH1422" t="s">
        <v>2365</v>
      </c>
      <c r="AI1422" t="s">
        <v>2365</v>
      </c>
      <c r="AJ1422" t="s">
        <v>2365</v>
      </c>
      <c r="AK1422" t="s">
        <v>2365</v>
      </c>
      <c r="AL1422" t="s">
        <v>2365</v>
      </c>
      <c r="AM1422" t="s">
        <v>2365</v>
      </c>
      <c r="AN1422" t="s">
        <v>2365</v>
      </c>
      <c r="AR1422" t="s">
        <v>2365</v>
      </c>
      <c r="AS1422" t="s">
        <v>2365</v>
      </c>
      <c r="AT1422" t="s">
        <v>2365</v>
      </c>
      <c r="AU1422" t="s">
        <v>2365</v>
      </c>
      <c r="AV1422" t="s">
        <v>2365</v>
      </c>
      <c r="AW1422" t="s">
        <v>2365</v>
      </c>
      <c r="AX1422" t="s">
        <v>2365</v>
      </c>
      <c r="AY1422" t="s">
        <v>2365</v>
      </c>
      <c r="AZ1422" t="s">
        <v>2365</v>
      </c>
      <c r="BA1422" t="s">
        <v>2365</v>
      </c>
      <c r="BB1422" t="s">
        <v>2365</v>
      </c>
      <c r="BC1422" t="s">
        <v>2365</v>
      </c>
      <c r="BD1422" t="s">
        <v>2366</v>
      </c>
      <c r="BE1422" t="s">
        <v>2365</v>
      </c>
      <c r="BF1422" t="s">
        <v>2365</v>
      </c>
      <c r="BG1422" t="s">
        <v>2365</v>
      </c>
      <c r="BH1422" t="s">
        <v>2365</v>
      </c>
      <c r="BI1422" t="s">
        <v>2366</v>
      </c>
      <c r="BJ1422" t="s">
        <v>2365</v>
      </c>
      <c r="BK1422" t="s">
        <v>2365</v>
      </c>
      <c r="BL1422" t="s">
        <v>2365</v>
      </c>
      <c r="BM1422" t="s">
        <v>2365</v>
      </c>
      <c r="BO1422">
        <v>15</v>
      </c>
      <c r="BP1422">
        <v>151</v>
      </c>
      <c r="BQ1422" t="s">
        <v>622</v>
      </c>
      <c r="BR1422" t="s">
        <v>1524</v>
      </c>
      <c r="BU1422">
        <v>0</v>
      </c>
      <c r="BV1422">
        <v>0</v>
      </c>
      <c r="BW1422">
        <v>0</v>
      </c>
      <c r="BX1422">
        <v>0</v>
      </c>
      <c r="BY1422">
        <v>0</v>
      </c>
      <c r="BZ1422">
        <v>0</v>
      </c>
      <c r="CA1422">
        <v>0</v>
      </c>
      <c r="CB1422">
        <v>0</v>
      </c>
      <c r="CC1422">
        <v>0</v>
      </c>
      <c r="CD1422">
        <v>0</v>
      </c>
      <c r="CE1422">
        <v>0</v>
      </c>
      <c r="CF1422">
        <v>0</v>
      </c>
      <c r="CG1422">
        <v>0</v>
      </c>
      <c r="CH1422">
        <v>0</v>
      </c>
      <c r="CI1422">
        <v>0</v>
      </c>
      <c r="CJ1422">
        <v>0</v>
      </c>
      <c r="CK1422">
        <v>0</v>
      </c>
      <c r="CL1422">
        <v>0</v>
      </c>
      <c r="CM1422">
        <v>0</v>
      </c>
      <c r="CR1422" t="s">
        <v>2324</v>
      </c>
      <c r="CS1422" s="1369" t="str">
        <f>INDEX([8]Sheet1!$H:$H,MATCH(CR:CR,[8]Sheet1!$AU:$AU,0))</f>
        <v>Finance</v>
      </c>
    </row>
    <row r="1423" spans="1:97" x14ac:dyDescent="0.2">
      <c r="A1423" t="s">
        <v>4499</v>
      </c>
      <c r="B1423">
        <v>1512</v>
      </c>
      <c r="C1423" t="s">
        <v>4499</v>
      </c>
      <c r="D1423">
        <v>54380</v>
      </c>
      <c r="E1423" t="s">
        <v>2427</v>
      </c>
      <c r="F1423">
        <v>2700</v>
      </c>
      <c r="G1423" t="s">
        <v>656</v>
      </c>
      <c r="H1423" t="s">
        <v>2428</v>
      </c>
      <c r="I1423" t="s">
        <v>1800</v>
      </c>
      <c r="J1423">
        <v>2701</v>
      </c>
      <c r="K1423" t="s">
        <v>1800</v>
      </c>
      <c r="L1423">
        <v>2500</v>
      </c>
      <c r="M1423" t="s">
        <v>622</v>
      </c>
      <c r="N1423">
        <v>2502</v>
      </c>
      <c r="O1423" t="s">
        <v>1524</v>
      </c>
      <c r="P1423" t="s">
        <v>2366</v>
      </c>
      <c r="Q1423" t="s">
        <v>2364</v>
      </c>
      <c r="R1423" t="s">
        <v>2364</v>
      </c>
      <c r="S1423" t="s">
        <v>1881</v>
      </c>
      <c r="T1423" t="s">
        <v>1812</v>
      </c>
      <c r="U1423" t="s">
        <v>2365</v>
      </c>
      <c r="V1423" t="s">
        <v>2365</v>
      </c>
      <c r="W1423" t="s">
        <v>2365</v>
      </c>
      <c r="X1423" t="s">
        <v>2365</v>
      </c>
      <c r="Y1423" t="s">
        <v>2365</v>
      </c>
      <c r="Z1423" t="s">
        <v>2365</v>
      </c>
      <c r="AA1423" t="s">
        <v>2365</v>
      </c>
      <c r="AB1423" t="s">
        <v>2365</v>
      </c>
      <c r="AC1423" s="813" t="s">
        <v>2365</v>
      </c>
      <c r="AD1423" s="813" t="s">
        <v>2365</v>
      </c>
      <c r="AE1423" s="813" t="s">
        <v>2365</v>
      </c>
      <c r="AF1423" t="s">
        <v>2365</v>
      </c>
      <c r="AG1423" t="s">
        <v>2365</v>
      </c>
      <c r="AH1423" t="s">
        <v>2365</v>
      </c>
      <c r="AI1423" t="s">
        <v>2365</v>
      </c>
      <c r="AJ1423" t="s">
        <v>2365</v>
      </c>
      <c r="AK1423" t="s">
        <v>2365</v>
      </c>
      <c r="AL1423" t="s">
        <v>2365</v>
      </c>
      <c r="AM1423" t="s">
        <v>2365</v>
      </c>
      <c r="AN1423" t="s">
        <v>2365</v>
      </c>
      <c r="AR1423" t="s">
        <v>2365</v>
      </c>
      <c r="AS1423" t="s">
        <v>2365</v>
      </c>
      <c r="AT1423" t="s">
        <v>2365</v>
      </c>
      <c r="AU1423" t="s">
        <v>2365</v>
      </c>
      <c r="AV1423" t="s">
        <v>2365</v>
      </c>
      <c r="AW1423" t="s">
        <v>2365</v>
      </c>
      <c r="AX1423" t="s">
        <v>2365</v>
      </c>
      <c r="AY1423" t="s">
        <v>2365</v>
      </c>
      <c r="AZ1423" t="s">
        <v>2365</v>
      </c>
      <c r="BA1423" t="s">
        <v>2365</v>
      </c>
      <c r="BB1423" t="s">
        <v>2365</v>
      </c>
      <c r="BC1423" t="s">
        <v>2365</v>
      </c>
      <c r="BD1423" t="s">
        <v>2366</v>
      </c>
      <c r="BE1423" t="s">
        <v>2365</v>
      </c>
      <c r="BF1423" t="s">
        <v>2365</v>
      </c>
      <c r="BG1423" t="s">
        <v>2365</v>
      </c>
      <c r="BH1423" t="s">
        <v>2365</v>
      </c>
      <c r="BI1423" t="s">
        <v>2366</v>
      </c>
      <c r="BJ1423" t="s">
        <v>2365</v>
      </c>
      <c r="BK1423" t="s">
        <v>2365</v>
      </c>
      <c r="BL1423" t="s">
        <v>2365</v>
      </c>
      <c r="BM1423" t="s">
        <v>2365</v>
      </c>
      <c r="BO1423">
        <v>15</v>
      </c>
      <c r="BP1423">
        <v>151</v>
      </c>
      <c r="BQ1423" t="s">
        <v>622</v>
      </c>
      <c r="BR1423" t="s">
        <v>1524</v>
      </c>
      <c r="BU1423">
        <v>30000</v>
      </c>
      <c r="BV1423">
        <v>0</v>
      </c>
      <c r="BW1423">
        <v>30000</v>
      </c>
      <c r="BX1423">
        <v>-30000</v>
      </c>
      <c r="BY1423">
        <v>0</v>
      </c>
      <c r="BZ1423">
        <v>31800</v>
      </c>
      <c r="CA1423">
        <v>33708</v>
      </c>
      <c r="CB1423">
        <v>0</v>
      </c>
      <c r="CC1423">
        <v>0</v>
      </c>
      <c r="CD1423">
        <v>0</v>
      </c>
      <c r="CE1423">
        <v>0</v>
      </c>
      <c r="CF1423">
        <v>0</v>
      </c>
      <c r="CG1423">
        <v>0</v>
      </c>
      <c r="CH1423">
        <v>0</v>
      </c>
      <c r="CI1423">
        <v>0</v>
      </c>
      <c r="CJ1423">
        <v>0</v>
      </c>
      <c r="CK1423">
        <v>0</v>
      </c>
      <c r="CL1423">
        <v>0</v>
      </c>
      <c r="CM1423">
        <v>0</v>
      </c>
      <c r="CR1423" t="s">
        <v>2324</v>
      </c>
      <c r="CS1423" s="1369" t="str">
        <f>INDEX([8]Sheet1!$H:$H,MATCH(CR:CR,[8]Sheet1!$AU:$AU,0))</f>
        <v>Finance</v>
      </c>
    </row>
    <row r="1424" spans="1:97" x14ac:dyDescent="0.2">
      <c r="A1424" t="s">
        <v>4500</v>
      </c>
      <c r="B1424">
        <v>1513</v>
      </c>
      <c r="C1424" t="s">
        <v>4500</v>
      </c>
      <c r="D1424">
        <v>54381</v>
      </c>
      <c r="E1424" t="s">
        <v>2468</v>
      </c>
      <c r="F1424">
        <v>2600</v>
      </c>
      <c r="G1424" t="s">
        <v>655</v>
      </c>
      <c r="H1424">
        <v>2600</v>
      </c>
      <c r="I1424" t="s">
        <v>655</v>
      </c>
      <c r="J1424" t="s">
        <v>2365</v>
      </c>
      <c r="K1424" t="s">
        <v>2365</v>
      </c>
      <c r="L1424">
        <v>2500</v>
      </c>
      <c r="M1424" t="s">
        <v>622</v>
      </c>
      <c r="N1424">
        <v>2502</v>
      </c>
      <c r="O1424" t="s">
        <v>1524</v>
      </c>
      <c r="P1424" t="s">
        <v>2366</v>
      </c>
      <c r="Q1424" t="s">
        <v>2364</v>
      </c>
      <c r="R1424" t="s">
        <v>2364</v>
      </c>
      <c r="S1424" t="s">
        <v>1881</v>
      </c>
      <c r="T1424" t="s">
        <v>1812</v>
      </c>
      <c r="U1424" t="s">
        <v>2365</v>
      </c>
      <c r="V1424" t="s">
        <v>2365</v>
      </c>
      <c r="W1424" t="s">
        <v>2365</v>
      </c>
      <c r="X1424" t="s">
        <v>2365</v>
      </c>
      <c r="Y1424" t="s">
        <v>2365</v>
      </c>
      <c r="Z1424" t="s">
        <v>2365</v>
      </c>
      <c r="AA1424" t="s">
        <v>2365</v>
      </c>
      <c r="AB1424" t="s">
        <v>2365</v>
      </c>
      <c r="AC1424" s="813" t="s">
        <v>2365</v>
      </c>
      <c r="AD1424" s="813" t="s">
        <v>2365</v>
      </c>
      <c r="AE1424" s="813" t="s">
        <v>2365</v>
      </c>
      <c r="AF1424" t="s">
        <v>2365</v>
      </c>
      <c r="AG1424" t="s">
        <v>2365</v>
      </c>
      <c r="AH1424" t="s">
        <v>2365</v>
      </c>
      <c r="AI1424" t="s">
        <v>2365</v>
      </c>
      <c r="AJ1424" t="s">
        <v>2365</v>
      </c>
      <c r="AK1424" t="s">
        <v>2365</v>
      </c>
      <c r="AL1424" t="s">
        <v>2365</v>
      </c>
      <c r="AM1424" t="s">
        <v>2365</v>
      </c>
      <c r="AN1424" t="s">
        <v>2365</v>
      </c>
      <c r="AR1424" t="s">
        <v>2365</v>
      </c>
      <c r="AS1424" t="s">
        <v>2365</v>
      </c>
      <c r="AT1424" t="s">
        <v>2365</v>
      </c>
      <c r="AU1424" t="s">
        <v>2365</v>
      </c>
      <c r="AV1424" t="s">
        <v>2365</v>
      </c>
      <c r="AW1424" t="s">
        <v>2365</v>
      </c>
      <c r="AX1424" t="s">
        <v>2365</v>
      </c>
      <c r="AY1424" t="s">
        <v>2365</v>
      </c>
      <c r="AZ1424" t="s">
        <v>2365</v>
      </c>
      <c r="BA1424" t="s">
        <v>2365</v>
      </c>
      <c r="BB1424" t="s">
        <v>2365</v>
      </c>
      <c r="BC1424" t="s">
        <v>2365</v>
      </c>
      <c r="BD1424" t="s">
        <v>2366</v>
      </c>
      <c r="BE1424" t="s">
        <v>2365</v>
      </c>
      <c r="BF1424" t="s">
        <v>2365</v>
      </c>
      <c r="BG1424" t="s">
        <v>2365</v>
      </c>
      <c r="BH1424" t="s">
        <v>2365</v>
      </c>
      <c r="BI1424" t="s">
        <v>2366</v>
      </c>
      <c r="BJ1424" t="s">
        <v>2365</v>
      </c>
      <c r="BK1424" t="s">
        <v>2365</v>
      </c>
      <c r="BL1424" t="s">
        <v>2365</v>
      </c>
      <c r="BM1424" t="s">
        <v>2365</v>
      </c>
      <c r="BO1424">
        <v>15</v>
      </c>
      <c r="BP1424">
        <v>151</v>
      </c>
      <c r="BQ1424" t="s">
        <v>622</v>
      </c>
      <c r="BR1424" t="s">
        <v>1524</v>
      </c>
      <c r="BU1424">
        <v>0</v>
      </c>
      <c r="BV1424">
        <v>0</v>
      </c>
      <c r="BW1424">
        <v>0</v>
      </c>
      <c r="BX1424">
        <v>0</v>
      </c>
      <c r="BY1424">
        <v>0</v>
      </c>
      <c r="BZ1424">
        <v>0</v>
      </c>
      <c r="CA1424">
        <v>0</v>
      </c>
      <c r="CB1424">
        <v>0</v>
      </c>
      <c r="CC1424">
        <v>0</v>
      </c>
      <c r="CD1424">
        <v>0</v>
      </c>
      <c r="CE1424">
        <v>0</v>
      </c>
      <c r="CF1424">
        <v>0</v>
      </c>
      <c r="CG1424">
        <v>0</v>
      </c>
      <c r="CH1424">
        <v>0</v>
      </c>
      <c r="CI1424">
        <v>0</v>
      </c>
      <c r="CJ1424">
        <v>0</v>
      </c>
      <c r="CK1424">
        <v>0</v>
      </c>
      <c r="CL1424">
        <v>0</v>
      </c>
      <c r="CM1424">
        <v>0</v>
      </c>
      <c r="CR1424" t="s">
        <v>2324</v>
      </c>
      <c r="CS1424" s="1369" t="str">
        <f>INDEX([8]Sheet1!$H:$H,MATCH(CR:CR,[8]Sheet1!$AU:$AU,0))</f>
        <v>Finance</v>
      </c>
    </row>
    <row r="1425" spans="1:97" x14ac:dyDescent="0.2">
      <c r="A1425" t="s">
        <v>4501</v>
      </c>
      <c r="B1425">
        <v>1514</v>
      </c>
      <c r="C1425" t="s">
        <v>4501</v>
      </c>
      <c r="D1425">
        <v>54382</v>
      </c>
      <c r="E1425" t="s">
        <v>3190</v>
      </c>
      <c r="F1425">
        <v>2600</v>
      </c>
      <c r="G1425" t="s">
        <v>655</v>
      </c>
      <c r="H1425">
        <v>2600</v>
      </c>
      <c r="I1425" t="s">
        <v>655</v>
      </c>
      <c r="J1425" t="s">
        <v>2365</v>
      </c>
      <c r="K1425" t="s">
        <v>2365</v>
      </c>
      <c r="L1425">
        <v>2500</v>
      </c>
      <c r="M1425" t="s">
        <v>622</v>
      </c>
      <c r="N1425">
        <v>2502</v>
      </c>
      <c r="O1425" t="s">
        <v>1524</v>
      </c>
      <c r="P1425" t="s">
        <v>2366</v>
      </c>
      <c r="Q1425" t="s">
        <v>2364</v>
      </c>
      <c r="R1425" t="s">
        <v>2364</v>
      </c>
      <c r="S1425" t="s">
        <v>1881</v>
      </c>
      <c r="T1425" t="s">
        <v>1812</v>
      </c>
      <c r="U1425" t="s">
        <v>2365</v>
      </c>
      <c r="V1425" t="s">
        <v>2365</v>
      </c>
      <c r="W1425" t="s">
        <v>2365</v>
      </c>
      <c r="X1425" t="s">
        <v>2365</v>
      </c>
      <c r="Y1425" t="s">
        <v>2365</v>
      </c>
      <c r="Z1425" t="s">
        <v>2365</v>
      </c>
      <c r="AA1425" t="s">
        <v>2365</v>
      </c>
      <c r="AB1425" t="s">
        <v>2365</v>
      </c>
      <c r="AC1425" s="813" t="s">
        <v>2365</v>
      </c>
      <c r="AD1425" s="813" t="s">
        <v>2365</v>
      </c>
      <c r="AE1425" s="813" t="s">
        <v>2365</v>
      </c>
      <c r="AF1425" t="s">
        <v>2365</v>
      </c>
      <c r="AG1425" t="s">
        <v>2365</v>
      </c>
      <c r="AH1425" t="s">
        <v>2365</v>
      </c>
      <c r="AI1425" t="s">
        <v>2365</v>
      </c>
      <c r="AJ1425" t="s">
        <v>2365</v>
      </c>
      <c r="AK1425" t="s">
        <v>2365</v>
      </c>
      <c r="AL1425" t="s">
        <v>2365</v>
      </c>
      <c r="AM1425" t="s">
        <v>2365</v>
      </c>
      <c r="AN1425" t="s">
        <v>2365</v>
      </c>
      <c r="AR1425" t="s">
        <v>2365</v>
      </c>
      <c r="AS1425" t="s">
        <v>2365</v>
      </c>
      <c r="AT1425" t="s">
        <v>2365</v>
      </c>
      <c r="AU1425" t="s">
        <v>2365</v>
      </c>
      <c r="AV1425" t="s">
        <v>2365</v>
      </c>
      <c r="AW1425" t="s">
        <v>2365</v>
      </c>
      <c r="AX1425" t="s">
        <v>2365</v>
      </c>
      <c r="AY1425" t="s">
        <v>2365</v>
      </c>
      <c r="AZ1425" t="s">
        <v>2365</v>
      </c>
      <c r="BA1425" t="s">
        <v>2365</v>
      </c>
      <c r="BB1425" t="s">
        <v>2365</v>
      </c>
      <c r="BC1425" t="s">
        <v>2365</v>
      </c>
      <c r="BD1425" t="s">
        <v>2366</v>
      </c>
      <c r="BE1425" t="s">
        <v>2365</v>
      </c>
      <c r="BF1425" t="s">
        <v>2365</v>
      </c>
      <c r="BG1425" t="s">
        <v>2365</v>
      </c>
      <c r="BH1425" t="s">
        <v>2365</v>
      </c>
      <c r="BI1425" t="s">
        <v>2366</v>
      </c>
      <c r="BJ1425" t="s">
        <v>2365</v>
      </c>
      <c r="BK1425" t="s">
        <v>2365</v>
      </c>
      <c r="BL1425" t="s">
        <v>2365</v>
      </c>
      <c r="BM1425" t="s">
        <v>2365</v>
      </c>
      <c r="BO1425">
        <v>15</v>
      </c>
      <c r="BP1425">
        <v>151</v>
      </c>
      <c r="BQ1425" t="s">
        <v>622</v>
      </c>
      <c r="BR1425" t="s">
        <v>1524</v>
      </c>
      <c r="BU1425">
        <v>0</v>
      </c>
      <c r="BV1425">
        <v>0</v>
      </c>
      <c r="BW1425">
        <v>0</v>
      </c>
      <c r="BX1425">
        <v>0</v>
      </c>
      <c r="BY1425">
        <v>0</v>
      </c>
      <c r="BZ1425">
        <v>0</v>
      </c>
      <c r="CA1425">
        <v>0</v>
      </c>
      <c r="CB1425">
        <v>0</v>
      </c>
      <c r="CC1425">
        <v>0</v>
      </c>
      <c r="CD1425">
        <v>0</v>
      </c>
      <c r="CE1425">
        <v>0</v>
      </c>
      <c r="CF1425">
        <v>0</v>
      </c>
      <c r="CG1425">
        <v>0</v>
      </c>
      <c r="CH1425">
        <v>0</v>
      </c>
      <c r="CI1425">
        <v>0</v>
      </c>
      <c r="CJ1425">
        <v>0</v>
      </c>
      <c r="CK1425">
        <v>0</v>
      </c>
      <c r="CL1425">
        <v>0</v>
      </c>
      <c r="CM1425">
        <v>0</v>
      </c>
      <c r="CR1425" t="s">
        <v>2324</v>
      </c>
      <c r="CS1425" s="1369" t="str">
        <f>INDEX([8]Sheet1!$H:$H,MATCH(CR:CR,[8]Sheet1!$AU:$AU,0))</f>
        <v>Finance</v>
      </c>
    </row>
    <row r="1426" spans="1:97" x14ac:dyDescent="0.2">
      <c r="A1426" t="s">
        <v>4502</v>
      </c>
      <c r="B1426">
        <v>1515</v>
      </c>
      <c r="C1426" t="s">
        <v>4502</v>
      </c>
      <c r="D1426">
        <v>54383</v>
      </c>
      <c r="E1426" t="s">
        <v>2427</v>
      </c>
      <c r="F1426">
        <v>2700</v>
      </c>
      <c r="G1426" t="s">
        <v>656</v>
      </c>
      <c r="H1426" s="1373" t="s">
        <v>2428</v>
      </c>
      <c r="I1426" t="s">
        <v>1800</v>
      </c>
      <c r="J1426">
        <v>2701</v>
      </c>
      <c r="K1426" t="s">
        <v>1800</v>
      </c>
      <c r="L1426" s="1373">
        <v>2500</v>
      </c>
      <c r="M1426" t="s">
        <v>622</v>
      </c>
      <c r="N1426">
        <v>2502</v>
      </c>
      <c r="O1426" t="s">
        <v>1524</v>
      </c>
      <c r="P1426" t="s">
        <v>2366</v>
      </c>
      <c r="Q1426" t="s">
        <v>2364</v>
      </c>
      <c r="R1426" t="s">
        <v>2364</v>
      </c>
      <c r="S1426" t="s">
        <v>1881</v>
      </c>
      <c r="T1426" t="s">
        <v>1812</v>
      </c>
      <c r="U1426" t="s">
        <v>2365</v>
      </c>
      <c r="V1426" t="s">
        <v>2365</v>
      </c>
      <c r="W1426" t="s">
        <v>2365</v>
      </c>
      <c r="X1426" t="s">
        <v>2365</v>
      </c>
      <c r="Y1426" t="s">
        <v>2365</v>
      </c>
      <c r="Z1426" t="s">
        <v>2365</v>
      </c>
      <c r="AA1426" t="s">
        <v>2365</v>
      </c>
      <c r="AB1426" t="s">
        <v>2365</v>
      </c>
      <c r="AC1426" s="813" t="s">
        <v>2365</v>
      </c>
      <c r="AD1426" s="813" t="s">
        <v>2365</v>
      </c>
      <c r="AE1426" s="813" t="s">
        <v>2365</v>
      </c>
      <c r="AF1426" t="s">
        <v>2365</v>
      </c>
      <c r="AG1426" t="s">
        <v>2365</v>
      </c>
      <c r="AH1426" t="s">
        <v>2365</v>
      </c>
      <c r="AI1426" t="s">
        <v>2365</v>
      </c>
      <c r="AJ1426" t="s">
        <v>2365</v>
      </c>
      <c r="AK1426" t="s">
        <v>2365</v>
      </c>
      <c r="AL1426" t="s">
        <v>2365</v>
      </c>
      <c r="AM1426" t="s">
        <v>2365</v>
      </c>
      <c r="AN1426" t="s">
        <v>2365</v>
      </c>
      <c r="AR1426" t="s">
        <v>2365</v>
      </c>
      <c r="AS1426" t="s">
        <v>2365</v>
      </c>
      <c r="AT1426" t="s">
        <v>2365</v>
      </c>
      <c r="AU1426" t="s">
        <v>2365</v>
      </c>
      <c r="AV1426" t="s">
        <v>2365</v>
      </c>
      <c r="AW1426" t="s">
        <v>2365</v>
      </c>
      <c r="AX1426" t="s">
        <v>2365</v>
      </c>
      <c r="AY1426" t="s">
        <v>2365</v>
      </c>
      <c r="AZ1426" t="s">
        <v>2365</v>
      </c>
      <c r="BA1426" t="s">
        <v>2365</v>
      </c>
      <c r="BB1426" t="s">
        <v>2365</v>
      </c>
      <c r="BC1426" t="s">
        <v>2365</v>
      </c>
      <c r="BD1426" t="s">
        <v>2366</v>
      </c>
      <c r="BE1426" t="s">
        <v>2365</v>
      </c>
      <c r="BF1426" t="s">
        <v>2365</v>
      </c>
      <c r="BG1426" t="s">
        <v>2365</v>
      </c>
      <c r="BH1426" t="s">
        <v>2365</v>
      </c>
      <c r="BI1426" t="s">
        <v>2366</v>
      </c>
      <c r="BJ1426" t="s">
        <v>2365</v>
      </c>
      <c r="BK1426" t="s">
        <v>2365</v>
      </c>
      <c r="BL1426" t="s">
        <v>2365</v>
      </c>
      <c r="BM1426" t="s">
        <v>2365</v>
      </c>
      <c r="BO1426">
        <v>15</v>
      </c>
      <c r="BP1426">
        <v>151</v>
      </c>
      <c r="BQ1426" t="s">
        <v>622</v>
      </c>
      <c r="BR1426" t="s">
        <v>1524</v>
      </c>
      <c r="BU1426" s="1371">
        <v>0</v>
      </c>
      <c r="BV1426" s="1371">
        <v>0</v>
      </c>
      <c r="BW1426" s="1371">
        <v>0</v>
      </c>
      <c r="BX1426" s="1371">
        <v>0</v>
      </c>
      <c r="BY1426" s="1371">
        <v>0</v>
      </c>
      <c r="BZ1426">
        <v>0</v>
      </c>
      <c r="CA1426">
        <v>0</v>
      </c>
      <c r="CB1426">
        <v>0</v>
      </c>
      <c r="CC1426">
        <v>0</v>
      </c>
      <c r="CD1426">
        <v>0</v>
      </c>
      <c r="CE1426">
        <v>0</v>
      </c>
      <c r="CF1426">
        <v>0</v>
      </c>
      <c r="CG1426">
        <v>0</v>
      </c>
      <c r="CH1426">
        <v>0</v>
      </c>
      <c r="CI1426">
        <v>0</v>
      </c>
      <c r="CJ1426">
        <v>0</v>
      </c>
      <c r="CK1426">
        <v>0</v>
      </c>
      <c r="CL1426">
        <v>0</v>
      </c>
      <c r="CM1426">
        <v>0</v>
      </c>
      <c r="CR1426" t="s">
        <v>2324</v>
      </c>
      <c r="CS1426" s="1369" t="str">
        <f>INDEX([8]Sheet1!$H:$H,MATCH(CR:CR,[8]Sheet1!$AU:$AU,0))</f>
        <v>Finance</v>
      </c>
    </row>
    <row r="1427" spans="1:97" x14ac:dyDescent="0.2">
      <c r="A1427" t="s">
        <v>4503</v>
      </c>
      <c r="B1427">
        <v>1516</v>
      </c>
      <c r="C1427" t="s">
        <v>4503</v>
      </c>
      <c r="D1427">
        <v>54384</v>
      </c>
      <c r="E1427" t="s">
        <v>3190</v>
      </c>
      <c r="F1427">
        <v>2600</v>
      </c>
      <c r="G1427" t="s">
        <v>655</v>
      </c>
      <c r="H1427">
        <v>2600</v>
      </c>
      <c r="I1427" t="s">
        <v>655</v>
      </c>
      <c r="J1427" t="s">
        <v>2365</v>
      </c>
      <c r="K1427" t="s">
        <v>2365</v>
      </c>
      <c r="L1427">
        <v>2500</v>
      </c>
      <c r="M1427" t="s">
        <v>622</v>
      </c>
      <c r="N1427">
        <v>2502</v>
      </c>
      <c r="O1427" t="s">
        <v>1524</v>
      </c>
      <c r="P1427" t="s">
        <v>2366</v>
      </c>
      <c r="Q1427" t="s">
        <v>2364</v>
      </c>
      <c r="R1427" t="s">
        <v>2364</v>
      </c>
      <c r="S1427" t="s">
        <v>1881</v>
      </c>
      <c r="T1427" t="s">
        <v>1812</v>
      </c>
      <c r="U1427" t="s">
        <v>2365</v>
      </c>
      <c r="V1427" t="s">
        <v>2365</v>
      </c>
      <c r="W1427" t="s">
        <v>2365</v>
      </c>
      <c r="X1427" t="s">
        <v>2365</v>
      </c>
      <c r="Y1427" t="s">
        <v>2365</v>
      </c>
      <c r="Z1427" t="s">
        <v>2365</v>
      </c>
      <c r="AA1427" t="s">
        <v>2365</v>
      </c>
      <c r="AB1427" t="s">
        <v>2365</v>
      </c>
      <c r="AC1427" s="813" t="s">
        <v>2365</v>
      </c>
      <c r="AD1427" s="813" t="s">
        <v>2365</v>
      </c>
      <c r="AE1427" s="813" t="s">
        <v>2365</v>
      </c>
      <c r="AF1427" t="s">
        <v>2365</v>
      </c>
      <c r="AG1427" t="s">
        <v>2365</v>
      </c>
      <c r="AH1427" t="s">
        <v>2365</v>
      </c>
      <c r="AI1427" t="s">
        <v>2365</v>
      </c>
      <c r="AJ1427" t="s">
        <v>2365</v>
      </c>
      <c r="AK1427" t="s">
        <v>2365</v>
      </c>
      <c r="AL1427" t="s">
        <v>2365</v>
      </c>
      <c r="AM1427" t="s">
        <v>2365</v>
      </c>
      <c r="AN1427" t="s">
        <v>2365</v>
      </c>
      <c r="AR1427" t="s">
        <v>2365</v>
      </c>
      <c r="AS1427" t="s">
        <v>2365</v>
      </c>
      <c r="AT1427" t="s">
        <v>2365</v>
      </c>
      <c r="AU1427" t="s">
        <v>2365</v>
      </c>
      <c r="AV1427" t="s">
        <v>2365</v>
      </c>
      <c r="AW1427" t="s">
        <v>2365</v>
      </c>
      <c r="AX1427" t="s">
        <v>2365</v>
      </c>
      <c r="AY1427" t="s">
        <v>2365</v>
      </c>
      <c r="AZ1427" t="s">
        <v>2365</v>
      </c>
      <c r="BA1427" t="s">
        <v>2365</v>
      </c>
      <c r="BB1427" t="s">
        <v>2365</v>
      </c>
      <c r="BC1427" t="s">
        <v>2365</v>
      </c>
      <c r="BD1427" t="s">
        <v>2366</v>
      </c>
      <c r="BE1427" t="s">
        <v>2365</v>
      </c>
      <c r="BF1427" t="s">
        <v>2365</v>
      </c>
      <c r="BG1427" t="s">
        <v>2365</v>
      </c>
      <c r="BH1427" t="s">
        <v>2365</v>
      </c>
      <c r="BI1427" t="s">
        <v>2366</v>
      </c>
      <c r="BJ1427" t="s">
        <v>2365</v>
      </c>
      <c r="BK1427" t="s">
        <v>2365</v>
      </c>
      <c r="BL1427" t="s">
        <v>2365</v>
      </c>
      <c r="BM1427" t="s">
        <v>2365</v>
      </c>
      <c r="BO1427">
        <v>15</v>
      </c>
      <c r="BP1427">
        <v>151</v>
      </c>
      <c r="BQ1427" t="s">
        <v>622</v>
      </c>
      <c r="BR1427" t="s">
        <v>1524</v>
      </c>
      <c r="BU1427">
        <v>0</v>
      </c>
      <c r="BV1427">
        <v>0</v>
      </c>
      <c r="BW1427">
        <v>0</v>
      </c>
      <c r="BX1427">
        <v>0</v>
      </c>
      <c r="BY1427">
        <v>0</v>
      </c>
      <c r="BZ1427">
        <v>0</v>
      </c>
      <c r="CA1427">
        <v>0</v>
      </c>
      <c r="CB1427">
        <v>0</v>
      </c>
      <c r="CC1427">
        <v>0</v>
      </c>
      <c r="CD1427">
        <v>0</v>
      </c>
      <c r="CE1427">
        <v>0</v>
      </c>
      <c r="CF1427">
        <v>0</v>
      </c>
      <c r="CG1427">
        <v>0</v>
      </c>
      <c r="CH1427">
        <v>0</v>
      </c>
      <c r="CI1427">
        <v>0</v>
      </c>
      <c r="CJ1427">
        <v>0</v>
      </c>
      <c r="CK1427">
        <v>0</v>
      </c>
      <c r="CL1427">
        <v>0</v>
      </c>
      <c r="CM1427">
        <v>0</v>
      </c>
      <c r="CR1427" t="s">
        <v>2324</v>
      </c>
      <c r="CS1427" s="1369" t="str">
        <f>INDEX([8]Sheet1!$H:$H,MATCH(CR:CR,[8]Sheet1!$AU:$AU,0))</f>
        <v>Finance</v>
      </c>
    </row>
    <row r="1428" spans="1:97" x14ac:dyDescent="0.2">
      <c r="A1428" t="s">
        <v>4504</v>
      </c>
      <c r="B1428">
        <v>1517</v>
      </c>
      <c r="C1428" t="s">
        <v>4504</v>
      </c>
      <c r="D1428">
        <v>54385</v>
      </c>
      <c r="E1428" t="s">
        <v>2468</v>
      </c>
      <c r="F1428">
        <v>2600</v>
      </c>
      <c r="G1428" t="s">
        <v>655</v>
      </c>
      <c r="H1428">
        <v>2600</v>
      </c>
      <c r="I1428" t="s">
        <v>655</v>
      </c>
      <c r="J1428" t="s">
        <v>2365</v>
      </c>
      <c r="K1428" t="s">
        <v>2365</v>
      </c>
      <c r="L1428">
        <v>2500</v>
      </c>
      <c r="M1428" t="s">
        <v>622</v>
      </c>
      <c r="N1428">
        <v>2502</v>
      </c>
      <c r="O1428" t="s">
        <v>1524</v>
      </c>
      <c r="P1428" t="s">
        <v>2366</v>
      </c>
      <c r="Q1428" t="s">
        <v>2364</v>
      </c>
      <c r="R1428" t="s">
        <v>2364</v>
      </c>
      <c r="S1428" t="s">
        <v>1881</v>
      </c>
      <c r="T1428" t="s">
        <v>1812</v>
      </c>
      <c r="U1428" t="s">
        <v>2365</v>
      </c>
      <c r="V1428" t="s">
        <v>2365</v>
      </c>
      <c r="W1428" t="s">
        <v>2365</v>
      </c>
      <c r="X1428" t="s">
        <v>2365</v>
      </c>
      <c r="Y1428" t="s">
        <v>2365</v>
      </c>
      <c r="Z1428" t="s">
        <v>2365</v>
      </c>
      <c r="AA1428" t="s">
        <v>2365</v>
      </c>
      <c r="AB1428" t="s">
        <v>2365</v>
      </c>
      <c r="AC1428" s="813" t="s">
        <v>2365</v>
      </c>
      <c r="AD1428" s="813" t="s">
        <v>2365</v>
      </c>
      <c r="AE1428" s="813" t="s">
        <v>2365</v>
      </c>
      <c r="AF1428" t="s">
        <v>2365</v>
      </c>
      <c r="AG1428" t="s">
        <v>2365</v>
      </c>
      <c r="AH1428" t="s">
        <v>2365</v>
      </c>
      <c r="AI1428" t="s">
        <v>2365</v>
      </c>
      <c r="AJ1428" t="s">
        <v>2365</v>
      </c>
      <c r="AK1428" t="s">
        <v>2365</v>
      </c>
      <c r="AL1428" t="s">
        <v>2365</v>
      </c>
      <c r="AM1428" t="s">
        <v>2365</v>
      </c>
      <c r="AN1428" t="s">
        <v>2365</v>
      </c>
      <c r="AR1428" t="s">
        <v>2365</v>
      </c>
      <c r="AS1428" t="s">
        <v>2365</v>
      </c>
      <c r="AT1428" t="s">
        <v>2365</v>
      </c>
      <c r="AU1428" t="s">
        <v>2365</v>
      </c>
      <c r="AV1428" t="s">
        <v>2365</v>
      </c>
      <c r="AW1428" t="s">
        <v>2365</v>
      </c>
      <c r="AX1428" t="s">
        <v>2365</v>
      </c>
      <c r="AY1428" t="s">
        <v>2365</v>
      </c>
      <c r="AZ1428" t="s">
        <v>2365</v>
      </c>
      <c r="BA1428" t="s">
        <v>2365</v>
      </c>
      <c r="BB1428" t="s">
        <v>2365</v>
      </c>
      <c r="BC1428" t="s">
        <v>2365</v>
      </c>
      <c r="BD1428" t="s">
        <v>2366</v>
      </c>
      <c r="BE1428" t="s">
        <v>2365</v>
      </c>
      <c r="BF1428" t="s">
        <v>2365</v>
      </c>
      <c r="BG1428" t="s">
        <v>2365</v>
      </c>
      <c r="BH1428" t="s">
        <v>2365</v>
      </c>
      <c r="BI1428" t="s">
        <v>2366</v>
      </c>
      <c r="BJ1428" t="s">
        <v>2365</v>
      </c>
      <c r="BK1428" t="s">
        <v>2365</v>
      </c>
      <c r="BL1428" t="s">
        <v>2365</v>
      </c>
      <c r="BM1428" t="s">
        <v>2365</v>
      </c>
      <c r="BO1428">
        <v>15</v>
      </c>
      <c r="BP1428">
        <v>151</v>
      </c>
      <c r="BQ1428" t="s">
        <v>622</v>
      </c>
      <c r="BR1428" t="s">
        <v>1524</v>
      </c>
      <c r="BU1428">
        <v>0</v>
      </c>
      <c r="BV1428">
        <v>0</v>
      </c>
      <c r="BW1428">
        <v>0</v>
      </c>
      <c r="BX1428">
        <v>0</v>
      </c>
      <c r="BY1428">
        <v>0</v>
      </c>
      <c r="BZ1428">
        <v>0</v>
      </c>
      <c r="CA1428">
        <v>0</v>
      </c>
      <c r="CB1428">
        <v>0</v>
      </c>
      <c r="CC1428">
        <v>0</v>
      </c>
      <c r="CD1428">
        <v>0</v>
      </c>
      <c r="CE1428">
        <v>0</v>
      </c>
      <c r="CF1428">
        <v>0</v>
      </c>
      <c r="CG1428">
        <v>0</v>
      </c>
      <c r="CH1428">
        <v>0</v>
      </c>
      <c r="CI1428">
        <v>0</v>
      </c>
      <c r="CJ1428">
        <v>0</v>
      </c>
      <c r="CK1428">
        <v>0</v>
      </c>
      <c r="CL1428">
        <v>0</v>
      </c>
      <c r="CM1428">
        <v>0</v>
      </c>
      <c r="CR1428" t="s">
        <v>2324</v>
      </c>
      <c r="CS1428" s="1369" t="str">
        <f>INDEX([8]Sheet1!$H:$H,MATCH(CR:CR,[8]Sheet1!$AU:$AU,0))</f>
        <v>Finance</v>
      </c>
    </row>
    <row r="1429" spans="1:97" x14ac:dyDescent="0.2">
      <c r="A1429" t="s">
        <v>4505</v>
      </c>
      <c r="B1429">
        <v>1518</v>
      </c>
      <c r="C1429" t="s">
        <v>4505</v>
      </c>
      <c r="D1429">
        <v>54386</v>
      </c>
      <c r="E1429" t="s">
        <v>2427</v>
      </c>
      <c r="F1429">
        <v>2700</v>
      </c>
      <c r="G1429" t="s">
        <v>656</v>
      </c>
      <c r="H1429" t="s">
        <v>2428</v>
      </c>
      <c r="I1429" t="s">
        <v>1800</v>
      </c>
      <c r="J1429">
        <v>2701</v>
      </c>
      <c r="K1429" t="s">
        <v>1800</v>
      </c>
      <c r="L1429">
        <v>2500</v>
      </c>
      <c r="M1429" t="s">
        <v>622</v>
      </c>
      <c r="N1429">
        <v>2502</v>
      </c>
      <c r="O1429" t="s">
        <v>1524</v>
      </c>
      <c r="P1429" t="s">
        <v>2366</v>
      </c>
      <c r="Q1429" t="s">
        <v>2364</v>
      </c>
      <c r="R1429" t="s">
        <v>2364</v>
      </c>
      <c r="S1429" t="s">
        <v>1881</v>
      </c>
      <c r="T1429" t="s">
        <v>1812</v>
      </c>
      <c r="U1429" t="s">
        <v>2365</v>
      </c>
      <c r="V1429" t="s">
        <v>2365</v>
      </c>
      <c r="W1429" t="s">
        <v>2365</v>
      </c>
      <c r="X1429" t="s">
        <v>2365</v>
      </c>
      <c r="Y1429" t="s">
        <v>2365</v>
      </c>
      <c r="Z1429" t="s">
        <v>2365</v>
      </c>
      <c r="AA1429" t="s">
        <v>2365</v>
      </c>
      <c r="AB1429" t="s">
        <v>2365</v>
      </c>
      <c r="AC1429" s="813" t="s">
        <v>2365</v>
      </c>
      <c r="AD1429" s="813" t="s">
        <v>2365</v>
      </c>
      <c r="AE1429" s="813" t="s">
        <v>2365</v>
      </c>
      <c r="AF1429" t="s">
        <v>2365</v>
      </c>
      <c r="AG1429" t="s">
        <v>2365</v>
      </c>
      <c r="AH1429" t="s">
        <v>2365</v>
      </c>
      <c r="AI1429" t="s">
        <v>2365</v>
      </c>
      <c r="AJ1429" t="s">
        <v>2365</v>
      </c>
      <c r="AK1429" t="s">
        <v>2365</v>
      </c>
      <c r="AL1429" t="s">
        <v>2365</v>
      </c>
      <c r="AM1429" t="s">
        <v>2365</v>
      </c>
      <c r="AN1429" t="s">
        <v>2365</v>
      </c>
      <c r="AR1429" t="s">
        <v>2365</v>
      </c>
      <c r="AS1429" t="s">
        <v>2365</v>
      </c>
      <c r="AT1429" t="s">
        <v>2365</v>
      </c>
      <c r="AU1429" t="s">
        <v>2365</v>
      </c>
      <c r="AV1429" t="s">
        <v>2365</v>
      </c>
      <c r="AW1429" t="s">
        <v>2365</v>
      </c>
      <c r="AX1429" t="s">
        <v>2365</v>
      </c>
      <c r="AY1429" t="s">
        <v>2365</v>
      </c>
      <c r="AZ1429" t="s">
        <v>2365</v>
      </c>
      <c r="BA1429" t="s">
        <v>2365</v>
      </c>
      <c r="BB1429" t="s">
        <v>2365</v>
      </c>
      <c r="BC1429" t="s">
        <v>2365</v>
      </c>
      <c r="BD1429" t="s">
        <v>2366</v>
      </c>
      <c r="BE1429" t="s">
        <v>2365</v>
      </c>
      <c r="BF1429" t="s">
        <v>2365</v>
      </c>
      <c r="BG1429" t="s">
        <v>2365</v>
      </c>
      <c r="BH1429" t="s">
        <v>2365</v>
      </c>
      <c r="BI1429" t="s">
        <v>2366</v>
      </c>
      <c r="BJ1429" t="s">
        <v>2365</v>
      </c>
      <c r="BK1429" t="s">
        <v>2365</v>
      </c>
      <c r="BL1429" t="s">
        <v>2365</v>
      </c>
      <c r="BM1429" t="s">
        <v>2365</v>
      </c>
      <c r="BO1429">
        <v>15</v>
      </c>
      <c r="BP1429">
        <v>151</v>
      </c>
      <c r="BQ1429" t="s">
        <v>622</v>
      </c>
      <c r="BR1429" t="s">
        <v>1524</v>
      </c>
      <c r="BU1429">
        <v>50000</v>
      </c>
      <c r="BV1429">
        <v>0</v>
      </c>
      <c r="BW1429">
        <v>50000</v>
      </c>
      <c r="BX1429">
        <v>-45000</v>
      </c>
      <c r="BY1429">
        <v>5000</v>
      </c>
      <c r="BZ1429">
        <v>53000</v>
      </c>
      <c r="CA1429">
        <v>56180</v>
      </c>
      <c r="CB1429">
        <v>0</v>
      </c>
      <c r="CC1429">
        <v>0</v>
      </c>
      <c r="CD1429">
        <v>0</v>
      </c>
      <c r="CE1429">
        <v>2850</v>
      </c>
      <c r="CF1429">
        <v>0</v>
      </c>
      <c r="CG1429">
        <v>36635</v>
      </c>
      <c r="CH1429">
        <v>0</v>
      </c>
      <c r="CI1429">
        <v>0</v>
      </c>
      <c r="CJ1429">
        <v>0</v>
      </c>
      <c r="CK1429">
        <v>0</v>
      </c>
      <c r="CL1429">
        <v>0</v>
      </c>
      <c r="CM1429">
        <v>0</v>
      </c>
      <c r="CR1429" t="s">
        <v>2324</v>
      </c>
      <c r="CS1429" s="1369" t="str">
        <f>INDEX([8]Sheet1!$H:$H,MATCH(CR:CR,[8]Sheet1!$AU:$AU,0))</f>
        <v>Finance</v>
      </c>
    </row>
    <row r="1430" spans="1:97" x14ac:dyDescent="0.2">
      <c r="A1430" t="s">
        <v>4506</v>
      </c>
      <c r="B1430">
        <v>1519</v>
      </c>
      <c r="C1430" t="s">
        <v>4506</v>
      </c>
      <c r="D1430">
        <v>54387</v>
      </c>
      <c r="E1430" t="s">
        <v>2596</v>
      </c>
      <c r="F1430">
        <v>2900</v>
      </c>
      <c r="G1430" t="s">
        <v>569</v>
      </c>
      <c r="H1430" s="1373" t="s">
        <v>2366</v>
      </c>
      <c r="I1430" t="s">
        <v>2366</v>
      </c>
      <c r="J1430">
        <v>2904</v>
      </c>
      <c r="K1430" t="s">
        <v>1432</v>
      </c>
      <c r="L1430" s="1373">
        <v>2500</v>
      </c>
      <c r="M1430" t="s">
        <v>622</v>
      </c>
      <c r="N1430">
        <v>2502</v>
      </c>
      <c r="O1430" t="s">
        <v>1524</v>
      </c>
      <c r="P1430" t="s">
        <v>2366</v>
      </c>
      <c r="Q1430" t="s">
        <v>2364</v>
      </c>
      <c r="R1430" t="s">
        <v>2364</v>
      </c>
      <c r="S1430" t="s">
        <v>1881</v>
      </c>
      <c r="T1430" t="s">
        <v>1812</v>
      </c>
      <c r="U1430" t="s">
        <v>2365</v>
      </c>
      <c r="V1430" t="s">
        <v>2365</v>
      </c>
      <c r="W1430" t="s">
        <v>2365</v>
      </c>
      <c r="X1430" t="s">
        <v>2365</v>
      </c>
      <c r="Y1430" t="s">
        <v>2365</v>
      </c>
      <c r="Z1430" t="s">
        <v>2365</v>
      </c>
      <c r="AA1430" t="s">
        <v>2365</v>
      </c>
      <c r="AB1430" t="s">
        <v>2365</v>
      </c>
      <c r="AC1430" s="813" t="s">
        <v>2365</v>
      </c>
      <c r="AD1430" s="813" t="s">
        <v>2365</v>
      </c>
      <c r="AE1430" s="813" t="s">
        <v>2365</v>
      </c>
      <c r="AF1430" t="s">
        <v>2365</v>
      </c>
      <c r="AG1430" t="s">
        <v>2365</v>
      </c>
      <c r="AH1430" t="s">
        <v>2365</v>
      </c>
      <c r="AI1430" t="s">
        <v>2365</v>
      </c>
      <c r="AJ1430" t="s">
        <v>2365</v>
      </c>
      <c r="AK1430" t="s">
        <v>2365</v>
      </c>
      <c r="AL1430" t="s">
        <v>2365</v>
      </c>
      <c r="AM1430" t="s">
        <v>2365</v>
      </c>
      <c r="AN1430" t="s">
        <v>2365</v>
      </c>
      <c r="AR1430" t="s">
        <v>2365</v>
      </c>
      <c r="AS1430" t="s">
        <v>2365</v>
      </c>
      <c r="AT1430" t="s">
        <v>2365</v>
      </c>
      <c r="AU1430" t="s">
        <v>2365</v>
      </c>
      <c r="AV1430" t="s">
        <v>2365</v>
      </c>
      <c r="AW1430" t="s">
        <v>2365</v>
      </c>
      <c r="AX1430" t="s">
        <v>2365</v>
      </c>
      <c r="AY1430" t="s">
        <v>2365</v>
      </c>
      <c r="AZ1430" t="s">
        <v>2365</v>
      </c>
      <c r="BA1430" t="s">
        <v>2365</v>
      </c>
      <c r="BB1430" t="s">
        <v>2365</v>
      </c>
      <c r="BC1430" t="s">
        <v>2365</v>
      </c>
      <c r="BD1430" t="s">
        <v>2366</v>
      </c>
      <c r="BE1430" t="s">
        <v>2365</v>
      </c>
      <c r="BF1430" t="s">
        <v>2365</v>
      </c>
      <c r="BG1430" t="s">
        <v>2365</v>
      </c>
      <c r="BH1430" t="s">
        <v>2365</v>
      </c>
      <c r="BI1430" t="s">
        <v>2366</v>
      </c>
      <c r="BJ1430" t="s">
        <v>2365</v>
      </c>
      <c r="BK1430" t="s">
        <v>2365</v>
      </c>
      <c r="BL1430" t="s">
        <v>2365</v>
      </c>
      <c r="BM1430" t="s">
        <v>2365</v>
      </c>
      <c r="BO1430">
        <v>15</v>
      </c>
      <c r="BP1430">
        <v>151</v>
      </c>
      <c r="BQ1430" t="s">
        <v>622</v>
      </c>
      <c r="BR1430" t="s">
        <v>1524</v>
      </c>
      <c r="BU1430" s="1371">
        <v>0</v>
      </c>
      <c r="BV1430" s="1371">
        <v>0</v>
      </c>
      <c r="BW1430" s="1371">
        <v>0</v>
      </c>
      <c r="BX1430" s="1371">
        <v>0</v>
      </c>
      <c r="BY1430" s="1371">
        <v>0</v>
      </c>
      <c r="BZ1430">
        <v>0</v>
      </c>
      <c r="CA1430">
        <v>0</v>
      </c>
      <c r="CB1430">
        <v>0</v>
      </c>
      <c r="CC1430">
        <v>0</v>
      </c>
      <c r="CD1430">
        <v>0</v>
      </c>
      <c r="CE1430">
        <v>0</v>
      </c>
      <c r="CF1430">
        <v>0</v>
      </c>
      <c r="CG1430">
        <v>0</v>
      </c>
      <c r="CH1430">
        <v>0</v>
      </c>
      <c r="CI1430">
        <v>0</v>
      </c>
      <c r="CJ1430">
        <v>0</v>
      </c>
      <c r="CK1430">
        <v>0</v>
      </c>
      <c r="CL1430">
        <v>0</v>
      </c>
      <c r="CM1430">
        <v>0</v>
      </c>
      <c r="CR1430" t="s">
        <v>2324</v>
      </c>
      <c r="CS1430" s="1369" t="str">
        <f>INDEX([8]Sheet1!$H:$H,MATCH(CR:CR,[8]Sheet1!$AU:$AU,0))</f>
        <v>Finance</v>
      </c>
    </row>
    <row r="1431" spans="1:97" x14ac:dyDescent="0.2">
      <c r="A1431" t="s">
        <v>4507</v>
      </c>
      <c r="B1431">
        <v>1520</v>
      </c>
      <c r="C1431" t="s">
        <v>4507</v>
      </c>
      <c r="D1431">
        <v>54388</v>
      </c>
      <c r="E1431" t="s">
        <v>2430</v>
      </c>
      <c r="F1431">
        <v>2700</v>
      </c>
      <c r="G1431" t="s">
        <v>656</v>
      </c>
      <c r="H1431" t="s">
        <v>2428</v>
      </c>
      <c r="I1431" t="s">
        <v>1800</v>
      </c>
      <c r="J1431">
        <v>2701</v>
      </c>
      <c r="K1431" t="s">
        <v>1800</v>
      </c>
      <c r="L1431">
        <v>2500</v>
      </c>
      <c r="M1431" t="s">
        <v>622</v>
      </c>
      <c r="N1431">
        <v>2502</v>
      </c>
      <c r="O1431" t="s">
        <v>1524</v>
      </c>
      <c r="P1431" t="s">
        <v>2366</v>
      </c>
      <c r="Q1431" t="s">
        <v>2364</v>
      </c>
      <c r="R1431" t="s">
        <v>2364</v>
      </c>
      <c r="S1431" t="s">
        <v>1881</v>
      </c>
      <c r="T1431" t="s">
        <v>1812</v>
      </c>
      <c r="U1431" t="s">
        <v>2365</v>
      </c>
      <c r="V1431" t="s">
        <v>2365</v>
      </c>
      <c r="W1431" t="s">
        <v>2365</v>
      </c>
      <c r="X1431" t="s">
        <v>2365</v>
      </c>
      <c r="Y1431" t="s">
        <v>2365</v>
      </c>
      <c r="Z1431" t="s">
        <v>2365</v>
      </c>
      <c r="AA1431" t="s">
        <v>2365</v>
      </c>
      <c r="AB1431" t="s">
        <v>2365</v>
      </c>
      <c r="AC1431" s="813" t="s">
        <v>2365</v>
      </c>
      <c r="AD1431" s="813" t="s">
        <v>2365</v>
      </c>
      <c r="AE1431" s="813" t="s">
        <v>2365</v>
      </c>
      <c r="AF1431" t="s">
        <v>2365</v>
      </c>
      <c r="AG1431" t="s">
        <v>2365</v>
      </c>
      <c r="AH1431" t="s">
        <v>2365</v>
      </c>
      <c r="AI1431" t="s">
        <v>2365</v>
      </c>
      <c r="AJ1431" t="s">
        <v>2365</v>
      </c>
      <c r="AK1431" t="s">
        <v>2365</v>
      </c>
      <c r="AL1431" t="s">
        <v>2365</v>
      </c>
      <c r="AM1431" t="s">
        <v>2365</v>
      </c>
      <c r="AN1431" t="s">
        <v>2365</v>
      </c>
      <c r="AR1431" t="s">
        <v>2365</v>
      </c>
      <c r="AS1431" t="s">
        <v>2365</v>
      </c>
      <c r="AT1431" t="s">
        <v>2365</v>
      </c>
      <c r="AU1431" t="s">
        <v>2365</v>
      </c>
      <c r="AV1431" t="s">
        <v>2365</v>
      </c>
      <c r="AW1431" t="s">
        <v>2365</v>
      </c>
      <c r="AX1431" t="s">
        <v>2365</v>
      </c>
      <c r="AY1431" t="s">
        <v>2365</v>
      </c>
      <c r="AZ1431" t="s">
        <v>2365</v>
      </c>
      <c r="BA1431" t="s">
        <v>2365</v>
      </c>
      <c r="BB1431" t="s">
        <v>2365</v>
      </c>
      <c r="BC1431" t="s">
        <v>2365</v>
      </c>
      <c r="BD1431" t="s">
        <v>2366</v>
      </c>
      <c r="BE1431" t="s">
        <v>2365</v>
      </c>
      <c r="BF1431" t="s">
        <v>2365</v>
      </c>
      <c r="BG1431" t="s">
        <v>2365</v>
      </c>
      <c r="BH1431" t="s">
        <v>2365</v>
      </c>
      <c r="BI1431" t="s">
        <v>2366</v>
      </c>
      <c r="BJ1431" t="s">
        <v>2365</v>
      </c>
      <c r="BK1431" t="s">
        <v>2365</v>
      </c>
      <c r="BL1431" t="s">
        <v>2365</v>
      </c>
      <c r="BM1431" t="s">
        <v>2365</v>
      </c>
      <c r="BO1431">
        <v>15</v>
      </c>
      <c r="BP1431">
        <v>151</v>
      </c>
      <c r="BQ1431" t="s">
        <v>622</v>
      </c>
      <c r="BR1431" t="s">
        <v>1524</v>
      </c>
      <c r="BU1431">
        <v>30000</v>
      </c>
      <c r="BV1431">
        <v>0</v>
      </c>
      <c r="BW1431">
        <v>30000</v>
      </c>
      <c r="BX1431">
        <v>0</v>
      </c>
      <c r="BY1431">
        <v>30000</v>
      </c>
      <c r="BZ1431">
        <v>31800</v>
      </c>
      <c r="CA1431">
        <v>33708</v>
      </c>
      <c r="CB1431">
        <v>0</v>
      </c>
      <c r="CC1431">
        <v>0</v>
      </c>
      <c r="CD1431">
        <v>0</v>
      </c>
      <c r="CE1431">
        <v>0</v>
      </c>
      <c r="CF1431">
        <v>0</v>
      </c>
      <c r="CG1431">
        <v>28200</v>
      </c>
      <c r="CH1431">
        <v>0</v>
      </c>
      <c r="CI1431">
        <v>0</v>
      </c>
      <c r="CJ1431">
        <v>0</v>
      </c>
      <c r="CK1431">
        <v>0</v>
      </c>
      <c r="CL1431">
        <v>0</v>
      </c>
      <c r="CM1431">
        <v>0</v>
      </c>
      <c r="CR1431" t="s">
        <v>2324</v>
      </c>
      <c r="CS1431" s="1369" t="str">
        <f>INDEX([8]Sheet1!$H:$H,MATCH(CR:CR,[8]Sheet1!$AU:$AU,0))</f>
        <v>Finance</v>
      </c>
    </row>
    <row r="1432" spans="1:97" x14ac:dyDescent="0.2">
      <c r="A1432" t="s">
        <v>4508</v>
      </c>
      <c r="B1432">
        <v>1521</v>
      </c>
      <c r="C1432" t="s">
        <v>4508</v>
      </c>
      <c r="D1432">
        <v>54389</v>
      </c>
      <c r="E1432" t="s">
        <v>2468</v>
      </c>
      <c r="F1432">
        <v>2600</v>
      </c>
      <c r="G1432" t="s">
        <v>655</v>
      </c>
      <c r="H1432">
        <v>2600</v>
      </c>
      <c r="I1432" t="s">
        <v>655</v>
      </c>
      <c r="J1432" t="s">
        <v>2365</v>
      </c>
      <c r="K1432" t="s">
        <v>2365</v>
      </c>
      <c r="L1432">
        <v>2500</v>
      </c>
      <c r="M1432" t="s">
        <v>622</v>
      </c>
      <c r="N1432">
        <v>2502</v>
      </c>
      <c r="O1432" t="s">
        <v>1524</v>
      </c>
      <c r="P1432" t="s">
        <v>2366</v>
      </c>
      <c r="Q1432" t="s">
        <v>2364</v>
      </c>
      <c r="R1432" t="s">
        <v>2364</v>
      </c>
      <c r="S1432" t="s">
        <v>1881</v>
      </c>
      <c r="T1432" t="s">
        <v>1812</v>
      </c>
      <c r="U1432" t="s">
        <v>2365</v>
      </c>
      <c r="V1432" t="s">
        <v>2365</v>
      </c>
      <c r="W1432" t="s">
        <v>2365</v>
      </c>
      <c r="X1432" t="s">
        <v>2365</v>
      </c>
      <c r="Y1432" t="s">
        <v>2365</v>
      </c>
      <c r="Z1432" t="s">
        <v>2365</v>
      </c>
      <c r="AA1432" t="s">
        <v>2365</v>
      </c>
      <c r="AB1432" t="s">
        <v>2365</v>
      </c>
      <c r="AC1432" s="813" t="s">
        <v>2365</v>
      </c>
      <c r="AD1432" s="813" t="s">
        <v>2365</v>
      </c>
      <c r="AE1432" s="813" t="s">
        <v>2365</v>
      </c>
      <c r="AF1432" t="s">
        <v>2365</v>
      </c>
      <c r="AG1432" t="s">
        <v>2365</v>
      </c>
      <c r="AH1432" t="s">
        <v>2365</v>
      </c>
      <c r="AI1432" t="s">
        <v>2365</v>
      </c>
      <c r="AJ1432" t="s">
        <v>2365</v>
      </c>
      <c r="AK1432" t="s">
        <v>2365</v>
      </c>
      <c r="AL1432" t="s">
        <v>2365</v>
      </c>
      <c r="AM1432" t="s">
        <v>2365</v>
      </c>
      <c r="AN1432" t="s">
        <v>2365</v>
      </c>
      <c r="AR1432" t="s">
        <v>2365</v>
      </c>
      <c r="AS1432" t="s">
        <v>2365</v>
      </c>
      <c r="AT1432" t="s">
        <v>2365</v>
      </c>
      <c r="AU1432" t="s">
        <v>2365</v>
      </c>
      <c r="AV1432" t="s">
        <v>2365</v>
      </c>
      <c r="AW1432" t="s">
        <v>2365</v>
      </c>
      <c r="AX1432" t="s">
        <v>2365</v>
      </c>
      <c r="AY1432" t="s">
        <v>2365</v>
      </c>
      <c r="AZ1432" t="s">
        <v>2365</v>
      </c>
      <c r="BA1432" t="s">
        <v>2365</v>
      </c>
      <c r="BB1432" t="s">
        <v>2365</v>
      </c>
      <c r="BC1432" t="s">
        <v>2365</v>
      </c>
      <c r="BD1432" t="s">
        <v>2366</v>
      </c>
      <c r="BE1432" t="s">
        <v>2365</v>
      </c>
      <c r="BF1432" t="s">
        <v>2365</v>
      </c>
      <c r="BG1432" t="s">
        <v>2365</v>
      </c>
      <c r="BH1432" t="s">
        <v>2365</v>
      </c>
      <c r="BI1432" t="s">
        <v>2366</v>
      </c>
      <c r="BJ1432" t="s">
        <v>2365</v>
      </c>
      <c r="BK1432" t="s">
        <v>2365</v>
      </c>
      <c r="BL1432" t="s">
        <v>2365</v>
      </c>
      <c r="BM1432" t="s">
        <v>2365</v>
      </c>
      <c r="BO1432">
        <v>15</v>
      </c>
      <c r="BP1432">
        <v>151</v>
      </c>
      <c r="BQ1432" t="s">
        <v>622</v>
      </c>
      <c r="BR1432" t="s">
        <v>1524</v>
      </c>
      <c r="BU1432">
        <v>0</v>
      </c>
      <c r="BV1432">
        <v>0</v>
      </c>
      <c r="BW1432">
        <v>0</v>
      </c>
      <c r="BX1432">
        <v>0</v>
      </c>
      <c r="BY1432">
        <v>0</v>
      </c>
      <c r="BZ1432">
        <v>0</v>
      </c>
      <c r="CA1432">
        <v>0</v>
      </c>
      <c r="CB1432">
        <v>0</v>
      </c>
      <c r="CC1432">
        <v>0</v>
      </c>
      <c r="CD1432">
        <v>0</v>
      </c>
      <c r="CE1432">
        <v>0</v>
      </c>
      <c r="CF1432">
        <v>0</v>
      </c>
      <c r="CG1432">
        <v>0</v>
      </c>
      <c r="CH1432">
        <v>0</v>
      </c>
      <c r="CI1432">
        <v>0</v>
      </c>
      <c r="CJ1432">
        <v>0</v>
      </c>
      <c r="CK1432">
        <v>0</v>
      </c>
      <c r="CL1432">
        <v>0</v>
      </c>
      <c r="CM1432">
        <v>0</v>
      </c>
      <c r="CR1432" t="s">
        <v>2324</v>
      </c>
      <c r="CS1432" s="1369" t="str">
        <f>INDEX([8]Sheet1!$H:$H,MATCH(CR:CR,[8]Sheet1!$AU:$AU,0))</f>
        <v>Finance</v>
      </c>
    </row>
    <row r="1433" spans="1:97" x14ac:dyDescent="0.2">
      <c r="A1433" t="s">
        <v>4509</v>
      </c>
      <c r="B1433">
        <v>1522</v>
      </c>
      <c r="C1433" t="s">
        <v>4509</v>
      </c>
      <c r="D1433">
        <v>54390</v>
      </c>
      <c r="E1433" t="s">
        <v>2516</v>
      </c>
      <c r="F1433">
        <v>2900</v>
      </c>
      <c r="G1433" t="s">
        <v>569</v>
      </c>
      <c r="H1433" t="s">
        <v>2366</v>
      </c>
      <c r="I1433" t="s">
        <v>2366</v>
      </c>
      <c r="J1433">
        <v>2904</v>
      </c>
      <c r="K1433" t="s">
        <v>1432</v>
      </c>
      <c r="L1433">
        <v>2500</v>
      </c>
      <c r="M1433" t="s">
        <v>622</v>
      </c>
      <c r="N1433">
        <v>2502</v>
      </c>
      <c r="O1433" t="s">
        <v>1524</v>
      </c>
      <c r="P1433" t="s">
        <v>2366</v>
      </c>
      <c r="Q1433" t="s">
        <v>2364</v>
      </c>
      <c r="R1433" t="s">
        <v>2364</v>
      </c>
      <c r="S1433" t="s">
        <v>1881</v>
      </c>
      <c r="T1433" t="s">
        <v>1812</v>
      </c>
      <c r="U1433" t="s">
        <v>2365</v>
      </c>
      <c r="V1433" t="s">
        <v>2365</v>
      </c>
      <c r="W1433" t="s">
        <v>2365</v>
      </c>
      <c r="X1433" t="s">
        <v>2365</v>
      </c>
      <c r="Y1433" t="s">
        <v>2365</v>
      </c>
      <c r="Z1433" t="s">
        <v>2365</v>
      </c>
      <c r="AA1433" t="s">
        <v>2365</v>
      </c>
      <c r="AB1433" t="s">
        <v>2365</v>
      </c>
      <c r="AC1433" s="813" t="s">
        <v>2365</v>
      </c>
      <c r="AD1433" s="813" t="s">
        <v>2365</v>
      </c>
      <c r="AE1433" s="813" t="s">
        <v>2365</v>
      </c>
      <c r="AF1433" t="s">
        <v>2365</v>
      </c>
      <c r="AG1433" t="s">
        <v>2365</v>
      </c>
      <c r="AH1433" t="s">
        <v>2365</v>
      </c>
      <c r="AI1433" t="s">
        <v>2365</v>
      </c>
      <c r="AJ1433" t="s">
        <v>2365</v>
      </c>
      <c r="AK1433" t="s">
        <v>2365</v>
      </c>
      <c r="AL1433" t="s">
        <v>2365</v>
      </c>
      <c r="AM1433" t="s">
        <v>2365</v>
      </c>
      <c r="AN1433" t="s">
        <v>2365</v>
      </c>
      <c r="AR1433" t="s">
        <v>2365</v>
      </c>
      <c r="AS1433" t="s">
        <v>2365</v>
      </c>
      <c r="AT1433" t="s">
        <v>2365</v>
      </c>
      <c r="AU1433" t="s">
        <v>2365</v>
      </c>
      <c r="AV1433" t="s">
        <v>2365</v>
      </c>
      <c r="AW1433" t="s">
        <v>2365</v>
      </c>
      <c r="AX1433" t="s">
        <v>2365</v>
      </c>
      <c r="AY1433" t="s">
        <v>2365</v>
      </c>
      <c r="AZ1433" t="s">
        <v>2365</v>
      </c>
      <c r="BA1433" t="s">
        <v>2365</v>
      </c>
      <c r="BB1433" t="s">
        <v>2365</v>
      </c>
      <c r="BC1433" t="s">
        <v>2365</v>
      </c>
      <c r="BD1433" t="s">
        <v>2366</v>
      </c>
      <c r="BE1433" t="s">
        <v>2365</v>
      </c>
      <c r="BF1433" t="s">
        <v>2365</v>
      </c>
      <c r="BG1433" t="s">
        <v>2365</v>
      </c>
      <c r="BH1433" t="s">
        <v>2365</v>
      </c>
      <c r="BI1433" t="s">
        <v>2366</v>
      </c>
      <c r="BJ1433" t="s">
        <v>2365</v>
      </c>
      <c r="BK1433" t="s">
        <v>2365</v>
      </c>
      <c r="BL1433" t="s">
        <v>2365</v>
      </c>
      <c r="BM1433" t="s">
        <v>2365</v>
      </c>
      <c r="BO1433">
        <v>15</v>
      </c>
      <c r="BP1433">
        <v>151</v>
      </c>
      <c r="BQ1433" t="s">
        <v>622</v>
      </c>
      <c r="BR1433" t="s">
        <v>1524</v>
      </c>
      <c r="BU1433">
        <v>0</v>
      </c>
      <c r="BV1433">
        <v>0</v>
      </c>
      <c r="BW1433">
        <v>0</v>
      </c>
      <c r="BX1433">
        <v>0</v>
      </c>
      <c r="BY1433">
        <v>0</v>
      </c>
      <c r="BZ1433">
        <v>0</v>
      </c>
      <c r="CA1433">
        <v>0</v>
      </c>
      <c r="CB1433">
        <v>0</v>
      </c>
      <c r="CC1433">
        <v>0</v>
      </c>
      <c r="CD1433">
        <v>0</v>
      </c>
      <c r="CE1433">
        <v>0</v>
      </c>
      <c r="CF1433">
        <v>0</v>
      </c>
      <c r="CG1433">
        <v>0</v>
      </c>
      <c r="CH1433">
        <v>0</v>
      </c>
      <c r="CI1433">
        <v>0</v>
      </c>
      <c r="CJ1433">
        <v>0</v>
      </c>
      <c r="CK1433">
        <v>0</v>
      </c>
      <c r="CL1433">
        <v>0</v>
      </c>
      <c r="CM1433">
        <v>0</v>
      </c>
      <c r="CR1433" t="s">
        <v>2324</v>
      </c>
      <c r="CS1433" s="1369" t="str">
        <f>INDEX([8]Sheet1!$H:$H,MATCH(CR:CR,[8]Sheet1!$AU:$AU,0))</f>
        <v>Finance</v>
      </c>
    </row>
    <row r="1434" spans="1:97" x14ac:dyDescent="0.2">
      <c r="A1434" t="s">
        <v>4510</v>
      </c>
      <c r="B1434">
        <v>1523</v>
      </c>
      <c r="C1434" t="s">
        <v>4510</v>
      </c>
      <c r="D1434">
        <v>54391</v>
      </c>
      <c r="E1434" t="s">
        <v>2516</v>
      </c>
      <c r="F1434">
        <v>2900</v>
      </c>
      <c r="G1434" t="s">
        <v>569</v>
      </c>
      <c r="H1434" t="s">
        <v>2366</v>
      </c>
      <c r="I1434" t="s">
        <v>2366</v>
      </c>
      <c r="J1434">
        <v>2904</v>
      </c>
      <c r="K1434" t="s">
        <v>1432</v>
      </c>
      <c r="L1434">
        <v>2200</v>
      </c>
      <c r="M1434" t="s">
        <v>619</v>
      </c>
      <c r="N1434">
        <v>2205</v>
      </c>
      <c r="O1434" t="s">
        <v>1517</v>
      </c>
      <c r="P1434" t="s">
        <v>2366</v>
      </c>
      <c r="Q1434" t="s">
        <v>2364</v>
      </c>
      <c r="R1434" t="s">
        <v>2364</v>
      </c>
      <c r="S1434" t="s">
        <v>1881</v>
      </c>
      <c r="T1434" t="s">
        <v>1812</v>
      </c>
      <c r="U1434" t="s">
        <v>2365</v>
      </c>
      <c r="V1434" t="s">
        <v>2365</v>
      </c>
      <c r="W1434" t="s">
        <v>2365</v>
      </c>
      <c r="X1434" t="s">
        <v>2365</v>
      </c>
      <c r="Y1434" t="s">
        <v>2365</v>
      </c>
      <c r="Z1434" t="s">
        <v>2365</v>
      </c>
      <c r="AA1434" t="s">
        <v>2365</v>
      </c>
      <c r="AB1434" t="s">
        <v>2365</v>
      </c>
      <c r="AC1434" s="813" t="s">
        <v>2365</v>
      </c>
      <c r="AD1434" s="813" t="s">
        <v>2365</v>
      </c>
      <c r="AE1434" s="813" t="s">
        <v>2365</v>
      </c>
      <c r="AF1434" t="s">
        <v>2365</v>
      </c>
      <c r="AG1434" t="s">
        <v>2365</v>
      </c>
      <c r="AH1434" t="s">
        <v>2365</v>
      </c>
      <c r="AI1434" t="s">
        <v>2365</v>
      </c>
      <c r="AJ1434" t="s">
        <v>2365</v>
      </c>
      <c r="AK1434" s="1373" t="s">
        <v>2365</v>
      </c>
      <c r="AL1434" t="s">
        <v>2365</v>
      </c>
      <c r="AM1434" t="s">
        <v>2365</v>
      </c>
      <c r="AN1434" t="s">
        <v>2365</v>
      </c>
      <c r="AR1434" t="s">
        <v>2365</v>
      </c>
      <c r="AS1434" t="s">
        <v>2365</v>
      </c>
      <c r="AT1434" t="s">
        <v>2365</v>
      </c>
      <c r="AU1434" t="s">
        <v>2365</v>
      </c>
      <c r="AV1434" t="s">
        <v>2365</v>
      </c>
      <c r="AW1434" t="s">
        <v>2365</v>
      </c>
      <c r="AX1434" t="s">
        <v>2365</v>
      </c>
      <c r="AY1434" t="s">
        <v>2365</v>
      </c>
      <c r="AZ1434" t="s">
        <v>2365</v>
      </c>
      <c r="BA1434" t="s">
        <v>2365</v>
      </c>
      <c r="BB1434" t="s">
        <v>2365</v>
      </c>
      <c r="BC1434" t="s">
        <v>2365</v>
      </c>
      <c r="BD1434" t="s">
        <v>2366</v>
      </c>
      <c r="BE1434" t="s">
        <v>2365</v>
      </c>
      <c r="BF1434" t="s">
        <v>2365</v>
      </c>
      <c r="BG1434" t="s">
        <v>2365</v>
      </c>
      <c r="BH1434" t="s">
        <v>2365</v>
      </c>
      <c r="BI1434" t="s">
        <v>2366</v>
      </c>
      <c r="BJ1434" t="s">
        <v>2365</v>
      </c>
      <c r="BK1434" t="s">
        <v>2365</v>
      </c>
      <c r="BL1434" t="s">
        <v>2365</v>
      </c>
      <c r="BM1434" t="s">
        <v>2365</v>
      </c>
      <c r="BO1434">
        <v>9</v>
      </c>
      <c r="BP1434">
        <v>91</v>
      </c>
      <c r="BQ1434" t="s">
        <v>265</v>
      </c>
      <c r="BR1434" t="s">
        <v>1517</v>
      </c>
      <c r="BU1434">
        <v>200000</v>
      </c>
      <c r="BV1434">
        <v>0</v>
      </c>
      <c r="BW1434">
        <v>200000</v>
      </c>
      <c r="BX1434">
        <v>-50000</v>
      </c>
      <c r="BY1434">
        <v>150000</v>
      </c>
      <c r="BZ1434">
        <v>212000</v>
      </c>
      <c r="CA1434">
        <v>224720</v>
      </c>
      <c r="CB1434">
        <v>0</v>
      </c>
      <c r="CC1434">
        <v>0</v>
      </c>
      <c r="CD1434">
        <v>0</v>
      </c>
      <c r="CE1434">
        <v>0</v>
      </c>
      <c r="CF1434">
        <v>0</v>
      </c>
      <c r="CG1434">
        <v>0</v>
      </c>
      <c r="CH1434">
        <v>0</v>
      </c>
      <c r="CI1434">
        <v>0</v>
      </c>
      <c r="CJ1434">
        <v>0</v>
      </c>
      <c r="CK1434">
        <v>0</v>
      </c>
      <c r="CL1434">
        <v>0</v>
      </c>
      <c r="CM1434">
        <v>0</v>
      </c>
      <c r="CR1434" t="s">
        <v>2320</v>
      </c>
      <c r="CS1434" s="1369" t="str">
        <f>INDEX([8]Sheet1!$H:$H,MATCH(CR:CR,[8]Sheet1!$AU:$AU,0))</f>
        <v>Administrative and Corporate Support</v>
      </c>
    </row>
    <row r="1435" spans="1:97" x14ac:dyDescent="0.2">
      <c r="A1435" t="s">
        <v>4511</v>
      </c>
      <c r="B1435">
        <v>1524</v>
      </c>
      <c r="C1435" t="s">
        <v>4511</v>
      </c>
      <c r="D1435">
        <v>54392</v>
      </c>
      <c r="E1435" t="s">
        <v>2600</v>
      </c>
      <c r="F1435">
        <v>2900</v>
      </c>
      <c r="G1435" t="s">
        <v>569</v>
      </c>
      <c r="H1435" t="s">
        <v>2366</v>
      </c>
      <c r="I1435" t="s">
        <v>2366</v>
      </c>
      <c r="J1435">
        <v>2904</v>
      </c>
      <c r="K1435" t="s">
        <v>1432</v>
      </c>
      <c r="L1435">
        <v>2200</v>
      </c>
      <c r="M1435" t="s">
        <v>619</v>
      </c>
      <c r="N1435">
        <v>2205</v>
      </c>
      <c r="O1435" t="s">
        <v>1517</v>
      </c>
      <c r="P1435" t="s">
        <v>2366</v>
      </c>
      <c r="Q1435" t="s">
        <v>2364</v>
      </c>
      <c r="R1435" t="s">
        <v>2364</v>
      </c>
      <c r="S1435" t="s">
        <v>1881</v>
      </c>
      <c r="T1435" t="s">
        <v>1812</v>
      </c>
      <c r="U1435" t="s">
        <v>2365</v>
      </c>
      <c r="V1435" t="s">
        <v>2365</v>
      </c>
      <c r="W1435" t="s">
        <v>2365</v>
      </c>
      <c r="X1435" t="s">
        <v>2365</v>
      </c>
      <c r="Y1435" t="s">
        <v>2365</v>
      </c>
      <c r="Z1435" t="s">
        <v>2365</v>
      </c>
      <c r="AA1435" t="s">
        <v>2365</v>
      </c>
      <c r="AB1435" t="s">
        <v>2365</v>
      </c>
      <c r="AC1435" s="813" t="s">
        <v>2365</v>
      </c>
      <c r="AD1435" s="813" t="s">
        <v>2365</v>
      </c>
      <c r="AE1435" s="813" t="s">
        <v>2365</v>
      </c>
      <c r="AF1435" t="s">
        <v>2365</v>
      </c>
      <c r="AG1435" t="s">
        <v>2365</v>
      </c>
      <c r="AH1435" t="s">
        <v>2365</v>
      </c>
      <c r="AI1435" t="s">
        <v>2365</v>
      </c>
      <c r="AJ1435" t="s">
        <v>2365</v>
      </c>
      <c r="AK1435" t="s">
        <v>2365</v>
      </c>
      <c r="AL1435" t="s">
        <v>2365</v>
      </c>
      <c r="AM1435" t="s">
        <v>2365</v>
      </c>
      <c r="AN1435" t="s">
        <v>2365</v>
      </c>
      <c r="AR1435" t="s">
        <v>2365</v>
      </c>
      <c r="AS1435" t="s">
        <v>2365</v>
      </c>
      <c r="AT1435" t="s">
        <v>2365</v>
      </c>
      <c r="AU1435" t="s">
        <v>2365</v>
      </c>
      <c r="AV1435" t="s">
        <v>2365</v>
      </c>
      <c r="AW1435" t="s">
        <v>2365</v>
      </c>
      <c r="AX1435" t="s">
        <v>2365</v>
      </c>
      <c r="AY1435" t="s">
        <v>2365</v>
      </c>
      <c r="AZ1435" t="s">
        <v>2365</v>
      </c>
      <c r="BA1435" t="s">
        <v>2365</v>
      </c>
      <c r="BB1435" t="s">
        <v>2365</v>
      </c>
      <c r="BC1435" t="s">
        <v>2365</v>
      </c>
      <c r="BD1435" t="s">
        <v>2366</v>
      </c>
      <c r="BE1435" t="s">
        <v>2365</v>
      </c>
      <c r="BF1435" t="s">
        <v>2365</v>
      </c>
      <c r="BG1435" t="s">
        <v>2365</v>
      </c>
      <c r="BH1435" t="s">
        <v>2365</v>
      </c>
      <c r="BI1435" t="s">
        <v>2366</v>
      </c>
      <c r="BJ1435" t="s">
        <v>2365</v>
      </c>
      <c r="BK1435" t="s">
        <v>2365</v>
      </c>
      <c r="BL1435" t="s">
        <v>2365</v>
      </c>
      <c r="BM1435" t="s">
        <v>2365</v>
      </c>
      <c r="BO1435">
        <v>9</v>
      </c>
      <c r="BP1435">
        <v>91</v>
      </c>
      <c r="BQ1435" t="s">
        <v>265</v>
      </c>
      <c r="BR1435" t="s">
        <v>1517</v>
      </c>
      <c r="BU1435">
        <v>0</v>
      </c>
      <c r="BV1435">
        <v>0</v>
      </c>
      <c r="BW1435">
        <v>0</v>
      </c>
      <c r="BX1435">
        <v>0</v>
      </c>
      <c r="BY1435">
        <v>0</v>
      </c>
      <c r="BZ1435">
        <v>0</v>
      </c>
      <c r="CA1435">
        <v>0</v>
      </c>
      <c r="CB1435">
        <v>0</v>
      </c>
      <c r="CC1435">
        <v>0</v>
      </c>
      <c r="CD1435">
        <v>0</v>
      </c>
      <c r="CE1435">
        <v>0</v>
      </c>
      <c r="CF1435">
        <v>0</v>
      </c>
      <c r="CG1435">
        <v>0</v>
      </c>
      <c r="CH1435">
        <v>0</v>
      </c>
      <c r="CI1435">
        <v>0</v>
      </c>
      <c r="CJ1435">
        <v>0</v>
      </c>
      <c r="CK1435">
        <v>0</v>
      </c>
      <c r="CL1435">
        <v>0</v>
      </c>
      <c r="CM1435">
        <v>0</v>
      </c>
      <c r="CR1435" t="s">
        <v>2320</v>
      </c>
      <c r="CS1435" s="1369" t="str">
        <f>INDEX([8]Sheet1!$H:$H,MATCH(CR:CR,[8]Sheet1!$AU:$AU,0))</f>
        <v>Administrative and Corporate Support</v>
      </c>
    </row>
    <row r="1436" spans="1:97" x14ac:dyDescent="0.2">
      <c r="A1436" t="s">
        <v>4512</v>
      </c>
      <c r="B1436">
        <v>1525</v>
      </c>
      <c r="C1436" t="s">
        <v>4512</v>
      </c>
      <c r="D1436">
        <v>54393</v>
      </c>
      <c r="E1436" t="s">
        <v>2430</v>
      </c>
      <c r="F1436">
        <v>2700</v>
      </c>
      <c r="G1436" t="s">
        <v>656</v>
      </c>
      <c r="H1436" t="s">
        <v>2428</v>
      </c>
      <c r="I1436" t="s">
        <v>1800</v>
      </c>
      <c r="J1436">
        <v>2701</v>
      </c>
      <c r="K1436" t="s">
        <v>1800</v>
      </c>
      <c r="L1436">
        <v>2200</v>
      </c>
      <c r="M1436" t="s">
        <v>619</v>
      </c>
      <c r="N1436">
        <v>2205</v>
      </c>
      <c r="O1436" t="s">
        <v>1517</v>
      </c>
      <c r="P1436" t="s">
        <v>2366</v>
      </c>
      <c r="Q1436" t="s">
        <v>2364</v>
      </c>
      <c r="R1436" t="s">
        <v>2364</v>
      </c>
      <c r="S1436" t="s">
        <v>1881</v>
      </c>
      <c r="T1436" t="s">
        <v>1812</v>
      </c>
      <c r="U1436" t="s">
        <v>2365</v>
      </c>
      <c r="V1436" t="s">
        <v>2365</v>
      </c>
      <c r="W1436" t="s">
        <v>2365</v>
      </c>
      <c r="X1436" t="s">
        <v>2365</v>
      </c>
      <c r="Y1436" t="s">
        <v>2365</v>
      </c>
      <c r="Z1436" t="s">
        <v>2365</v>
      </c>
      <c r="AA1436" t="s">
        <v>2365</v>
      </c>
      <c r="AB1436" t="s">
        <v>2365</v>
      </c>
      <c r="AC1436" s="813" t="s">
        <v>2365</v>
      </c>
      <c r="AD1436" s="813" t="s">
        <v>2365</v>
      </c>
      <c r="AE1436" s="813" t="s">
        <v>2365</v>
      </c>
      <c r="AF1436" t="s">
        <v>2365</v>
      </c>
      <c r="AG1436" t="s">
        <v>2365</v>
      </c>
      <c r="AH1436" t="s">
        <v>2365</v>
      </c>
      <c r="AI1436" t="s">
        <v>2365</v>
      </c>
      <c r="AJ1436" t="s">
        <v>2365</v>
      </c>
      <c r="AK1436" t="s">
        <v>2365</v>
      </c>
      <c r="AL1436" t="s">
        <v>2365</v>
      </c>
      <c r="AM1436" t="s">
        <v>2365</v>
      </c>
      <c r="AN1436" t="s">
        <v>2365</v>
      </c>
      <c r="AR1436" t="s">
        <v>2365</v>
      </c>
      <c r="AS1436" t="s">
        <v>2365</v>
      </c>
      <c r="AT1436" t="s">
        <v>2365</v>
      </c>
      <c r="AU1436" t="s">
        <v>2365</v>
      </c>
      <c r="AV1436" t="s">
        <v>2365</v>
      </c>
      <c r="AW1436" t="s">
        <v>2365</v>
      </c>
      <c r="AX1436" t="s">
        <v>2365</v>
      </c>
      <c r="AY1436" t="s">
        <v>2365</v>
      </c>
      <c r="AZ1436" t="s">
        <v>2365</v>
      </c>
      <c r="BA1436" t="s">
        <v>2365</v>
      </c>
      <c r="BB1436" t="s">
        <v>2365</v>
      </c>
      <c r="BC1436" t="s">
        <v>2365</v>
      </c>
      <c r="BD1436" t="s">
        <v>2366</v>
      </c>
      <c r="BE1436" t="s">
        <v>2365</v>
      </c>
      <c r="BF1436" t="s">
        <v>2365</v>
      </c>
      <c r="BG1436" t="s">
        <v>2365</v>
      </c>
      <c r="BH1436" t="s">
        <v>2365</v>
      </c>
      <c r="BI1436" t="s">
        <v>2366</v>
      </c>
      <c r="BJ1436" t="s">
        <v>2365</v>
      </c>
      <c r="BK1436" t="s">
        <v>2365</v>
      </c>
      <c r="BL1436" t="s">
        <v>2365</v>
      </c>
      <c r="BM1436" t="s">
        <v>2365</v>
      </c>
      <c r="BO1436">
        <v>9</v>
      </c>
      <c r="BP1436">
        <v>91</v>
      </c>
      <c r="BQ1436" t="s">
        <v>265</v>
      </c>
      <c r="BR1436" t="s">
        <v>1517</v>
      </c>
      <c r="BU1436">
        <v>5000</v>
      </c>
      <c r="BV1436">
        <v>0</v>
      </c>
      <c r="BW1436">
        <v>5000</v>
      </c>
      <c r="BX1436">
        <v>5000</v>
      </c>
      <c r="BY1436">
        <v>10000</v>
      </c>
      <c r="BZ1436">
        <v>5300</v>
      </c>
      <c r="CA1436">
        <v>5618</v>
      </c>
      <c r="CB1436">
        <v>0</v>
      </c>
      <c r="CC1436">
        <v>0</v>
      </c>
      <c r="CD1436">
        <v>0</v>
      </c>
      <c r="CE1436">
        <v>9120</v>
      </c>
      <c r="CF1436">
        <v>0</v>
      </c>
      <c r="CG1436">
        <v>0</v>
      </c>
      <c r="CH1436">
        <v>0</v>
      </c>
      <c r="CI1436">
        <v>0</v>
      </c>
      <c r="CJ1436">
        <v>0</v>
      </c>
      <c r="CK1436">
        <v>0</v>
      </c>
      <c r="CL1436">
        <v>0</v>
      </c>
      <c r="CM1436">
        <v>0</v>
      </c>
      <c r="CR1436" t="s">
        <v>2320</v>
      </c>
      <c r="CS1436" s="1369" t="str">
        <f>INDEX([8]Sheet1!$H:$H,MATCH(CR:CR,[8]Sheet1!$AU:$AU,0))</f>
        <v>Administrative and Corporate Support</v>
      </c>
    </row>
    <row r="1437" spans="1:97" x14ac:dyDescent="0.2">
      <c r="A1437" t="s">
        <v>4513</v>
      </c>
      <c r="B1437">
        <v>1526</v>
      </c>
      <c r="C1437" t="s">
        <v>4513</v>
      </c>
      <c r="D1437">
        <v>54394</v>
      </c>
      <c r="E1437" t="s">
        <v>2468</v>
      </c>
      <c r="F1437">
        <v>2600</v>
      </c>
      <c r="G1437" t="s">
        <v>655</v>
      </c>
      <c r="H1437">
        <v>2600</v>
      </c>
      <c r="I1437" t="s">
        <v>655</v>
      </c>
      <c r="J1437" t="s">
        <v>2365</v>
      </c>
      <c r="K1437" t="s">
        <v>2365</v>
      </c>
      <c r="L1437">
        <v>2200</v>
      </c>
      <c r="M1437" t="s">
        <v>619</v>
      </c>
      <c r="N1437">
        <v>2205</v>
      </c>
      <c r="O1437" t="s">
        <v>1517</v>
      </c>
      <c r="P1437" t="s">
        <v>2366</v>
      </c>
      <c r="Q1437" t="s">
        <v>2364</v>
      </c>
      <c r="R1437" t="s">
        <v>2364</v>
      </c>
      <c r="S1437" t="s">
        <v>1881</v>
      </c>
      <c r="T1437" t="s">
        <v>1812</v>
      </c>
      <c r="U1437" t="s">
        <v>2365</v>
      </c>
      <c r="V1437" t="s">
        <v>2365</v>
      </c>
      <c r="W1437" t="s">
        <v>2365</v>
      </c>
      <c r="X1437" t="s">
        <v>2365</v>
      </c>
      <c r="Y1437" t="s">
        <v>2365</v>
      </c>
      <c r="Z1437" t="s">
        <v>2365</v>
      </c>
      <c r="AA1437" t="s">
        <v>2365</v>
      </c>
      <c r="AB1437" t="s">
        <v>2365</v>
      </c>
      <c r="AC1437" s="813" t="s">
        <v>2365</v>
      </c>
      <c r="AD1437" s="813" t="s">
        <v>2365</v>
      </c>
      <c r="AE1437" s="813" t="s">
        <v>2365</v>
      </c>
      <c r="AF1437" t="s">
        <v>2365</v>
      </c>
      <c r="AG1437" t="s">
        <v>2365</v>
      </c>
      <c r="AH1437" t="s">
        <v>2365</v>
      </c>
      <c r="AI1437" t="s">
        <v>2365</v>
      </c>
      <c r="AJ1437" t="s">
        <v>2365</v>
      </c>
      <c r="AK1437" t="s">
        <v>2365</v>
      </c>
      <c r="AL1437" t="s">
        <v>2365</v>
      </c>
      <c r="AM1437" t="s">
        <v>2365</v>
      </c>
      <c r="AN1437" t="s">
        <v>2365</v>
      </c>
      <c r="AR1437" t="s">
        <v>2365</v>
      </c>
      <c r="AS1437" t="s">
        <v>2365</v>
      </c>
      <c r="AT1437" t="s">
        <v>2365</v>
      </c>
      <c r="AU1437" t="s">
        <v>2365</v>
      </c>
      <c r="AV1437" t="s">
        <v>2365</v>
      </c>
      <c r="AW1437" t="s">
        <v>2365</v>
      </c>
      <c r="AX1437" t="s">
        <v>2365</v>
      </c>
      <c r="AY1437" t="s">
        <v>2365</v>
      </c>
      <c r="AZ1437" t="s">
        <v>2365</v>
      </c>
      <c r="BA1437" t="s">
        <v>2365</v>
      </c>
      <c r="BB1437" t="s">
        <v>2365</v>
      </c>
      <c r="BC1437" t="s">
        <v>2365</v>
      </c>
      <c r="BD1437" t="s">
        <v>2366</v>
      </c>
      <c r="BE1437" t="s">
        <v>2365</v>
      </c>
      <c r="BF1437" t="s">
        <v>2365</v>
      </c>
      <c r="BG1437" t="s">
        <v>2365</v>
      </c>
      <c r="BH1437" t="s">
        <v>2365</v>
      </c>
      <c r="BI1437" t="s">
        <v>2366</v>
      </c>
      <c r="BJ1437" t="s">
        <v>2365</v>
      </c>
      <c r="BK1437" t="s">
        <v>2365</v>
      </c>
      <c r="BL1437" t="s">
        <v>2365</v>
      </c>
      <c r="BM1437" t="s">
        <v>2365</v>
      </c>
      <c r="BO1437">
        <v>9</v>
      </c>
      <c r="BP1437">
        <v>91</v>
      </c>
      <c r="BQ1437" t="s">
        <v>265</v>
      </c>
      <c r="BR1437" t="s">
        <v>1517</v>
      </c>
      <c r="BU1437">
        <v>0</v>
      </c>
      <c r="BV1437">
        <v>0</v>
      </c>
      <c r="BW1437">
        <v>0</v>
      </c>
      <c r="BX1437">
        <v>0</v>
      </c>
      <c r="BY1437">
        <v>0</v>
      </c>
      <c r="BZ1437">
        <v>0</v>
      </c>
      <c r="CA1437">
        <v>0</v>
      </c>
      <c r="CB1437">
        <v>0</v>
      </c>
      <c r="CC1437">
        <v>0</v>
      </c>
      <c r="CD1437">
        <v>0</v>
      </c>
      <c r="CE1437">
        <v>0</v>
      </c>
      <c r="CF1437">
        <v>0</v>
      </c>
      <c r="CG1437">
        <v>0</v>
      </c>
      <c r="CH1437">
        <v>0</v>
      </c>
      <c r="CI1437">
        <v>0</v>
      </c>
      <c r="CJ1437">
        <v>0</v>
      </c>
      <c r="CK1437">
        <v>0</v>
      </c>
      <c r="CL1437">
        <v>0</v>
      </c>
      <c r="CM1437">
        <v>0</v>
      </c>
      <c r="CR1437" t="s">
        <v>2320</v>
      </c>
      <c r="CS1437" s="1369" t="str">
        <f>INDEX([8]Sheet1!$H:$H,MATCH(CR:CR,[8]Sheet1!$AU:$AU,0))</f>
        <v>Administrative and Corporate Support</v>
      </c>
    </row>
    <row r="1438" spans="1:97" x14ac:dyDescent="0.2">
      <c r="A1438" t="s">
        <v>4514</v>
      </c>
      <c r="B1438">
        <v>1527</v>
      </c>
      <c r="C1438" t="s">
        <v>4514</v>
      </c>
      <c r="D1438">
        <v>54395</v>
      </c>
      <c r="E1438" t="s">
        <v>2600</v>
      </c>
      <c r="F1438">
        <v>2900</v>
      </c>
      <c r="G1438" t="s">
        <v>569</v>
      </c>
      <c r="H1438" t="s">
        <v>2366</v>
      </c>
      <c r="I1438" t="s">
        <v>2366</v>
      </c>
      <c r="J1438">
        <v>2904</v>
      </c>
      <c r="K1438" t="s">
        <v>1432</v>
      </c>
      <c r="L1438">
        <v>2200</v>
      </c>
      <c r="M1438" t="s">
        <v>619</v>
      </c>
      <c r="N1438">
        <v>2205</v>
      </c>
      <c r="O1438" t="s">
        <v>1517</v>
      </c>
      <c r="P1438" t="s">
        <v>2366</v>
      </c>
      <c r="Q1438" t="s">
        <v>2364</v>
      </c>
      <c r="R1438" t="s">
        <v>2364</v>
      </c>
      <c r="S1438" t="s">
        <v>1881</v>
      </c>
      <c r="T1438" t="s">
        <v>1812</v>
      </c>
      <c r="U1438" t="s">
        <v>2365</v>
      </c>
      <c r="V1438" t="s">
        <v>2365</v>
      </c>
      <c r="W1438" t="s">
        <v>2365</v>
      </c>
      <c r="X1438" t="s">
        <v>2365</v>
      </c>
      <c r="Y1438" t="s">
        <v>2365</v>
      </c>
      <c r="Z1438" t="s">
        <v>2365</v>
      </c>
      <c r="AA1438" t="s">
        <v>2365</v>
      </c>
      <c r="AB1438" t="s">
        <v>2365</v>
      </c>
      <c r="AC1438" s="813" t="s">
        <v>2365</v>
      </c>
      <c r="AD1438" s="813" t="s">
        <v>2365</v>
      </c>
      <c r="AE1438" s="813" t="s">
        <v>2365</v>
      </c>
      <c r="AF1438" t="s">
        <v>2365</v>
      </c>
      <c r="AG1438" t="s">
        <v>2365</v>
      </c>
      <c r="AH1438" t="s">
        <v>2365</v>
      </c>
      <c r="AI1438" t="s">
        <v>2365</v>
      </c>
      <c r="AJ1438" t="s">
        <v>2365</v>
      </c>
      <c r="AK1438" t="s">
        <v>2365</v>
      </c>
      <c r="AL1438" t="s">
        <v>2365</v>
      </c>
      <c r="AM1438" t="s">
        <v>2365</v>
      </c>
      <c r="AN1438" t="s">
        <v>2365</v>
      </c>
      <c r="AR1438" t="s">
        <v>2365</v>
      </c>
      <c r="AS1438" t="s">
        <v>2365</v>
      </c>
      <c r="AT1438" t="s">
        <v>2365</v>
      </c>
      <c r="AU1438" t="s">
        <v>2365</v>
      </c>
      <c r="AV1438" t="s">
        <v>2365</v>
      </c>
      <c r="AW1438" t="s">
        <v>2365</v>
      </c>
      <c r="AX1438" t="s">
        <v>2365</v>
      </c>
      <c r="AY1438" t="s">
        <v>2365</v>
      </c>
      <c r="AZ1438" t="s">
        <v>2365</v>
      </c>
      <c r="BA1438" t="s">
        <v>2365</v>
      </c>
      <c r="BB1438" t="s">
        <v>2365</v>
      </c>
      <c r="BC1438" t="s">
        <v>2365</v>
      </c>
      <c r="BD1438" t="s">
        <v>2366</v>
      </c>
      <c r="BE1438" t="s">
        <v>2365</v>
      </c>
      <c r="BF1438" t="s">
        <v>2365</v>
      </c>
      <c r="BG1438" t="s">
        <v>2365</v>
      </c>
      <c r="BH1438" t="s">
        <v>2365</v>
      </c>
      <c r="BI1438" t="s">
        <v>2366</v>
      </c>
      <c r="BJ1438" t="s">
        <v>2365</v>
      </c>
      <c r="BK1438" t="s">
        <v>2365</v>
      </c>
      <c r="BL1438" t="s">
        <v>2365</v>
      </c>
      <c r="BM1438" t="s">
        <v>2365</v>
      </c>
      <c r="BO1438">
        <v>9</v>
      </c>
      <c r="BP1438">
        <v>91</v>
      </c>
      <c r="BQ1438" t="s">
        <v>265</v>
      </c>
      <c r="BR1438" t="s">
        <v>1517</v>
      </c>
      <c r="BU1438">
        <v>0</v>
      </c>
      <c r="BV1438">
        <v>0</v>
      </c>
      <c r="BW1438">
        <v>0</v>
      </c>
      <c r="BX1438">
        <v>0</v>
      </c>
      <c r="BY1438">
        <v>0</v>
      </c>
      <c r="BZ1438">
        <v>0</v>
      </c>
      <c r="CA1438">
        <v>0</v>
      </c>
      <c r="CB1438">
        <v>0</v>
      </c>
      <c r="CC1438">
        <v>0</v>
      </c>
      <c r="CD1438">
        <v>0</v>
      </c>
      <c r="CE1438">
        <v>0</v>
      </c>
      <c r="CF1438">
        <v>0</v>
      </c>
      <c r="CG1438">
        <v>0</v>
      </c>
      <c r="CH1438">
        <v>0</v>
      </c>
      <c r="CI1438">
        <v>0</v>
      </c>
      <c r="CJ1438">
        <v>0</v>
      </c>
      <c r="CK1438">
        <v>0</v>
      </c>
      <c r="CL1438">
        <v>0</v>
      </c>
      <c r="CM1438">
        <v>0</v>
      </c>
      <c r="CR1438" t="s">
        <v>2320</v>
      </c>
      <c r="CS1438" s="1369" t="str">
        <f>INDEX([8]Sheet1!$H:$H,MATCH(CR:CR,[8]Sheet1!$AU:$AU,0))</f>
        <v>Administrative and Corporate Support</v>
      </c>
    </row>
    <row r="1439" spans="1:97" x14ac:dyDescent="0.2">
      <c r="A1439" t="s">
        <v>4515</v>
      </c>
      <c r="B1439">
        <v>1528</v>
      </c>
      <c r="C1439" t="s">
        <v>4515</v>
      </c>
      <c r="D1439">
        <v>54396</v>
      </c>
      <c r="E1439" t="s">
        <v>2430</v>
      </c>
      <c r="F1439">
        <v>2700</v>
      </c>
      <c r="G1439" t="s">
        <v>656</v>
      </c>
      <c r="H1439" t="s">
        <v>2428</v>
      </c>
      <c r="I1439" t="s">
        <v>1800</v>
      </c>
      <c r="J1439">
        <v>2701</v>
      </c>
      <c r="K1439" t="s">
        <v>1800</v>
      </c>
      <c r="L1439">
        <v>2200</v>
      </c>
      <c r="M1439" t="s">
        <v>619</v>
      </c>
      <c r="N1439">
        <v>2205</v>
      </c>
      <c r="O1439" t="s">
        <v>1517</v>
      </c>
      <c r="P1439" t="s">
        <v>2366</v>
      </c>
      <c r="Q1439" t="s">
        <v>2364</v>
      </c>
      <c r="R1439" t="s">
        <v>2364</v>
      </c>
      <c r="S1439" t="s">
        <v>1881</v>
      </c>
      <c r="T1439" t="s">
        <v>1812</v>
      </c>
      <c r="U1439" t="s">
        <v>2365</v>
      </c>
      <c r="V1439" t="s">
        <v>2365</v>
      </c>
      <c r="W1439" t="s">
        <v>2365</v>
      </c>
      <c r="X1439" t="s">
        <v>2365</v>
      </c>
      <c r="Y1439" t="s">
        <v>2365</v>
      </c>
      <c r="Z1439" t="s">
        <v>2365</v>
      </c>
      <c r="AA1439" t="s">
        <v>2365</v>
      </c>
      <c r="AB1439" t="s">
        <v>2365</v>
      </c>
      <c r="AC1439" s="813" t="s">
        <v>2365</v>
      </c>
      <c r="AD1439" s="813" t="s">
        <v>2365</v>
      </c>
      <c r="AE1439" s="813" t="s">
        <v>2365</v>
      </c>
      <c r="AF1439" t="s">
        <v>2365</v>
      </c>
      <c r="AG1439" t="s">
        <v>2365</v>
      </c>
      <c r="AH1439" t="s">
        <v>2365</v>
      </c>
      <c r="AI1439" t="s">
        <v>2365</v>
      </c>
      <c r="AJ1439" t="s">
        <v>2365</v>
      </c>
      <c r="AK1439" t="s">
        <v>2365</v>
      </c>
      <c r="AL1439" t="s">
        <v>2365</v>
      </c>
      <c r="AM1439" t="s">
        <v>2365</v>
      </c>
      <c r="AN1439" t="s">
        <v>2365</v>
      </c>
      <c r="AR1439" t="s">
        <v>2365</v>
      </c>
      <c r="AS1439" t="s">
        <v>2365</v>
      </c>
      <c r="AT1439" t="s">
        <v>2365</v>
      </c>
      <c r="AU1439" t="s">
        <v>2365</v>
      </c>
      <c r="AV1439" t="s">
        <v>2365</v>
      </c>
      <c r="AW1439" t="s">
        <v>2365</v>
      </c>
      <c r="AX1439" t="s">
        <v>2365</v>
      </c>
      <c r="AY1439" t="s">
        <v>2365</v>
      </c>
      <c r="AZ1439" t="s">
        <v>2365</v>
      </c>
      <c r="BA1439" t="s">
        <v>2365</v>
      </c>
      <c r="BB1439" t="s">
        <v>2365</v>
      </c>
      <c r="BC1439" t="s">
        <v>2365</v>
      </c>
      <c r="BD1439" t="s">
        <v>2366</v>
      </c>
      <c r="BE1439" t="s">
        <v>2365</v>
      </c>
      <c r="BF1439" t="s">
        <v>2365</v>
      </c>
      <c r="BG1439" t="s">
        <v>2365</v>
      </c>
      <c r="BH1439" t="s">
        <v>2365</v>
      </c>
      <c r="BI1439" t="s">
        <v>2366</v>
      </c>
      <c r="BJ1439" t="s">
        <v>2365</v>
      </c>
      <c r="BK1439" t="s">
        <v>2365</v>
      </c>
      <c r="BL1439" t="s">
        <v>2365</v>
      </c>
      <c r="BM1439" t="s">
        <v>2365</v>
      </c>
      <c r="BO1439">
        <v>9</v>
      </c>
      <c r="BP1439">
        <v>91</v>
      </c>
      <c r="BQ1439" t="s">
        <v>265</v>
      </c>
      <c r="BR1439" t="s">
        <v>1517</v>
      </c>
      <c r="BU1439">
        <v>50000</v>
      </c>
      <c r="BV1439">
        <v>0</v>
      </c>
      <c r="BW1439">
        <v>50000</v>
      </c>
      <c r="BX1439">
        <v>9300</v>
      </c>
      <c r="BY1439">
        <v>59300</v>
      </c>
      <c r="BZ1439">
        <v>53000</v>
      </c>
      <c r="CA1439">
        <v>56180</v>
      </c>
      <c r="CB1439">
        <v>0</v>
      </c>
      <c r="CC1439">
        <v>0</v>
      </c>
      <c r="CD1439">
        <v>0</v>
      </c>
      <c r="CE1439">
        <v>0</v>
      </c>
      <c r="CF1439">
        <v>56559.95</v>
      </c>
      <c r="CG1439">
        <v>0</v>
      </c>
      <c r="CH1439">
        <v>0</v>
      </c>
      <c r="CI1439">
        <v>0</v>
      </c>
      <c r="CJ1439">
        <v>0</v>
      </c>
      <c r="CK1439">
        <v>0</v>
      </c>
      <c r="CL1439">
        <v>0</v>
      </c>
      <c r="CM1439">
        <v>0</v>
      </c>
      <c r="CR1439" t="s">
        <v>2324</v>
      </c>
      <c r="CS1439" s="1369" t="str">
        <f>INDEX([8]Sheet1!$H:$H,MATCH(CR:CR,[8]Sheet1!$AU:$AU,0))</f>
        <v>Finance</v>
      </c>
    </row>
    <row r="1440" spans="1:97" x14ac:dyDescent="0.2">
      <c r="A1440" t="s">
        <v>4516</v>
      </c>
      <c r="B1440">
        <v>1529</v>
      </c>
      <c r="C1440" t="s">
        <v>4516</v>
      </c>
      <c r="D1440">
        <v>54397</v>
      </c>
      <c r="E1440" t="s">
        <v>2516</v>
      </c>
      <c r="F1440">
        <v>2900</v>
      </c>
      <c r="G1440" t="s">
        <v>569</v>
      </c>
      <c r="H1440" t="s">
        <v>2366</v>
      </c>
      <c r="I1440" t="s">
        <v>2366</v>
      </c>
      <c r="J1440">
        <v>2904</v>
      </c>
      <c r="K1440" t="s">
        <v>1432</v>
      </c>
      <c r="L1440">
        <v>2200</v>
      </c>
      <c r="M1440" t="s">
        <v>619</v>
      </c>
      <c r="N1440">
        <v>2205</v>
      </c>
      <c r="O1440" t="s">
        <v>1517</v>
      </c>
      <c r="P1440" t="s">
        <v>2366</v>
      </c>
      <c r="Q1440" t="s">
        <v>2364</v>
      </c>
      <c r="R1440" t="s">
        <v>2364</v>
      </c>
      <c r="S1440" t="s">
        <v>1881</v>
      </c>
      <c r="T1440" t="s">
        <v>1812</v>
      </c>
      <c r="U1440" t="s">
        <v>2365</v>
      </c>
      <c r="V1440" t="s">
        <v>2365</v>
      </c>
      <c r="W1440" t="s">
        <v>2365</v>
      </c>
      <c r="X1440" t="s">
        <v>2365</v>
      </c>
      <c r="Y1440" t="s">
        <v>2365</v>
      </c>
      <c r="Z1440" t="s">
        <v>2365</v>
      </c>
      <c r="AA1440" t="s">
        <v>2365</v>
      </c>
      <c r="AB1440" t="s">
        <v>2365</v>
      </c>
      <c r="AC1440" s="813" t="s">
        <v>2365</v>
      </c>
      <c r="AD1440" s="813" t="s">
        <v>2365</v>
      </c>
      <c r="AE1440" s="813" t="s">
        <v>2365</v>
      </c>
      <c r="AF1440" t="s">
        <v>2365</v>
      </c>
      <c r="AG1440" t="s">
        <v>2365</v>
      </c>
      <c r="AH1440" t="s">
        <v>2365</v>
      </c>
      <c r="AI1440" t="s">
        <v>2365</v>
      </c>
      <c r="AJ1440" t="s">
        <v>2365</v>
      </c>
      <c r="AK1440" t="s">
        <v>2365</v>
      </c>
      <c r="AL1440" t="s">
        <v>2365</v>
      </c>
      <c r="AM1440" t="s">
        <v>2365</v>
      </c>
      <c r="AN1440" t="s">
        <v>2365</v>
      </c>
      <c r="AR1440" t="s">
        <v>2365</v>
      </c>
      <c r="AS1440" t="s">
        <v>2365</v>
      </c>
      <c r="AT1440" t="s">
        <v>2365</v>
      </c>
      <c r="AU1440" t="s">
        <v>2365</v>
      </c>
      <c r="AV1440" t="s">
        <v>2365</v>
      </c>
      <c r="AW1440" t="s">
        <v>2365</v>
      </c>
      <c r="AX1440" t="s">
        <v>2365</v>
      </c>
      <c r="AY1440" t="s">
        <v>2365</v>
      </c>
      <c r="AZ1440" t="s">
        <v>2365</v>
      </c>
      <c r="BA1440" t="s">
        <v>2365</v>
      </c>
      <c r="BB1440" t="s">
        <v>2365</v>
      </c>
      <c r="BC1440" t="s">
        <v>2365</v>
      </c>
      <c r="BD1440" t="s">
        <v>2366</v>
      </c>
      <c r="BE1440" t="s">
        <v>2365</v>
      </c>
      <c r="BF1440" t="s">
        <v>2365</v>
      </c>
      <c r="BG1440" t="s">
        <v>2365</v>
      </c>
      <c r="BH1440" t="s">
        <v>2365</v>
      </c>
      <c r="BI1440" t="s">
        <v>2366</v>
      </c>
      <c r="BJ1440" t="s">
        <v>2365</v>
      </c>
      <c r="BK1440" t="s">
        <v>2365</v>
      </c>
      <c r="BL1440" t="s">
        <v>2365</v>
      </c>
      <c r="BM1440" t="s">
        <v>2365</v>
      </c>
      <c r="BO1440">
        <v>9</v>
      </c>
      <c r="BP1440">
        <v>91</v>
      </c>
      <c r="BQ1440" t="s">
        <v>265</v>
      </c>
      <c r="BR1440" t="s">
        <v>1517</v>
      </c>
      <c r="BU1440">
        <v>0</v>
      </c>
      <c r="BV1440">
        <v>0</v>
      </c>
      <c r="BW1440">
        <v>0</v>
      </c>
      <c r="BX1440">
        <v>0</v>
      </c>
      <c r="BY1440">
        <v>0</v>
      </c>
      <c r="BZ1440">
        <v>0</v>
      </c>
      <c r="CA1440">
        <v>0</v>
      </c>
      <c r="CB1440">
        <v>0</v>
      </c>
      <c r="CC1440">
        <v>0</v>
      </c>
      <c r="CD1440">
        <v>0</v>
      </c>
      <c r="CE1440">
        <v>0</v>
      </c>
      <c r="CF1440">
        <v>0</v>
      </c>
      <c r="CG1440">
        <v>0</v>
      </c>
      <c r="CH1440">
        <v>0</v>
      </c>
      <c r="CI1440">
        <v>0</v>
      </c>
      <c r="CJ1440">
        <v>0</v>
      </c>
      <c r="CK1440">
        <v>0</v>
      </c>
      <c r="CL1440">
        <v>0</v>
      </c>
      <c r="CM1440">
        <v>0</v>
      </c>
      <c r="CR1440" t="s">
        <v>2324</v>
      </c>
      <c r="CS1440" s="1369" t="str">
        <f>INDEX([8]Sheet1!$H:$H,MATCH(CR:CR,[8]Sheet1!$AU:$AU,0))</f>
        <v>Finance</v>
      </c>
    </row>
    <row r="1441" spans="1:97" x14ac:dyDescent="0.2">
      <c r="A1441" t="s">
        <v>4517</v>
      </c>
      <c r="B1441">
        <v>1530</v>
      </c>
      <c r="C1441" t="s">
        <v>4517</v>
      </c>
      <c r="D1441">
        <v>54398</v>
      </c>
      <c r="E1441" t="s">
        <v>2493</v>
      </c>
      <c r="F1441">
        <v>2900</v>
      </c>
      <c r="G1441" t="s">
        <v>569</v>
      </c>
      <c r="H1441" t="s">
        <v>2366</v>
      </c>
      <c r="I1441" t="s">
        <v>2366</v>
      </c>
      <c r="J1441">
        <v>2904</v>
      </c>
      <c r="K1441" t="s">
        <v>1432</v>
      </c>
      <c r="L1441">
        <v>2200</v>
      </c>
      <c r="M1441" t="s">
        <v>619</v>
      </c>
      <c r="N1441">
        <v>2205</v>
      </c>
      <c r="O1441" t="s">
        <v>1517</v>
      </c>
      <c r="P1441" t="s">
        <v>2366</v>
      </c>
      <c r="Q1441" t="s">
        <v>2364</v>
      </c>
      <c r="R1441" t="s">
        <v>2364</v>
      </c>
      <c r="S1441" t="s">
        <v>1881</v>
      </c>
      <c r="T1441" t="s">
        <v>1812</v>
      </c>
      <c r="U1441" t="s">
        <v>2365</v>
      </c>
      <c r="V1441" t="s">
        <v>2365</v>
      </c>
      <c r="W1441" t="s">
        <v>2365</v>
      </c>
      <c r="X1441" t="s">
        <v>2365</v>
      </c>
      <c r="Y1441" t="s">
        <v>2365</v>
      </c>
      <c r="Z1441" t="s">
        <v>2365</v>
      </c>
      <c r="AA1441" t="s">
        <v>2365</v>
      </c>
      <c r="AB1441" t="s">
        <v>2365</v>
      </c>
      <c r="AC1441" s="813" t="s">
        <v>2365</v>
      </c>
      <c r="AD1441" s="813" t="s">
        <v>2365</v>
      </c>
      <c r="AE1441" s="813" t="s">
        <v>2365</v>
      </c>
      <c r="AF1441" t="s">
        <v>2365</v>
      </c>
      <c r="AG1441" t="s">
        <v>2365</v>
      </c>
      <c r="AH1441" t="s">
        <v>2365</v>
      </c>
      <c r="AI1441" t="s">
        <v>2365</v>
      </c>
      <c r="AJ1441" t="s">
        <v>2365</v>
      </c>
      <c r="AK1441" t="s">
        <v>2365</v>
      </c>
      <c r="AL1441" t="s">
        <v>2365</v>
      </c>
      <c r="AM1441" t="s">
        <v>2365</v>
      </c>
      <c r="AN1441" t="s">
        <v>2365</v>
      </c>
      <c r="AR1441" t="s">
        <v>2365</v>
      </c>
      <c r="AS1441" t="s">
        <v>2365</v>
      </c>
      <c r="AT1441" t="s">
        <v>2365</v>
      </c>
      <c r="AU1441" t="s">
        <v>2365</v>
      </c>
      <c r="AV1441" t="s">
        <v>2365</v>
      </c>
      <c r="AW1441" t="s">
        <v>2365</v>
      </c>
      <c r="AX1441" t="s">
        <v>2365</v>
      </c>
      <c r="AY1441" t="s">
        <v>2365</v>
      </c>
      <c r="AZ1441" t="s">
        <v>2365</v>
      </c>
      <c r="BA1441" t="s">
        <v>2365</v>
      </c>
      <c r="BB1441" t="s">
        <v>2365</v>
      </c>
      <c r="BC1441" t="s">
        <v>2365</v>
      </c>
      <c r="BD1441" t="s">
        <v>2366</v>
      </c>
      <c r="BE1441" t="s">
        <v>2365</v>
      </c>
      <c r="BF1441" t="s">
        <v>2365</v>
      </c>
      <c r="BG1441" t="s">
        <v>2365</v>
      </c>
      <c r="BH1441" t="s">
        <v>2365</v>
      </c>
      <c r="BI1441" t="s">
        <v>2366</v>
      </c>
      <c r="BJ1441" t="s">
        <v>2365</v>
      </c>
      <c r="BK1441" t="s">
        <v>2365</v>
      </c>
      <c r="BL1441" t="s">
        <v>2365</v>
      </c>
      <c r="BM1441" t="s">
        <v>2365</v>
      </c>
      <c r="BO1441">
        <v>9</v>
      </c>
      <c r="BP1441">
        <v>91</v>
      </c>
      <c r="BQ1441" t="s">
        <v>265</v>
      </c>
      <c r="BR1441" t="s">
        <v>1517</v>
      </c>
      <c r="BU1441">
        <v>10000</v>
      </c>
      <c r="BV1441">
        <v>0</v>
      </c>
      <c r="BW1441">
        <v>10000</v>
      </c>
      <c r="BX1441">
        <v>0</v>
      </c>
      <c r="BY1441">
        <v>10000</v>
      </c>
      <c r="BZ1441">
        <v>10600</v>
      </c>
      <c r="CA1441">
        <v>11236</v>
      </c>
      <c r="CB1441">
        <v>0</v>
      </c>
      <c r="CC1441">
        <v>0</v>
      </c>
      <c r="CD1441">
        <v>0</v>
      </c>
      <c r="CE1441">
        <v>0</v>
      </c>
      <c r="CF1441">
        <v>0</v>
      </c>
      <c r="CG1441">
        <v>0</v>
      </c>
      <c r="CH1441">
        <v>0</v>
      </c>
      <c r="CI1441">
        <v>0</v>
      </c>
      <c r="CJ1441">
        <v>0</v>
      </c>
      <c r="CK1441">
        <v>0</v>
      </c>
      <c r="CL1441">
        <v>0</v>
      </c>
      <c r="CM1441">
        <v>0</v>
      </c>
      <c r="CR1441" t="s">
        <v>2324</v>
      </c>
      <c r="CS1441" s="1369" t="str">
        <f>INDEX([8]Sheet1!$H:$H,MATCH(CR:CR,[8]Sheet1!$AU:$AU,0))</f>
        <v>Finance</v>
      </c>
    </row>
    <row r="1442" spans="1:97" x14ac:dyDescent="0.2">
      <c r="A1442" t="s">
        <v>4518</v>
      </c>
      <c r="B1442">
        <v>1531</v>
      </c>
      <c r="C1442" t="s">
        <v>4518</v>
      </c>
      <c r="D1442">
        <v>54399</v>
      </c>
      <c r="E1442" t="s">
        <v>2468</v>
      </c>
      <c r="F1442">
        <v>2600</v>
      </c>
      <c r="G1442" t="s">
        <v>655</v>
      </c>
      <c r="H1442">
        <v>2600</v>
      </c>
      <c r="I1442" t="s">
        <v>655</v>
      </c>
      <c r="J1442" t="s">
        <v>2365</v>
      </c>
      <c r="K1442" t="s">
        <v>2365</v>
      </c>
      <c r="L1442">
        <v>2200</v>
      </c>
      <c r="M1442" t="s">
        <v>619</v>
      </c>
      <c r="N1442">
        <v>2205</v>
      </c>
      <c r="O1442" t="s">
        <v>1517</v>
      </c>
      <c r="P1442" t="s">
        <v>2366</v>
      </c>
      <c r="Q1442" t="s">
        <v>2364</v>
      </c>
      <c r="R1442" t="s">
        <v>2364</v>
      </c>
      <c r="S1442" t="s">
        <v>1881</v>
      </c>
      <c r="T1442" t="s">
        <v>1812</v>
      </c>
      <c r="U1442" t="s">
        <v>2365</v>
      </c>
      <c r="V1442" t="s">
        <v>2365</v>
      </c>
      <c r="W1442" t="s">
        <v>2365</v>
      </c>
      <c r="X1442" t="s">
        <v>2365</v>
      </c>
      <c r="Y1442" t="s">
        <v>2365</v>
      </c>
      <c r="Z1442" t="s">
        <v>2365</v>
      </c>
      <c r="AA1442" t="s">
        <v>2365</v>
      </c>
      <c r="AB1442" t="s">
        <v>2365</v>
      </c>
      <c r="AC1442" s="813" t="s">
        <v>2365</v>
      </c>
      <c r="AD1442" s="813" t="s">
        <v>2365</v>
      </c>
      <c r="AE1442" s="813" t="s">
        <v>2365</v>
      </c>
      <c r="AF1442" t="s">
        <v>2365</v>
      </c>
      <c r="AG1442" t="s">
        <v>2365</v>
      </c>
      <c r="AH1442" t="s">
        <v>2365</v>
      </c>
      <c r="AI1442" t="s">
        <v>2365</v>
      </c>
      <c r="AJ1442" t="s">
        <v>2365</v>
      </c>
      <c r="AK1442" t="s">
        <v>2365</v>
      </c>
      <c r="AL1442" t="s">
        <v>2365</v>
      </c>
      <c r="AM1442" t="s">
        <v>2365</v>
      </c>
      <c r="AN1442" t="s">
        <v>2365</v>
      </c>
      <c r="AR1442" t="s">
        <v>2365</v>
      </c>
      <c r="AS1442" t="s">
        <v>2365</v>
      </c>
      <c r="AT1442" t="s">
        <v>2365</v>
      </c>
      <c r="AU1442" t="s">
        <v>2365</v>
      </c>
      <c r="AV1442" t="s">
        <v>2365</v>
      </c>
      <c r="AW1442" t="s">
        <v>2365</v>
      </c>
      <c r="AX1442" t="s">
        <v>2365</v>
      </c>
      <c r="AY1442" t="s">
        <v>2365</v>
      </c>
      <c r="AZ1442" t="s">
        <v>2365</v>
      </c>
      <c r="BA1442" t="s">
        <v>2365</v>
      </c>
      <c r="BB1442" t="s">
        <v>2365</v>
      </c>
      <c r="BC1442" t="s">
        <v>2365</v>
      </c>
      <c r="BD1442" t="s">
        <v>2366</v>
      </c>
      <c r="BE1442" t="s">
        <v>2365</v>
      </c>
      <c r="BF1442" t="s">
        <v>2365</v>
      </c>
      <c r="BG1442" t="s">
        <v>2365</v>
      </c>
      <c r="BH1442" t="s">
        <v>2365</v>
      </c>
      <c r="BI1442" t="s">
        <v>2366</v>
      </c>
      <c r="BJ1442" t="s">
        <v>2365</v>
      </c>
      <c r="BK1442" t="s">
        <v>2365</v>
      </c>
      <c r="BL1442" t="s">
        <v>2365</v>
      </c>
      <c r="BM1442" t="s">
        <v>2365</v>
      </c>
      <c r="BO1442">
        <v>9</v>
      </c>
      <c r="BP1442">
        <v>91</v>
      </c>
      <c r="BQ1442" t="s">
        <v>265</v>
      </c>
      <c r="BR1442" t="s">
        <v>1517</v>
      </c>
      <c r="BU1442">
        <v>80000</v>
      </c>
      <c r="BV1442">
        <v>0</v>
      </c>
      <c r="BW1442">
        <v>80000</v>
      </c>
      <c r="BX1442">
        <v>30000</v>
      </c>
      <c r="BY1442">
        <v>110000</v>
      </c>
      <c r="BZ1442">
        <v>84800</v>
      </c>
      <c r="CA1442">
        <v>89888</v>
      </c>
      <c r="CB1442">
        <v>0</v>
      </c>
      <c r="CC1442">
        <v>0</v>
      </c>
      <c r="CD1442">
        <v>0</v>
      </c>
      <c r="CE1442">
        <v>0</v>
      </c>
      <c r="CF1442">
        <v>0</v>
      </c>
      <c r="CG1442">
        <v>0</v>
      </c>
      <c r="CH1442">
        <v>0</v>
      </c>
      <c r="CI1442">
        <v>0</v>
      </c>
      <c r="CJ1442">
        <v>0</v>
      </c>
      <c r="CK1442">
        <v>0</v>
      </c>
      <c r="CL1442">
        <v>0</v>
      </c>
      <c r="CM1442">
        <v>0</v>
      </c>
      <c r="CR1442" t="s">
        <v>2324</v>
      </c>
      <c r="CS1442" s="1369" t="str">
        <f>INDEX([8]Sheet1!$H:$H,MATCH(CR:CR,[8]Sheet1!$AU:$AU,0))</f>
        <v>Finance</v>
      </c>
    </row>
    <row r="1443" spans="1:97" x14ac:dyDescent="0.2">
      <c r="A1443" t="s">
        <v>4519</v>
      </c>
      <c r="B1443">
        <v>1532</v>
      </c>
      <c r="C1443" t="s">
        <v>4519</v>
      </c>
      <c r="D1443">
        <v>54400</v>
      </c>
      <c r="E1443" t="s">
        <v>2427</v>
      </c>
      <c r="F1443">
        <v>2700</v>
      </c>
      <c r="G1443" t="s">
        <v>656</v>
      </c>
      <c r="H1443" t="s">
        <v>2428</v>
      </c>
      <c r="I1443" t="s">
        <v>1800</v>
      </c>
      <c r="J1443">
        <v>2701</v>
      </c>
      <c r="K1443" t="s">
        <v>1800</v>
      </c>
      <c r="L1443">
        <v>2200</v>
      </c>
      <c r="M1443" t="s">
        <v>619</v>
      </c>
      <c r="N1443">
        <v>2205</v>
      </c>
      <c r="O1443" t="s">
        <v>1517</v>
      </c>
      <c r="P1443" t="s">
        <v>2366</v>
      </c>
      <c r="Q1443" t="s">
        <v>2364</v>
      </c>
      <c r="R1443" t="s">
        <v>2364</v>
      </c>
      <c r="S1443" t="s">
        <v>1881</v>
      </c>
      <c r="T1443" t="s">
        <v>1812</v>
      </c>
      <c r="U1443" t="s">
        <v>2365</v>
      </c>
      <c r="V1443" t="s">
        <v>2365</v>
      </c>
      <c r="W1443" t="s">
        <v>2365</v>
      </c>
      <c r="X1443" t="s">
        <v>2365</v>
      </c>
      <c r="Y1443" t="s">
        <v>2365</v>
      </c>
      <c r="Z1443" t="s">
        <v>2365</v>
      </c>
      <c r="AA1443" t="s">
        <v>2365</v>
      </c>
      <c r="AB1443" t="s">
        <v>2365</v>
      </c>
      <c r="AC1443" s="813" t="s">
        <v>2365</v>
      </c>
      <c r="AD1443" s="813" t="s">
        <v>2365</v>
      </c>
      <c r="AE1443" s="813" t="s">
        <v>2365</v>
      </c>
      <c r="AF1443" t="s">
        <v>2365</v>
      </c>
      <c r="AG1443" t="s">
        <v>2365</v>
      </c>
      <c r="AH1443" t="s">
        <v>2365</v>
      </c>
      <c r="AI1443" t="s">
        <v>2365</v>
      </c>
      <c r="AJ1443" t="s">
        <v>2365</v>
      </c>
      <c r="AK1443" t="s">
        <v>2365</v>
      </c>
      <c r="AL1443" t="s">
        <v>2365</v>
      </c>
      <c r="AM1443" t="s">
        <v>2365</v>
      </c>
      <c r="AN1443" t="s">
        <v>2365</v>
      </c>
      <c r="AR1443" t="s">
        <v>2365</v>
      </c>
      <c r="AS1443" t="s">
        <v>2365</v>
      </c>
      <c r="AT1443" t="s">
        <v>2365</v>
      </c>
      <c r="AU1443" t="s">
        <v>2365</v>
      </c>
      <c r="AV1443" t="s">
        <v>2365</v>
      </c>
      <c r="AW1443" t="s">
        <v>2365</v>
      </c>
      <c r="AX1443" t="s">
        <v>2365</v>
      </c>
      <c r="AY1443" t="s">
        <v>2365</v>
      </c>
      <c r="AZ1443" t="s">
        <v>2365</v>
      </c>
      <c r="BA1443" t="s">
        <v>2365</v>
      </c>
      <c r="BB1443" t="s">
        <v>2365</v>
      </c>
      <c r="BC1443" t="s">
        <v>2365</v>
      </c>
      <c r="BD1443" t="s">
        <v>2366</v>
      </c>
      <c r="BE1443" t="s">
        <v>2365</v>
      </c>
      <c r="BF1443" t="s">
        <v>2365</v>
      </c>
      <c r="BG1443" t="s">
        <v>2365</v>
      </c>
      <c r="BH1443" t="s">
        <v>2365</v>
      </c>
      <c r="BI1443" t="s">
        <v>2366</v>
      </c>
      <c r="BJ1443" t="s">
        <v>2365</v>
      </c>
      <c r="BK1443" t="s">
        <v>2365</v>
      </c>
      <c r="BL1443" t="s">
        <v>2365</v>
      </c>
      <c r="BM1443" t="s">
        <v>2365</v>
      </c>
      <c r="BO1443">
        <v>9</v>
      </c>
      <c r="BP1443">
        <v>91</v>
      </c>
      <c r="BQ1443" t="s">
        <v>265</v>
      </c>
      <c r="BR1443" t="s">
        <v>1517</v>
      </c>
      <c r="BU1443">
        <v>100000</v>
      </c>
      <c r="BV1443">
        <v>0</v>
      </c>
      <c r="BW1443">
        <v>100000</v>
      </c>
      <c r="BX1443">
        <v>0</v>
      </c>
      <c r="BY1443">
        <v>100000</v>
      </c>
      <c r="BZ1443">
        <v>106000</v>
      </c>
      <c r="CA1443">
        <v>112360</v>
      </c>
      <c r="CB1443">
        <v>0</v>
      </c>
      <c r="CC1443">
        <v>0</v>
      </c>
      <c r="CD1443">
        <v>0</v>
      </c>
      <c r="CE1443">
        <v>0</v>
      </c>
      <c r="CF1443">
        <v>0</v>
      </c>
      <c r="CG1443">
        <v>0</v>
      </c>
      <c r="CH1443">
        <v>0</v>
      </c>
      <c r="CI1443">
        <v>0</v>
      </c>
      <c r="CJ1443">
        <v>0</v>
      </c>
      <c r="CK1443">
        <v>0</v>
      </c>
      <c r="CL1443">
        <v>0</v>
      </c>
      <c r="CM1443">
        <v>0</v>
      </c>
      <c r="CR1443" t="s">
        <v>2335</v>
      </c>
      <c r="CS1443" s="1369" t="str">
        <f>INDEX([8]Sheet1!$H:$H,MATCH(CR:CR,[8]Sheet1!$AU:$AU,0))</f>
        <v>Economic Development/Planning</v>
      </c>
    </row>
    <row r="1444" spans="1:97" x14ac:dyDescent="0.2">
      <c r="A1444" t="s">
        <v>4520</v>
      </c>
      <c r="B1444">
        <v>1533</v>
      </c>
      <c r="C1444" t="s">
        <v>4520</v>
      </c>
      <c r="D1444">
        <v>54401</v>
      </c>
      <c r="E1444" t="s">
        <v>2615</v>
      </c>
      <c r="F1444">
        <v>2700</v>
      </c>
      <c r="G1444" t="s">
        <v>656</v>
      </c>
      <c r="H1444" t="s">
        <v>2478</v>
      </c>
      <c r="I1444" t="s">
        <v>1802</v>
      </c>
      <c r="J1444">
        <v>2703</v>
      </c>
      <c r="K1444" t="s">
        <v>1802</v>
      </c>
      <c r="L1444">
        <v>2200</v>
      </c>
      <c r="M1444" t="s">
        <v>619</v>
      </c>
      <c r="N1444">
        <v>2205</v>
      </c>
      <c r="O1444" t="s">
        <v>1517</v>
      </c>
      <c r="P1444" t="s">
        <v>2366</v>
      </c>
      <c r="Q1444" t="s">
        <v>2364</v>
      </c>
      <c r="R1444" t="s">
        <v>2364</v>
      </c>
      <c r="S1444" t="s">
        <v>1881</v>
      </c>
      <c r="T1444" t="s">
        <v>1812</v>
      </c>
      <c r="U1444" t="s">
        <v>2365</v>
      </c>
      <c r="V1444" t="s">
        <v>2365</v>
      </c>
      <c r="W1444" t="s">
        <v>2365</v>
      </c>
      <c r="X1444" t="s">
        <v>2365</v>
      </c>
      <c r="Y1444" t="s">
        <v>2365</v>
      </c>
      <c r="Z1444" t="s">
        <v>2365</v>
      </c>
      <c r="AA1444" t="s">
        <v>2365</v>
      </c>
      <c r="AB1444" t="s">
        <v>2365</v>
      </c>
      <c r="AC1444" s="813" t="s">
        <v>2365</v>
      </c>
      <c r="AD1444" s="813" t="s">
        <v>2365</v>
      </c>
      <c r="AE1444" s="813" t="s">
        <v>2365</v>
      </c>
      <c r="AF1444" t="s">
        <v>2365</v>
      </c>
      <c r="AG1444" t="s">
        <v>2365</v>
      </c>
      <c r="AH1444" t="s">
        <v>2365</v>
      </c>
      <c r="AI1444" t="s">
        <v>2365</v>
      </c>
      <c r="AJ1444" t="s">
        <v>2365</v>
      </c>
      <c r="AK1444" t="s">
        <v>2365</v>
      </c>
      <c r="AL1444" t="s">
        <v>2365</v>
      </c>
      <c r="AM1444" t="s">
        <v>2365</v>
      </c>
      <c r="AN1444" t="s">
        <v>2365</v>
      </c>
      <c r="AR1444" t="s">
        <v>2365</v>
      </c>
      <c r="AS1444" t="s">
        <v>2365</v>
      </c>
      <c r="AT1444" t="s">
        <v>2365</v>
      </c>
      <c r="AU1444" t="s">
        <v>2365</v>
      </c>
      <c r="AV1444" t="s">
        <v>2365</v>
      </c>
      <c r="AW1444" t="s">
        <v>2365</v>
      </c>
      <c r="AX1444" t="s">
        <v>2365</v>
      </c>
      <c r="AY1444" t="s">
        <v>2365</v>
      </c>
      <c r="AZ1444" t="s">
        <v>2365</v>
      </c>
      <c r="BA1444" t="s">
        <v>2365</v>
      </c>
      <c r="BB1444" t="s">
        <v>2365</v>
      </c>
      <c r="BC1444" t="s">
        <v>2365</v>
      </c>
      <c r="BD1444" t="s">
        <v>2366</v>
      </c>
      <c r="BE1444" t="s">
        <v>2365</v>
      </c>
      <c r="BF1444" t="s">
        <v>2365</v>
      </c>
      <c r="BG1444" t="s">
        <v>2365</v>
      </c>
      <c r="BH1444" t="s">
        <v>2365</v>
      </c>
      <c r="BI1444" t="s">
        <v>2366</v>
      </c>
      <c r="BJ1444" t="s">
        <v>2365</v>
      </c>
      <c r="BK1444" t="s">
        <v>2365</v>
      </c>
      <c r="BL1444" t="s">
        <v>2365</v>
      </c>
      <c r="BM1444" t="s">
        <v>2365</v>
      </c>
      <c r="BO1444">
        <v>9</v>
      </c>
      <c r="BP1444">
        <v>91</v>
      </c>
      <c r="BQ1444" t="s">
        <v>265</v>
      </c>
      <c r="BR1444" t="s">
        <v>1517</v>
      </c>
      <c r="BU1444">
        <v>10000</v>
      </c>
      <c r="BV1444">
        <v>0</v>
      </c>
      <c r="BW1444">
        <v>10000</v>
      </c>
      <c r="BX1444">
        <v>-10000</v>
      </c>
      <c r="BY1444">
        <v>0</v>
      </c>
      <c r="BZ1444">
        <v>10600</v>
      </c>
      <c r="CA1444">
        <v>11236</v>
      </c>
      <c r="CB1444">
        <v>0</v>
      </c>
      <c r="CC1444">
        <v>0</v>
      </c>
      <c r="CD1444">
        <v>0</v>
      </c>
      <c r="CE1444">
        <v>0</v>
      </c>
      <c r="CF1444">
        <v>0</v>
      </c>
      <c r="CG1444">
        <v>0</v>
      </c>
      <c r="CH1444">
        <v>0</v>
      </c>
      <c r="CI1444">
        <v>0</v>
      </c>
      <c r="CJ1444">
        <v>0</v>
      </c>
      <c r="CK1444">
        <v>0</v>
      </c>
      <c r="CL1444">
        <v>0</v>
      </c>
      <c r="CM1444">
        <v>0</v>
      </c>
      <c r="CR1444" t="s">
        <v>2335</v>
      </c>
      <c r="CS1444" s="1369" t="str">
        <f>INDEX([8]Sheet1!$H:$H,MATCH(CR:CR,[8]Sheet1!$AU:$AU,0))</f>
        <v>Economic Development/Planning</v>
      </c>
    </row>
    <row r="1445" spans="1:97" x14ac:dyDescent="0.2">
      <c r="A1445" t="s">
        <v>4521</v>
      </c>
      <c r="B1445">
        <v>1534</v>
      </c>
      <c r="C1445" t="s">
        <v>4521</v>
      </c>
      <c r="D1445">
        <v>54402</v>
      </c>
      <c r="E1445" t="s">
        <v>2615</v>
      </c>
      <c r="F1445">
        <v>2700</v>
      </c>
      <c r="G1445" t="s">
        <v>656</v>
      </c>
      <c r="H1445" t="s">
        <v>2478</v>
      </c>
      <c r="I1445" t="s">
        <v>1802</v>
      </c>
      <c r="J1445">
        <v>2703</v>
      </c>
      <c r="K1445" t="s">
        <v>1802</v>
      </c>
      <c r="L1445">
        <v>2200</v>
      </c>
      <c r="M1445" t="s">
        <v>619</v>
      </c>
      <c r="N1445">
        <v>2205</v>
      </c>
      <c r="O1445" t="s">
        <v>1517</v>
      </c>
      <c r="P1445" t="s">
        <v>2366</v>
      </c>
      <c r="Q1445" t="s">
        <v>2364</v>
      </c>
      <c r="R1445" t="s">
        <v>2364</v>
      </c>
      <c r="S1445" t="s">
        <v>1881</v>
      </c>
      <c r="T1445" t="s">
        <v>1812</v>
      </c>
      <c r="U1445" t="s">
        <v>2365</v>
      </c>
      <c r="V1445" t="s">
        <v>2365</v>
      </c>
      <c r="W1445" t="s">
        <v>2365</v>
      </c>
      <c r="X1445" t="s">
        <v>2365</v>
      </c>
      <c r="Y1445" t="s">
        <v>2365</v>
      </c>
      <c r="Z1445" t="s">
        <v>2365</v>
      </c>
      <c r="AA1445" t="s">
        <v>2365</v>
      </c>
      <c r="AB1445" t="s">
        <v>2365</v>
      </c>
      <c r="AC1445" s="813" t="s">
        <v>2365</v>
      </c>
      <c r="AD1445" s="813" t="s">
        <v>2365</v>
      </c>
      <c r="AE1445" s="813" t="s">
        <v>2365</v>
      </c>
      <c r="AF1445" t="s">
        <v>2365</v>
      </c>
      <c r="AG1445" t="s">
        <v>2365</v>
      </c>
      <c r="AH1445" t="s">
        <v>2365</v>
      </c>
      <c r="AI1445" t="s">
        <v>2365</v>
      </c>
      <c r="AJ1445" t="s">
        <v>2365</v>
      </c>
      <c r="AK1445" t="s">
        <v>2365</v>
      </c>
      <c r="AL1445" t="s">
        <v>2365</v>
      </c>
      <c r="AM1445" t="s">
        <v>2365</v>
      </c>
      <c r="AN1445" t="s">
        <v>2365</v>
      </c>
      <c r="AR1445" t="s">
        <v>2365</v>
      </c>
      <c r="AS1445" t="s">
        <v>2365</v>
      </c>
      <c r="AT1445" t="s">
        <v>2365</v>
      </c>
      <c r="AU1445" t="s">
        <v>2365</v>
      </c>
      <c r="AV1445" t="s">
        <v>2365</v>
      </c>
      <c r="AW1445" t="s">
        <v>2365</v>
      </c>
      <c r="AX1445" t="s">
        <v>2365</v>
      </c>
      <c r="AY1445" t="s">
        <v>2365</v>
      </c>
      <c r="AZ1445" t="s">
        <v>2365</v>
      </c>
      <c r="BA1445" t="s">
        <v>2365</v>
      </c>
      <c r="BB1445" t="s">
        <v>2365</v>
      </c>
      <c r="BC1445" t="s">
        <v>2365</v>
      </c>
      <c r="BD1445" t="s">
        <v>2366</v>
      </c>
      <c r="BE1445" t="s">
        <v>2365</v>
      </c>
      <c r="BF1445" t="s">
        <v>2365</v>
      </c>
      <c r="BG1445" t="s">
        <v>2365</v>
      </c>
      <c r="BH1445" t="s">
        <v>2365</v>
      </c>
      <c r="BI1445" t="s">
        <v>2366</v>
      </c>
      <c r="BJ1445" t="s">
        <v>2365</v>
      </c>
      <c r="BK1445" t="s">
        <v>2365</v>
      </c>
      <c r="BL1445" t="s">
        <v>2365</v>
      </c>
      <c r="BM1445" t="s">
        <v>2365</v>
      </c>
      <c r="BO1445">
        <v>9</v>
      </c>
      <c r="BP1445">
        <v>91</v>
      </c>
      <c r="BQ1445" t="s">
        <v>265</v>
      </c>
      <c r="BR1445" t="s">
        <v>1517</v>
      </c>
      <c r="BU1445">
        <v>5000</v>
      </c>
      <c r="BV1445">
        <v>0</v>
      </c>
      <c r="BW1445">
        <v>5000</v>
      </c>
      <c r="BX1445">
        <v>0</v>
      </c>
      <c r="BY1445">
        <v>5000</v>
      </c>
      <c r="BZ1445">
        <v>5300</v>
      </c>
      <c r="CA1445">
        <v>5618</v>
      </c>
      <c r="CB1445">
        <v>0</v>
      </c>
      <c r="CC1445">
        <v>0</v>
      </c>
      <c r="CD1445">
        <v>0</v>
      </c>
      <c r="CE1445">
        <v>0</v>
      </c>
      <c r="CF1445">
        <v>0</v>
      </c>
      <c r="CG1445">
        <v>0</v>
      </c>
      <c r="CH1445">
        <v>0</v>
      </c>
      <c r="CI1445">
        <v>0</v>
      </c>
      <c r="CJ1445">
        <v>0</v>
      </c>
      <c r="CK1445">
        <v>0</v>
      </c>
      <c r="CL1445">
        <v>0</v>
      </c>
      <c r="CM1445">
        <v>0</v>
      </c>
      <c r="CR1445" t="s">
        <v>2319</v>
      </c>
      <c r="CS1445" s="1369" t="str">
        <f>INDEX([8]Sheet1!$H:$H,MATCH(CR:CR,[8]Sheet1!$AU:$AU,0))</f>
        <v>Mayor and Council</v>
      </c>
    </row>
    <row r="1446" spans="1:97" x14ac:dyDescent="0.2">
      <c r="A1446" t="s">
        <v>4522</v>
      </c>
      <c r="B1446">
        <v>1535</v>
      </c>
      <c r="C1446" t="s">
        <v>4522</v>
      </c>
      <c r="D1446">
        <v>54403</v>
      </c>
      <c r="E1446" t="s">
        <v>2508</v>
      </c>
      <c r="F1446">
        <v>2900</v>
      </c>
      <c r="G1446" t="s">
        <v>569</v>
      </c>
      <c r="H1446" t="s">
        <v>2366</v>
      </c>
      <c r="I1446" t="s">
        <v>2366</v>
      </c>
      <c r="J1446">
        <v>2904</v>
      </c>
      <c r="K1446" t="s">
        <v>1432</v>
      </c>
      <c r="L1446">
        <v>2200</v>
      </c>
      <c r="M1446" t="s">
        <v>619</v>
      </c>
      <c r="N1446">
        <v>2205</v>
      </c>
      <c r="O1446" t="s">
        <v>1517</v>
      </c>
      <c r="P1446" t="s">
        <v>2366</v>
      </c>
      <c r="Q1446" t="s">
        <v>2364</v>
      </c>
      <c r="R1446" t="s">
        <v>2364</v>
      </c>
      <c r="S1446" t="s">
        <v>1881</v>
      </c>
      <c r="T1446" t="s">
        <v>1812</v>
      </c>
      <c r="U1446" t="s">
        <v>2365</v>
      </c>
      <c r="V1446" t="s">
        <v>2365</v>
      </c>
      <c r="W1446" t="s">
        <v>2365</v>
      </c>
      <c r="X1446" t="s">
        <v>2365</v>
      </c>
      <c r="Y1446" t="s">
        <v>2365</v>
      </c>
      <c r="Z1446" t="s">
        <v>2365</v>
      </c>
      <c r="AA1446" t="s">
        <v>2365</v>
      </c>
      <c r="AB1446" t="s">
        <v>2365</v>
      </c>
      <c r="AC1446" s="813" t="s">
        <v>2365</v>
      </c>
      <c r="AD1446" s="813" t="s">
        <v>2365</v>
      </c>
      <c r="AE1446" s="813" t="s">
        <v>2365</v>
      </c>
      <c r="AF1446" t="s">
        <v>2365</v>
      </c>
      <c r="AG1446" t="s">
        <v>2365</v>
      </c>
      <c r="AH1446" t="s">
        <v>2365</v>
      </c>
      <c r="AI1446" t="s">
        <v>2365</v>
      </c>
      <c r="AJ1446" t="s">
        <v>2365</v>
      </c>
      <c r="AK1446" t="s">
        <v>2365</v>
      </c>
      <c r="AL1446" t="s">
        <v>2365</v>
      </c>
      <c r="AM1446" t="s">
        <v>2365</v>
      </c>
      <c r="AN1446" t="s">
        <v>2365</v>
      </c>
      <c r="AR1446" t="s">
        <v>2365</v>
      </c>
      <c r="AS1446" t="s">
        <v>2365</v>
      </c>
      <c r="AT1446" t="s">
        <v>2365</v>
      </c>
      <c r="AU1446" t="s">
        <v>2365</v>
      </c>
      <c r="AV1446" t="s">
        <v>2365</v>
      </c>
      <c r="AW1446" t="s">
        <v>2365</v>
      </c>
      <c r="AX1446" t="s">
        <v>2365</v>
      </c>
      <c r="AY1446" t="s">
        <v>2365</v>
      </c>
      <c r="AZ1446" t="s">
        <v>2365</v>
      </c>
      <c r="BA1446" t="s">
        <v>2365</v>
      </c>
      <c r="BB1446" t="s">
        <v>2365</v>
      </c>
      <c r="BC1446" t="s">
        <v>2365</v>
      </c>
      <c r="BD1446" t="s">
        <v>2366</v>
      </c>
      <c r="BE1446" t="s">
        <v>2365</v>
      </c>
      <c r="BF1446" t="s">
        <v>2365</v>
      </c>
      <c r="BG1446" t="s">
        <v>2365</v>
      </c>
      <c r="BH1446" t="s">
        <v>2365</v>
      </c>
      <c r="BI1446" t="s">
        <v>2366</v>
      </c>
      <c r="BJ1446" t="s">
        <v>2365</v>
      </c>
      <c r="BK1446" t="s">
        <v>2365</v>
      </c>
      <c r="BL1446" t="s">
        <v>2365</v>
      </c>
      <c r="BM1446" t="s">
        <v>2365</v>
      </c>
      <c r="BO1446">
        <v>9</v>
      </c>
      <c r="BP1446">
        <v>91</v>
      </c>
      <c r="BQ1446" t="s">
        <v>265</v>
      </c>
      <c r="BR1446" t="s">
        <v>1517</v>
      </c>
      <c r="BU1446">
        <v>0</v>
      </c>
      <c r="BV1446">
        <v>0</v>
      </c>
      <c r="BW1446">
        <v>0</v>
      </c>
      <c r="BX1446">
        <v>0</v>
      </c>
      <c r="BY1446">
        <v>0</v>
      </c>
      <c r="BZ1446">
        <v>0</v>
      </c>
      <c r="CA1446">
        <v>0</v>
      </c>
      <c r="CB1446">
        <v>0</v>
      </c>
      <c r="CC1446">
        <v>0</v>
      </c>
      <c r="CD1446">
        <v>0</v>
      </c>
      <c r="CE1446">
        <v>0</v>
      </c>
      <c r="CF1446">
        <v>0</v>
      </c>
      <c r="CG1446">
        <v>0</v>
      </c>
      <c r="CH1446">
        <v>0</v>
      </c>
      <c r="CI1446">
        <v>0</v>
      </c>
      <c r="CJ1446">
        <v>0</v>
      </c>
      <c r="CK1446">
        <v>0</v>
      </c>
      <c r="CL1446">
        <v>0</v>
      </c>
      <c r="CM1446">
        <v>0</v>
      </c>
      <c r="CR1446" t="s">
        <v>2319</v>
      </c>
      <c r="CS1446" s="1369" t="str">
        <f>INDEX([8]Sheet1!$H:$H,MATCH(CR:CR,[8]Sheet1!$AU:$AU,0))</f>
        <v>Mayor and Council</v>
      </c>
    </row>
    <row r="1447" spans="1:97" x14ac:dyDescent="0.2">
      <c r="A1447" t="s">
        <v>4523</v>
      </c>
      <c r="B1447">
        <v>1536</v>
      </c>
      <c r="C1447" t="s">
        <v>4523</v>
      </c>
      <c r="D1447">
        <v>54404</v>
      </c>
      <c r="E1447" t="s">
        <v>3010</v>
      </c>
      <c r="F1447">
        <v>2700</v>
      </c>
      <c r="G1447" t="s">
        <v>656</v>
      </c>
      <c r="H1447" s="1373" t="s">
        <v>2428</v>
      </c>
      <c r="I1447" t="s">
        <v>1800</v>
      </c>
      <c r="J1447">
        <v>2701</v>
      </c>
      <c r="K1447" t="s">
        <v>1800</v>
      </c>
      <c r="L1447" s="1373">
        <v>2100</v>
      </c>
      <c r="M1447" t="s">
        <v>618</v>
      </c>
      <c r="N1447">
        <v>2115</v>
      </c>
      <c r="O1447" t="s">
        <v>1506</v>
      </c>
      <c r="P1447" t="s">
        <v>2366</v>
      </c>
      <c r="Q1447" t="s">
        <v>2364</v>
      </c>
      <c r="R1447" t="s">
        <v>2364</v>
      </c>
      <c r="S1447" t="s">
        <v>1881</v>
      </c>
      <c r="T1447" t="s">
        <v>1812</v>
      </c>
      <c r="U1447" t="s">
        <v>2365</v>
      </c>
      <c r="V1447" t="s">
        <v>2365</v>
      </c>
      <c r="W1447" t="s">
        <v>2365</v>
      </c>
      <c r="X1447" t="s">
        <v>2365</v>
      </c>
      <c r="Y1447" t="s">
        <v>2365</v>
      </c>
      <c r="Z1447" t="s">
        <v>2365</v>
      </c>
      <c r="AA1447" t="s">
        <v>2365</v>
      </c>
      <c r="AB1447" t="s">
        <v>2365</v>
      </c>
      <c r="AC1447" s="813" t="s">
        <v>2365</v>
      </c>
      <c r="AD1447" s="813" t="s">
        <v>2365</v>
      </c>
      <c r="AE1447" s="813" t="s">
        <v>2365</v>
      </c>
      <c r="AF1447" t="s">
        <v>2365</v>
      </c>
      <c r="AG1447" t="s">
        <v>2365</v>
      </c>
      <c r="AH1447" t="s">
        <v>2365</v>
      </c>
      <c r="AI1447" t="s">
        <v>2365</v>
      </c>
      <c r="AJ1447" t="s">
        <v>2365</v>
      </c>
      <c r="AK1447" t="s">
        <v>2365</v>
      </c>
      <c r="AL1447" t="s">
        <v>2365</v>
      </c>
      <c r="AM1447" t="s">
        <v>2365</v>
      </c>
      <c r="AN1447" t="s">
        <v>2365</v>
      </c>
      <c r="AR1447" t="s">
        <v>2365</v>
      </c>
      <c r="AS1447" t="s">
        <v>2365</v>
      </c>
      <c r="AT1447" t="s">
        <v>2365</v>
      </c>
      <c r="AU1447" t="s">
        <v>2365</v>
      </c>
      <c r="AV1447" t="s">
        <v>2365</v>
      </c>
      <c r="AW1447" t="s">
        <v>2365</v>
      </c>
      <c r="AX1447" t="s">
        <v>2365</v>
      </c>
      <c r="AY1447" t="s">
        <v>2365</v>
      </c>
      <c r="AZ1447" t="s">
        <v>2365</v>
      </c>
      <c r="BA1447" t="s">
        <v>2365</v>
      </c>
      <c r="BB1447" t="s">
        <v>2365</v>
      </c>
      <c r="BC1447" t="s">
        <v>2365</v>
      </c>
      <c r="BD1447" t="s">
        <v>2366</v>
      </c>
      <c r="BE1447" t="s">
        <v>2365</v>
      </c>
      <c r="BF1447" t="s">
        <v>2365</v>
      </c>
      <c r="BG1447" t="s">
        <v>2365</v>
      </c>
      <c r="BH1447" t="s">
        <v>2365</v>
      </c>
      <c r="BI1447" t="s">
        <v>2366</v>
      </c>
      <c r="BJ1447" t="s">
        <v>2365</v>
      </c>
      <c r="BK1447" t="s">
        <v>2365</v>
      </c>
      <c r="BL1447" t="s">
        <v>2365</v>
      </c>
      <c r="BM1447" t="s">
        <v>2365</v>
      </c>
      <c r="BO1447">
        <v>5</v>
      </c>
      <c r="BP1447">
        <v>51</v>
      </c>
      <c r="BQ1447" t="s">
        <v>2438</v>
      </c>
      <c r="BR1447" t="s">
        <v>1506</v>
      </c>
      <c r="BU1447" s="1371">
        <v>130000</v>
      </c>
      <c r="BV1447" s="1371">
        <v>0</v>
      </c>
      <c r="BW1447" s="1371">
        <v>130000</v>
      </c>
      <c r="BX1447" s="1371">
        <v>30000</v>
      </c>
      <c r="BY1447" s="1371">
        <v>160000</v>
      </c>
      <c r="BZ1447">
        <v>137800</v>
      </c>
      <c r="CA1447">
        <v>146068</v>
      </c>
      <c r="CB1447">
        <v>0</v>
      </c>
      <c r="CC1447">
        <v>0</v>
      </c>
      <c r="CD1447">
        <v>0</v>
      </c>
      <c r="CE1447">
        <v>0</v>
      </c>
      <c r="CF1447">
        <v>0</v>
      </c>
      <c r="CG1447">
        <v>0</v>
      </c>
      <c r="CH1447">
        <v>0</v>
      </c>
      <c r="CI1447">
        <v>0</v>
      </c>
      <c r="CJ1447">
        <v>0</v>
      </c>
      <c r="CK1447">
        <v>0</v>
      </c>
      <c r="CL1447">
        <v>0</v>
      </c>
      <c r="CM1447">
        <v>0</v>
      </c>
      <c r="CR1447" t="s">
        <v>2319</v>
      </c>
      <c r="CS1447" s="1369" t="str">
        <f>INDEX([8]Sheet1!$H:$H,MATCH(CR:CR,[8]Sheet1!$AU:$AU,0))</f>
        <v>Mayor and Council</v>
      </c>
    </row>
    <row r="1448" spans="1:97" x14ac:dyDescent="0.2">
      <c r="A1448" t="s">
        <v>4524</v>
      </c>
      <c r="B1448">
        <v>1537</v>
      </c>
      <c r="C1448" t="s">
        <v>4524</v>
      </c>
      <c r="D1448">
        <v>54405</v>
      </c>
      <c r="E1448" t="s">
        <v>2468</v>
      </c>
      <c r="F1448">
        <v>2600</v>
      </c>
      <c r="G1448" t="s">
        <v>655</v>
      </c>
      <c r="H1448" s="1373">
        <v>2600</v>
      </c>
      <c r="I1448" t="s">
        <v>655</v>
      </c>
      <c r="J1448" t="s">
        <v>2365</v>
      </c>
      <c r="K1448" t="s">
        <v>2365</v>
      </c>
      <c r="L1448" s="1373">
        <v>2100</v>
      </c>
      <c r="M1448" t="s">
        <v>618</v>
      </c>
      <c r="N1448">
        <v>2115</v>
      </c>
      <c r="O1448" t="s">
        <v>1506</v>
      </c>
      <c r="P1448" t="s">
        <v>2366</v>
      </c>
      <c r="Q1448" t="s">
        <v>2364</v>
      </c>
      <c r="R1448" t="s">
        <v>2364</v>
      </c>
      <c r="S1448" t="s">
        <v>1881</v>
      </c>
      <c r="T1448" t="s">
        <v>1812</v>
      </c>
      <c r="U1448" t="s">
        <v>2365</v>
      </c>
      <c r="V1448" t="s">
        <v>2365</v>
      </c>
      <c r="W1448" t="s">
        <v>2365</v>
      </c>
      <c r="X1448" t="s">
        <v>2365</v>
      </c>
      <c r="Y1448" t="s">
        <v>2365</v>
      </c>
      <c r="Z1448" t="s">
        <v>2365</v>
      </c>
      <c r="AA1448" t="s">
        <v>2365</v>
      </c>
      <c r="AB1448" t="s">
        <v>2365</v>
      </c>
      <c r="AC1448" s="813" t="s">
        <v>2365</v>
      </c>
      <c r="AD1448" s="813" t="s">
        <v>2365</v>
      </c>
      <c r="AE1448" s="813" t="s">
        <v>2365</v>
      </c>
      <c r="AF1448" t="s">
        <v>2365</v>
      </c>
      <c r="AG1448" t="s">
        <v>2365</v>
      </c>
      <c r="AH1448" t="s">
        <v>2365</v>
      </c>
      <c r="AI1448" t="s">
        <v>2365</v>
      </c>
      <c r="AJ1448" t="s">
        <v>2365</v>
      </c>
      <c r="AK1448" t="s">
        <v>2365</v>
      </c>
      <c r="AL1448" t="s">
        <v>2365</v>
      </c>
      <c r="AM1448" t="s">
        <v>2365</v>
      </c>
      <c r="AN1448" t="s">
        <v>2365</v>
      </c>
      <c r="AR1448" t="s">
        <v>2365</v>
      </c>
      <c r="AS1448" t="s">
        <v>2365</v>
      </c>
      <c r="AT1448" t="s">
        <v>2365</v>
      </c>
      <c r="AU1448" t="s">
        <v>2365</v>
      </c>
      <c r="AV1448" t="s">
        <v>2365</v>
      </c>
      <c r="AW1448" t="s">
        <v>2365</v>
      </c>
      <c r="AX1448" t="s">
        <v>2365</v>
      </c>
      <c r="AY1448" t="s">
        <v>2365</v>
      </c>
      <c r="AZ1448" t="s">
        <v>2365</v>
      </c>
      <c r="BA1448" t="s">
        <v>2365</v>
      </c>
      <c r="BB1448" t="s">
        <v>2365</v>
      </c>
      <c r="BC1448" t="s">
        <v>2365</v>
      </c>
      <c r="BD1448" t="s">
        <v>2366</v>
      </c>
      <c r="BE1448" t="s">
        <v>2365</v>
      </c>
      <c r="BF1448" t="s">
        <v>2365</v>
      </c>
      <c r="BG1448" t="s">
        <v>2365</v>
      </c>
      <c r="BH1448" t="s">
        <v>2365</v>
      </c>
      <c r="BI1448" t="s">
        <v>2366</v>
      </c>
      <c r="BJ1448" t="s">
        <v>2365</v>
      </c>
      <c r="BK1448" t="s">
        <v>2365</v>
      </c>
      <c r="BL1448" t="s">
        <v>2365</v>
      </c>
      <c r="BM1448" t="s">
        <v>2365</v>
      </c>
      <c r="BO1448">
        <v>5</v>
      </c>
      <c r="BP1448">
        <v>51</v>
      </c>
      <c r="BQ1448" t="s">
        <v>2438</v>
      </c>
      <c r="BR1448" t="s">
        <v>1506</v>
      </c>
      <c r="BU1448" s="1371">
        <v>0</v>
      </c>
      <c r="BV1448" s="1371">
        <v>0</v>
      </c>
      <c r="BW1448" s="1371">
        <v>0</v>
      </c>
      <c r="BX1448" s="1371">
        <v>0</v>
      </c>
      <c r="BY1448" s="1371">
        <v>0</v>
      </c>
      <c r="BZ1448">
        <v>0</v>
      </c>
      <c r="CA1448">
        <v>0</v>
      </c>
      <c r="CB1448">
        <v>0</v>
      </c>
      <c r="CC1448">
        <v>0</v>
      </c>
      <c r="CD1448">
        <v>0</v>
      </c>
      <c r="CE1448">
        <v>0</v>
      </c>
      <c r="CF1448">
        <v>0</v>
      </c>
      <c r="CG1448">
        <v>0</v>
      </c>
      <c r="CH1448">
        <v>0</v>
      </c>
      <c r="CI1448">
        <v>0</v>
      </c>
      <c r="CJ1448">
        <v>0</v>
      </c>
      <c r="CK1448">
        <v>0</v>
      </c>
      <c r="CL1448">
        <v>0</v>
      </c>
      <c r="CM1448">
        <v>0</v>
      </c>
      <c r="CR1448" t="s">
        <v>2319</v>
      </c>
      <c r="CS1448" s="1369" t="str">
        <f>INDEX([8]Sheet1!$H:$H,MATCH(CR:CR,[8]Sheet1!$AU:$AU,0))</f>
        <v>Mayor and Council</v>
      </c>
    </row>
    <row r="1449" spans="1:97" x14ac:dyDescent="0.2">
      <c r="A1449" t="s">
        <v>4525</v>
      </c>
      <c r="B1449">
        <v>1538</v>
      </c>
      <c r="C1449" t="s">
        <v>4525</v>
      </c>
      <c r="D1449">
        <v>54406</v>
      </c>
      <c r="E1449" t="s">
        <v>2427</v>
      </c>
      <c r="F1449">
        <v>2700</v>
      </c>
      <c r="G1449" t="s">
        <v>656</v>
      </c>
      <c r="H1449" t="s">
        <v>2428</v>
      </c>
      <c r="I1449" t="s">
        <v>1800</v>
      </c>
      <c r="J1449">
        <v>2701</v>
      </c>
      <c r="K1449" t="s">
        <v>1800</v>
      </c>
      <c r="L1449">
        <v>2100</v>
      </c>
      <c r="M1449" t="s">
        <v>618</v>
      </c>
      <c r="N1449">
        <v>2115</v>
      </c>
      <c r="O1449" t="s">
        <v>1506</v>
      </c>
      <c r="P1449" t="s">
        <v>2366</v>
      </c>
      <c r="Q1449" t="s">
        <v>2364</v>
      </c>
      <c r="R1449" t="s">
        <v>2364</v>
      </c>
      <c r="S1449" t="s">
        <v>1881</v>
      </c>
      <c r="T1449" t="s">
        <v>1812</v>
      </c>
      <c r="U1449" t="s">
        <v>2365</v>
      </c>
      <c r="V1449" t="s">
        <v>2365</v>
      </c>
      <c r="W1449" t="s">
        <v>2365</v>
      </c>
      <c r="X1449" t="s">
        <v>2365</v>
      </c>
      <c r="Y1449" t="s">
        <v>2365</v>
      </c>
      <c r="Z1449" t="s">
        <v>2365</v>
      </c>
      <c r="AA1449" t="s">
        <v>2365</v>
      </c>
      <c r="AB1449" t="s">
        <v>2365</v>
      </c>
      <c r="AC1449" s="813" t="s">
        <v>2365</v>
      </c>
      <c r="AD1449" s="813" t="s">
        <v>2365</v>
      </c>
      <c r="AE1449" s="813" t="s">
        <v>2365</v>
      </c>
      <c r="AF1449" t="s">
        <v>2365</v>
      </c>
      <c r="AG1449" t="s">
        <v>2365</v>
      </c>
      <c r="AH1449" t="s">
        <v>2365</v>
      </c>
      <c r="AI1449" t="s">
        <v>2365</v>
      </c>
      <c r="AJ1449" t="s">
        <v>2365</v>
      </c>
      <c r="AK1449" t="s">
        <v>2365</v>
      </c>
      <c r="AL1449" t="s">
        <v>2365</v>
      </c>
      <c r="AM1449" t="s">
        <v>2365</v>
      </c>
      <c r="AN1449" t="s">
        <v>2365</v>
      </c>
      <c r="AR1449" t="s">
        <v>2365</v>
      </c>
      <c r="AS1449" t="s">
        <v>2365</v>
      </c>
      <c r="AT1449" t="s">
        <v>2365</v>
      </c>
      <c r="AU1449" t="s">
        <v>2365</v>
      </c>
      <c r="AV1449" t="s">
        <v>2365</v>
      </c>
      <c r="AW1449" t="s">
        <v>2365</v>
      </c>
      <c r="AX1449" t="s">
        <v>2365</v>
      </c>
      <c r="AY1449" t="s">
        <v>2365</v>
      </c>
      <c r="AZ1449" t="s">
        <v>2365</v>
      </c>
      <c r="BA1449" t="s">
        <v>2365</v>
      </c>
      <c r="BB1449" t="s">
        <v>2365</v>
      </c>
      <c r="BC1449" t="s">
        <v>2365</v>
      </c>
      <c r="BD1449" t="s">
        <v>2366</v>
      </c>
      <c r="BE1449" t="s">
        <v>2365</v>
      </c>
      <c r="BF1449" t="s">
        <v>2365</v>
      </c>
      <c r="BG1449" t="s">
        <v>2365</v>
      </c>
      <c r="BH1449" t="s">
        <v>2365</v>
      </c>
      <c r="BI1449" t="s">
        <v>2366</v>
      </c>
      <c r="BJ1449" t="s">
        <v>2365</v>
      </c>
      <c r="BK1449" t="s">
        <v>2365</v>
      </c>
      <c r="BL1449" t="s">
        <v>2365</v>
      </c>
      <c r="BM1449" t="s">
        <v>2365</v>
      </c>
      <c r="BO1449">
        <v>5</v>
      </c>
      <c r="BP1449">
        <v>51</v>
      </c>
      <c r="BQ1449" t="s">
        <v>2438</v>
      </c>
      <c r="BR1449" t="s">
        <v>1506</v>
      </c>
      <c r="BU1449">
        <v>100000</v>
      </c>
      <c r="BV1449">
        <v>0</v>
      </c>
      <c r="BW1449">
        <v>100000</v>
      </c>
      <c r="BX1449">
        <v>100000</v>
      </c>
      <c r="BY1449">
        <v>200000</v>
      </c>
      <c r="BZ1449">
        <v>106000</v>
      </c>
      <c r="CA1449">
        <v>112360</v>
      </c>
      <c r="CB1449">
        <v>0</v>
      </c>
      <c r="CC1449">
        <v>0</v>
      </c>
      <c r="CD1449">
        <v>0</v>
      </c>
      <c r="CE1449">
        <v>0</v>
      </c>
      <c r="CF1449">
        <v>0</v>
      </c>
      <c r="CG1449">
        <v>0</v>
      </c>
      <c r="CH1449">
        <v>0</v>
      </c>
      <c r="CI1449">
        <v>0</v>
      </c>
      <c r="CJ1449">
        <v>0</v>
      </c>
      <c r="CK1449">
        <v>0</v>
      </c>
      <c r="CL1449">
        <v>0</v>
      </c>
      <c r="CM1449">
        <v>0</v>
      </c>
      <c r="CR1449" t="s">
        <v>2319</v>
      </c>
      <c r="CS1449" s="1369" t="str">
        <f>INDEX([8]Sheet1!$H:$H,MATCH(CR:CR,[8]Sheet1!$AU:$AU,0))</f>
        <v>Mayor and Council</v>
      </c>
    </row>
    <row r="1450" spans="1:97" x14ac:dyDescent="0.2">
      <c r="A1450" t="s">
        <v>4526</v>
      </c>
      <c r="B1450">
        <v>1539</v>
      </c>
      <c r="C1450" t="s">
        <v>4526</v>
      </c>
      <c r="D1450">
        <v>54407</v>
      </c>
      <c r="E1450" t="s">
        <v>2499</v>
      </c>
      <c r="F1450">
        <v>2900</v>
      </c>
      <c r="G1450" t="s">
        <v>569</v>
      </c>
      <c r="H1450" t="s">
        <v>2366</v>
      </c>
      <c r="I1450" t="s">
        <v>2366</v>
      </c>
      <c r="J1450">
        <v>2904</v>
      </c>
      <c r="K1450" t="s">
        <v>1432</v>
      </c>
      <c r="L1450">
        <v>2100</v>
      </c>
      <c r="M1450" t="s">
        <v>618</v>
      </c>
      <c r="N1450">
        <v>2118</v>
      </c>
      <c r="O1450" t="s">
        <v>1509</v>
      </c>
      <c r="P1450" t="s">
        <v>2366</v>
      </c>
      <c r="Q1450" t="s">
        <v>2364</v>
      </c>
      <c r="R1450" t="s">
        <v>2364</v>
      </c>
      <c r="S1450" t="s">
        <v>1881</v>
      </c>
      <c r="T1450" t="s">
        <v>1812</v>
      </c>
      <c r="U1450" t="s">
        <v>2365</v>
      </c>
      <c r="V1450" t="s">
        <v>2365</v>
      </c>
      <c r="W1450" t="s">
        <v>2365</v>
      </c>
      <c r="X1450" t="s">
        <v>2365</v>
      </c>
      <c r="Y1450" t="s">
        <v>2365</v>
      </c>
      <c r="Z1450" t="s">
        <v>2365</v>
      </c>
      <c r="AA1450" t="s">
        <v>2365</v>
      </c>
      <c r="AB1450" t="s">
        <v>2365</v>
      </c>
      <c r="AC1450" s="813" t="s">
        <v>2365</v>
      </c>
      <c r="AD1450" s="813" t="s">
        <v>2365</v>
      </c>
      <c r="AE1450" s="813" t="s">
        <v>2365</v>
      </c>
      <c r="AF1450" t="s">
        <v>2365</v>
      </c>
      <c r="AG1450" t="s">
        <v>2365</v>
      </c>
      <c r="AH1450" t="s">
        <v>2365</v>
      </c>
      <c r="AI1450" t="s">
        <v>2365</v>
      </c>
      <c r="AJ1450" t="s">
        <v>2365</v>
      </c>
      <c r="AK1450" t="s">
        <v>2365</v>
      </c>
      <c r="AL1450" t="s">
        <v>2365</v>
      </c>
      <c r="AM1450" t="s">
        <v>2365</v>
      </c>
      <c r="AN1450" t="s">
        <v>2365</v>
      </c>
      <c r="AR1450" t="s">
        <v>2365</v>
      </c>
      <c r="AS1450" t="s">
        <v>2365</v>
      </c>
      <c r="AT1450" t="s">
        <v>2365</v>
      </c>
      <c r="AU1450" t="s">
        <v>2365</v>
      </c>
      <c r="AV1450" t="s">
        <v>2365</v>
      </c>
      <c r="AW1450" t="s">
        <v>2365</v>
      </c>
      <c r="AX1450" t="s">
        <v>2365</v>
      </c>
      <c r="AY1450" t="s">
        <v>2365</v>
      </c>
      <c r="AZ1450" t="s">
        <v>2365</v>
      </c>
      <c r="BA1450" t="s">
        <v>2365</v>
      </c>
      <c r="BB1450" t="s">
        <v>2365</v>
      </c>
      <c r="BC1450" t="s">
        <v>2365</v>
      </c>
      <c r="BD1450" t="s">
        <v>2366</v>
      </c>
      <c r="BE1450" t="s">
        <v>2365</v>
      </c>
      <c r="BF1450" t="s">
        <v>2365</v>
      </c>
      <c r="BG1450" t="s">
        <v>2365</v>
      </c>
      <c r="BH1450" t="s">
        <v>2365</v>
      </c>
      <c r="BI1450" t="s">
        <v>2366</v>
      </c>
      <c r="BJ1450" t="s">
        <v>2365</v>
      </c>
      <c r="BK1450" t="s">
        <v>2365</v>
      </c>
      <c r="BL1450" t="s">
        <v>2365</v>
      </c>
      <c r="BM1450" t="s">
        <v>2365</v>
      </c>
      <c r="BO1450">
        <v>4</v>
      </c>
      <c r="BP1450">
        <v>43</v>
      </c>
      <c r="BQ1450" t="s">
        <v>2433</v>
      </c>
      <c r="BR1450" t="s">
        <v>1509</v>
      </c>
      <c r="BU1450">
        <v>10000</v>
      </c>
      <c r="BV1450">
        <v>0</v>
      </c>
      <c r="BW1450">
        <v>10000</v>
      </c>
      <c r="BX1450">
        <v>-10000</v>
      </c>
      <c r="BY1450">
        <v>0</v>
      </c>
      <c r="BZ1450">
        <v>10600</v>
      </c>
      <c r="CA1450">
        <v>11236</v>
      </c>
      <c r="CB1450">
        <v>0</v>
      </c>
      <c r="CC1450">
        <v>0</v>
      </c>
      <c r="CD1450">
        <v>0</v>
      </c>
      <c r="CE1450">
        <v>0</v>
      </c>
      <c r="CF1450">
        <v>0</v>
      </c>
      <c r="CG1450">
        <v>0</v>
      </c>
      <c r="CH1450">
        <v>0</v>
      </c>
      <c r="CI1450">
        <v>0</v>
      </c>
      <c r="CJ1450">
        <v>0</v>
      </c>
      <c r="CK1450">
        <v>0</v>
      </c>
      <c r="CL1450">
        <v>0</v>
      </c>
      <c r="CM1450">
        <v>0</v>
      </c>
      <c r="CR1450" t="s">
        <v>2333</v>
      </c>
      <c r="CS1450" s="1369" t="str">
        <f>INDEX([8]Sheet1!$H:$H,MATCH(CR:CR,[8]Sheet1!$AU:$AU,0))</f>
        <v>Municipal Manager, Town Secretary and Chief Executive</v>
      </c>
    </row>
    <row r="1451" spans="1:97" x14ac:dyDescent="0.2">
      <c r="A1451" t="s">
        <v>4527</v>
      </c>
      <c r="B1451">
        <v>1540</v>
      </c>
      <c r="C1451" t="s">
        <v>4527</v>
      </c>
      <c r="D1451">
        <v>54408</v>
      </c>
      <c r="E1451" t="s">
        <v>3010</v>
      </c>
      <c r="F1451">
        <v>2700</v>
      </c>
      <c r="G1451" t="s">
        <v>656</v>
      </c>
      <c r="H1451" s="1373" t="s">
        <v>2428</v>
      </c>
      <c r="I1451" t="s">
        <v>1800</v>
      </c>
      <c r="J1451">
        <v>2701</v>
      </c>
      <c r="K1451" t="s">
        <v>1800</v>
      </c>
      <c r="L1451" s="1373">
        <v>2100</v>
      </c>
      <c r="M1451" t="s">
        <v>618</v>
      </c>
      <c r="N1451">
        <v>2108</v>
      </c>
      <c r="O1451" t="s">
        <v>1501</v>
      </c>
      <c r="P1451" t="s">
        <v>2366</v>
      </c>
      <c r="Q1451" t="s">
        <v>2364</v>
      </c>
      <c r="R1451" t="s">
        <v>2364</v>
      </c>
      <c r="S1451" t="s">
        <v>1881</v>
      </c>
      <c r="T1451" t="s">
        <v>1812</v>
      </c>
      <c r="U1451" t="s">
        <v>2365</v>
      </c>
      <c r="V1451" t="s">
        <v>2365</v>
      </c>
      <c r="W1451" t="s">
        <v>2365</v>
      </c>
      <c r="X1451" t="s">
        <v>2365</v>
      </c>
      <c r="Y1451" t="s">
        <v>2365</v>
      </c>
      <c r="Z1451" t="s">
        <v>2365</v>
      </c>
      <c r="AA1451" t="s">
        <v>2365</v>
      </c>
      <c r="AB1451" t="s">
        <v>2365</v>
      </c>
      <c r="AC1451" s="813" t="s">
        <v>2365</v>
      </c>
      <c r="AD1451" s="813" t="s">
        <v>2365</v>
      </c>
      <c r="AE1451" s="813" t="s">
        <v>2365</v>
      </c>
      <c r="AF1451" t="s">
        <v>2365</v>
      </c>
      <c r="AG1451" t="s">
        <v>2365</v>
      </c>
      <c r="AH1451" t="s">
        <v>2365</v>
      </c>
      <c r="AI1451" t="s">
        <v>2365</v>
      </c>
      <c r="AJ1451" t="s">
        <v>2365</v>
      </c>
      <c r="AK1451" t="s">
        <v>2365</v>
      </c>
      <c r="AL1451" t="s">
        <v>2365</v>
      </c>
      <c r="AM1451" t="s">
        <v>2365</v>
      </c>
      <c r="AN1451" t="s">
        <v>2365</v>
      </c>
      <c r="AR1451" t="s">
        <v>2365</v>
      </c>
      <c r="AS1451" t="s">
        <v>2365</v>
      </c>
      <c r="AT1451" t="s">
        <v>2365</v>
      </c>
      <c r="AU1451" t="s">
        <v>2365</v>
      </c>
      <c r="AV1451" t="s">
        <v>2365</v>
      </c>
      <c r="AW1451" t="s">
        <v>2365</v>
      </c>
      <c r="AX1451" t="s">
        <v>2365</v>
      </c>
      <c r="AY1451" t="s">
        <v>2365</v>
      </c>
      <c r="AZ1451" t="s">
        <v>2365</v>
      </c>
      <c r="BA1451" t="s">
        <v>2365</v>
      </c>
      <c r="BB1451" t="s">
        <v>2365</v>
      </c>
      <c r="BC1451" t="s">
        <v>2365</v>
      </c>
      <c r="BD1451" t="s">
        <v>2366</v>
      </c>
      <c r="BE1451" t="s">
        <v>2365</v>
      </c>
      <c r="BF1451" t="s">
        <v>2365</v>
      </c>
      <c r="BG1451" t="s">
        <v>2365</v>
      </c>
      <c r="BH1451" t="s">
        <v>2365</v>
      </c>
      <c r="BI1451" t="s">
        <v>2366</v>
      </c>
      <c r="BJ1451" t="s">
        <v>2365</v>
      </c>
      <c r="BK1451" t="s">
        <v>2365</v>
      </c>
      <c r="BL1451" t="s">
        <v>2365</v>
      </c>
      <c r="BM1451" t="s">
        <v>2365</v>
      </c>
      <c r="BO1451">
        <v>4</v>
      </c>
      <c r="BP1451">
        <v>44</v>
      </c>
      <c r="BQ1451" t="s">
        <v>2433</v>
      </c>
      <c r="BR1451" t="s">
        <v>1501</v>
      </c>
      <c r="BU1451" s="1371">
        <v>20000</v>
      </c>
      <c r="BV1451" s="1371">
        <v>0</v>
      </c>
      <c r="BW1451" s="1371">
        <v>20000</v>
      </c>
      <c r="BX1451" s="1371">
        <v>0</v>
      </c>
      <c r="BY1451" s="1371">
        <v>20000</v>
      </c>
      <c r="BZ1451">
        <v>21200</v>
      </c>
      <c r="CA1451">
        <v>22472</v>
      </c>
      <c r="CB1451">
        <v>0</v>
      </c>
      <c r="CC1451">
        <v>0</v>
      </c>
      <c r="CD1451">
        <v>0</v>
      </c>
      <c r="CE1451">
        <v>0</v>
      </c>
      <c r="CF1451">
        <v>0</v>
      </c>
      <c r="CG1451">
        <v>0</v>
      </c>
      <c r="CH1451">
        <v>0</v>
      </c>
      <c r="CI1451">
        <v>0</v>
      </c>
      <c r="CJ1451">
        <v>0</v>
      </c>
      <c r="CK1451">
        <v>0</v>
      </c>
      <c r="CL1451">
        <v>0</v>
      </c>
      <c r="CM1451">
        <v>0</v>
      </c>
      <c r="CR1451" t="s">
        <v>2333</v>
      </c>
      <c r="CS1451" s="1369" t="str">
        <f>INDEX([8]Sheet1!$H:$H,MATCH(CR:CR,[8]Sheet1!$AU:$AU,0))</f>
        <v>Municipal Manager, Town Secretary and Chief Executive</v>
      </c>
    </row>
    <row r="1452" spans="1:97" x14ac:dyDescent="0.2">
      <c r="A1452" t="s">
        <v>4528</v>
      </c>
      <c r="B1452">
        <v>1541</v>
      </c>
      <c r="C1452" t="s">
        <v>4528</v>
      </c>
      <c r="D1452">
        <v>54409</v>
      </c>
      <c r="E1452" t="s">
        <v>2427</v>
      </c>
      <c r="F1452">
        <v>2700</v>
      </c>
      <c r="G1452" t="s">
        <v>656</v>
      </c>
      <c r="H1452" s="1373" t="s">
        <v>2428</v>
      </c>
      <c r="I1452" t="s">
        <v>1800</v>
      </c>
      <c r="J1452">
        <v>2701</v>
      </c>
      <c r="K1452" t="s">
        <v>1800</v>
      </c>
      <c r="L1452" s="1373">
        <v>2100</v>
      </c>
      <c r="M1452" t="s">
        <v>618</v>
      </c>
      <c r="N1452">
        <v>2108</v>
      </c>
      <c r="O1452" t="s">
        <v>1501</v>
      </c>
      <c r="P1452" t="s">
        <v>2366</v>
      </c>
      <c r="Q1452" t="s">
        <v>2364</v>
      </c>
      <c r="R1452" t="s">
        <v>2364</v>
      </c>
      <c r="S1452" t="s">
        <v>1881</v>
      </c>
      <c r="T1452" t="s">
        <v>1812</v>
      </c>
      <c r="U1452" t="s">
        <v>2365</v>
      </c>
      <c r="V1452" t="s">
        <v>2365</v>
      </c>
      <c r="W1452" t="s">
        <v>2365</v>
      </c>
      <c r="X1452" t="s">
        <v>2365</v>
      </c>
      <c r="Y1452" t="s">
        <v>2365</v>
      </c>
      <c r="Z1452" t="s">
        <v>2365</v>
      </c>
      <c r="AA1452" t="s">
        <v>2365</v>
      </c>
      <c r="AB1452" t="s">
        <v>2365</v>
      </c>
      <c r="AC1452" s="813" t="s">
        <v>2365</v>
      </c>
      <c r="AD1452" s="813" t="s">
        <v>2365</v>
      </c>
      <c r="AE1452" s="813" t="s">
        <v>2365</v>
      </c>
      <c r="AF1452" t="s">
        <v>2365</v>
      </c>
      <c r="AG1452" t="s">
        <v>2365</v>
      </c>
      <c r="AH1452" t="s">
        <v>2365</v>
      </c>
      <c r="AI1452" t="s">
        <v>2365</v>
      </c>
      <c r="AJ1452" t="s">
        <v>2365</v>
      </c>
      <c r="AK1452" t="s">
        <v>2365</v>
      </c>
      <c r="AL1452" t="s">
        <v>2365</v>
      </c>
      <c r="AM1452" t="s">
        <v>2365</v>
      </c>
      <c r="AN1452" t="s">
        <v>2365</v>
      </c>
      <c r="AR1452" t="s">
        <v>2365</v>
      </c>
      <c r="AS1452" t="s">
        <v>2365</v>
      </c>
      <c r="AT1452" t="s">
        <v>2365</v>
      </c>
      <c r="AU1452" t="s">
        <v>2365</v>
      </c>
      <c r="AV1452" t="s">
        <v>2365</v>
      </c>
      <c r="AW1452" t="s">
        <v>2365</v>
      </c>
      <c r="AX1452" t="s">
        <v>2365</v>
      </c>
      <c r="AY1452" t="s">
        <v>2365</v>
      </c>
      <c r="AZ1452" t="s">
        <v>2365</v>
      </c>
      <c r="BA1452" t="s">
        <v>2365</v>
      </c>
      <c r="BB1452" t="s">
        <v>2365</v>
      </c>
      <c r="BC1452" t="s">
        <v>2365</v>
      </c>
      <c r="BD1452" t="s">
        <v>2366</v>
      </c>
      <c r="BE1452" t="s">
        <v>2365</v>
      </c>
      <c r="BF1452" t="s">
        <v>2365</v>
      </c>
      <c r="BG1452" t="s">
        <v>2365</v>
      </c>
      <c r="BH1452" t="s">
        <v>2365</v>
      </c>
      <c r="BI1452" t="s">
        <v>2366</v>
      </c>
      <c r="BJ1452" t="s">
        <v>2365</v>
      </c>
      <c r="BK1452" t="s">
        <v>2365</v>
      </c>
      <c r="BL1452" t="s">
        <v>2365</v>
      </c>
      <c r="BM1452" t="s">
        <v>2365</v>
      </c>
      <c r="BO1452">
        <v>4</v>
      </c>
      <c r="BP1452">
        <v>44</v>
      </c>
      <c r="BQ1452" t="s">
        <v>2433</v>
      </c>
      <c r="BR1452" t="s">
        <v>1501</v>
      </c>
      <c r="BU1452" s="1371">
        <v>20000</v>
      </c>
      <c r="BV1452" s="1371">
        <v>0</v>
      </c>
      <c r="BW1452" s="1371">
        <v>20000</v>
      </c>
      <c r="BX1452" s="1371">
        <v>0</v>
      </c>
      <c r="BY1452" s="1371">
        <v>20000</v>
      </c>
      <c r="BZ1452">
        <v>21200</v>
      </c>
      <c r="CA1452">
        <v>22472</v>
      </c>
      <c r="CB1452">
        <v>0</v>
      </c>
      <c r="CC1452">
        <v>0</v>
      </c>
      <c r="CD1452">
        <v>0</v>
      </c>
      <c r="CE1452">
        <v>0</v>
      </c>
      <c r="CF1452">
        <v>0</v>
      </c>
      <c r="CG1452">
        <v>0</v>
      </c>
      <c r="CH1452">
        <v>0</v>
      </c>
      <c r="CI1452">
        <v>0</v>
      </c>
      <c r="CJ1452">
        <v>0</v>
      </c>
      <c r="CK1452">
        <v>0</v>
      </c>
      <c r="CL1452">
        <v>0</v>
      </c>
      <c r="CM1452">
        <v>0</v>
      </c>
      <c r="CR1452" t="s">
        <v>2333</v>
      </c>
      <c r="CS1452" s="1369" t="str">
        <f>INDEX([8]Sheet1!$H:$H,MATCH(CR:CR,[8]Sheet1!$AU:$AU,0))</f>
        <v>Municipal Manager, Town Secretary and Chief Executive</v>
      </c>
    </row>
    <row r="1453" spans="1:97" x14ac:dyDescent="0.2">
      <c r="A1453" t="s">
        <v>4529</v>
      </c>
      <c r="B1453">
        <v>1542</v>
      </c>
      <c r="C1453" t="s">
        <v>4529</v>
      </c>
      <c r="D1453">
        <v>54410</v>
      </c>
      <c r="E1453" t="s">
        <v>2430</v>
      </c>
      <c r="F1453">
        <v>2700</v>
      </c>
      <c r="G1453" t="s">
        <v>656</v>
      </c>
      <c r="H1453" s="1373" t="s">
        <v>2428</v>
      </c>
      <c r="I1453" t="s">
        <v>1800</v>
      </c>
      <c r="J1453">
        <v>2701</v>
      </c>
      <c r="K1453" t="s">
        <v>1800</v>
      </c>
      <c r="L1453" s="1373">
        <v>2100</v>
      </c>
      <c r="M1453" t="s">
        <v>618</v>
      </c>
      <c r="N1453">
        <v>2108</v>
      </c>
      <c r="O1453" t="s">
        <v>1501</v>
      </c>
      <c r="P1453" t="s">
        <v>2366</v>
      </c>
      <c r="Q1453" t="s">
        <v>2364</v>
      </c>
      <c r="R1453" t="s">
        <v>2364</v>
      </c>
      <c r="S1453" t="s">
        <v>1881</v>
      </c>
      <c r="T1453" t="s">
        <v>1812</v>
      </c>
      <c r="U1453" t="s">
        <v>2365</v>
      </c>
      <c r="V1453" t="s">
        <v>2365</v>
      </c>
      <c r="W1453" t="s">
        <v>2365</v>
      </c>
      <c r="X1453" t="s">
        <v>2365</v>
      </c>
      <c r="Y1453" t="s">
        <v>2365</v>
      </c>
      <c r="Z1453" t="s">
        <v>2365</v>
      </c>
      <c r="AA1453" t="s">
        <v>2365</v>
      </c>
      <c r="AB1453" t="s">
        <v>2365</v>
      </c>
      <c r="AC1453" s="813" t="s">
        <v>2365</v>
      </c>
      <c r="AD1453" s="813" t="s">
        <v>2365</v>
      </c>
      <c r="AE1453" s="813" t="s">
        <v>2365</v>
      </c>
      <c r="AF1453" t="s">
        <v>2365</v>
      </c>
      <c r="AG1453" t="s">
        <v>2365</v>
      </c>
      <c r="AH1453" t="s">
        <v>2365</v>
      </c>
      <c r="AI1453" t="s">
        <v>2365</v>
      </c>
      <c r="AJ1453" t="s">
        <v>2365</v>
      </c>
      <c r="AK1453" t="s">
        <v>2365</v>
      </c>
      <c r="AL1453" t="s">
        <v>2365</v>
      </c>
      <c r="AM1453" t="s">
        <v>2365</v>
      </c>
      <c r="AN1453" t="s">
        <v>2365</v>
      </c>
      <c r="AR1453" t="s">
        <v>2365</v>
      </c>
      <c r="AS1453" t="s">
        <v>2365</v>
      </c>
      <c r="AT1453" t="s">
        <v>2365</v>
      </c>
      <c r="AU1453" t="s">
        <v>2365</v>
      </c>
      <c r="AV1453" t="s">
        <v>2365</v>
      </c>
      <c r="AW1453" t="s">
        <v>2365</v>
      </c>
      <c r="AX1453" t="s">
        <v>2365</v>
      </c>
      <c r="AY1453" t="s">
        <v>2365</v>
      </c>
      <c r="AZ1453" t="s">
        <v>2365</v>
      </c>
      <c r="BA1453" t="s">
        <v>2365</v>
      </c>
      <c r="BB1453" t="s">
        <v>2365</v>
      </c>
      <c r="BC1453" t="s">
        <v>2365</v>
      </c>
      <c r="BD1453" t="s">
        <v>2366</v>
      </c>
      <c r="BE1453" t="s">
        <v>2365</v>
      </c>
      <c r="BF1453" t="s">
        <v>2365</v>
      </c>
      <c r="BG1453" t="s">
        <v>2365</v>
      </c>
      <c r="BH1453" t="s">
        <v>2365</v>
      </c>
      <c r="BI1453" t="s">
        <v>2366</v>
      </c>
      <c r="BJ1453" t="s">
        <v>2365</v>
      </c>
      <c r="BK1453" t="s">
        <v>2365</v>
      </c>
      <c r="BL1453" t="s">
        <v>2365</v>
      </c>
      <c r="BM1453" t="s">
        <v>2365</v>
      </c>
      <c r="BO1453">
        <v>4</v>
      </c>
      <c r="BP1453">
        <v>44</v>
      </c>
      <c r="BQ1453" t="s">
        <v>2433</v>
      </c>
      <c r="BR1453" t="s">
        <v>1501</v>
      </c>
      <c r="BU1453" s="1371">
        <v>28000</v>
      </c>
      <c r="BV1453" s="1371">
        <v>0</v>
      </c>
      <c r="BW1453" s="1371">
        <v>28000</v>
      </c>
      <c r="BX1453" s="1371">
        <v>0</v>
      </c>
      <c r="BY1453" s="1371">
        <v>28000</v>
      </c>
      <c r="BZ1453">
        <v>29680</v>
      </c>
      <c r="CA1453">
        <v>31461</v>
      </c>
      <c r="CB1453">
        <v>0</v>
      </c>
      <c r="CC1453">
        <v>0</v>
      </c>
      <c r="CD1453">
        <v>0</v>
      </c>
      <c r="CE1453">
        <v>0</v>
      </c>
      <c r="CF1453">
        <v>0</v>
      </c>
      <c r="CG1453">
        <v>0</v>
      </c>
      <c r="CH1453">
        <v>0</v>
      </c>
      <c r="CI1453">
        <v>0</v>
      </c>
      <c r="CJ1453">
        <v>0</v>
      </c>
      <c r="CK1453">
        <v>0</v>
      </c>
      <c r="CL1453">
        <v>0</v>
      </c>
      <c r="CM1453">
        <v>0</v>
      </c>
      <c r="CR1453" t="s">
        <v>2337</v>
      </c>
      <c r="CS1453" s="1369" t="str">
        <f>INDEX([8]Sheet1!$H:$H,MATCH(CR:CR,[8]Sheet1!$AU:$AU,0))</f>
        <v>Corporate Wide Strategic Planning (IDPs, LEDs)</v>
      </c>
    </row>
    <row r="1454" spans="1:97" x14ac:dyDescent="0.2">
      <c r="A1454" t="s">
        <v>4530</v>
      </c>
      <c r="B1454">
        <v>1543</v>
      </c>
      <c r="C1454" t="s">
        <v>4530</v>
      </c>
      <c r="D1454">
        <v>54411</v>
      </c>
      <c r="E1454" t="s">
        <v>2455</v>
      </c>
      <c r="F1454">
        <v>2900</v>
      </c>
      <c r="G1454" t="s">
        <v>569</v>
      </c>
      <c r="H1454" s="1373" t="s">
        <v>2366</v>
      </c>
      <c r="I1454" t="s">
        <v>2366</v>
      </c>
      <c r="J1454">
        <v>2904</v>
      </c>
      <c r="K1454" t="s">
        <v>1432</v>
      </c>
      <c r="L1454" s="1373">
        <v>2100</v>
      </c>
      <c r="M1454" t="s">
        <v>618</v>
      </c>
      <c r="N1454">
        <v>2108</v>
      </c>
      <c r="O1454" t="s">
        <v>1501</v>
      </c>
      <c r="P1454" t="s">
        <v>2366</v>
      </c>
      <c r="Q1454" t="s">
        <v>2364</v>
      </c>
      <c r="R1454" t="s">
        <v>2364</v>
      </c>
      <c r="S1454" t="s">
        <v>1881</v>
      </c>
      <c r="T1454" t="s">
        <v>1812</v>
      </c>
      <c r="U1454" t="s">
        <v>2365</v>
      </c>
      <c r="V1454" t="s">
        <v>2365</v>
      </c>
      <c r="W1454" t="s">
        <v>2365</v>
      </c>
      <c r="X1454" t="s">
        <v>2365</v>
      </c>
      <c r="Y1454" t="s">
        <v>2365</v>
      </c>
      <c r="Z1454" t="s">
        <v>2365</v>
      </c>
      <c r="AA1454" t="s">
        <v>2365</v>
      </c>
      <c r="AB1454" t="s">
        <v>2365</v>
      </c>
      <c r="AC1454" s="813" t="s">
        <v>2365</v>
      </c>
      <c r="AD1454" s="813" t="s">
        <v>2365</v>
      </c>
      <c r="AE1454" s="813" t="s">
        <v>2365</v>
      </c>
      <c r="AF1454" t="s">
        <v>2365</v>
      </c>
      <c r="AG1454" t="s">
        <v>2365</v>
      </c>
      <c r="AH1454" t="s">
        <v>2365</v>
      </c>
      <c r="AI1454" t="s">
        <v>2365</v>
      </c>
      <c r="AJ1454" t="s">
        <v>2365</v>
      </c>
      <c r="AK1454" t="s">
        <v>2365</v>
      </c>
      <c r="AL1454" t="s">
        <v>2365</v>
      </c>
      <c r="AM1454" t="s">
        <v>2365</v>
      </c>
      <c r="AN1454" t="s">
        <v>2365</v>
      </c>
      <c r="AR1454" t="s">
        <v>2365</v>
      </c>
      <c r="AS1454" t="s">
        <v>2365</v>
      </c>
      <c r="AT1454" t="s">
        <v>2365</v>
      </c>
      <c r="AU1454" t="s">
        <v>2365</v>
      </c>
      <c r="AV1454" t="s">
        <v>2365</v>
      </c>
      <c r="AW1454" t="s">
        <v>2365</v>
      </c>
      <c r="AX1454" t="s">
        <v>2365</v>
      </c>
      <c r="AY1454" t="s">
        <v>2365</v>
      </c>
      <c r="AZ1454" t="s">
        <v>2365</v>
      </c>
      <c r="BA1454" t="s">
        <v>2365</v>
      </c>
      <c r="BB1454" t="s">
        <v>2365</v>
      </c>
      <c r="BC1454" t="s">
        <v>2365</v>
      </c>
      <c r="BD1454" t="s">
        <v>2366</v>
      </c>
      <c r="BE1454" t="s">
        <v>2365</v>
      </c>
      <c r="BF1454" t="s">
        <v>2365</v>
      </c>
      <c r="BG1454" t="s">
        <v>2365</v>
      </c>
      <c r="BH1454" t="s">
        <v>2365</v>
      </c>
      <c r="BI1454" t="s">
        <v>2366</v>
      </c>
      <c r="BJ1454" t="s">
        <v>2365</v>
      </c>
      <c r="BK1454" t="s">
        <v>2365</v>
      </c>
      <c r="BL1454" t="s">
        <v>2365</v>
      </c>
      <c r="BM1454" t="s">
        <v>2365</v>
      </c>
      <c r="BO1454">
        <v>4</v>
      </c>
      <c r="BP1454">
        <v>44</v>
      </c>
      <c r="BQ1454" t="s">
        <v>2433</v>
      </c>
      <c r="BR1454" t="s">
        <v>1501</v>
      </c>
      <c r="BU1454" s="1371">
        <v>2000</v>
      </c>
      <c r="BV1454" s="1371">
        <v>0</v>
      </c>
      <c r="BW1454" s="1371">
        <v>2000</v>
      </c>
      <c r="BX1454" s="1371">
        <v>-2000</v>
      </c>
      <c r="BY1454" s="1371">
        <v>0</v>
      </c>
      <c r="BZ1454">
        <v>2120</v>
      </c>
      <c r="CA1454">
        <v>2247</v>
      </c>
      <c r="CB1454">
        <v>0</v>
      </c>
      <c r="CC1454">
        <v>0</v>
      </c>
      <c r="CD1454">
        <v>0</v>
      </c>
      <c r="CE1454">
        <v>0</v>
      </c>
      <c r="CF1454">
        <v>0</v>
      </c>
      <c r="CG1454">
        <v>0</v>
      </c>
      <c r="CH1454">
        <v>0</v>
      </c>
      <c r="CI1454">
        <v>0</v>
      </c>
      <c r="CJ1454">
        <v>0</v>
      </c>
      <c r="CK1454">
        <v>0</v>
      </c>
      <c r="CL1454">
        <v>0</v>
      </c>
      <c r="CM1454">
        <v>0</v>
      </c>
      <c r="CR1454" t="s">
        <v>2337</v>
      </c>
      <c r="CS1454" s="1369" t="str">
        <f>INDEX([8]Sheet1!$H:$H,MATCH(CR:CR,[8]Sheet1!$AU:$AU,0))</f>
        <v>Corporate Wide Strategic Planning (IDPs, LEDs)</v>
      </c>
    </row>
    <row r="1455" spans="1:97" x14ac:dyDescent="0.2">
      <c r="A1455" t="s">
        <v>4531</v>
      </c>
      <c r="B1455">
        <v>1544</v>
      </c>
      <c r="C1455" t="s">
        <v>4531</v>
      </c>
      <c r="D1455">
        <v>54412</v>
      </c>
      <c r="E1455" t="s">
        <v>3010</v>
      </c>
      <c r="F1455">
        <v>2700</v>
      </c>
      <c r="G1455" t="s">
        <v>656</v>
      </c>
      <c r="H1455" t="s">
        <v>2428</v>
      </c>
      <c r="I1455" t="s">
        <v>1800</v>
      </c>
      <c r="J1455">
        <v>2701</v>
      </c>
      <c r="K1455" t="s">
        <v>1800</v>
      </c>
      <c r="L1455">
        <v>3100</v>
      </c>
      <c r="M1455" t="s">
        <v>624</v>
      </c>
      <c r="N1455">
        <v>3105</v>
      </c>
      <c r="O1455" t="s">
        <v>1534</v>
      </c>
      <c r="P1455" t="s">
        <v>2366</v>
      </c>
      <c r="Q1455" t="s">
        <v>2364</v>
      </c>
      <c r="R1455" t="s">
        <v>2364</v>
      </c>
      <c r="S1455" t="s">
        <v>1881</v>
      </c>
      <c r="T1455" t="s">
        <v>1812</v>
      </c>
      <c r="U1455" t="s">
        <v>2365</v>
      </c>
      <c r="V1455" t="s">
        <v>2365</v>
      </c>
      <c r="W1455" t="s">
        <v>2365</v>
      </c>
      <c r="X1455" t="s">
        <v>2365</v>
      </c>
      <c r="Y1455" t="s">
        <v>2365</v>
      </c>
      <c r="Z1455" t="s">
        <v>2365</v>
      </c>
      <c r="AA1455" t="s">
        <v>2365</v>
      </c>
      <c r="AB1455" t="s">
        <v>2365</v>
      </c>
      <c r="AC1455" s="813" t="s">
        <v>2365</v>
      </c>
      <c r="AD1455" s="813" t="s">
        <v>2365</v>
      </c>
      <c r="AE1455" s="813" t="s">
        <v>2365</v>
      </c>
      <c r="AF1455" t="s">
        <v>2365</v>
      </c>
      <c r="AG1455" t="s">
        <v>2365</v>
      </c>
      <c r="AH1455" t="s">
        <v>2365</v>
      </c>
      <c r="AI1455" t="s">
        <v>2365</v>
      </c>
      <c r="AJ1455" t="s">
        <v>2365</v>
      </c>
      <c r="AK1455" t="s">
        <v>2365</v>
      </c>
      <c r="AL1455" t="s">
        <v>2365</v>
      </c>
      <c r="AM1455" t="s">
        <v>2365</v>
      </c>
      <c r="AN1455" t="s">
        <v>2365</v>
      </c>
      <c r="AR1455" t="s">
        <v>2365</v>
      </c>
      <c r="AS1455" t="s">
        <v>2365</v>
      </c>
      <c r="AT1455" t="s">
        <v>2365</v>
      </c>
      <c r="AU1455" t="s">
        <v>2365</v>
      </c>
      <c r="AV1455" t="s">
        <v>2365</v>
      </c>
      <c r="AW1455" t="s">
        <v>2365</v>
      </c>
      <c r="AX1455" t="s">
        <v>2365</v>
      </c>
      <c r="AY1455" t="s">
        <v>2365</v>
      </c>
      <c r="AZ1455" t="s">
        <v>2365</v>
      </c>
      <c r="BA1455" t="s">
        <v>2365</v>
      </c>
      <c r="BB1455" t="s">
        <v>2365</v>
      </c>
      <c r="BC1455" t="s">
        <v>2365</v>
      </c>
      <c r="BD1455" t="s">
        <v>2366</v>
      </c>
      <c r="BE1455" t="s">
        <v>2365</v>
      </c>
      <c r="BF1455" t="s">
        <v>2365</v>
      </c>
      <c r="BG1455" t="s">
        <v>2365</v>
      </c>
      <c r="BH1455" t="s">
        <v>2365</v>
      </c>
      <c r="BI1455" t="s">
        <v>2366</v>
      </c>
      <c r="BJ1455" t="s">
        <v>2365</v>
      </c>
      <c r="BK1455" t="s">
        <v>2365</v>
      </c>
      <c r="BL1455" t="s">
        <v>2365</v>
      </c>
      <c r="BM1455" t="s">
        <v>2365</v>
      </c>
      <c r="BO1455">
        <v>8</v>
      </c>
      <c r="BP1455">
        <v>83</v>
      </c>
      <c r="BQ1455" t="s">
        <v>2442</v>
      </c>
      <c r="BR1455" t="s">
        <v>1534</v>
      </c>
      <c r="BU1455">
        <v>30000</v>
      </c>
      <c r="BV1455">
        <v>0</v>
      </c>
      <c r="BW1455">
        <v>30000</v>
      </c>
      <c r="BX1455">
        <v>25000</v>
      </c>
      <c r="BY1455">
        <v>55000</v>
      </c>
      <c r="BZ1455">
        <v>31800</v>
      </c>
      <c r="CA1455">
        <v>33708</v>
      </c>
      <c r="CB1455">
        <v>0</v>
      </c>
      <c r="CC1455">
        <v>0</v>
      </c>
      <c r="CD1455">
        <v>0</v>
      </c>
      <c r="CE1455">
        <v>0</v>
      </c>
      <c r="CF1455">
        <v>0</v>
      </c>
      <c r="CG1455">
        <v>0</v>
      </c>
      <c r="CH1455">
        <v>0</v>
      </c>
      <c r="CI1455">
        <v>0</v>
      </c>
      <c r="CJ1455">
        <v>0</v>
      </c>
      <c r="CK1455">
        <v>0</v>
      </c>
      <c r="CL1455">
        <v>0</v>
      </c>
      <c r="CM1455">
        <v>0</v>
      </c>
      <c r="CR1455" t="s">
        <v>2337</v>
      </c>
      <c r="CS1455" s="1369" t="str">
        <f>INDEX([8]Sheet1!$H:$H,MATCH(CR:CR,[8]Sheet1!$AU:$AU,0))</f>
        <v>Corporate Wide Strategic Planning (IDPs, LEDs)</v>
      </c>
    </row>
    <row r="1456" spans="1:97" x14ac:dyDescent="0.2">
      <c r="A1456" t="s">
        <v>4532</v>
      </c>
      <c r="B1456">
        <v>1545</v>
      </c>
      <c r="C1456" t="s">
        <v>4532</v>
      </c>
      <c r="D1456">
        <v>54413</v>
      </c>
      <c r="E1456" t="s">
        <v>2499</v>
      </c>
      <c r="F1456">
        <v>2900</v>
      </c>
      <c r="G1456" t="s">
        <v>569</v>
      </c>
      <c r="H1456" t="s">
        <v>2366</v>
      </c>
      <c r="I1456" t="s">
        <v>2366</v>
      </c>
      <c r="J1456">
        <v>2904</v>
      </c>
      <c r="K1456" t="s">
        <v>1432</v>
      </c>
      <c r="L1456">
        <v>4400</v>
      </c>
      <c r="M1456" t="s">
        <v>631</v>
      </c>
      <c r="N1456">
        <v>4403</v>
      </c>
      <c r="O1456" t="s">
        <v>1557</v>
      </c>
      <c r="P1456" t="s">
        <v>2366</v>
      </c>
      <c r="Q1456" t="s">
        <v>2364</v>
      </c>
      <c r="R1456" t="s">
        <v>2364</v>
      </c>
      <c r="S1456" t="s">
        <v>1881</v>
      </c>
      <c r="T1456" t="s">
        <v>1812</v>
      </c>
      <c r="U1456" t="s">
        <v>2365</v>
      </c>
      <c r="V1456" t="s">
        <v>2365</v>
      </c>
      <c r="W1456" t="s">
        <v>2365</v>
      </c>
      <c r="X1456" t="s">
        <v>2365</v>
      </c>
      <c r="Y1456" t="s">
        <v>2365</v>
      </c>
      <c r="Z1456" t="s">
        <v>2365</v>
      </c>
      <c r="AA1456" t="s">
        <v>2365</v>
      </c>
      <c r="AB1456" t="s">
        <v>2365</v>
      </c>
      <c r="AC1456" s="813" t="s">
        <v>2365</v>
      </c>
      <c r="AD1456" s="813" t="s">
        <v>2365</v>
      </c>
      <c r="AE1456" s="813" t="s">
        <v>2365</v>
      </c>
      <c r="AF1456" t="s">
        <v>2365</v>
      </c>
      <c r="AG1456" t="s">
        <v>2365</v>
      </c>
      <c r="AH1456" t="s">
        <v>2365</v>
      </c>
      <c r="AI1456" t="s">
        <v>2365</v>
      </c>
      <c r="AJ1456" t="s">
        <v>2365</v>
      </c>
      <c r="AK1456" t="s">
        <v>2365</v>
      </c>
      <c r="AL1456" t="s">
        <v>2365</v>
      </c>
      <c r="AM1456" t="s">
        <v>2365</v>
      </c>
      <c r="AN1456" t="s">
        <v>2365</v>
      </c>
      <c r="AR1456" t="s">
        <v>2365</v>
      </c>
      <c r="AS1456" t="s">
        <v>2365</v>
      </c>
      <c r="AT1456" t="s">
        <v>2365</v>
      </c>
      <c r="AU1456" t="s">
        <v>2365</v>
      </c>
      <c r="AV1456" t="s">
        <v>2365</v>
      </c>
      <c r="AW1456" t="s">
        <v>2365</v>
      </c>
      <c r="AX1456" t="s">
        <v>2365</v>
      </c>
      <c r="AY1456" t="s">
        <v>2365</v>
      </c>
      <c r="AZ1456" t="s">
        <v>2365</v>
      </c>
      <c r="BA1456" t="s">
        <v>2365</v>
      </c>
      <c r="BB1456" t="s">
        <v>2365</v>
      </c>
      <c r="BC1456" t="s">
        <v>2365</v>
      </c>
      <c r="BD1456" t="s">
        <v>2366</v>
      </c>
      <c r="BE1456" t="s">
        <v>2365</v>
      </c>
      <c r="BF1456" t="s">
        <v>2365</v>
      </c>
      <c r="BG1456" t="s">
        <v>2365</v>
      </c>
      <c r="BH1456" t="s">
        <v>2365</v>
      </c>
      <c r="BI1456" t="s">
        <v>2366</v>
      </c>
      <c r="BJ1456" t="s">
        <v>2365</v>
      </c>
      <c r="BK1456" t="s">
        <v>2365</v>
      </c>
      <c r="BL1456" t="s">
        <v>2365</v>
      </c>
      <c r="BM1456" t="s">
        <v>2365</v>
      </c>
      <c r="BO1456">
        <v>12</v>
      </c>
      <c r="BP1456">
        <v>121</v>
      </c>
      <c r="BQ1456" t="s">
        <v>1369</v>
      </c>
      <c r="BR1456" t="s">
        <v>1557</v>
      </c>
      <c r="BU1456">
        <v>50000</v>
      </c>
      <c r="BV1456">
        <v>0</v>
      </c>
      <c r="BW1456" s="1371">
        <v>50000</v>
      </c>
      <c r="BX1456" s="1372">
        <v>20000</v>
      </c>
      <c r="BY1456">
        <v>70000</v>
      </c>
      <c r="BZ1456">
        <v>53000</v>
      </c>
      <c r="CA1456">
        <v>56180</v>
      </c>
      <c r="CB1456">
        <v>0</v>
      </c>
      <c r="CC1456">
        <v>0</v>
      </c>
      <c r="CD1456">
        <v>0</v>
      </c>
      <c r="CE1456">
        <v>0</v>
      </c>
      <c r="CF1456">
        <v>0</v>
      </c>
      <c r="CG1456">
        <v>0</v>
      </c>
      <c r="CH1456">
        <v>0</v>
      </c>
      <c r="CI1456">
        <v>0</v>
      </c>
      <c r="CJ1456">
        <v>0</v>
      </c>
      <c r="CK1456">
        <v>0</v>
      </c>
      <c r="CL1456">
        <v>0</v>
      </c>
      <c r="CM1456">
        <v>0</v>
      </c>
      <c r="CR1456" t="s">
        <v>2324</v>
      </c>
      <c r="CS1456" s="1369" t="str">
        <f>INDEX([8]Sheet1!$H:$H,MATCH(CR:CR,[8]Sheet1!$AU:$AU,0))</f>
        <v>Finance</v>
      </c>
    </row>
    <row r="1457" spans="1:97" x14ac:dyDescent="0.2">
      <c r="A1457" t="s">
        <v>4533</v>
      </c>
      <c r="B1457">
        <v>1546</v>
      </c>
      <c r="C1457" t="s">
        <v>4533</v>
      </c>
      <c r="D1457">
        <v>54414</v>
      </c>
      <c r="E1457" t="s">
        <v>2510</v>
      </c>
      <c r="F1457">
        <v>2900</v>
      </c>
      <c r="G1457" t="s">
        <v>569</v>
      </c>
      <c r="H1457" t="s">
        <v>2366</v>
      </c>
      <c r="I1457" t="s">
        <v>2366</v>
      </c>
      <c r="J1457">
        <v>2904</v>
      </c>
      <c r="K1457" t="s">
        <v>1432</v>
      </c>
      <c r="L1457">
        <v>4400</v>
      </c>
      <c r="M1457" t="s">
        <v>631</v>
      </c>
      <c r="N1457">
        <v>4403</v>
      </c>
      <c r="O1457" t="s">
        <v>1557</v>
      </c>
      <c r="P1457" t="s">
        <v>2366</v>
      </c>
      <c r="Q1457" t="s">
        <v>2364</v>
      </c>
      <c r="R1457" t="s">
        <v>2364</v>
      </c>
      <c r="S1457" t="s">
        <v>1881</v>
      </c>
      <c r="T1457" t="s">
        <v>1812</v>
      </c>
      <c r="U1457" t="s">
        <v>2365</v>
      </c>
      <c r="V1457" t="s">
        <v>2365</v>
      </c>
      <c r="W1457" t="s">
        <v>2365</v>
      </c>
      <c r="X1457" t="s">
        <v>2365</v>
      </c>
      <c r="Y1457" t="s">
        <v>2365</v>
      </c>
      <c r="Z1457" t="s">
        <v>2365</v>
      </c>
      <c r="AA1457" t="s">
        <v>2365</v>
      </c>
      <c r="AB1457" t="s">
        <v>2365</v>
      </c>
      <c r="AC1457" s="813" t="s">
        <v>2365</v>
      </c>
      <c r="AD1457" s="813" t="s">
        <v>2365</v>
      </c>
      <c r="AE1457" s="813" t="s">
        <v>2365</v>
      </c>
      <c r="AF1457" t="s">
        <v>2365</v>
      </c>
      <c r="AG1457" t="s">
        <v>2365</v>
      </c>
      <c r="AH1457" t="s">
        <v>2365</v>
      </c>
      <c r="AI1457" t="s">
        <v>2365</v>
      </c>
      <c r="AJ1457" t="s">
        <v>2365</v>
      </c>
      <c r="AK1457" t="s">
        <v>2365</v>
      </c>
      <c r="AL1457" t="s">
        <v>2365</v>
      </c>
      <c r="AM1457" t="s">
        <v>2365</v>
      </c>
      <c r="AN1457" t="s">
        <v>2365</v>
      </c>
      <c r="AR1457" t="s">
        <v>2365</v>
      </c>
      <c r="AS1457" t="s">
        <v>2365</v>
      </c>
      <c r="AT1457" t="s">
        <v>2365</v>
      </c>
      <c r="AU1457" t="s">
        <v>2365</v>
      </c>
      <c r="AV1457" t="s">
        <v>2365</v>
      </c>
      <c r="AW1457" t="s">
        <v>2365</v>
      </c>
      <c r="AX1457" t="s">
        <v>2365</v>
      </c>
      <c r="AY1457" t="s">
        <v>2365</v>
      </c>
      <c r="AZ1457" t="s">
        <v>2365</v>
      </c>
      <c r="BA1457" t="s">
        <v>2365</v>
      </c>
      <c r="BB1457" t="s">
        <v>2365</v>
      </c>
      <c r="BC1457" t="s">
        <v>2365</v>
      </c>
      <c r="BD1457" t="s">
        <v>2366</v>
      </c>
      <c r="BE1457" t="s">
        <v>2365</v>
      </c>
      <c r="BF1457" t="s">
        <v>2365</v>
      </c>
      <c r="BG1457" t="s">
        <v>2365</v>
      </c>
      <c r="BH1457" t="s">
        <v>2365</v>
      </c>
      <c r="BI1457" t="s">
        <v>2366</v>
      </c>
      <c r="BJ1457" t="s">
        <v>2365</v>
      </c>
      <c r="BK1457" t="s">
        <v>2365</v>
      </c>
      <c r="BL1457" t="s">
        <v>2365</v>
      </c>
      <c r="BM1457" t="s">
        <v>2365</v>
      </c>
      <c r="BO1457">
        <v>12</v>
      </c>
      <c r="BP1457">
        <v>121</v>
      </c>
      <c r="BQ1457" t="s">
        <v>1369</v>
      </c>
      <c r="BR1457" t="s">
        <v>1557</v>
      </c>
      <c r="BU1457">
        <v>0</v>
      </c>
      <c r="BV1457">
        <v>0</v>
      </c>
      <c r="BW1457" s="1371">
        <v>0</v>
      </c>
      <c r="BX1457" s="1372">
        <v>0</v>
      </c>
      <c r="BY1457">
        <v>0</v>
      </c>
      <c r="BZ1457">
        <v>0</v>
      </c>
      <c r="CA1457">
        <v>0</v>
      </c>
      <c r="CB1457">
        <v>0</v>
      </c>
      <c r="CC1457">
        <v>0</v>
      </c>
      <c r="CD1457">
        <v>0</v>
      </c>
      <c r="CE1457">
        <v>0</v>
      </c>
      <c r="CF1457">
        <v>0</v>
      </c>
      <c r="CG1457">
        <v>0</v>
      </c>
      <c r="CH1457">
        <v>0</v>
      </c>
      <c r="CI1457">
        <v>0</v>
      </c>
      <c r="CJ1457">
        <v>0</v>
      </c>
      <c r="CK1457">
        <v>0</v>
      </c>
      <c r="CL1457">
        <v>0</v>
      </c>
      <c r="CM1457">
        <v>0</v>
      </c>
      <c r="CR1457" t="s">
        <v>2324</v>
      </c>
      <c r="CS1457" s="1369" t="str">
        <f>INDEX([8]Sheet1!$H:$H,MATCH(CR:CR,[8]Sheet1!$AU:$AU,0))</f>
        <v>Finance</v>
      </c>
    </row>
    <row r="1458" spans="1:97" x14ac:dyDescent="0.2">
      <c r="A1458" t="s">
        <v>4534</v>
      </c>
      <c r="B1458">
        <v>1547</v>
      </c>
      <c r="C1458" t="s">
        <v>4534</v>
      </c>
      <c r="D1458">
        <v>54415</v>
      </c>
      <c r="E1458" t="s">
        <v>2483</v>
      </c>
      <c r="F1458">
        <v>2900</v>
      </c>
      <c r="G1458" t="s">
        <v>569</v>
      </c>
      <c r="H1458" t="s">
        <v>2366</v>
      </c>
      <c r="I1458" t="s">
        <v>2366</v>
      </c>
      <c r="J1458">
        <v>2904</v>
      </c>
      <c r="K1458" t="s">
        <v>1432</v>
      </c>
      <c r="L1458">
        <v>4400</v>
      </c>
      <c r="M1458" t="s">
        <v>631</v>
      </c>
      <c r="N1458">
        <v>4403</v>
      </c>
      <c r="O1458" t="s">
        <v>1557</v>
      </c>
      <c r="P1458" t="s">
        <v>2366</v>
      </c>
      <c r="Q1458" t="s">
        <v>2364</v>
      </c>
      <c r="R1458" t="s">
        <v>2364</v>
      </c>
      <c r="S1458" t="s">
        <v>1881</v>
      </c>
      <c r="T1458" t="s">
        <v>1812</v>
      </c>
      <c r="U1458" t="s">
        <v>2365</v>
      </c>
      <c r="V1458" t="s">
        <v>2365</v>
      </c>
      <c r="W1458" t="s">
        <v>2365</v>
      </c>
      <c r="X1458" t="s">
        <v>2365</v>
      </c>
      <c r="Y1458" t="s">
        <v>2365</v>
      </c>
      <c r="Z1458" t="s">
        <v>2365</v>
      </c>
      <c r="AA1458" t="s">
        <v>2365</v>
      </c>
      <c r="AB1458" t="s">
        <v>2365</v>
      </c>
      <c r="AC1458" s="813" t="s">
        <v>2365</v>
      </c>
      <c r="AD1458" s="813" t="s">
        <v>2365</v>
      </c>
      <c r="AE1458" s="813" t="s">
        <v>2365</v>
      </c>
      <c r="AF1458" t="s">
        <v>2365</v>
      </c>
      <c r="AG1458" t="s">
        <v>2365</v>
      </c>
      <c r="AH1458" t="s">
        <v>2365</v>
      </c>
      <c r="AI1458" t="s">
        <v>2365</v>
      </c>
      <c r="AJ1458" t="s">
        <v>2365</v>
      </c>
      <c r="AK1458" t="s">
        <v>2365</v>
      </c>
      <c r="AL1458" t="s">
        <v>2365</v>
      </c>
      <c r="AM1458" t="s">
        <v>2365</v>
      </c>
      <c r="AN1458" t="s">
        <v>2365</v>
      </c>
      <c r="AR1458" t="s">
        <v>2365</v>
      </c>
      <c r="AS1458" t="s">
        <v>2365</v>
      </c>
      <c r="AT1458" t="s">
        <v>2365</v>
      </c>
      <c r="AU1458" t="s">
        <v>2365</v>
      </c>
      <c r="AV1458" t="s">
        <v>2365</v>
      </c>
      <c r="AW1458" t="s">
        <v>2365</v>
      </c>
      <c r="AX1458" t="s">
        <v>2365</v>
      </c>
      <c r="AY1458" t="s">
        <v>2365</v>
      </c>
      <c r="AZ1458" t="s">
        <v>2365</v>
      </c>
      <c r="BA1458" t="s">
        <v>2365</v>
      </c>
      <c r="BB1458" t="s">
        <v>2365</v>
      </c>
      <c r="BC1458" t="s">
        <v>2365</v>
      </c>
      <c r="BD1458" t="s">
        <v>2366</v>
      </c>
      <c r="BE1458" t="s">
        <v>2365</v>
      </c>
      <c r="BF1458" t="s">
        <v>2365</v>
      </c>
      <c r="BG1458" t="s">
        <v>2365</v>
      </c>
      <c r="BH1458" t="s">
        <v>2365</v>
      </c>
      <c r="BI1458" t="s">
        <v>2366</v>
      </c>
      <c r="BJ1458" t="s">
        <v>2365</v>
      </c>
      <c r="BK1458" t="s">
        <v>2365</v>
      </c>
      <c r="BL1458" t="s">
        <v>2365</v>
      </c>
      <c r="BM1458" t="s">
        <v>2365</v>
      </c>
      <c r="BO1458">
        <v>12</v>
      </c>
      <c r="BP1458">
        <v>121</v>
      </c>
      <c r="BQ1458" t="s">
        <v>1369</v>
      </c>
      <c r="BR1458" t="s">
        <v>1557</v>
      </c>
      <c r="BU1458">
        <v>0</v>
      </c>
      <c r="BV1458">
        <v>0</v>
      </c>
      <c r="BW1458" s="1371">
        <v>0</v>
      </c>
      <c r="BX1458" s="1372">
        <v>0</v>
      </c>
      <c r="BY1458">
        <v>0</v>
      </c>
      <c r="BZ1458">
        <v>0</v>
      </c>
      <c r="CA1458">
        <v>0</v>
      </c>
      <c r="CB1458">
        <v>0</v>
      </c>
      <c r="CC1458">
        <v>0</v>
      </c>
      <c r="CD1458">
        <v>0</v>
      </c>
      <c r="CE1458">
        <v>0</v>
      </c>
      <c r="CF1458">
        <v>0</v>
      </c>
      <c r="CG1458">
        <v>0</v>
      </c>
      <c r="CH1458">
        <v>0</v>
      </c>
      <c r="CI1458">
        <v>0</v>
      </c>
      <c r="CJ1458">
        <v>0</v>
      </c>
      <c r="CK1458">
        <v>0</v>
      </c>
      <c r="CL1458">
        <v>0</v>
      </c>
      <c r="CM1458">
        <v>0</v>
      </c>
      <c r="CR1458" t="s">
        <v>2324</v>
      </c>
      <c r="CS1458" s="1369" t="str">
        <f>INDEX([8]Sheet1!$H:$H,MATCH(CR:CR,[8]Sheet1!$AU:$AU,0))</f>
        <v>Finance</v>
      </c>
    </row>
    <row r="1459" spans="1:97" x14ac:dyDescent="0.2">
      <c r="A1459" t="s">
        <v>4535</v>
      </c>
      <c r="B1459">
        <v>1548</v>
      </c>
      <c r="C1459" t="s">
        <v>4535</v>
      </c>
      <c r="D1459">
        <v>54416</v>
      </c>
      <c r="E1459" t="s">
        <v>2499</v>
      </c>
      <c r="F1459">
        <v>2900</v>
      </c>
      <c r="G1459" t="s">
        <v>569</v>
      </c>
      <c r="H1459" t="s">
        <v>2366</v>
      </c>
      <c r="I1459" t="s">
        <v>2366</v>
      </c>
      <c r="J1459">
        <v>2904</v>
      </c>
      <c r="K1459" t="s">
        <v>1432</v>
      </c>
      <c r="L1459">
        <v>4400</v>
      </c>
      <c r="M1459" t="s">
        <v>631</v>
      </c>
      <c r="N1459">
        <v>4403</v>
      </c>
      <c r="O1459" t="s">
        <v>1557</v>
      </c>
      <c r="P1459" t="s">
        <v>2366</v>
      </c>
      <c r="Q1459" t="s">
        <v>2364</v>
      </c>
      <c r="R1459" t="s">
        <v>2364</v>
      </c>
      <c r="S1459" t="s">
        <v>1881</v>
      </c>
      <c r="T1459" t="s">
        <v>1812</v>
      </c>
      <c r="U1459" t="s">
        <v>2365</v>
      </c>
      <c r="V1459" t="s">
        <v>2365</v>
      </c>
      <c r="W1459" t="s">
        <v>2365</v>
      </c>
      <c r="X1459" t="s">
        <v>2365</v>
      </c>
      <c r="Y1459" t="s">
        <v>2365</v>
      </c>
      <c r="Z1459" t="s">
        <v>2365</v>
      </c>
      <c r="AA1459" t="s">
        <v>2365</v>
      </c>
      <c r="AB1459" t="s">
        <v>2365</v>
      </c>
      <c r="AC1459" s="813" t="s">
        <v>2365</v>
      </c>
      <c r="AD1459" s="813" t="s">
        <v>2365</v>
      </c>
      <c r="AE1459" s="813" t="s">
        <v>2365</v>
      </c>
      <c r="AF1459" t="s">
        <v>2365</v>
      </c>
      <c r="AG1459" t="s">
        <v>2365</v>
      </c>
      <c r="AH1459" t="s">
        <v>2365</v>
      </c>
      <c r="AI1459" t="s">
        <v>2365</v>
      </c>
      <c r="AJ1459" t="s">
        <v>2365</v>
      </c>
      <c r="AK1459" t="s">
        <v>2365</v>
      </c>
      <c r="AL1459" t="s">
        <v>2365</v>
      </c>
      <c r="AM1459" t="s">
        <v>2365</v>
      </c>
      <c r="AN1459" t="s">
        <v>2365</v>
      </c>
      <c r="AR1459" t="s">
        <v>2365</v>
      </c>
      <c r="AS1459" t="s">
        <v>2365</v>
      </c>
      <c r="AT1459" t="s">
        <v>2365</v>
      </c>
      <c r="AU1459" t="s">
        <v>2365</v>
      </c>
      <c r="AV1459" t="s">
        <v>2365</v>
      </c>
      <c r="AW1459" t="s">
        <v>2365</v>
      </c>
      <c r="AX1459" t="s">
        <v>2365</v>
      </c>
      <c r="AY1459" t="s">
        <v>2365</v>
      </c>
      <c r="AZ1459" t="s">
        <v>2365</v>
      </c>
      <c r="BA1459" t="s">
        <v>2365</v>
      </c>
      <c r="BB1459" t="s">
        <v>2365</v>
      </c>
      <c r="BC1459" t="s">
        <v>2365</v>
      </c>
      <c r="BD1459" t="s">
        <v>2366</v>
      </c>
      <c r="BE1459" t="s">
        <v>2365</v>
      </c>
      <c r="BF1459" t="s">
        <v>2365</v>
      </c>
      <c r="BG1459" t="s">
        <v>2365</v>
      </c>
      <c r="BH1459" t="s">
        <v>2365</v>
      </c>
      <c r="BI1459" t="s">
        <v>2366</v>
      </c>
      <c r="BJ1459" t="s">
        <v>2365</v>
      </c>
      <c r="BK1459" t="s">
        <v>2365</v>
      </c>
      <c r="BL1459" t="s">
        <v>2365</v>
      </c>
      <c r="BM1459" t="s">
        <v>2365</v>
      </c>
      <c r="BO1459">
        <v>12</v>
      </c>
      <c r="BP1459">
        <v>121</v>
      </c>
      <c r="BQ1459" t="s">
        <v>1369</v>
      </c>
      <c r="BR1459" t="s">
        <v>1557</v>
      </c>
      <c r="BU1459">
        <v>0</v>
      </c>
      <c r="BV1459">
        <v>0</v>
      </c>
      <c r="BW1459" s="1371">
        <v>0</v>
      </c>
      <c r="BX1459" s="1372">
        <v>40000</v>
      </c>
      <c r="BY1459">
        <v>40000</v>
      </c>
      <c r="BZ1459">
        <v>0</v>
      </c>
      <c r="CA1459">
        <v>0</v>
      </c>
      <c r="CB1459">
        <v>0</v>
      </c>
      <c r="CC1459">
        <v>0</v>
      </c>
      <c r="CD1459">
        <v>0</v>
      </c>
      <c r="CE1459">
        <v>0</v>
      </c>
      <c r="CF1459">
        <v>0</v>
      </c>
      <c r="CG1459">
        <v>0</v>
      </c>
      <c r="CH1459">
        <v>0</v>
      </c>
      <c r="CI1459">
        <v>0</v>
      </c>
      <c r="CJ1459">
        <v>0</v>
      </c>
      <c r="CK1459">
        <v>0</v>
      </c>
      <c r="CL1459">
        <v>0</v>
      </c>
      <c r="CM1459">
        <v>0</v>
      </c>
      <c r="CR1459" t="s">
        <v>2324</v>
      </c>
      <c r="CS1459" s="1369" t="str">
        <f>INDEX([8]Sheet1!$H:$H,MATCH(CR:CR,[8]Sheet1!$AU:$AU,0))</f>
        <v>Finance</v>
      </c>
    </row>
    <row r="1460" spans="1:97" x14ac:dyDescent="0.2">
      <c r="A1460" t="s">
        <v>4536</v>
      </c>
      <c r="B1460">
        <v>1549</v>
      </c>
      <c r="C1460" t="s">
        <v>4536</v>
      </c>
      <c r="D1460">
        <v>54417</v>
      </c>
      <c r="E1460" t="s">
        <v>2924</v>
      </c>
      <c r="F1460">
        <v>2900</v>
      </c>
      <c r="G1460" t="s">
        <v>569</v>
      </c>
      <c r="H1460" t="s">
        <v>2366</v>
      </c>
      <c r="I1460" t="s">
        <v>2366</v>
      </c>
      <c r="J1460">
        <v>2904</v>
      </c>
      <c r="K1460" t="s">
        <v>1432</v>
      </c>
      <c r="L1460">
        <v>4400</v>
      </c>
      <c r="M1460" t="s">
        <v>631</v>
      </c>
      <c r="N1460">
        <v>4403</v>
      </c>
      <c r="O1460" t="s">
        <v>1557</v>
      </c>
      <c r="P1460" t="s">
        <v>2366</v>
      </c>
      <c r="Q1460" t="s">
        <v>2364</v>
      </c>
      <c r="R1460" t="s">
        <v>2364</v>
      </c>
      <c r="S1460" t="s">
        <v>1881</v>
      </c>
      <c r="T1460" t="s">
        <v>1812</v>
      </c>
      <c r="U1460" t="s">
        <v>2365</v>
      </c>
      <c r="V1460" t="s">
        <v>2365</v>
      </c>
      <c r="W1460" t="s">
        <v>2365</v>
      </c>
      <c r="X1460" t="s">
        <v>2365</v>
      </c>
      <c r="Y1460" t="s">
        <v>2365</v>
      </c>
      <c r="Z1460" t="s">
        <v>2365</v>
      </c>
      <c r="AA1460" t="s">
        <v>2365</v>
      </c>
      <c r="AB1460" t="s">
        <v>2365</v>
      </c>
      <c r="AC1460" s="813" t="s">
        <v>2365</v>
      </c>
      <c r="AD1460" s="813" t="s">
        <v>2365</v>
      </c>
      <c r="AE1460" s="813" t="s">
        <v>2365</v>
      </c>
      <c r="AF1460" t="s">
        <v>2365</v>
      </c>
      <c r="AG1460" t="s">
        <v>2365</v>
      </c>
      <c r="AH1460" t="s">
        <v>2365</v>
      </c>
      <c r="AI1460" t="s">
        <v>2365</v>
      </c>
      <c r="AJ1460" t="s">
        <v>2365</v>
      </c>
      <c r="AK1460" t="s">
        <v>2365</v>
      </c>
      <c r="AL1460" t="s">
        <v>2365</v>
      </c>
      <c r="AM1460" t="s">
        <v>2365</v>
      </c>
      <c r="AN1460" t="s">
        <v>2365</v>
      </c>
      <c r="AR1460" t="s">
        <v>2365</v>
      </c>
      <c r="AS1460" t="s">
        <v>2365</v>
      </c>
      <c r="AT1460" t="s">
        <v>2365</v>
      </c>
      <c r="AU1460" t="s">
        <v>2365</v>
      </c>
      <c r="AV1460" t="s">
        <v>2365</v>
      </c>
      <c r="AW1460" t="s">
        <v>2365</v>
      </c>
      <c r="AX1460" t="s">
        <v>2365</v>
      </c>
      <c r="AY1460" t="s">
        <v>2365</v>
      </c>
      <c r="AZ1460" t="s">
        <v>2365</v>
      </c>
      <c r="BA1460" t="s">
        <v>2365</v>
      </c>
      <c r="BB1460" t="s">
        <v>2365</v>
      </c>
      <c r="BC1460" t="s">
        <v>2365</v>
      </c>
      <c r="BD1460" t="s">
        <v>2366</v>
      </c>
      <c r="BE1460" t="s">
        <v>2365</v>
      </c>
      <c r="BF1460" t="s">
        <v>2365</v>
      </c>
      <c r="BG1460" t="s">
        <v>2365</v>
      </c>
      <c r="BH1460" t="s">
        <v>2365</v>
      </c>
      <c r="BI1460" t="s">
        <v>2366</v>
      </c>
      <c r="BJ1460" t="s">
        <v>2365</v>
      </c>
      <c r="BK1460" t="s">
        <v>2365</v>
      </c>
      <c r="BL1460" t="s">
        <v>2365</v>
      </c>
      <c r="BM1460" t="s">
        <v>2365</v>
      </c>
      <c r="BO1460">
        <v>12</v>
      </c>
      <c r="BP1460">
        <v>121</v>
      </c>
      <c r="BQ1460" t="s">
        <v>1369</v>
      </c>
      <c r="BR1460" t="s">
        <v>1557</v>
      </c>
      <c r="BU1460">
        <v>0</v>
      </c>
      <c r="BV1460">
        <v>0</v>
      </c>
      <c r="BW1460">
        <v>0</v>
      </c>
      <c r="BX1460">
        <v>0</v>
      </c>
      <c r="BY1460">
        <v>0</v>
      </c>
      <c r="BZ1460">
        <v>0</v>
      </c>
      <c r="CA1460">
        <v>0</v>
      </c>
      <c r="CB1460">
        <v>0</v>
      </c>
      <c r="CC1460">
        <v>0</v>
      </c>
      <c r="CD1460">
        <v>0</v>
      </c>
      <c r="CE1460">
        <v>0</v>
      </c>
      <c r="CF1460">
        <v>0</v>
      </c>
      <c r="CG1460">
        <v>0</v>
      </c>
      <c r="CH1460">
        <v>0</v>
      </c>
      <c r="CI1460">
        <v>0</v>
      </c>
      <c r="CJ1460">
        <v>0</v>
      </c>
      <c r="CK1460">
        <v>0</v>
      </c>
      <c r="CL1460">
        <v>0</v>
      </c>
      <c r="CM1460">
        <v>0</v>
      </c>
      <c r="CR1460" t="s">
        <v>2324</v>
      </c>
      <c r="CS1460" s="1369" t="str">
        <f>INDEX([8]Sheet1!$H:$H,MATCH(CR:CR,[8]Sheet1!$AU:$AU,0))</f>
        <v>Finance</v>
      </c>
    </row>
    <row r="1461" spans="1:97" x14ac:dyDescent="0.2">
      <c r="A1461" t="s">
        <v>4537</v>
      </c>
      <c r="B1461">
        <v>1550</v>
      </c>
      <c r="C1461" t="s">
        <v>4537</v>
      </c>
      <c r="D1461">
        <v>54418</v>
      </c>
      <c r="E1461" t="s">
        <v>2468</v>
      </c>
      <c r="F1461">
        <v>2600</v>
      </c>
      <c r="G1461" t="s">
        <v>655</v>
      </c>
      <c r="H1461">
        <v>2600</v>
      </c>
      <c r="I1461" t="s">
        <v>655</v>
      </c>
      <c r="J1461" t="s">
        <v>2365</v>
      </c>
      <c r="K1461" t="s">
        <v>2365</v>
      </c>
      <c r="L1461">
        <v>4400</v>
      </c>
      <c r="M1461" t="s">
        <v>631</v>
      </c>
      <c r="N1461">
        <v>4403</v>
      </c>
      <c r="O1461" t="s">
        <v>1557</v>
      </c>
      <c r="P1461" t="s">
        <v>2366</v>
      </c>
      <c r="Q1461" t="s">
        <v>2364</v>
      </c>
      <c r="R1461" t="s">
        <v>2364</v>
      </c>
      <c r="S1461" t="s">
        <v>1881</v>
      </c>
      <c r="T1461" t="s">
        <v>1812</v>
      </c>
      <c r="U1461" t="s">
        <v>2365</v>
      </c>
      <c r="V1461" t="s">
        <v>2365</v>
      </c>
      <c r="W1461" t="s">
        <v>2365</v>
      </c>
      <c r="X1461" t="s">
        <v>2365</v>
      </c>
      <c r="Y1461" t="s">
        <v>2365</v>
      </c>
      <c r="Z1461" t="s">
        <v>2365</v>
      </c>
      <c r="AA1461" t="s">
        <v>2365</v>
      </c>
      <c r="AB1461" t="s">
        <v>2365</v>
      </c>
      <c r="AC1461" s="813" t="s">
        <v>2365</v>
      </c>
      <c r="AD1461" s="813" t="s">
        <v>2365</v>
      </c>
      <c r="AE1461" s="813" t="s">
        <v>2365</v>
      </c>
      <c r="AF1461" t="s">
        <v>2365</v>
      </c>
      <c r="AG1461" t="s">
        <v>2365</v>
      </c>
      <c r="AH1461" t="s">
        <v>2365</v>
      </c>
      <c r="AI1461" t="s">
        <v>2365</v>
      </c>
      <c r="AJ1461" t="s">
        <v>2365</v>
      </c>
      <c r="AK1461" t="s">
        <v>2365</v>
      </c>
      <c r="AL1461" t="s">
        <v>2365</v>
      </c>
      <c r="AM1461" t="s">
        <v>2365</v>
      </c>
      <c r="AN1461" t="s">
        <v>2365</v>
      </c>
      <c r="AR1461" t="s">
        <v>2365</v>
      </c>
      <c r="AS1461" t="s">
        <v>2365</v>
      </c>
      <c r="AT1461" t="s">
        <v>2365</v>
      </c>
      <c r="AU1461" t="s">
        <v>2365</v>
      </c>
      <c r="AV1461" t="s">
        <v>2365</v>
      </c>
      <c r="AW1461" t="s">
        <v>2365</v>
      </c>
      <c r="AX1461" t="s">
        <v>2365</v>
      </c>
      <c r="AY1461" t="s">
        <v>2365</v>
      </c>
      <c r="AZ1461" t="s">
        <v>2365</v>
      </c>
      <c r="BA1461" t="s">
        <v>2365</v>
      </c>
      <c r="BB1461" t="s">
        <v>2365</v>
      </c>
      <c r="BC1461" t="s">
        <v>2365</v>
      </c>
      <c r="BD1461" t="s">
        <v>2366</v>
      </c>
      <c r="BE1461" t="s">
        <v>2365</v>
      </c>
      <c r="BF1461" t="s">
        <v>2365</v>
      </c>
      <c r="BG1461" t="s">
        <v>2365</v>
      </c>
      <c r="BH1461" t="s">
        <v>2365</v>
      </c>
      <c r="BI1461" t="s">
        <v>2366</v>
      </c>
      <c r="BJ1461" t="s">
        <v>2365</v>
      </c>
      <c r="BK1461" t="s">
        <v>2365</v>
      </c>
      <c r="BL1461" t="s">
        <v>2365</v>
      </c>
      <c r="BM1461" t="s">
        <v>2365</v>
      </c>
      <c r="BO1461">
        <v>12</v>
      </c>
      <c r="BP1461">
        <v>121</v>
      </c>
      <c r="BQ1461" t="s">
        <v>1369</v>
      </c>
      <c r="BR1461" t="s">
        <v>1557</v>
      </c>
      <c r="BU1461">
        <v>50000</v>
      </c>
      <c r="BV1461">
        <v>0</v>
      </c>
      <c r="BW1461">
        <v>50000</v>
      </c>
      <c r="BX1461">
        <v>250000</v>
      </c>
      <c r="BY1461">
        <v>300000</v>
      </c>
      <c r="BZ1461">
        <v>53000</v>
      </c>
      <c r="CA1461">
        <v>56180</v>
      </c>
      <c r="CB1461">
        <v>0</v>
      </c>
      <c r="CC1461">
        <v>0</v>
      </c>
      <c r="CD1461">
        <v>0</v>
      </c>
      <c r="CE1461">
        <v>20000</v>
      </c>
      <c r="CF1461">
        <v>0</v>
      </c>
      <c r="CG1461">
        <v>0</v>
      </c>
      <c r="CH1461">
        <v>0</v>
      </c>
      <c r="CI1461">
        <v>0</v>
      </c>
      <c r="CJ1461">
        <v>0</v>
      </c>
      <c r="CK1461">
        <v>0</v>
      </c>
      <c r="CL1461">
        <v>0</v>
      </c>
      <c r="CM1461">
        <v>0</v>
      </c>
      <c r="CR1461" t="s">
        <v>2324</v>
      </c>
      <c r="CS1461" s="1369" t="str">
        <f>INDEX([8]Sheet1!$H:$H,MATCH(CR:CR,[8]Sheet1!$AU:$AU,0))</f>
        <v>Finance</v>
      </c>
    </row>
    <row r="1462" spans="1:97" x14ac:dyDescent="0.2">
      <c r="A1462" t="s">
        <v>4538</v>
      </c>
      <c r="B1462">
        <v>1551</v>
      </c>
      <c r="C1462" t="s">
        <v>4538</v>
      </c>
      <c r="D1462">
        <v>54419</v>
      </c>
      <c r="E1462" t="s">
        <v>2661</v>
      </c>
      <c r="F1462">
        <v>2900</v>
      </c>
      <c r="G1462" t="s">
        <v>569</v>
      </c>
      <c r="H1462" s="1373" t="s">
        <v>2366</v>
      </c>
      <c r="I1462" t="s">
        <v>2366</v>
      </c>
      <c r="J1462">
        <v>2904</v>
      </c>
      <c r="K1462" t="s">
        <v>1432</v>
      </c>
      <c r="L1462" s="1373">
        <v>2100</v>
      </c>
      <c r="M1462" t="s">
        <v>618</v>
      </c>
      <c r="N1462">
        <v>2111</v>
      </c>
      <c r="O1462" t="s">
        <v>1503</v>
      </c>
      <c r="P1462" t="s">
        <v>2366</v>
      </c>
      <c r="Q1462" t="s">
        <v>2364</v>
      </c>
      <c r="R1462" t="s">
        <v>2364</v>
      </c>
      <c r="S1462" t="s">
        <v>1881</v>
      </c>
      <c r="T1462" t="s">
        <v>1812</v>
      </c>
      <c r="U1462" t="s">
        <v>2365</v>
      </c>
      <c r="V1462" t="s">
        <v>2365</v>
      </c>
      <c r="W1462" t="s">
        <v>2365</v>
      </c>
      <c r="X1462" t="s">
        <v>2365</v>
      </c>
      <c r="Y1462" t="s">
        <v>2365</v>
      </c>
      <c r="Z1462" t="s">
        <v>2365</v>
      </c>
      <c r="AA1462" t="s">
        <v>2365</v>
      </c>
      <c r="AB1462" t="s">
        <v>2365</v>
      </c>
      <c r="AC1462" s="813" t="s">
        <v>2365</v>
      </c>
      <c r="AD1462" s="813" t="s">
        <v>2365</v>
      </c>
      <c r="AE1462" s="813" t="s">
        <v>2365</v>
      </c>
      <c r="AF1462" t="s">
        <v>2365</v>
      </c>
      <c r="AG1462" t="s">
        <v>2365</v>
      </c>
      <c r="AH1462" t="s">
        <v>2365</v>
      </c>
      <c r="AI1462" t="s">
        <v>2365</v>
      </c>
      <c r="AJ1462" t="s">
        <v>2365</v>
      </c>
      <c r="AK1462" t="s">
        <v>2365</v>
      </c>
      <c r="AL1462" t="s">
        <v>2365</v>
      </c>
      <c r="AM1462" t="s">
        <v>2365</v>
      </c>
      <c r="AN1462" t="s">
        <v>2365</v>
      </c>
      <c r="AR1462" t="s">
        <v>2365</v>
      </c>
      <c r="AS1462" t="s">
        <v>2365</v>
      </c>
      <c r="AT1462" t="s">
        <v>2365</v>
      </c>
      <c r="AU1462" t="s">
        <v>2365</v>
      </c>
      <c r="AV1462" t="s">
        <v>2365</v>
      </c>
      <c r="AW1462" t="s">
        <v>2365</v>
      </c>
      <c r="AX1462" t="s">
        <v>2365</v>
      </c>
      <c r="AY1462" t="s">
        <v>2365</v>
      </c>
      <c r="AZ1462" t="s">
        <v>2365</v>
      </c>
      <c r="BA1462" t="s">
        <v>2365</v>
      </c>
      <c r="BB1462" t="s">
        <v>2365</v>
      </c>
      <c r="BC1462" t="s">
        <v>2365</v>
      </c>
      <c r="BD1462" t="s">
        <v>2366</v>
      </c>
      <c r="BE1462" t="s">
        <v>2365</v>
      </c>
      <c r="BF1462" t="s">
        <v>2365</v>
      </c>
      <c r="BG1462" t="s">
        <v>2365</v>
      </c>
      <c r="BH1462" t="s">
        <v>2365</v>
      </c>
      <c r="BI1462" t="s">
        <v>2366</v>
      </c>
      <c r="BJ1462" t="s">
        <v>2365</v>
      </c>
      <c r="BK1462" t="s">
        <v>2365</v>
      </c>
      <c r="BL1462" t="s">
        <v>2365</v>
      </c>
      <c r="BM1462" t="s">
        <v>2365</v>
      </c>
      <c r="BO1462">
        <v>4</v>
      </c>
      <c r="BP1462">
        <v>45</v>
      </c>
      <c r="BQ1462" t="s">
        <v>2433</v>
      </c>
      <c r="BR1462" t="s">
        <v>1503</v>
      </c>
      <c r="BU1462" s="1371">
        <v>5000</v>
      </c>
      <c r="BV1462" s="1371">
        <v>0</v>
      </c>
      <c r="BW1462" s="1371">
        <v>5000</v>
      </c>
      <c r="BX1462" s="1371">
        <v>-5000</v>
      </c>
      <c r="BY1462" s="1371">
        <v>0</v>
      </c>
      <c r="BZ1462">
        <v>5300</v>
      </c>
      <c r="CA1462">
        <v>5618</v>
      </c>
      <c r="CB1462">
        <v>0</v>
      </c>
      <c r="CC1462">
        <v>0</v>
      </c>
      <c r="CD1462">
        <v>0</v>
      </c>
      <c r="CE1462">
        <v>0</v>
      </c>
      <c r="CF1462">
        <v>0</v>
      </c>
      <c r="CG1462">
        <v>0</v>
      </c>
      <c r="CH1462">
        <v>0</v>
      </c>
      <c r="CI1462">
        <v>0</v>
      </c>
      <c r="CJ1462">
        <v>0</v>
      </c>
      <c r="CK1462">
        <v>0</v>
      </c>
      <c r="CL1462">
        <v>0</v>
      </c>
      <c r="CM1462">
        <v>0</v>
      </c>
      <c r="CR1462" t="s">
        <v>2324</v>
      </c>
      <c r="CS1462" s="1369" t="str">
        <f>INDEX([8]Sheet1!$H:$H,MATCH(CR:CR,[8]Sheet1!$AU:$AU,0))</f>
        <v>Finance</v>
      </c>
    </row>
    <row r="1463" spans="1:97" x14ac:dyDescent="0.2">
      <c r="A1463" t="s">
        <v>4539</v>
      </c>
      <c r="B1463">
        <v>1552</v>
      </c>
      <c r="C1463" t="s">
        <v>4539</v>
      </c>
      <c r="D1463">
        <v>54420</v>
      </c>
      <c r="E1463" t="s">
        <v>2600</v>
      </c>
      <c r="F1463">
        <v>2900</v>
      </c>
      <c r="G1463" t="s">
        <v>569</v>
      </c>
      <c r="H1463" t="s">
        <v>2366</v>
      </c>
      <c r="I1463" t="s">
        <v>2366</v>
      </c>
      <c r="J1463">
        <v>2904</v>
      </c>
      <c r="K1463" t="s">
        <v>1432</v>
      </c>
      <c r="L1463">
        <v>2100</v>
      </c>
      <c r="M1463" t="s">
        <v>618</v>
      </c>
      <c r="N1463">
        <v>2112</v>
      </c>
      <c r="O1463" t="s">
        <v>1504</v>
      </c>
      <c r="P1463" t="s">
        <v>2366</v>
      </c>
      <c r="Q1463" t="s">
        <v>2364</v>
      </c>
      <c r="R1463" t="s">
        <v>2364</v>
      </c>
      <c r="S1463" t="s">
        <v>1881</v>
      </c>
      <c r="T1463" t="s">
        <v>1812</v>
      </c>
      <c r="U1463" t="s">
        <v>2365</v>
      </c>
      <c r="V1463" t="s">
        <v>2365</v>
      </c>
      <c r="W1463" t="s">
        <v>2365</v>
      </c>
      <c r="X1463" t="s">
        <v>2365</v>
      </c>
      <c r="Y1463" t="s">
        <v>2365</v>
      </c>
      <c r="Z1463" t="s">
        <v>2365</v>
      </c>
      <c r="AA1463" t="s">
        <v>2365</v>
      </c>
      <c r="AB1463" t="s">
        <v>2365</v>
      </c>
      <c r="AC1463" s="813" t="s">
        <v>2365</v>
      </c>
      <c r="AD1463" s="813" t="s">
        <v>2365</v>
      </c>
      <c r="AE1463" s="813" t="s">
        <v>2365</v>
      </c>
      <c r="AF1463" t="s">
        <v>2365</v>
      </c>
      <c r="AG1463" t="s">
        <v>2365</v>
      </c>
      <c r="AH1463" t="s">
        <v>2365</v>
      </c>
      <c r="AI1463" t="s">
        <v>2365</v>
      </c>
      <c r="AJ1463" t="s">
        <v>2365</v>
      </c>
      <c r="AK1463" s="1373" t="s">
        <v>2365</v>
      </c>
      <c r="AL1463" t="s">
        <v>2365</v>
      </c>
      <c r="AM1463" t="s">
        <v>2365</v>
      </c>
      <c r="AN1463" t="s">
        <v>2365</v>
      </c>
      <c r="AR1463" t="s">
        <v>2365</v>
      </c>
      <c r="AS1463" t="s">
        <v>2365</v>
      </c>
      <c r="AT1463" t="s">
        <v>2365</v>
      </c>
      <c r="AU1463" t="s">
        <v>2365</v>
      </c>
      <c r="AV1463" t="s">
        <v>2365</v>
      </c>
      <c r="AW1463" t="s">
        <v>2365</v>
      </c>
      <c r="AX1463" t="s">
        <v>2365</v>
      </c>
      <c r="AY1463" t="s">
        <v>2365</v>
      </c>
      <c r="AZ1463" t="s">
        <v>2365</v>
      </c>
      <c r="BA1463" t="s">
        <v>2365</v>
      </c>
      <c r="BB1463" t="s">
        <v>2365</v>
      </c>
      <c r="BC1463" t="s">
        <v>2365</v>
      </c>
      <c r="BD1463" t="s">
        <v>2366</v>
      </c>
      <c r="BE1463" t="s">
        <v>2365</v>
      </c>
      <c r="BF1463" t="s">
        <v>2365</v>
      </c>
      <c r="BG1463" t="s">
        <v>2365</v>
      </c>
      <c r="BH1463" t="s">
        <v>2365</v>
      </c>
      <c r="BI1463" t="s">
        <v>2366</v>
      </c>
      <c r="BJ1463" t="s">
        <v>2365</v>
      </c>
      <c r="BK1463" t="s">
        <v>2365</v>
      </c>
      <c r="BL1463" t="s">
        <v>2365</v>
      </c>
      <c r="BM1463" t="s">
        <v>2365</v>
      </c>
      <c r="BO1463">
        <v>4</v>
      </c>
      <c r="BP1463">
        <v>46</v>
      </c>
      <c r="BQ1463" t="s">
        <v>2433</v>
      </c>
      <c r="BR1463" t="s">
        <v>1504</v>
      </c>
      <c r="BU1463">
        <v>50000</v>
      </c>
      <c r="BV1463">
        <v>0</v>
      </c>
      <c r="BW1463">
        <v>50000</v>
      </c>
      <c r="BX1463">
        <v>0</v>
      </c>
      <c r="BY1463">
        <v>50000</v>
      </c>
      <c r="BZ1463">
        <v>53000</v>
      </c>
      <c r="CA1463">
        <v>56180</v>
      </c>
      <c r="CB1463">
        <v>0</v>
      </c>
      <c r="CC1463">
        <v>0</v>
      </c>
      <c r="CD1463">
        <v>0</v>
      </c>
      <c r="CE1463">
        <v>0</v>
      </c>
      <c r="CF1463">
        <v>0</v>
      </c>
      <c r="CG1463">
        <v>0</v>
      </c>
      <c r="CH1463">
        <v>0</v>
      </c>
      <c r="CI1463">
        <v>0</v>
      </c>
      <c r="CJ1463">
        <v>0</v>
      </c>
      <c r="CK1463">
        <v>0</v>
      </c>
      <c r="CL1463">
        <v>0</v>
      </c>
      <c r="CM1463">
        <v>0</v>
      </c>
      <c r="CR1463" t="s">
        <v>2324</v>
      </c>
      <c r="CS1463" s="1369" t="str">
        <f>INDEX([8]Sheet1!$H:$H,MATCH(CR:CR,[8]Sheet1!$AU:$AU,0))</f>
        <v>Finance</v>
      </c>
    </row>
    <row r="1464" spans="1:97" x14ac:dyDescent="0.2">
      <c r="A1464" t="s">
        <v>4540</v>
      </c>
      <c r="B1464">
        <v>1553</v>
      </c>
      <c r="C1464" t="s">
        <v>4540</v>
      </c>
      <c r="D1464">
        <v>54421</v>
      </c>
      <c r="E1464" t="s">
        <v>2455</v>
      </c>
      <c r="F1464">
        <v>2900</v>
      </c>
      <c r="G1464" t="s">
        <v>569</v>
      </c>
      <c r="H1464" s="1373" t="s">
        <v>2366</v>
      </c>
      <c r="I1464" t="s">
        <v>2366</v>
      </c>
      <c r="J1464">
        <v>2904</v>
      </c>
      <c r="K1464" t="s">
        <v>1432</v>
      </c>
      <c r="L1464" s="1373">
        <v>2100</v>
      </c>
      <c r="M1464" t="s">
        <v>618</v>
      </c>
      <c r="N1464">
        <v>2112</v>
      </c>
      <c r="O1464" t="s">
        <v>1504</v>
      </c>
      <c r="P1464" t="s">
        <v>2366</v>
      </c>
      <c r="Q1464" t="s">
        <v>2364</v>
      </c>
      <c r="R1464" t="s">
        <v>2364</v>
      </c>
      <c r="S1464" t="s">
        <v>1881</v>
      </c>
      <c r="T1464" t="s">
        <v>1812</v>
      </c>
      <c r="U1464" t="s">
        <v>2365</v>
      </c>
      <c r="V1464" t="s">
        <v>2365</v>
      </c>
      <c r="W1464" t="s">
        <v>2365</v>
      </c>
      <c r="X1464" t="s">
        <v>2365</v>
      </c>
      <c r="Y1464" t="s">
        <v>2365</v>
      </c>
      <c r="Z1464" t="s">
        <v>2365</v>
      </c>
      <c r="AA1464" t="s">
        <v>2365</v>
      </c>
      <c r="AB1464" t="s">
        <v>2365</v>
      </c>
      <c r="AC1464" s="813" t="s">
        <v>2365</v>
      </c>
      <c r="AD1464" s="813" t="s">
        <v>2365</v>
      </c>
      <c r="AE1464" s="813" t="s">
        <v>2365</v>
      </c>
      <c r="AF1464" t="s">
        <v>2365</v>
      </c>
      <c r="AG1464" t="s">
        <v>2365</v>
      </c>
      <c r="AH1464" t="s">
        <v>2365</v>
      </c>
      <c r="AI1464" t="s">
        <v>2365</v>
      </c>
      <c r="AJ1464" t="s">
        <v>2365</v>
      </c>
      <c r="AK1464" t="s">
        <v>2365</v>
      </c>
      <c r="AL1464" t="s">
        <v>2365</v>
      </c>
      <c r="AM1464" t="s">
        <v>2365</v>
      </c>
      <c r="AN1464" t="s">
        <v>2365</v>
      </c>
      <c r="AR1464" t="s">
        <v>2365</v>
      </c>
      <c r="AS1464" t="s">
        <v>2365</v>
      </c>
      <c r="AT1464" t="s">
        <v>2365</v>
      </c>
      <c r="AU1464" t="s">
        <v>2365</v>
      </c>
      <c r="AV1464" t="s">
        <v>2365</v>
      </c>
      <c r="AW1464" t="s">
        <v>2365</v>
      </c>
      <c r="AX1464" t="s">
        <v>2365</v>
      </c>
      <c r="AY1464" t="s">
        <v>2365</v>
      </c>
      <c r="AZ1464" t="s">
        <v>2365</v>
      </c>
      <c r="BA1464" t="s">
        <v>2365</v>
      </c>
      <c r="BB1464" t="s">
        <v>2365</v>
      </c>
      <c r="BC1464" t="s">
        <v>2365</v>
      </c>
      <c r="BD1464" t="s">
        <v>2366</v>
      </c>
      <c r="BE1464" t="s">
        <v>2365</v>
      </c>
      <c r="BF1464" t="s">
        <v>2365</v>
      </c>
      <c r="BG1464" t="s">
        <v>2365</v>
      </c>
      <c r="BH1464" t="s">
        <v>2365</v>
      </c>
      <c r="BI1464" t="s">
        <v>2366</v>
      </c>
      <c r="BJ1464" t="s">
        <v>2365</v>
      </c>
      <c r="BK1464" t="s">
        <v>2365</v>
      </c>
      <c r="BL1464" t="s">
        <v>2365</v>
      </c>
      <c r="BM1464" t="s">
        <v>2365</v>
      </c>
      <c r="BO1464">
        <v>4</v>
      </c>
      <c r="BP1464">
        <v>46</v>
      </c>
      <c r="BQ1464" t="s">
        <v>2433</v>
      </c>
      <c r="BR1464" t="s">
        <v>1504</v>
      </c>
      <c r="BU1464" s="1371">
        <v>60000</v>
      </c>
      <c r="BV1464" s="1371">
        <v>0</v>
      </c>
      <c r="BW1464" s="1371">
        <v>60000</v>
      </c>
      <c r="BX1464" s="1371">
        <v>0</v>
      </c>
      <c r="BY1464" s="1371">
        <v>60000</v>
      </c>
      <c r="BZ1464">
        <v>63600</v>
      </c>
      <c r="CA1464">
        <v>67416</v>
      </c>
      <c r="CB1464">
        <v>0</v>
      </c>
      <c r="CC1464">
        <v>0</v>
      </c>
      <c r="CD1464">
        <v>0</v>
      </c>
      <c r="CE1464">
        <v>0</v>
      </c>
      <c r="CF1464">
        <v>0</v>
      </c>
      <c r="CG1464">
        <v>0</v>
      </c>
      <c r="CH1464">
        <v>0</v>
      </c>
      <c r="CI1464">
        <v>0</v>
      </c>
      <c r="CJ1464">
        <v>0</v>
      </c>
      <c r="CK1464">
        <v>0</v>
      </c>
      <c r="CL1464">
        <v>0</v>
      </c>
      <c r="CM1464">
        <v>0</v>
      </c>
      <c r="CR1464" t="s">
        <v>2324</v>
      </c>
      <c r="CS1464" s="1369" t="str">
        <f>INDEX([8]Sheet1!$H:$H,MATCH(CR:CR,[8]Sheet1!$AU:$AU,0))</f>
        <v>Finance</v>
      </c>
    </row>
    <row r="1465" spans="1:97" x14ac:dyDescent="0.2">
      <c r="A1465" t="s">
        <v>4541</v>
      </c>
      <c r="B1465">
        <v>1554</v>
      </c>
      <c r="C1465" t="s">
        <v>4541</v>
      </c>
      <c r="D1465">
        <v>54422</v>
      </c>
      <c r="E1465" t="s">
        <v>2427</v>
      </c>
      <c r="F1465">
        <v>2700</v>
      </c>
      <c r="G1465" t="s">
        <v>656</v>
      </c>
      <c r="H1465" t="s">
        <v>2428</v>
      </c>
      <c r="I1465" t="s">
        <v>1800</v>
      </c>
      <c r="J1465">
        <v>2701</v>
      </c>
      <c r="K1465" t="s">
        <v>1800</v>
      </c>
      <c r="L1465">
        <v>2200</v>
      </c>
      <c r="M1465" t="s">
        <v>619</v>
      </c>
      <c r="N1465">
        <v>2205</v>
      </c>
      <c r="O1465" t="s">
        <v>1517</v>
      </c>
      <c r="P1465" t="s">
        <v>2366</v>
      </c>
      <c r="Q1465" t="s">
        <v>2364</v>
      </c>
      <c r="R1465" t="s">
        <v>2364</v>
      </c>
      <c r="S1465" t="s">
        <v>1881</v>
      </c>
      <c r="T1465" t="s">
        <v>1812</v>
      </c>
      <c r="U1465" t="s">
        <v>2365</v>
      </c>
      <c r="V1465" t="s">
        <v>2365</v>
      </c>
      <c r="W1465" t="s">
        <v>2365</v>
      </c>
      <c r="X1465" t="s">
        <v>2365</v>
      </c>
      <c r="Y1465" t="s">
        <v>2365</v>
      </c>
      <c r="Z1465" t="s">
        <v>2365</v>
      </c>
      <c r="AA1465" t="s">
        <v>2365</v>
      </c>
      <c r="AB1465" t="s">
        <v>2365</v>
      </c>
      <c r="AC1465" s="813" t="s">
        <v>2365</v>
      </c>
      <c r="AD1465" s="813" t="s">
        <v>2365</v>
      </c>
      <c r="AE1465" s="813" t="s">
        <v>2365</v>
      </c>
      <c r="AF1465" t="s">
        <v>2365</v>
      </c>
      <c r="AG1465" t="s">
        <v>2365</v>
      </c>
      <c r="AH1465" t="s">
        <v>2365</v>
      </c>
      <c r="AI1465" t="s">
        <v>2365</v>
      </c>
      <c r="AJ1465" t="s">
        <v>2365</v>
      </c>
      <c r="AK1465" t="s">
        <v>2365</v>
      </c>
      <c r="AL1465" t="s">
        <v>2365</v>
      </c>
      <c r="AM1465" t="s">
        <v>2365</v>
      </c>
      <c r="AN1465" t="s">
        <v>2365</v>
      </c>
      <c r="AR1465" t="s">
        <v>2365</v>
      </c>
      <c r="AS1465" t="s">
        <v>2365</v>
      </c>
      <c r="AT1465" t="s">
        <v>2365</v>
      </c>
      <c r="AU1465" t="s">
        <v>2365</v>
      </c>
      <c r="AV1465" t="s">
        <v>2365</v>
      </c>
      <c r="AW1465" t="s">
        <v>2365</v>
      </c>
      <c r="AX1465" t="s">
        <v>2365</v>
      </c>
      <c r="AY1465" t="s">
        <v>2365</v>
      </c>
      <c r="AZ1465" t="s">
        <v>2365</v>
      </c>
      <c r="BA1465" t="s">
        <v>2365</v>
      </c>
      <c r="BB1465" t="s">
        <v>2365</v>
      </c>
      <c r="BC1465" t="s">
        <v>2365</v>
      </c>
      <c r="BD1465" t="s">
        <v>2366</v>
      </c>
      <c r="BE1465" t="s">
        <v>2365</v>
      </c>
      <c r="BF1465" t="s">
        <v>2365</v>
      </c>
      <c r="BG1465" t="s">
        <v>2365</v>
      </c>
      <c r="BH1465" t="s">
        <v>2365</v>
      </c>
      <c r="BI1465" t="s">
        <v>2366</v>
      </c>
      <c r="BJ1465" t="s">
        <v>2365</v>
      </c>
      <c r="BK1465" t="s">
        <v>2365</v>
      </c>
      <c r="BL1465" t="s">
        <v>2365</v>
      </c>
      <c r="BM1465" t="s">
        <v>2365</v>
      </c>
      <c r="BO1465">
        <v>9</v>
      </c>
      <c r="BP1465">
        <v>91</v>
      </c>
      <c r="BQ1465" t="s">
        <v>265</v>
      </c>
      <c r="BR1465" t="s">
        <v>1517</v>
      </c>
      <c r="BU1465">
        <v>30000</v>
      </c>
      <c r="BV1465">
        <v>0</v>
      </c>
      <c r="BW1465">
        <v>30000</v>
      </c>
      <c r="BX1465">
        <v>-30000</v>
      </c>
      <c r="BY1465">
        <v>0</v>
      </c>
      <c r="BZ1465">
        <v>31800</v>
      </c>
      <c r="CA1465">
        <v>33708</v>
      </c>
      <c r="CB1465">
        <v>0</v>
      </c>
      <c r="CC1465">
        <v>0</v>
      </c>
      <c r="CD1465">
        <v>0</v>
      </c>
      <c r="CE1465">
        <v>0</v>
      </c>
      <c r="CF1465">
        <v>0</v>
      </c>
      <c r="CG1465">
        <v>0</v>
      </c>
      <c r="CH1465">
        <v>0</v>
      </c>
      <c r="CI1465">
        <v>0</v>
      </c>
      <c r="CJ1465">
        <v>0</v>
      </c>
      <c r="CK1465">
        <v>0</v>
      </c>
      <c r="CL1465">
        <v>0</v>
      </c>
      <c r="CM1465">
        <v>0</v>
      </c>
      <c r="CR1465" t="s">
        <v>2324</v>
      </c>
      <c r="CS1465" s="1369" t="str">
        <f>INDEX([8]Sheet1!$H:$H,MATCH(CR:CR,[8]Sheet1!$AU:$AU,0))</f>
        <v>Finance</v>
      </c>
    </row>
    <row r="1466" spans="1:97" x14ac:dyDescent="0.2">
      <c r="A1466" t="s">
        <v>4542</v>
      </c>
      <c r="B1466">
        <v>1555</v>
      </c>
      <c r="C1466" t="s">
        <v>4542</v>
      </c>
      <c r="D1466">
        <v>54423</v>
      </c>
      <c r="E1466" t="s">
        <v>2430</v>
      </c>
      <c r="F1466">
        <v>2700</v>
      </c>
      <c r="G1466" t="s">
        <v>656</v>
      </c>
      <c r="H1466" s="1373" t="s">
        <v>2428</v>
      </c>
      <c r="I1466" t="s">
        <v>1800</v>
      </c>
      <c r="J1466">
        <v>2701</v>
      </c>
      <c r="K1466" t="s">
        <v>1800</v>
      </c>
      <c r="L1466" s="1373">
        <v>2200</v>
      </c>
      <c r="M1466" t="s">
        <v>619</v>
      </c>
      <c r="N1466">
        <v>2205</v>
      </c>
      <c r="O1466" t="s">
        <v>1517</v>
      </c>
      <c r="P1466" t="s">
        <v>2366</v>
      </c>
      <c r="Q1466" t="s">
        <v>2364</v>
      </c>
      <c r="R1466" t="s">
        <v>2364</v>
      </c>
      <c r="S1466" t="s">
        <v>1881</v>
      </c>
      <c r="T1466" t="s">
        <v>1812</v>
      </c>
      <c r="U1466" t="s">
        <v>2365</v>
      </c>
      <c r="V1466" t="s">
        <v>2365</v>
      </c>
      <c r="W1466" t="s">
        <v>2365</v>
      </c>
      <c r="X1466" t="s">
        <v>2365</v>
      </c>
      <c r="Y1466" t="s">
        <v>2365</v>
      </c>
      <c r="Z1466" t="s">
        <v>2365</v>
      </c>
      <c r="AA1466" t="s">
        <v>2365</v>
      </c>
      <c r="AB1466" t="s">
        <v>2365</v>
      </c>
      <c r="AC1466" s="813" t="s">
        <v>2365</v>
      </c>
      <c r="AD1466" s="813" t="s">
        <v>2365</v>
      </c>
      <c r="AE1466" s="813" t="s">
        <v>2365</v>
      </c>
      <c r="AF1466" t="s">
        <v>2365</v>
      </c>
      <c r="AG1466" t="s">
        <v>2365</v>
      </c>
      <c r="AH1466" t="s">
        <v>2365</v>
      </c>
      <c r="AI1466" t="s">
        <v>2365</v>
      </c>
      <c r="AJ1466" t="s">
        <v>2365</v>
      </c>
      <c r="AK1466" t="s">
        <v>2365</v>
      </c>
      <c r="AL1466" t="s">
        <v>2365</v>
      </c>
      <c r="AM1466" t="s">
        <v>2365</v>
      </c>
      <c r="AN1466" t="s">
        <v>2365</v>
      </c>
      <c r="AR1466" t="s">
        <v>2365</v>
      </c>
      <c r="AS1466" t="s">
        <v>2365</v>
      </c>
      <c r="AT1466" t="s">
        <v>2365</v>
      </c>
      <c r="AU1466" t="s">
        <v>2365</v>
      </c>
      <c r="AV1466" t="s">
        <v>2365</v>
      </c>
      <c r="AW1466" t="s">
        <v>2365</v>
      </c>
      <c r="AX1466" t="s">
        <v>2365</v>
      </c>
      <c r="AY1466" t="s">
        <v>2365</v>
      </c>
      <c r="AZ1466" t="s">
        <v>2365</v>
      </c>
      <c r="BA1466" t="s">
        <v>2365</v>
      </c>
      <c r="BB1466" t="s">
        <v>2365</v>
      </c>
      <c r="BC1466" t="s">
        <v>2365</v>
      </c>
      <c r="BD1466" t="s">
        <v>2366</v>
      </c>
      <c r="BE1466" t="s">
        <v>2365</v>
      </c>
      <c r="BF1466" t="s">
        <v>2365</v>
      </c>
      <c r="BG1466" t="s">
        <v>2365</v>
      </c>
      <c r="BH1466" t="s">
        <v>2365</v>
      </c>
      <c r="BI1466" t="s">
        <v>2366</v>
      </c>
      <c r="BJ1466" t="s">
        <v>2365</v>
      </c>
      <c r="BK1466" t="s">
        <v>2365</v>
      </c>
      <c r="BL1466" t="s">
        <v>2365</v>
      </c>
      <c r="BM1466" t="s">
        <v>2365</v>
      </c>
      <c r="BO1466">
        <v>9</v>
      </c>
      <c r="BP1466">
        <v>91</v>
      </c>
      <c r="BQ1466" t="s">
        <v>265</v>
      </c>
      <c r="BR1466" t="s">
        <v>1517</v>
      </c>
      <c r="BU1466" s="1371">
        <v>5000</v>
      </c>
      <c r="BV1466" s="1371">
        <v>0</v>
      </c>
      <c r="BW1466" s="1371">
        <v>5000</v>
      </c>
      <c r="BX1466" s="1371">
        <v>-5000</v>
      </c>
      <c r="BY1466" s="1371">
        <v>0</v>
      </c>
      <c r="BZ1466">
        <v>5300</v>
      </c>
      <c r="CA1466">
        <v>5618</v>
      </c>
      <c r="CB1466">
        <v>0</v>
      </c>
      <c r="CC1466">
        <v>0</v>
      </c>
      <c r="CD1466">
        <v>0</v>
      </c>
      <c r="CE1466">
        <v>0</v>
      </c>
      <c r="CF1466">
        <v>0</v>
      </c>
      <c r="CG1466">
        <v>20700</v>
      </c>
      <c r="CH1466">
        <v>0</v>
      </c>
      <c r="CI1466">
        <v>0</v>
      </c>
      <c r="CJ1466">
        <v>0</v>
      </c>
      <c r="CK1466">
        <v>0</v>
      </c>
      <c r="CL1466">
        <v>0</v>
      </c>
      <c r="CM1466">
        <v>0</v>
      </c>
      <c r="CR1466" t="s">
        <v>2328</v>
      </c>
      <c r="CS1466" s="1369" t="str">
        <f>INDEX([8]Sheet1!$H:$H,MATCH(CR:CR,[8]Sheet1!$AU:$AU,0))</f>
        <v>Water Distribution</v>
      </c>
    </row>
    <row r="1467" spans="1:97" x14ac:dyDescent="0.2">
      <c r="A1467" t="s">
        <v>4543</v>
      </c>
      <c r="B1467">
        <v>1556</v>
      </c>
      <c r="C1467" t="s">
        <v>4543</v>
      </c>
      <c r="D1467">
        <v>54424</v>
      </c>
      <c r="E1467" t="s">
        <v>2615</v>
      </c>
      <c r="F1467">
        <v>2700</v>
      </c>
      <c r="G1467" t="s">
        <v>656</v>
      </c>
      <c r="H1467" s="1373" t="s">
        <v>2478</v>
      </c>
      <c r="I1467" t="s">
        <v>1802</v>
      </c>
      <c r="J1467">
        <v>2703</v>
      </c>
      <c r="K1467" t="s">
        <v>1802</v>
      </c>
      <c r="L1467" s="1373">
        <v>2200</v>
      </c>
      <c r="M1467" t="s">
        <v>619</v>
      </c>
      <c r="N1467">
        <v>2205</v>
      </c>
      <c r="O1467" t="s">
        <v>1517</v>
      </c>
      <c r="P1467" t="s">
        <v>2366</v>
      </c>
      <c r="Q1467" t="s">
        <v>2364</v>
      </c>
      <c r="R1467" t="s">
        <v>2364</v>
      </c>
      <c r="S1467" t="s">
        <v>1881</v>
      </c>
      <c r="T1467" t="s">
        <v>1812</v>
      </c>
      <c r="U1467" t="s">
        <v>2365</v>
      </c>
      <c r="V1467" t="s">
        <v>2365</v>
      </c>
      <c r="W1467" t="s">
        <v>2365</v>
      </c>
      <c r="X1467" t="s">
        <v>2365</v>
      </c>
      <c r="Y1467" t="s">
        <v>2365</v>
      </c>
      <c r="Z1467" t="s">
        <v>2365</v>
      </c>
      <c r="AA1467" t="s">
        <v>2365</v>
      </c>
      <c r="AB1467" t="s">
        <v>2365</v>
      </c>
      <c r="AC1467" s="813" t="s">
        <v>2365</v>
      </c>
      <c r="AD1467" s="813" t="s">
        <v>2365</v>
      </c>
      <c r="AE1467" s="813" t="s">
        <v>2365</v>
      </c>
      <c r="AF1467" t="s">
        <v>2365</v>
      </c>
      <c r="AG1467" t="s">
        <v>2365</v>
      </c>
      <c r="AH1467" t="s">
        <v>2365</v>
      </c>
      <c r="AI1467" t="s">
        <v>2365</v>
      </c>
      <c r="AJ1467" t="s">
        <v>2365</v>
      </c>
      <c r="AK1467" t="s">
        <v>2365</v>
      </c>
      <c r="AL1467" t="s">
        <v>2365</v>
      </c>
      <c r="AM1467" t="s">
        <v>2365</v>
      </c>
      <c r="AN1467" t="s">
        <v>2365</v>
      </c>
      <c r="AR1467" t="s">
        <v>2365</v>
      </c>
      <c r="AS1467" t="s">
        <v>2365</v>
      </c>
      <c r="AT1467" t="s">
        <v>2365</v>
      </c>
      <c r="AU1467" t="s">
        <v>2365</v>
      </c>
      <c r="AV1467" t="s">
        <v>2365</v>
      </c>
      <c r="AW1467" t="s">
        <v>2365</v>
      </c>
      <c r="AX1467" t="s">
        <v>2365</v>
      </c>
      <c r="AY1467" t="s">
        <v>2365</v>
      </c>
      <c r="AZ1467" t="s">
        <v>2365</v>
      </c>
      <c r="BA1467" t="s">
        <v>2365</v>
      </c>
      <c r="BB1467" t="s">
        <v>2365</v>
      </c>
      <c r="BC1467" t="s">
        <v>2365</v>
      </c>
      <c r="BD1467" t="s">
        <v>2366</v>
      </c>
      <c r="BE1467" t="s">
        <v>2365</v>
      </c>
      <c r="BF1467" t="s">
        <v>2365</v>
      </c>
      <c r="BG1467" t="s">
        <v>2365</v>
      </c>
      <c r="BH1467" t="s">
        <v>2365</v>
      </c>
      <c r="BI1467" t="s">
        <v>2366</v>
      </c>
      <c r="BJ1467" t="s">
        <v>2365</v>
      </c>
      <c r="BK1467" t="s">
        <v>2365</v>
      </c>
      <c r="BL1467" t="s">
        <v>2365</v>
      </c>
      <c r="BM1467" t="s">
        <v>2365</v>
      </c>
      <c r="BO1467">
        <v>9</v>
      </c>
      <c r="BP1467">
        <v>91</v>
      </c>
      <c r="BQ1467" t="s">
        <v>265</v>
      </c>
      <c r="BR1467" t="s">
        <v>1517</v>
      </c>
      <c r="BU1467" s="1371">
        <v>30000</v>
      </c>
      <c r="BV1467" s="1371">
        <v>0</v>
      </c>
      <c r="BW1467" s="1371">
        <v>30000</v>
      </c>
      <c r="BX1467" s="1371">
        <v>-30000</v>
      </c>
      <c r="BY1467" s="1371">
        <v>0</v>
      </c>
      <c r="BZ1467">
        <v>31800</v>
      </c>
      <c r="CA1467">
        <v>33708</v>
      </c>
      <c r="CB1467">
        <v>0</v>
      </c>
      <c r="CC1467">
        <v>0</v>
      </c>
      <c r="CD1467">
        <v>0</v>
      </c>
      <c r="CE1467">
        <v>0</v>
      </c>
      <c r="CF1467">
        <v>0</v>
      </c>
      <c r="CG1467">
        <v>0</v>
      </c>
      <c r="CH1467">
        <v>0</v>
      </c>
      <c r="CI1467">
        <v>0</v>
      </c>
      <c r="CJ1467">
        <v>0</v>
      </c>
      <c r="CK1467">
        <v>0</v>
      </c>
      <c r="CL1467">
        <v>0</v>
      </c>
      <c r="CM1467">
        <v>0</v>
      </c>
      <c r="CR1467" t="s">
        <v>2328</v>
      </c>
      <c r="CS1467" s="1369" t="str">
        <f>INDEX([8]Sheet1!$H:$H,MATCH(CR:CR,[8]Sheet1!$AU:$AU,0))</f>
        <v>Water Distribution</v>
      </c>
    </row>
    <row r="1468" spans="1:97" x14ac:dyDescent="0.2">
      <c r="A1468" t="s">
        <v>4544</v>
      </c>
      <c r="B1468">
        <v>1557</v>
      </c>
      <c r="C1468" t="s">
        <v>4544</v>
      </c>
      <c r="D1468">
        <v>54425</v>
      </c>
      <c r="E1468" t="s">
        <v>2615</v>
      </c>
      <c r="F1468">
        <v>2700</v>
      </c>
      <c r="G1468" t="s">
        <v>656</v>
      </c>
      <c r="H1468" t="s">
        <v>2478</v>
      </c>
      <c r="I1468" t="s">
        <v>1802</v>
      </c>
      <c r="J1468">
        <v>2703</v>
      </c>
      <c r="K1468" t="s">
        <v>1802</v>
      </c>
      <c r="L1468">
        <v>2200</v>
      </c>
      <c r="M1468" t="s">
        <v>619</v>
      </c>
      <c r="N1468">
        <v>2205</v>
      </c>
      <c r="O1468" t="s">
        <v>1517</v>
      </c>
      <c r="P1468" t="s">
        <v>2366</v>
      </c>
      <c r="Q1468" t="s">
        <v>2364</v>
      </c>
      <c r="R1468" t="s">
        <v>2364</v>
      </c>
      <c r="S1468" t="s">
        <v>1881</v>
      </c>
      <c r="T1468" t="s">
        <v>1812</v>
      </c>
      <c r="U1468" t="s">
        <v>2365</v>
      </c>
      <c r="V1468" t="s">
        <v>2365</v>
      </c>
      <c r="W1468" t="s">
        <v>2365</v>
      </c>
      <c r="X1468" t="s">
        <v>2365</v>
      </c>
      <c r="Y1468" t="s">
        <v>2365</v>
      </c>
      <c r="Z1468" t="s">
        <v>2365</v>
      </c>
      <c r="AA1468" t="s">
        <v>2365</v>
      </c>
      <c r="AB1468" t="s">
        <v>2365</v>
      </c>
      <c r="AC1468" s="813" t="s">
        <v>2365</v>
      </c>
      <c r="AD1468" s="813" t="s">
        <v>2365</v>
      </c>
      <c r="AE1468" s="813" t="s">
        <v>2365</v>
      </c>
      <c r="AF1468" t="s">
        <v>2365</v>
      </c>
      <c r="AG1468" t="s">
        <v>2365</v>
      </c>
      <c r="AH1468" t="s">
        <v>2365</v>
      </c>
      <c r="AI1468" t="s">
        <v>2365</v>
      </c>
      <c r="AJ1468" t="s">
        <v>2365</v>
      </c>
      <c r="AK1468" t="s">
        <v>2365</v>
      </c>
      <c r="AL1468" t="s">
        <v>2365</v>
      </c>
      <c r="AM1468" t="s">
        <v>2365</v>
      </c>
      <c r="AN1468" t="s">
        <v>2365</v>
      </c>
      <c r="AR1468" t="s">
        <v>2365</v>
      </c>
      <c r="AS1468" t="s">
        <v>2365</v>
      </c>
      <c r="AT1468" t="s">
        <v>2365</v>
      </c>
      <c r="AU1468" t="s">
        <v>2365</v>
      </c>
      <c r="AV1468" t="s">
        <v>2365</v>
      </c>
      <c r="AW1468" t="s">
        <v>2365</v>
      </c>
      <c r="AX1468" t="s">
        <v>2365</v>
      </c>
      <c r="AY1468" t="s">
        <v>2365</v>
      </c>
      <c r="AZ1468" t="s">
        <v>2365</v>
      </c>
      <c r="BA1468" t="s">
        <v>2365</v>
      </c>
      <c r="BB1468" t="s">
        <v>2365</v>
      </c>
      <c r="BC1468" t="s">
        <v>2365</v>
      </c>
      <c r="BD1468" t="s">
        <v>2366</v>
      </c>
      <c r="BE1468" t="s">
        <v>2365</v>
      </c>
      <c r="BF1468" t="s">
        <v>2365</v>
      </c>
      <c r="BG1468" t="s">
        <v>2365</v>
      </c>
      <c r="BH1468" t="s">
        <v>2365</v>
      </c>
      <c r="BI1468" t="s">
        <v>2366</v>
      </c>
      <c r="BJ1468" t="s">
        <v>2365</v>
      </c>
      <c r="BK1468" t="s">
        <v>2365</v>
      </c>
      <c r="BL1468" t="s">
        <v>2365</v>
      </c>
      <c r="BM1468" t="s">
        <v>2365</v>
      </c>
      <c r="BO1468">
        <v>9</v>
      </c>
      <c r="BP1468">
        <v>91</v>
      </c>
      <c r="BQ1468" t="s">
        <v>265</v>
      </c>
      <c r="BR1468" t="s">
        <v>1517</v>
      </c>
      <c r="BU1468">
        <v>0</v>
      </c>
      <c r="BV1468">
        <v>0</v>
      </c>
      <c r="BW1468">
        <v>0</v>
      </c>
      <c r="BX1468">
        <v>0</v>
      </c>
      <c r="BY1468">
        <v>0</v>
      </c>
      <c r="BZ1468">
        <v>0</v>
      </c>
      <c r="CA1468">
        <v>0</v>
      </c>
      <c r="CB1468">
        <v>0</v>
      </c>
      <c r="CC1468">
        <v>0</v>
      </c>
      <c r="CD1468">
        <v>0</v>
      </c>
      <c r="CE1468">
        <v>0</v>
      </c>
      <c r="CF1468">
        <v>0</v>
      </c>
      <c r="CG1468">
        <v>0</v>
      </c>
      <c r="CH1468">
        <v>0</v>
      </c>
      <c r="CI1468">
        <v>0</v>
      </c>
      <c r="CJ1468">
        <v>0</v>
      </c>
      <c r="CK1468">
        <v>0</v>
      </c>
      <c r="CL1468">
        <v>0</v>
      </c>
      <c r="CM1468">
        <v>0</v>
      </c>
      <c r="CR1468" t="s">
        <v>2328</v>
      </c>
      <c r="CS1468" s="1369" t="str">
        <f>INDEX([8]Sheet1!$H:$H,MATCH(CR:CR,[8]Sheet1!$AU:$AU,0))</f>
        <v>Water Distribution</v>
      </c>
    </row>
    <row r="1469" spans="1:97" x14ac:dyDescent="0.2">
      <c r="A1469" t="s">
        <v>4545</v>
      </c>
      <c r="B1469">
        <v>1558</v>
      </c>
      <c r="C1469" t="s">
        <v>4545</v>
      </c>
      <c r="D1469">
        <v>54426</v>
      </c>
      <c r="E1469" t="s">
        <v>2427</v>
      </c>
      <c r="F1469">
        <v>2700</v>
      </c>
      <c r="G1469" t="s">
        <v>656</v>
      </c>
      <c r="H1469" t="s">
        <v>2428</v>
      </c>
      <c r="I1469" t="s">
        <v>1800</v>
      </c>
      <c r="J1469">
        <v>2701</v>
      </c>
      <c r="K1469" t="s">
        <v>1800</v>
      </c>
      <c r="L1469">
        <v>2200</v>
      </c>
      <c r="M1469" t="s">
        <v>619</v>
      </c>
      <c r="N1469">
        <v>2205</v>
      </c>
      <c r="O1469" t="s">
        <v>1517</v>
      </c>
      <c r="P1469" t="s">
        <v>2366</v>
      </c>
      <c r="Q1469" t="s">
        <v>2364</v>
      </c>
      <c r="R1469" t="s">
        <v>2364</v>
      </c>
      <c r="S1469" t="s">
        <v>1881</v>
      </c>
      <c r="T1469" t="s">
        <v>1812</v>
      </c>
      <c r="U1469" t="s">
        <v>2365</v>
      </c>
      <c r="V1469" t="s">
        <v>2365</v>
      </c>
      <c r="W1469" t="s">
        <v>2365</v>
      </c>
      <c r="X1469" t="s">
        <v>2365</v>
      </c>
      <c r="Y1469" t="s">
        <v>2365</v>
      </c>
      <c r="Z1469" t="s">
        <v>2365</v>
      </c>
      <c r="AA1469" t="s">
        <v>2365</v>
      </c>
      <c r="AB1469" t="s">
        <v>2365</v>
      </c>
      <c r="AC1469" s="813" t="s">
        <v>2365</v>
      </c>
      <c r="AD1469" s="813" t="s">
        <v>2365</v>
      </c>
      <c r="AE1469" s="813" t="s">
        <v>2365</v>
      </c>
      <c r="AF1469" t="s">
        <v>2365</v>
      </c>
      <c r="AG1469" t="s">
        <v>2365</v>
      </c>
      <c r="AH1469" t="s">
        <v>2365</v>
      </c>
      <c r="AI1469" t="s">
        <v>2365</v>
      </c>
      <c r="AJ1469" t="s">
        <v>2365</v>
      </c>
      <c r="AK1469" t="s">
        <v>2365</v>
      </c>
      <c r="AL1469" t="s">
        <v>2365</v>
      </c>
      <c r="AM1469" t="s">
        <v>2365</v>
      </c>
      <c r="AN1469" t="s">
        <v>2365</v>
      </c>
      <c r="AR1469" t="s">
        <v>2365</v>
      </c>
      <c r="AS1469" t="s">
        <v>2365</v>
      </c>
      <c r="AT1469" t="s">
        <v>2365</v>
      </c>
      <c r="AU1469" t="s">
        <v>2365</v>
      </c>
      <c r="AV1469" t="s">
        <v>2365</v>
      </c>
      <c r="AW1469" t="s">
        <v>2365</v>
      </c>
      <c r="AX1469" t="s">
        <v>2365</v>
      </c>
      <c r="AY1469" t="s">
        <v>2365</v>
      </c>
      <c r="AZ1469" t="s">
        <v>2365</v>
      </c>
      <c r="BA1469" t="s">
        <v>2365</v>
      </c>
      <c r="BB1469" t="s">
        <v>2365</v>
      </c>
      <c r="BC1469" t="s">
        <v>2365</v>
      </c>
      <c r="BD1469" t="s">
        <v>2366</v>
      </c>
      <c r="BE1469" t="s">
        <v>2365</v>
      </c>
      <c r="BF1469" t="s">
        <v>2365</v>
      </c>
      <c r="BG1469" t="s">
        <v>2365</v>
      </c>
      <c r="BH1469" t="s">
        <v>2365</v>
      </c>
      <c r="BI1469" t="s">
        <v>2366</v>
      </c>
      <c r="BJ1469" t="s">
        <v>2365</v>
      </c>
      <c r="BK1469" t="s">
        <v>2365</v>
      </c>
      <c r="BL1469" t="s">
        <v>2365</v>
      </c>
      <c r="BM1469" t="s">
        <v>2365</v>
      </c>
      <c r="BO1469">
        <v>9</v>
      </c>
      <c r="BP1469">
        <v>91</v>
      </c>
      <c r="BQ1469" t="s">
        <v>265</v>
      </c>
      <c r="BR1469" t="s">
        <v>1517</v>
      </c>
      <c r="BU1469">
        <v>50000</v>
      </c>
      <c r="BV1469">
        <v>0</v>
      </c>
      <c r="BW1469">
        <v>50000</v>
      </c>
      <c r="BX1469">
        <v>-50000</v>
      </c>
      <c r="BY1469">
        <v>0</v>
      </c>
      <c r="BZ1469">
        <v>53000</v>
      </c>
      <c r="CA1469">
        <v>56180</v>
      </c>
      <c r="CB1469">
        <v>0</v>
      </c>
      <c r="CC1469">
        <v>0</v>
      </c>
      <c r="CD1469">
        <v>0</v>
      </c>
      <c r="CE1469">
        <v>0</v>
      </c>
      <c r="CF1469">
        <v>0</v>
      </c>
      <c r="CG1469">
        <v>0</v>
      </c>
      <c r="CH1469">
        <v>0</v>
      </c>
      <c r="CI1469">
        <v>0</v>
      </c>
      <c r="CJ1469">
        <v>0</v>
      </c>
      <c r="CK1469">
        <v>0</v>
      </c>
      <c r="CL1469">
        <v>0</v>
      </c>
      <c r="CM1469">
        <v>0</v>
      </c>
      <c r="CR1469" t="s">
        <v>2328</v>
      </c>
      <c r="CS1469" s="1369" t="str">
        <f>INDEX([8]Sheet1!$H:$H,MATCH(CR:CR,[8]Sheet1!$AU:$AU,0))</f>
        <v>Water Distribution</v>
      </c>
    </row>
    <row r="1470" spans="1:97" x14ac:dyDescent="0.2">
      <c r="A1470" t="s">
        <v>4546</v>
      </c>
      <c r="B1470">
        <v>1559</v>
      </c>
      <c r="C1470" t="s">
        <v>4546</v>
      </c>
      <c r="D1470">
        <v>54427</v>
      </c>
      <c r="E1470" t="s">
        <v>2430</v>
      </c>
      <c r="F1470">
        <v>2700</v>
      </c>
      <c r="G1470" t="s">
        <v>656</v>
      </c>
      <c r="H1470" t="s">
        <v>2428</v>
      </c>
      <c r="I1470" t="s">
        <v>1800</v>
      </c>
      <c r="J1470">
        <v>2701</v>
      </c>
      <c r="K1470" t="s">
        <v>1800</v>
      </c>
      <c r="L1470">
        <v>2200</v>
      </c>
      <c r="M1470" t="s">
        <v>619</v>
      </c>
      <c r="N1470">
        <v>2205</v>
      </c>
      <c r="O1470" t="s">
        <v>1517</v>
      </c>
      <c r="P1470" t="s">
        <v>2366</v>
      </c>
      <c r="Q1470" t="s">
        <v>2364</v>
      </c>
      <c r="R1470" t="s">
        <v>2364</v>
      </c>
      <c r="S1470" t="s">
        <v>1881</v>
      </c>
      <c r="T1470" t="s">
        <v>1812</v>
      </c>
      <c r="U1470" t="s">
        <v>2365</v>
      </c>
      <c r="V1470" t="s">
        <v>2365</v>
      </c>
      <c r="W1470" t="s">
        <v>2365</v>
      </c>
      <c r="X1470" t="s">
        <v>2365</v>
      </c>
      <c r="Y1470" t="s">
        <v>2365</v>
      </c>
      <c r="Z1470" t="s">
        <v>2365</v>
      </c>
      <c r="AA1470" t="s">
        <v>2365</v>
      </c>
      <c r="AB1470" t="s">
        <v>2365</v>
      </c>
      <c r="AC1470" s="813" t="s">
        <v>2365</v>
      </c>
      <c r="AD1470" s="813" t="s">
        <v>2365</v>
      </c>
      <c r="AE1470" s="813" t="s">
        <v>2365</v>
      </c>
      <c r="AF1470" t="s">
        <v>2365</v>
      </c>
      <c r="AG1470" t="s">
        <v>2365</v>
      </c>
      <c r="AH1470" t="s">
        <v>2365</v>
      </c>
      <c r="AI1470" t="s">
        <v>2365</v>
      </c>
      <c r="AJ1470" t="s">
        <v>2365</v>
      </c>
      <c r="AK1470" t="s">
        <v>2365</v>
      </c>
      <c r="AL1470" t="s">
        <v>2365</v>
      </c>
      <c r="AM1470" t="s">
        <v>2365</v>
      </c>
      <c r="AN1470" t="s">
        <v>2365</v>
      </c>
      <c r="AR1470" t="s">
        <v>2365</v>
      </c>
      <c r="AS1470" t="s">
        <v>2365</v>
      </c>
      <c r="AT1470" t="s">
        <v>2365</v>
      </c>
      <c r="AU1470" t="s">
        <v>2365</v>
      </c>
      <c r="AV1470" t="s">
        <v>2365</v>
      </c>
      <c r="AW1470" t="s">
        <v>2365</v>
      </c>
      <c r="AX1470" t="s">
        <v>2365</v>
      </c>
      <c r="AY1470" t="s">
        <v>2365</v>
      </c>
      <c r="AZ1470" t="s">
        <v>2365</v>
      </c>
      <c r="BA1470" t="s">
        <v>2365</v>
      </c>
      <c r="BB1470" t="s">
        <v>2365</v>
      </c>
      <c r="BC1470" t="s">
        <v>2365</v>
      </c>
      <c r="BD1470" t="s">
        <v>2366</v>
      </c>
      <c r="BE1470" t="s">
        <v>2365</v>
      </c>
      <c r="BF1470" t="s">
        <v>2365</v>
      </c>
      <c r="BG1470" t="s">
        <v>2365</v>
      </c>
      <c r="BH1470" t="s">
        <v>2365</v>
      </c>
      <c r="BI1470" t="s">
        <v>2366</v>
      </c>
      <c r="BJ1470" t="s">
        <v>2365</v>
      </c>
      <c r="BK1470" t="s">
        <v>2365</v>
      </c>
      <c r="BL1470" t="s">
        <v>2365</v>
      </c>
      <c r="BM1470" t="s">
        <v>2365</v>
      </c>
      <c r="BO1470">
        <v>9</v>
      </c>
      <c r="BP1470">
        <v>91</v>
      </c>
      <c r="BQ1470" t="s">
        <v>265</v>
      </c>
      <c r="BR1470" t="s">
        <v>1517</v>
      </c>
      <c r="BU1470">
        <v>50000</v>
      </c>
      <c r="BV1470">
        <v>0</v>
      </c>
      <c r="BW1470">
        <v>50000</v>
      </c>
      <c r="BX1470">
        <v>-50000</v>
      </c>
      <c r="BY1470">
        <v>0</v>
      </c>
      <c r="BZ1470">
        <v>53000</v>
      </c>
      <c r="CA1470">
        <v>56180</v>
      </c>
      <c r="CB1470">
        <v>0</v>
      </c>
      <c r="CC1470">
        <v>0</v>
      </c>
      <c r="CD1470">
        <v>0</v>
      </c>
      <c r="CE1470">
        <v>0</v>
      </c>
      <c r="CF1470">
        <v>2800</v>
      </c>
      <c r="CG1470">
        <v>0</v>
      </c>
      <c r="CH1470">
        <v>0</v>
      </c>
      <c r="CI1470">
        <v>0</v>
      </c>
      <c r="CJ1470">
        <v>0</v>
      </c>
      <c r="CK1470">
        <v>0</v>
      </c>
      <c r="CL1470">
        <v>0</v>
      </c>
      <c r="CM1470">
        <v>0</v>
      </c>
      <c r="CR1470" t="s">
        <v>2328</v>
      </c>
      <c r="CS1470" s="1369" t="str">
        <f>INDEX([8]Sheet1!$H:$H,MATCH(CR:CR,[8]Sheet1!$AU:$AU,0))</f>
        <v>Water Distribution</v>
      </c>
    </row>
    <row r="1471" spans="1:97" x14ac:dyDescent="0.2">
      <c r="A1471" t="s">
        <v>4547</v>
      </c>
      <c r="B1471">
        <v>1560</v>
      </c>
      <c r="C1471" t="s">
        <v>4547</v>
      </c>
      <c r="D1471">
        <v>54428</v>
      </c>
      <c r="E1471" t="s">
        <v>2425</v>
      </c>
      <c r="F1471">
        <v>2900</v>
      </c>
      <c r="G1471" t="s">
        <v>569</v>
      </c>
      <c r="H1471" t="s">
        <v>2366</v>
      </c>
      <c r="I1471" t="s">
        <v>2366</v>
      </c>
      <c r="J1471">
        <v>2904</v>
      </c>
      <c r="K1471" t="s">
        <v>1432</v>
      </c>
      <c r="L1471">
        <v>2200</v>
      </c>
      <c r="M1471" t="s">
        <v>619</v>
      </c>
      <c r="N1471">
        <v>2205</v>
      </c>
      <c r="O1471" t="s">
        <v>1517</v>
      </c>
      <c r="P1471" t="s">
        <v>2366</v>
      </c>
      <c r="Q1471" t="s">
        <v>2364</v>
      </c>
      <c r="R1471" t="s">
        <v>2364</v>
      </c>
      <c r="S1471" t="s">
        <v>1881</v>
      </c>
      <c r="T1471" t="s">
        <v>1812</v>
      </c>
      <c r="U1471" t="s">
        <v>2365</v>
      </c>
      <c r="V1471" t="s">
        <v>2365</v>
      </c>
      <c r="W1471" t="s">
        <v>2365</v>
      </c>
      <c r="X1471" t="s">
        <v>2365</v>
      </c>
      <c r="Y1471" t="s">
        <v>2365</v>
      </c>
      <c r="Z1471" t="s">
        <v>2365</v>
      </c>
      <c r="AA1471" t="s">
        <v>2365</v>
      </c>
      <c r="AB1471" t="s">
        <v>2365</v>
      </c>
      <c r="AC1471" s="813" t="s">
        <v>2365</v>
      </c>
      <c r="AD1471" s="813" t="s">
        <v>2365</v>
      </c>
      <c r="AE1471" s="813" t="s">
        <v>2365</v>
      </c>
      <c r="AF1471" t="s">
        <v>2365</v>
      </c>
      <c r="AG1471" t="s">
        <v>2365</v>
      </c>
      <c r="AH1471" t="s">
        <v>2365</v>
      </c>
      <c r="AI1471" t="s">
        <v>2365</v>
      </c>
      <c r="AJ1471" t="s">
        <v>2365</v>
      </c>
      <c r="AK1471" t="s">
        <v>2365</v>
      </c>
      <c r="AL1471" t="s">
        <v>2365</v>
      </c>
      <c r="AM1471" t="s">
        <v>2365</v>
      </c>
      <c r="AN1471" t="s">
        <v>2365</v>
      </c>
      <c r="AR1471" t="s">
        <v>2365</v>
      </c>
      <c r="AS1471" t="s">
        <v>2365</v>
      </c>
      <c r="AT1471" t="s">
        <v>2365</v>
      </c>
      <c r="AU1471" t="s">
        <v>2365</v>
      </c>
      <c r="AV1471" t="s">
        <v>2365</v>
      </c>
      <c r="AW1471" t="s">
        <v>2365</v>
      </c>
      <c r="AX1471" t="s">
        <v>2365</v>
      </c>
      <c r="AY1471" t="s">
        <v>2365</v>
      </c>
      <c r="AZ1471" t="s">
        <v>2365</v>
      </c>
      <c r="BA1471" t="s">
        <v>2365</v>
      </c>
      <c r="BB1471" t="s">
        <v>2365</v>
      </c>
      <c r="BC1471" t="s">
        <v>2365</v>
      </c>
      <c r="BD1471" t="s">
        <v>2366</v>
      </c>
      <c r="BE1471" t="s">
        <v>2365</v>
      </c>
      <c r="BF1471" t="s">
        <v>2365</v>
      </c>
      <c r="BG1471" t="s">
        <v>2365</v>
      </c>
      <c r="BH1471" t="s">
        <v>2365</v>
      </c>
      <c r="BI1471" t="s">
        <v>2366</v>
      </c>
      <c r="BJ1471" t="s">
        <v>2365</v>
      </c>
      <c r="BK1471" t="s">
        <v>2365</v>
      </c>
      <c r="BL1471" t="s">
        <v>2365</v>
      </c>
      <c r="BM1471" t="s">
        <v>2365</v>
      </c>
      <c r="BO1471">
        <v>9</v>
      </c>
      <c r="BP1471">
        <v>91</v>
      </c>
      <c r="BQ1471" t="s">
        <v>265</v>
      </c>
      <c r="BR1471" t="s">
        <v>1517</v>
      </c>
      <c r="BU1471">
        <v>0</v>
      </c>
      <c r="BV1471">
        <v>0</v>
      </c>
      <c r="BW1471">
        <v>0</v>
      </c>
      <c r="BX1471">
        <v>0</v>
      </c>
      <c r="BY1471">
        <v>0</v>
      </c>
      <c r="BZ1471">
        <v>0</v>
      </c>
      <c r="CA1471">
        <v>0</v>
      </c>
      <c r="CB1471">
        <v>0</v>
      </c>
      <c r="CC1471">
        <v>0</v>
      </c>
      <c r="CD1471">
        <v>0</v>
      </c>
      <c r="CE1471">
        <v>0</v>
      </c>
      <c r="CF1471">
        <v>0</v>
      </c>
      <c r="CG1471">
        <v>0</v>
      </c>
      <c r="CH1471">
        <v>0</v>
      </c>
      <c r="CI1471">
        <v>0</v>
      </c>
      <c r="CJ1471">
        <v>0</v>
      </c>
      <c r="CK1471">
        <v>0</v>
      </c>
      <c r="CL1471">
        <v>0</v>
      </c>
      <c r="CM1471">
        <v>0</v>
      </c>
      <c r="CR1471" t="s">
        <v>2328</v>
      </c>
      <c r="CS1471" s="1369" t="str">
        <f>INDEX([8]Sheet1!$H:$H,MATCH(CR:CR,[8]Sheet1!$AU:$AU,0))</f>
        <v>Water Distribution</v>
      </c>
    </row>
    <row r="1472" spans="1:97" x14ac:dyDescent="0.2">
      <c r="A1472" t="s">
        <v>4548</v>
      </c>
      <c r="B1472">
        <v>1561</v>
      </c>
      <c r="C1472" t="s">
        <v>4548</v>
      </c>
      <c r="D1472">
        <v>54429</v>
      </c>
      <c r="E1472" t="s">
        <v>2504</v>
      </c>
      <c r="F1472">
        <v>2900</v>
      </c>
      <c r="G1472" t="s">
        <v>569</v>
      </c>
      <c r="H1472" t="s">
        <v>2366</v>
      </c>
      <c r="I1472" t="s">
        <v>2366</v>
      </c>
      <c r="J1472">
        <v>2904</v>
      </c>
      <c r="K1472" t="s">
        <v>1432</v>
      </c>
      <c r="L1472">
        <v>2200</v>
      </c>
      <c r="M1472" t="s">
        <v>619</v>
      </c>
      <c r="N1472">
        <v>2205</v>
      </c>
      <c r="O1472" t="s">
        <v>1517</v>
      </c>
      <c r="P1472" t="s">
        <v>2366</v>
      </c>
      <c r="Q1472" t="s">
        <v>2364</v>
      </c>
      <c r="R1472" t="s">
        <v>2364</v>
      </c>
      <c r="S1472" t="s">
        <v>1881</v>
      </c>
      <c r="T1472" t="s">
        <v>1812</v>
      </c>
      <c r="U1472" t="s">
        <v>2365</v>
      </c>
      <c r="V1472" t="s">
        <v>2365</v>
      </c>
      <c r="W1472" t="s">
        <v>2365</v>
      </c>
      <c r="X1472" t="s">
        <v>2365</v>
      </c>
      <c r="Y1472" t="s">
        <v>2365</v>
      </c>
      <c r="Z1472" t="s">
        <v>2365</v>
      </c>
      <c r="AA1472" t="s">
        <v>2365</v>
      </c>
      <c r="AB1472" t="s">
        <v>2365</v>
      </c>
      <c r="AC1472" s="813" t="s">
        <v>2365</v>
      </c>
      <c r="AD1472" s="813" t="s">
        <v>2365</v>
      </c>
      <c r="AE1472" s="813" t="s">
        <v>2365</v>
      </c>
      <c r="AF1472" t="s">
        <v>2365</v>
      </c>
      <c r="AG1472" t="s">
        <v>2365</v>
      </c>
      <c r="AH1472" t="s">
        <v>2365</v>
      </c>
      <c r="AI1472" t="s">
        <v>2365</v>
      </c>
      <c r="AJ1472" t="s">
        <v>2365</v>
      </c>
      <c r="AK1472" t="s">
        <v>2365</v>
      </c>
      <c r="AL1472" t="s">
        <v>2365</v>
      </c>
      <c r="AM1472" t="s">
        <v>2365</v>
      </c>
      <c r="AN1472" t="s">
        <v>2365</v>
      </c>
      <c r="AR1472" t="s">
        <v>2365</v>
      </c>
      <c r="AS1472" t="s">
        <v>2365</v>
      </c>
      <c r="AT1472" t="s">
        <v>2365</v>
      </c>
      <c r="AU1472" t="s">
        <v>2365</v>
      </c>
      <c r="AV1472" t="s">
        <v>2365</v>
      </c>
      <c r="AW1472" t="s">
        <v>2365</v>
      </c>
      <c r="AX1472" t="s">
        <v>2365</v>
      </c>
      <c r="AY1472" t="s">
        <v>2365</v>
      </c>
      <c r="AZ1472" t="s">
        <v>2365</v>
      </c>
      <c r="BA1472" t="s">
        <v>2365</v>
      </c>
      <c r="BB1472" t="s">
        <v>2365</v>
      </c>
      <c r="BC1472" t="s">
        <v>2365</v>
      </c>
      <c r="BD1472" t="s">
        <v>2366</v>
      </c>
      <c r="BE1472" t="s">
        <v>2365</v>
      </c>
      <c r="BF1472" t="s">
        <v>2365</v>
      </c>
      <c r="BG1472" t="s">
        <v>2365</v>
      </c>
      <c r="BH1472" t="s">
        <v>2365</v>
      </c>
      <c r="BI1472" t="s">
        <v>2366</v>
      </c>
      <c r="BJ1472" t="s">
        <v>2365</v>
      </c>
      <c r="BK1472" t="s">
        <v>2365</v>
      </c>
      <c r="BL1472" t="s">
        <v>2365</v>
      </c>
      <c r="BM1472" t="s">
        <v>2365</v>
      </c>
      <c r="BO1472">
        <v>9</v>
      </c>
      <c r="BP1472">
        <v>91</v>
      </c>
      <c r="BQ1472" t="s">
        <v>265</v>
      </c>
      <c r="BR1472" t="s">
        <v>1517</v>
      </c>
      <c r="BU1472">
        <v>0</v>
      </c>
      <c r="BV1472">
        <v>0</v>
      </c>
      <c r="BW1472" s="1371">
        <v>0</v>
      </c>
      <c r="BX1472" s="1372">
        <v>0</v>
      </c>
      <c r="BY1472">
        <v>0</v>
      </c>
      <c r="BZ1472">
        <v>0</v>
      </c>
      <c r="CA1472">
        <v>0</v>
      </c>
      <c r="CB1472">
        <v>0</v>
      </c>
      <c r="CC1472">
        <v>0</v>
      </c>
      <c r="CD1472">
        <v>0</v>
      </c>
      <c r="CE1472">
        <v>0</v>
      </c>
      <c r="CF1472">
        <v>0</v>
      </c>
      <c r="CG1472">
        <v>0</v>
      </c>
      <c r="CH1472">
        <v>0</v>
      </c>
      <c r="CI1472">
        <v>0</v>
      </c>
      <c r="CJ1472">
        <v>0</v>
      </c>
      <c r="CK1472">
        <v>0</v>
      </c>
      <c r="CL1472">
        <v>0</v>
      </c>
      <c r="CM1472">
        <v>0</v>
      </c>
      <c r="CR1472" t="s">
        <v>2324</v>
      </c>
      <c r="CS1472" s="1369" t="str">
        <f>INDEX([8]Sheet1!$H:$H,MATCH(CR:CR,[8]Sheet1!$AU:$AU,0))</f>
        <v>Finance</v>
      </c>
    </row>
    <row r="1473" spans="1:97" x14ac:dyDescent="0.2">
      <c r="A1473" t="s">
        <v>4549</v>
      </c>
      <c r="B1473">
        <v>1562</v>
      </c>
      <c r="C1473" t="s">
        <v>4549</v>
      </c>
      <c r="D1473">
        <v>54430</v>
      </c>
      <c r="E1473" t="s">
        <v>2508</v>
      </c>
      <c r="F1473">
        <v>2900</v>
      </c>
      <c r="G1473" t="s">
        <v>569</v>
      </c>
      <c r="H1473" t="s">
        <v>2366</v>
      </c>
      <c r="I1473" t="s">
        <v>2366</v>
      </c>
      <c r="J1473">
        <v>2904</v>
      </c>
      <c r="K1473" t="s">
        <v>1432</v>
      </c>
      <c r="L1473">
        <v>2200</v>
      </c>
      <c r="M1473" t="s">
        <v>619</v>
      </c>
      <c r="N1473">
        <v>2205</v>
      </c>
      <c r="O1473" t="s">
        <v>1517</v>
      </c>
      <c r="P1473" t="s">
        <v>2366</v>
      </c>
      <c r="Q1473" t="s">
        <v>2364</v>
      </c>
      <c r="R1473" t="s">
        <v>2364</v>
      </c>
      <c r="S1473" t="s">
        <v>1881</v>
      </c>
      <c r="T1473" t="s">
        <v>1812</v>
      </c>
      <c r="U1473" t="s">
        <v>2365</v>
      </c>
      <c r="V1473" t="s">
        <v>2365</v>
      </c>
      <c r="W1473" t="s">
        <v>2365</v>
      </c>
      <c r="X1473" t="s">
        <v>2365</v>
      </c>
      <c r="Y1473" t="s">
        <v>2365</v>
      </c>
      <c r="Z1473" t="s">
        <v>2365</v>
      </c>
      <c r="AA1473" t="s">
        <v>2365</v>
      </c>
      <c r="AB1473" t="s">
        <v>2365</v>
      </c>
      <c r="AC1473" s="813" t="s">
        <v>2365</v>
      </c>
      <c r="AD1473" s="813" t="s">
        <v>2365</v>
      </c>
      <c r="AE1473" s="813" t="s">
        <v>2365</v>
      </c>
      <c r="AF1473" t="s">
        <v>2365</v>
      </c>
      <c r="AG1473" t="s">
        <v>2365</v>
      </c>
      <c r="AH1473" t="s">
        <v>2365</v>
      </c>
      <c r="AI1473" t="s">
        <v>2365</v>
      </c>
      <c r="AJ1473" t="s">
        <v>2365</v>
      </c>
      <c r="AK1473" t="s">
        <v>2365</v>
      </c>
      <c r="AL1473" t="s">
        <v>2365</v>
      </c>
      <c r="AM1473" t="s">
        <v>2365</v>
      </c>
      <c r="AN1473" t="s">
        <v>2365</v>
      </c>
      <c r="AR1473" t="s">
        <v>2365</v>
      </c>
      <c r="AS1473" t="s">
        <v>2365</v>
      </c>
      <c r="AT1473" t="s">
        <v>2365</v>
      </c>
      <c r="AU1473" t="s">
        <v>2365</v>
      </c>
      <c r="AV1473" t="s">
        <v>2365</v>
      </c>
      <c r="AW1473" t="s">
        <v>2365</v>
      </c>
      <c r="AX1473" t="s">
        <v>2365</v>
      </c>
      <c r="AY1473" t="s">
        <v>2365</v>
      </c>
      <c r="AZ1473" t="s">
        <v>2365</v>
      </c>
      <c r="BA1473" t="s">
        <v>2365</v>
      </c>
      <c r="BB1473" t="s">
        <v>2365</v>
      </c>
      <c r="BC1473" t="s">
        <v>2365</v>
      </c>
      <c r="BD1473" t="s">
        <v>2366</v>
      </c>
      <c r="BE1473" t="s">
        <v>2365</v>
      </c>
      <c r="BF1473" t="s">
        <v>2365</v>
      </c>
      <c r="BG1473" t="s">
        <v>2365</v>
      </c>
      <c r="BH1473" t="s">
        <v>2365</v>
      </c>
      <c r="BI1473" t="s">
        <v>2366</v>
      </c>
      <c r="BJ1473" t="s">
        <v>2365</v>
      </c>
      <c r="BK1473" t="s">
        <v>2365</v>
      </c>
      <c r="BL1473" t="s">
        <v>2365</v>
      </c>
      <c r="BM1473" t="s">
        <v>2365</v>
      </c>
      <c r="BO1473">
        <v>9</v>
      </c>
      <c r="BP1473">
        <v>91</v>
      </c>
      <c r="BQ1473" t="s">
        <v>265</v>
      </c>
      <c r="BR1473" t="s">
        <v>1517</v>
      </c>
      <c r="BU1473">
        <v>120000</v>
      </c>
      <c r="BV1473">
        <v>0</v>
      </c>
      <c r="BW1473" s="1371">
        <v>120000</v>
      </c>
      <c r="BX1473" s="1372">
        <v>-120000</v>
      </c>
      <c r="BY1473">
        <v>0</v>
      </c>
      <c r="BZ1473">
        <v>127200</v>
      </c>
      <c r="CA1473">
        <v>134832</v>
      </c>
      <c r="CB1473">
        <v>0</v>
      </c>
      <c r="CC1473">
        <v>0</v>
      </c>
      <c r="CD1473">
        <v>0</v>
      </c>
      <c r="CE1473">
        <v>0</v>
      </c>
      <c r="CF1473">
        <v>65100</v>
      </c>
      <c r="CG1473">
        <v>0</v>
      </c>
      <c r="CH1473">
        <v>0</v>
      </c>
      <c r="CI1473">
        <v>0</v>
      </c>
      <c r="CJ1473">
        <v>0</v>
      </c>
      <c r="CK1473">
        <v>0</v>
      </c>
      <c r="CL1473">
        <v>0</v>
      </c>
      <c r="CM1473">
        <v>0</v>
      </c>
      <c r="CR1473" t="s">
        <v>2324</v>
      </c>
      <c r="CS1473" s="1369" t="str">
        <f>INDEX([8]Sheet1!$H:$H,MATCH(CR:CR,[8]Sheet1!$AU:$AU,0))</f>
        <v>Finance</v>
      </c>
    </row>
    <row r="1474" spans="1:97" x14ac:dyDescent="0.2">
      <c r="A1474" t="s">
        <v>4550</v>
      </c>
      <c r="B1474">
        <v>1563</v>
      </c>
      <c r="C1474" t="s">
        <v>4550</v>
      </c>
      <c r="D1474">
        <v>54431</v>
      </c>
      <c r="E1474" t="s">
        <v>2516</v>
      </c>
      <c r="F1474">
        <v>2900</v>
      </c>
      <c r="G1474" t="s">
        <v>569</v>
      </c>
      <c r="H1474" t="s">
        <v>2366</v>
      </c>
      <c r="I1474" t="s">
        <v>2366</v>
      </c>
      <c r="J1474">
        <v>2904</v>
      </c>
      <c r="K1474" t="s">
        <v>1432</v>
      </c>
      <c r="L1474">
        <v>2100</v>
      </c>
      <c r="M1474" t="s">
        <v>618</v>
      </c>
      <c r="N1474">
        <v>2112</v>
      </c>
      <c r="O1474" t="s">
        <v>1504</v>
      </c>
      <c r="P1474" t="s">
        <v>2366</v>
      </c>
      <c r="Q1474" t="s">
        <v>2364</v>
      </c>
      <c r="R1474" t="s">
        <v>2364</v>
      </c>
      <c r="S1474" t="s">
        <v>1881</v>
      </c>
      <c r="T1474" t="s">
        <v>1812</v>
      </c>
      <c r="U1474" t="s">
        <v>2365</v>
      </c>
      <c r="V1474" t="s">
        <v>2365</v>
      </c>
      <c r="W1474" t="s">
        <v>2365</v>
      </c>
      <c r="X1474" t="s">
        <v>2365</v>
      </c>
      <c r="Y1474" t="s">
        <v>2365</v>
      </c>
      <c r="Z1474" t="s">
        <v>2365</v>
      </c>
      <c r="AA1474" t="s">
        <v>2365</v>
      </c>
      <c r="AB1474" t="s">
        <v>2365</v>
      </c>
      <c r="AC1474" s="813" t="s">
        <v>2365</v>
      </c>
      <c r="AD1474" s="813" t="s">
        <v>2365</v>
      </c>
      <c r="AE1474" s="813" t="s">
        <v>2365</v>
      </c>
      <c r="AF1474" t="s">
        <v>2365</v>
      </c>
      <c r="AG1474" t="s">
        <v>2365</v>
      </c>
      <c r="AH1474" t="s">
        <v>2365</v>
      </c>
      <c r="AI1474" t="s">
        <v>2365</v>
      </c>
      <c r="AJ1474" t="s">
        <v>2365</v>
      </c>
      <c r="AK1474" t="s">
        <v>2365</v>
      </c>
      <c r="AL1474" t="s">
        <v>2365</v>
      </c>
      <c r="AM1474" t="s">
        <v>2365</v>
      </c>
      <c r="AN1474" t="s">
        <v>2365</v>
      </c>
      <c r="AR1474" t="s">
        <v>2365</v>
      </c>
      <c r="AS1474" t="s">
        <v>2365</v>
      </c>
      <c r="AT1474" t="s">
        <v>2365</v>
      </c>
      <c r="AU1474" t="s">
        <v>2365</v>
      </c>
      <c r="AV1474" t="s">
        <v>2365</v>
      </c>
      <c r="AW1474" t="s">
        <v>2365</v>
      </c>
      <c r="AX1474" t="s">
        <v>2365</v>
      </c>
      <c r="AY1474" t="s">
        <v>2365</v>
      </c>
      <c r="AZ1474" t="s">
        <v>2365</v>
      </c>
      <c r="BA1474" t="s">
        <v>2365</v>
      </c>
      <c r="BB1474" t="s">
        <v>2365</v>
      </c>
      <c r="BC1474" t="s">
        <v>2365</v>
      </c>
      <c r="BD1474" t="s">
        <v>2366</v>
      </c>
      <c r="BE1474" t="s">
        <v>2365</v>
      </c>
      <c r="BF1474" t="s">
        <v>2365</v>
      </c>
      <c r="BG1474" t="s">
        <v>2365</v>
      </c>
      <c r="BH1474" t="s">
        <v>2365</v>
      </c>
      <c r="BI1474" t="s">
        <v>2366</v>
      </c>
      <c r="BJ1474" t="s">
        <v>2365</v>
      </c>
      <c r="BK1474" t="s">
        <v>2365</v>
      </c>
      <c r="BL1474" t="s">
        <v>2365</v>
      </c>
      <c r="BM1474" t="s">
        <v>2365</v>
      </c>
      <c r="BO1474">
        <v>4</v>
      </c>
      <c r="BP1474">
        <v>46</v>
      </c>
      <c r="BQ1474" t="s">
        <v>2433</v>
      </c>
      <c r="BR1474" t="s">
        <v>1504</v>
      </c>
      <c r="BU1474">
        <v>20000</v>
      </c>
      <c r="BV1474">
        <v>0</v>
      </c>
      <c r="BW1474" s="1371">
        <v>20000</v>
      </c>
      <c r="BX1474" s="1372">
        <v>0</v>
      </c>
      <c r="BY1474">
        <v>20000</v>
      </c>
      <c r="BZ1474">
        <v>21200</v>
      </c>
      <c r="CA1474">
        <v>22472</v>
      </c>
      <c r="CB1474">
        <v>0</v>
      </c>
      <c r="CC1474">
        <v>0</v>
      </c>
      <c r="CD1474">
        <v>0</v>
      </c>
      <c r="CE1474">
        <v>0</v>
      </c>
      <c r="CF1474">
        <v>0</v>
      </c>
      <c r="CG1474">
        <v>0</v>
      </c>
      <c r="CH1474">
        <v>0</v>
      </c>
      <c r="CI1474">
        <v>0</v>
      </c>
      <c r="CJ1474">
        <v>0</v>
      </c>
      <c r="CK1474">
        <v>0</v>
      </c>
      <c r="CL1474">
        <v>0</v>
      </c>
      <c r="CM1474">
        <v>0</v>
      </c>
      <c r="CR1474" t="s">
        <v>2324</v>
      </c>
      <c r="CS1474" s="1369" t="str">
        <f>INDEX([8]Sheet1!$H:$H,MATCH(CR:CR,[8]Sheet1!$AU:$AU,0))</f>
        <v>Finance</v>
      </c>
    </row>
    <row r="1475" spans="1:97" x14ac:dyDescent="0.2">
      <c r="A1475" t="s">
        <v>4551</v>
      </c>
      <c r="B1475">
        <v>1564</v>
      </c>
      <c r="C1475" t="s">
        <v>4551</v>
      </c>
      <c r="D1475">
        <v>54432</v>
      </c>
      <c r="E1475" t="s">
        <v>2455</v>
      </c>
      <c r="F1475">
        <v>2900</v>
      </c>
      <c r="G1475" t="s">
        <v>569</v>
      </c>
      <c r="H1475" t="s">
        <v>2366</v>
      </c>
      <c r="I1475" t="s">
        <v>2366</v>
      </c>
      <c r="J1475">
        <v>2904</v>
      </c>
      <c r="K1475" t="s">
        <v>1432</v>
      </c>
      <c r="L1475">
        <v>2100</v>
      </c>
      <c r="M1475" t="s">
        <v>618</v>
      </c>
      <c r="N1475">
        <v>2112</v>
      </c>
      <c r="O1475" t="s">
        <v>1504</v>
      </c>
      <c r="P1475" t="s">
        <v>2366</v>
      </c>
      <c r="Q1475" t="s">
        <v>2364</v>
      </c>
      <c r="R1475" t="s">
        <v>2364</v>
      </c>
      <c r="S1475" t="s">
        <v>1881</v>
      </c>
      <c r="T1475" t="s">
        <v>1812</v>
      </c>
      <c r="U1475" t="s">
        <v>2365</v>
      </c>
      <c r="V1475" t="s">
        <v>2365</v>
      </c>
      <c r="W1475" t="s">
        <v>2365</v>
      </c>
      <c r="X1475" t="s">
        <v>2365</v>
      </c>
      <c r="Y1475" t="s">
        <v>2365</v>
      </c>
      <c r="Z1475" t="s">
        <v>2365</v>
      </c>
      <c r="AA1475" t="s">
        <v>2365</v>
      </c>
      <c r="AB1475" t="s">
        <v>2365</v>
      </c>
      <c r="AC1475" s="813" t="s">
        <v>2365</v>
      </c>
      <c r="AD1475" s="813" t="s">
        <v>2365</v>
      </c>
      <c r="AE1475" s="813" t="s">
        <v>2365</v>
      </c>
      <c r="AF1475" t="s">
        <v>2365</v>
      </c>
      <c r="AG1475" t="s">
        <v>2365</v>
      </c>
      <c r="AH1475" t="s">
        <v>2365</v>
      </c>
      <c r="AI1475" t="s">
        <v>2365</v>
      </c>
      <c r="AJ1475" t="s">
        <v>2365</v>
      </c>
      <c r="AK1475" t="s">
        <v>2365</v>
      </c>
      <c r="AL1475" t="s">
        <v>2365</v>
      </c>
      <c r="AM1475" t="s">
        <v>2365</v>
      </c>
      <c r="AN1475" t="s">
        <v>2365</v>
      </c>
      <c r="AR1475" t="s">
        <v>2365</v>
      </c>
      <c r="AS1475" t="s">
        <v>2365</v>
      </c>
      <c r="AT1475" t="s">
        <v>2365</v>
      </c>
      <c r="AU1475" t="s">
        <v>2365</v>
      </c>
      <c r="AV1475" t="s">
        <v>2365</v>
      </c>
      <c r="AW1475" t="s">
        <v>2365</v>
      </c>
      <c r="AX1475" t="s">
        <v>2365</v>
      </c>
      <c r="AY1475" t="s">
        <v>2365</v>
      </c>
      <c r="AZ1475" t="s">
        <v>2365</v>
      </c>
      <c r="BA1475" t="s">
        <v>2365</v>
      </c>
      <c r="BB1475" t="s">
        <v>2365</v>
      </c>
      <c r="BC1475" t="s">
        <v>2365</v>
      </c>
      <c r="BD1475" t="s">
        <v>2366</v>
      </c>
      <c r="BE1475" t="s">
        <v>2365</v>
      </c>
      <c r="BF1475" t="s">
        <v>2365</v>
      </c>
      <c r="BG1475" t="s">
        <v>2365</v>
      </c>
      <c r="BH1475" t="s">
        <v>2365</v>
      </c>
      <c r="BI1475" t="s">
        <v>2366</v>
      </c>
      <c r="BJ1475" t="s">
        <v>2365</v>
      </c>
      <c r="BK1475" t="s">
        <v>2365</v>
      </c>
      <c r="BL1475" t="s">
        <v>2365</v>
      </c>
      <c r="BM1475" t="s">
        <v>2365</v>
      </c>
      <c r="BO1475">
        <v>4</v>
      </c>
      <c r="BP1475">
        <v>46</v>
      </c>
      <c r="BQ1475" t="s">
        <v>2433</v>
      </c>
      <c r="BR1475" t="s">
        <v>1504</v>
      </c>
      <c r="BU1475">
        <v>60000</v>
      </c>
      <c r="BV1475">
        <v>0</v>
      </c>
      <c r="BW1475" s="1371">
        <v>60000</v>
      </c>
      <c r="BX1475" s="1372">
        <v>0</v>
      </c>
      <c r="BY1475">
        <v>60000</v>
      </c>
      <c r="BZ1475">
        <v>63600</v>
      </c>
      <c r="CA1475">
        <v>67416</v>
      </c>
      <c r="CB1475">
        <v>0</v>
      </c>
      <c r="CC1475">
        <v>0</v>
      </c>
      <c r="CD1475">
        <v>0</v>
      </c>
      <c r="CE1475">
        <v>0</v>
      </c>
      <c r="CF1475">
        <v>0</v>
      </c>
      <c r="CG1475">
        <v>0</v>
      </c>
      <c r="CH1475">
        <v>0</v>
      </c>
      <c r="CI1475">
        <v>0</v>
      </c>
      <c r="CJ1475">
        <v>0</v>
      </c>
      <c r="CK1475">
        <v>0</v>
      </c>
      <c r="CL1475">
        <v>0</v>
      </c>
      <c r="CM1475">
        <v>0</v>
      </c>
      <c r="CR1475" t="s">
        <v>2324</v>
      </c>
      <c r="CS1475" s="1369" t="str">
        <f>INDEX([8]Sheet1!$H:$H,MATCH(CR:CR,[8]Sheet1!$AU:$AU,0))</f>
        <v>Finance</v>
      </c>
    </row>
    <row r="1476" spans="1:97" x14ac:dyDescent="0.2">
      <c r="A1476" t="s">
        <v>4552</v>
      </c>
      <c r="B1476">
        <v>1565</v>
      </c>
      <c r="C1476" t="s">
        <v>4552</v>
      </c>
      <c r="D1476">
        <v>54433</v>
      </c>
      <c r="E1476" t="s">
        <v>3010</v>
      </c>
      <c r="F1476">
        <v>2700</v>
      </c>
      <c r="G1476" t="s">
        <v>656</v>
      </c>
      <c r="H1476" t="s">
        <v>2428</v>
      </c>
      <c r="I1476" t="s">
        <v>1800</v>
      </c>
      <c r="J1476">
        <v>2701</v>
      </c>
      <c r="K1476" t="s">
        <v>1800</v>
      </c>
      <c r="L1476">
        <v>2100</v>
      </c>
      <c r="M1476" t="s">
        <v>618</v>
      </c>
      <c r="N1476">
        <v>2112</v>
      </c>
      <c r="O1476" t="s">
        <v>1504</v>
      </c>
      <c r="P1476" t="s">
        <v>2366</v>
      </c>
      <c r="Q1476" t="s">
        <v>2364</v>
      </c>
      <c r="R1476" t="s">
        <v>2364</v>
      </c>
      <c r="S1476" t="s">
        <v>1881</v>
      </c>
      <c r="T1476" t="s">
        <v>1812</v>
      </c>
      <c r="U1476" t="s">
        <v>2365</v>
      </c>
      <c r="V1476" t="s">
        <v>2365</v>
      </c>
      <c r="W1476" t="s">
        <v>2365</v>
      </c>
      <c r="X1476" t="s">
        <v>2365</v>
      </c>
      <c r="Y1476" t="s">
        <v>2365</v>
      </c>
      <c r="Z1476" t="s">
        <v>2365</v>
      </c>
      <c r="AA1476" t="s">
        <v>2365</v>
      </c>
      <c r="AB1476" t="s">
        <v>2365</v>
      </c>
      <c r="AC1476" s="813" t="s">
        <v>2365</v>
      </c>
      <c r="AD1476" s="813" t="s">
        <v>2365</v>
      </c>
      <c r="AE1476" s="813" t="s">
        <v>2365</v>
      </c>
      <c r="AF1476" t="s">
        <v>2365</v>
      </c>
      <c r="AG1476" t="s">
        <v>2365</v>
      </c>
      <c r="AH1476" t="s">
        <v>2365</v>
      </c>
      <c r="AI1476" t="s">
        <v>2365</v>
      </c>
      <c r="AJ1476" t="s">
        <v>2365</v>
      </c>
      <c r="AK1476" t="s">
        <v>2365</v>
      </c>
      <c r="AL1476" t="s">
        <v>2365</v>
      </c>
      <c r="AM1476" t="s">
        <v>2365</v>
      </c>
      <c r="AN1476" t="s">
        <v>2365</v>
      </c>
      <c r="AR1476" t="s">
        <v>2365</v>
      </c>
      <c r="AS1476" t="s">
        <v>2365</v>
      </c>
      <c r="AT1476" t="s">
        <v>2365</v>
      </c>
      <c r="AU1476" t="s">
        <v>2365</v>
      </c>
      <c r="AV1476" t="s">
        <v>2365</v>
      </c>
      <c r="AW1476" t="s">
        <v>2365</v>
      </c>
      <c r="AX1476" t="s">
        <v>2365</v>
      </c>
      <c r="AY1476" t="s">
        <v>2365</v>
      </c>
      <c r="AZ1476" t="s">
        <v>2365</v>
      </c>
      <c r="BA1476" t="s">
        <v>2365</v>
      </c>
      <c r="BB1476" t="s">
        <v>2365</v>
      </c>
      <c r="BC1476" t="s">
        <v>2365</v>
      </c>
      <c r="BD1476" t="s">
        <v>2366</v>
      </c>
      <c r="BE1476" t="s">
        <v>2365</v>
      </c>
      <c r="BF1476" t="s">
        <v>2365</v>
      </c>
      <c r="BG1476" t="s">
        <v>2365</v>
      </c>
      <c r="BH1476" t="s">
        <v>2365</v>
      </c>
      <c r="BI1476" t="s">
        <v>2366</v>
      </c>
      <c r="BJ1476" t="s">
        <v>2365</v>
      </c>
      <c r="BK1476" t="s">
        <v>2365</v>
      </c>
      <c r="BL1476" t="s">
        <v>2365</v>
      </c>
      <c r="BM1476" t="s">
        <v>2365</v>
      </c>
      <c r="BO1476">
        <v>4</v>
      </c>
      <c r="BP1476">
        <v>46</v>
      </c>
      <c r="BQ1476" t="s">
        <v>2433</v>
      </c>
      <c r="BR1476" t="s">
        <v>1504</v>
      </c>
      <c r="BU1476">
        <v>30000</v>
      </c>
      <c r="BV1476">
        <v>0</v>
      </c>
      <c r="BW1476">
        <v>30000</v>
      </c>
      <c r="BX1476">
        <v>0</v>
      </c>
      <c r="BY1476">
        <v>30000</v>
      </c>
      <c r="BZ1476">
        <v>31800</v>
      </c>
      <c r="CA1476">
        <v>33708</v>
      </c>
      <c r="CB1476">
        <v>0</v>
      </c>
      <c r="CC1476">
        <v>0</v>
      </c>
      <c r="CD1476">
        <v>0</v>
      </c>
      <c r="CE1476">
        <v>0</v>
      </c>
      <c r="CF1476">
        <v>0</v>
      </c>
      <c r="CG1476">
        <v>0</v>
      </c>
      <c r="CH1476">
        <v>0</v>
      </c>
      <c r="CI1476">
        <v>0</v>
      </c>
      <c r="CJ1476">
        <v>0</v>
      </c>
      <c r="CK1476">
        <v>0</v>
      </c>
      <c r="CL1476">
        <v>0</v>
      </c>
      <c r="CM1476">
        <v>0</v>
      </c>
      <c r="CR1476" t="s">
        <v>2324</v>
      </c>
      <c r="CS1476" s="1369" t="str">
        <f>INDEX([8]Sheet1!$H:$H,MATCH(CR:CR,[8]Sheet1!$AU:$AU,0))</f>
        <v>Finance</v>
      </c>
    </row>
    <row r="1477" spans="1:97" x14ac:dyDescent="0.2">
      <c r="A1477" t="s">
        <v>4553</v>
      </c>
      <c r="B1477">
        <v>1566</v>
      </c>
      <c r="C1477" t="s">
        <v>4553</v>
      </c>
      <c r="D1477">
        <v>54434</v>
      </c>
      <c r="E1477" t="s">
        <v>2455</v>
      </c>
      <c r="F1477">
        <v>2900</v>
      </c>
      <c r="G1477" t="s">
        <v>569</v>
      </c>
      <c r="H1477" t="s">
        <v>2366</v>
      </c>
      <c r="I1477" t="s">
        <v>2366</v>
      </c>
      <c r="J1477">
        <v>2904</v>
      </c>
      <c r="K1477" t="s">
        <v>1432</v>
      </c>
      <c r="L1477">
        <v>2100</v>
      </c>
      <c r="M1477" t="s">
        <v>618</v>
      </c>
      <c r="N1477">
        <v>2118</v>
      </c>
      <c r="O1477" t="s">
        <v>1509</v>
      </c>
      <c r="P1477" t="s">
        <v>2366</v>
      </c>
      <c r="Q1477" t="s">
        <v>2364</v>
      </c>
      <c r="R1477" t="s">
        <v>2364</v>
      </c>
      <c r="S1477" t="s">
        <v>1881</v>
      </c>
      <c r="T1477" t="s">
        <v>1812</v>
      </c>
      <c r="U1477" t="s">
        <v>2365</v>
      </c>
      <c r="V1477" t="s">
        <v>2365</v>
      </c>
      <c r="W1477" t="s">
        <v>2365</v>
      </c>
      <c r="X1477" t="s">
        <v>2365</v>
      </c>
      <c r="Y1477" t="s">
        <v>2365</v>
      </c>
      <c r="Z1477" t="s">
        <v>2365</v>
      </c>
      <c r="AA1477" t="s">
        <v>2365</v>
      </c>
      <c r="AB1477" t="s">
        <v>2365</v>
      </c>
      <c r="AC1477" s="813" t="s">
        <v>2365</v>
      </c>
      <c r="AD1477" s="813" t="s">
        <v>2365</v>
      </c>
      <c r="AE1477" s="813" t="s">
        <v>2365</v>
      </c>
      <c r="AF1477" t="s">
        <v>2365</v>
      </c>
      <c r="AG1477" t="s">
        <v>2365</v>
      </c>
      <c r="AH1477" t="s">
        <v>2365</v>
      </c>
      <c r="AI1477" t="s">
        <v>2365</v>
      </c>
      <c r="AJ1477" t="s">
        <v>2365</v>
      </c>
      <c r="AK1477" t="s">
        <v>2365</v>
      </c>
      <c r="AL1477" t="s">
        <v>2365</v>
      </c>
      <c r="AM1477" t="s">
        <v>2365</v>
      </c>
      <c r="AN1477" t="s">
        <v>2365</v>
      </c>
      <c r="AR1477" t="s">
        <v>2365</v>
      </c>
      <c r="AS1477" t="s">
        <v>2365</v>
      </c>
      <c r="AT1477" t="s">
        <v>2365</v>
      </c>
      <c r="AU1477" t="s">
        <v>2365</v>
      </c>
      <c r="AV1477" t="s">
        <v>2365</v>
      </c>
      <c r="AW1477" t="s">
        <v>2365</v>
      </c>
      <c r="AX1477" t="s">
        <v>2365</v>
      </c>
      <c r="AY1477" t="s">
        <v>2365</v>
      </c>
      <c r="AZ1477" t="s">
        <v>2365</v>
      </c>
      <c r="BA1477" t="s">
        <v>2365</v>
      </c>
      <c r="BB1477" t="s">
        <v>2365</v>
      </c>
      <c r="BC1477" t="s">
        <v>2365</v>
      </c>
      <c r="BD1477" t="s">
        <v>2366</v>
      </c>
      <c r="BE1477" t="s">
        <v>2365</v>
      </c>
      <c r="BF1477" t="s">
        <v>2365</v>
      </c>
      <c r="BG1477" t="s">
        <v>2365</v>
      </c>
      <c r="BH1477" t="s">
        <v>2365</v>
      </c>
      <c r="BI1477" t="s">
        <v>2366</v>
      </c>
      <c r="BJ1477" t="s">
        <v>2365</v>
      </c>
      <c r="BK1477" t="s">
        <v>2365</v>
      </c>
      <c r="BL1477" t="s">
        <v>2365</v>
      </c>
      <c r="BM1477" t="s">
        <v>2365</v>
      </c>
      <c r="BO1477">
        <v>4</v>
      </c>
      <c r="BP1477">
        <v>43</v>
      </c>
      <c r="BQ1477" t="s">
        <v>2433</v>
      </c>
      <c r="BR1477" t="s">
        <v>1509</v>
      </c>
      <c r="BU1477">
        <v>0</v>
      </c>
      <c r="BV1477">
        <v>0</v>
      </c>
      <c r="BW1477">
        <v>0</v>
      </c>
      <c r="BX1477">
        <v>0</v>
      </c>
      <c r="BY1477">
        <v>0</v>
      </c>
      <c r="BZ1477">
        <v>0</v>
      </c>
      <c r="CA1477">
        <v>0</v>
      </c>
      <c r="CB1477">
        <v>0</v>
      </c>
      <c r="CC1477">
        <v>0</v>
      </c>
      <c r="CD1477">
        <v>0</v>
      </c>
      <c r="CE1477">
        <v>0</v>
      </c>
      <c r="CF1477">
        <v>0</v>
      </c>
      <c r="CG1477">
        <v>0</v>
      </c>
      <c r="CH1477">
        <v>0</v>
      </c>
      <c r="CI1477">
        <v>0</v>
      </c>
      <c r="CJ1477">
        <v>0</v>
      </c>
      <c r="CK1477">
        <v>0</v>
      </c>
      <c r="CL1477">
        <v>0</v>
      </c>
      <c r="CM1477">
        <v>0</v>
      </c>
      <c r="CR1477" t="s">
        <v>2324</v>
      </c>
      <c r="CS1477" s="1369" t="str">
        <f>INDEX([8]Sheet1!$H:$H,MATCH(CR:CR,[8]Sheet1!$AU:$AU,0))</f>
        <v>Finance</v>
      </c>
    </row>
    <row r="1478" spans="1:97" x14ac:dyDescent="0.2">
      <c r="A1478" t="s">
        <v>4554</v>
      </c>
      <c r="B1478">
        <v>1567</v>
      </c>
      <c r="C1478" t="s">
        <v>4554</v>
      </c>
      <c r="D1478">
        <v>54435</v>
      </c>
      <c r="E1478" t="s">
        <v>2430</v>
      </c>
      <c r="F1478">
        <v>2700</v>
      </c>
      <c r="G1478" t="s">
        <v>656</v>
      </c>
      <c r="H1478" t="s">
        <v>2428</v>
      </c>
      <c r="I1478" t="s">
        <v>1800</v>
      </c>
      <c r="J1478">
        <v>2701</v>
      </c>
      <c r="K1478" t="s">
        <v>1800</v>
      </c>
      <c r="L1478">
        <v>2100</v>
      </c>
      <c r="M1478" t="s">
        <v>618</v>
      </c>
      <c r="N1478">
        <v>2118</v>
      </c>
      <c r="O1478" t="s">
        <v>1509</v>
      </c>
      <c r="P1478" t="s">
        <v>2366</v>
      </c>
      <c r="Q1478" t="s">
        <v>2364</v>
      </c>
      <c r="R1478" t="s">
        <v>2364</v>
      </c>
      <c r="S1478" t="s">
        <v>1881</v>
      </c>
      <c r="T1478" t="s">
        <v>1812</v>
      </c>
      <c r="U1478" t="s">
        <v>2365</v>
      </c>
      <c r="V1478" t="s">
        <v>2365</v>
      </c>
      <c r="W1478" t="s">
        <v>2365</v>
      </c>
      <c r="X1478" t="s">
        <v>2365</v>
      </c>
      <c r="Y1478" t="s">
        <v>2365</v>
      </c>
      <c r="Z1478" t="s">
        <v>2365</v>
      </c>
      <c r="AA1478" t="s">
        <v>2365</v>
      </c>
      <c r="AB1478" t="s">
        <v>2365</v>
      </c>
      <c r="AC1478" s="813" t="s">
        <v>2365</v>
      </c>
      <c r="AD1478" s="813" t="s">
        <v>2365</v>
      </c>
      <c r="AE1478" s="813" t="s">
        <v>2365</v>
      </c>
      <c r="AF1478" t="s">
        <v>2365</v>
      </c>
      <c r="AG1478" t="s">
        <v>2365</v>
      </c>
      <c r="AH1478" t="s">
        <v>2365</v>
      </c>
      <c r="AI1478" t="s">
        <v>2365</v>
      </c>
      <c r="AJ1478" t="s">
        <v>2365</v>
      </c>
      <c r="AK1478" t="s">
        <v>2365</v>
      </c>
      <c r="AL1478" t="s">
        <v>2365</v>
      </c>
      <c r="AM1478" t="s">
        <v>2365</v>
      </c>
      <c r="AN1478" t="s">
        <v>2365</v>
      </c>
      <c r="AR1478" t="s">
        <v>2365</v>
      </c>
      <c r="AS1478" t="s">
        <v>2365</v>
      </c>
      <c r="AT1478" t="s">
        <v>2365</v>
      </c>
      <c r="AU1478" t="s">
        <v>2365</v>
      </c>
      <c r="AV1478" t="s">
        <v>2365</v>
      </c>
      <c r="AW1478" t="s">
        <v>2365</v>
      </c>
      <c r="AX1478" t="s">
        <v>2365</v>
      </c>
      <c r="AY1478" t="s">
        <v>2365</v>
      </c>
      <c r="AZ1478" t="s">
        <v>2365</v>
      </c>
      <c r="BA1478" t="s">
        <v>2365</v>
      </c>
      <c r="BB1478" t="s">
        <v>2365</v>
      </c>
      <c r="BC1478" t="s">
        <v>2365</v>
      </c>
      <c r="BD1478" t="s">
        <v>2366</v>
      </c>
      <c r="BE1478" t="s">
        <v>2365</v>
      </c>
      <c r="BF1478" t="s">
        <v>2365</v>
      </c>
      <c r="BG1478" t="s">
        <v>2365</v>
      </c>
      <c r="BH1478" t="s">
        <v>2365</v>
      </c>
      <c r="BI1478" t="s">
        <v>2366</v>
      </c>
      <c r="BJ1478" t="s">
        <v>2365</v>
      </c>
      <c r="BK1478" t="s">
        <v>2365</v>
      </c>
      <c r="BL1478" t="s">
        <v>2365</v>
      </c>
      <c r="BM1478" t="s">
        <v>2365</v>
      </c>
      <c r="BO1478">
        <v>4</v>
      </c>
      <c r="BP1478">
        <v>43</v>
      </c>
      <c r="BQ1478" t="s">
        <v>2433</v>
      </c>
      <c r="BR1478" t="s">
        <v>1509</v>
      </c>
      <c r="BU1478">
        <v>30000</v>
      </c>
      <c r="BV1478">
        <v>0</v>
      </c>
      <c r="BW1478">
        <v>30000</v>
      </c>
      <c r="BX1478">
        <v>0</v>
      </c>
      <c r="BY1478">
        <v>30000</v>
      </c>
      <c r="BZ1478">
        <v>31800</v>
      </c>
      <c r="CA1478">
        <v>33708</v>
      </c>
      <c r="CB1478">
        <v>0</v>
      </c>
      <c r="CC1478">
        <v>0</v>
      </c>
      <c r="CD1478">
        <v>0</v>
      </c>
      <c r="CE1478">
        <v>0</v>
      </c>
      <c r="CF1478">
        <v>0</v>
      </c>
      <c r="CG1478">
        <v>0</v>
      </c>
      <c r="CH1478">
        <v>0</v>
      </c>
      <c r="CI1478">
        <v>0</v>
      </c>
      <c r="CJ1478">
        <v>0</v>
      </c>
      <c r="CK1478">
        <v>0</v>
      </c>
      <c r="CL1478">
        <v>0</v>
      </c>
      <c r="CM1478">
        <v>0</v>
      </c>
      <c r="CR1478" t="s">
        <v>2324</v>
      </c>
      <c r="CS1478" s="1369" t="str">
        <f>INDEX([8]Sheet1!$H:$H,MATCH(CR:CR,[8]Sheet1!$AU:$AU,0))</f>
        <v>Finance</v>
      </c>
    </row>
    <row r="1479" spans="1:97" x14ac:dyDescent="0.2">
      <c r="A1479" t="s">
        <v>4555</v>
      </c>
      <c r="B1479">
        <v>1568</v>
      </c>
      <c r="C1479" t="s">
        <v>4555</v>
      </c>
      <c r="D1479">
        <v>54436</v>
      </c>
      <c r="E1479" t="s">
        <v>2427</v>
      </c>
      <c r="F1479">
        <v>2700</v>
      </c>
      <c r="G1479" t="s">
        <v>656</v>
      </c>
      <c r="H1479" t="s">
        <v>2428</v>
      </c>
      <c r="I1479" t="s">
        <v>1800</v>
      </c>
      <c r="J1479">
        <v>2701</v>
      </c>
      <c r="K1479" t="s">
        <v>1800</v>
      </c>
      <c r="L1479">
        <v>2100</v>
      </c>
      <c r="M1479" t="s">
        <v>618</v>
      </c>
      <c r="N1479">
        <v>2118</v>
      </c>
      <c r="O1479" t="s">
        <v>1509</v>
      </c>
      <c r="P1479" t="s">
        <v>2366</v>
      </c>
      <c r="Q1479" t="s">
        <v>2364</v>
      </c>
      <c r="R1479" t="s">
        <v>2364</v>
      </c>
      <c r="S1479" t="s">
        <v>1881</v>
      </c>
      <c r="T1479" t="s">
        <v>1812</v>
      </c>
      <c r="U1479" t="s">
        <v>2365</v>
      </c>
      <c r="V1479" t="s">
        <v>2365</v>
      </c>
      <c r="W1479" t="s">
        <v>2365</v>
      </c>
      <c r="X1479" t="s">
        <v>2365</v>
      </c>
      <c r="Y1479" t="s">
        <v>2365</v>
      </c>
      <c r="Z1479" t="s">
        <v>2365</v>
      </c>
      <c r="AA1479" t="s">
        <v>2365</v>
      </c>
      <c r="AB1479" t="s">
        <v>2365</v>
      </c>
      <c r="AC1479" s="813" t="s">
        <v>2365</v>
      </c>
      <c r="AD1479" s="813" t="s">
        <v>2365</v>
      </c>
      <c r="AE1479" s="813" t="s">
        <v>2365</v>
      </c>
      <c r="AF1479" t="s">
        <v>2365</v>
      </c>
      <c r="AG1479" t="s">
        <v>2365</v>
      </c>
      <c r="AH1479" t="s">
        <v>2365</v>
      </c>
      <c r="AI1479" t="s">
        <v>2365</v>
      </c>
      <c r="AJ1479" t="s">
        <v>2365</v>
      </c>
      <c r="AK1479" t="s">
        <v>2365</v>
      </c>
      <c r="AL1479" t="s">
        <v>2365</v>
      </c>
      <c r="AM1479" t="s">
        <v>2365</v>
      </c>
      <c r="AN1479" t="s">
        <v>2365</v>
      </c>
      <c r="AR1479" t="s">
        <v>2365</v>
      </c>
      <c r="AS1479" t="s">
        <v>2365</v>
      </c>
      <c r="AT1479" t="s">
        <v>2365</v>
      </c>
      <c r="AU1479" t="s">
        <v>2365</v>
      </c>
      <c r="AV1479" t="s">
        <v>2365</v>
      </c>
      <c r="AW1479" t="s">
        <v>2365</v>
      </c>
      <c r="AX1479" t="s">
        <v>2365</v>
      </c>
      <c r="AY1479" t="s">
        <v>2365</v>
      </c>
      <c r="AZ1479" t="s">
        <v>2365</v>
      </c>
      <c r="BA1479" t="s">
        <v>2365</v>
      </c>
      <c r="BB1479" t="s">
        <v>2365</v>
      </c>
      <c r="BC1479" t="s">
        <v>2365</v>
      </c>
      <c r="BD1479" t="s">
        <v>2366</v>
      </c>
      <c r="BE1479" t="s">
        <v>2365</v>
      </c>
      <c r="BF1479" t="s">
        <v>2365</v>
      </c>
      <c r="BG1479" t="s">
        <v>2365</v>
      </c>
      <c r="BH1479" t="s">
        <v>2365</v>
      </c>
      <c r="BI1479" t="s">
        <v>2366</v>
      </c>
      <c r="BJ1479" t="s">
        <v>2365</v>
      </c>
      <c r="BK1479" t="s">
        <v>2365</v>
      </c>
      <c r="BL1479" t="s">
        <v>2365</v>
      </c>
      <c r="BM1479" t="s">
        <v>2365</v>
      </c>
      <c r="BO1479">
        <v>4</v>
      </c>
      <c r="BP1479">
        <v>43</v>
      </c>
      <c r="BQ1479" t="s">
        <v>2433</v>
      </c>
      <c r="BR1479" t="s">
        <v>1509</v>
      </c>
      <c r="BU1479">
        <v>40000</v>
      </c>
      <c r="BV1479">
        <v>0</v>
      </c>
      <c r="BW1479">
        <v>40000</v>
      </c>
      <c r="BX1479">
        <v>0</v>
      </c>
      <c r="BY1479">
        <v>40000</v>
      </c>
      <c r="BZ1479">
        <v>42400</v>
      </c>
      <c r="CA1479">
        <v>44944</v>
      </c>
      <c r="CB1479">
        <v>0</v>
      </c>
      <c r="CC1479">
        <v>0</v>
      </c>
      <c r="CD1479">
        <v>0</v>
      </c>
      <c r="CE1479">
        <v>0</v>
      </c>
      <c r="CF1479">
        <v>0</v>
      </c>
      <c r="CG1479">
        <v>0</v>
      </c>
      <c r="CH1479">
        <v>0</v>
      </c>
      <c r="CI1479">
        <v>0</v>
      </c>
      <c r="CJ1479">
        <v>0</v>
      </c>
      <c r="CK1479">
        <v>0</v>
      </c>
      <c r="CL1479">
        <v>0</v>
      </c>
      <c r="CM1479">
        <v>0</v>
      </c>
      <c r="CR1479" t="s">
        <v>2324</v>
      </c>
      <c r="CS1479" s="1369" t="str">
        <f>INDEX([8]Sheet1!$H:$H,MATCH(CR:CR,[8]Sheet1!$AU:$AU,0))</f>
        <v>Finance</v>
      </c>
    </row>
    <row r="1480" spans="1:97" x14ac:dyDescent="0.2">
      <c r="A1480" t="s">
        <v>4556</v>
      </c>
      <c r="B1480">
        <v>1569</v>
      </c>
      <c r="C1480" t="s">
        <v>4556</v>
      </c>
      <c r="D1480">
        <v>54437</v>
      </c>
      <c r="E1480" t="s">
        <v>2516</v>
      </c>
      <c r="F1480">
        <v>2900</v>
      </c>
      <c r="G1480" t="s">
        <v>569</v>
      </c>
      <c r="H1480" t="s">
        <v>2366</v>
      </c>
      <c r="I1480" t="s">
        <v>2366</v>
      </c>
      <c r="J1480">
        <v>2904</v>
      </c>
      <c r="K1480" t="s">
        <v>1432</v>
      </c>
      <c r="L1480">
        <v>1100</v>
      </c>
      <c r="M1480" t="s">
        <v>616</v>
      </c>
      <c r="N1480">
        <v>1120</v>
      </c>
      <c r="O1480" t="s">
        <v>1485</v>
      </c>
      <c r="P1480" t="s">
        <v>2366</v>
      </c>
      <c r="Q1480" t="s">
        <v>2364</v>
      </c>
      <c r="R1480" t="s">
        <v>2364</v>
      </c>
      <c r="S1480" t="s">
        <v>1881</v>
      </c>
      <c r="T1480" t="s">
        <v>1812</v>
      </c>
      <c r="U1480" t="s">
        <v>2365</v>
      </c>
      <c r="V1480" t="s">
        <v>2365</v>
      </c>
      <c r="W1480" t="s">
        <v>2365</v>
      </c>
      <c r="X1480" t="s">
        <v>2365</v>
      </c>
      <c r="Y1480" t="s">
        <v>2365</v>
      </c>
      <c r="Z1480" t="s">
        <v>2365</v>
      </c>
      <c r="AA1480" t="s">
        <v>2365</v>
      </c>
      <c r="AB1480" t="s">
        <v>2365</v>
      </c>
      <c r="AC1480" s="813" t="s">
        <v>2365</v>
      </c>
      <c r="AD1480" s="813" t="s">
        <v>2365</v>
      </c>
      <c r="AE1480" s="813" t="s">
        <v>2365</v>
      </c>
      <c r="AF1480" t="s">
        <v>2365</v>
      </c>
      <c r="AG1480" t="s">
        <v>2365</v>
      </c>
      <c r="AH1480" t="s">
        <v>2365</v>
      </c>
      <c r="AI1480" t="s">
        <v>2365</v>
      </c>
      <c r="AJ1480" t="s">
        <v>2365</v>
      </c>
      <c r="AK1480" t="s">
        <v>2365</v>
      </c>
      <c r="AL1480" t="s">
        <v>2365</v>
      </c>
      <c r="AM1480" t="s">
        <v>2365</v>
      </c>
      <c r="AN1480" t="s">
        <v>2365</v>
      </c>
      <c r="AR1480" t="s">
        <v>2365</v>
      </c>
      <c r="AS1480" t="s">
        <v>2365</v>
      </c>
      <c r="AT1480" t="s">
        <v>2365</v>
      </c>
      <c r="AU1480" t="s">
        <v>2365</v>
      </c>
      <c r="AV1480" t="s">
        <v>2365</v>
      </c>
      <c r="AW1480" t="s">
        <v>2365</v>
      </c>
      <c r="AX1480" t="s">
        <v>2365</v>
      </c>
      <c r="AY1480" t="s">
        <v>2365</v>
      </c>
      <c r="AZ1480" t="s">
        <v>2365</v>
      </c>
      <c r="BA1480" t="s">
        <v>2365</v>
      </c>
      <c r="BB1480" t="s">
        <v>2365</v>
      </c>
      <c r="BC1480" t="s">
        <v>2365</v>
      </c>
      <c r="BD1480" t="s">
        <v>2366</v>
      </c>
      <c r="BE1480" t="s">
        <v>2365</v>
      </c>
      <c r="BF1480" t="s">
        <v>2365</v>
      </c>
      <c r="BG1480" t="s">
        <v>2365</v>
      </c>
      <c r="BH1480" t="s">
        <v>2365</v>
      </c>
      <c r="BI1480" t="s">
        <v>2366</v>
      </c>
      <c r="BJ1480" t="s">
        <v>2365</v>
      </c>
      <c r="BK1480" t="s">
        <v>2365</v>
      </c>
      <c r="BL1480" t="s">
        <v>2365</v>
      </c>
      <c r="BM1480" t="s">
        <v>2365</v>
      </c>
      <c r="BO1480">
        <v>3</v>
      </c>
      <c r="BP1480">
        <v>31</v>
      </c>
      <c r="BQ1480" t="s">
        <v>2716</v>
      </c>
      <c r="BR1480" t="s">
        <v>1485</v>
      </c>
      <c r="BU1480">
        <v>100000</v>
      </c>
      <c r="BV1480">
        <v>0</v>
      </c>
      <c r="BW1480">
        <v>100000</v>
      </c>
      <c r="BX1480">
        <v>0</v>
      </c>
      <c r="BY1480">
        <v>100000</v>
      </c>
      <c r="BZ1480">
        <v>104000</v>
      </c>
      <c r="CA1480">
        <v>108160</v>
      </c>
      <c r="CB1480">
        <v>0</v>
      </c>
      <c r="CC1480">
        <v>0</v>
      </c>
      <c r="CD1480">
        <v>0</v>
      </c>
      <c r="CE1480">
        <v>0</v>
      </c>
      <c r="CF1480">
        <v>0</v>
      </c>
      <c r="CG1480">
        <v>0</v>
      </c>
      <c r="CH1480">
        <v>0</v>
      </c>
      <c r="CI1480">
        <v>0</v>
      </c>
      <c r="CJ1480">
        <v>0</v>
      </c>
      <c r="CK1480">
        <v>0</v>
      </c>
      <c r="CL1480">
        <v>0</v>
      </c>
      <c r="CM1480">
        <v>0</v>
      </c>
      <c r="CR1480" t="s">
        <v>2324</v>
      </c>
      <c r="CS1480" s="1369" t="str">
        <f>INDEX([8]Sheet1!$H:$H,MATCH(CR:CR,[8]Sheet1!$AU:$AU,0))</f>
        <v>Finance</v>
      </c>
    </row>
    <row r="1481" spans="1:97" x14ac:dyDescent="0.2">
      <c r="A1481" t="s">
        <v>4557</v>
      </c>
      <c r="B1481">
        <v>1570</v>
      </c>
      <c r="C1481" t="s">
        <v>4557</v>
      </c>
      <c r="D1481">
        <v>54438</v>
      </c>
      <c r="E1481" t="s">
        <v>2432</v>
      </c>
      <c r="F1481">
        <v>2600</v>
      </c>
      <c r="G1481" t="s">
        <v>655</v>
      </c>
      <c r="H1481">
        <v>2600</v>
      </c>
      <c r="I1481" t="s">
        <v>655</v>
      </c>
      <c r="J1481" t="s">
        <v>2365</v>
      </c>
      <c r="K1481" t="s">
        <v>2365</v>
      </c>
      <c r="L1481">
        <v>1200</v>
      </c>
      <c r="M1481" t="s">
        <v>1480</v>
      </c>
      <c r="N1481">
        <v>1207</v>
      </c>
      <c r="O1481" t="s">
        <v>997</v>
      </c>
      <c r="P1481" t="s">
        <v>2366</v>
      </c>
      <c r="Q1481" t="s">
        <v>2364</v>
      </c>
      <c r="R1481" t="s">
        <v>2364</v>
      </c>
      <c r="S1481" t="s">
        <v>1881</v>
      </c>
      <c r="T1481" t="s">
        <v>1812</v>
      </c>
      <c r="U1481" t="s">
        <v>2365</v>
      </c>
      <c r="V1481" t="s">
        <v>2365</v>
      </c>
      <c r="W1481" t="s">
        <v>2365</v>
      </c>
      <c r="X1481" t="s">
        <v>2365</v>
      </c>
      <c r="Y1481" t="s">
        <v>2365</v>
      </c>
      <c r="Z1481" t="s">
        <v>2365</v>
      </c>
      <c r="AA1481" t="s">
        <v>2365</v>
      </c>
      <c r="AB1481" t="s">
        <v>2365</v>
      </c>
      <c r="AC1481" s="813" t="s">
        <v>2365</v>
      </c>
      <c r="AD1481" s="813" t="s">
        <v>2365</v>
      </c>
      <c r="AE1481" s="813" t="s">
        <v>2365</v>
      </c>
      <c r="AF1481" t="s">
        <v>2365</v>
      </c>
      <c r="AG1481" t="s">
        <v>2365</v>
      </c>
      <c r="AH1481" t="s">
        <v>2365</v>
      </c>
      <c r="AI1481" t="s">
        <v>2365</v>
      </c>
      <c r="AJ1481" t="s">
        <v>2365</v>
      </c>
      <c r="AK1481" t="s">
        <v>2365</v>
      </c>
      <c r="AL1481" t="s">
        <v>2365</v>
      </c>
      <c r="AM1481" t="s">
        <v>2365</v>
      </c>
      <c r="AN1481" t="s">
        <v>2365</v>
      </c>
      <c r="AR1481" t="s">
        <v>2365</v>
      </c>
      <c r="AS1481" t="s">
        <v>2365</v>
      </c>
      <c r="AT1481" t="s">
        <v>2365</v>
      </c>
      <c r="AU1481" t="s">
        <v>2365</v>
      </c>
      <c r="AV1481" t="s">
        <v>2365</v>
      </c>
      <c r="AW1481" t="s">
        <v>2365</v>
      </c>
      <c r="AX1481" t="s">
        <v>2365</v>
      </c>
      <c r="AY1481" t="s">
        <v>2365</v>
      </c>
      <c r="AZ1481">
        <v>1470</v>
      </c>
      <c r="BA1481" t="s">
        <v>1674</v>
      </c>
      <c r="BB1481">
        <v>1470</v>
      </c>
      <c r="BC1481" t="s">
        <v>1674</v>
      </c>
      <c r="BD1481" t="s">
        <v>2366</v>
      </c>
      <c r="BE1481" t="s">
        <v>2365</v>
      </c>
      <c r="BF1481" t="s">
        <v>2365</v>
      </c>
      <c r="BG1481" t="s">
        <v>2365</v>
      </c>
      <c r="BH1481" t="s">
        <v>2365</v>
      </c>
      <c r="BI1481" t="s">
        <v>2366</v>
      </c>
      <c r="BJ1481" t="s">
        <v>2365</v>
      </c>
      <c r="BK1481" t="s">
        <v>2365</v>
      </c>
      <c r="BL1481" t="s">
        <v>2365</v>
      </c>
      <c r="BM1481" t="s">
        <v>2365</v>
      </c>
      <c r="BO1481">
        <v>1</v>
      </c>
      <c r="BP1481">
        <v>18</v>
      </c>
      <c r="BQ1481" t="s">
        <v>2369</v>
      </c>
      <c r="BR1481" t="s">
        <v>997</v>
      </c>
      <c r="BU1481">
        <v>60000</v>
      </c>
      <c r="BV1481">
        <v>0</v>
      </c>
      <c r="BW1481">
        <v>60000</v>
      </c>
      <c r="BX1481">
        <v>0</v>
      </c>
      <c r="BY1481">
        <v>60000</v>
      </c>
      <c r="BZ1481">
        <v>63600</v>
      </c>
      <c r="CA1481">
        <v>67416</v>
      </c>
      <c r="CB1481">
        <v>0</v>
      </c>
      <c r="CC1481">
        <v>0</v>
      </c>
      <c r="CD1481">
        <v>1627</v>
      </c>
      <c r="CE1481">
        <v>375345.30999999994</v>
      </c>
      <c r="CF1481">
        <v>0</v>
      </c>
      <c r="CG1481">
        <v>0</v>
      </c>
      <c r="CH1481">
        <v>504658</v>
      </c>
      <c r="CI1481">
        <v>-165238.26</v>
      </c>
      <c r="CJ1481">
        <v>0</v>
      </c>
      <c r="CK1481">
        <v>0</v>
      </c>
      <c r="CL1481">
        <v>0</v>
      </c>
      <c r="CM1481">
        <v>0</v>
      </c>
      <c r="CR1481" t="s">
        <v>2324</v>
      </c>
      <c r="CS1481" s="1369" t="str">
        <f>INDEX([8]Sheet1!$H:$H,MATCH(CR:CR,[8]Sheet1!$AU:$AU,0))</f>
        <v>Finance</v>
      </c>
    </row>
    <row r="1482" spans="1:97" x14ac:dyDescent="0.2">
      <c r="A1482" t="s">
        <v>4558</v>
      </c>
      <c r="B1482">
        <v>1571</v>
      </c>
      <c r="C1482" t="s">
        <v>4558</v>
      </c>
      <c r="D1482">
        <v>54439</v>
      </c>
      <c r="E1482" t="s">
        <v>2455</v>
      </c>
      <c r="F1482">
        <v>2900</v>
      </c>
      <c r="G1482" t="s">
        <v>569</v>
      </c>
      <c r="H1482" t="s">
        <v>2366</v>
      </c>
      <c r="I1482" t="s">
        <v>2366</v>
      </c>
      <c r="J1482">
        <v>2904</v>
      </c>
      <c r="K1482" t="s">
        <v>1432</v>
      </c>
      <c r="L1482">
        <v>1100</v>
      </c>
      <c r="M1482" t="s">
        <v>616</v>
      </c>
      <c r="N1482">
        <v>1120</v>
      </c>
      <c r="O1482" t="s">
        <v>1485</v>
      </c>
      <c r="P1482" t="s">
        <v>2366</v>
      </c>
      <c r="Q1482" t="s">
        <v>2364</v>
      </c>
      <c r="R1482" t="s">
        <v>2364</v>
      </c>
      <c r="S1482" t="s">
        <v>1881</v>
      </c>
      <c r="T1482" t="s">
        <v>1812</v>
      </c>
      <c r="U1482" t="s">
        <v>2365</v>
      </c>
      <c r="V1482" t="s">
        <v>2365</v>
      </c>
      <c r="W1482" t="s">
        <v>2365</v>
      </c>
      <c r="X1482" t="s">
        <v>2365</v>
      </c>
      <c r="Y1482" t="s">
        <v>2365</v>
      </c>
      <c r="Z1482" t="s">
        <v>2365</v>
      </c>
      <c r="AA1482" t="s">
        <v>2365</v>
      </c>
      <c r="AB1482" t="s">
        <v>2365</v>
      </c>
      <c r="AC1482" s="813" t="s">
        <v>2365</v>
      </c>
      <c r="AD1482" s="813" t="s">
        <v>2365</v>
      </c>
      <c r="AE1482" s="813" t="s">
        <v>2365</v>
      </c>
      <c r="AF1482" t="s">
        <v>2365</v>
      </c>
      <c r="AG1482" t="s">
        <v>2365</v>
      </c>
      <c r="AH1482" t="s">
        <v>2365</v>
      </c>
      <c r="AI1482" t="s">
        <v>2365</v>
      </c>
      <c r="AJ1482" t="s">
        <v>2365</v>
      </c>
      <c r="AK1482" t="s">
        <v>2365</v>
      </c>
      <c r="AL1482" t="s">
        <v>2365</v>
      </c>
      <c r="AM1482" t="s">
        <v>2365</v>
      </c>
      <c r="AN1482" t="s">
        <v>2365</v>
      </c>
      <c r="AR1482" t="s">
        <v>2365</v>
      </c>
      <c r="AS1482" t="s">
        <v>2365</v>
      </c>
      <c r="AT1482" t="s">
        <v>2365</v>
      </c>
      <c r="AU1482" t="s">
        <v>2365</v>
      </c>
      <c r="AV1482" t="s">
        <v>2365</v>
      </c>
      <c r="AW1482" t="s">
        <v>2365</v>
      </c>
      <c r="AX1482" t="s">
        <v>2365</v>
      </c>
      <c r="AY1482" t="s">
        <v>2365</v>
      </c>
      <c r="AZ1482" t="s">
        <v>2365</v>
      </c>
      <c r="BA1482" t="s">
        <v>2365</v>
      </c>
      <c r="BB1482" t="s">
        <v>2365</v>
      </c>
      <c r="BC1482" t="s">
        <v>2365</v>
      </c>
      <c r="BD1482" t="s">
        <v>2366</v>
      </c>
      <c r="BE1482" t="s">
        <v>2365</v>
      </c>
      <c r="BF1482" t="s">
        <v>2365</v>
      </c>
      <c r="BG1482" t="s">
        <v>2365</v>
      </c>
      <c r="BH1482" t="s">
        <v>2365</v>
      </c>
      <c r="BI1482" t="s">
        <v>2366</v>
      </c>
      <c r="BJ1482" t="s">
        <v>2365</v>
      </c>
      <c r="BK1482" t="s">
        <v>2365</v>
      </c>
      <c r="BL1482" t="s">
        <v>2365</v>
      </c>
      <c r="BM1482" t="s">
        <v>2365</v>
      </c>
      <c r="BO1482">
        <v>3</v>
      </c>
      <c r="BP1482">
        <v>31</v>
      </c>
      <c r="BQ1482" t="s">
        <v>2716</v>
      </c>
      <c r="BR1482" t="s">
        <v>1485</v>
      </c>
      <c r="BU1482">
        <v>0</v>
      </c>
      <c r="BV1482">
        <v>0</v>
      </c>
      <c r="BW1482">
        <v>0</v>
      </c>
      <c r="BX1482">
        <v>0</v>
      </c>
      <c r="BY1482">
        <v>0</v>
      </c>
      <c r="BZ1482">
        <v>0</v>
      </c>
      <c r="CA1482">
        <v>0</v>
      </c>
      <c r="CB1482">
        <v>0</v>
      </c>
      <c r="CC1482">
        <v>0</v>
      </c>
      <c r="CD1482">
        <v>0</v>
      </c>
      <c r="CE1482">
        <v>0</v>
      </c>
      <c r="CF1482">
        <v>0</v>
      </c>
      <c r="CG1482">
        <v>0</v>
      </c>
      <c r="CH1482">
        <v>0</v>
      </c>
      <c r="CI1482">
        <v>0</v>
      </c>
      <c r="CJ1482">
        <v>0</v>
      </c>
      <c r="CK1482">
        <v>0</v>
      </c>
      <c r="CL1482">
        <v>0</v>
      </c>
      <c r="CM1482">
        <v>0</v>
      </c>
      <c r="CR1482" t="s">
        <v>2324</v>
      </c>
      <c r="CS1482" s="1369" t="str">
        <f>INDEX([8]Sheet1!$H:$H,MATCH(CR:CR,[8]Sheet1!$AU:$AU,0))</f>
        <v>Finance</v>
      </c>
    </row>
    <row r="1483" spans="1:97" x14ac:dyDescent="0.2">
      <c r="A1483" t="s">
        <v>4559</v>
      </c>
      <c r="B1483">
        <v>1572</v>
      </c>
      <c r="C1483" t="s">
        <v>4559</v>
      </c>
      <c r="D1483">
        <v>54440</v>
      </c>
      <c r="E1483" t="s">
        <v>2493</v>
      </c>
      <c r="F1483">
        <v>2900</v>
      </c>
      <c r="G1483" t="s">
        <v>569</v>
      </c>
      <c r="H1483" s="1373" t="s">
        <v>2366</v>
      </c>
      <c r="I1483" t="s">
        <v>2366</v>
      </c>
      <c r="J1483">
        <v>2904</v>
      </c>
      <c r="K1483" t="s">
        <v>1432</v>
      </c>
      <c r="L1483" s="1373">
        <v>1100</v>
      </c>
      <c r="M1483" t="s">
        <v>616</v>
      </c>
      <c r="N1483">
        <v>1120</v>
      </c>
      <c r="O1483" t="s">
        <v>1485</v>
      </c>
      <c r="P1483" t="s">
        <v>2366</v>
      </c>
      <c r="Q1483" t="s">
        <v>2364</v>
      </c>
      <c r="R1483" t="s">
        <v>2364</v>
      </c>
      <c r="S1483" t="s">
        <v>1881</v>
      </c>
      <c r="T1483" t="s">
        <v>1812</v>
      </c>
      <c r="U1483" t="s">
        <v>2365</v>
      </c>
      <c r="V1483" t="s">
        <v>2365</v>
      </c>
      <c r="W1483" t="s">
        <v>2365</v>
      </c>
      <c r="X1483" t="s">
        <v>2365</v>
      </c>
      <c r="Y1483" t="s">
        <v>2365</v>
      </c>
      <c r="Z1483" t="s">
        <v>2365</v>
      </c>
      <c r="AA1483" t="s">
        <v>2365</v>
      </c>
      <c r="AB1483" t="s">
        <v>2365</v>
      </c>
      <c r="AC1483" s="813" t="s">
        <v>2365</v>
      </c>
      <c r="AD1483" s="813" t="s">
        <v>2365</v>
      </c>
      <c r="AE1483" s="813" t="s">
        <v>2365</v>
      </c>
      <c r="AF1483" t="s">
        <v>2365</v>
      </c>
      <c r="AG1483" t="s">
        <v>2365</v>
      </c>
      <c r="AH1483" t="s">
        <v>2365</v>
      </c>
      <c r="AI1483" t="s">
        <v>2365</v>
      </c>
      <c r="AJ1483" t="s">
        <v>2365</v>
      </c>
      <c r="AK1483" t="s">
        <v>2365</v>
      </c>
      <c r="AL1483" t="s">
        <v>2365</v>
      </c>
      <c r="AM1483" t="s">
        <v>2365</v>
      </c>
      <c r="AN1483" t="s">
        <v>2365</v>
      </c>
      <c r="AR1483" t="s">
        <v>2365</v>
      </c>
      <c r="AS1483" t="s">
        <v>2365</v>
      </c>
      <c r="AT1483" t="s">
        <v>2365</v>
      </c>
      <c r="AU1483" t="s">
        <v>2365</v>
      </c>
      <c r="AV1483" t="s">
        <v>2365</v>
      </c>
      <c r="AW1483" t="s">
        <v>2365</v>
      </c>
      <c r="AX1483" t="s">
        <v>2365</v>
      </c>
      <c r="AY1483" t="s">
        <v>2365</v>
      </c>
      <c r="AZ1483" t="s">
        <v>2365</v>
      </c>
      <c r="BA1483" t="s">
        <v>2365</v>
      </c>
      <c r="BB1483" t="s">
        <v>2365</v>
      </c>
      <c r="BC1483" t="s">
        <v>2365</v>
      </c>
      <c r="BD1483" t="s">
        <v>2366</v>
      </c>
      <c r="BE1483" t="s">
        <v>2365</v>
      </c>
      <c r="BF1483" t="s">
        <v>2365</v>
      </c>
      <c r="BG1483" t="s">
        <v>2365</v>
      </c>
      <c r="BH1483" t="s">
        <v>2365</v>
      </c>
      <c r="BI1483" t="s">
        <v>2366</v>
      </c>
      <c r="BJ1483" t="s">
        <v>2365</v>
      </c>
      <c r="BK1483" t="s">
        <v>2365</v>
      </c>
      <c r="BL1483" t="s">
        <v>2365</v>
      </c>
      <c r="BM1483" t="s">
        <v>2365</v>
      </c>
      <c r="BO1483">
        <v>3</v>
      </c>
      <c r="BP1483">
        <v>31</v>
      </c>
      <c r="BQ1483" t="s">
        <v>2716</v>
      </c>
      <c r="BR1483" t="s">
        <v>1485</v>
      </c>
      <c r="BU1483" s="1371">
        <v>30000</v>
      </c>
      <c r="BV1483" s="1371">
        <v>0</v>
      </c>
      <c r="BW1483" s="1371">
        <v>30000</v>
      </c>
      <c r="BX1483" s="1371">
        <v>0</v>
      </c>
      <c r="BY1483" s="1371">
        <v>30000</v>
      </c>
      <c r="BZ1483">
        <v>31200</v>
      </c>
      <c r="CA1483">
        <v>32448</v>
      </c>
      <c r="CB1483">
        <v>0</v>
      </c>
      <c r="CC1483">
        <v>0</v>
      </c>
      <c r="CD1483">
        <v>0</v>
      </c>
      <c r="CE1483">
        <v>0</v>
      </c>
      <c r="CF1483">
        <v>0</v>
      </c>
      <c r="CG1483">
        <v>0</v>
      </c>
      <c r="CH1483">
        <v>0</v>
      </c>
      <c r="CI1483">
        <v>0</v>
      </c>
      <c r="CJ1483">
        <v>0</v>
      </c>
      <c r="CK1483">
        <v>0</v>
      </c>
      <c r="CL1483">
        <v>0</v>
      </c>
      <c r="CM1483">
        <v>0</v>
      </c>
      <c r="CR1483" t="s">
        <v>2324</v>
      </c>
      <c r="CS1483" s="1369" t="str">
        <f>INDEX([8]Sheet1!$H:$H,MATCH(CR:CR,[8]Sheet1!$AU:$AU,0))</f>
        <v>Finance</v>
      </c>
    </row>
    <row r="1484" spans="1:97" x14ac:dyDescent="0.2">
      <c r="A1484" t="s">
        <v>4560</v>
      </c>
      <c r="B1484">
        <v>1573</v>
      </c>
      <c r="C1484" t="s">
        <v>4560</v>
      </c>
      <c r="D1484">
        <v>54441</v>
      </c>
      <c r="E1484" t="s">
        <v>2499</v>
      </c>
      <c r="F1484">
        <v>2900</v>
      </c>
      <c r="G1484" t="s">
        <v>569</v>
      </c>
      <c r="H1484" s="1373" t="s">
        <v>2366</v>
      </c>
      <c r="I1484" t="s">
        <v>2366</v>
      </c>
      <c r="J1484">
        <v>2904</v>
      </c>
      <c r="K1484" t="s">
        <v>1432</v>
      </c>
      <c r="L1484" s="1373">
        <v>1100</v>
      </c>
      <c r="M1484" t="s">
        <v>616</v>
      </c>
      <c r="N1484">
        <v>1120</v>
      </c>
      <c r="O1484" t="s">
        <v>1485</v>
      </c>
      <c r="P1484" t="s">
        <v>2366</v>
      </c>
      <c r="Q1484" t="s">
        <v>2364</v>
      </c>
      <c r="R1484" t="s">
        <v>2364</v>
      </c>
      <c r="S1484" t="s">
        <v>1881</v>
      </c>
      <c r="T1484" t="s">
        <v>1812</v>
      </c>
      <c r="U1484" t="s">
        <v>2365</v>
      </c>
      <c r="V1484" t="s">
        <v>2365</v>
      </c>
      <c r="W1484" t="s">
        <v>2365</v>
      </c>
      <c r="X1484" t="s">
        <v>2365</v>
      </c>
      <c r="Y1484" t="s">
        <v>2365</v>
      </c>
      <c r="Z1484" t="s">
        <v>2365</v>
      </c>
      <c r="AA1484" t="s">
        <v>2365</v>
      </c>
      <c r="AB1484" t="s">
        <v>2365</v>
      </c>
      <c r="AC1484" s="813" t="s">
        <v>2365</v>
      </c>
      <c r="AD1484" s="813" t="s">
        <v>2365</v>
      </c>
      <c r="AE1484" s="813" t="s">
        <v>2365</v>
      </c>
      <c r="AF1484" t="s">
        <v>2365</v>
      </c>
      <c r="AG1484" t="s">
        <v>2365</v>
      </c>
      <c r="AH1484" t="s">
        <v>2365</v>
      </c>
      <c r="AI1484" t="s">
        <v>2365</v>
      </c>
      <c r="AJ1484" t="s">
        <v>2365</v>
      </c>
      <c r="AK1484" t="s">
        <v>2365</v>
      </c>
      <c r="AL1484" t="s">
        <v>2365</v>
      </c>
      <c r="AM1484" t="s">
        <v>2365</v>
      </c>
      <c r="AN1484" t="s">
        <v>2365</v>
      </c>
      <c r="AR1484" t="s">
        <v>2365</v>
      </c>
      <c r="AS1484" t="s">
        <v>2365</v>
      </c>
      <c r="AT1484" t="s">
        <v>2365</v>
      </c>
      <c r="AU1484" t="s">
        <v>2365</v>
      </c>
      <c r="AV1484" t="s">
        <v>2365</v>
      </c>
      <c r="AW1484" t="s">
        <v>2365</v>
      </c>
      <c r="AX1484" t="s">
        <v>2365</v>
      </c>
      <c r="AY1484" t="s">
        <v>2365</v>
      </c>
      <c r="AZ1484" t="s">
        <v>2365</v>
      </c>
      <c r="BA1484" t="s">
        <v>2365</v>
      </c>
      <c r="BB1484" t="s">
        <v>2365</v>
      </c>
      <c r="BC1484" t="s">
        <v>2365</v>
      </c>
      <c r="BD1484" t="s">
        <v>2366</v>
      </c>
      <c r="BE1484" t="s">
        <v>2365</v>
      </c>
      <c r="BF1484" t="s">
        <v>2365</v>
      </c>
      <c r="BG1484" t="s">
        <v>2365</v>
      </c>
      <c r="BH1484" t="s">
        <v>2365</v>
      </c>
      <c r="BI1484" t="s">
        <v>2366</v>
      </c>
      <c r="BJ1484" t="s">
        <v>2365</v>
      </c>
      <c r="BK1484" t="s">
        <v>2365</v>
      </c>
      <c r="BL1484" t="s">
        <v>2365</v>
      </c>
      <c r="BM1484" t="s">
        <v>2365</v>
      </c>
      <c r="BO1484">
        <v>3</v>
      </c>
      <c r="BP1484">
        <v>31</v>
      </c>
      <c r="BQ1484" t="s">
        <v>2716</v>
      </c>
      <c r="BR1484" t="s">
        <v>1485</v>
      </c>
      <c r="BU1484" s="1371">
        <v>100000</v>
      </c>
      <c r="BV1484" s="1371">
        <v>0</v>
      </c>
      <c r="BW1484" s="1371">
        <v>100000</v>
      </c>
      <c r="BX1484" s="1371">
        <v>50000</v>
      </c>
      <c r="BY1484" s="1371">
        <v>150000</v>
      </c>
      <c r="BZ1484">
        <v>104000</v>
      </c>
      <c r="CA1484">
        <v>108160</v>
      </c>
      <c r="CB1484">
        <v>0</v>
      </c>
      <c r="CC1484">
        <v>30000</v>
      </c>
      <c r="CD1484">
        <v>0</v>
      </c>
      <c r="CE1484">
        <v>0</v>
      </c>
      <c r="CF1484">
        <v>74326</v>
      </c>
      <c r="CG1484">
        <v>29980</v>
      </c>
      <c r="CH1484">
        <v>0</v>
      </c>
      <c r="CI1484">
        <v>0</v>
      </c>
      <c r="CJ1484">
        <v>0</v>
      </c>
      <c r="CK1484">
        <v>0</v>
      </c>
      <c r="CL1484">
        <v>0</v>
      </c>
      <c r="CM1484">
        <v>0</v>
      </c>
      <c r="CR1484" t="s">
        <v>2324</v>
      </c>
      <c r="CS1484" s="1369" t="str">
        <f>INDEX([8]Sheet1!$H:$H,MATCH(CR:CR,[8]Sheet1!$AU:$AU,0))</f>
        <v>Finance</v>
      </c>
    </row>
    <row r="1485" spans="1:97" x14ac:dyDescent="0.2">
      <c r="A1485" t="s">
        <v>4561</v>
      </c>
      <c r="B1485">
        <v>1574</v>
      </c>
      <c r="C1485" t="s">
        <v>4561</v>
      </c>
      <c r="D1485">
        <v>54442</v>
      </c>
      <c r="E1485" t="s">
        <v>4562</v>
      </c>
      <c r="F1485">
        <v>2700</v>
      </c>
      <c r="G1485" t="s">
        <v>656</v>
      </c>
      <c r="H1485" t="s">
        <v>2478</v>
      </c>
      <c r="I1485" t="s">
        <v>1802</v>
      </c>
      <c r="J1485">
        <v>2703</v>
      </c>
      <c r="K1485" t="s">
        <v>1802</v>
      </c>
      <c r="L1485">
        <v>1100</v>
      </c>
      <c r="M1485" t="s">
        <v>616</v>
      </c>
      <c r="N1485">
        <v>1120</v>
      </c>
      <c r="O1485" t="s">
        <v>1485</v>
      </c>
      <c r="P1485" t="s">
        <v>2366</v>
      </c>
      <c r="Q1485" t="s">
        <v>2364</v>
      </c>
      <c r="R1485" t="s">
        <v>2364</v>
      </c>
      <c r="S1485" t="s">
        <v>1881</v>
      </c>
      <c r="T1485" t="s">
        <v>1812</v>
      </c>
      <c r="U1485" t="s">
        <v>2365</v>
      </c>
      <c r="V1485" t="s">
        <v>2365</v>
      </c>
      <c r="W1485" t="s">
        <v>2365</v>
      </c>
      <c r="X1485" t="s">
        <v>2365</v>
      </c>
      <c r="Y1485" t="s">
        <v>2365</v>
      </c>
      <c r="Z1485" t="s">
        <v>2365</v>
      </c>
      <c r="AA1485" t="s">
        <v>2365</v>
      </c>
      <c r="AB1485" t="s">
        <v>2365</v>
      </c>
      <c r="AC1485" s="813" t="s">
        <v>2365</v>
      </c>
      <c r="AD1485" s="813" t="s">
        <v>2365</v>
      </c>
      <c r="AE1485" s="813" t="s">
        <v>2365</v>
      </c>
      <c r="AF1485" t="s">
        <v>2365</v>
      </c>
      <c r="AG1485" t="s">
        <v>2365</v>
      </c>
      <c r="AH1485" t="s">
        <v>2365</v>
      </c>
      <c r="AI1485" t="s">
        <v>2365</v>
      </c>
      <c r="AJ1485" t="s">
        <v>2365</v>
      </c>
      <c r="AK1485" t="s">
        <v>2365</v>
      </c>
      <c r="AL1485" t="s">
        <v>2365</v>
      </c>
      <c r="AM1485" t="s">
        <v>2365</v>
      </c>
      <c r="AN1485" t="s">
        <v>2365</v>
      </c>
      <c r="AR1485" t="s">
        <v>2365</v>
      </c>
      <c r="AS1485" t="s">
        <v>2365</v>
      </c>
      <c r="AT1485" t="s">
        <v>2365</v>
      </c>
      <c r="AU1485" t="s">
        <v>2365</v>
      </c>
      <c r="AV1485" t="s">
        <v>2365</v>
      </c>
      <c r="AW1485" t="s">
        <v>2365</v>
      </c>
      <c r="AX1485" t="s">
        <v>2365</v>
      </c>
      <c r="AY1485" t="s">
        <v>2365</v>
      </c>
      <c r="AZ1485" t="s">
        <v>2365</v>
      </c>
      <c r="BA1485" t="s">
        <v>2365</v>
      </c>
      <c r="BB1485" t="s">
        <v>2365</v>
      </c>
      <c r="BC1485" t="s">
        <v>2365</v>
      </c>
      <c r="BD1485" t="s">
        <v>2366</v>
      </c>
      <c r="BE1485" t="s">
        <v>2365</v>
      </c>
      <c r="BF1485" t="s">
        <v>2365</v>
      </c>
      <c r="BG1485" t="s">
        <v>2365</v>
      </c>
      <c r="BH1485" t="s">
        <v>2365</v>
      </c>
      <c r="BI1485" t="s">
        <v>2366</v>
      </c>
      <c r="BJ1485" t="s">
        <v>2365</v>
      </c>
      <c r="BK1485" t="s">
        <v>2365</v>
      </c>
      <c r="BL1485" t="s">
        <v>2365</v>
      </c>
      <c r="BM1485" t="s">
        <v>2365</v>
      </c>
      <c r="BO1485">
        <v>3</v>
      </c>
      <c r="BP1485">
        <v>31</v>
      </c>
      <c r="BQ1485" t="s">
        <v>2716</v>
      </c>
      <c r="BR1485" t="s">
        <v>1485</v>
      </c>
      <c r="BU1485">
        <v>150000</v>
      </c>
      <c r="BV1485">
        <v>0</v>
      </c>
      <c r="BW1485">
        <v>150000</v>
      </c>
      <c r="BX1485">
        <v>0</v>
      </c>
      <c r="BY1485">
        <v>150000</v>
      </c>
      <c r="BZ1485">
        <v>156000</v>
      </c>
      <c r="CA1485">
        <v>162240</v>
      </c>
      <c r="CB1485">
        <v>0</v>
      </c>
      <c r="CC1485">
        <v>0</v>
      </c>
      <c r="CD1485">
        <v>0</v>
      </c>
      <c r="CE1485">
        <v>0</v>
      </c>
      <c r="CF1485">
        <v>0</v>
      </c>
      <c r="CG1485">
        <v>0</v>
      </c>
      <c r="CH1485">
        <v>0</v>
      </c>
      <c r="CI1485">
        <v>0</v>
      </c>
      <c r="CJ1485">
        <v>0</v>
      </c>
      <c r="CK1485">
        <v>0</v>
      </c>
      <c r="CL1485">
        <v>0</v>
      </c>
      <c r="CM1485">
        <v>0</v>
      </c>
      <c r="CR1485" t="s">
        <v>2324</v>
      </c>
      <c r="CS1485" s="1369" t="str">
        <f>INDEX([8]Sheet1!$H:$H,MATCH(CR:CR,[8]Sheet1!$AU:$AU,0))</f>
        <v>Finance</v>
      </c>
    </row>
    <row r="1486" spans="1:97" x14ac:dyDescent="0.2">
      <c r="A1486" t="s">
        <v>4563</v>
      </c>
      <c r="B1486">
        <v>1575</v>
      </c>
      <c r="C1486" t="s">
        <v>4563</v>
      </c>
      <c r="D1486">
        <v>54443</v>
      </c>
      <c r="E1486" t="s">
        <v>2493</v>
      </c>
      <c r="F1486">
        <v>2900</v>
      </c>
      <c r="G1486" t="s">
        <v>569</v>
      </c>
      <c r="H1486" t="s">
        <v>2366</v>
      </c>
      <c r="I1486" t="s">
        <v>2366</v>
      </c>
      <c r="J1486">
        <v>2904</v>
      </c>
      <c r="K1486" t="s">
        <v>1432</v>
      </c>
      <c r="L1486">
        <v>2100</v>
      </c>
      <c r="M1486" t="s">
        <v>618</v>
      </c>
      <c r="N1486">
        <v>2115</v>
      </c>
      <c r="O1486" t="s">
        <v>1506</v>
      </c>
      <c r="P1486" t="s">
        <v>2366</v>
      </c>
      <c r="Q1486" t="s">
        <v>2364</v>
      </c>
      <c r="R1486" t="s">
        <v>2364</v>
      </c>
      <c r="S1486" t="s">
        <v>1881</v>
      </c>
      <c r="T1486" t="s">
        <v>1812</v>
      </c>
      <c r="U1486" t="s">
        <v>2365</v>
      </c>
      <c r="V1486" t="s">
        <v>2365</v>
      </c>
      <c r="W1486" t="s">
        <v>2365</v>
      </c>
      <c r="X1486" t="s">
        <v>2365</v>
      </c>
      <c r="Y1486" t="s">
        <v>2365</v>
      </c>
      <c r="Z1486" t="s">
        <v>2365</v>
      </c>
      <c r="AA1486" t="s">
        <v>2365</v>
      </c>
      <c r="AB1486" t="s">
        <v>2365</v>
      </c>
      <c r="AC1486" s="813" t="s">
        <v>2365</v>
      </c>
      <c r="AD1486" s="813" t="s">
        <v>2365</v>
      </c>
      <c r="AE1486" s="813" t="s">
        <v>2365</v>
      </c>
      <c r="AF1486" t="s">
        <v>2365</v>
      </c>
      <c r="AG1486" t="s">
        <v>2365</v>
      </c>
      <c r="AH1486" t="s">
        <v>2365</v>
      </c>
      <c r="AI1486" t="s">
        <v>2365</v>
      </c>
      <c r="AJ1486" t="s">
        <v>2365</v>
      </c>
      <c r="AK1486" t="s">
        <v>2365</v>
      </c>
      <c r="AL1486" t="s">
        <v>2365</v>
      </c>
      <c r="AM1486" t="s">
        <v>2365</v>
      </c>
      <c r="AN1486" t="s">
        <v>2365</v>
      </c>
      <c r="AR1486" t="s">
        <v>2365</v>
      </c>
      <c r="AS1486" t="s">
        <v>2365</v>
      </c>
      <c r="AT1486" t="s">
        <v>2365</v>
      </c>
      <c r="AU1486" t="s">
        <v>2365</v>
      </c>
      <c r="AV1486" t="s">
        <v>2365</v>
      </c>
      <c r="AW1486" t="s">
        <v>2365</v>
      </c>
      <c r="AX1486" t="s">
        <v>2365</v>
      </c>
      <c r="AY1486" t="s">
        <v>2365</v>
      </c>
      <c r="AZ1486" t="s">
        <v>2365</v>
      </c>
      <c r="BA1486" t="s">
        <v>2365</v>
      </c>
      <c r="BB1486" t="s">
        <v>2365</v>
      </c>
      <c r="BC1486" t="s">
        <v>2365</v>
      </c>
      <c r="BD1486" t="s">
        <v>2366</v>
      </c>
      <c r="BE1486" t="s">
        <v>2365</v>
      </c>
      <c r="BF1486" t="s">
        <v>2365</v>
      </c>
      <c r="BG1486" t="s">
        <v>2365</v>
      </c>
      <c r="BH1486" t="s">
        <v>2365</v>
      </c>
      <c r="BI1486" t="s">
        <v>2366</v>
      </c>
      <c r="BJ1486" t="s">
        <v>2365</v>
      </c>
      <c r="BK1486" t="s">
        <v>2365</v>
      </c>
      <c r="BL1486" t="s">
        <v>2365</v>
      </c>
      <c r="BM1486" t="s">
        <v>2365</v>
      </c>
      <c r="BO1486">
        <v>5</v>
      </c>
      <c r="BP1486">
        <v>51</v>
      </c>
      <c r="BQ1486" t="s">
        <v>2438</v>
      </c>
      <c r="BR1486" t="s">
        <v>1506</v>
      </c>
      <c r="BU1486">
        <v>200000</v>
      </c>
      <c r="BV1486">
        <v>0</v>
      </c>
      <c r="BW1486">
        <v>200000</v>
      </c>
      <c r="BX1486">
        <v>0</v>
      </c>
      <c r="BY1486">
        <v>200000</v>
      </c>
      <c r="BZ1486">
        <v>212000</v>
      </c>
      <c r="CA1486">
        <v>224720</v>
      </c>
      <c r="CB1486">
        <v>0</v>
      </c>
      <c r="CC1486">
        <v>0</v>
      </c>
      <c r="CD1486">
        <v>0</v>
      </c>
      <c r="CE1486">
        <v>0</v>
      </c>
      <c r="CF1486">
        <v>0</v>
      </c>
      <c r="CG1486">
        <v>0</v>
      </c>
      <c r="CH1486">
        <v>0</v>
      </c>
      <c r="CI1486">
        <v>0</v>
      </c>
      <c r="CJ1486">
        <v>0</v>
      </c>
      <c r="CK1486">
        <v>0</v>
      </c>
      <c r="CL1486">
        <v>0</v>
      </c>
      <c r="CM1486">
        <v>0</v>
      </c>
      <c r="CR1486" t="s">
        <v>2324</v>
      </c>
      <c r="CS1486" s="1369" t="str">
        <f>INDEX([8]Sheet1!$H:$H,MATCH(CR:CR,[8]Sheet1!$AU:$AU,0))</f>
        <v>Finance</v>
      </c>
    </row>
    <row r="1487" spans="1:97" x14ac:dyDescent="0.2">
      <c r="A1487" t="s">
        <v>4564</v>
      </c>
      <c r="B1487">
        <v>1576</v>
      </c>
      <c r="C1487" t="s">
        <v>4564</v>
      </c>
      <c r="D1487">
        <v>54444</v>
      </c>
      <c r="E1487" t="s">
        <v>2427</v>
      </c>
      <c r="F1487">
        <v>2700</v>
      </c>
      <c r="G1487" t="s">
        <v>656</v>
      </c>
      <c r="H1487" t="s">
        <v>2428</v>
      </c>
      <c r="I1487" t="s">
        <v>1800</v>
      </c>
      <c r="J1487">
        <v>2701</v>
      </c>
      <c r="K1487" t="s">
        <v>1800</v>
      </c>
      <c r="L1487">
        <v>2200</v>
      </c>
      <c r="M1487" t="s">
        <v>619</v>
      </c>
      <c r="N1487">
        <v>2205</v>
      </c>
      <c r="O1487" t="s">
        <v>1517</v>
      </c>
      <c r="P1487" t="s">
        <v>2366</v>
      </c>
      <c r="Q1487" t="s">
        <v>2364</v>
      </c>
      <c r="R1487" t="s">
        <v>2364</v>
      </c>
      <c r="S1487" t="s">
        <v>1881</v>
      </c>
      <c r="T1487" t="s">
        <v>1812</v>
      </c>
      <c r="U1487" t="s">
        <v>2365</v>
      </c>
      <c r="V1487" t="s">
        <v>2365</v>
      </c>
      <c r="W1487" t="s">
        <v>2365</v>
      </c>
      <c r="X1487" t="s">
        <v>2365</v>
      </c>
      <c r="Y1487" t="s">
        <v>2365</v>
      </c>
      <c r="Z1487" t="s">
        <v>2365</v>
      </c>
      <c r="AA1487" t="s">
        <v>2365</v>
      </c>
      <c r="AB1487" t="s">
        <v>2365</v>
      </c>
      <c r="AC1487" s="813" t="s">
        <v>2365</v>
      </c>
      <c r="AD1487" s="813" t="s">
        <v>2365</v>
      </c>
      <c r="AE1487" s="813" t="s">
        <v>2365</v>
      </c>
      <c r="AF1487" t="s">
        <v>2365</v>
      </c>
      <c r="AG1487" t="s">
        <v>2365</v>
      </c>
      <c r="AH1487" t="s">
        <v>2365</v>
      </c>
      <c r="AI1487" t="s">
        <v>2365</v>
      </c>
      <c r="AJ1487" t="s">
        <v>2365</v>
      </c>
      <c r="AK1487" t="s">
        <v>2365</v>
      </c>
      <c r="AL1487" t="s">
        <v>2365</v>
      </c>
      <c r="AM1487" t="s">
        <v>2365</v>
      </c>
      <c r="AN1487" t="s">
        <v>2365</v>
      </c>
      <c r="AR1487" t="s">
        <v>2365</v>
      </c>
      <c r="AS1487" t="s">
        <v>2365</v>
      </c>
      <c r="AT1487" t="s">
        <v>2365</v>
      </c>
      <c r="AU1487" t="s">
        <v>2365</v>
      </c>
      <c r="AV1487" t="s">
        <v>2365</v>
      </c>
      <c r="AW1487" t="s">
        <v>2365</v>
      </c>
      <c r="AX1487" t="s">
        <v>2365</v>
      </c>
      <c r="AY1487" t="s">
        <v>2365</v>
      </c>
      <c r="AZ1487" t="s">
        <v>2365</v>
      </c>
      <c r="BA1487" t="s">
        <v>2365</v>
      </c>
      <c r="BB1487" t="s">
        <v>2365</v>
      </c>
      <c r="BC1487" t="s">
        <v>2365</v>
      </c>
      <c r="BD1487" t="s">
        <v>2366</v>
      </c>
      <c r="BE1487" t="s">
        <v>2365</v>
      </c>
      <c r="BF1487" t="s">
        <v>2365</v>
      </c>
      <c r="BG1487" t="s">
        <v>2365</v>
      </c>
      <c r="BH1487" t="s">
        <v>2365</v>
      </c>
      <c r="BI1487" t="s">
        <v>2366</v>
      </c>
      <c r="BJ1487" t="s">
        <v>2365</v>
      </c>
      <c r="BK1487" t="s">
        <v>2365</v>
      </c>
      <c r="BL1487" t="s">
        <v>2365</v>
      </c>
      <c r="BM1487" t="s">
        <v>2365</v>
      </c>
      <c r="BO1487">
        <v>9</v>
      </c>
      <c r="BP1487">
        <v>91</v>
      </c>
      <c r="BQ1487" t="s">
        <v>265</v>
      </c>
      <c r="BR1487" t="s">
        <v>1517</v>
      </c>
      <c r="BU1487">
        <v>35000</v>
      </c>
      <c r="BV1487">
        <v>0</v>
      </c>
      <c r="BW1487">
        <v>35000</v>
      </c>
      <c r="BX1487">
        <v>0</v>
      </c>
      <c r="BY1487">
        <v>35000</v>
      </c>
      <c r="BZ1487">
        <v>37100</v>
      </c>
      <c r="CA1487">
        <v>39326</v>
      </c>
      <c r="CB1487">
        <v>0</v>
      </c>
      <c r="CC1487">
        <v>0</v>
      </c>
      <c r="CD1487">
        <v>0</v>
      </c>
      <c r="CE1487">
        <v>0</v>
      </c>
      <c r="CF1487">
        <v>0</v>
      </c>
      <c r="CG1487">
        <v>0</v>
      </c>
      <c r="CH1487">
        <v>0</v>
      </c>
      <c r="CI1487">
        <v>0</v>
      </c>
      <c r="CJ1487">
        <v>0</v>
      </c>
      <c r="CK1487">
        <v>0</v>
      </c>
      <c r="CL1487">
        <v>0</v>
      </c>
      <c r="CM1487">
        <v>0</v>
      </c>
      <c r="CR1487" t="s">
        <v>2324</v>
      </c>
      <c r="CS1487" s="1369" t="str">
        <f>INDEX([8]Sheet1!$H:$H,MATCH(CR:CR,[8]Sheet1!$AU:$AU,0))</f>
        <v>Finance</v>
      </c>
    </row>
    <row r="1488" spans="1:97" x14ac:dyDescent="0.2">
      <c r="A1488" t="s">
        <v>4565</v>
      </c>
      <c r="B1488">
        <v>1577</v>
      </c>
      <c r="C1488" t="s">
        <v>4565</v>
      </c>
      <c r="D1488">
        <v>54445</v>
      </c>
      <c r="E1488" t="s">
        <v>2615</v>
      </c>
      <c r="F1488">
        <v>2700</v>
      </c>
      <c r="G1488" t="s">
        <v>656</v>
      </c>
      <c r="H1488" t="s">
        <v>2478</v>
      </c>
      <c r="I1488" t="s">
        <v>1802</v>
      </c>
      <c r="J1488">
        <v>2703</v>
      </c>
      <c r="K1488" t="s">
        <v>1802</v>
      </c>
      <c r="L1488">
        <v>2200</v>
      </c>
      <c r="M1488" t="s">
        <v>619</v>
      </c>
      <c r="N1488">
        <v>2205</v>
      </c>
      <c r="O1488" t="s">
        <v>1517</v>
      </c>
      <c r="P1488" t="s">
        <v>2366</v>
      </c>
      <c r="Q1488" t="s">
        <v>2364</v>
      </c>
      <c r="R1488" t="s">
        <v>2364</v>
      </c>
      <c r="S1488" t="s">
        <v>1881</v>
      </c>
      <c r="T1488" t="s">
        <v>1812</v>
      </c>
      <c r="U1488" t="s">
        <v>2365</v>
      </c>
      <c r="V1488" t="s">
        <v>2365</v>
      </c>
      <c r="W1488" t="s">
        <v>2365</v>
      </c>
      <c r="X1488" t="s">
        <v>2365</v>
      </c>
      <c r="Y1488" t="s">
        <v>2365</v>
      </c>
      <c r="Z1488" t="s">
        <v>2365</v>
      </c>
      <c r="AA1488" t="s">
        <v>2365</v>
      </c>
      <c r="AB1488" t="s">
        <v>2365</v>
      </c>
      <c r="AC1488" s="813" t="s">
        <v>2365</v>
      </c>
      <c r="AD1488" s="813" t="s">
        <v>2365</v>
      </c>
      <c r="AE1488" s="813" t="s">
        <v>2365</v>
      </c>
      <c r="AF1488" t="s">
        <v>2365</v>
      </c>
      <c r="AG1488" t="s">
        <v>2365</v>
      </c>
      <c r="AH1488" t="s">
        <v>2365</v>
      </c>
      <c r="AI1488" t="s">
        <v>2365</v>
      </c>
      <c r="AJ1488" t="s">
        <v>2365</v>
      </c>
      <c r="AK1488" t="s">
        <v>2365</v>
      </c>
      <c r="AL1488" t="s">
        <v>2365</v>
      </c>
      <c r="AM1488" t="s">
        <v>2365</v>
      </c>
      <c r="AN1488" t="s">
        <v>2365</v>
      </c>
      <c r="AR1488" t="s">
        <v>2365</v>
      </c>
      <c r="AS1488" t="s">
        <v>2365</v>
      </c>
      <c r="AT1488" t="s">
        <v>2365</v>
      </c>
      <c r="AU1488" t="s">
        <v>2365</v>
      </c>
      <c r="AV1488" t="s">
        <v>2365</v>
      </c>
      <c r="AW1488" t="s">
        <v>2365</v>
      </c>
      <c r="AX1488" t="s">
        <v>2365</v>
      </c>
      <c r="AY1488" t="s">
        <v>2365</v>
      </c>
      <c r="AZ1488" t="s">
        <v>2365</v>
      </c>
      <c r="BA1488" t="s">
        <v>2365</v>
      </c>
      <c r="BB1488" t="s">
        <v>2365</v>
      </c>
      <c r="BC1488" t="s">
        <v>2365</v>
      </c>
      <c r="BD1488" t="s">
        <v>2366</v>
      </c>
      <c r="BE1488" t="s">
        <v>2365</v>
      </c>
      <c r="BF1488" t="s">
        <v>2365</v>
      </c>
      <c r="BG1488" t="s">
        <v>2365</v>
      </c>
      <c r="BH1488" t="s">
        <v>2365</v>
      </c>
      <c r="BI1488" t="s">
        <v>2366</v>
      </c>
      <c r="BJ1488" t="s">
        <v>2365</v>
      </c>
      <c r="BK1488" t="s">
        <v>2365</v>
      </c>
      <c r="BL1488" t="s">
        <v>2365</v>
      </c>
      <c r="BM1488" t="s">
        <v>2365</v>
      </c>
      <c r="BO1488">
        <v>9</v>
      </c>
      <c r="BP1488">
        <v>91</v>
      </c>
      <c r="BQ1488" t="s">
        <v>265</v>
      </c>
      <c r="BR1488" t="s">
        <v>1517</v>
      </c>
      <c r="BU1488">
        <v>5000</v>
      </c>
      <c r="BV1488">
        <v>0</v>
      </c>
      <c r="BW1488">
        <v>5000</v>
      </c>
      <c r="BX1488">
        <v>0</v>
      </c>
      <c r="BY1488">
        <v>5000</v>
      </c>
      <c r="BZ1488">
        <v>5300</v>
      </c>
      <c r="CA1488">
        <v>5618</v>
      </c>
      <c r="CB1488">
        <v>0</v>
      </c>
      <c r="CC1488">
        <v>0</v>
      </c>
      <c r="CD1488">
        <v>0</v>
      </c>
      <c r="CE1488">
        <v>0</v>
      </c>
      <c r="CF1488">
        <v>0</v>
      </c>
      <c r="CG1488">
        <v>0</v>
      </c>
      <c r="CH1488">
        <v>0</v>
      </c>
      <c r="CI1488">
        <v>0</v>
      </c>
      <c r="CJ1488">
        <v>0</v>
      </c>
      <c r="CK1488">
        <v>0</v>
      </c>
      <c r="CL1488">
        <v>0</v>
      </c>
      <c r="CM1488">
        <v>0</v>
      </c>
      <c r="CR1488" t="s">
        <v>2324</v>
      </c>
      <c r="CS1488" s="1369" t="str">
        <f>INDEX([8]Sheet1!$H:$H,MATCH(CR:CR,[8]Sheet1!$AU:$AU,0))</f>
        <v>Finance</v>
      </c>
    </row>
    <row r="1489" spans="1:97" x14ac:dyDescent="0.2">
      <c r="A1489" t="s">
        <v>4566</v>
      </c>
      <c r="B1489">
        <v>1578</v>
      </c>
      <c r="C1489" t="s">
        <v>4566</v>
      </c>
      <c r="D1489">
        <v>54446</v>
      </c>
      <c r="E1489" t="s">
        <v>2430</v>
      </c>
      <c r="F1489">
        <v>2700</v>
      </c>
      <c r="G1489" t="s">
        <v>656</v>
      </c>
      <c r="H1489" t="s">
        <v>2428</v>
      </c>
      <c r="I1489" t="s">
        <v>1800</v>
      </c>
      <c r="J1489">
        <v>2701</v>
      </c>
      <c r="K1489" t="s">
        <v>1800</v>
      </c>
      <c r="L1489">
        <v>2200</v>
      </c>
      <c r="M1489" t="s">
        <v>619</v>
      </c>
      <c r="N1489">
        <v>2205</v>
      </c>
      <c r="O1489" t="s">
        <v>1517</v>
      </c>
      <c r="P1489" t="s">
        <v>2366</v>
      </c>
      <c r="Q1489" t="s">
        <v>2364</v>
      </c>
      <c r="R1489" t="s">
        <v>2364</v>
      </c>
      <c r="S1489" t="s">
        <v>1881</v>
      </c>
      <c r="T1489" t="s">
        <v>1812</v>
      </c>
      <c r="U1489" t="s">
        <v>2365</v>
      </c>
      <c r="V1489" t="s">
        <v>2365</v>
      </c>
      <c r="W1489" t="s">
        <v>2365</v>
      </c>
      <c r="X1489" t="s">
        <v>2365</v>
      </c>
      <c r="Y1489" t="s">
        <v>2365</v>
      </c>
      <c r="Z1489" t="s">
        <v>2365</v>
      </c>
      <c r="AA1489" t="s">
        <v>2365</v>
      </c>
      <c r="AB1489" t="s">
        <v>2365</v>
      </c>
      <c r="AC1489" s="813" t="s">
        <v>2365</v>
      </c>
      <c r="AD1489" s="813" t="s">
        <v>2365</v>
      </c>
      <c r="AE1489" s="813" t="s">
        <v>2365</v>
      </c>
      <c r="AF1489" t="s">
        <v>2365</v>
      </c>
      <c r="AG1489" t="s">
        <v>2365</v>
      </c>
      <c r="AH1489" t="s">
        <v>2365</v>
      </c>
      <c r="AI1489" t="s">
        <v>2365</v>
      </c>
      <c r="AJ1489" t="s">
        <v>2365</v>
      </c>
      <c r="AK1489" t="s">
        <v>2365</v>
      </c>
      <c r="AL1489" t="s">
        <v>2365</v>
      </c>
      <c r="AM1489" t="s">
        <v>2365</v>
      </c>
      <c r="AN1489" t="s">
        <v>2365</v>
      </c>
      <c r="AR1489" t="s">
        <v>2365</v>
      </c>
      <c r="AS1489" t="s">
        <v>2365</v>
      </c>
      <c r="AT1489" t="s">
        <v>2365</v>
      </c>
      <c r="AU1489" t="s">
        <v>2365</v>
      </c>
      <c r="AV1489" t="s">
        <v>2365</v>
      </c>
      <c r="AW1489" t="s">
        <v>2365</v>
      </c>
      <c r="AX1489" t="s">
        <v>2365</v>
      </c>
      <c r="AY1489" t="s">
        <v>2365</v>
      </c>
      <c r="AZ1489" t="s">
        <v>2365</v>
      </c>
      <c r="BA1489" t="s">
        <v>2365</v>
      </c>
      <c r="BB1489" t="s">
        <v>2365</v>
      </c>
      <c r="BC1489" t="s">
        <v>2365</v>
      </c>
      <c r="BD1489" t="s">
        <v>2366</v>
      </c>
      <c r="BE1489" t="s">
        <v>2365</v>
      </c>
      <c r="BF1489" t="s">
        <v>2365</v>
      </c>
      <c r="BG1489" t="s">
        <v>2365</v>
      </c>
      <c r="BH1489" t="s">
        <v>2365</v>
      </c>
      <c r="BI1489" t="s">
        <v>2366</v>
      </c>
      <c r="BJ1489" t="s">
        <v>2365</v>
      </c>
      <c r="BK1489" t="s">
        <v>2365</v>
      </c>
      <c r="BL1489" t="s">
        <v>2365</v>
      </c>
      <c r="BM1489" t="s">
        <v>2365</v>
      </c>
      <c r="BO1489">
        <v>9</v>
      </c>
      <c r="BP1489">
        <v>91</v>
      </c>
      <c r="BQ1489" t="s">
        <v>265</v>
      </c>
      <c r="BR1489" t="s">
        <v>1517</v>
      </c>
      <c r="BU1489">
        <v>30000</v>
      </c>
      <c r="BV1489">
        <v>0</v>
      </c>
      <c r="BW1489">
        <v>30000</v>
      </c>
      <c r="BX1489">
        <v>0</v>
      </c>
      <c r="BY1489">
        <v>30000</v>
      </c>
      <c r="BZ1489">
        <v>31800</v>
      </c>
      <c r="CA1489">
        <v>33708</v>
      </c>
      <c r="CB1489">
        <v>0</v>
      </c>
      <c r="CC1489">
        <v>0</v>
      </c>
      <c r="CD1489">
        <v>0</v>
      </c>
      <c r="CE1489">
        <v>0</v>
      </c>
      <c r="CF1489">
        <v>0</v>
      </c>
      <c r="CG1489">
        <v>0</v>
      </c>
      <c r="CH1489">
        <v>0</v>
      </c>
      <c r="CI1489">
        <v>0</v>
      </c>
      <c r="CJ1489">
        <v>0</v>
      </c>
      <c r="CK1489">
        <v>0</v>
      </c>
      <c r="CL1489">
        <v>0</v>
      </c>
      <c r="CM1489">
        <v>0</v>
      </c>
      <c r="CR1489" t="s">
        <v>2324</v>
      </c>
      <c r="CS1489" s="1369" t="str">
        <f>INDEX([8]Sheet1!$H:$H,MATCH(CR:CR,[8]Sheet1!$AU:$AU,0))</f>
        <v>Finance</v>
      </c>
    </row>
    <row r="1490" spans="1:97" x14ac:dyDescent="0.2">
      <c r="A1490" t="s">
        <v>4567</v>
      </c>
      <c r="B1490">
        <v>1579</v>
      </c>
      <c r="C1490" t="s">
        <v>4567</v>
      </c>
      <c r="D1490">
        <v>54447</v>
      </c>
      <c r="E1490" t="s">
        <v>4568</v>
      </c>
      <c r="F1490">
        <v>2700</v>
      </c>
      <c r="G1490" t="s">
        <v>656</v>
      </c>
      <c r="H1490" t="s">
        <v>2664</v>
      </c>
      <c r="I1490" t="s">
        <v>1801</v>
      </c>
      <c r="J1490">
        <v>2702</v>
      </c>
      <c r="K1490" t="s">
        <v>1801</v>
      </c>
      <c r="L1490">
        <v>1100</v>
      </c>
      <c r="M1490" t="s">
        <v>616</v>
      </c>
      <c r="N1490">
        <v>1120</v>
      </c>
      <c r="O1490" t="s">
        <v>1485</v>
      </c>
      <c r="P1490" t="s">
        <v>2366</v>
      </c>
      <c r="Q1490" t="s">
        <v>2364</v>
      </c>
      <c r="R1490" t="s">
        <v>2364</v>
      </c>
      <c r="S1490" t="s">
        <v>1881</v>
      </c>
      <c r="T1490" t="s">
        <v>1812</v>
      </c>
      <c r="U1490" t="s">
        <v>2365</v>
      </c>
      <c r="V1490" t="s">
        <v>2365</v>
      </c>
      <c r="W1490" t="s">
        <v>2365</v>
      </c>
      <c r="X1490" t="s">
        <v>2365</v>
      </c>
      <c r="Y1490" t="s">
        <v>2365</v>
      </c>
      <c r="Z1490" t="s">
        <v>2365</v>
      </c>
      <c r="AA1490" t="s">
        <v>2365</v>
      </c>
      <c r="AB1490" t="s">
        <v>2365</v>
      </c>
      <c r="AC1490" s="813" t="s">
        <v>2365</v>
      </c>
      <c r="AD1490" s="813" t="s">
        <v>2365</v>
      </c>
      <c r="AE1490" s="813" t="s">
        <v>2365</v>
      </c>
      <c r="AF1490" t="s">
        <v>2365</v>
      </c>
      <c r="AG1490" t="s">
        <v>2365</v>
      </c>
      <c r="AH1490" t="s">
        <v>2365</v>
      </c>
      <c r="AI1490" t="s">
        <v>2365</v>
      </c>
      <c r="AJ1490" t="s">
        <v>2365</v>
      </c>
      <c r="AK1490" t="s">
        <v>2365</v>
      </c>
      <c r="AL1490" t="s">
        <v>2365</v>
      </c>
      <c r="AM1490" t="s">
        <v>2365</v>
      </c>
      <c r="AN1490" t="s">
        <v>2365</v>
      </c>
      <c r="AR1490" t="s">
        <v>2365</v>
      </c>
      <c r="AS1490" t="s">
        <v>2365</v>
      </c>
      <c r="AT1490" t="s">
        <v>2365</v>
      </c>
      <c r="AU1490" t="s">
        <v>2365</v>
      </c>
      <c r="AV1490" t="s">
        <v>2365</v>
      </c>
      <c r="AW1490" t="s">
        <v>2365</v>
      </c>
      <c r="AX1490" t="s">
        <v>2365</v>
      </c>
      <c r="AY1490" t="s">
        <v>2365</v>
      </c>
      <c r="AZ1490" t="s">
        <v>2365</v>
      </c>
      <c r="BA1490" t="s">
        <v>2365</v>
      </c>
      <c r="BB1490" t="s">
        <v>2365</v>
      </c>
      <c r="BC1490" t="s">
        <v>2365</v>
      </c>
      <c r="BD1490" t="s">
        <v>2366</v>
      </c>
      <c r="BE1490" t="s">
        <v>2365</v>
      </c>
      <c r="BF1490" t="s">
        <v>2365</v>
      </c>
      <c r="BG1490" t="s">
        <v>2365</v>
      </c>
      <c r="BH1490" t="s">
        <v>2365</v>
      </c>
      <c r="BI1490" t="s">
        <v>2366</v>
      </c>
      <c r="BJ1490" t="s">
        <v>2365</v>
      </c>
      <c r="BK1490" t="s">
        <v>2365</v>
      </c>
      <c r="BL1490" t="s">
        <v>2365</v>
      </c>
      <c r="BM1490" t="s">
        <v>2365</v>
      </c>
      <c r="BO1490">
        <v>3</v>
      </c>
      <c r="BP1490">
        <v>31</v>
      </c>
      <c r="BQ1490" t="s">
        <v>2716</v>
      </c>
      <c r="BR1490" t="s">
        <v>1485</v>
      </c>
      <c r="BU1490">
        <v>0</v>
      </c>
      <c r="BV1490">
        <v>0</v>
      </c>
      <c r="BW1490">
        <v>0</v>
      </c>
      <c r="BX1490">
        <v>0</v>
      </c>
      <c r="BY1490">
        <v>0</v>
      </c>
      <c r="BZ1490">
        <v>0</v>
      </c>
      <c r="CA1490">
        <v>0</v>
      </c>
      <c r="CB1490">
        <v>0</v>
      </c>
      <c r="CC1490">
        <v>0</v>
      </c>
      <c r="CD1490">
        <v>0</v>
      </c>
      <c r="CE1490">
        <v>0</v>
      </c>
      <c r="CF1490">
        <v>0</v>
      </c>
      <c r="CG1490">
        <v>0</v>
      </c>
      <c r="CH1490">
        <v>0</v>
      </c>
      <c r="CI1490">
        <v>0</v>
      </c>
      <c r="CJ1490">
        <v>0</v>
      </c>
      <c r="CK1490">
        <v>0</v>
      </c>
      <c r="CL1490">
        <v>0</v>
      </c>
      <c r="CM1490">
        <v>0</v>
      </c>
      <c r="CR1490" t="s">
        <v>2324</v>
      </c>
      <c r="CS1490" s="1369" t="str">
        <f>INDEX([8]Sheet1!$H:$H,MATCH(CR:CR,[8]Sheet1!$AU:$AU,0))</f>
        <v>Finance</v>
      </c>
    </row>
    <row r="1491" spans="1:97" x14ac:dyDescent="0.2">
      <c r="A1491" t="s">
        <v>4569</v>
      </c>
      <c r="B1491">
        <v>1580</v>
      </c>
      <c r="C1491" t="s">
        <v>4569</v>
      </c>
      <c r="D1491">
        <v>54448</v>
      </c>
      <c r="E1491" t="s">
        <v>3010</v>
      </c>
      <c r="F1491">
        <v>2700</v>
      </c>
      <c r="G1491" t="s">
        <v>656</v>
      </c>
      <c r="H1491" t="s">
        <v>2428</v>
      </c>
      <c r="I1491" t="s">
        <v>1800</v>
      </c>
      <c r="J1491">
        <v>2701</v>
      </c>
      <c r="K1491" t="s">
        <v>1800</v>
      </c>
      <c r="L1491">
        <v>1100</v>
      </c>
      <c r="M1491" t="s">
        <v>616</v>
      </c>
      <c r="N1491">
        <v>1120</v>
      </c>
      <c r="O1491" t="s">
        <v>1485</v>
      </c>
      <c r="P1491" t="s">
        <v>2366</v>
      </c>
      <c r="Q1491" t="s">
        <v>2364</v>
      </c>
      <c r="R1491" t="s">
        <v>2364</v>
      </c>
      <c r="S1491" t="s">
        <v>1881</v>
      </c>
      <c r="T1491" t="s">
        <v>1812</v>
      </c>
      <c r="U1491" t="s">
        <v>2365</v>
      </c>
      <c r="V1491" t="s">
        <v>2365</v>
      </c>
      <c r="W1491" t="s">
        <v>2365</v>
      </c>
      <c r="X1491" t="s">
        <v>2365</v>
      </c>
      <c r="Y1491" t="s">
        <v>2365</v>
      </c>
      <c r="Z1491" t="s">
        <v>2365</v>
      </c>
      <c r="AA1491" t="s">
        <v>2365</v>
      </c>
      <c r="AB1491" t="s">
        <v>2365</v>
      </c>
      <c r="AC1491" s="813" t="s">
        <v>2365</v>
      </c>
      <c r="AD1491" s="813" t="s">
        <v>2365</v>
      </c>
      <c r="AE1491" s="813" t="s">
        <v>2365</v>
      </c>
      <c r="AF1491" t="s">
        <v>2365</v>
      </c>
      <c r="AG1491" t="s">
        <v>2365</v>
      </c>
      <c r="AH1491" t="s">
        <v>2365</v>
      </c>
      <c r="AI1491" t="s">
        <v>2365</v>
      </c>
      <c r="AJ1491" t="s">
        <v>2365</v>
      </c>
      <c r="AK1491" t="s">
        <v>2365</v>
      </c>
      <c r="AL1491" t="s">
        <v>2365</v>
      </c>
      <c r="AM1491" t="s">
        <v>2365</v>
      </c>
      <c r="AN1491" t="s">
        <v>2365</v>
      </c>
      <c r="AR1491" t="s">
        <v>2365</v>
      </c>
      <c r="AS1491" t="s">
        <v>2365</v>
      </c>
      <c r="AT1491" t="s">
        <v>2365</v>
      </c>
      <c r="AU1491" t="s">
        <v>2365</v>
      </c>
      <c r="AV1491" t="s">
        <v>2365</v>
      </c>
      <c r="AW1491" t="s">
        <v>2365</v>
      </c>
      <c r="AX1491" t="s">
        <v>2365</v>
      </c>
      <c r="AY1491" t="s">
        <v>2365</v>
      </c>
      <c r="AZ1491" t="s">
        <v>2365</v>
      </c>
      <c r="BA1491" t="s">
        <v>2365</v>
      </c>
      <c r="BB1491" t="s">
        <v>2365</v>
      </c>
      <c r="BC1491" t="s">
        <v>2365</v>
      </c>
      <c r="BD1491" t="s">
        <v>2366</v>
      </c>
      <c r="BE1491" t="s">
        <v>2365</v>
      </c>
      <c r="BF1491" t="s">
        <v>2365</v>
      </c>
      <c r="BG1491" t="s">
        <v>2365</v>
      </c>
      <c r="BH1491" t="s">
        <v>2365</v>
      </c>
      <c r="BI1491" t="s">
        <v>2366</v>
      </c>
      <c r="BJ1491" t="s">
        <v>2365</v>
      </c>
      <c r="BK1491" t="s">
        <v>2365</v>
      </c>
      <c r="BL1491" t="s">
        <v>2365</v>
      </c>
      <c r="BM1491" t="s">
        <v>2365</v>
      </c>
      <c r="BO1491">
        <v>3</v>
      </c>
      <c r="BP1491">
        <v>31</v>
      </c>
      <c r="BQ1491" t="s">
        <v>2716</v>
      </c>
      <c r="BR1491" t="s">
        <v>1485</v>
      </c>
      <c r="BU1491">
        <v>0</v>
      </c>
      <c r="BV1491">
        <v>0</v>
      </c>
      <c r="BW1491">
        <v>0</v>
      </c>
      <c r="BX1491">
        <v>0</v>
      </c>
      <c r="BY1491">
        <v>0</v>
      </c>
      <c r="BZ1491">
        <v>0</v>
      </c>
      <c r="CA1491">
        <v>0</v>
      </c>
      <c r="CB1491">
        <v>0</v>
      </c>
      <c r="CC1491">
        <v>0</v>
      </c>
      <c r="CD1491">
        <v>0</v>
      </c>
      <c r="CE1491">
        <v>0</v>
      </c>
      <c r="CF1491">
        <v>0</v>
      </c>
      <c r="CG1491">
        <v>0</v>
      </c>
      <c r="CH1491">
        <v>0</v>
      </c>
      <c r="CI1491">
        <v>0</v>
      </c>
      <c r="CJ1491">
        <v>0</v>
      </c>
      <c r="CK1491">
        <v>0</v>
      </c>
      <c r="CL1491">
        <v>0</v>
      </c>
      <c r="CM1491">
        <v>0</v>
      </c>
      <c r="CR1491" t="s">
        <v>2324</v>
      </c>
      <c r="CS1491" s="1369" t="str">
        <f>INDEX([8]Sheet1!$H:$H,MATCH(CR:CR,[8]Sheet1!$AU:$AU,0))</f>
        <v>Finance</v>
      </c>
    </row>
    <row r="1492" spans="1:97" x14ac:dyDescent="0.2">
      <c r="A1492" t="s">
        <v>4570</v>
      </c>
      <c r="B1492">
        <v>1581</v>
      </c>
      <c r="C1492" t="s">
        <v>4570</v>
      </c>
      <c r="D1492">
        <v>54449</v>
      </c>
      <c r="E1492" t="s">
        <v>4571</v>
      </c>
      <c r="F1492">
        <v>2700</v>
      </c>
      <c r="G1492" t="s">
        <v>656</v>
      </c>
      <c r="H1492" t="s">
        <v>2664</v>
      </c>
      <c r="I1492" t="s">
        <v>1801</v>
      </c>
      <c r="J1492">
        <v>2702</v>
      </c>
      <c r="K1492" t="s">
        <v>1801</v>
      </c>
      <c r="L1492">
        <v>1100</v>
      </c>
      <c r="M1492" t="s">
        <v>616</v>
      </c>
      <c r="N1492">
        <v>1120</v>
      </c>
      <c r="O1492" t="s">
        <v>1485</v>
      </c>
      <c r="P1492" t="s">
        <v>2366</v>
      </c>
      <c r="Q1492" t="s">
        <v>2364</v>
      </c>
      <c r="R1492" t="s">
        <v>2364</v>
      </c>
      <c r="S1492" t="s">
        <v>1881</v>
      </c>
      <c r="T1492" t="s">
        <v>1812</v>
      </c>
      <c r="U1492" t="s">
        <v>2365</v>
      </c>
      <c r="V1492" t="s">
        <v>2365</v>
      </c>
      <c r="W1492" t="s">
        <v>2365</v>
      </c>
      <c r="X1492" t="s">
        <v>2365</v>
      </c>
      <c r="Y1492" t="s">
        <v>2365</v>
      </c>
      <c r="Z1492" t="s">
        <v>2365</v>
      </c>
      <c r="AA1492" t="s">
        <v>2365</v>
      </c>
      <c r="AB1492" t="s">
        <v>2365</v>
      </c>
      <c r="AC1492" s="813" t="s">
        <v>2365</v>
      </c>
      <c r="AD1492" s="813" t="s">
        <v>2365</v>
      </c>
      <c r="AE1492" s="813" t="s">
        <v>2365</v>
      </c>
      <c r="AF1492" t="s">
        <v>2365</v>
      </c>
      <c r="AG1492" t="s">
        <v>2365</v>
      </c>
      <c r="AH1492" t="s">
        <v>2365</v>
      </c>
      <c r="AI1492" t="s">
        <v>2365</v>
      </c>
      <c r="AJ1492" t="s">
        <v>2365</v>
      </c>
      <c r="AK1492" t="s">
        <v>2365</v>
      </c>
      <c r="AL1492" t="s">
        <v>2365</v>
      </c>
      <c r="AM1492" t="s">
        <v>2365</v>
      </c>
      <c r="AN1492" t="s">
        <v>2365</v>
      </c>
      <c r="AR1492" t="s">
        <v>2365</v>
      </c>
      <c r="AS1492" t="s">
        <v>2365</v>
      </c>
      <c r="AT1492" t="s">
        <v>2365</v>
      </c>
      <c r="AU1492" t="s">
        <v>2365</v>
      </c>
      <c r="AV1492" t="s">
        <v>2365</v>
      </c>
      <c r="AW1492" t="s">
        <v>2365</v>
      </c>
      <c r="AX1492" t="s">
        <v>2365</v>
      </c>
      <c r="AY1492" t="s">
        <v>2365</v>
      </c>
      <c r="AZ1492" t="s">
        <v>2365</v>
      </c>
      <c r="BA1492" t="s">
        <v>2365</v>
      </c>
      <c r="BB1492" t="s">
        <v>2365</v>
      </c>
      <c r="BC1492" t="s">
        <v>2365</v>
      </c>
      <c r="BD1492" t="s">
        <v>2366</v>
      </c>
      <c r="BE1492" t="s">
        <v>2365</v>
      </c>
      <c r="BF1492" t="s">
        <v>2365</v>
      </c>
      <c r="BG1492" t="s">
        <v>2365</v>
      </c>
      <c r="BH1492" t="s">
        <v>2365</v>
      </c>
      <c r="BI1492" t="s">
        <v>2366</v>
      </c>
      <c r="BJ1492" t="s">
        <v>2365</v>
      </c>
      <c r="BK1492" t="s">
        <v>2365</v>
      </c>
      <c r="BL1492" t="s">
        <v>2365</v>
      </c>
      <c r="BM1492" t="s">
        <v>2365</v>
      </c>
      <c r="BO1492">
        <v>3</v>
      </c>
      <c r="BP1492">
        <v>31</v>
      </c>
      <c r="BQ1492" t="s">
        <v>2716</v>
      </c>
      <c r="BR1492" t="s">
        <v>1485</v>
      </c>
      <c r="BU1492">
        <v>260000</v>
      </c>
      <c r="BV1492">
        <v>0</v>
      </c>
      <c r="BW1492">
        <v>260000</v>
      </c>
      <c r="BX1492">
        <v>0</v>
      </c>
      <c r="BY1492">
        <v>260000</v>
      </c>
      <c r="BZ1492">
        <v>270400</v>
      </c>
      <c r="CA1492">
        <v>281216</v>
      </c>
      <c r="CB1492">
        <v>0</v>
      </c>
      <c r="CC1492">
        <v>0</v>
      </c>
      <c r="CD1492">
        <v>22076</v>
      </c>
      <c r="CE1492">
        <v>28470</v>
      </c>
      <c r="CF1492">
        <v>0</v>
      </c>
      <c r="CG1492">
        <v>0</v>
      </c>
      <c r="CH1492">
        <v>28570</v>
      </c>
      <c r="CI1492">
        <v>0</v>
      </c>
      <c r="CJ1492">
        <v>0</v>
      </c>
      <c r="CK1492">
        <v>0</v>
      </c>
      <c r="CL1492">
        <v>0</v>
      </c>
      <c r="CM1492">
        <v>0</v>
      </c>
      <c r="CR1492" t="s">
        <v>2324</v>
      </c>
      <c r="CS1492" s="1369" t="str">
        <f>INDEX([8]Sheet1!$H:$H,MATCH(CR:CR,[8]Sheet1!$AU:$AU,0))</f>
        <v>Finance</v>
      </c>
    </row>
    <row r="1493" spans="1:97" x14ac:dyDescent="0.2">
      <c r="A1493" t="s">
        <v>4572</v>
      </c>
      <c r="B1493">
        <v>1582</v>
      </c>
      <c r="C1493" t="s">
        <v>4572</v>
      </c>
      <c r="D1493">
        <v>54450</v>
      </c>
      <c r="E1493" t="s">
        <v>2427</v>
      </c>
      <c r="F1493">
        <v>2700</v>
      </c>
      <c r="G1493" t="s">
        <v>656</v>
      </c>
      <c r="H1493" s="1373" t="s">
        <v>2428</v>
      </c>
      <c r="I1493" t="s">
        <v>1800</v>
      </c>
      <c r="J1493">
        <v>2701</v>
      </c>
      <c r="K1493" t="s">
        <v>1800</v>
      </c>
      <c r="L1493" s="1373">
        <v>2200</v>
      </c>
      <c r="M1493" t="s">
        <v>619</v>
      </c>
      <c r="N1493">
        <v>2205</v>
      </c>
      <c r="O1493" t="s">
        <v>1517</v>
      </c>
      <c r="P1493" t="s">
        <v>2366</v>
      </c>
      <c r="Q1493" t="s">
        <v>2364</v>
      </c>
      <c r="R1493" t="s">
        <v>2364</v>
      </c>
      <c r="S1493" t="s">
        <v>1881</v>
      </c>
      <c r="T1493" t="s">
        <v>1812</v>
      </c>
      <c r="U1493" t="s">
        <v>2365</v>
      </c>
      <c r="V1493" t="s">
        <v>2365</v>
      </c>
      <c r="W1493" t="s">
        <v>2365</v>
      </c>
      <c r="X1493" t="s">
        <v>2365</v>
      </c>
      <c r="Y1493" t="s">
        <v>2365</v>
      </c>
      <c r="Z1493" t="s">
        <v>2365</v>
      </c>
      <c r="AA1493" t="s">
        <v>2365</v>
      </c>
      <c r="AB1493" t="s">
        <v>2365</v>
      </c>
      <c r="AC1493" s="813" t="s">
        <v>2365</v>
      </c>
      <c r="AD1493" s="813" t="s">
        <v>2365</v>
      </c>
      <c r="AE1493" s="813" t="s">
        <v>2365</v>
      </c>
      <c r="AF1493" t="s">
        <v>2365</v>
      </c>
      <c r="AG1493" t="s">
        <v>2365</v>
      </c>
      <c r="AH1493" t="s">
        <v>2365</v>
      </c>
      <c r="AI1493" t="s">
        <v>2365</v>
      </c>
      <c r="AJ1493" t="s">
        <v>2365</v>
      </c>
      <c r="AK1493" s="1373" t="s">
        <v>2365</v>
      </c>
      <c r="AL1493" t="s">
        <v>2365</v>
      </c>
      <c r="AM1493" t="s">
        <v>2365</v>
      </c>
      <c r="AN1493" t="s">
        <v>2365</v>
      </c>
      <c r="AR1493" t="s">
        <v>2365</v>
      </c>
      <c r="AS1493" t="s">
        <v>2365</v>
      </c>
      <c r="AT1493" t="s">
        <v>2365</v>
      </c>
      <c r="AU1493" t="s">
        <v>2365</v>
      </c>
      <c r="AV1493" t="s">
        <v>2365</v>
      </c>
      <c r="AW1493" t="s">
        <v>2365</v>
      </c>
      <c r="AX1493" t="s">
        <v>2365</v>
      </c>
      <c r="AY1493" t="s">
        <v>2365</v>
      </c>
      <c r="AZ1493" t="s">
        <v>2365</v>
      </c>
      <c r="BA1493" t="s">
        <v>2365</v>
      </c>
      <c r="BB1493" t="s">
        <v>2365</v>
      </c>
      <c r="BC1493" t="s">
        <v>2365</v>
      </c>
      <c r="BD1493" t="s">
        <v>2366</v>
      </c>
      <c r="BE1493" t="s">
        <v>2365</v>
      </c>
      <c r="BF1493" t="s">
        <v>2365</v>
      </c>
      <c r="BG1493" t="s">
        <v>2365</v>
      </c>
      <c r="BH1493" t="s">
        <v>2365</v>
      </c>
      <c r="BI1493" t="s">
        <v>2366</v>
      </c>
      <c r="BJ1493" t="s">
        <v>2365</v>
      </c>
      <c r="BK1493" t="s">
        <v>2365</v>
      </c>
      <c r="BL1493" t="s">
        <v>2365</v>
      </c>
      <c r="BM1493" t="s">
        <v>2365</v>
      </c>
      <c r="BO1493">
        <v>9</v>
      </c>
      <c r="BP1493">
        <v>91</v>
      </c>
      <c r="BQ1493" t="s">
        <v>265</v>
      </c>
      <c r="BR1493" t="s">
        <v>1517</v>
      </c>
      <c r="BU1493" s="1371">
        <v>10000</v>
      </c>
      <c r="BV1493" s="1371">
        <v>0</v>
      </c>
      <c r="BW1493" s="1371">
        <v>10000</v>
      </c>
      <c r="BX1493" s="1371">
        <v>-10000</v>
      </c>
      <c r="BY1493" s="1371">
        <v>0</v>
      </c>
      <c r="BZ1493">
        <v>10600</v>
      </c>
      <c r="CA1493">
        <v>11236</v>
      </c>
      <c r="CB1493">
        <v>0</v>
      </c>
      <c r="CC1493">
        <v>0</v>
      </c>
      <c r="CD1493">
        <v>0</v>
      </c>
      <c r="CE1493">
        <v>0</v>
      </c>
      <c r="CF1493">
        <v>0</v>
      </c>
      <c r="CG1493">
        <v>0</v>
      </c>
      <c r="CH1493">
        <v>0</v>
      </c>
      <c r="CI1493">
        <v>0</v>
      </c>
      <c r="CJ1493">
        <v>0</v>
      </c>
      <c r="CK1493">
        <v>0</v>
      </c>
      <c r="CL1493">
        <v>0</v>
      </c>
      <c r="CM1493">
        <v>0</v>
      </c>
      <c r="CR1493" t="s">
        <v>2324</v>
      </c>
      <c r="CS1493" s="1369" t="str">
        <f>INDEX([8]Sheet1!$H:$H,MATCH(CR:CR,[8]Sheet1!$AU:$AU,0))</f>
        <v>Finance</v>
      </c>
    </row>
    <row r="1494" spans="1:97" x14ac:dyDescent="0.2">
      <c r="A1494" t="s">
        <v>4573</v>
      </c>
      <c r="B1494">
        <v>1583</v>
      </c>
      <c r="C1494" t="s">
        <v>4573</v>
      </c>
      <c r="D1494">
        <v>54451</v>
      </c>
      <c r="E1494" t="s">
        <v>2425</v>
      </c>
      <c r="F1494">
        <v>2900</v>
      </c>
      <c r="G1494" t="s">
        <v>569</v>
      </c>
      <c r="H1494" t="s">
        <v>2366</v>
      </c>
      <c r="I1494" t="s">
        <v>2366</v>
      </c>
      <c r="J1494">
        <v>2904</v>
      </c>
      <c r="K1494" t="s">
        <v>1432</v>
      </c>
      <c r="L1494">
        <v>2200</v>
      </c>
      <c r="M1494" t="s">
        <v>619</v>
      </c>
      <c r="N1494">
        <v>2205</v>
      </c>
      <c r="O1494" t="s">
        <v>1517</v>
      </c>
      <c r="P1494" t="s">
        <v>2366</v>
      </c>
      <c r="Q1494" t="s">
        <v>2364</v>
      </c>
      <c r="R1494" t="s">
        <v>2364</v>
      </c>
      <c r="S1494" t="s">
        <v>1881</v>
      </c>
      <c r="T1494" t="s">
        <v>1812</v>
      </c>
      <c r="U1494" t="s">
        <v>2365</v>
      </c>
      <c r="V1494" t="s">
        <v>2365</v>
      </c>
      <c r="W1494" t="s">
        <v>2365</v>
      </c>
      <c r="X1494" t="s">
        <v>2365</v>
      </c>
      <c r="Y1494" t="s">
        <v>2365</v>
      </c>
      <c r="Z1494" t="s">
        <v>2365</v>
      </c>
      <c r="AA1494" t="s">
        <v>2365</v>
      </c>
      <c r="AB1494" t="s">
        <v>2365</v>
      </c>
      <c r="AC1494" s="813" t="s">
        <v>2365</v>
      </c>
      <c r="AD1494" s="813" t="s">
        <v>2365</v>
      </c>
      <c r="AE1494" s="813" t="s">
        <v>2365</v>
      </c>
      <c r="AF1494" t="s">
        <v>2365</v>
      </c>
      <c r="AG1494" t="s">
        <v>2365</v>
      </c>
      <c r="AH1494" t="s">
        <v>2365</v>
      </c>
      <c r="AI1494" t="s">
        <v>2365</v>
      </c>
      <c r="AJ1494" t="s">
        <v>2365</v>
      </c>
      <c r="AK1494" t="s">
        <v>2365</v>
      </c>
      <c r="AL1494" t="s">
        <v>2365</v>
      </c>
      <c r="AM1494" t="s">
        <v>2365</v>
      </c>
      <c r="AN1494" t="s">
        <v>2365</v>
      </c>
      <c r="AR1494" t="s">
        <v>2365</v>
      </c>
      <c r="AS1494" t="s">
        <v>2365</v>
      </c>
      <c r="AT1494" t="s">
        <v>2365</v>
      </c>
      <c r="AU1494" t="s">
        <v>2365</v>
      </c>
      <c r="AV1494" t="s">
        <v>2365</v>
      </c>
      <c r="AW1494" t="s">
        <v>2365</v>
      </c>
      <c r="AX1494" t="s">
        <v>2365</v>
      </c>
      <c r="AY1494" t="s">
        <v>2365</v>
      </c>
      <c r="AZ1494" t="s">
        <v>2365</v>
      </c>
      <c r="BA1494" t="s">
        <v>2365</v>
      </c>
      <c r="BB1494" t="s">
        <v>2365</v>
      </c>
      <c r="BC1494" t="s">
        <v>2365</v>
      </c>
      <c r="BD1494" t="s">
        <v>2366</v>
      </c>
      <c r="BE1494" t="s">
        <v>2365</v>
      </c>
      <c r="BF1494" t="s">
        <v>2365</v>
      </c>
      <c r="BG1494" t="s">
        <v>2365</v>
      </c>
      <c r="BH1494" t="s">
        <v>2365</v>
      </c>
      <c r="BI1494" t="s">
        <v>2366</v>
      </c>
      <c r="BJ1494" t="s">
        <v>2365</v>
      </c>
      <c r="BK1494" t="s">
        <v>2365</v>
      </c>
      <c r="BL1494" t="s">
        <v>2365</v>
      </c>
      <c r="BM1494" t="s">
        <v>2365</v>
      </c>
      <c r="BO1494">
        <v>9</v>
      </c>
      <c r="BP1494">
        <v>91</v>
      </c>
      <c r="BQ1494" t="s">
        <v>265</v>
      </c>
      <c r="BR1494" t="s">
        <v>1517</v>
      </c>
      <c r="BU1494">
        <v>0</v>
      </c>
      <c r="BV1494">
        <v>0</v>
      </c>
      <c r="BW1494">
        <v>0</v>
      </c>
      <c r="BX1494">
        <v>0</v>
      </c>
      <c r="BY1494">
        <v>0</v>
      </c>
      <c r="BZ1494">
        <v>0</v>
      </c>
      <c r="CA1494">
        <v>0</v>
      </c>
      <c r="CB1494">
        <v>0</v>
      </c>
      <c r="CC1494">
        <v>0</v>
      </c>
      <c r="CD1494">
        <v>0</v>
      </c>
      <c r="CE1494">
        <v>0</v>
      </c>
      <c r="CF1494">
        <v>0</v>
      </c>
      <c r="CG1494">
        <v>0</v>
      </c>
      <c r="CH1494">
        <v>0</v>
      </c>
      <c r="CI1494">
        <v>0</v>
      </c>
      <c r="CJ1494">
        <v>0</v>
      </c>
      <c r="CK1494">
        <v>0</v>
      </c>
      <c r="CL1494">
        <v>0</v>
      </c>
      <c r="CM1494">
        <v>0</v>
      </c>
      <c r="CR1494" t="s">
        <v>2324</v>
      </c>
      <c r="CS1494" s="1369" t="str">
        <f>INDEX([8]Sheet1!$H:$H,MATCH(CR:CR,[8]Sheet1!$AU:$AU,0))</f>
        <v>Finance</v>
      </c>
    </row>
    <row r="1495" spans="1:97" x14ac:dyDescent="0.2">
      <c r="A1495" t="s">
        <v>4574</v>
      </c>
      <c r="B1495">
        <v>1584</v>
      </c>
      <c r="C1495" t="s">
        <v>4574</v>
      </c>
      <c r="D1495">
        <v>54452</v>
      </c>
      <c r="E1495" t="s">
        <v>2615</v>
      </c>
      <c r="F1495">
        <v>2700</v>
      </c>
      <c r="G1495" t="s">
        <v>656</v>
      </c>
      <c r="H1495" t="s">
        <v>2478</v>
      </c>
      <c r="I1495" t="s">
        <v>1802</v>
      </c>
      <c r="J1495">
        <v>2703</v>
      </c>
      <c r="K1495" t="s">
        <v>1802</v>
      </c>
      <c r="L1495">
        <v>2200</v>
      </c>
      <c r="M1495" t="s">
        <v>619</v>
      </c>
      <c r="N1495">
        <v>2205</v>
      </c>
      <c r="O1495" t="s">
        <v>1517</v>
      </c>
      <c r="P1495" t="s">
        <v>2366</v>
      </c>
      <c r="Q1495" t="s">
        <v>2364</v>
      </c>
      <c r="R1495" t="s">
        <v>2364</v>
      </c>
      <c r="S1495" t="s">
        <v>1881</v>
      </c>
      <c r="T1495" t="s">
        <v>1812</v>
      </c>
      <c r="U1495" t="s">
        <v>2365</v>
      </c>
      <c r="V1495" t="s">
        <v>2365</v>
      </c>
      <c r="W1495" t="s">
        <v>2365</v>
      </c>
      <c r="X1495" t="s">
        <v>2365</v>
      </c>
      <c r="Y1495" t="s">
        <v>2365</v>
      </c>
      <c r="Z1495" t="s">
        <v>2365</v>
      </c>
      <c r="AA1495" t="s">
        <v>2365</v>
      </c>
      <c r="AB1495" t="s">
        <v>2365</v>
      </c>
      <c r="AC1495" s="813" t="s">
        <v>2365</v>
      </c>
      <c r="AD1495" s="813" t="s">
        <v>2365</v>
      </c>
      <c r="AE1495" s="813" t="s">
        <v>2365</v>
      </c>
      <c r="AF1495" t="s">
        <v>2365</v>
      </c>
      <c r="AG1495" t="s">
        <v>2365</v>
      </c>
      <c r="AH1495" t="s">
        <v>2365</v>
      </c>
      <c r="AI1495" t="s">
        <v>2365</v>
      </c>
      <c r="AJ1495" t="s">
        <v>2365</v>
      </c>
      <c r="AK1495" t="s">
        <v>2365</v>
      </c>
      <c r="AL1495" t="s">
        <v>2365</v>
      </c>
      <c r="AM1495" t="s">
        <v>2365</v>
      </c>
      <c r="AN1495" t="s">
        <v>2365</v>
      </c>
      <c r="AR1495" t="s">
        <v>2365</v>
      </c>
      <c r="AS1495" t="s">
        <v>2365</v>
      </c>
      <c r="AT1495" t="s">
        <v>2365</v>
      </c>
      <c r="AU1495" t="s">
        <v>2365</v>
      </c>
      <c r="AV1495" t="s">
        <v>2365</v>
      </c>
      <c r="AW1495" t="s">
        <v>2365</v>
      </c>
      <c r="AX1495" t="s">
        <v>2365</v>
      </c>
      <c r="AY1495" t="s">
        <v>2365</v>
      </c>
      <c r="AZ1495" t="s">
        <v>2365</v>
      </c>
      <c r="BA1495" t="s">
        <v>2365</v>
      </c>
      <c r="BB1495" t="s">
        <v>2365</v>
      </c>
      <c r="BC1495" t="s">
        <v>2365</v>
      </c>
      <c r="BD1495" t="s">
        <v>2366</v>
      </c>
      <c r="BE1495" t="s">
        <v>2365</v>
      </c>
      <c r="BF1495" t="s">
        <v>2365</v>
      </c>
      <c r="BG1495" t="s">
        <v>2365</v>
      </c>
      <c r="BH1495" t="s">
        <v>2365</v>
      </c>
      <c r="BI1495" t="s">
        <v>2366</v>
      </c>
      <c r="BJ1495" t="s">
        <v>2365</v>
      </c>
      <c r="BK1495" t="s">
        <v>2365</v>
      </c>
      <c r="BL1495" t="s">
        <v>2365</v>
      </c>
      <c r="BM1495" t="s">
        <v>2365</v>
      </c>
      <c r="BO1495">
        <v>9</v>
      </c>
      <c r="BP1495">
        <v>91</v>
      </c>
      <c r="BQ1495" t="s">
        <v>265</v>
      </c>
      <c r="BR1495" t="s">
        <v>1517</v>
      </c>
      <c r="BU1495">
        <v>0</v>
      </c>
      <c r="BV1495">
        <v>0</v>
      </c>
      <c r="BW1495">
        <v>0</v>
      </c>
      <c r="BX1495">
        <v>0</v>
      </c>
      <c r="BY1495">
        <v>0</v>
      </c>
      <c r="BZ1495">
        <v>0</v>
      </c>
      <c r="CA1495">
        <v>0</v>
      </c>
      <c r="CB1495">
        <v>0</v>
      </c>
      <c r="CC1495">
        <v>0</v>
      </c>
      <c r="CD1495">
        <v>0</v>
      </c>
      <c r="CE1495">
        <v>0</v>
      </c>
      <c r="CF1495">
        <v>0</v>
      </c>
      <c r="CG1495">
        <v>0</v>
      </c>
      <c r="CH1495">
        <v>0</v>
      </c>
      <c r="CI1495">
        <v>0</v>
      </c>
      <c r="CJ1495">
        <v>0</v>
      </c>
      <c r="CK1495">
        <v>0</v>
      </c>
      <c r="CL1495">
        <v>0</v>
      </c>
      <c r="CM1495">
        <v>0</v>
      </c>
      <c r="CR1495" t="s">
        <v>2324</v>
      </c>
      <c r="CS1495" s="1369" t="str">
        <f>INDEX([8]Sheet1!$H:$H,MATCH(CR:CR,[8]Sheet1!$AU:$AU,0))</f>
        <v>Finance</v>
      </c>
    </row>
    <row r="1496" spans="1:97" x14ac:dyDescent="0.2">
      <c r="A1496" t="s">
        <v>4575</v>
      </c>
      <c r="B1496">
        <v>1585</v>
      </c>
      <c r="C1496" t="s">
        <v>4575</v>
      </c>
      <c r="D1496">
        <v>54453</v>
      </c>
      <c r="E1496" t="s">
        <v>2430</v>
      </c>
      <c r="F1496">
        <v>2700</v>
      </c>
      <c r="G1496" t="s">
        <v>656</v>
      </c>
      <c r="H1496" t="s">
        <v>2428</v>
      </c>
      <c r="I1496" t="s">
        <v>1800</v>
      </c>
      <c r="J1496">
        <v>2701</v>
      </c>
      <c r="K1496" t="s">
        <v>1800</v>
      </c>
      <c r="L1496">
        <v>2200</v>
      </c>
      <c r="M1496" t="s">
        <v>619</v>
      </c>
      <c r="N1496">
        <v>2205</v>
      </c>
      <c r="O1496" t="s">
        <v>1517</v>
      </c>
      <c r="P1496" t="s">
        <v>2366</v>
      </c>
      <c r="Q1496" t="s">
        <v>2364</v>
      </c>
      <c r="R1496" t="s">
        <v>2364</v>
      </c>
      <c r="S1496" t="s">
        <v>1881</v>
      </c>
      <c r="T1496" t="s">
        <v>1812</v>
      </c>
      <c r="U1496" t="s">
        <v>2365</v>
      </c>
      <c r="V1496" t="s">
        <v>2365</v>
      </c>
      <c r="W1496" t="s">
        <v>2365</v>
      </c>
      <c r="X1496" t="s">
        <v>2365</v>
      </c>
      <c r="Y1496" t="s">
        <v>2365</v>
      </c>
      <c r="Z1496" t="s">
        <v>2365</v>
      </c>
      <c r="AA1496" t="s">
        <v>2365</v>
      </c>
      <c r="AB1496" t="s">
        <v>2365</v>
      </c>
      <c r="AC1496" s="813" t="s">
        <v>2365</v>
      </c>
      <c r="AD1496" s="813" t="s">
        <v>2365</v>
      </c>
      <c r="AE1496" s="813" t="s">
        <v>2365</v>
      </c>
      <c r="AF1496" t="s">
        <v>2365</v>
      </c>
      <c r="AG1496" t="s">
        <v>2365</v>
      </c>
      <c r="AH1496" t="s">
        <v>2365</v>
      </c>
      <c r="AI1496" t="s">
        <v>2365</v>
      </c>
      <c r="AJ1496" t="s">
        <v>2365</v>
      </c>
      <c r="AK1496" t="s">
        <v>2365</v>
      </c>
      <c r="AL1496" t="s">
        <v>2365</v>
      </c>
      <c r="AM1496" t="s">
        <v>2365</v>
      </c>
      <c r="AN1496" t="s">
        <v>2365</v>
      </c>
      <c r="AR1496" t="s">
        <v>2365</v>
      </c>
      <c r="AS1496" t="s">
        <v>2365</v>
      </c>
      <c r="AT1496" t="s">
        <v>2365</v>
      </c>
      <c r="AU1496" t="s">
        <v>2365</v>
      </c>
      <c r="AV1496" t="s">
        <v>2365</v>
      </c>
      <c r="AW1496" t="s">
        <v>2365</v>
      </c>
      <c r="AX1496" t="s">
        <v>2365</v>
      </c>
      <c r="AY1496" t="s">
        <v>2365</v>
      </c>
      <c r="AZ1496" t="s">
        <v>2365</v>
      </c>
      <c r="BA1496" t="s">
        <v>2365</v>
      </c>
      <c r="BB1496" t="s">
        <v>2365</v>
      </c>
      <c r="BC1496" t="s">
        <v>2365</v>
      </c>
      <c r="BD1496" t="s">
        <v>2366</v>
      </c>
      <c r="BE1496" t="s">
        <v>2365</v>
      </c>
      <c r="BF1496" t="s">
        <v>2365</v>
      </c>
      <c r="BG1496" t="s">
        <v>2365</v>
      </c>
      <c r="BH1496" t="s">
        <v>2365</v>
      </c>
      <c r="BI1496" t="s">
        <v>2366</v>
      </c>
      <c r="BJ1496" t="s">
        <v>2365</v>
      </c>
      <c r="BK1496" t="s">
        <v>2365</v>
      </c>
      <c r="BL1496" t="s">
        <v>2365</v>
      </c>
      <c r="BM1496" t="s">
        <v>2365</v>
      </c>
      <c r="BO1496">
        <v>9</v>
      </c>
      <c r="BP1496">
        <v>91</v>
      </c>
      <c r="BQ1496" t="s">
        <v>265</v>
      </c>
      <c r="BR1496" t="s">
        <v>1517</v>
      </c>
      <c r="BU1496">
        <v>20000</v>
      </c>
      <c r="BV1496">
        <v>0</v>
      </c>
      <c r="BW1496">
        <v>20000</v>
      </c>
      <c r="BX1496">
        <v>-20000</v>
      </c>
      <c r="BY1496">
        <v>0</v>
      </c>
      <c r="BZ1496">
        <v>21200</v>
      </c>
      <c r="CA1496">
        <v>22472</v>
      </c>
      <c r="CB1496">
        <v>0</v>
      </c>
      <c r="CC1496">
        <v>0</v>
      </c>
      <c r="CD1496">
        <v>0</v>
      </c>
      <c r="CE1496">
        <v>0</v>
      </c>
      <c r="CF1496">
        <v>0</v>
      </c>
      <c r="CG1496">
        <v>0</v>
      </c>
      <c r="CH1496">
        <v>0</v>
      </c>
      <c r="CI1496">
        <v>0</v>
      </c>
      <c r="CJ1496">
        <v>0</v>
      </c>
      <c r="CK1496">
        <v>0</v>
      </c>
      <c r="CL1496">
        <v>0</v>
      </c>
      <c r="CM1496">
        <v>0</v>
      </c>
      <c r="CR1496" t="s">
        <v>2324</v>
      </c>
      <c r="CS1496" s="1369" t="str">
        <f>INDEX([8]Sheet1!$H:$H,MATCH(CR:CR,[8]Sheet1!$AU:$AU,0))</f>
        <v>Finance</v>
      </c>
    </row>
    <row r="1497" spans="1:97" x14ac:dyDescent="0.2">
      <c r="A1497" t="s">
        <v>4576</v>
      </c>
      <c r="B1497">
        <v>1586</v>
      </c>
      <c r="C1497" t="s">
        <v>4576</v>
      </c>
      <c r="D1497">
        <v>54454</v>
      </c>
      <c r="E1497" t="s">
        <v>2508</v>
      </c>
      <c r="F1497">
        <v>2900</v>
      </c>
      <c r="G1497" t="s">
        <v>569</v>
      </c>
      <c r="H1497" t="s">
        <v>2366</v>
      </c>
      <c r="I1497" t="s">
        <v>2366</v>
      </c>
      <c r="J1497">
        <v>2904</v>
      </c>
      <c r="K1497" t="s">
        <v>1432</v>
      </c>
      <c r="L1497">
        <v>2200</v>
      </c>
      <c r="M1497" t="s">
        <v>619</v>
      </c>
      <c r="N1497">
        <v>2205</v>
      </c>
      <c r="O1497" t="s">
        <v>1517</v>
      </c>
      <c r="P1497" t="s">
        <v>2366</v>
      </c>
      <c r="Q1497" t="s">
        <v>2364</v>
      </c>
      <c r="R1497" t="s">
        <v>2364</v>
      </c>
      <c r="S1497" t="s">
        <v>1881</v>
      </c>
      <c r="T1497" t="s">
        <v>1812</v>
      </c>
      <c r="U1497" t="s">
        <v>2365</v>
      </c>
      <c r="V1497" t="s">
        <v>2365</v>
      </c>
      <c r="W1497" t="s">
        <v>2365</v>
      </c>
      <c r="X1497" t="s">
        <v>2365</v>
      </c>
      <c r="Y1497" t="s">
        <v>2365</v>
      </c>
      <c r="Z1497" t="s">
        <v>2365</v>
      </c>
      <c r="AA1497" t="s">
        <v>2365</v>
      </c>
      <c r="AB1497" t="s">
        <v>2365</v>
      </c>
      <c r="AC1497" s="813" t="s">
        <v>2365</v>
      </c>
      <c r="AD1497" s="813" t="s">
        <v>2365</v>
      </c>
      <c r="AE1497" s="813" t="s">
        <v>2365</v>
      </c>
      <c r="AF1497" t="s">
        <v>2365</v>
      </c>
      <c r="AG1497" t="s">
        <v>2365</v>
      </c>
      <c r="AH1497" t="s">
        <v>2365</v>
      </c>
      <c r="AI1497" t="s">
        <v>2365</v>
      </c>
      <c r="AJ1497" t="s">
        <v>2365</v>
      </c>
      <c r="AK1497" t="s">
        <v>2365</v>
      </c>
      <c r="AL1497" t="s">
        <v>2365</v>
      </c>
      <c r="AM1497" t="s">
        <v>2365</v>
      </c>
      <c r="AN1497" t="s">
        <v>2365</v>
      </c>
      <c r="AR1497" t="s">
        <v>2365</v>
      </c>
      <c r="AS1497" t="s">
        <v>2365</v>
      </c>
      <c r="AT1497" t="s">
        <v>2365</v>
      </c>
      <c r="AU1497" t="s">
        <v>2365</v>
      </c>
      <c r="AV1497" t="s">
        <v>2365</v>
      </c>
      <c r="AW1497" t="s">
        <v>2365</v>
      </c>
      <c r="AX1497" t="s">
        <v>2365</v>
      </c>
      <c r="AY1497" t="s">
        <v>2365</v>
      </c>
      <c r="AZ1497" t="s">
        <v>2365</v>
      </c>
      <c r="BA1497" t="s">
        <v>2365</v>
      </c>
      <c r="BB1497" t="s">
        <v>2365</v>
      </c>
      <c r="BC1497" t="s">
        <v>2365</v>
      </c>
      <c r="BD1497" t="s">
        <v>2366</v>
      </c>
      <c r="BE1497" t="s">
        <v>2365</v>
      </c>
      <c r="BF1497" t="s">
        <v>2365</v>
      </c>
      <c r="BG1497" t="s">
        <v>2365</v>
      </c>
      <c r="BH1497" t="s">
        <v>2365</v>
      </c>
      <c r="BI1497" t="s">
        <v>2366</v>
      </c>
      <c r="BJ1497" t="s">
        <v>2365</v>
      </c>
      <c r="BK1497" t="s">
        <v>2365</v>
      </c>
      <c r="BL1497" t="s">
        <v>2365</v>
      </c>
      <c r="BM1497" t="s">
        <v>2365</v>
      </c>
      <c r="BO1497">
        <v>9</v>
      </c>
      <c r="BP1497">
        <v>91</v>
      </c>
      <c r="BQ1497" t="s">
        <v>265</v>
      </c>
      <c r="BR1497" t="s">
        <v>1517</v>
      </c>
      <c r="BU1497">
        <v>20000</v>
      </c>
      <c r="BV1497">
        <v>0</v>
      </c>
      <c r="BW1497">
        <v>20000</v>
      </c>
      <c r="BX1497">
        <v>-20000</v>
      </c>
      <c r="BY1497">
        <v>0</v>
      </c>
      <c r="BZ1497">
        <v>21200</v>
      </c>
      <c r="CA1497">
        <v>22472</v>
      </c>
      <c r="CB1497">
        <v>0</v>
      </c>
      <c r="CC1497">
        <v>0</v>
      </c>
      <c r="CD1497">
        <v>0</v>
      </c>
      <c r="CE1497">
        <v>0</v>
      </c>
      <c r="CF1497">
        <v>0</v>
      </c>
      <c r="CG1497">
        <v>0</v>
      </c>
      <c r="CH1497">
        <v>0</v>
      </c>
      <c r="CI1497">
        <v>0</v>
      </c>
      <c r="CJ1497">
        <v>0</v>
      </c>
      <c r="CK1497">
        <v>0</v>
      </c>
      <c r="CL1497">
        <v>0</v>
      </c>
      <c r="CM1497">
        <v>0</v>
      </c>
      <c r="CR1497" t="s">
        <v>2324</v>
      </c>
      <c r="CS1497" s="1369" t="str">
        <f>INDEX([8]Sheet1!$H:$H,MATCH(CR:CR,[8]Sheet1!$AU:$AU,0))</f>
        <v>Finance</v>
      </c>
    </row>
    <row r="1498" spans="1:97" x14ac:dyDescent="0.2">
      <c r="A1498" t="s">
        <v>4577</v>
      </c>
      <c r="B1498">
        <v>1587</v>
      </c>
      <c r="C1498" t="s">
        <v>4577</v>
      </c>
      <c r="D1498">
        <v>54455</v>
      </c>
      <c r="E1498" t="s">
        <v>2455</v>
      </c>
      <c r="F1498">
        <v>2900</v>
      </c>
      <c r="G1498" t="s">
        <v>569</v>
      </c>
      <c r="H1498" t="s">
        <v>2366</v>
      </c>
      <c r="I1498" t="s">
        <v>2366</v>
      </c>
      <c r="J1498">
        <v>2904</v>
      </c>
      <c r="K1498" t="s">
        <v>1432</v>
      </c>
      <c r="L1498">
        <v>1100</v>
      </c>
      <c r="M1498" t="s">
        <v>616</v>
      </c>
      <c r="N1498">
        <v>1120</v>
      </c>
      <c r="O1498" t="s">
        <v>1485</v>
      </c>
      <c r="P1498" t="s">
        <v>2366</v>
      </c>
      <c r="Q1498" t="s">
        <v>2364</v>
      </c>
      <c r="R1498" t="s">
        <v>2364</v>
      </c>
      <c r="S1498" t="s">
        <v>1881</v>
      </c>
      <c r="T1498" t="s">
        <v>1812</v>
      </c>
      <c r="U1498" t="s">
        <v>2365</v>
      </c>
      <c r="V1498" t="s">
        <v>2365</v>
      </c>
      <c r="W1498" t="s">
        <v>2365</v>
      </c>
      <c r="X1498" t="s">
        <v>2365</v>
      </c>
      <c r="Y1498" t="s">
        <v>2365</v>
      </c>
      <c r="Z1498" t="s">
        <v>2365</v>
      </c>
      <c r="AA1498" t="s">
        <v>2365</v>
      </c>
      <c r="AB1498" t="s">
        <v>2365</v>
      </c>
      <c r="AC1498" s="813" t="s">
        <v>2365</v>
      </c>
      <c r="AD1498" s="813" t="s">
        <v>2365</v>
      </c>
      <c r="AE1498" s="813" t="s">
        <v>2365</v>
      </c>
      <c r="AF1498" t="s">
        <v>2365</v>
      </c>
      <c r="AG1498" t="s">
        <v>2365</v>
      </c>
      <c r="AH1498" t="s">
        <v>2365</v>
      </c>
      <c r="AI1498" t="s">
        <v>2365</v>
      </c>
      <c r="AJ1498" t="s">
        <v>2365</v>
      </c>
      <c r="AK1498" t="s">
        <v>2365</v>
      </c>
      <c r="AL1498" t="s">
        <v>2365</v>
      </c>
      <c r="AM1498" t="s">
        <v>2365</v>
      </c>
      <c r="AN1498" t="s">
        <v>2365</v>
      </c>
      <c r="AR1498" t="s">
        <v>2365</v>
      </c>
      <c r="AS1498" t="s">
        <v>2365</v>
      </c>
      <c r="AT1498" t="s">
        <v>2365</v>
      </c>
      <c r="AU1498" t="s">
        <v>2365</v>
      </c>
      <c r="AV1498" t="s">
        <v>2365</v>
      </c>
      <c r="AW1498" t="s">
        <v>2365</v>
      </c>
      <c r="AX1498" t="s">
        <v>2365</v>
      </c>
      <c r="AY1498" t="s">
        <v>2365</v>
      </c>
      <c r="AZ1498" t="s">
        <v>2365</v>
      </c>
      <c r="BA1498" t="s">
        <v>2365</v>
      </c>
      <c r="BB1498" t="s">
        <v>2365</v>
      </c>
      <c r="BC1498" t="s">
        <v>2365</v>
      </c>
      <c r="BD1498" t="s">
        <v>2366</v>
      </c>
      <c r="BE1498" t="s">
        <v>2365</v>
      </c>
      <c r="BF1498" t="s">
        <v>2365</v>
      </c>
      <c r="BG1498" t="s">
        <v>2365</v>
      </c>
      <c r="BH1498" t="s">
        <v>2365</v>
      </c>
      <c r="BI1498" t="s">
        <v>2366</v>
      </c>
      <c r="BJ1498" t="s">
        <v>2365</v>
      </c>
      <c r="BK1498" t="s">
        <v>2365</v>
      </c>
      <c r="BL1498" t="s">
        <v>2365</v>
      </c>
      <c r="BM1498" t="s">
        <v>2365</v>
      </c>
      <c r="BO1498">
        <v>3</v>
      </c>
      <c r="BP1498">
        <v>31</v>
      </c>
      <c r="BQ1498" t="s">
        <v>2716</v>
      </c>
      <c r="BR1498" t="s">
        <v>1485</v>
      </c>
      <c r="BU1498">
        <v>250000</v>
      </c>
      <c r="BV1498">
        <v>0</v>
      </c>
      <c r="BW1498">
        <v>250000</v>
      </c>
      <c r="BX1498">
        <v>0</v>
      </c>
      <c r="BY1498">
        <v>250000</v>
      </c>
      <c r="BZ1498">
        <v>260000</v>
      </c>
      <c r="CA1498">
        <v>270400</v>
      </c>
      <c r="CB1498">
        <v>0</v>
      </c>
      <c r="CC1498">
        <v>0</v>
      </c>
      <c r="CD1498">
        <v>0</v>
      </c>
      <c r="CE1498">
        <v>172470</v>
      </c>
      <c r="CF1498">
        <v>575</v>
      </c>
      <c r="CG1498">
        <v>0</v>
      </c>
      <c r="CH1498">
        <v>0</v>
      </c>
      <c r="CI1498">
        <v>0</v>
      </c>
      <c r="CJ1498">
        <v>7300</v>
      </c>
      <c r="CK1498">
        <v>0</v>
      </c>
      <c r="CL1498">
        <v>0</v>
      </c>
      <c r="CM1498">
        <v>0</v>
      </c>
      <c r="CR1498" t="s">
        <v>2324</v>
      </c>
      <c r="CS1498" s="1369" t="str">
        <f>INDEX([8]Sheet1!$H:$H,MATCH(CR:CR,[8]Sheet1!$AU:$AU,0))</f>
        <v>Finance</v>
      </c>
    </row>
    <row r="1499" spans="1:97" x14ac:dyDescent="0.2">
      <c r="A1499" t="s">
        <v>4578</v>
      </c>
      <c r="B1499">
        <v>1588</v>
      </c>
      <c r="C1499" t="s">
        <v>4578</v>
      </c>
      <c r="D1499">
        <v>54456</v>
      </c>
      <c r="E1499" t="s">
        <v>2427</v>
      </c>
      <c r="F1499">
        <v>2700</v>
      </c>
      <c r="G1499" t="s">
        <v>656</v>
      </c>
      <c r="H1499" t="s">
        <v>2428</v>
      </c>
      <c r="I1499" t="s">
        <v>1800</v>
      </c>
      <c r="J1499">
        <v>2701</v>
      </c>
      <c r="K1499" t="s">
        <v>1800</v>
      </c>
      <c r="L1499">
        <v>2100</v>
      </c>
      <c r="M1499" t="s">
        <v>618</v>
      </c>
      <c r="N1499">
        <v>2101</v>
      </c>
      <c r="O1499" t="s">
        <v>1000</v>
      </c>
      <c r="P1499" t="s">
        <v>2366</v>
      </c>
      <c r="Q1499" t="s">
        <v>2364</v>
      </c>
      <c r="R1499" t="s">
        <v>2364</v>
      </c>
      <c r="S1499" t="s">
        <v>1881</v>
      </c>
      <c r="T1499" t="s">
        <v>1812</v>
      </c>
      <c r="U1499" t="s">
        <v>2365</v>
      </c>
      <c r="V1499" t="s">
        <v>2365</v>
      </c>
      <c r="W1499" t="s">
        <v>2365</v>
      </c>
      <c r="X1499" t="s">
        <v>2365</v>
      </c>
      <c r="Y1499" t="s">
        <v>2365</v>
      </c>
      <c r="Z1499" t="s">
        <v>2365</v>
      </c>
      <c r="AA1499" t="s">
        <v>2365</v>
      </c>
      <c r="AB1499" t="s">
        <v>2365</v>
      </c>
      <c r="AC1499" s="813" t="s">
        <v>2365</v>
      </c>
      <c r="AD1499" s="813" t="s">
        <v>2365</v>
      </c>
      <c r="AE1499" s="813" t="s">
        <v>2365</v>
      </c>
      <c r="AF1499" t="s">
        <v>2365</v>
      </c>
      <c r="AG1499" t="s">
        <v>2365</v>
      </c>
      <c r="AH1499" t="s">
        <v>2365</v>
      </c>
      <c r="AI1499" t="s">
        <v>2365</v>
      </c>
      <c r="AJ1499" t="s">
        <v>2365</v>
      </c>
      <c r="AK1499" t="s">
        <v>2365</v>
      </c>
      <c r="AL1499" t="s">
        <v>2365</v>
      </c>
      <c r="AM1499" t="s">
        <v>2365</v>
      </c>
      <c r="AN1499" t="s">
        <v>2365</v>
      </c>
      <c r="AR1499" t="s">
        <v>2365</v>
      </c>
      <c r="AS1499" t="s">
        <v>2365</v>
      </c>
      <c r="AT1499" t="s">
        <v>2365</v>
      </c>
      <c r="AU1499" t="s">
        <v>2365</v>
      </c>
      <c r="AV1499" t="s">
        <v>2365</v>
      </c>
      <c r="AW1499" t="s">
        <v>2365</v>
      </c>
      <c r="AX1499" t="s">
        <v>2365</v>
      </c>
      <c r="AY1499" t="s">
        <v>2365</v>
      </c>
      <c r="AZ1499" t="s">
        <v>2365</v>
      </c>
      <c r="BA1499" t="s">
        <v>2365</v>
      </c>
      <c r="BB1499" t="s">
        <v>2365</v>
      </c>
      <c r="BC1499" t="s">
        <v>2365</v>
      </c>
      <c r="BD1499" t="s">
        <v>2366</v>
      </c>
      <c r="BE1499" t="s">
        <v>2365</v>
      </c>
      <c r="BF1499" t="s">
        <v>2365</v>
      </c>
      <c r="BG1499" t="s">
        <v>2365</v>
      </c>
      <c r="BH1499" t="s">
        <v>2365</v>
      </c>
      <c r="BI1499" t="s">
        <v>2366</v>
      </c>
      <c r="BJ1499" t="s">
        <v>2365</v>
      </c>
      <c r="BK1499" t="s">
        <v>2365</v>
      </c>
      <c r="BL1499" t="s">
        <v>2365</v>
      </c>
      <c r="BM1499" t="s">
        <v>2365</v>
      </c>
      <c r="BO1499">
        <v>4</v>
      </c>
      <c r="BP1499">
        <v>48</v>
      </c>
      <c r="BQ1499" t="s">
        <v>2433</v>
      </c>
      <c r="BR1499" t="s">
        <v>1000</v>
      </c>
      <c r="BU1499">
        <v>40000</v>
      </c>
      <c r="BV1499">
        <v>0</v>
      </c>
      <c r="BW1499">
        <v>40000</v>
      </c>
      <c r="BX1499">
        <v>5000</v>
      </c>
      <c r="BY1499">
        <v>45000</v>
      </c>
      <c r="BZ1499">
        <v>42400</v>
      </c>
      <c r="CA1499">
        <v>44944</v>
      </c>
      <c r="CB1499">
        <v>0</v>
      </c>
      <c r="CC1499">
        <v>0</v>
      </c>
      <c r="CD1499">
        <v>0</v>
      </c>
      <c r="CE1499">
        <v>0</v>
      </c>
      <c r="CF1499">
        <v>0</v>
      </c>
      <c r="CG1499">
        <v>0</v>
      </c>
      <c r="CH1499">
        <v>0</v>
      </c>
      <c r="CI1499">
        <v>0</v>
      </c>
      <c r="CJ1499">
        <v>0</v>
      </c>
      <c r="CK1499">
        <v>0</v>
      </c>
      <c r="CL1499">
        <v>0</v>
      </c>
      <c r="CM1499">
        <v>0</v>
      </c>
      <c r="CR1499" t="s">
        <v>2324</v>
      </c>
      <c r="CS1499" s="1369" t="str">
        <f>INDEX([8]Sheet1!$H:$H,MATCH(CR:CR,[8]Sheet1!$AU:$AU,0))</f>
        <v>Finance</v>
      </c>
    </row>
    <row r="1500" spans="1:97" x14ac:dyDescent="0.2">
      <c r="A1500" t="s">
        <v>4579</v>
      </c>
      <c r="B1500">
        <v>1589</v>
      </c>
      <c r="C1500" t="s">
        <v>4579</v>
      </c>
      <c r="D1500">
        <v>54457</v>
      </c>
      <c r="E1500" t="s">
        <v>2430</v>
      </c>
      <c r="F1500">
        <v>2700</v>
      </c>
      <c r="G1500" t="s">
        <v>656</v>
      </c>
      <c r="H1500" t="s">
        <v>2428</v>
      </c>
      <c r="I1500" t="s">
        <v>1800</v>
      </c>
      <c r="J1500">
        <v>2701</v>
      </c>
      <c r="K1500" t="s">
        <v>1800</v>
      </c>
      <c r="L1500">
        <v>2100</v>
      </c>
      <c r="M1500" t="s">
        <v>618</v>
      </c>
      <c r="N1500">
        <v>2101</v>
      </c>
      <c r="O1500" t="s">
        <v>1000</v>
      </c>
      <c r="P1500" t="s">
        <v>2366</v>
      </c>
      <c r="Q1500" t="s">
        <v>2364</v>
      </c>
      <c r="R1500" t="s">
        <v>2364</v>
      </c>
      <c r="S1500" t="s">
        <v>1881</v>
      </c>
      <c r="T1500" t="s">
        <v>1812</v>
      </c>
      <c r="U1500" t="s">
        <v>2365</v>
      </c>
      <c r="V1500" t="s">
        <v>2365</v>
      </c>
      <c r="W1500" t="s">
        <v>2365</v>
      </c>
      <c r="X1500" t="s">
        <v>2365</v>
      </c>
      <c r="Y1500" t="s">
        <v>2365</v>
      </c>
      <c r="Z1500" t="s">
        <v>2365</v>
      </c>
      <c r="AA1500" t="s">
        <v>2365</v>
      </c>
      <c r="AB1500" t="s">
        <v>2365</v>
      </c>
      <c r="AC1500" s="813" t="s">
        <v>2365</v>
      </c>
      <c r="AD1500" s="813" t="s">
        <v>2365</v>
      </c>
      <c r="AE1500" s="813" t="s">
        <v>2365</v>
      </c>
      <c r="AF1500" t="s">
        <v>2365</v>
      </c>
      <c r="AG1500" t="s">
        <v>2365</v>
      </c>
      <c r="AH1500" t="s">
        <v>2365</v>
      </c>
      <c r="AI1500" t="s">
        <v>2365</v>
      </c>
      <c r="AJ1500" t="s">
        <v>2365</v>
      </c>
      <c r="AK1500" t="s">
        <v>2365</v>
      </c>
      <c r="AL1500" t="s">
        <v>2365</v>
      </c>
      <c r="AM1500" t="s">
        <v>2365</v>
      </c>
      <c r="AN1500" t="s">
        <v>2365</v>
      </c>
      <c r="AR1500" t="s">
        <v>2365</v>
      </c>
      <c r="AS1500" t="s">
        <v>2365</v>
      </c>
      <c r="AT1500" t="s">
        <v>2365</v>
      </c>
      <c r="AU1500" t="s">
        <v>2365</v>
      </c>
      <c r="AV1500" t="s">
        <v>2365</v>
      </c>
      <c r="AW1500" t="s">
        <v>2365</v>
      </c>
      <c r="AX1500" t="s">
        <v>2365</v>
      </c>
      <c r="AY1500" t="s">
        <v>2365</v>
      </c>
      <c r="AZ1500" t="s">
        <v>2365</v>
      </c>
      <c r="BA1500" t="s">
        <v>2365</v>
      </c>
      <c r="BB1500" t="s">
        <v>2365</v>
      </c>
      <c r="BC1500" t="s">
        <v>2365</v>
      </c>
      <c r="BD1500" t="s">
        <v>2366</v>
      </c>
      <c r="BE1500" t="s">
        <v>2365</v>
      </c>
      <c r="BF1500" t="s">
        <v>2365</v>
      </c>
      <c r="BG1500" t="s">
        <v>2365</v>
      </c>
      <c r="BH1500" t="s">
        <v>2365</v>
      </c>
      <c r="BI1500" t="s">
        <v>2366</v>
      </c>
      <c r="BJ1500" t="s">
        <v>2365</v>
      </c>
      <c r="BK1500" t="s">
        <v>2365</v>
      </c>
      <c r="BL1500" t="s">
        <v>2365</v>
      </c>
      <c r="BM1500" t="s">
        <v>2365</v>
      </c>
      <c r="BO1500">
        <v>4</v>
      </c>
      <c r="BP1500">
        <v>48</v>
      </c>
      <c r="BQ1500" t="s">
        <v>2433</v>
      </c>
      <c r="BR1500" t="s">
        <v>1000</v>
      </c>
      <c r="BU1500">
        <v>30000</v>
      </c>
      <c r="BV1500">
        <v>0</v>
      </c>
      <c r="BW1500">
        <v>30000</v>
      </c>
      <c r="BX1500">
        <v>4000</v>
      </c>
      <c r="BY1500">
        <v>34000</v>
      </c>
      <c r="BZ1500">
        <v>31800</v>
      </c>
      <c r="CA1500">
        <v>33708</v>
      </c>
      <c r="CB1500">
        <v>0</v>
      </c>
      <c r="CC1500">
        <v>0</v>
      </c>
      <c r="CD1500">
        <v>0</v>
      </c>
      <c r="CE1500">
        <v>0</v>
      </c>
      <c r="CF1500">
        <v>0</v>
      </c>
      <c r="CG1500">
        <v>0</v>
      </c>
      <c r="CH1500">
        <v>0</v>
      </c>
      <c r="CI1500">
        <v>0</v>
      </c>
      <c r="CJ1500">
        <v>0</v>
      </c>
      <c r="CK1500">
        <v>0</v>
      </c>
      <c r="CL1500">
        <v>0</v>
      </c>
      <c r="CM1500">
        <v>0</v>
      </c>
      <c r="CR1500" t="s">
        <v>2324</v>
      </c>
      <c r="CS1500" s="1369" t="str">
        <f>INDEX([8]Sheet1!$H:$H,MATCH(CR:CR,[8]Sheet1!$AU:$AU,0))</f>
        <v>Finance</v>
      </c>
    </row>
    <row r="1501" spans="1:97" x14ac:dyDescent="0.2">
      <c r="A1501" t="s">
        <v>4580</v>
      </c>
      <c r="B1501">
        <v>1590</v>
      </c>
      <c r="C1501" t="s">
        <v>4580</v>
      </c>
      <c r="D1501">
        <v>54458</v>
      </c>
      <c r="E1501" t="s">
        <v>2477</v>
      </c>
      <c r="F1501">
        <v>2700</v>
      </c>
      <c r="G1501" t="s">
        <v>656</v>
      </c>
      <c r="H1501" t="s">
        <v>2478</v>
      </c>
      <c r="I1501" t="s">
        <v>1802</v>
      </c>
      <c r="J1501">
        <v>2703</v>
      </c>
      <c r="K1501" t="s">
        <v>1802</v>
      </c>
      <c r="L1501">
        <v>1200</v>
      </c>
      <c r="M1501" t="s">
        <v>1480</v>
      </c>
      <c r="N1501">
        <v>1201</v>
      </c>
      <c r="O1501" t="s">
        <v>1486</v>
      </c>
      <c r="P1501" t="s">
        <v>2366</v>
      </c>
      <c r="Q1501" t="s">
        <v>2364</v>
      </c>
      <c r="R1501" t="s">
        <v>2364</v>
      </c>
      <c r="S1501" t="s">
        <v>1881</v>
      </c>
      <c r="T1501" t="s">
        <v>1812</v>
      </c>
      <c r="U1501" t="s">
        <v>2365</v>
      </c>
      <c r="V1501" t="s">
        <v>2365</v>
      </c>
      <c r="W1501" t="s">
        <v>2365</v>
      </c>
      <c r="X1501" t="s">
        <v>2365</v>
      </c>
      <c r="Y1501" t="s">
        <v>2365</v>
      </c>
      <c r="Z1501" t="s">
        <v>2365</v>
      </c>
      <c r="AA1501" t="s">
        <v>2365</v>
      </c>
      <c r="AB1501" t="s">
        <v>2365</v>
      </c>
      <c r="AC1501" s="813" t="s">
        <v>2365</v>
      </c>
      <c r="AD1501" s="813" t="s">
        <v>2365</v>
      </c>
      <c r="AE1501" s="813" t="s">
        <v>2365</v>
      </c>
      <c r="AF1501" t="s">
        <v>2365</v>
      </c>
      <c r="AG1501" t="s">
        <v>2365</v>
      </c>
      <c r="AH1501" t="s">
        <v>2365</v>
      </c>
      <c r="AI1501" t="s">
        <v>2365</v>
      </c>
      <c r="AJ1501" t="s">
        <v>2365</v>
      </c>
      <c r="AK1501" t="s">
        <v>2365</v>
      </c>
      <c r="AL1501" t="s">
        <v>2365</v>
      </c>
      <c r="AM1501" t="s">
        <v>2365</v>
      </c>
      <c r="AN1501" t="s">
        <v>2365</v>
      </c>
      <c r="AR1501" t="s">
        <v>2365</v>
      </c>
      <c r="AS1501" t="s">
        <v>2365</v>
      </c>
      <c r="AT1501" t="s">
        <v>2365</v>
      </c>
      <c r="AU1501" t="s">
        <v>2365</v>
      </c>
      <c r="AV1501" t="s">
        <v>2365</v>
      </c>
      <c r="AW1501" t="s">
        <v>2365</v>
      </c>
      <c r="AX1501" t="s">
        <v>2365</v>
      </c>
      <c r="AY1501" t="s">
        <v>2365</v>
      </c>
      <c r="AZ1501" t="s">
        <v>2365</v>
      </c>
      <c r="BA1501" t="s">
        <v>2365</v>
      </c>
      <c r="BB1501" t="s">
        <v>2365</v>
      </c>
      <c r="BC1501" t="s">
        <v>2365</v>
      </c>
      <c r="BD1501" t="s">
        <v>2366</v>
      </c>
      <c r="BE1501" t="s">
        <v>2365</v>
      </c>
      <c r="BF1501" t="s">
        <v>2365</v>
      </c>
      <c r="BG1501" t="s">
        <v>2365</v>
      </c>
      <c r="BH1501" t="s">
        <v>2365</v>
      </c>
      <c r="BI1501" t="s">
        <v>2366</v>
      </c>
      <c r="BJ1501" t="s">
        <v>2365</v>
      </c>
      <c r="BK1501" t="s">
        <v>2365</v>
      </c>
      <c r="BL1501" t="s">
        <v>2365</v>
      </c>
      <c r="BM1501" t="s">
        <v>2365</v>
      </c>
      <c r="BO1501">
        <v>1</v>
      </c>
      <c r="BP1501">
        <v>14</v>
      </c>
      <c r="BQ1501" t="s">
        <v>2369</v>
      </c>
      <c r="BR1501" t="s">
        <v>1486</v>
      </c>
      <c r="BU1501">
        <v>15000</v>
      </c>
      <c r="BV1501">
        <v>0</v>
      </c>
      <c r="BW1501">
        <v>15000</v>
      </c>
      <c r="BX1501">
        <v>-15000</v>
      </c>
      <c r="BY1501">
        <v>0</v>
      </c>
      <c r="BZ1501">
        <v>15900</v>
      </c>
      <c r="CA1501">
        <v>16854</v>
      </c>
      <c r="CB1501">
        <v>0</v>
      </c>
      <c r="CC1501">
        <v>0</v>
      </c>
      <c r="CD1501">
        <v>0</v>
      </c>
      <c r="CE1501">
        <v>0</v>
      </c>
      <c r="CF1501">
        <v>0</v>
      </c>
      <c r="CG1501">
        <v>0</v>
      </c>
      <c r="CH1501">
        <v>0</v>
      </c>
      <c r="CI1501">
        <v>0</v>
      </c>
      <c r="CJ1501">
        <v>0</v>
      </c>
      <c r="CK1501">
        <v>0</v>
      </c>
      <c r="CL1501">
        <v>0</v>
      </c>
      <c r="CM1501">
        <v>0</v>
      </c>
      <c r="CR1501" t="s">
        <v>2324</v>
      </c>
      <c r="CS1501" s="1369" t="str">
        <f>INDEX([8]Sheet1!$H:$H,MATCH(CR:CR,[8]Sheet1!$AU:$AU,0))</f>
        <v>Finance</v>
      </c>
    </row>
    <row r="1502" spans="1:97" x14ac:dyDescent="0.2">
      <c r="A1502" t="s">
        <v>4581</v>
      </c>
      <c r="B1502">
        <v>1591</v>
      </c>
      <c r="C1502" t="s">
        <v>4581</v>
      </c>
      <c r="D1502">
        <v>54459</v>
      </c>
      <c r="E1502" t="s">
        <v>2455</v>
      </c>
      <c r="F1502">
        <v>2900</v>
      </c>
      <c r="G1502" t="s">
        <v>569</v>
      </c>
      <c r="H1502" t="s">
        <v>2366</v>
      </c>
      <c r="I1502" t="s">
        <v>2366</v>
      </c>
      <c r="J1502">
        <v>2904</v>
      </c>
      <c r="K1502" t="s">
        <v>1432</v>
      </c>
      <c r="L1502">
        <v>1100</v>
      </c>
      <c r="M1502" t="s">
        <v>616</v>
      </c>
      <c r="N1502">
        <v>1120</v>
      </c>
      <c r="O1502" t="s">
        <v>1485</v>
      </c>
      <c r="P1502" t="s">
        <v>2366</v>
      </c>
      <c r="Q1502" t="s">
        <v>2364</v>
      </c>
      <c r="R1502" t="s">
        <v>2364</v>
      </c>
      <c r="S1502" t="s">
        <v>1881</v>
      </c>
      <c r="T1502" t="s">
        <v>1812</v>
      </c>
      <c r="U1502" t="s">
        <v>2365</v>
      </c>
      <c r="V1502" t="s">
        <v>2365</v>
      </c>
      <c r="W1502" t="s">
        <v>2365</v>
      </c>
      <c r="X1502" t="s">
        <v>2365</v>
      </c>
      <c r="Y1502" t="s">
        <v>2365</v>
      </c>
      <c r="Z1502" t="s">
        <v>2365</v>
      </c>
      <c r="AA1502" t="s">
        <v>2365</v>
      </c>
      <c r="AB1502" t="s">
        <v>2365</v>
      </c>
      <c r="AC1502" s="813" t="s">
        <v>2365</v>
      </c>
      <c r="AD1502" s="813" t="s">
        <v>2365</v>
      </c>
      <c r="AE1502" s="813" t="s">
        <v>2365</v>
      </c>
      <c r="AF1502" t="s">
        <v>2365</v>
      </c>
      <c r="AG1502" t="s">
        <v>2365</v>
      </c>
      <c r="AH1502" t="s">
        <v>2365</v>
      </c>
      <c r="AI1502" t="s">
        <v>2365</v>
      </c>
      <c r="AJ1502" t="s">
        <v>2365</v>
      </c>
      <c r="AK1502" t="s">
        <v>2365</v>
      </c>
      <c r="AL1502" t="s">
        <v>2365</v>
      </c>
      <c r="AM1502" t="s">
        <v>2365</v>
      </c>
      <c r="AN1502" t="s">
        <v>2365</v>
      </c>
      <c r="AR1502" t="s">
        <v>2365</v>
      </c>
      <c r="AS1502" t="s">
        <v>2365</v>
      </c>
      <c r="AT1502" t="s">
        <v>2365</v>
      </c>
      <c r="AU1502" t="s">
        <v>2365</v>
      </c>
      <c r="AV1502" t="s">
        <v>2365</v>
      </c>
      <c r="AW1502" t="s">
        <v>2365</v>
      </c>
      <c r="AX1502" t="s">
        <v>2365</v>
      </c>
      <c r="AY1502" t="s">
        <v>2365</v>
      </c>
      <c r="AZ1502" t="s">
        <v>2365</v>
      </c>
      <c r="BA1502" t="s">
        <v>2365</v>
      </c>
      <c r="BB1502" t="s">
        <v>2365</v>
      </c>
      <c r="BC1502" t="s">
        <v>2365</v>
      </c>
      <c r="BD1502" t="s">
        <v>2366</v>
      </c>
      <c r="BE1502" t="s">
        <v>2365</v>
      </c>
      <c r="BF1502" t="s">
        <v>2365</v>
      </c>
      <c r="BG1502" t="s">
        <v>2365</v>
      </c>
      <c r="BH1502" t="s">
        <v>2365</v>
      </c>
      <c r="BI1502" t="s">
        <v>2366</v>
      </c>
      <c r="BJ1502" t="s">
        <v>2365</v>
      </c>
      <c r="BK1502" t="s">
        <v>2365</v>
      </c>
      <c r="BL1502" t="s">
        <v>2365</v>
      </c>
      <c r="BM1502" t="s">
        <v>2365</v>
      </c>
      <c r="BO1502">
        <v>3</v>
      </c>
      <c r="BP1502">
        <v>31</v>
      </c>
      <c r="BQ1502" t="s">
        <v>2716</v>
      </c>
      <c r="BR1502" t="s">
        <v>1485</v>
      </c>
      <c r="BU1502">
        <v>800000</v>
      </c>
      <c r="BV1502">
        <v>0</v>
      </c>
      <c r="BW1502">
        <v>800000</v>
      </c>
      <c r="BX1502">
        <v>800000</v>
      </c>
      <c r="BY1502">
        <v>1600000</v>
      </c>
      <c r="BZ1502">
        <v>1664000</v>
      </c>
      <c r="CA1502">
        <v>1730560</v>
      </c>
      <c r="CB1502">
        <v>0</v>
      </c>
      <c r="CC1502">
        <v>0</v>
      </c>
      <c r="CD1502">
        <v>0</v>
      </c>
      <c r="CE1502">
        <v>0</v>
      </c>
      <c r="CF1502">
        <v>0</v>
      </c>
      <c r="CG1502">
        <v>0</v>
      </c>
      <c r="CH1502">
        <v>72526.8</v>
      </c>
      <c r="CI1502">
        <v>44308.800000000003</v>
      </c>
      <c r="CJ1502">
        <v>0</v>
      </c>
      <c r="CK1502">
        <v>0</v>
      </c>
      <c r="CL1502">
        <v>0</v>
      </c>
      <c r="CM1502">
        <v>0</v>
      </c>
      <c r="CR1502" t="s">
        <v>2324</v>
      </c>
      <c r="CS1502" s="1369" t="str">
        <f>INDEX([8]Sheet1!$H:$H,MATCH(CR:CR,[8]Sheet1!$AU:$AU,0))</f>
        <v>Finance</v>
      </c>
    </row>
    <row r="1503" spans="1:97" x14ac:dyDescent="0.2">
      <c r="A1503" t="s">
        <v>4582</v>
      </c>
      <c r="B1503">
        <v>1592</v>
      </c>
      <c r="C1503" t="s">
        <v>4582</v>
      </c>
      <c r="D1503">
        <v>54460</v>
      </c>
      <c r="E1503" t="s">
        <v>3349</v>
      </c>
      <c r="F1503">
        <v>2700</v>
      </c>
      <c r="G1503" t="s">
        <v>656</v>
      </c>
      <c r="H1503" t="s">
        <v>2478</v>
      </c>
      <c r="I1503" t="s">
        <v>1802</v>
      </c>
      <c r="J1503">
        <v>2703</v>
      </c>
      <c r="K1503" t="s">
        <v>1802</v>
      </c>
      <c r="L1503">
        <v>3200</v>
      </c>
      <c r="M1503" t="s">
        <v>625</v>
      </c>
      <c r="N1503">
        <v>3205</v>
      </c>
      <c r="O1503" t="s">
        <v>1002</v>
      </c>
      <c r="P1503" t="s">
        <v>2366</v>
      </c>
      <c r="Q1503" t="s">
        <v>2364</v>
      </c>
      <c r="R1503" t="s">
        <v>2364</v>
      </c>
      <c r="S1503" t="s">
        <v>1881</v>
      </c>
      <c r="T1503" t="s">
        <v>1812</v>
      </c>
      <c r="U1503" t="s">
        <v>2365</v>
      </c>
      <c r="V1503" t="s">
        <v>2365</v>
      </c>
      <c r="W1503" t="s">
        <v>2365</v>
      </c>
      <c r="X1503" t="s">
        <v>2365</v>
      </c>
      <c r="Y1503" t="s">
        <v>2365</v>
      </c>
      <c r="Z1503" t="s">
        <v>2365</v>
      </c>
      <c r="AA1503" t="s">
        <v>2365</v>
      </c>
      <c r="AB1503" t="s">
        <v>2365</v>
      </c>
      <c r="AC1503" s="813" t="s">
        <v>2365</v>
      </c>
      <c r="AD1503" s="813" t="s">
        <v>2365</v>
      </c>
      <c r="AE1503" s="813" t="s">
        <v>2365</v>
      </c>
      <c r="AF1503" t="s">
        <v>2365</v>
      </c>
      <c r="AG1503" t="s">
        <v>2365</v>
      </c>
      <c r="AH1503" t="s">
        <v>2365</v>
      </c>
      <c r="AI1503" t="s">
        <v>2365</v>
      </c>
      <c r="AJ1503" t="s">
        <v>2365</v>
      </c>
      <c r="AK1503" t="s">
        <v>2365</v>
      </c>
      <c r="AL1503" t="s">
        <v>2365</v>
      </c>
      <c r="AM1503" t="s">
        <v>2365</v>
      </c>
      <c r="AN1503" t="s">
        <v>2365</v>
      </c>
      <c r="AR1503" t="s">
        <v>2365</v>
      </c>
      <c r="AS1503" t="s">
        <v>2365</v>
      </c>
      <c r="AT1503" t="s">
        <v>2365</v>
      </c>
      <c r="AU1503" t="s">
        <v>2365</v>
      </c>
      <c r="AV1503" t="s">
        <v>2365</v>
      </c>
      <c r="AW1503" t="s">
        <v>2365</v>
      </c>
      <c r="AX1503" t="s">
        <v>2365</v>
      </c>
      <c r="AY1503" t="s">
        <v>2365</v>
      </c>
      <c r="AZ1503">
        <v>130</v>
      </c>
      <c r="BA1503" t="s">
        <v>1569</v>
      </c>
      <c r="BB1503">
        <v>130</v>
      </c>
      <c r="BC1503" t="s">
        <v>1569</v>
      </c>
      <c r="BD1503" t="s">
        <v>1906</v>
      </c>
      <c r="BE1503" t="s">
        <v>2365</v>
      </c>
      <c r="BF1503" t="s">
        <v>2365</v>
      </c>
      <c r="BG1503" t="s">
        <v>2365</v>
      </c>
      <c r="BH1503" t="s">
        <v>2365</v>
      </c>
      <c r="BI1503" t="s">
        <v>2366</v>
      </c>
      <c r="BJ1503" t="s">
        <v>2365</v>
      </c>
      <c r="BK1503" t="s">
        <v>2365</v>
      </c>
      <c r="BL1503" t="s">
        <v>2365</v>
      </c>
      <c r="BM1503" t="s">
        <v>2365</v>
      </c>
      <c r="BO1503">
        <v>7</v>
      </c>
      <c r="BP1503">
        <v>71</v>
      </c>
      <c r="BQ1503" t="s">
        <v>2665</v>
      </c>
      <c r="BR1503" t="s">
        <v>1002</v>
      </c>
      <c r="BU1503">
        <v>2000000</v>
      </c>
      <c r="BV1503">
        <v>0</v>
      </c>
      <c r="BW1503">
        <v>2000000</v>
      </c>
      <c r="BX1503">
        <v>1282733</v>
      </c>
      <c r="BY1503">
        <v>3282733</v>
      </c>
      <c r="BZ1503">
        <v>2640000</v>
      </c>
      <c r="CA1503">
        <v>2904000</v>
      </c>
      <c r="CB1503">
        <v>2361553.63</v>
      </c>
      <c r="CC1503">
        <v>3750</v>
      </c>
      <c r="CD1503">
        <v>0</v>
      </c>
      <c r="CE1503">
        <v>0</v>
      </c>
      <c r="CF1503">
        <v>0</v>
      </c>
      <c r="CG1503">
        <v>0</v>
      </c>
      <c r="CH1503">
        <v>0</v>
      </c>
      <c r="CI1503">
        <v>0</v>
      </c>
      <c r="CJ1503">
        <v>0</v>
      </c>
      <c r="CK1503">
        <v>0</v>
      </c>
      <c r="CL1503">
        <v>0</v>
      </c>
      <c r="CM1503">
        <v>0</v>
      </c>
      <c r="CR1503" t="s">
        <v>2324</v>
      </c>
      <c r="CS1503" s="1369" t="str">
        <f>INDEX([8]Sheet1!$H:$H,MATCH(CR:CR,[8]Sheet1!$AU:$AU,0))</f>
        <v>Finance</v>
      </c>
    </row>
    <row r="1504" spans="1:97" x14ac:dyDescent="0.2">
      <c r="A1504" t="s">
        <v>4583</v>
      </c>
      <c r="B1504">
        <v>1593</v>
      </c>
      <c r="C1504" t="s">
        <v>4583</v>
      </c>
      <c r="D1504">
        <v>54461</v>
      </c>
      <c r="E1504" t="s">
        <v>3349</v>
      </c>
      <c r="F1504">
        <v>2700</v>
      </c>
      <c r="G1504" t="s">
        <v>656</v>
      </c>
      <c r="H1504" t="s">
        <v>2478</v>
      </c>
      <c r="I1504" t="s">
        <v>1802</v>
      </c>
      <c r="J1504">
        <v>2703</v>
      </c>
      <c r="K1504" t="s">
        <v>1802</v>
      </c>
      <c r="L1504">
        <v>3200</v>
      </c>
      <c r="M1504" t="s">
        <v>625</v>
      </c>
      <c r="N1504">
        <v>3205</v>
      </c>
      <c r="O1504" t="s">
        <v>1002</v>
      </c>
      <c r="P1504" t="s">
        <v>2366</v>
      </c>
      <c r="Q1504" t="s">
        <v>2364</v>
      </c>
      <c r="R1504" t="s">
        <v>2364</v>
      </c>
      <c r="S1504" t="s">
        <v>1881</v>
      </c>
      <c r="T1504" t="s">
        <v>1812</v>
      </c>
      <c r="U1504" t="s">
        <v>2365</v>
      </c>
      <c r="V1504" t="s">
        <v>2365</v>
      </c>
      <c r="W1504" t="s">
        <v>2365</v>
      </c>
      <c r="X1504" t="s">
        <v>2365</v>
      </c>
      <c r="Y1504" t="s">
        <v>2365</v>
      </c>
      <c r="Z1504" t="s">
        <v>2365</v>
      </c>
      <c r="AA1504" t="s">
        <v>2365</v>
      </c>
      <c r="AB1504" t="s">
        <v>2365</v>
      </c>
      <c r="AC1504" s="813" t="s">
        <v>2365</v>
      </c>
      <c r="AD1504" s="813" t="s">
        <v>2365</v>
      </c>
      <c r="AE1504" s="813" t="s">
        <v>2365</v>
      </c>
      <c r="AF1504" t="s">
        <v>2365</v>
      </c>
      <c r="AG1504" t="s">
        <v>2365</v>
      </c>
      <c r="AH1504" t="s">
        <v>2365</v>
      </c>
      <c r="AI1504" t="s">
        <v>2365</v>
      </c>
      <c r="AJ1504" t="s">
        <v>2365</v>
      </c>
      <c r="AK1504" t="s">
        <v>2365</v>
      </c>
      <c r="AL1504" t="s">
        <v>2365</v>
      </c>
      <c r="AM1504" t="s">
        <v>2365</v>
      </c>
      <c r="AN1504" t="s">
        <v>2365</v>
      </c>
      <c r="AR1504" t="s">
        <v>2365</v>
      </c>
      <c r="AS1504" t="s">
        <v>2365</v>
      </c>
      <c r="AT1504" t="s">
        <v>2365</v>
      </c>
      <c r="AU1504" t="s">
        <v>2365</v>
      </c>
      <c r="AV1504" t="s">
        <v>2365</v>
      </c>
      <c r="AW1504" t="s">
        <v>2365</v>
      </c>
      <c r="AX1504" t="s">
        <v>2365</v>
      </c>
      <c r="AY1504" t="s">
        <v>2365</v>
      </c>
      <c r="AZ1504">
        <v>140</v>
      </c>
      <c r="BA1504" t="s">
        <v>1570</v>
      </c>
      <c r="BB1504">
        <v>140</v>
      </c>
      <c r="BC1504" t="s">
        <v>1570</v>
      </c>
      <c r="BD1504" t="s">
        <v>1906</v>
      </c>
      <c r="BE1504" t="s">
        <v>2365</v>
      </c>
      <c r="BF1504" t="s">
        <v>2365</v>
      </c>
      <c r="BG1504" t="s">
        <v>2365</v>
      </c>
      <c r="BH1504" t="s">
        <v>2365</v>
      </c>
      <c r="BI1504" t="s">
        <v>2366</v>
      </c>
      <c r="BJ1504" t="s">
        <v>2365</v>
      </c>
      <c r="BK1504" t="s">
        <v>2365</v>
      </c>
      <c r="BL1504" t="s">
        <v>2365</v>
      </c>
      <c r="BM1504" t="s">
        <v>2365</v>
      </c>
      <c r="BO1504">
        <v>7</v>
      </c>
      <c r="BP1504">
        <v>71</v>
      </c>
      <c r="BQ1504" t="s">
        <v>2665</v>
      </c>
      <c r="BR1504" t="s">
        <v>1002</v>
      </c>
      <c r="BU1504">
        <v>0</v>
      </c>
      <c r="BV1504">
        <v>0</v>
      </c>
      <c r="BW1504">
        <v>0</v>
      </c>
      <c r="BX1504">
        <v>0</v>
      </c>
      <c r="BY1504">
        <v>0</v>
      </c>
      <c r="BZ1504">
        <v>0</v>
      </c>
      <c r="CA1504">
        <v>0</v>
      </c>
      <c r="CB1504">
        <v>0</v>
      </c>
      <c r="CC1504">
        <v>0</v>
      </c>
      <c r="CD1504">
        <v>0</v>
      </c>
      <c r="CE1504">
        <v>0</v>
      </c>
      <c r="CF1504">
        <v>0</v>
      </c>
      <c r="CG1504">
        <v>0</v>
      </c>
      <c r="CH1504">
        <v>0</v>
      </c>
      <c r="CI1504">
        <v>0</v>
      </c>
      <c r="CJ1504">
        <v>0</v>
      </c>
      <c r="CK1504">
        <v>0</v>
      </c>
      <c r="CL1504">
        <v>0</v>
      </c>
      <c r="CM1504">
        <v>0</v>
      </c>
      <c r="CR1504" t="s">
        <v>2324</v>
      </c>
      <c r="CS1504" s="1369" t="str">
        <f>INDEX([8]Sheet1!$H:$H,MATCH(CR:CR,[8]Sheet1!$AU:$AU,0))</f>
        <v>Finance</v>
      </c>
    </row>
    <row r="1505" spans="1:97" x14ac:dyDescent="0.2">
      <c r="A1505" t="s">
        <v>4584</v>
      </c>
      <c r="B1505">
        <v>1594</v>
      </c>
      <c r="C1505" t="s">
        <v>4584</v>
      </c>
      <c r="D1505">
        <v>54462</v>
      </c>
      <c r="E1505" t="s">
        <v>2663</v>
      </c>
      <c r="F1505">
        <v>2700</v>
      </c>
      <c r="G1505" t="s">
        <v>656</v>
      </c>
      <c r="H1505" t="s">
        <v>2664</v>
      </c>
      <c r="I1505" t="s">
        <v>1801</v>
      </c>
      <c r="J1505">
        <v>2702</v>
      </c>
      <c r="K1505" t="s">
        <v>1801</v>
      </c>
      <c r="L1505">
        <v>3200</v>
      </c>
      <c r="M1505" t="s">
        <v>625</v>
      </c>
      <c r="N1505">
        <v>3205</v>
      </c>
      <c r="O1505" t="s">
        <v>1002</v>
      </c>
      <c r="P1505" t="s">
        <v>2366</v>
      </c>
      <c r="Q1505" t="s">
        <v>2364</v>
      </c>
      <c r="R1505" t="s">
        <v>2364</v>
      </c>
      <c r="S1505" t="s">
        <v>1881</v>
      </c>
      <c r="T1505" t="s">
        <v>1812</v>
      </c>
      <c r="U1505" t="s">
        <v>2365</v>
      </c>
      <c r="V1505" t="s">
        <v>2365</v>
      </c>
      <c r="W1505" t="s">
        <v>2365</v>
      </c>
      <c r="X1505" t="s">
        <v>2365</v>
      </c>
      <c r="Y1505" t="s">
        <v>2365</v>
      </c>
      <c r="Z1505" t="s">
        <v>2365</v>
      </c>
      <c r="AA1505" t="s">
        <v>2365</v>
      </c>
      <c r="AB1505" t="s">
        <v>2365</v>
      </c>
      <c r="AC1505" s="813" t="s">
        <v>2365</v>
      </c>
      <c r="AD1505" s="813" t="s">
        <v>2365</v>
      </c>
      <c r="AE1505" s="813" t="s">
        <v>2365</v>
      </c>
      <c r="AF1505" t="s">
        <v>2365</v>
      </c>
      <c r="AG1505" t="s">
        <v>2365</v>
      </c>
      <c r="AH1505" t="s">
        <v>2365</v>
      </c>
      <c r="AI1505" t="s">
        <v>2365</v>
      </c>
      <c r="AJ1505" t="s">
        <v>2365</v>
      </c>
      <c r="AK1505" t="s">
        <v>2365</v>
      </c>
      <c r="AL1505" t="s">
        <v>2365</v>
      </c>
      <c r="AM1505" t="s">
        <v>2365</v>
      </c>
      <c r="AN1505" t="s">
        <v>2365</v>
      </c>
      <c r="AR1505" t="s">
        <v>2365</v>
      </c>
      <c r="AS1505" t="s">
        <v>2365</v>
      </c>
      <c r="AT1505" t="s">
        <v>2365</v>
      </c>
      <c r="AU1505" t="s">
        <v>2365</v>
      </c>
      <c r="AV1505" t="s">
        <v>2365</v>
      </c>
      <c r="AW1505" t="s">
        <v>2365</v>
      </c>
      <c r="AX1505" t="s">
        <v>2365</v>
      </c>
      <c r="AY1505" t="s">
        <v>2365</v>
      </c>
      <c r="AZ1505">
        <v>130</v>
      </c>
      <c r="BA1505" t="s">
        <v>1569</v>
      </c>
      <c r="BB1505">
        <v>130</v>
      </c>
      <c r="BC1505" t="s">
        <v>1569</v>
      </c>
      <c r="BD1505" t="s">
        <v>2366</v>
      </c>
      <c r="BE1505" t="s">
        <v>2365</v>
      </c>
      <c r="BF1505" t="s">
        <v>2365</v>
      </c>
      <c r="BG1505" t="s">
        <v>2365</v>
      </c>
      <c r="BH1505" t="s">
        <v>2365</v>
      </c>
      <c r="BI1505" t="s">
        <v>2366</v>
      </c>
      <c r="BJ1505" t="s">
        <v>2365</v>
      </c>
      <c r="BK1505" t="s">
        <v>2365</v>
      </c>
      <c r="BL1505" t="s">
        <v>2365</v>
      </c>
      <c r="BM1505" t="s">
        <v>2365</v>
      </c>
      <c r="BO1505">
        <v>7</v>
      </c>
      <c r="BP1505">
        <v>71</v>
      </c>
      <c r="BQ1505" t="s">
        <v>2665</v>
      </c>
      <c r="BR1505" t="s">
        <v>1002</v>
      </c>
      <c r="BU1505">
        <v>0</v>
      </c>
      <c r="BV1505">
        <v>0</v>
      </c>
      <c r="BW1505">
        <v>0</v>
      </c>
      <c r="BX1505">
        <v>0</v>
      </c>
      <c r="BY1505">
        <v>0</v>
      </c>
      <c r="BZ1505">
        <v>0</v>
      </c>
      <c r="CA1505">
        <v>0</v>
      </c>
      <c r="CB1505">
        <v>0</v>
      </c>
      <c r="CC1505">
        <v>0</v>
      </c>
      <c r="CD1505">
        <v>0</v>
      </c>
      <c r="CE1505">
        <v>0</v>
      </c>
      <c r="CF1505">
        <v>0</v>
      </c>
      <c r="CG1505">
        <v>0</v>
      </c>
      <c r="CH1505">
        <v>0</v>
      </c>
      <c r="CI1505">
        <v>0</v>
      </c>
      <c r="CJ1505">
        <v>0</v>
      </c>
      <c r="CK1505">
        <v>0</v>
      </c>
      <c r="CL1505">
        <v>0</v>
      </c>
      <c r="CM1505">
        <v>0</v>
      </c>
      <c r="CR1505" t="s">
        <v>2324</v>
      </c>
      <c r="CS1505" s="1369" t="str">
        <f>INDEX([8]Sheet1!$H:$H,MATCH(CR:CR,[8]Sheet1!$AU:$AU,0))</f>
        <v>Finance</v>
      </c>
    </row>
    <row r="1506" spans="1:97" x14ac:dyDescent="0.2">
      <c r="A1506" t="s">
        <v>4585</v>
      </c>
      <c r="B1506">
        <v>1595</v>
      </c>
      <c r="C1506" t="s">
        <v>4585</v>
      </c>
      <c r="D1506">
        <v>54463</v>
      </c>
      <c r="E1506" t="s">
        <v>4586</v>
      </c>
      <c r="F1506">
        <v>2700</v>
      </c>
      <c r="G1506" t="s">
        <v>656</v>
      </c>
      <c r="H1506" t="s">
        <v>2478</v>
      </c>
      <c r="I1506" t="s">
        <v>1802</v>
      </c>
      <c r="J1506">
        <v>2703</v>
      </c>
      <c r="K1506" t="s">
        <v>1802</v>
      </c>
      <c r="L1506">
        <v>1100</v>
      </c>
      <c r="M1506" t="s">
        <v>616</v>
      </c>
      <c r="N1506">
        <v>1120</v>
      </c>
      <c r="O1506" t="s">
        <v>1485</v>
      </c>
      <c r="P1506" t="s">
        <v>2366</v>
      </c>
      <c r="Q1506" t="s">
        <v>2364</v>
      </c>
      <c r="R1506" t="s">
        <v>2364</v>
      </c>
      <c r="S1506" t="s">
        <v>1881</v>
      </c>
      <c r="T1506" t="s">
        <v>1812</v>
      </c>
      <c r="U1506" t="s">
        <v>2365</v>
      </c>
      <c r="V1506" t="s">
        <v>2365</v>
      </c>
      <c r="W1506" t="s">
        <v>2365</v>
      </c>
      <c r="X1506" t="s">
        <v>2365</v>
      </c>
      <c r="Y1506" t="s">
        <v>2365</v>
      </c>
      <c r="Z1506" t="s">
        <v>2365</v>
      </c>
      <c r="AA1506" t="s">
        <v>2365</v>
      </c>
      <c r="AB1506" t="s">
        <v>2365</v>
      </c>
      <c r="AC1506" s="813" t="s">
        <v>2365</v>
      </c>
      <c r="AD1506" s="813" t="s">
        <v>2365</v>
      </c>
      <c r="AE1506" s="813" t="s">
        <v>2365</v>
      </c>
      <c r="AF1506" t="s">
        <v>2365</v>
      </c>
      <c r="AG1506" t="s">
        <v>2365</v>
      </c>
      <c r="AH1506" t="s">
        <v>2365</v>
      </c>
      <c r="AI1506" t="s">
        <v>2365</v>
      </c>
      <c r="AJ1506" t="s">
        <v>2365</v>
      </c>
      <c r="AK1506" t="s">
        <v>2365</v>
      </c>
      <c r="AL1506" t="s">
        <v>2365</v>
      </c>
      <c r="AM1506" t="s">
        <v>2365</v>
      </c>
      <c r="AN1506" t="s">
        <v>2365</v>
      </c>
      <c r="AR1506" t="s">
        <v>2365</v>
      </c>
      <c r="AS1506" t="s">
        <v>2365</v>
      </c>
      <c r="AT1506" t="s">
        <v>2365</v>
      </c>
      <c r="AU1506" t="s">
        <v>2365</v>
      </c>
      <c r="AV1506" t="s">
        <v>2365</v>
      </c>
      <c r="AW1506" t="s">
        <v>2365</v>
      </c>
      <c r="AX1506" t="s">
        <v>2365</v>
      </c>
      <c r="AY1506" t="s">
        <v>2365</v>
      </c>
      <c r="AZ1506" t="s">
        <v>2365</v>
      </c>
      <c r="BA1506" t="s">
        <v>2365</v>
      </c>
      <c r="BB1506" t="s">
        <v>2365</v>
      </c>
      <c r="BC1506" t="s">
        <v>2365</v>
      </c>
      <c r="BD1506" t="s">
        <v>2366</v>
      </c>
      <c r="BE1506" t="s">
        <v>2365</v>
      </c>
      <c r="BF1506" t="s">
        <v>2365</v>
      </c>
      <c r="BG1506" t="s">
        <v>2365</v>
      </c>
      <c r="BH1506" t="s">
        <v>2365</v>
      </c>
      <c r="BI1506" t="s">
        <v>2366</v>
      </c>
      <c r="BJ1506" t="s">
        <v>2365</v>
      </c>
      <c r="BK1506" t="s">
        <v>2365</v>
      </c>
      <c r="BL1506" t="s">
        <v>2365</v>
      </c>
      <c r="BM1506" t="s">
        <v>2365</v>
      </c>
      <c r="BO1506">
        <v>3</v>
      </c>
      <c r="BP1506">
        <v>31</v>
      </c>
      <c r="BQ1506" t="s">
        <v>2716</v>
      </c>
      <c r="BR1506" t="s">
        <v>1485</v>
      </c>
      <c r="BU1506">
        <v>550000</v>
      </c>
      <c r="BV1506">
        <v>0</v>
      </c>
      <c r="BW1506">
        <v>550000</v>
      </c>
      <c r="BX1506">
        <v>-50000</v>
      </c>
      <c r="BY1506">
        <v>500000</v>
      </c>
      <c r="BZ1506">
        <v>572000</v>
      </c>
      <c r="CA1506">
        <v>594880</v>
      </c>
      <c r="CB1506">
        <v>0</v>
      </c>
      <c r="CC1506">
        <v>130434.78</v>
      </c>
      <c r="CD1506">
        <v>0</v>
      </c>
      <c r="CE1506">
        <v>0</v>
      </c>
      <c r="CF1506">
        <v>0</v>
      </c>
      <c r="CG1506">
        <v>0</v>
      </c>
      <c r="CH1506">
        <v>0</v>
      </c>
      <c r="CI1506">
        <v>0</v>
      </c>
      <c r="CJ1506">
        <v>0</v>
      </c>
      <c r="CK1506">
        <v>0</v>
      </c>
      <c r="CL1506">
        <v>0</v>
      </c>
      <c r="CM1506">
        <v>0</v>
      </c>
      <c r="CR1506" t="s">
        <v>2324</v>
      </c>
      <c r="CS1506" s="1369" t="str">
        <f>INDEX([8]Sheet1!$H:$H,MATCH(CR:CR,[8]Sheet1!$AU:$AU,0))</f>
        <v>Finance</v>
      </c>
    </row>
    <row r="1507" spans="1:97" x14ac:dyDescent="0.2">
      <c r="A1507" t="s">
        <v>4587</v>
      </c>
      <c r="B1507">
        <v>1596</v>
      </c>
      <c r="C1507" t="s">
        <v>4587</v>
      </c>
      <c r="D1507">
        <v>54464</v>
      </c>
      <c r="E1507" t="s">
        <v>3025</v>
      </c>
      <c r="F1507">
        <v>2900</v>
      </c>
      <c r="G1507" t="s">
        <v>569</v>
      </c>
      <c r="H1507" t="s">
        <v>2366</v>
      </c>
      <c r="I1507" t="s">
        <v>2366</v>
      </c>
      <c r="J1507">
        <v>2904</v>
      </c>
      <c r="K1507" t="s">
        <v>1432</v>
      </c>
      <c r="L1507">
        <v>1200</v>
      </c>
      <c r="M1507" t="s">
        <v>1480</v>
      </c>
      <c r="N1507">
        <v>1206</v>
      </c>
      <c r="O1507" t="s">
        <v>996</v>
      </c>
      <c r="P1507" t="s">
        <v>2366</v>
      </c>
      <c r="Q1507" t="s">
        <v>2364</v>
      </c>
      <c r="R1507" t="s">
        <v>2364</v>
      </c>
      <c r="S1507" t="s">
        <v>1881</v>
      </c>
      <c r="T1507" t="s">
        <v>1812</v>
      </c>
      <c r="U1507" t="s">
        <v>2365</v>
      </c>
      <c r="V1507" t="s">
        <v>2365</v>
      </c>
      <c r="W1507" t="s">
        <v>2365</v>
      </c>
      <c r="X1507" t="s">
        <v>2365</v>
      </c>
      <c r="Y1507" t="s">
        <v>2365</v>
      </c>
      <c r="Z1507" t="s">
        <v>2365</v>
      </c>
      <c r="AA1507" t="s">
        <v>2365</v>
      </c>
      <c r="AB1507" t="s">
        <v>2365</v>
      </c>
      <c r="AC1507" s="813" t="s">
        <v>2365</v>
      </c>
      <c r="AD1507" s="813" t="s">
        <v>2365</v>
      </c>
      <c r="AE1507" s="813" t="s">
        <v>2365</v>
      </c>
      <c r="AF1507" t="s">
        <v>2365</v>
      </c>
      <c r="AG1507" t="s">
        <v>2365</v>
      </c>
      <c r="AH1507" t="s">
        <v>2365</v>
      </c>
      <c r="AI1507" t="s">
        <v>2365</v>
      </c>
      <c r="AJ1507" t="s">
        <v>2365</v>
      </c>
      <c r="AK1507" t="s">
        <v>2365</v>
      </c>
      <c r="AL1507" t="s">
        <v>2365</v>
      </c>
      <c r="AM1507" t="s">
        <v>2365</v>
      </c>
      <c r="AN1507" t="s">
        <v>2365</v>
      </c>
      <c r="AR1507" t="s">
        <v>2365</v>
      </c>
      <c r="AS1507" t="s">
        <v>2365</v>
      </c>
      <c r="AT1507" t="s">
        <v>2365</v>
      </c>
      <c r="AU1507" t="s">
        <v>2365</v>
      </c>
      <c r="AV1507" t="s">
        <v>2365</v>
      </c>
      <c r="AW1507" t="s">
        <v>2365</v>
      </c>
      <c r="AX1507" t="s">
        <v>2365</v>
      </c>
      <c r="AY1507" t="s">
        <v>2365</v>
      </c>
      <c r="AZ1507" t="s">
        <v>2365</v>
      </c>
      <c r="BA1507" t="s">
        <v>2365</v>
      </c>
      <c r="BB1507" t="s">
        <v>2365</v>
      </c>
      <c r="BC1507" t="s">
        <v>2365</v>
      </c>
      <c r="BD1507" t="s">
        <v>2366</v>
      </c>
      <c r="BE1507" t="s">
        <v>2365</v>
      </c>
      <c r="BF1507" t="s">
        <v>2365</v>
      </c>
      <c r="BG1507" t="s">
        <v>2365</v>
      </c>
      <c r="BH1507" t="s">
        <v>2365</v>
      </c>
      <c r="BI1507" t="s">
        <v>2366</v>
      </c>
      <c r="BJ1507" t="s">
        <v>2365</v>
      </c>
      <c r="BK1507" t="s">
        <v>2365</v>
      </c>
      <c r="BL1507" t="s">
        <v>2365</v>
      </c>
      <c r="BM1507" t="s">
        <v>2365</v>
      </c>
      <c r="BO1507">
        <v>1</v>
      </c>
      <c r="BP1507">
        <v>15</v>
      </c>
      <c r="BQ1507" t="s">
        <v>2369</v>
      </c>
      <c r="BR1507" t="s">
        <v>996</v>
      </c>
      <c r="BU1507">
        <v>80000</v>
      </c>
      <c r="BV1507">
        <v>0</v>
      </c>
      <c r="BW1507">
        <v>80000</v>
      </c>
      <c r="BX1507">
        <v>80000</v>
      </c>
      <c r="BY1507">
        <v>160000</v>
      </c>
      <c r="BZ1507">
        <v>84800</v>
      </c>
      <c r="CA1507">
        <v>89888</v>
      </c>
      <c r="CB1507">
        <v>8205</v>
      </c>
      <c r="CC1507">
        <v>0</v>
      </c>
      <c r="CD1507">
        <v>0</v>
      </c>
      <c r="CE1507">
        <v>25900</v>
      </c>
      <c r="CF1507">
        <v>0</v>
      </c>
      <c r="CG1507">
        <v>0</v>
      </c>
      <c r="CH1507">
        <v>0</v>
      </c>
      <c r="CI1507">
        <v>31693</v>
      </c>
      <c r="CJ1507">
        <v>0</v>
      </c>
      <c r="CK1507">
        <v>0</v>
      </c>
      <c r="CL1507">
        <v>0</v>
      </c>
      <c r="CM1507">
        <v>0</v>
      </c>
      <c r="CR1507" t="s">
        <v>2324</v>
      </c>
      <c r="CS1507" s="1369" t="str">
        <f>INDEX([8]Sheet1!$H:$H,MATCH(CR:CR,[8]Sheet1!$AU:$AU,0))</f>
        <v>Finance</v>
      </c>
    </row>
    <row r="1508" spans="1:97" x14ac:dyDescent="0.2">
      <c r="A1508" t="s">
        <v>4588</v>
      </c>
      <c r="B1508">
        <v>1597</v>
      </c>
      <c r="C1508" t="s">
        <v>4588</v>
      </c>
      <c r="D1508">
        <v>54465</v>
      </c>
      <c r="E1508" t="s">
        <v>3010</v>
      </c>
      <c r="F1508">
        <v>2700</v>
      </c>
      <c r="G1508" t="s">
        <v>656</v>
      </c>
      <c r="H1508" t="s">
        <v>2428</v>
      </c>
      <c r="I1508" t="s">
        <v>1800</v>
      </c>
      <c r="J1508">
        <v>2701</v>
      </c>
      <c r="K1508" t="s">
        <v>1800</v>
      </c>
      <c r="L1508">
        <v>1100</v>
      </c>
      <c r="M1508" t="s">
        <v>616</v>
      </c>
      <c r="N1508">
        <v>1120</v>
      </c>
      <c r="O1508" t="s">
        <v>1485</v>
      </c>
      <c r="P1508" t="s">
        <v>2366</v>
      </c>
      <c r="Q1508" t="s">
        <v>2364</v>
      </c>
      <c r="R1508" t="s">
        <v>2364</v>
      </c>
      <c r="S1508" t="s">
        <v>1881</v>
      </c>
      <c r="T1508" t="s">
        <v>1812</v>
      </c>
      <c r="U1508" t="s">
        <v>2365</v>
      </c>
      <c r="V1508" t="s">
        <v>2365</v>
      </c>
      <c r="W1508" t="s">
        <v>2365</v>
      </c>
      <c r="X1508" t="s">
        <v>2365</v>
      </c>
      <c r="Y1508" t="s">
        <v>2365</v>
      </c>
      <c r="Z1508" t="s">
        <v>2365</v>
      </c>
      <c r="AA1508" t="s">
        <v>2365</v>
      </c>
      <c r="AB1508" t="s">
        <v>2365</v>
      </c>
      <c r="AC1508" s="813" t="s">
        <v>2365</v>
      </c>
      <c r="AD1508" s="813" t="s">
        <v>2365</v>
      </c>
      <c r="AE1508" s="813" t="s">
        <v>2365</v>
      </c>
      <c r="AF1508" t="s">
        <v>2365</v>
      </c>
      <c r="AG1508" t="s">
        <v>2365</v>
      </c>
      <c r="AH1508" t="s">
        <v>2365</v>
      </c>
      <c r="AI1508" t="s">
        <v>2365</v>
      </c>
      <c r="AJ1508" t="s">
        <v>2365</v>
      </c>
      <c r="AK1508" t="s">
        <v>2365</v>
      </c>
      <c r="AL1508" t="s">
        <v>2365</v>
      </c>
      <c r="AM1508" t="s">
        <v>2365</v>
      </c>
      <c r="AN1508" t="s">
        <v>2365</v>
      </c>
      <c r="AR1508" t="s">
        <v>2365</v>
      </c>
      <c r="AS1508" t="s">
        <v>2365</v>
      </c>
      <c r="AT1508" t="s">
        <v>2365</v>
      </c>
      <c r="AU1508" t="s">
        <v>2365</v>
      </c>
      <c r="AV1508" t="s">
        <v>2365</v>
      </c>
      <c r="AW1508" t="s">
        <v>2365</v>
      </c>
      <c r="AX1508" t="s">
        <v>2365</v>
      </c>
      <c r="AY1508" t="s">
        <v>2365</v>
      </c>
      <c r="AZ1508" t="s">
        <v>2365</v>
      </c>
      <c r="BA1508" t="s">
        <v>2365</v>
      </c>
      <c r="BB1508" t="s">
        <v>2365</v>
      </c>
      <c r="BC1508" t="s">
        <v>2365</v>
      </c>
      <c r="BD1508" t="s">
        <v>2366</v>
      </c>
      <c r="BE1508" t="s">
        <v>2365</v>
      </c>
      <c r="BF1508" t="s">
        <v>2365</v>
      </c>
      <c r="BG1508" t="s">
        <v>2365</v>
      </c>
      <c r="BH1508" t="s">
        <v>2365</v>
      </c>
      <c r="BI1508" t="s">
        <v>2366</v>
      </c>
      <c r="BJ1508" t="s">
        <v>2365</v>
      </c>
      <c r="BK1508" t="s">
        <v>2365</v>
      </c>
      <c r="BL1508" t="s">
        <v>2365</v>
      </c>
      <c r="BM1508" t="s">
        <v>2365</v>
      </c>
      <c r="BO1508">
        <v>3</v>
      </c>
      <c r="BP1508">
        <v>31</v>
      </c>
      <c r="BQ1508" t="s">
        <v>2716</v>
      </c>
      <c r="BR1508" t="s">
        <v>1485</v>
      </c>
      <c r="BU1508">
        <v>100000</v>
      </c>
      <c r="BV1508">
        <v>0</v>
      </c>
      <c r="BW1508">
        <v>100000</v>
      </c>
      <c r="BX1508">
        <v>0</v>
      </c>
      <c r="BY1508">
        <v>100000</v>
      </c>
      <c r="BZ1508">
        <v>104000</v>
      </c>
      <c r="CA1508">
        <v>108160</v>
      </c>
      <c r="CB1508">
        <v>0</v>
      </c>
      <c r="CC1508">
        <v>0</v>
      </c>
      <c r="CD1508">
        <v>0</v>
      </c>
      <c r="CE1508">
        <v>0</v>
      </c>
      <c r="CF1508">
        <v>0</v>
      </c>
      <c r="CG1508">
        <v>0</v>
      </c>
      <c r="CH1508">
        <v>0</v>
      </c>
      <c r="CI1508">
        <v>0</v>
      </c>
      <c r="CJ1508">
        <v>0</v>
      </c>
      <c r="CK1508">
        <v>0</v>
      </c>
      <c r="CL1508">
        <v>0</v>
      </c>
      <c r="CM1508">
        <v>0</v>
      </c>
      <c r="CR1508" t="s">
        <v>2324</v>
      </c>
      <c r="CS1508" s="1369" t="str">
        <f>INDEX([8]Sheet1!$H:$H,MATCH(CR:CR,[8]Sheet1!$AU:$AU,0))</f>
        <v>Finance</v>
      </c>
    </row>
    <row r="1509" spans="1:97" x14ac:dyDescent="0.2">
      <c r="A1509" t="s">
        <v>4589</v>
      </c>
      <c r="B1509">
        <v>1598</v>
      </c>
      <c r="C1509" t="s">
        <v>4589</v>
      </c>
      <c r="D1509">
        <v>54466</v>
      </c>
      <c r="E1509" t="s">
        <v>2681</v>
      </c>
      <c r="F1509">
        <v>2700</v>
      </c>
      <c r="G1509" t="s">
        <v>656</v>
      </c>
      <c r="H1509" t="s">
        <v>2478</v>
      </c>
      <c r="I1509" t="s">
        <v>1802</v>
      </c>
      <c r="J1509">
        <v>2703</v>
      </c>
      <c r="K1509" t="s">
        <v>1802</v>
      </c>
      <c r="L1509">
        <v>2200</v>
      </c>
      <c r="M1509" t="s">
        <v>619</v>
      </c>
      <c r="N1509">
        <v>2205</v>
      </c>
      <c r="O1509" t="s">
        <v>1517</v>
      </c>
      <c r="P1509" t="s">
        <v>2366</v>
      </c>
      <c r="Q1509" t="s">
        <v>2364</v>
      </c>
      <c r="R1509" t="s">
        <v>2364</v>
      </c>
      <c r="S1509" t="s">
        <v>1881</v>
      </c>
      <c r="T1509" t="s">
        <v>1812</v>
      </c>
      <c r="U1509" t="s">
        <v>2365</v>
      </c>
      <c r="V1509" t="s">
        <v>2365</v>
      </c>
      <c r="W1509" t="s">
        <v>2365</v>
      </c>
      <c r="X1509" t="s">
        <v>2365</v>
      </c>
      <c r="Y1509" t="s">
        <v>2365</v>
      </c>
      <c r="Z1509" t="s">
        <v>2365</v>
      </c>
      <c r="AA1509" t="s">
        <v>2365</v>
      </c>
      <c r="AB1509" t="s">
        <v>2365</v>
      </c>
      <c r="AC1509" s="813" t="s">
        <v>2365</v>
      </c>
      <c r="AD1509" s="813" t="s">
        <v>2365</v>
      </c>
      <c r="AE1509" s="813" t="s">
        <v>2365</v>
      </c>
      <c r="AF1509" t="s">
        <v>2365</v>
      </c>
      <c r="AG1509" t="s">
        <v>2365</v>
      </c>
      <c r="AH1509" t="s">
        <v>2365</v>
      </c>
      <c r="AI1509" t="s">
        <v>2365</v>
      </c>
      <c r="AJ1509" t="s">
        <v>2365</v>
      </c>
      <c r="AK1509" t="s">
        <v>2365</v>
      </c>
      <c r="AL1509" t="s">
        <v>2365</v>
      </c>
      <c r="AM1509" t="s">
        <v>2365</v>
      </c>
      <c r="AN1509" t="s">
        <v>2365</v>
      </c>
      <c r="AR1509" t="s">
        <v>2365</v>
      </c>
      <c r="AS1509" t="s">
        <v>2365</v>
      </c>
      <c r="AT1509" t="s">
        <v>2365</v>
      </c>
      <c r="AU1509" t="s">
        <v>2365</v>
      </c>
      <c r="AV1509" t="s">
        <v>2365</v>
      </c>
      <c r="AW1509" t="s">
        <v>2365</v>
      </c>
      <c r="AX1509" t="s">
        <v>2365</v>
      </c>
      <c r="AY1509" t="s">
        <v>2365</v>
      </c>
      <c r="AZ1509">
        <v>1030</v>
      </c>
      <c r="BA1509" t="s">
        <v>1641</v>
      </c>
      <c r="BB1509">
        <v>1030</v>
      </c>
      <c r="BC1509" t="s">
        <v>1641</v>
      </c>
      <c r="BD1509" t="s">
        <v>1906</v>
      </c>
      <c r="BE1509" t="s">
        <v>2365</v>
      </c>
      <c r="BF1509" t="s">
        <v>2365</v>
      </c>
      <c r="BG1509" t="s">
        <v>2365</v>
      </c>
      <c r="BH1509" t="s">
        <v>2365</v>
      </c>
      <c r="BI1509" t="s">
        <v>2366</v>
      </c>
      <c r="BJ1509" t="s">
        <v>2365</v>
      </c>
      <c r="BK1509" t="s">
        <v>2365</v>
      </c>
      <c r="BL1509" t="s">
        <v>2365</v>
      </c>
      <c r="BM1509" t="s">
        <v>2365</v>
      </c>
      <c r="BO1509">
        <v>9</v>
      </c>
      <c r="BP1509">
        <v>91</v>
      </c>
      <c r="BQ1509" t="s">
        <v>265</v>
      </c>
      <c r="BR1509" t="s">
        <v>1517</v>
      </c>
      <c r="BU1509">
        <v>0</v>
      </c>
      <c r="BV1509">
        <v>0</v>
      </c>
      <c r="BW1509">
        <v>0</v>
      </c>
      <c r="BX1509">
        <v>0</v>
      </c>
      <c r="BY1509">
        <v>0</v>
      </c>
      <c r="BZ1509">
        <v>0</v>
      </c>
      <c r="CA1509">
        <v>0</v>
      </c>
      <c r="CB1509">
        <v>0</v>
      </c>
      <c r="CC1509">
        <v>0</v>
      </c>
      <c r="CD1509">
        <v>0</v>
      </c>
      <c r="CE1509">
        <v>0</v>
      </c>
      <c r="CF1509">
        <v>0</v>
      </c>
      <c r="CG1509">
        <v>0</v>
      </c>
      <c r="CH1509">
        <v>0</v>
      </c>
      <c r="CI1509">
        <v>0</v>
      </c>
      <c r="CJ1509">
        <v>0</v>
      </c>
      <c r="CK1509">
        <v>0</v>
      </c>
      <c r="CL1509">
        <v>0</v>
      </c>
      <c r="CM1509">
        <v>0</v>
      </c>
      <c r="CR1509" t="s">
        <v>2324</v>
      </c>
      <c r="CS1509" s="1369" t="str">
        <f>INDEX([8]Sheet1!$H:$H,MATCH(CR:CR,[8]Sheet1!$AU:$AU,0))</f>
        <v>Finance</v>
      </c>
    </row>
    <row r="1510" spans="1:97" x14ac:dyDescent="0.2">
      <c r="A1510" t="s">
        <v>4590</v>
      </c>
      <c r="B1510">
        <v>1599</v>
      </c>
      <c r="C1510" t="s">
        <v>4590</v>
      </c>
      <c r="D1510">
        <v>54467</v>
      </c>
      <c r="E1510" t="s">
        <v>2681</v>
      </c>
      <c r="F1510">
        <v>2700</v>
      </c>
      <c r="G1510" t="s">
        <v>656</v>
      </c>
      <c r="H1510" s="1373" t="s">
        <v>2478</v>
      </c>
      <c r="I1510" t="s">
        <v>1802</v>
      </c>
      <c r="J1510">
        <v>2703</v>
      </c>
      <c r="K1510" t="s">
        <v>1802</v>
      </c>
      <c r="L1510" s="1373">
        <v>2200</v>
      </c>
      <c r="M1510" t="s">
        <v>619</v>
      </c>
      <c r="N1510">
        <v>2205</v>
      </c>
      <c r="O1510" t="s">
        <v>1517</v>
      </c>
      <c r="P1510" t="s">
        <v>2366</v>
      </c>
      <c r="Q1510" t="s">
        <v>2364</v>
      </c>
      <c r="R1510" t="s">
        <v>2364</v>
      </c>
      <c r="S1510" t="s">
        <v>1881</v>
      </c>
      <c r="T1510" t="s">
        <v>1812</v>
      </c>
      <c r="U1510" t="s">
        <v>2365</v>
      </c>
      <c r="V1510" t="s">
        <v>2365</v>
      </c>
      <c r="W1510" t="s">
        <v>2365</v>
      </c>
      <c r="X1510" t="s">
        <v>2365</v>
      </c>
      <c r="Y1510" t="s">
        <v>2365</v>
      </c>
      <c r="Z1510" t="s">
        <v>2365</v>
      </c>
      <c r="AA1510" t="s">
        <v>2365</v>
      </c>
      <c r="AB1510" t="s">
        <v>2365</v>
      </c>
      <c r="AC1510" s="813" t="s">
        <v>2365</v>
      </c>
      <c r="AD1510" s="813" t="s">
        <v>2365</v>
      </c>
      <c r="AE1510" s="813" t="s">
        <v>2365</v>
      </c>
      <c r="AF1510" t="s">
        <v>2365</v>
      </c>
      <c r="AG1510" t="s">
        <v>2365</v>
      </c>
      <c r="AH1510" t="s">
        <v>2365</v>
      </c>
      <c r="AI1510" t="s">
        <v>2365</v>
      </c>
      <c r="AJ1510" t="s">
        <v>2365</v>
      </c>
      <c r="AK1510" t="s">
        <v>2365</v>
      </c>
      <c r="AL1510" t="s">
        <v>2365</v>
      </c>
      <c r="AM1510" t="s">
        <v>2365</v>
      </c>
      <c r="AN1510" t="s">
        <v>2365</v>
      </c>
      <c r="AR1510" t="s">
        <v>2365</v>
      </c>
      <c r="AS1510" t="s">
        <v>2365</v>
      </c>
      <c r="AT1510" t="s">
        <v>2365</v>
      </c>
      <c r="AU1510" t="s">
        <v>2365</v>
      </c>
      <c r="AV1510" t="s">
        <v>2365</v>
      </c>
      <c r="AW1510" t="s">
        <v>2365</v>
      </c>
      <c r="AX1510" t="s">
        <v>2365</v>
      </c>
      <c r="AY1510" t="s">
        <v>2365</v>
      </c>
      <c r="AZ1510">
        <v>1030</v>
      </c>
      <c r="BA1510" t="s">
        <v>1641</v>
      </c>
      <c r="BB1510">
        <v>1030</v>
      </c>
      <c r="BC1510" t="s">
        <v>1641</v>
      </c>
      <c r="BD1510" t="s">
        <v>1906</v>
      </c>
      <c r="BE1510" t="s">
        <v>2365</v>
      </c>
      <c r="BF1510" t="s">
        <v>2365</v>
      </c>
      <c r="BG1510" t="s">
        <v>2365</v>
      </c>
      <c r="BH1510" t="s">
        <v>2365</v>
      </c>
      <c r="BI1510" t="s">
        <v>2366</v>
      </c>
      <c r="BJ1510" t="s">
        <v>2365</v>
      </c>
      <c r="BK1510" t="s">
        <v>2365</v>
      </c>
      <c r="BL1510" t="s">
        <v>2365</v>
      </c>
      <c r="BM1510" t="s">
        <v>2365</v>
      </c>
      <c r="BO1510">
        <v>9</v>
      </c>
      <c r="BP1510">
        <v>91</v>
      </c>
      <c r="BQ1510" t="s">
        <v>265</v>
      </c>
      <c r="BR1510" t="s">
        <v>1517</v>
      </c>
      <c r="BU1510" s="1371">
        <v>1500000</v>
      </c>
      <c r="BV1510" s="1371">
        <v>0</v>
      </c>
      <c r="BW1510" s="1371">
        <v>1500000</v>
      </c>
      <c r="BX1510" s="1371">
        <v>0</v>
      </c>
      <c r="BY1510" s="1371">
        <v>1500000</v>
      </c>
      <c r="BZ1510">
        <v>1650000</v>
      </c>
      <c r="CA1510">
        <v>1815000</v>
      </c>
      <c r="CB1510">
        <v>0</v>
      </c>
      <c r="CC1510">
        <v>0</v>
      </c>
      <c r="CD1510">
        <v>19550</v>
      </c>
      <c r="CE1510">
        <v>418633.18</v>
      </c>
      <c r="CF1510">
        <v>0</v>
      </c>
      <c r="CG1510">
        <v>0</v>
      </c>
      <c r="CH1510">
        <v>5500</v>
      </c>
      <c r="CI1510">
        <v>0</v>
      </c>
      <c r="CJ1510">
        <v>0</v>
      </c>
      <c r="CK1510">
        <v>0</v>
      </c>
      <c r="CL1510">
        <v>0</v>
      </c>
      <c r="CM1510">
        <v>0</v>
      </c>
      <c r="CR1510" t="s">
        <v>2324</v>
      </c>
      <c r="CS1510" s="1369" t="str">
        <f>INDEX([8]Sheet1!$H:$H,MATCH(CR:CR,[8]Sheet1!$AU:$AU,0))</f>
        <v>Finance</v>
      </c>
    </row>
    <row r="1511" spans="1:97" x14ac:dyDescent="0.2">
      <c r="A1511" t="s">
        <v>4591</v>
      </c>
      <c r="B1511">
        <v>1600</v>
      </c>
      <c r="C1511" t="s">
        <v>4591</v>
      </c>
      <c r="D1511">
        <v>54468</v>
      </c>
      <c r="E1511" t="s">
        <v>3309</v>
      </c>
      <c r="F1511">
        <v>2900</v>
      </c>
      <c r="G1511" t="s">
        <v>569</v>
      </c>
      <c r="H1511" s="1373" t="s">
        <v>2366</v>
      </c>
      <c r="I1511" t="s">
        <v>2366</v>
      </c>
      <c r="J1511">
        <v>2904</v>
      </c>
      <c r="K1511" t="s">
        <v>1432</v>
      </c>
      <c r="L1511" s="1373">
        <v>1200</v>
      </c>
      <c r="M1511" t="s">
        <v>1480</v>
      </c>
      <c r="N1511">
        <v>1206</v>
      </c>
      <c r="O1511" t="s">
        <v>996</v>
      </c>
      <c r="P1511" t="s">
        <v>2366</v>
      </c>
      <c r="Q1511" t="s">
        <v>2364</v>
      </c>
      <c r="R1511" t="s">
        <v>2364</v>
      </c>
      <c r="S1511" t="s">
        <v>1881</v>
      </c>
      <c r="T1511" t="s">
        <v>1812</v>
      </c>
      <c r="U1511" t="s">
        <v>2365</v>
      </c>
      <c r="V1511" t="s">
        <v>2365</v>
      </c>
      <c r="W1511" t="s">
        <v>2365</v>
      </c>
      <c r="X1511" t="s">
        <v>2365</v>
      </c>
      <c r="Y1511" t="s">
        <v>2365</v>
      </c>
      <c r="Z1511" t="s">
        <v>2365</v>
      </c>
      <c r="AA1511" t="s">
        <v>2365</v>
      </c>
      <c r="AB1511" t="s">
        <v>2365</v>
      </c>
      <c r="AC1511" s="813" t="s">
        <v>2365</v>
      </c>
      <c r="AD1511" s="813" t="s">
        <v>2365</v>
      </c>
      <c r="AE1511" s="813" t="s">
        <v>2365</v>
      </c>
      <c r="AF1511" t="s">
        <v>2365</v>
      </c>
      <c r="AG1511" t="s">
        <v>2365</v>
      </c>
      <c r="AH1511" t="s">
        <v>2365</v>
      </c>
      <c r="AI1511" t="s">
        <v>2365</v>
      </c>
      <c r="AJ1511" t="s">
        <v>2365</v>
      </c>
      <c r="AK1511" t="s">
        <v>2365</v>
      </c>
      <c r="AL1511" t="s">
        <v>2365</v>
      </c>
      <c r="AM1511" t="s">
        <v>2365</v>
      </c>
      <c r="AN1511" t="s">
        <v>2365</v>
      </c>
      <c r="AR1511" t="s">
        <v>2365</v>
      </c>
      <c r="AS1511" t="s">
        <v>2365</v>
      </c>
      <c r="AT1511" t="s">
        <v>2365</v>
      </c>
      <c r="AU1511" t="s">
        <v>2365</v>
      </c>
      <c r="AV1511" t="s">
        <v>2365</v>
      </c>
      <c r="AW1511" t="s">
        <v>2365</v>
      </c>
      <c r="AX1511" t="s">
        <v>2365</v>
      </c>
      <c r="AY1511" t="s">
        <v>2365</v>
      </c>
      <c r="AZ1511" t="s">
        <v>2365</v>
      </c>
      <c r="BA1511" t="s">
        <v>2365</v>
      </c>
      <c r="BB1511" t="s">
        <v>2365</v>
      </c>
      <c r="BC1511" t="s">
        <v>2365</v>
      </c>
      <c r="BD1511" t="s">
        <v>2366</v>
      </c>
      <c r="BE1511" t="s">
        <v>2365</v>
      </c>
      <c r="BF1511" t="s">
        <v>2365</v>
      </c>
      <c r="BG1511" t="s">
        <v>2365</v>
      </c>
      <c r="BH1511" t="s">
        <v>2365</v>
      </c>
      <c r="BI1511" t="s">
        <v>2366</v>
      </c>
      <c r="BJ1511" t="s">
        <v>2365</v>
      </c>
      <c r="BK1511" t="s">
        <v>2365</v>
      </c>
      <c r="BL1511" t="s">
        <v>2365</v>
      </c>
      <c r="BM1511" t="s">
        <v>2365</v>
      </c>
      <c r="BO1511">
        <v>1</v>
      </c>
      <c r="BP1511">
        <v>15</v>
      </c>
      <c r="BQ1511" t="s">
        <v>2369</v>
      </c>
      <c r="BR1511" t="s">
        <v>996</v>
      </c>
      <c r="BU1511" s="1371">
        <v>0</v>
      </c>
      <c r="BV1511" s="1371">
        <v>0</v>
      </c>
      <c r="BW1511" s="1371">
        <v>0</v>
      </c>
      <c r="BX1511" s="1371">
        <v>0</v>
      </c>
      <c r="BY1511" s="1371">
        <v>0</v>
      </c>
      <c r="BZ1511">
        <v>0</v>
      </c>
      <c r="CA1511">
        <v>0</v>
      </c>
      <c r="CB1511">
        <v>0</v>
      </c>
      <c r="CC1511">
        <v>0</v>
      </c>
      <c r="CD1511">
        <v>0</v>
      </c>
      <c r="CE1511">
        <v>0</v>
      </c>
      <c r="CF1511">
        <v>0</v>
      </c>
      <c r="CG1511">
        <v>0</v>
      </c>
      <c r="CH1511">
        <v>0</v>
      </c>
      <c r="CI1511">
        <v>0</v>
      </c>
      <c r="CJ1511">
        <v>0</v>
      </c>
      <c r="CK1511">
        <v>0</v>
      </c>
      <c r="CL1511">
        <v>0</v>
      </c>
      <c r="CM1511">
        <v>0</v>
      </c>
      <c r="CR1511" t="s">
        <v>2324</v>
      </c>
      <c r="CS1511" s="1369" t="str">
        <f>INDEX([8]Sheet1!$H:$H,MATCH(CR:CR,[8]Sheet1!$AU:$AU,0))</f>
        <v>Finance</v>
      </c>
    </row>
    <row r="1512" spans="1:97" x14ac:dyDescent="0.2">
      <c r="A1512" t="s">
        <v>4592</v>
      </c>
      <c r="B1512">
        <v>1601</v>
      </c>
      <c r="C1512" t="s">
        <v>4592</v>
      </c>
      <c r="D1512">
        <v>54469</v>
      </c>
      <c r="E1512" t="s">
        <v>3010</v>
      </c>
      <c r="F1512">
        <v>2700</v>
      </c>
      <c r="G1512" t="s">
        <v>656</v>
      </c>
      <c r="H1512" t="s">
        <v>2428</v>
      </c>
      <c r="I1512" t="s">
        <v>1800</v>
      </c>
      <c r="J1512">
        <v>2701</v>
      </c>
      <c r="K1512" t="s">
        <v>1800</v>
      </c>
      <c r="L1512">
        <v>1200</v>
      </c>
      <c r="M1512" t="s">
        <v>1480</v>
      </c>
      <c r="N1512">
        <v>1206</v>
      </c>
      <c r="O1512" t="s">
        <v>996</v>
      </c>
      <c r="P1512" t="s">
        <v>2366</v>
      </c>
      <c r="Q1512" t="s">
        <v>2364</v>
      </c>
      <c r="R1512" t="s">
        <v>2364</v>
      </c>
      <c r="S1512" t="s">
        <v>1881</v>
      </c>
      <c r="T1512" t="s">
        <v>1812</v>
      </c>
      <c r="U1512" t="s">
        <v>2365</v>
      </c>
      <c r="V1512" t="s">
        <v>2365</v>
      </c>
      <c r="W1512" t="s">
        <v>2365</v>
      </c>
      <c r="X1512" t="s">
        <v>2365</v>
      </c>
      <c r="Y1512" t="s">
        <v>2365</v>
      </c>
      <c r="Z1512" t="s">
        <v>2365</v>
      </c>
      <c r="AA1512" t="s">
        <v>2365</v>
      </c>
      <c r="AB1512" t="s">
        <v>2365</v>
      </c>
      <c r="AC1512" s="813" t="s">
        <v>2365</v>
      </c>
      <c r="AD1512" s="813" t="s">
        <v>2365</v>
      </c>
      <c r="AE1512" s="813" t="s">
        <v>2365</v>
      </c>
      <c r="AF1512" t="s">
        <v>2365</v>
      </c>
      <c r="AG1512" t="s">
        <v>2365</v>
      </c>
      <c r="AH1512" t="s">
        <v>2365</v>
      </c>
      <c r="AI1512" t="s">
        <v>2365</v>
      </c>
      <c r="AJ1512" t="s">
        <v>2365</v>
      </c>
      <c r="AK1512" t="s">
        <v>2365</v>
      </c>
      <c r="AL1512" t="s">
        <v>2365</v>
      </c>
      <c r="AM1512" t="s">
        <v>2365</v>
      </c>
      <c r="AN1512" t="s">
        <v>2365</v>
      </c>
      <c r="AR1512" t="s">
        <v>2365</v>
      </c>
      <c r="AS1512" t="s">
        <v>2365</v>
      </c>
      <c r="AT1512" t="s">
        <v>2365</v>
      </c>
      <c r="AU1512" t="s">
        <v>2365</v>
      </c>
      <c r="AV1512" t="s">
        <v>2365</v>
      </c>
      <c r="AW1512" t="s">
        <v>2365</v>
      </c>
      <c r="AX1512" t="s">
        <v>2365</v>
      </c>
      <c r="AY1512" t="s">
        <v>2365</v>
      </c>
      <c r="AZ1512" t="s">
        <v>2365</v>
      </c>
      <c r="BA1512" t="s">
        <v>2365</v>
      </c>
      <c r="BB1512" t="s">
        <v>2365</v>
      </c>
      <c r="BC1512" t="s">
        <v>2365</v>
      </c>
      <c r="BD1512" t="s">
        <v>2366</v>
      </c>
      <c r="BE1512" t="s">
        <v>2365</v>
      </c>
      <c r="BF1512" t="s">
        <v>2365</v>
      </c>
      <c r="BG1512" t="s">
        <v>2365</v>
      </c>
      <c r="BH1512" t="s">
        <v>2365</v>
      </c>
      <c r="BI1512" t="s">
        <v>2366</v>
      </c>
      <c r="BJ1512" t="s">
        <v>2365</v>
      </c>
      <c r="BK1512" t="s">
        <v>2365</v>
      </c>
      <c r="BL1512" t="s">
        <v>2365</v>
      </c>
      <c r="BM1512" t="s">
        <v>2365</v>
      </c>
      <c r="BO1512">
        <v>1</v>
      </c>
      <c r="BP1512">
        <v>15</v>
      </c>
      <c r="BQ1512" t="s">
        <v>2369</v>
      </c>
      <c r="BR1512" t="s">
        <v>996</v>
      </c>
      <c r="BU1512">
        <v>0</v>
      </c>
      <c r="BV1512">
        <v>0</v>
      </c>
      <c r="BW1512">
        <v>0</v>
      </c>
      <c r="BX1512">
        <v>0</v>
      </c>
      <c r="BY1512">
        <v>0</v>
      </c>
      <c r="BZ1512">
        <v>0</v>
      </c>
      <c r="CA1512">
        <v>0</v>
      </c>
      <c r="CB1512">
        <v>0</v>
      </c>
      <c r="CC1512">
        <v>0</v>
      </c>
      <c r="CD1512">
        <v>0</v>
      </c>
      <c r="CE1512">
        <v>0</v>
      </c>
      <c r="CF1512">
        <v>0</v>
      </c>
      <c r="CG1512">
        <v>0</v>
      </c>
      <c r="CH1512">
        <v>0</v>
      </c>
      <c r="CI1512">
        <v>0</v>
      </c>
      <c r="CJ1512">
        <v>0</v>
      </c>
      <c r="CK1512">
        <v>0</v>
      </c>
      <c r="CL1512">
        <v>0</v>
      </c>
      <c r="CM1512">
        <v>0</v>
      </c>
      <c r="CR1512" t="s">
        <v>2324</v>
      </c>
      <c r="CS1512" s="1369" t="str">
        <f>INDEX([8]Sheet1!$H:$H,MATCH(CR:CR,[8]Sheet1!$AU:$AU,0))</f>
        <v>Finance</v>
      </c>
    </row>
    <row r="1513" spans="1:97" x14ac:dyDescent="0.2">
      <c r="A1513" t="s">
        <v>4593</v>
      </c>
      <c r="B1513">
        <v>1602</v>
      </c>
      <c r="C1513" t="s">
        <v>4593</v>
      </c>
      <c r="D1513">
        <v>54470</v>
      </c>
      <c r="E1513" t="s">
        <v>3010</v>
      </c>
      <c r="F1513">
        <v>2700</v>
      </c>
      <c r="G1513" t="s">
        <v>656</v>
      </c>
      <c r="H1513" t="s">
        <v>2428</v>
      </c>
      <c r="I1513" t="s">
        <v>1800</v>
      </c>
      <c r="J1513">
        <v>2701</v>
      </c>
      <c r="K1513" t="s">
        <v>1800</v>
      </c>
      <c r="L1513">
        <v>1200</v>
      </c>
      <c r="M1513" t="s">
        <v>1480</v>
      </c>
      <c r="N1513">
        <v>1206</v>
      </c>
      <c r="O1513" t="s">
        <v>996</v>
      </c>
      <c r="P1513" t="s">
        <v>2366</v>
      </c>
      <c r="Q1513" t="s">
        <v>2364</v>
      </c>
      <c r="R1513" t="s">
        <v>2364</v>
      </c>
      <c r="S1513" t="s">
        <v>1881</v>
      </c>
      <c r="T1513" t="s">
        <v>1812</v>
      </c>
      <c r="U1513" t="s">
        <v>2365</v>
      </c>
      <c r="V1513" t="s">
        <v>2365</v>
      </c>
      <c r="W1513" t="s">
        <v>2365</v>
      </c>
      <c r="X1513" t="s">
        <v>2365</v>
      </c>
      <c r="Y1513" t="s">
        <v>2365</v>
      </c>
      <c r="Z1513" t="s">
        <v>2365</v>
      </c>
      <c r="AA1513" t="s">
        <v>2365</v>
      </c>
      <c r="AB1513" t="s">
        <v>2365</v>
      </c>
      <c r="AC1513" s="813" t="s">
        <v>2365</v>
      </c>
      <c r="AD1513" s="813" t="s">
        <v>2365</v>
      </c>
      <c r="AE1513" s="813" t="s">
        <v>2365</v>
      </c>
      <c r="AF1513" t="s">
        <v>2365</v>
      </c>
      <c r="AG1513" t="s">
        <v>2365</v>
      </c>
      <c r="AH1513" t="s">
        <v>2365</v>
      </c>
      <c r="AI1513" t="s">
        <v>2365</v>
      </c>
      <c r="AJ1513" t="s">
        <v>2365</v>
      </c>
      <c r="AK1513" t="s">
        <v>2365</v>
      </c>
      <c r="AL1513" t="s">
        <v>2365</v>
      </c>
      <c r="AM1513" t="s">
        <v>2365</v>
      </c>
      <c r="AN1513" t="s">
        <v>2365</v>
      </c>
      <c r="AR1513" t="s">
        <v>2365</v>
      </c>
      <c r="AS1513" t="s">
        <v>2365</v>
      </c>
      <c r="AT1513" t="s">
        <v>2365</v>
      </c>
      <c r="AU1513" t="s">
        <v>2365</v>
      </c>
      <c r="AV1513" t="s">
        <v>2365</v>
      </c>
      <c r="AW1513" t="s">
        <v>2365</v>
      </c>
      <c r="AX1513" t="s">
        <v>2365</v>
      </c>
      <c r="AY1513" t="s">
        <v>2365</v>
      </c>
      <c r="AZ1513" t="s">
        <v>2365</v>
      </c>
      <c r="BA1513" t="s">
        <v>2365</v>
      </c>
      <c r="BB1513" t="s">
        <v>2365</v>
      </c>
      <c r="BC1513" t="s">
        <v>2365</v>
      </c>
      <c r="BD1513" t="s">
        <v>2366</v>
      </c>
      <c r="BE1513" t="s">
        <v>2365</v>
      </c>
      <c r="BF1513" t="s">
        <v>2365</v>
      </c>
      <c r="BG1513" t="s">
        <v>2365</v>
      </c>
      <c r="BH1513" t="s">
        <v>2365</v>
      </c>
      <c r="BI1513" t="s">
        <v>2366</v>
      </c>
      <c r="BJ1513" t="s">
        <v>2365</v>
      </c>
      <c r="BK1513" t="s">
        <v>2365</v>
      </c>
      <c r="BL1513" t="s">
        <v>2365</v>
      </c>
      <c r="BM1513" t="s">
        <v>2365</v>
      </c>
      <c r="BO1513">
        <v>1</v>
      </c>
      <c r="BP1513">
        <v>15</v>
      </c>
      <c r="BQ1513" t="s">
        <v>2369</v>
      </c>
      <c r="BR1513" t="s">
        <v>996</v>
      </c>
      <c r="BU1513">
        <v>480000</v>
      </c>
      <c r="BV1513">
        <v>0</v>
      </c>
      <c r="BW1513">
        <v>480000</v>
      </c>
      <c r="BX1513">
        <v>-200000</v>
      </c>
      <c r="BY1513">
        <v>280000</v>
      </c>
      <c r="BZ1513">
        <v>508800</v>
      </c>
      <c r="CA1513">
        <v>539328</v>
      </c>
      <c r="CB1513">
        <v>3800</v>
      </c>
      <c r="CC1513">
        <v>0</v>
      </c>
      <c r="CD1513">
        <v>0</v>
      </c>
      <c r="CE1513">
        <v>0</v>
      </c>
      <c r="CF1513">
        <v>49400</v>
      </c>
      <c r="CG1513">
        <v>0</v>
      </c>
      <c r="CH1513">
        <v>0</v>
      </c>
      <c r="CI1513">
        <v>26000</v>
      </c>
      <c r="CJ1513">
        <v>0</v>
      </c>
      <c r="CK1513">
        <v>0</v>
      </c>
      <c r="CL1513">
        <v>0</v>
      </c>
      <c r="CM1513">
        <v>0</v>
      </c>
      <c r="CR1513" t="s">
        <v>2324</v>
      </c>
      <c r="CS1513" s="1369" t="str">
        <f>INDEX([8]Sheet1!$H:$H,MATCH(CR:CR,[8]Sheet1!$AU:$AU,0))</f>
        <v>Finance</v>
      </c>
    </row>
    <row r="1514" spans="1:97" x14ac:dyDescent="0.2">
      <c r="A1514" t="s">
        <v>4594</v>
      </c>
      <c r="B1514">
        <v>1603</v>
      </c>
      <c r="C1514" t="s">
        <v>4594</v>
      </c>
      <c r="D1514">
        <v>54471</v>
      </c>
      <c r="E1514" t="s">
        <v>2430</v>
      </c>
      <c r="F1514">
        <v>2700</v>
      </c>
      <c r="G1514" t="s">
        <v>656</v>
      </c>
      <c r="H1514" t="s">
        <v>2428</v>
      </c>
      <c r="I1514" t="s">
        <v>1800</v>
      </c>
      <c r="J1514">
        <v>2701</v>
      </c>
      <c r="K1514" t="s">
        <v>1800</v>
      </c>
      <c r="L1514">
        <v>1200</v>
      </c>
      <c r="M1514" t="s">
        <v>1480</v>
      </c>
      <c r="N1514">
        <v>1206</v>
      </c>
      <c r="O1514" t="s">
        <v>996</v>
      </c>
      <c r="P1514" t="s">
        <v>2366</v>
      </c>
      <c r="Q1514" t="s">
        <v>2364</v>
      </c>
      <c r="R1514" t="s">
        <v>2364</v>
      </c>
      <c r="S1514" t="s">
        <v>1881</v>
      </c>
      <c r="T1514" t="s">
        <v>1812</v>
      </c>
      <c r="U1514" t="s">
        <v>2365</v>
      </c>
      <c r="V1514" t="s">
        <v>2365</v>
      </c>
      <c r="W1514" t="s">
        <v>2365</v>
      </c>
      <c r="X1514" t="s">
        <v>2365</v>
      </c>
      <c r="Y1514" t="s">
        <v>2365</v>
      </c>
      <c r="Z1514" t="s">
        <v>2365</v>
      </c>
      <c r="AA1514" t="s">
        <v>2365</v>
      </c>
      <c r="AB1514" t="s">
        <v>2365</v>
      </c>
      <c r="AC1514" s="813" t="s">
        <v>2365</v>
      </c>
      <c r="AD1514" s="813" t="s">
        <v>2365</v>
      </c>
      <c r="AE1514" s="813" t="s">
        <v>2365</v>
      </c>
      <c r="AF1514" t="s">
        <v>2365</v>
      </c>
      <c r="AG1514" t="s">
        <v>2365</v>
      </c>
      <c r="AH1514" t="s">
        <v>2365</v>
      </c>
      <c r="AI1514" t="s">
        <v>2365</v>
      </c>
      <c r="AJ1514" t="s">
        <v>2365</v>
      </c>
      <c r="AK1514" t="s">
        <v>2365</v>
      </c>
      <c r="AL1514" t="s">
        <v>2365</v>
      </c>
      <c r="AM1514" t="s">
        <v>2365</v>
      </c>
      <c r="AN1514" t="s">
        <v>2365</v>
      </c>
      <c r="AR1514" t="s">
        <v>2365</v>
      </c>
      <c r="AS1514" t="s">
        <v>2365</v>
      </c>
      <c r="AT1514" t="s">
        <v>2365</v>
      </c>
      <c r="AU1514" t="s">
        <v>2365</v>
      </c>
      <c r="AV1514" t="s">
        <v>2365</v>
      </c>
      <c r="AW1514" t="s">
        <v>2365</v>
      </c>
      <c r="AX1514" t="s">
        <v>2365</v>
      </c>
      <c r="AY1514" t="s">
        <v>2365</v>
      </c>
      <c r="AZ1514" t="s">
        <v>2365</v>
      </c>
      <c r="BA1514" t="s">
        <v>2365</v>
      </c>
      <c r="BB1514" t="s">
        <v>2365</v>
      </c>
      <c r="BC1514" t="s">
        <v>2365</v>
      </c>
      <c r="BD1514" t="s">
        <v>2366</v>
      </c>
      <c r="BE1514" t="s">
        <v>2365</v>
      </c>
      <c r="BF1514" t="s">
        <v>2365</v>
      </c>
      <c r="BG1514" t="s">
        <v>2365</v>
      </c>
      <c r="BH1514" t="s">
        <v>2365</v>
      </c>
      <c r="BI1514" t="s">
        <v>2366</v>
      </c>
      <c r="BJ1514" t="s">
        <v>2365</v>
      </c>
      <c r="BK1514" t="s">
        <v>2365</v>
      </c>
      <c r="BL1514" t="s">
        <v>2365</v>
      </c>
      <c r="BM1514" t="s">
        <v>2365</v>
      </c>
      <c r="BO1514">
        <v>1</v>
      </c>
      <c r="BP1514">
        <v>15</v>
      </c>
      <c r="BQ1514" t="s">
        <v>2369</v>
      </c>
      <c r="BR1514" t="s">
        <v>996</v>
      </c>
      <c r="BU1514">
        <v>30000</v>
      </c>
      <c r="BV1514">
        <v>0</v>
      </c>
      <c r="BW1514">
        <v>30000</v>
      </c>
      <c r="BX1514">
        <v>0</v>
      </c>
      <c r="BY1514">
        <v>30000</v>
      </c>
      <c r="BZ1514">
        <v>31800</v>
      </c>
      <c r="CA1514">
        <v>33708</v>
      </c>
      <c r="CB1514">
        <v>0</v>
      </c>
      <c r="CC1514">
        <v>0</v>
      </c>
      <c r="CD1514">
        <v>0</v>
      </c>
      <c r="CE1514">
        <v>0</v>
      </c>
      <c r="CF1514">
        <v>0</v>
      </c>
      <c r="CG1514">
        <v>0</v>
      </c>
      <c r="CH1514">
        <v>0</v>
      </c>
      <c r="CI1514">
        <v>0</v>
      </c>
      <c r="CJ1514">
        <v>0</v>
      </c>
      <c r="CK1514">
        <v>0</v>
      </c>
      <c r="CL1514">
        <v>0</v>
      </c>
      <c r="CM1514">
        <v>0</v>
      </c>
      <c r="CR1514" t="s">
        <v>2324</v>
      </c>
      <c r="CS1514" s="1369" t="str">
        <f>INDEX([8]Sheet1!$H:$H,MATCH(CR:CR,[8]Sheet1!$AU:$AU,0))</f>
        <v>Finance</v>
      </c>
    </row>
    <row r="1515" spans="1:97" x14ac:dyDescent="0.2">
      <c r="A1515" t="s">
        <v>4595</v>
      </c>
      <c r="B1515">
        <v>1604</v>
      </c>
      <c r="C1515" t="s">
        <v>4595</v>
      </c>
      <c r="D1515">
        <v>54472</v>
      </c>
      <c r="E1515" t="s">
        <v>2430</v>
      </c>
      <c r="F1515">
        <v>2700</v>
      </c>
      <c r="G1515" t="s">
        <v>656</v>
      </c>
      <c r="H1515" t="s">
        <v>2428</v>
      </c>
      <c r="I1515" t="s">
        <v>1800</v>
      </c>
      <c r="J1515">
        <v>2701</v>
      </c>
      <c r="K1515" t="s">
        <v>1800</v>
      </c>
      <c r="L1515">
        <v>1200</v>
      </c>
      <c r="M1515" t="s">
        <v>1480</v>
      </c>
      <c r="N1515">
        <v>1206</v>
      </c>
      <c r="O1515" t="s">
        <v>996</v>
      </c>
      <c r="P1515" t="s">
        <v>2366</v>
      </c>
      <c r="Q1515" t="s">
        <v>2364</v>
      </c>
      <c r="R1515" t="s">
        <v>2364</v>
      </c>
      <c r="S1515" t="s">
        <v>1881</v>
      </c>
      <c r="T1515" t="s">
        <v>1812</v>
      </c>
      <c r="U1515" t="s">
        <v>2365</v>
      </c>
      <c r="V1515" t="s">
        <v>2365</v>
      </c>
      <c r="W1515" t="s">
        <v>2365</v>
      </c>
      <c r="X1515" t="s">
        <v>2365</v>
      </c>
      <c r="Y1515" t="s">
        <v>2365</v>
      </c>
      <c r="Z1515" t="s">
        <v>2365</v>
      </c>
      <c r="AA1515" t="s">
        <v>2365</v>
      </c>
      <c r="AB1515" t="s">
        <v>2365</v>
      </c>
      <c r="AC1515" s="813" t="s">
        <v>2365</v>
      </c>
      <c r="AD1515" s="813" t="s">
        <v>2365</v>
      </c>
      <c r="AE1515" s="813" t="s">
        <v>2365</v>
      </c>
      <c r="AF1515" t="s">
        <v>2365</v>
      </c>
      <c r="AG1515" t="s">
        <v>2365</v>
      </c>
      <c r="AH1515" t="s">
        <v>2365</v>
      </c>
      <c r="AI1515" t="s">
        <v>2365</v>
      </c>
      <c r="AJ1515" t="s">
        <v>2365</v>
      </c>
      <c r="AK1515" t="s">
        <v>2365</v>
      </c>
      <c r="AL1515" t="s">
        <v>2365</v>
      </c>
      <c r="AM1515" t="s">
        <v>2365</v>
      </c>
      <c r="AN1515" t="s">
        <v>2365</v>
      </c>
      <c r="AR1515" t="s">
        <v>2365</v>
      </c>
      <c r="AS1515" t="s">
        <v>2365</v>
      </c>
      <c r="AT1515" t="s">
        <v>2365</v>
      </c>
      <c r="AU1515" t="s">
        <v>2365</v>
      </c>
      <c r="AV1515" t="s">
        <v>2365</v>
      </c>
      <c r="AW1515" t="s">
        <v>2365</v>
      </c>
      <c r="AX1515" t="s">
        <v>2365</v>
      </c>
      <c r="AY1515" t="s">
        <v>2365</v>
      </c>
      <c r="AZ1515" t="s">
        <v>2365</v>
      </c>
      <c r="BA1515" t="s">
        <v>2365</v>
      </c>
      <c r="BB1515" t="s">
        <v>2365</v>
      </c>
      <c r="BC1515" t="s">
        <v>2365</v>
      </c>
      <c r="BD1515" t="s">
        <v>2366</v>
      </c>
      <c r="BE1515" t="s">
        <v>2365</v>
      </c>
      <c r="BF1515" t="s">
        <v>2365</v>
      </c>
      <c r="BG1515" t="s">
        <v>2365</v>
      </c>
      <c r="BH1515" t="s">
        <v>2365</v>
      </c>
      <c r="BI1515" t="s">
        <v>2366</v>
      </c>
      <c r="BJ1515" t="s">
        <v>2365</v>
      </c>
      <c r="BK1515" t="s">
        <v>2365</v>
      </c>
      <c r="BL1515" t="s">
        <v>2365</v>
      </c>
      <c r="BM1515" t="s">
        <v>2365</v>
      </c>
      <c r="BO1515">
        <v>1</v>
      </c>
      <c r="BP1515">
        <v>15</v>
      </c>
      <c r="BQ1515" t="s">
        <v>2369</v>
      </c>
      <c r="BR1515" t="s">
        <v>996</v>
      </c>
      <c r="BU1515">
        <v>0</v>
      </c>
      <c r="BV1515">
        <v>0</v>
      </c>
      <c r="BW1515" s="1371">
        <v>0</v>
      </c>
      <c r="BX1515" s="1372">
        <v>0</v>
      </c>
      <c r="BY1515">
        <v>0</v>
      </c>
      <c r="BZ1515">
        <v>0</v>
      </c>
      <c r="CA1515">
        <v>0</v>
      </c>
      <c r="CB1515">
        <v>0</v>
      </c>
      <c r="CC1515">
        <v>0</v>
      </c>
      <c r="CD1515">
        <v>0</v>
      </c>
      <c r="CE1515">
        <v>0</v>
      </c>
      <c r="CF1515">
        <v>0</v>
      </c>
      <c r="CG1515">
        <v>0</v>
      </c>
      <c r="CH1515">
        <v>0</v>
      </c>
      <c r="CI1515">
        <v>0</v>
      </c>
      <c r="CJ1515">
        <v>0</v>
      </c>
      <c r="CK1515">
        <v>0</v>
      </c>
      <c r="CL1515">
        <v>0</v>
      </c>
      <c r="CM1515">
        <v>0</v>
      </c>
      <c r="CR1515" t="s">
        <v>2324</v>
      </c>
      <c r="CS1515" s="1369" t="str">
        <f>INDEX([8]Sheet1!$H:$H,MATCH(CR:CR,[8]Sheet1!$AU:$AU,0))</f>
        <v>Finance</v>
      </c>
    </row>
    <row r="1516" spans="1:97" x14ac:dyDescent="0.2">
      <c r="A1516" t="s">
        <v>4596</v>
      </c>
      <c r="B1516">
        <v>1605</v>
      </c>
      <c r="C1516" t="s">
        <v>4596</v>
      </c>
      <c r="D1516">
        <v>54473</v>
      </c>
      <c r="E1516" t="s">
        <v>2427</v>
      </c>
      <c r="F1516">
        <v>2700</v>
      </c>
      <c r="G1516" t="s">
        <v>656</v>
      </c>
      <c r="H1516" t="s">
        <v>2428</v>
      </c>
      <c r="I1516" t="s">
        <v>1800</v>
      </c>
      <c r="J1516">
        <v>2701</v>
      </c>
      <c r="K1516" t="s">
        <v>1800</v>
      </c>
      <c r="L1516">
        <v>1200</v>
      </c>
      <c r="M1516" t="s">
        <v>1480</v>
      </c>
      <c r="N1516">
        <v>1206</v>
      </c>
      <c r="O1516" t="s">
        <v>996</v>
      </c>
      <c r="P1516" t="s">
        <v>2366</v>
      </c>
      <c r="Q1516" t="s">
        <v>2364</v>
      </c>
      <c r="R1516" t="s">
        <v>2364</v>
      </c>
      <c r="S1516" t="s">
        <v>1881</v>
      </c>
      <c r="T1516" t="s">
        <v>1812</v>
      </c>
      <c r="U1516" t="s">
        <v>2365</v>
      </c>
      <c r="V1516" t="s">
        <v>2365</v>
      </c>
      <c r="W1516" t="s">
        <v>2365</v>
      </c>
      <c r="X1516" t="s">
        <v>2365</v>
      </c>
      <c r="Y1516" t="s">
        <v>2365</v>
      </c>
      <c r="Z1516" t="s">
        <v>2365</v>
      </c>
      <c r="AA1516" t="s">
        <v>2365</v>
      </c>
      <c r="AB1516" t="s">
        <v>2365</v>
      </c>
      <c r="AC1516" s="813" t="s">
        <v>2365</v>
      </c>
      <c r="AD1516" s="813" t="s">
        <v>2365</v>
      </c>
      <c r="AE1516" s="813" t="s">
        <v>2365</v>
      </c>
      <c r="AF1516" t="s">
        <v>2365</v>
      </c>
      <c r="AG1516" t="s">
        <v>2365</v>
      </c>
      <c r="AH1516" t="s">
        <v>2365</v>
      </c>
      <c r="AI1516" t="s">
        <v>2365</v>
      </c>
      <c r="AJ1516" t="s">
        <v>2365</v>
      </c>
      <c r="AK1516" t="s">
        <v>2365</v>
      </c>
      <c r="AL1516" t="s">
        <v>2365</v>
      </c>
      <c r="AM1516" t="s">
        <v>2365</v>
      </c>
      <c r="AN1516" t="s">
        <v>2365</v>
      </c>
      <c r="AR1516" t="s">
        <v>2365</v>
      </c>
      <c r="AS1516" t="s">
        <v>2365</v>
      </c>
      <c r="AT1516" t="s">
        <v>2365</v>
      </c>
      <c r="AU1516" t="s">
        <v>2365</v>
      </c>
      <c r="AV1516" t="s">
        <v>2365</v>
      </c>
      <c r="AW1516" t="s">
        <v>2365</v>
      </c>
      <c r="AX1516" t="s">
        <v>2365</v>
      </c>
      <c r="AY1516" t="s">
        <v>2365</v>
      </c>
      <c r="AZ1516" t="s">
        <v>2365</v>
      </c>
      <c r="BA1516" t="s">
        <v>2365</v>
      </c>
      <c r="BB1516" t="s">
        <v>2365</v>
      </c>
      <c r="BC1516" t="s">
        <v>2365</v>
      </c>
      <c r="BD1516" t="s">
        <v>2366</v>
      </c>
      <c r="BE1516" t="s">
        <v>2365</v>
      </c>
      <c r="BF1516" t="s">
        <v>2365</v>
      </c>
      <c r="BG1516" t="s">
        <v>2365</v>
      </c>
      <c r="BH1516" t="s">
        <v>2365</v>
      </c>
      <c r="BI1516" t="s">
        <v>2366</v>
      </c>
      <c r="BJ1516" t="s">
        <v>2365</v>
      </c>
      <c r="BK1516" t="s">
        <v>2365</v>
      </c>
      <c r="BL1516" t="s">
        <v>2365</v>
      </c>
      <c r="BM1516" t="s">
        <v>2365</v>
      </c>
      <c r="BO1516">
        <v>1</v>
      </c>
      <c r="BP1516">
        <v>15</v>
      </c>
      <c r="BQ1516" t="s">
        <v>2369</v>
      </c>
      <c r="BR1516" t="s">
        <v>996</v>
      </c>
      <c r="BU1516">
        <v>30000</v>
      </c>
      <c r="BV1516">
        <v>0</v>
      </c>
      <c r="BW1516" s="1371">
        <v>30000</v>
      </c>
      <c r="BX1516" s="1372">
        <v>-10000</v>
      </c>
      <c r="BY1516">
        <v>20000</v>
      </c>
      <c r="BZ1516">
        <v>31800</v>
      </c>
      <c r="CA1516">
        <v>33708</v>
      </c>
      <c r="CB1516">
        <v>0</v>
      </c>
      <c r="CC1516">
        <v>0</v>
      </c>
      <c r="CD1516">
        <v>0</v>
      </c>
      <c r="CE1516">
        <v>0</v>
      </c>
      <c r="CF1516">
        <v>0</v>
      </c>
      <c r="CG1516">
        <v>4125</v>
      </c>
      <c r="CH1516">
        <v>627.29999999999995</v>
      </c>
      <c r="CI1516">
        <v>27065.1</v>
      </c>
      <c r="CJ1516">
        <v>0</v>
      </c>
      <c r="CK1516">
        <v>0</v>
      </c>
      <c r="CL1516">
        <v>0</v>
      </c>
      <c r="CM1516">
        <v>0</v>
      </c>
      <c r="CR1516" t="s">
        <v>2324</v>
      </c>
      <c r="CS1516" s="1369" t="str">
        <f>INDEX([8]Sheet1!$H:$H,MATCH(CR:CR,[8]Sheet1!$AU:$AU,0))</f>
        <v>Finance</v>
      </c>
    </row>
    <row r="1517" spans="1:97" x14ac:dyDescent="0.2">
      <c r="A1517" t="s">
        <v>4597</v>
      </c>
      <c r="B1517">
        <v>1606</v>
      </c>
      <c r="C1517" t="s">
        <v>4597</v>
      </c>
      <c r="D1517">
        <v>54474</v>
      </c>
      <c r="E1517" t="s">
        <v>3309</v>
      </c>
      <c r="F1517">
        <v>2900</v>
      </c>
      <c r="G1517" t="s">
        <v>569</v>
      </c>
      <c r="H1517" t="s">
        <v>2366</v>
      </c>
      <c r="I1517" t="s">
        <v>2366</v>
      </c>
      <c r="J1517">
        <v>2904</v>
      </c>
      <c r="K1517" t="s">
        <v>1432</v>
      </c>
      <c r="L1517">
        <v>1200</v>
      </c>
      <c r="M1517" t="s">
        <v>1480</v>
      </c>
      <c r="N1517">
        <v>1206</v>
      </c>
      <c r="O1517" t="s">
        <v>996</v>
      </c>
      <c r="P1517" t="s">
        <v>2366</v>
      </c>
      <c r="Q1517" t="s">
        <v>2364</v>
      </c>
      <c r="R1517" t="s">
        <v>2364</v>
      </c>
      <c r="S1517" t="s">
        <v>1881</v>
      </c>
      <c r="T1517" t="s">
        <v>1812</v>
      </c>
      <c r="U1517" t="s">
        <v>2365</v>
      </c>
      <c r="V1517" t="s">
        <v>2365</v>
      </c>
      <c r="W1517" t="s">
        <v>2365</v>
      </c>
      <c r="X1517" t="s">
        <v>2365</v>
      </c>
      <c r="Y1517" t="s">
        <v>2365</v>
      </c>
      <c r="Z1517" t="s">
        <v>2365</v>
      </c>
      <c r="AA1517" t="s">
        <v>2365</v>
      </c>
      <c r="AB1517" t="s">
        <v>2365</v>
      </c>
      <c r="AC1517" s="813" t="s">
        <v>2365</v>
      </c>
      <c r="AD1517" s="813" t="s">
        <v>2365</v>
      </c>
      <c r="AE1517" s="813" t="s">
        <v>2365</v>
      </c>
      <c r="AF1517" t="s">
        <v>2365</v>
      </c>
      <c r="AG1517" t="s">
        <v>2365</v>
      </c>
      <c r="AH1517" t="s">
        <v>2365</v>
      </c>
      <c r="AI1517" t="s">
        <v>2365</v>
      </c>
      <c r="AJ1517" t="s">
        <v>2365</v>
      </c>
      <c r="AK1517" t="s">
        <v>2365</v>
      </c>
      <c r="AL1517" t="s">
        <v>2365</v>
      </c>
      <c r="AM1517" t="s">
        <v>2365</v>
      </c>
      <c r="AN1517" t="s">
        <v>2365</v>
      </c>
      <c r="AR1517" t="s">
        <v>2365</v>
      </c>
      <c r="AS1517" t="s">
        <v>2365</v>
      </c>
      <c r="AT1517" t="s">
        <v>2365</v>
      </c>
      <c r="AU1517" t="s">
        <v>2365</v>
      </c>
      <c r="AV1517" t="s">
        <v>2365</v>
      </c>
      <c r="AW1517" t="s">
        <v>2365</v>
      </c>
      <c r="AX1517" t="s">
        <v>2365</v>
      </c>
      <c r="AY1517" t="s">
        <v>2365</v>
      </c>
      <c r="AZ1517" t="s">
        <v>2365</v>
      </c>
      <c r="BA1517" t="s">
        <v>2365</v>
      </c>
      <c r="BB1517" t="s">
        <v>2365</v>
      </c>
      <c r="BC1517" t="s">
        <v>2365</v>
      </c>
      <c r="BD1517" t="s">
        <v>2366</v>
      </c>
      <c r="BE1517" t="s">
        <v>2365</v>
      </c>
      <c r="BF1517" t="s">
        <v>2365</v>
      </c>
      <c r="BG1517" t="s">
        <v>2365</v>
      </c>
      <c r="BH1517" t="s">
        <v>2365</v>
      </c>
      <c r="BI1517" t="s">
        <v>2366</v>
      </c>
      <c r="BJ1517" t="s">
        <v>2365</v>
      </c>
      <c r="BK1517" t="s">
        <v>2365</v>
      </c>
      <c r="BL1517" t="s">
        <v>2365</v>
      </c>
      <c r="BM1517" t="s">
        <v>2365</v>
      </c>
      <c r="BO1517">
        <v>1</v>
      </c>
      <c r="BP1517">
        <v>15</v>
      </c>
      <c r="BQ1517" t="s">
        <v>2369</v>
      </c>
      <c r="BR1517" t="s">
        <v>996</v>
      </c>
      <c r="BU1517">
        <v>0</v>
      </c>
      <c r="BV1517">
        <v>0</v>
      </c>
      <c r="BW1517" s="1371">
        <v>0</v>
      </c>
      <c r="BX1517" s="1372">
        <v>0</v>
      </c>
      <c r="BY1517">
        <v>0</v>
      </c>
      <c r="BZ1517">
        <v>0</v>
      </c>
      <c r="CA1517">
        <v>0</v>
      </c>
      <c r="CB1517">
        <v>0</v>
      </c>
      <c r="CC1517">
        <v>0</v>
      </c>
      <c r="CD1517">
        <v>0</v>
      </c>
      <c r="CE1517">
        <v>0</v>
      </c>
      <c r="CF1517">
        <v>0</v>
      </c>
      <c r="CG1517">
        <v>0</v>
      </c>
      <c r="CH1517">
        <v>0</v>
      </c>
      <c r="CI1517">
        <v>0</v>
      </c>
      <c r="CJ1517">
        <v>0</v>
      </c>
      <c r="CK1517">
        <v>0</v>
      </c>
      <c r="CL1517">
        <v>0</v>
      </c>
      <c r="CM1517">
        <v>0</v>
      </c>
      <c r="CR1517" t="s">
        <v>2324</v>
      </c>
      <c r="CS1517" s="1369" t="str">
        <f>INDEX([8]Sheet1!$H:$H,MATCH(CR:CR,[8]Sheet1!$AU:$AU,0))</f>
        <v>Finance</v>
      </c>
    </row>
    <row r="1518" spans="1:97" x14ac:dyDescent="0.2">
      <c r="A1518" t="s">
        <v>4598</v>
      </c>
      <c r="B1518">
        <v>1607</v>
      </c>
      <c r="C1518" t="s">
        <v>4598</v>
      </c>
      <c r="D1518">
        <v>54475</v>
      </c>
      <c r="E1518" t="s">
        <v>2427</v>
      </c>
      <c r="F1518">
        <v>2700</v>
      </c>
      <c r="G1518" t="s">
        <v>656</v>
      </c>
      <c r="H1518" t="s">
        <v>2428</v>
      </c>
      <c r="I1518" t="s">
        <v>1800</v>
      </c>
      <c r="J1518">
        <v>2701</v>
      </c>
      <c r="K1518" t="s">
        <v>1800</v>
      </c>
      <c r="L1518">
        <v>1200</v>
      </c>
      <c r="M1518" t="s">
        <v>1480</v>
      </c>
      <c r="N1518">
        <v>1206</v>
      </c>
      <c r="O1518" t="s">
        <v>996</v>
      </c>
      <c r="P1518" t="s">
        <v>2366</v>
      </c>
      <c r="Q1518" t="s">
        <v>2364</v>
      </c>
      <c r="R1518" t="s">
        <v>2364</v>
      </c>
      <c r="S1518" t="s">
        <v>1881</v>
      </c>
      <c r="T1518" t="s">
        <v>1812</v>
      </c>
      <c r="U1518" t="s">
        <v>2365</v>
      </c>
      <c r="V1518" t="s">
        <v>2365</v>
      </c>
      <c r="W1518" t="s">
        <v>2365</v>
      </c>
      <c r="X1518" t="s">
        <v>2365</v>
      </c>
      <c r="Y1518" t="s">
        <v>2365</v>
      </c>
      <c r="Z1518" t="s">
        <v>2365</v>
      </c>
      <c r="AA1518" t="s">
        <v>2365</v>
      </c>
      <c r="AB1518" t="s">
        <v>2365</v>
      </c>
      <c r="AC1518" s="813" t="s">
        <v>2365</v>
      </c>
      <c r="AD1518" s="813" t="s">
        <v>2365</v>
      </c>
      <c r="AE1518" s="813" t="s">
        <v>2365</v>
      </c>
      <c r="AF1518" t="s">
        <v>2365</v>
      </c>
      <c r="AG1518" t="s">
        <v>2365</v>
      </c>
      <c r="AH1518" t="s">
        <v>2365</v>
      </c>
      <c r="AI1518" t="s">
        <v>2365</v>
      </c>
      <c r="AJ1518" t="s">
        <v>2365</v>
      </c>
      <c r="AK1518" t="s">
        <v>2365</v>
      </c>
      <c r="AL1518" t="s">
        <v>2365</v>
      </c>
      <c r="AM1518" t="s">
        <v>2365</v>
      </c>
      <c r="AN1518" t="s">
        <v>2365</v>
      </c>
      <c r="AR1518" t="s">
        <v>2365</v>
      </c>
      <c r="AS1518" t="s">
        <v>2365</v>
      </c>
      <c r="AT1518" t="s">
        <v>2365</v>
      </c>
      <c r="AU1518" t="s">
        <v>2365</v>
      </c>
      <c r="AV1518" t="s">
        <v>2365</v>
      </c>
      <c r="AW1518" t="s">
        <v>2365</v>
      </c>
      <c r="AX1518" t="s">
        <v>2365</v>
      </c>
      <c r="AY1518" t="s">
        <v>2365</v>
      </c>
      <c r="AZ1518" t="s">
        <v>2365</v>
      </c>
      <c r="BA1518" t="s">
        <v>2365</v>
      </c>
      <c r="BB1518" t="s">
        <v>2365</v>
      </c>
      <c r="BC1518" t="s">
        <v>2365</v>
      </c>
      <c r="BD1518" t="s">
        <v>2366</v>
      </c>
      <c r="BE1518" t="s">
        <v>2365</v>
      </c>
      <c r="BF1518" t="s">
        <v>2365</v>
      </c>
      <c r="BG1518" t="s">
        <v>2365</v>
      </c>
      <c r="BH1518" t="s">
        <v>2365</v>
      </c>
      <c r="BI1518" t="s">
        <v>2366</v>
      </c>
      <c r="BJ1518" t="s">
        <v>2365</v>
      </c>
      <c r="BK1518" t="s">
        <v>2365</v>
      </c>
      <c r="BL1518" t="s">
        <v>2365</v>
      </c>
      <c r="BM1518" t="s">
        <v>2365</v>
      </c>
      <c r="BO1518">
        <v>1</v>
      </c>
      <c r="BP1518">
        <v>15</v>
      </c>
      <c r="BQ1518" t="s">
        <v>2369</v>
      </c>
      <c r="BR1518" t="s">
        <v>996</v>
      </c>
      <c r="BU1518">
        <v>0</v>
      </c>
      <c r="BV1518">
        <v>0</v>
      </c>
      <c r="BW1518" s="1371">
        <v>0</v>
      </c>
      <c r="BX1518" s="1372">
        <v>0</v>
      </c>
      <c r="BY1518">
        <v>0</v>
      </c>
      <c r="BZ1518">
        <v>0</v>
      </c>
      <c r="CA1518">
        <v>0</v>
      </c>
      <c r="CB1518">
        <v>0</v>
      </c>
      <c r="CC1518">
        <v>0</v>
      </c>
      <c r="CD1518">
        <v>0</v>
      </c>
      <c r="CE1518">
        <v>0</v>
      </c>
      <c r="CF1518">
        <v>0</v>
      </c>
      <c r="CG1518">
        <v>0</v>
      </c>
      <c r="CH1518">
        <v>0</v>
      </c>
      <c r="CI1518">
        <v>0</v>
      </c>
      <c r="CJ1518">
        <v>0</v>
      </c>
      <c r="CK1518">
        <v>0</v>
      </c>
      <c r="CL1518">
        <v>0</v>
      </c>
      <c r="CM1518">
        <v>0</v>
      </c>
      <c r="CR1518" t="s">
        <v>2324</v>
      </c>
      <c r="CS1518" s="1369" t="str">
        <f>INDEX([8]Sheet1!$H:$H,MATCH(CR:CR,[8]Sheet1!$AU:$AU,0))</f>
        <v>Finance</v>
      </c>
    </row>
    <row r="1519" spans="1:97" x14ac:dyDescent="0.2">
      <c r="A1519" t="s">
        <v>4599</v>
      </c>
      <c r="B1519">
        <v>1608</v>
      </c>
      <c r="C1519" t="s">
        <v>4599</v>
      </c>
      <c r="D1519">
        <v>54476</v>
      </c>
      <c r="E1519" t="s">
        <v>4600</v>
      </c>
      <c r="F1519">
        <v>2700</v>
      </c>
      <c r="G1519" t="s">
        <v>656</v>
      </c>
      <c r="H1519" t="s">
        <v>2664</v>
      </c>
      <c r="I1519" t="s">
        <v>1801</v>
      </c>
      <c r="J1519">
        <v>2702</v>
      </c>
      <c r="K1519" t="s">
        <v>1801</v>
      </c>
      <c r="L1519">
        <v>1100</v>
      </c>
      <c r="M1519" t="s">
        <v>616</v>
      </c>
      <c r="N1519">
        <v>1120</v>
      </c>
      <c r="O1519" t="s">
        <v>1485</v>
      </c>
      <c r="P1519" t="s">
        <v>2366</v>
      </c>
      <c r="Q1519" t="s">
        <v>2364</v>
      </c>
      <c r="R1519" t="s">
        <v>2364</v>
      </c>
      <c r="S1519" t="s">
        <v>1881</v>
      </c>
      <c r="T1519" t="s">
        <v>1812</v>
      </c>
      <c r="U1519" t="s">
        <v>2365</v>
      </c>
      <c r="V1519" t="s">
        <v>2365</v>
      </c>
      <c r="W1519" t="s">
        <v>2365</v>
      </c>
      <c r="X1519" t="s">
        <v>2365</v>
      </c>
      <c r="Y1519" t="s">
        <v>2365</v>
      </c>
      <c r="Z1519" t="s">
        <v>2365</v>
      </c>
      <c r="AA1519" t="s">
        <v>2365</v>
      </c>
      <c r="AB1519" t="s">
        <v>2365</v>
      </c>
      <c r="AC1519" s="813" t="s">
        <v>2365</v>
      </c>
      <c r="AD1519" s="813" t="s">
        <v>2365</v>
      </c>
      <c r="AE1519" s="813" t="s">
        <v>2365</v>
      </c>
      <c r="AF1519" t="s">
        <v>2365</v>
      </c>
      <c r="AG1519" t="s">
        <v>2365</v>
      </c>
      <c r="AH1519" t="s">
        <v>2365</v>
      </c>
      <c r="AI1519" t="s">
        <v>2365</v>
      </c>
      <c r="AJ1519" t="s">
        <v>2365</v>
      </c>
      <c r="AK1519" t="s">
        <v>2365</v>
      </c>
      <c r="AL1519" t="s">
        <v>2365</v>
      </c>
      <c r="AM1519" t="s">
        <v>2365</v>
      </c>
      <c r="AN1519" t="s">
        <v>2365</v>
      </c>
      <c r="AR1519" t="s">
        <v>2365</v>
      </c>
      <c r="AS1519" t="s">
        <v>2365</v>
      </c>
      <c r="AT1519" t="s">
        <v>2365</v>
      </c>
      <c r="AU1519" t="s">
        <v>2365</v>
      </c>
      <c r="AV1519" t="s">
        <v>2365</v>
      </c>
      <c r="AW1519" t="s">
        <v>2365</v>
      </c>
      <c r="AX1519" t="s">
        <v>2365</v>
      </c>
      <c r="AY1519" t="s">
        <v>2365</v>
      </c>
      <c r="AZ1519" t="s">
        <v>2365</v>
      </c>
      <c r="BA1519" t="s">
        <v>2365</v>
      </c>
      <c r="BB1519" t="s">
        <v>2365</v>
      </c>
      <c r="BC1519" t="s">
        <v>2365</v>
      </c>
      <c r="BD1519" t="s">
        <v>2366</v>
      </c>
      <c r="BE1519" t="s">
        <v>2365</v>
      </c>
      <c r="BF1519" t="s">
        <v>2365</v>
      </c>
      <c r="BG1519" t="s">
        <v>2365</v>
      </c>
      <c r="BH1519" t="s">
        <v>2365</v>
      </c>
      <c r="BI1519" t="s">
        <v>2366</v>
      </c>
      <c r="BJ1519" t="s">
        <v>2365</v>
      </c>
      <c r="BK1519" t="s">
        <v>2365</v>
      </c>
      <c r="BL1519" t="s">
        <v>2365</v>
      </c>
      <c r="BM1519" t="s">
        <v>2365</v>
      </c>
      <c r="BO1519">
        <v>3</v>
      </c>
      <c r="BP1519">
        <v>31</v>
      </c>
      <c r="BQ1519" t="s">
        <v>2716</v>
      </c>
      <c r="BR1519" t="s">
        <v>1485</v>
      </c>
      <c r="BU1519">
        <v>0</v>
      </c>
      <c r="BV1519">
        <v>0</v>
      </c>
      <c r="BW1519">
        <v>0</v>
      </c>
      <c r="BX1519">
        <v>0</v>
      </c>
      <c r="BY1519">
        <v>0</v>
      </c>
      <c r="BZ1519">
        <v>0</v>
      </c>
      <c r="CA1519">
        <v>0</v>
      </c>
      <c r="CB1519">
        <v>0</v>
      </c>
      <c r="CC1519">
        <v>0</v>
      </c>
      <c r="CD1519">
        <v>0</v>
      </c>
      <c r="CE1519">
        <v>0</v>
      </c>
      <c r="CF1519">
        <v>0</v>
      </c>
      <c r="CG1519">
        <v>0</v>
      </c>
      <c r="CH1519">
        <v>0</v>
      </c>
      <c r="CI1519">
        <v>0</v>
      </c>
      <c r="CJ1519">
        <v>0</v>
      </c>
      <c r="CK1519">
        <v>0</v>
      </c>
      <c r="CL1519">
        <v>0</v>
      </c>
      <c r="CM1519">
        <v>0</v>
      </c>
      <c r="CR1519" t="s">
        <v>2324</v>
      </c>
      <c r="CS1519" s="1369" t="str">
        <f>INDEX([8]Sheet1!$H:$H,MATCH(CR:CR,[8]Sheet1!$AU:$AU,0))</f>
        <v>Finance</v>
      </c>
    </row>
    <row r="1520" spans="1:97" x14ac:dyDescent="0.2">
      <c r="A1520" t="s">
        <v>4601</v>
      </c>
      <c r="B1520">
        <v>1609</v>
      </c>
      <c r="C1520" t="s">
        <v>4601</v>
      </c>
      <c r="D1520">
        <v>54477</v>
      </c>
      <c r="E1520" t="s">
        <v>2437</v>
      </c>
      <c r="F1520" t="s">
        <v>2364</v>
      </c>
      <c r="G1520" t="s">
        <v>2364</v>
      </c>
      <c r="H1520" t="s">
        <v>2365</v>
      </c>
      <c r="I1520" t="s">
        <v>2365</v>
      </c>
      <c r="J1520" t="s">
        <v>2365</v>
      </c>
      <c r="K1520" t="s">
        <v>2365</v>
      </c>
      <c r="L1520">
        <v>4100</v>
      </c>
      <c r="M1520" t="s">
        <v>1482</v>
      </c>
      <c r="N1520">
        <v>4101</v>
      </c>
      <c r="O1520" t="s">
        <v>1550</v>
      </c>
      <c r="P1520" t="s">
        <v>1846</v>
      </c>
      <c r="Q1520">
        <v>2010</v>
      </c>
      <c r="R1520" t="s">
        <v>668</v>
      </c>
      <c r="S1520" t="s">
        <v>552</v>
      </c>
      <c r="T1520" t="s">
        <v>2175</v>
      </c>
      <c r="U1520">
        <v>240</v>
      </c>
      <c r="V1520" t="s">
        <v>2389</v>
      </c>
      <c r="W1520">
        <v>240</v>
      </c>
      <c r="X1520" t="s">
        <v>701</v>
      </c>
      <c r="Y1520" t="s">
        <v>2365</v>
      </c>
      <c r="Z1520" t="s">
        <v>2365</v>
      </c>
      <c r="AA1520" t="s">
        <v>2365</v>
      </c>
      <c r="AB1520" t="s">
        <v>2365</v>
      </c>
      <c r="AC1520" s="813" t="s">
        <v>2365</v>
      </c>
      <c r="AD1520" s="813" t="s">
        <v>2365</v>
      </c>
      <c r="AE1520" s="813" t="s">
        <v>2365</v>
      </c>
      <c r="AF1520" t="s">
        <v>2365</v>
      </c>
      <c r="AG1520" t="s">
        <v>2365</v>
      </c>
      <c r="AH1520" t="s">
        <v>2365</v>
      </c>
      <c r="AI1520" t="s">
        <v>2365</v>
      </c>
      <c r="AJ1520" t="s">
        <v>2365</v>
      </c>
      <c r="AK1520">
        <v>241</v>
      </c>
      <c r="AL1520" t="s">
        <v>1203</v>
      </c>
      <c r="AM1520">
        <v>241</v>
      </c>
      <c r="AN1520" t="s">
        <v>1203</v>
      </c>
      <c r="AR1520">
        <v>280</v>
      </c>
      <c r="AS1520" t="s">
        <v>1584</v>
      </c>
      <c r="AT1520">
        <v>280</v>
      </c>
      <c r="AU1520" t="s">
        <v>1584</v>
      </c>
      <c r="AV1520" t="s">
        <v>2365</v>
      </c>
      <c r="AW1520" t="s">
        <v>2365</v>
      </c>
      <c r="AX1520" t="s">
        <v>2365</v>
      </c>
      <c r="AY1520" t="s">
        <v>2365</v>
      </c>
      <c r="AZ1520" t="s">
        <v>2365</v>
      </c>
      <c r="BA1520" t="s">
        <v>2365</v>
      </c>
      <c r="BB1520" t="s">
        <v>2365</v>
      </c>
      <c r="BC1520" t="s">
        <v>2365</v>
      </c>
      <c r="BD1520" t="s">
        <v>2366</v>
      </c>
      <c r="BE1520" t="s">
        <v>2365</v>
      </c>
      <c r="BF1520" t="s">
        <v>2365</v>
      </c>
      <c r="BG1520" t="s">
        <v>2365</v>
      </c>
      <c r="BH1520" t="s">
        <v>2365</v>
      </c>
      <c r="BI1520" t="s">
        <v>2366</v>
      </c>
      <c r="BJ1520" t="s">
        <v>2365</v>
      </c>
      <c r="BK1520" t="s">
        <v>2365</v>
      </c>
      <c r="BL1520" t="s">
        <v>2365</v>
      </c>
      <c r="BM1520" t="s">
        <v>2365</v>
      </c>
      <c r="BO1520">
        <v>6</v>
      </c>
      <c r="BP1520">
        <v>61</v>
      </c>
      <c r="BQ1520" t="s">
        <v>2445</v>
      </c>
      <c r="BR1520" t="s">
        <v>628</v>
      </c>
      <c r="BU1520">
        <v>0</v>
      </c>
      <c r="BV1520">
        <v>0</v>
      </c>
      <c r="BW1520">
        <v>0</v>
      </c>
      <c r="BX1520">
        <v>0</v>
      </c>
      <c r="BY1520">
        <v>0</v>
      </c>
      <c r="BZ1520">
        <v>0</v>
      </c>
      <c r="CA1520">
        <v>0</v>
      </c>
      <c r="CB1520">
        <v>0</v>
      </c>
      <c r="CC1520">
        <v>0</v>
      </c>
      <c r="CD1520">
        <v>0</v>
      </c>
      <c r="CE1520">
        <v>0</v>
      </c>
      <c r="CF1520">
        <v>0</v>
      </c>
      <c r="CG1520">
        <v>0</v>
      </c>
      <c r="CH1520">
        <v>0</v>
      </c>
      <c r="CI1520">
        <v>0</v>
      </c>
      <c r="CJ1520">
        <v>0</v>
      </c>
      <c r="CK1520">
        <v>0</v>
      </c>
      <c r="CL1520">
        <v>0</v>
      </c>
      <c r="CM1520">
        <v>0</v>
      </c>
      <c r="CR1520" t="s">
        <v>2324</v>
      </c>
      <c r="CS1520" s="1369" t="str">
        <f>INDEX([8]Sheet1!$H:$H,MATCH(CR:CR,[8]Sheet1!$AU:$AU,0))</f>
        <v>Finance</v>
      </c>
    </row>
    <row r="1521" spans="1:97" x14ac:dyDescent="0.2">
      <c r="A1521" t="s">
        <v>4602</v>
      </c>
      <c r="B1521">
        <v>1610</v>
      </c>
      <c r="C1521" t="s">
        <v>4602</v>
      </c>
      <c r="D1521">
        <v>54478</v>
      </c>
      <c r="E1521" t="s">
        <v>2455</v>
      </c>
      <c r="F1521">
        <v>2900</v>
      </c>
      <c r="G1521" t="s">
        <v>569</v>
      </c>
      <c r="H1521" t="s">
        <v>2366</v>
      </c>
      <c r="I1521" t="s">
        <v>2366</v>
      </c>
      <c r="J1521">
        <v>2904</v>
      </c>
      <c r="K1521" t="s">
        <v>1432</v>
      </c>
      <c r="L1521">
        <v>1100</v>
      </c>
      <c r="M1521" t="s">
        <v>616</v>
      </c>
      <c r="N1521">
        <v>1120</v>
      </c>
      <c r="O1521" t="s">
        <v>1485</v>
      </c>
      <c r="P1521" t="s">
        <v>2366</v>
      </c>
      <c r="Q1521" t="s">
        <v>2364</v>
      </c>
      <c r="R1521" t="s">
        <v>2364</v>
      </c>
      <c r="S1521" t="s">
        <v>1881</v>
      </c>
      <c r="T1521" t="s">
        <v>1812</v>
      </c>
      <c r="U1521" t="s">
        <v>2365</v>
      </c>
      <c r="V1521" t="s">
        <v>2365</v>
      </c>
      <c r="W1521" t="s">
        <v>2365</v>
      </c>
      <c r="X1521" t="s">
        <v>2365</v>
      </c>
      <c r="Y1521" t="s">
        <v>2365</v>
      </c>
      <c r="Z1521" t="s">
        <v>2365</v>
      </c>
      <c r="AA1521" t="s">
        <v>2365</v>
      </c>
      <c r="AB1521" t="s">
        <v>2365</v>
      </c>
      <c r="AC1521" s="813" t="s">
        <v>2365</v>
      </c>
      <c r="AD1521" s="813" t="s">
        <v>2365</v>
      </c>
      <c r="AE1521" s="813" t="s">
        <v>2365</v>
      </c>
      <c r="AF1521" t="s">
        <v>2365</v>
      </c>
      <c r="AG1521" t="s">
        <v>2365</v>
      </c>
      <c r="AH1521" t="s">
        <v>2365</v>
      </c>
      <c r="AI1521" t="s">
        <v>2365</v>
      </c>
      <c r="AJ1521" t="s">
        <v>2365</v>
      </c>
      <c r="AK1521" t="s">
        <v>2365</v>
      </c>
      <c r="AL1521" t="s">
        <v>2365</v>
      </c>
      <c r="AM1521" t="s">
        <v>2365</v>
      </c>
      <c r="AN1521" t="s">
        <v>2365</v>
      </c>
      <c r="AR1521" t="s">
        <v>2365</v>
      </c>
      <c r="AS1521" t="s">
        <v>2365</v>
      </c>
      <c r="AT1521" t="s">
        <v>2365</v>
      </c>
      <c r="AU1521" t="s">
        <v>2365</v>
      </c>
      <c r="AV1521" t="s">
        <v>2365</v>
      </c>
      <c r="AW1521" t="s">
        <v>2365</v>
      </c>
      <c r="AX1521" t="s">
        <v>2365</v>
      </c>
      <c r="AY1521" t="s">
        <v>2365</v>
      </c>
      <c r="AZ1521" t="s">
        <v>2365</v>
      </c>
      <c r="BA1521" t="s">
        <v>2365</v>
      </c>
      <c r="BB1521" t="s">
        <v>2365</v>
      </c>
      <c r="BC1521" t="s">
        <v>2365</v>
      </c>
      <c r="BD1521" t="s">
        <v>2366</v>
      </c>
      <c r="BE1521" t="s">
        <v>2365</v>
      </c>
      <c r="BF1521" t="s">
        <v>2365</v>
      </c>
      <c r="BG1521" t="s">
        <v>2365</v>
      </c>
      <c r="BH1521" t="s">
        <v>2365</v>
      </c>
      <c r="BI1521" t="s">
        <v>2366</v>
      </c>
      <c r="BJ1521" t="s">
        <v>2365</v>
      </c>
      <c r="BK1521" t="s">
        <v>2365</v>
      </c>
      <c r="BL1521" t="s">
        <v>2365</v>
      </c>
      <c r="BM1521" t="s">
        <v>2365</v>
      </c>
      <c r="BO1521">
        <v>3</v>
      </c>
      <c r="BP1521">
        <v>31</v>
      </c>
      <c r="BQ1521" t="s">
        <v>2716</v>
      </c>
      <c r="BR1521" t="s">
        <v>1485</v>
      </c>
      <c r="BU1521">
        <v>200000</v>
      </c>
      <c r="BV1521">
        <v>0</v>
      </c>
      <c r="BW1521">
        <v>200000</v>
      </c>
      <c r="BX1521">
        <v>0</v>
      </c>
      <c r="BY1521">
        <v>200000</v>
      </c>
      <c r="BZ1521">
        <v>208000</v>
      </c>
      <c r="CA1521">
        <v>216320</v>
      </c>
      <c r="CB1521">
        <v>0</v>
      </c>
      <c r="CC1521">
        <v>0</v>
      </c>
      <c r="CD1521">
        <v>0</v>
      </c>
      <c r="CE1521">
        <v>0</v>
      </c>
      <c r="CF1521">
        <v>0</v>
      </c>
      <c r="CG1521">
        <v>0</v>
      </c>
      <c r="CH1521">
        <v>0</v>
      </c>
      <c r="CI1521">
        <v>0</v>
      </c>
      <c r="CJ1521">
        <v>0</v>
      </c>
      <c r="CK1521">
        <v>0</v>
      </c>
      <c r="CL1521">
        <v>0</v>
      </c>
      <c r="CM1521">
        <v>0</v>
      </c>
      <c r="CR1521" t="s">
        <v>2324</v>
      </c>
      <c r="CS1521" s="1369" t="str">
        <f>INDEX([8]Sheet1!$H:$H,MATCH(CR:CR,[8]Sheet1!$AU:$AU,0))</f>
        <v>Finance</v>
      </c>
    </row>
    <row r="1522" spans="1:97" x14ac:dyDescent="0.2">
      <c r="A1522" t="s">
        <v>4603</v>
      </c>
      <c r="B1522">
        <v>1611</v>
      </c>
      <c r="C1522" t="s">
        <v>4603</v>
      </c>
      <c r="D1522">
        <v>54479</v>
      </c>
      <c r="E1522" t="s">
        <v>3347</v>
      </c>
      <c r="F1522">
        <v>2700</v>
      </c>
      <c r="G1522" t="s">
        <v>656</v>
      </c>
      <c r="H1522" s="1373" t="s">
        <v>2478</v>
      </c>
      <c r="I1522" t="s">
        <v>1802</v>
      </c>
      <c r="J1522">
        <v>2703</v>
      </c>
      <c r="K1522" t="s">
        <v>1802</v>
      </c>
      <c r="L1522" s="1373">
        <v>1200</v>
      </c>
      <c r="M1522" t="s">
        <v>1480</v>
      </c>
      <c r="N1522">
        <v>1201</v>
      </c>
      <c r="O1522" t="s">
        <v>1486</v>
      </c>
      <c r="P1522" t="s">
        <v>2366</v>
      </c>
      <c r="Q1522" t="s">
        <v>2364</v>
      </c>
      <c r="R1522" t="s">
        <v>2364</v>
      </c>
      <c r="S1522" t="s">
        <v>1881</v>
      </c>
      <c r="T1522" t="s">
        <v>1812</v>
      </c>
      <c r="U1522" t="s">
        <v>2365</v>
      </c>
      <c r="V1522" t="s">
        <v>2365</v>
      </c>
      <c r="W1522" t="s">
        <v>2365</v>
      </c>
      <c r="X1522" t="s">
        <v>2365</v>
      </c>
      <c r="Y1522" t="s">
        <v>2365</v>
      </c>
      <c r="Z1522" t="s">
        <v>2365</v>
      </c>
      <c r="AA1522" t="s">
        <v>2365</v>
      </c>
      <c r="AB1522" t="s">
        <v>2365</v>
      </c>
      <c r="AC1522" s="813" t="s">
        <v>2365</v>
      </c>
      <c r="AD1522" s="813" t="s">
        <v>2365</v>
      </c>
      <c r="AE1522" s="813" t="s">
        <v>2365</v>
      </c>
      <c r="AF1522" t="s">
        <v>2365</v>
      </c>
      <c r="AG1522" t="s">
        <v>2365</v>
      </c>
      <c r="AH1522" t="s">
        <v>2365</v>
      </c>
      <c r="AI1522" t="s">
        <v>2365</v>
      </c>
      <c r="AJ1522" t="s">
        <v>2365</v>
      </c>
      <c r="AK1522" t="s">
        <v>2365</v>
      </c>
      <c r="AL1522" t="s">
        <v>2365</v>
      </c>
      <c r="AM1522" t="s">
        <v>2365</v>
      </c>
      <c r="AN1522" t="s">
        <v>2365</v>
      </c>
      <c r="AR1522" t="s">
        <v>2365</v>
      </c>
      <c r="AS1522" t="s">
        <v>2365</v>
      </c>
      <c r="AT1522" t="s">
        <v>2365</v>
      </c>
      <c r="AU1522" t="s">
        <v>2365</v>
      </c>
      <c r="AV1522" t="s">
        <v>2365</v>
      </c>
      <c r="AW1522" t="s">
        <v>2365</v>
      </c>
      <c r="AX1522" t="s">
        <v>2365</v>
      </c>
      <c r="AY1522" t="s">
        <v>2365</v>
      </c>
      <c r="AZ1522" t="s">
        <v>2365</v>
      </c>
      <c r="BA1522" t="s">
        <v>2365</v>
      </c>
      <c r="BB1522" t="s">
        <v>2365</v>
      </c>
      <c r="BC1522" t="s">
        <v>2365</v>
      </c>
      <c r="BD1522" t="s">
        <v>1906</v>
      </c>
      <c r="BE1522" t="s">
        <v>2365</v>
      </c>
      <c r="BF1522" t="s">
        <v>2365</v>
      </c>
      <c r="BG1522" t="s">
        <v>2365</v>
      </c>
      <c r="BH1522" t="s">
        <v>2365</v>
      </c>
      <c r="BI1522" t="s">
        <v>2366</v>
      </c>
      <c r="BJ1522" t="s">
        <v>2365</v>
      </c>
      <c r="BK1522" t="s">
        <v>2365</v>
      </c>
      <c r="BL1522" t="s">
        <v>2365</v>
      </c>
      <c r="BM1522" t="s">
        <v>2365</v>
      </c>
      <c r="BO1522">
        <v>1</v>
      </c>
      <c r="BP1522">
        <v>14</v>
      </c>
      <c r="BQ1522" t="s">
        <v>2369</v>
      </c>
      <c r="BR1522" t="s">
        <v>1486</v>
      </c>
      <c r="BU1522" s="1371">
        <v>0</v>
      </c>
      <c r="BV1522" s="1371">
        <v>0</v>
      </c>
      <c r="BW1522" s="1371">
        <v>0</v>
      </c>
      <c r="BX1522" s="1371">
        <v>0</v>
      </c>
      <c r="BY1522" s="1371">
        <v>0</v>
      </c>
      <c r="BZ1522">
        <v>0</v>
      </c>
      <c r="CA1522">
        <v>0</v>
      </c>
      <c r="CB1522">
        <v>0</v>
      </c>
      <c r="CC1522">
        <v>0</v>
      </c>
      <c r="CD1522">
        <v>0</v>
      </c>
      <c r="CE1522">
        <v>0</v>
      </c>
      <c r="CF1522">
        <v>0</v>
      </c>
      <c r="CG1522">
        <v>0</v>
      </c>
      <c r="CH1522">
        <v>0</v>
      </c>
      <c r="CI1522">
        <v>0</v>
      </c>
      <c r="CJ1522">
        <v>0</v>
      </c>
      <c r="CK1522">
        <v>0</v>
      </c>
      <c r="CL1522">
        <v>0</v>
      </c>
      <c r="CM1522">
        <v>0</v>
      </c>
      <c r="CR1522" t="s">
        <v>2324</v>
      </c>
      <c r="CS1522" s="1369" t="str">
        <f>INDEX([8]Sheet1!$H:$H,MATCH(CR:CR,[8]Sheet1!$AU:$AU,0))</f>
        <v>Finance</v>
      </c>
    </row>
    <row r="1523" spans="1:97" x14ac:dyDescent="0.2">
      <c r="A1523" t="s">
        <v>4604</v>
      </c>
      <c r="B1523">
        <v>1612</v>
      </c>
      <c r="C1523" t="s">
        <v>4604</v>
      </c>
      <c r="D1523">
        <v>54480</v>
      </c>
      <c r="E1523" t="s">
        <v>3276</v>
      </c>
      <c r="F1523">
        <v>2900</v>
      </c>
      <c r="G1523" t="s">
        <v>569</v>
      </c>
      <c r="H1523" t="s">
        <v>2366</v>
      </c>
      <c r="I1523" t="s">
        <v>2366</v>
      </c>
      <c r="J1523">
        <v>2904</v>
      </c>
      <c r="K1523" t="s">
        <v>1432</v>
      </c>
      <c r="L1523">
        <v>1200</v>
      </c>
      <c r="M1523" t="s">
        <v>1480</v>
      </c>
      <c r="N1523">
        <v>1201</v>
      </c>
      <c r="O1523" t="s">
        <v>1486</v>
      </c>
      <c r="P1523" t="s">
        <v>2366</v>
      </c>
      <c r="Q1523" t="s">
        <v>2364</v>
      </c>
      <c r="R1523" t="s">
        <v>2364</v>
      </c>
      <c r="S1523" t="s">
        <v>1881</v>
      </c>
      <c r="T1523" t="s">
        <v>1812</v>
      </c>
      <c r="U1523" t="s">
        <v>2365</v>
      </c>
      <c r="V1523" t="s">
        <v>2365</v>
      </c>
      <c r="W1523" t="s">
        <v>2365</v>
      </c>
      <c r="X1523" t="s">
        <v>2365</v>
      </c>
      <c r="Y1523" t="s">
        <v>2365</v>
      </c>
      <c r="Z1523" t="s">
        <v>2365</v>
      </c>
      <c r="AA1523" t="s">
        <v>2365</v>
      </c>
      <c r="AB1523" t="s">
        <v>2365</v>
      </c>
      <c r="AC1523" s="813" t="s">
        <v>2365</v>
      </c>
      <c r="AD1523" s="813" t="s">
        <v>2365</v>
      </c>
      <c r="AE1523" s="813" t="s">
        <v>2365</v>
      </c>
      <c r="AF1523" t="s">
        <v>2365</v>
      </c>
      <c r="AG1523" t="s">
        <v>2365</v>
      </c>
      <c r="AH1523" t="s">
        <v>2365</v>
      </c>
      <c r="AI1523" t="s">
        <v>2365</v>
      </c>
      <c r="AJ1523" t="s">
        <v>2365</v>
      </c>
      <c r="AK1523" t="s">
        <v>2365</v>
      </c>
      <c r="AL1523" t="s">
        <v>2365</v>
      </c>
      <c r="AM1523" t="s">
        <v>2365</v>
      </c>
      <c r="AN1523" t="s">
        <v>2365</v>
      </c>
      <c r="AR1523" t="s">
        <v>2365</v>
      </c>
      <c r="AS1523" t="s">
        <v>2365</v>
      </c>
      <c r="AT1523" t="s">
        <v>2365</v>
      </c>
      <c r="AU1523" t="s">
        <v>2365</v>
      </c>
      <c r="AV1523" t="s">
        <v>2365</v>
      </c>
      <c r="AW1523" t="s">
        <v>2365</v>
      </c>
      <c r="AX1523" t="s">
        <v>2365</v>
      </c>
      <c r="AY1523" t="s">
        <v>2365</v>
      </c>
      <c r="AZ1523" t="s">
        <v>2365</v>
      </c>
      <c r="BA1523" t="s">
        <v>2365</v>
      </c>
      <c r="BB1523" t="s">
        <v>2365</v>
      </c>
      <c r="BC1523" t="s">
        <v>2365</v>
      </c>
      <c r="BD1523" t="s">
        <v>2366</v>
      </c>
      <c r="BE1523" t="s">
        <v>2365</v>
      </c>
      <c r="BF1523" t="s">
        <v>2365</v>
      </c>
      <c r="BG1523" t="s">
        <v>2365</v>
      </c>
      <c r="BH1523" t="s">
        <v>2365</v>
      </c>
      <c r="BI1523" t="s">
        <v>2366</v>
      </c>
      <c r="BJ1523" t="s">
        <v>2365</v>
      </c>
      <c r="BK1523" t="s">
        <v>2365</v>
      </c>
      <c r="BL1523" t="s">
        <v>2365</v>
      </c>
      <c r="BM1523" t="s">
        <v>2365</v>
      </c>
      <c r="BO1523">
        <v>1</v>
      </c>
      <c r="BP1523">
        <v>14</v>
      </c>
      <c r="BQ1523" t="s">
        <v>2369</v>
      </c>
      <c r="BR1523" t="s">
        <v>1486</v>
      </c>
      <c r="BU1523">
        <v>150000</v>
      </c>
      <c r="BV1523">
        <v>0</v>
      </c>
      <c r="BW1523">
        <v>150000</v>
      </c>
      <c r="BX1523">
        <v>0</v>
      </c>
      <c r="BY1523">
        <v>150000</v>
      </c>
      <c r="BZ1523">
        <v>159000</v>
      </c>
      <c r="CA1523">
        <v>168540</v>
      </c>
      <c r="CB1523">
        <v>0</v>
      </c>
      <c r="CC1523">
        <v>5237.8</v>
      </c>
      <c r="CD1523">
        <v>5771.01</v>
      </c>
      <c r="CE1523">
        <v>16824.829999999998</v>
      </c>
      <c r="CF1523">
        <v>3071.1</v>
      </c>
      <c r="CG1523">
        <v>4068.93</v>
      </c>
      <c r="CH1523">
        <v>4123.9799999999996</v>
      </c>
      <c r="CI1523">
        <v>31733.239999999998</v>
      </c>
      <c r="CJ1523">
        <v>0</v>
      </c>
      <c r="CK1523">
        <v>0</v>
      </c>
      <c r="CL1523">
        <v>0</v>
      </c>
      <c r="CM1523">
        <v>0</v>
      </c>
      <c r="CR1523" t="s">
        <v>2324</v>
      </c>
      <c r="CS1523" s="1369" t="str">
        <f>INDEX([8]Sheet1!$H:$H,MATCH(CR:CR,[8]Sheet1!$AU:$AU,0))</f>
        <v>Finance</v>
      </c>
    </row>
    <row r="1524" spans="1:97" x14ac:dyDescent="0.2">
      <c r="A1524" t="s">
        <v>4605</v>
      </c>
      <c r="B1524">
        <v>1613</v>
      </c>
      <c r="C1524" t="s">
        <v>4605</v>
      </c>
      <c r="D1524">
        <v>54481</v>
      </c>
      <c r="E1524" t="s">
        <v>3280</v>
      </c>
      <c r="F1524">
        <v>2900</v>
      </c>
      <c r="G1524" t="s">
        <v>569</v>
      </c>
      <c r="H1524" s="1373" t="s">
        <v>2366</v>
      </c>
      <c r="I1524" t="s">
        <v>2366</v>
      </c>
      <c r="J1524">
        <v>2904</v>
      </c>
      <c r="K1524" t="s">
        <v>1432</v>
      </c>
      <c r="L1524" s="1373">
        <v>1200</v>
      </c>
      <c r="M1524" t="s">
        <v>1480</v>
      </c>
      <c r="N1524">
        <v>1201</v>
      </c>
      <c r="O1524" t="s">
        <v>1486</v>
      </c>
      <c r="P1524" t="s">
        <v>2366</v>
      </c>
      <c r="Q1524" t="s">
        <v>2364</v>
      </c>
      <c r="R1524" t="s">
        <v>2364</v>
      </c>
      <c r="S1524" t="s">
        <v>1881</v>
      </c>
      <c r="T1524" t="s">
        <v>1812</v>
      </c>
      <c r="U1524" t="s">
        <v>2365</v>
      </c>
      <c r="V1524" t="s">
        <v>2365</v>
      </c>
      <c r="W1524" t="s">
        <v>2365</v>
      </c>
      <c r="X1524" t="s">
        <v>2365</v>
      </c>
      <c r="Y1524" t="s">
        <v>2365</v>
      </c>
      <c r="Z1524" t="s">
        <v>2365</v>
      </c>
      <c r="AA1524" t="s">
        <v>2365</v>
      </c>
      <c r="AB1524" t="s">
        <v>2365</v>
      </c>
      <c r="AC1524" s="813" t="s">
        <v>2365</v>
      </c>
      <c r="AD1524" s="813" t="s">
        <v>2365</v>
      </c>
      <c r="AE1524" s="813" t="s">
        <v>2365</v>
      </c>
      <c r="AF1524" t="s">
        <v>2365</v>
      </c>
      <c r="AG1524" t="s">
        <v>2365</v>
      </c>
      <c r="AH1524" t="s">
        <v>2365</v>
      </c>
      <c r="AI1524" t="s">
        <v>2365</v>
      </c>
      <c r="AJ1524" t="s">
        <v>2365</v>
      </c>
      <c r="AK1524" t="s">
        <v>2365</v>
      </c>
      <c r="AL1524" t="s">
        <v>2365</v>
      </c>
      <c r="AM1524" t="s">
        <v>2365</v>
      </c>
      <c r="AN1524" t="s">
        <v>2365</v>
      </c>
      <c r="AR1524" t="s">
        <v>2365</v>
      </c>
      <c r="AS1524" t="s">
        <v>2365</v>
      </c>
      <c r="AT1524" t="s">
        <v>2365</v>
      </c>
      <c r="AU1524" t="s">
        <v>2365</v>
      </c>
      <c r="AV1524" t="s">
        <v>2365</v>
      </c>
      <c r="AW1524" t="s">
        <v>2365</v>
      </c>
      <c r="AX1524" t="s">
        <v>2365</v>
      </c>
      <c r="AY1524" t="s">
        <v>2365</v>
      </c>
      <c r="AZ1524" t="s">
        <v>2365</v>
      </c>
      <c r="BA1524" t="s">
        <v>2365</v>
      </c>
      <c r="BB1524" t="s">
        <v>2365</v>
      </c>
      <c r="BC1524" t="s">
        <v>2365</v>
      </c>
      <c r="BD1524" t="s">
        <v>2366</v>
      </c>
      <c r="BE1524" t="s">
        <v>2365</v>
      </c>
      <c r="BF1524" t="s">
        <v>2365</v>
      </c>
      <c r="BG1524" t="s">
        <v>2365</v>
      </c>
      <c r="BH1524" t="s">
        <v>2365</v>
      </c>
      <c r="BI1524" t="s">
        <v>2366</v>
      </c>
      <c r="BJ1524" t="s">
        <v>2365</v>
      </c>
      <c r="BK1524" t="s">
        <v>2365</v>
      </c>
      <c r="BL1524" t="s">
        <v>2365</v>
      </c>
      <c r="BM1524" t="s">
        <v>2365</v>
      </c>
      <c r="BO1524">
        <v>1</v>
      </c>
      <c r="BP1524">
        <v>14</v>
      </c>
      <c r="BQ1524" t="s">
        <v>2369</v>
      </c>
      <c r="BR1524" t="s">
        <v>1486</v>
      </c>
      <c r="BU1524" s="1371">
        <v>0</v>
      </c>
      <c r="BV1524" s="1371">
        <v>0</v>
      </c>
      <c r="BW1524" s="1371">
        <v>0</v>
      </c>
      <c r="BX1524" s="1371">
        <v>0</v>
      </c>
      <c r="BY1524" s="1371">
        <v>0</v>
      </c>
      <c r="BZ1524">
        <v>0</v>
      </c>
      <c r="CA1524">
        <v>0</v>
      </c>
      <c r="CB1524">
        <v>0</v>
      </c>
      <c r="CC1524">
        <v>0</v>
      </c>
      <c r="CD1524">
        <v>0</v>
      </c>
      <c r="CE1524">
        <v>0</v>
      </c>
      <c r="CF1524">
        <v>0</v>
      </c>
      <c r="CG1524">
        <v>0</v>
      </c>
      <c r="CH1524">
        <v>0</v>
      </c>
      <c r="CI1524">
        <v>0</v>
      </c>
      <c r="CJ1524">
        <v>0</v>
      </c>
      <c r="CK1524">
        <v>0</v>
      </c>
      <c r="CL1524">
        <v>0</v>
      </c>
      <c r="CM1524">
        <v>0</v>
      </c>
      <c r="CR1524" t="s">
        <v>2324</v>
      </c>
      <c r="CS1524" s="1369" t="str">
        <f>INDEX([8]Sheet1!$H:$H,MATCH(CR:CR,[8]Sheet1!$AU:$AU,0))</f>
        <v>Finance</v>
      </c>
    </row>
    <row r="1525" spans="1:97" x14ac:dyDescent="0.2">
      <c r="A1525" t="s">
        <v>4606</v>
      </c>
      <c r="B1525">
        <v>1614</v>
      </c>
      <c r="C1525" t="s">
        <v>4606</v>
      </c>
      <c r="D1525">
        <v>54482</v>
      </c>
      <c r="E1525" t="s">
        <v>3203</v>
      </c>
      <c r="F1525">
        <v>2900</v>
      </c>
      <c r="G1525" t="s">
        <v>569</v>
      </c>
      <c r="H1525" s="1373" t="s">
        <v>2366</v>
      </c>
      <c r="I1525" t="s">
        <v>2366</v>
      </c>
      <c r="J1525">
        <v>2904</v>
      </c>
      <c r="K1525" t="s">
        <v>1432</v>
      </c>
      <c r="L1525" s="1373">
        <v>1200</v>
      </c>
      <c r="M1525" t="s">
        <v>1480</v>
      </c>
      <c r="N1525">
        <v>1201</v>
      </c>
      <c r="O1525" t="s">
        <v>1486</v>
      </c>
      <c r="P1525" t="s">
        <v>2366</v>
      </c>
      <c r="Q1525" t="s">
        <v>2364</v>
      </c>
      <c r="R1525" t="s">
        <v>2364</v>
      </c>
      <c r="S1525" t="s">
        <v>1881</v>
      </c>
      <c r="T1525" t="s">
        <v>1812</v>
      </c>
      <c r="U1525" t="s">
        <v>2365</v>
      </c>
      <c r="V1525" t="s">
        <v>2365</v>
      </c>
      <c r="W1525" t="s">
        <v>2365</v>
      </c>
      <c r="X1525" t="s">
        <v>2365</v>
      </c>
      <c r="Y1525" t="s">
        <v>2365</v>
      </c>
      <c r="Z1525" t="s">
        <v>2365</v>
      </c>
      <c r="AA1525" t="s">
        <v>2365</v>
      </c>
      <c r="AB1525" t="s">
        <v>2365</v>
      </c>
      <c r="AC1525" s="813" t="s">
        <v>2365</v>
      </c>
      <c r="AD1525" s="813" t="s">
        <v>2365</v>
      </c>
      <c r="AE1525" s="813" t="s">
        <v>2365</v>
      </c>
      <c r="AF1525" t="s">
        <v>2365</v>
      </c>
      <c r="AG1525" t="s">
        <v>2365</v>
      </c>
      <c r="AH1525" t="s">
        <v>2365</v>
      </c>
      <c r="AI1525" t="s">
        <v>2365</v>
      </c>
      <c r="AJ1525" t="s">
        <v>2365</v>
      </c>
      <c r="AK1525" t="s">
        <v>2365</v>
      </c>
      <c r="AL1525" t="s">
        <v>2365</v>
      </c>
      <c r="AM1525" t="s">
        <v>2365</v>
      </c>
      <c r="AN1525" t="s">
        <v>2365</v>
      </c>
      <c r="AR1525" t="s">
        <v>2365</v>
      </c>
      <c r="AS1525" t="s">
        <v>2365</v>
      </c>
      <c r="AT1525" t="s">
        <v>2365</v>
      </c>
      <c r="AU1525" t="s">
        <v>2365</v>
      </c>
      <c r="AV1525" t="s">
        <v>2365</v>
      </c>
      <c r="AW1525" t="s">
        <v>2365</v>
      </c>
      <c r="AX1525" t="s">
        <v>2365</v>
      </c>
      <c r="AY1525" t="s">
        <v>2365</v>
      </c>
      <c r="AZ1525" t="s">
        <v>2365</v>
      </c>
      <c r="BA1525" t="s">
        <v>2365</v>
      </c>
      <c r="BB1525" t="s">
        <v>2365</v>
      </c>
      <c r="BC1525" t="s">
        <v>2365</v>
      </c>
      <c r="BD1525" t="s">
        <v>2366</v>
      </c>
      <c r="BE1525" t="s">
        <v>2365</v>
      </c>
      <c r="BF1525" t="s">
        <v>2365</v>
      </c>
      <c r="BG1525" t="s">
        <v>2365</v>
      </c>
      <c r="BH1525" t="s">
        <v>2365</v>
      </c>
      <c r="BI1525" t="s">
        <v>2366</v>
      </c>
      <c r="BJ1525" t="s">
        <v>2365</v>
      </c>
      <c r="BK1525" t="s">
        <v>2365</v>
      </c>
      <c r="BL1525" t="s">
        <v>2365</v>
      </c>
      <c r="BM1525" t="s">
        <v>2365</v>
      </c>
      <c r="BO1525">
        <v>1</v>
      </c>
      <c r="BP1525">
        <v>14</v>
      </c>
      <c r="BQ1525" t="s">
        <v>2369</v>
      </c>
      <c r="BR1525" t="s">
        <v>1486</v>
      </c>
      <c r="BU1525" s="1371">
        <v>450000</v>
      </c>
      <c r="BV1525" s="1371">
        <v>0</v>
      </c>
      <c r="BW1525" s="1371">
        <v>450000</v>
      </c>
      <c r="BX1525" s="1371">
        <v>0</v>
      </c>
      <c r="BY1525" s="1371">
        <v>450000</v>
      </c>
      <c r="BZ1525">
        <v>477000</v>
      </c>
      <c r="CA1525">
        <v>0</v>
      </c>
      <c r="CB1525">
        <v>9629.48</v>
      </c>
      <c r="CC1525">
        <v>26463.73</v>
      </c>
      <c r="CD1525">
        <v>67234.23</v>
      </c>
      <c r="CE1525">
        <v>41916.51</v>
      </c>
      <c r="CF1525">
        <v>36134.020000000004</v>
      </c>
      <c r="CG1525">
        <v>2024.2099999999991</v>
      </c>
      <c r="CH1525">
        <v>41783.740000000005</v>
      </c>
      <c r="CI1525">
        <v>27868.940000000002</v>
      </c>
      <c r="CJ1525">
        <v>1522.81</v>
      </c>
      <c r="CK1525">
        <v>0</v>
      </c>
      <c r="CL1525">
        <v>0</v>
      </c>
      <c r="CM1525">
        <v>0</v>
      </c>
      <c r="CR1525" t="s">
        <v>2324</v>
      </c>
      <c r="CS1525" s="1369" t="str">
        <f>INDEX([8]Sheet1!$H:$H,MATCH(CR:CR,[8]Sheet1!$AU:$AU,0))</f>
        <v>Finance</v>
      </c>
    </row>
    <row r="1526" spans="1:97" x14ac:dyDescent="0.2">
      <c r="A1526" t="s">
        <v>4607</v>
      </c>
      <c r="B1526">
        <v>1615</v>
      </c>
      <c r="C1526" t="s">
        <v>4607</v>
      </c>
      <c r="D1526">
        <v>54483</v>
      </c>
      <c r="E1526" t="s">
        <v>4608</v>
      </c>
      <c r="F1526">
        <v>2700</v>
      </c>
      <c r="G1526" t="s">
        <v>656</v>
      </c>
      <c r="H1526" t="s">
        <v>2428</v>
      </c>
      <c r="I1526" t="s">
        <v>1800</v>
      </c>
      <c r="J1526">
        <v>2701</v>
      </c>
      <c r="K1526" t="s">
        <v>1800</v>
      </c>
      <c r="L1526">
        <v>2300</v>
      </c>
      <c r="M1526" t="s">
        <v>620</v>
      </c>
      <c r="N1526">
        <v>2305</v>
      </c>
      <c r="O1526" t="s">
        <v>1521</v>
      </c>
      <c r="P1526" t="s">
        <v>2366</v>
      </c>
      <c r="Q1526" t="s">
        <v>2364</v>
      </c>
      <c r="R1526" t="s">
        <v>2364</v>
      </c>
      <c r="S1526" t="s">
        <v>1881</v>
      </c>
      <c r="T1526" t="s">
        <v>1812</v>
      </c>
      <c r="U1526" t="s">
        <v>2365</v>
      </c>
      <c r="V1526" t="s">
        <v>2365</v>
      </c>
      <c r="W1526" t="s">
        <v>2365</v>
      </c>
      <c r="X1526" t="s">
        <v>2365</v>
      </c>
      <c r="Y1526" t="s">
        <v>2365</v>
      </c>
      <c r="Z1526" t="s">
        <v>2365</v>
      </c>
      <c r="AA1526" t="s">
        <v>2365</v>
      </c>
      <c r="AB1526" t="s">
        <v>2365</v>
      </c>
      <c r="AC1526" s="813" t="s">
        <v>2365</v>
      </c>
      <c r="AD1526" s="813" t="s">
        <v>2365</v>
      </c>
      <c r="AE1526" s="813" t="s">
        <v>2365</v>
      </c>
      <c r="AF1526" t="s">
        <v>2365</v>
      </c>
      <c r="AG1526" t="s">
        <v>2365</v>
      </c>
      <c r="AH1526" t="s">
        <v>2365</v>
      </c>
      <c r="AI1526" t="s">
        <v>2365</v>
      </c>
      <c r="AJ1526" t="s">
        <v>2365</v>
      </c>
      <c r="AK1526" t="s">
        <v>2365</v>
      </c>
      <c r="AL1526" t="s">
        <v>2365</v>
      </c>
      <c r="AM1526" t="s">
        <v>2365</v>
      </c>
      <c r="AN1526" t="s">
        <v>2365</v>
      </c>
      <c r="AR1526" t="s">
        <v>2365</v>
      </c>
      <c r="AS1526" t="s">
        <v>2365</v>
      </c>
      <c r="AT1526" t="s">
        <v>2365</v>
      </c>
      <c r="AU1526" t="s">
        <v>2365</v>
      </c>
      <c r="AV1526" t="s">
        <v>2365</v>
      </c>
      <c r="AW1526" t="s">
        <v>2365</v>
      </c>
      <c r="AX1526" t="s">
        <v>2365</v>
      </c>
      <c r="AY1526" t="s">
        <v>2365</v>
      </c>
      <c r="AZ1526" t="s">
        <v>2365</v>
      </c>
      <c r="BA1526" t="s">
        <v>2365</v>
      </c>
      <c r="BB1526" t="s">
        <v>2365</v>
      </c>
      <c r="BC1526" t="s">
        <v>2365</v>
      </c>
      <c r="BD1526" t="s">
        <v>2366</v>
      </c>
      <c r="BE1526" t="s">
        <v>2365</v>
      </c>
      <c r="BF1526" t="s">
        <v>2365</v>
      </c>
      <c r="BG1526" t="s">
        <v>2365</v>
      </c>
      <c r="BH1526" t="s">
        <v>2365</v>
      </c>
      <c r="BI1526" t="s">
        <v>2366</v>
      </c>
      <c r="BJ1526" t="s">
        <v>2365</v>
      </c>
      <c r="BK1526" t="s">
        <v>2365</v>
      </c>
      <c r="BL1526" t="s">
        <v>2365</v>
      </c>
      <c r="BM1526" t="s">
        <v>2365</v>
      </c>
      <c r="BO1526">
        <v>10</v>
      </c>
      <c r="BP1526">
        <v>101</v>
      </c>
      <c r="BQ1526" t="s">
        <v>4609</v>
      </c>
      <c r="BR1526" t="s">
        <v>1521</v>
      </c>
      <c r="BU1526">
        <v>0</v>
      </c>
      <c r="BV1526">
        <v>0</v>
      </c>
      <c r="BW1526">
        <v>0</v>
      </c>
      <c r="BX1526">
        <v>0</v>
      </c>
      <c r="BY1526">
        <v>0</v>
      </c>
      <c r="BZ1526">
        <v>0</v>
      </c>
      <c r="CA1526">
        <v>0</v>
      </c>
      <c r="CB1526">
        <v>0</v>
      </c>
      <c r="CC1526">
        <v>0</v>
      </c>
      <c r="CD1526">
        <v>0</v>
      </c>
      <c r="CE1526">
        <v>0</v>
      </c>
      <c r="CF1526">
        <v>0</v>
      </c>
      <c r="CG1526">
        <v>0</v>
      </c>
      <c r="CH1526">
        <v>0</v>
      </c>
      <c r="CI1526">
        <v>0</v>
      </c>
      <c r="CJ1526">
        <v>0</v>
      </c>
      <c r="CK1526">
        <v>0</v>
      </c>
      <c r="CL1526">
        <v>0</v>
      </c>
      <c r="CM1526">
        <v>0</v>
      </c>
      <c r="CR1526" t="s">
        <v>2324</v>
      </c>
      <c r="CS1526" s="1369" t="str">
        <f>INDEX([8]Sheet1!$H:$H,MATCH(CR:CR,[8]Sheet1!$AU:$AU,0))</f>
        <v>Finance</v>
      </c>
    </row>
    <row r="1527" spans="1:97" x14ac:dyDescent="0.2">
      <c r="A1527" t="s">
        <v>4610</v>
      </c>
      <c r="B1527">
        <v>1616</v>
      </c>
      <c r="C1527" t="s">
        <v>4610</v>
      </c>
      <c r="D1527">
        <v>54484</v>
      </c>
      <c r="E1527" t="s">
        <v>3242</v>
      </c>
      <c r="F1527">
        <v>2700</v>
      </c>
      <c r="G1527" t="s">
        <v>656</v>
      </c>
      <c r="H1527" t="s">
        <v>2428</v>
      </c>
      <c r="I1527" t="s">
        <v>1800</v>
      </c>
      <c r="J1527">
        <v>2701</v>
      </c>
      <c r="K1527" t="s">
        <v>1800</v>
      </c>
      <c r="L1527">
        <v>2300</v>
      </c>
      <c r="M1527" t="s">
        <v>620</v>
      </c>
      <c r="N1527">
        <v>2305</v>
      </c>
      <c r="O1527" t="s">
        <v>1521</v>
      </c>
      <c r="P1527" t="s">
        <v>2366</v>
      </c>
      <c r="Q1527" t="s">
        <v>2364</v>
      </c>
      <c r="R1527" t="s">
        <v>2364</v>
      </c>
      <c r="S1527" t="s">
        <v>1881</v>
      </c>
      <c r="T1527" t="s">
        <v>1812</v>
      </c>
      <c r="U1527" t="s">
        <v>2365</v>
      </c>
      <c r="V1527" t="s">
        <v>2365</v>
      </c>
      <c r="W1527" t="s">
        <v>2365</v>
      </c>
      <c r="X1527" t="s">
        <v>2365</v>
      </c>
      <c r="Y1527" t="s">
        <v>2365</v>
      </c>
      <c r="Z1527" t="s">
        <v>2365</v>
      </c>
      <c r="AA1527" t="s">
        <v>2365</v>
      </c>
      <c r="AB1527" t="s">
        <v>2365</v>
      </c>
      <c r="AC1527" s="813" t="s">
        <v>2365</v>
      </c>
      <c r="AD1527" s="813" t="s">
        <v>2365</v>
      </c>
      <c r="AE1527" s="813" t="s">
        <v>2365</v>
      </c>
      <c r="AF1527" t="s">
        <v>2365</v>
      </c>
      <c r="AG1527" t="s">
        <v>2365</v>
      </c>
      <c r="AH1527" t="s">
        <v>2365</v>
      </c>
      <c r="AI1527" t="s">
        <v>2365</v>
      </c>
      <c r="AJ1527" t="s">
        <v>2365</v>
      </c>
      <c r="AK1527" t="s">
        <v>2365</v>
      </c>
      <c r="AL1527" t="s">
        <v>2365</v>
      </c>
      <c r="AM1527" t="s">
        <v>2365</v>
      </c>
      <c r="AN1527" t="s">
        <v>2365</v>
      </c>
      <c r="AR1527" t="s">
        <v>2365</v>
      </c>
      <c r="AS1527" t="s">
        <v>2365</v>
      </c>
      <c r="AT1527" t="s">
        <v>2365</v>
      </c>
      <c r="AU1527" t="s">
        <v>2365</v>
      </c>
      <c r="AV1527" t="s">
        <v>2365</v>
      </c>
      <c r="AW1527" t="s">
        <v>2365</v>
      </c>
      <c r="AX1527" t="s">
        <v>2365</v>
      </c>
      <c r="AY1527" t="s">
        <v>2365</v>
      </c>
      <c r="AZ1527" t="s">
        <v>2365</v>
      </c>
      <c r="BA1527" t="s">
        <v>2365</v>
      </c>
      <c r="BB1527" t="s">
        <v>2365</v>
      </c>
      <c r="BC1527" t="s">
        <v>2365</v>
      </c>
      <c r="BD1527" t="s">
        <v>2366</v>
      </c>
      <c r="BE1527" t="s">
        <v>2365</v>
      </c>
      <c r="BF1527" t="s">
        <v>2365</v>
      </c>
      <c r="BG1527" t="s">
        <v>2365</v>
      </c>
      <c r="BH1527" t="s">
        <v>2365</v>
      </c>
      <c r="BI1527" t="s">
        <v>2366</v>
      </c>
      <c r="BJ1527" t="s">
        <v>2365</v>
      </c>
      <c r="BK1527" t="s">
        <v>2365</v>
      </c>
      <c r="BL1527" t="s">
        <v>2365</v>
      </c>
      <c r="BM1527" t="s">
        <v>2365</v>
      </c>
      <c r="BO1527">
        <v>10</v>
      </c>
      <c r="BP1527">
        <v>101</v>
      </c>
      <c r="BQ1527" t="s">
        <v>4609</v>
      </c>
      <c r="BR1527" t="s">
        <v>1521</v>
      </c>
      <c r="BU1527">
        <v>15000</v>
      </c>
      <c r="BV1527">
        <v>0</v>
      </c>
      <c r="BW1527">
        <v>15000</v>
      </c>
      <c r="BX1527">
        <v>-15000</v>
      </c>
      <c r="BY1527">
        <v>0</v>
      </c>
      <c r="BZ1527">
        <v>15900</v>
      </c>
      <c r="CA1527">
        <v>16854</v>
      </c>
      <c r="CB1527">
        <v>0</v>
      </c>
      <c r="CC1527">
        <v>0</v>
      </c>
      <c r="CD1527">
        <v>0</v>
      </c>
      <c r="CE1527">
        <v>0</v>
      </c>
      <c r="CF1527">
        <v>0</v>
      </c>
      <c r="CG1527">
        <v>0</v>
      </c>
      <c r="CH1527">
        <v>0</v>
      </c>
      <c r="CI1527">
        <v>0</v>
      </c>
      <c r="CJ1527">
        <v>0</v>
      </c>
      <c r="CK1527">
        <v>0</v>
      </c>
      <c r="CL1527">
        <v>0</v>
      </c>
      <c r="CM1527">
        <v>0</v>
      </c>
      <c r="CR1527" t="s">
        <v>2327</v>
      </c>
      <c r="CS1527" s="1369" t="str">
        <f>INDEX([8]Sheet1!$H:$H,MATCH(CR:CR,[8]Sheet1!$AU:$AU,0))</f>
        <v>Education</v>
      </c>
    </row>
    <row r="1528" spans="1:97" x14ac:dyDescent="0.2">
      <c r="A1528" t="s">
        <v>4611</v>
      </c>
      <c r="B1528">
        <v>1617</v>
      </c>
      <c r="C1528" t="s">
        <v>4611</v>
      </c>
      <c r="D1528">
        <v>54485</v>
      </c>
      <c r="E1528" t="s">
        <v>2714</v>
      </c>
      <c r="F1528">
        <v>2700</v>
      </c>
      <c r="G1528" t="s">
        <v>656</v>
      </c>
      <c r="H1528" t="s">
        <v>2664</v>
      </c>
      <c r="I1528" t="s">
        <v>1801</v>
      </c>
      <c r="J1528">
        <v>2702</v>
      </c>
      <c r="K1528" t="s">
        <v>1801</v>
      </c>
      <c r="L1528">
        <v>2300</v>
      </c>
      <c r="M1528" t="s">
        <v>620</v>
      </c>
      <c r="N1528">
        <v>2305</v>
      </c>
      <c r="O1528" t="s">
        <v>1521</v>
      </c>
      <c r="P1528" t="s">
        <v>2366</v>
      </c>
      <c r="Q1528" t="s">
        <v>2364</v>
      </c>
      <c r="R1528" t="s">
        <v>2364</v>
      </c>
      <c r="S1528" t="s">
        <v>1881</v>
      </c>
      <c r="T1528" t="s">
        <v>1812</v>
      </c>
      <c r="U1528" t="s">
        <v>2365</v>
      </c>
      <c r="V1528" t="s">
        <v>2365</v>
      </c>
      <c r="W1528" t="s">
        <v>2365</v>
      </c>
      <c r="X1528" t="s">
        <v>2365</v>
      </c>
      <c r="Y1528" t="s">
        <v>2365</v>
      </c>
      <c r="Z1528" t="s">
        <v>2365</v>
      </c>
      <c r="AA1528" t="s">
        <v>2365</v>
      </c>
      <c r="AB1528" t="s">
        <v>2365</v>
      </c>
      <c r="AC1528" s="813" t="s">
        <v>2365</v>
      </c>
      <c r="AD1528" s="813" t="s">
        <v>2365</v>
      </c>
      <c r="AE1528" s="813" t="s">
        <v>2365</v>
      </c>
      <c r="AF1528" t="s">
        <v>2365</v>
      </c>
      <c r="AG1528" t="s">
        <v>2365</v>
      </c>
      <c r="AH1528" t="s">
        <v>2365</v>
      </c>
      <c r="AI1528" t="s">
        <v>2365</v>
      </c>
      <c r="AJ1528" t="s">
        <v>2365</v>
      </c>
      <c r="AK1528" t="s">
        <v>2365</v>
      </c>
      <c r="AL1528" t="s">
        <v>2365</v>
      </c>
      <c r="AM1528" t="s">
        <v>2365</v>
      </c>
      <c r="AN1528" t="s">
        <v>2365</v>
      </c>
      <c r="AR1528" t="s">
        <v>2365</v>
      </c>
      <c r="AS1528" t="s">
        <v>2365</v>
      </c>
      <c r="AT1528" t="s">
        <v>2365</v>
      </c>
      <c r="AU1528" t="s">
        <v>2365</v>
      </c>
      <c r="AV1528" t="s">
        <v>2365</v>
      </c>
      <c r="AW1528" t="s">
        <v>2365</v>
      </c>
      <c r="AX1528" t="s">
        <v>2365</v>
      </c>
      <c r="AY1528" t="s">
        <v>2365</v>
      </c>
      <c r="AZ1528" t="s">
        <v>2365</v>
      </c>
      <c r="BA1528" t="s">
        <v>2365</v>
      </c>
      <c r="BB1528" t="s">
        <v>2365</v>
      </c>
      <c r="BC1528" t="s">
        <v>2365</v>
      </c>
      <c r="BD1528" t="s">
        <v>2366</v>
      </c>
      <c r="BE1528" t="s">
        <v>2365</v>
      </c>
      <c r="BF1528" t="s">
        <v>2365</v>
      </c>
      <c r="BG1528" t="s">
        <v>2365</v>
      </c>
      <c r="BH1528" t="s">
        <v>2365</v>
      </c>
      <c r="BI1528" t="s">
        <v>2366</v>
      </c>
      <c r="BJ1528" t="s">
        <v>2365</v>
      </c>
      <c r="BK1528" t="s">
        <v>2365</v>
      </c>
      <c r="BL1528" t="s">
        <v>2365</v>
      </c>
      <c r="BM1528" t="s">
        <v>2365</v>
      </c>
      <c r="BO1528">
        <v>10</v>
      </c>
      <c r="BP1528">
        <v>101</v>
      </c>
      <c r="BQ1528" t="s">
        <v>4609</v>
      </c>
      <c r="BR1528" t="s">
        <v>1521</v>
      </c>
      <c r="BU1528">
        <v>0</v>
      </c>
      <c r="BV1528">
        <v>0</v>
      </c>
      <c r="BW1528">
        <v>0</v>
      </c>
      <c r="BX1528">
        <v>0</v>
      </c>
      <c r="BY1528">
        <v>0</v>
      </c>
      <c r="BZ1528">
        <v>0</v>
      </c>
      <c r="CA1528">
        <v>0</v>
      </c>
      <c r="CB1528">
        <v>0</v>
      </c>
      <c r="CC1528">
        <v>0</v>
      </c>
      <c r="CD1528">
        <v>0</v>
      </c>
      <c r="CE1528">
        <v>0</v>
      </c>
      <c r="CF1528">
        <v>0</v>
      </c>
      <c r="CG1528">
        <v>0</v>
      </c>
      <c r="CH1528">
        <v>0</v>
      </c>
      <c r="CI1528">
        <v>0</v>
      </c>
      <c r="CJ1528">
        <v>0</v>
      </c>
      <c r="CK1528">
        <v>0</v>
      </c>
      <c r="CL1528">
        <v>0</v>
      </c>
      <c r="CM1528">
        <v>0</v>
      </c>
      <c r="CR1528" t="s">
        <v>2319</v>
      </c>
      <c r="CS1528" s="1369" t="str">
        <f>INDEX([8]Sheet1!$H:$H,MATCH(CR:CR,[8]Sheet1!$AU:$AU,0))</f>
        <v>Mayor and Council</v>
      </c>
    </row>
    <row r="1529" spans="1:97" x14ac:dyDescent="0.2">
      <c r="A1529" t="s">
        <v>4612</v>
      </c>
      <c r="B1529">
        <v>1618</v>
      </c>
      <c r="C1529" t="s">
        <v>4612</v>
      </c>
      <c r="D1529">
        <v>54486</v>
      </c>
      <c r="E1529" t="s">
        <v>4613</v>
      </c>
      <c r="F1529">
        <v>2700</v>
      </c>
      <c r="G1529" t="s">
        <v>656</v>
      </c>
      <c r="H1529" t="s">
        <v>2664</v>
      </c>
      <c r="I1529" t="s">
        <v>1801</v>
      </c>
      <c r="J1529">
        <v>2702</v>
      </c>
      <c r="K1529" t="s">
        <v>1801</v>
      </c>
      <c r="L1529">
        <v>2300</v>
      </c>
      <c r="M1529" t="s">
        <v>620</v>
      </c>
      <c r="N1529">
        <v>2305</v>
      </c>
      <c r="O1529" t="s">
        <v>1521</v>
      </c>
      <c r="P1529" t="s">
        <v>2366</v>
      </c>
      <c r="Q1529" t="s">
        <v>2364</v>
      </c>
      <c r="R1529" t="s">
        <v>2364</v>
      </c>
      <c r="S1529" t="s">
        <v>1881</v>
      </c>
      <c r="T1529" t="s">
        <v>1812</v>
      </c>
      <c r="U1529" t="s">
        <v>2365</v>
      </c>
      <c r="V1529" t="s">
        <v>2365</v>
      </c>
      <c r="W1529" t="s">
        <v>2365</v>
      </c>
      <c r="X1529" t="s">
        <v>2365</v>
      </c>
      <c r="Y1529" t="s">
        <v>2365</v>
      </c>
      <c r="Z1529" t="s">
        <v>2365</v>
      </c>
      <c r="AA1529" t="s">
        <v>2365</v>
      </c>
      <c r="AB1529" t="s">
        <v>2365</v>
      </c>
      <c r="AC1529" s="813" t="s">
        <v>2365</v>
      </c>
      <c r="AD1529" s="813" t="s">
        <v>2365</v>
      </c>
      <c r="AE1529" s="813" t="s">
        <v>2365</v>
      </c>
      <c r="AF1529" t="s">
        <v>2365</v>
      </c>
      <c r="AG1529" t="s">
        <v>2365</v>
      </c>
      <c r="AH1529" t="s">
        <v>2365</v>
      </c>
      <c r="AI1529" t="s">
        <v>2365</v>
      </c>
      <c r="AJ1529" t="s">
        <v>2365</v>
      </c>
      <c r="AK1529" t="s">
        <v>2365</v>
      </c>
      <c r="AL1529" t="s">
        <v>2365</v>
      </c>
      <c r="AM1529" t="s">
        <v>2365</v>
      </c>
      <c r="AN1529" t="s">
        <v>2365</v>
      </c>
      <c r="AR1529" t="s">
        <v>2365</v>
      </c>
      <c r="AS1529" t="s">
        <v>2365</v>
      </c>
      <c r="AT1529" t="s">
        <v>2365</v>
      </c>
      <c r="AU1529" t="s">
        <v>2365</v>
      </c>
      <c r="AV1529" t="s">
        <v>2365</v>
      </c>
      <c r="AW1529" t="s">
        <v>2365</v>
      </c>
      <c r="AX1529" t="s">
        <v>2365</v>
      </c>
      <c r="AY1529" t="s">
        <v>2365</v>
      </c>
      <c r="AZ1529" t="s">
        <v>2365</v>
      </c>
      <c r="BA1529" t="s">
        <v>2365</v>
      </c>
      <c r="BB1529" t="s">
        <v>2365</v>
      </c>
      <c r="BC1529" t="s">
        <v>2365</v>
      </c>
      <c r="BD1529" t="s">
        <v>2366</v>
      </c>
      <c r="BE1529" t="s">
        <v>2365</v>
      </c>
      <c r="BF1529" t="s">
        <v>2365</v>
      </c>
      <c r="BG1529" t="s">
        <v>2365</v>
      </c>
      <c r="BH1529" t="s">
        <v>2365</v>
      </c>
      <c r="BI1529" t="s">
        <v>2366</v>
      </c>
      <c r="BJ1529" t="s">
        <v>2365</v>
      </c>
      <c r="BK1529" t="s">
        <v>2365</v>
      </c>
      <c r="BL1529" t="s">
        <v>2365</v>
      </c>
      <c r="BM1529" t="s">
        <v>2365</v>
      </c>
      <c r="BO1529">
        <v>10</v>
      </c>
      <c r="BP1529">
        <v>101</v>
      </c>
      <c r="BQ1529" t="s">
        <v>4609</v>
      </c>
      <c r="BR1529" t="s">
        <v>1521</v>
      </c>
      <c r="BU1529">
        <v>0</v>
      </c>
      <c r="BV1529">
        <v>0</v>
      </c>
      <c r="BW1529">
        <v>0</v>
      </c>
      <c r="BX1529">
        <v>0</v>
      </c>
      <c r="BY1529">
        <v>0</v>
      </c>
      <c r="BZ1529">
        <v>0</v>
      </c>
      <c r="CA1529">
        <v>0</v>
      </c>
      <c r="CB1529">
        <v>0</v>
      </c>
      <c r="CC1529">
        <v>0</v>
      </c>
      <c r="CD1529">
        <v>0</v>
      </c>
      <c r="CE1529">
        <v>0</v>
      </c>
      <c r="CF1529">
        <v>0</v>
      </c>
      <c r="CG1529">
        <v>0</v>
      </c>
      <c r="CH1529">
        <v>0</v>
      </c>
      <c r="CI1529">
        <v>0</v>
      </c>
      <c r="CJ1529">
        <v>0</v>
      </c>
      <c r="CK1529">
        <v>0</v>
      </c>
      <c r="CL1529">
        <v>0</v>
      </c>
      <c r="CM1529">
        <v>0</v>
      </c>
      <c r="CR1529" t="s">
        <v>2319</v>
      </c>
      <c r="CS1529" s="1369" t="str">
        <f>INDEX([8]Sheet1!$H:$H,MATCH(CR:CR,[8]Sheet1!$AU:$AU,0))</f>
        <v>Mayor and Council</v>
      </c>
    </row>
    <row r="1530" spans="1:97" x14ac:dyDescent="0.2">
      <c r="A1530" t="s">
        <v>4614</v>
      </c>
      <c r="B1530">
        <v>1619</v>
      </c>
      <c r="C1530" t="s">
        <v>4614</v>
      </c>
      <c r="D1530">
        <v>54487</v>
      </c>
      <c r="E1530" t="s">
        <v>2468</v>
      </c>
      <c r="F1530">
        <v>2600</v>
      </c>
      <c r="G1530" t="s">
        <v>655</v>
      </c>
      <c r="H1530">
        <v>2600</v>
      </c>
      <c r="I1530" t="s">
        <v>655</v>
      </c>
      <c r="J1530" t="s">
        <v>2365</v>
      </c>
      <c r="K1530" t="s">
        <v>2365</v>
      </c>
      <c r="L1530">
        <v>1100</v>
      </c>
      <c r="M1530" t="s">
        <v>616</v>
      </c>
      <c r="N1530">
        <v>1120</v>
      </c>
      <c r="O1530" t="s">
        <v>1485</v>
      </c>
      <c r="P1530" t="s">
        <v>2366</v>
      </c>
      <c r="Q1530" t="s">
        <v>2364</v>
      </c>
      <c r="R1530" t="s">
        <v>2364</v>
      </c>
      <c r="S1530" t="s">
        <v>1881</v>
      </c>
      <c r="T1530" t="s">
        <v>1812</v>
      </c>
      <c r="U1530" t="s">
        <v>2365</v>
      </c>
      <c r="V1530" t="s">
        <v>2365</v>
      </c>
      <c r="W1530" t="s">
        <v>2365</v>
      </c>
      <c r="X1530" t="s">
        <v>2365</v>
      </c>
      <c r="Y1530" t="s">
        <v>2365</v>
      </c>
      <c r="Z1530" t="s">
        <v>2365</v>
      </c>
      <c r="AA1530" t="s">
        <v>2365</v>
      </c>
      <c r="AB1530" t="s">
        <v>2365</v>
      </c>
      <c r="AC1530" s="813" t="s">
        <v>2365</v>
      </c>
      <c r="AD1530" s="813" t="s">
        <v>2365</v>
      </c>
      <c r="AE1530" s="813" t="s">
        <v>2365</v>
      </c>
      <c r="AF1530" t="s">
        <v>2365</v>
      </c>
      <c r="AG1530" t="s">
        <v>2365</v>
      </c>
      <c r="AH1530" t="s">
        <v>2365</v>
      </c>
      <c r="AI1530" t="s">
        <v>2365</v>
      </c>
      <c r="AJ1530" t="s">
        <v>2365</v>
      </c>
      <c r="AK1530" t="s">
        <v>2365</v>
      </c>
      <c r="AL1530" t="s">
        <v>2365</v>
      </c>
      <c r="AM1530" t="s">
        <v>2365</v>
      </c>
      <c r="AN1530" t="s">
        <v>2365</v>
      </c>
      <c r="AR1530" t="s">
        <v>2365</v>
      </c>
      <c r="AS1530" t="s">
        <v>2365</v>
      </c>
      <c r="AT1530" t="s">
        <v>2365</v>
      </c>
      <c r="AU1530" t="s">
        <v>2365</v>
      </c>
      <c r="AV1530" t="s">
        <v>2365</v>
      </c>
      <c r="AW1530" t="s">
        <v>2365</v>
      </c>
      <c r="AX1530" t="s">
        <v>2365</v>
      </c>
      <c r="AY1530" t="s">
        <v>2365</v>
      </c>
      <c r="AZ1530" t="s">
        <v>2365</v>
      </c>
      <c r="BA1530" t="s">
        <v>2365</v>
      </c>
      <c r="BB1530" t="s">
        <v>2365</v>
      </c>
      <c r="BC1530" t="s">
        <v>2365</v>
      </c>
      <c r="BD1530" t="s">
        <v>2366</v>
      </c>
      <c r="BE1530" t="s">
        <v>2365</v>
      </c>
      <c r="BF1530" t="s">
        <v>2365</v>
      </c>
      <c r="BG1530" t="s">
        <v>2365</v>
      </c>
      <c r="BH1530" t="s">
        <v>2365</v>
      </c>
      <c r="BI1530" t="s">
        <v>2366</v>
      </c>
      <c r="BJ1530" t="s">
        <v>2365</v>
      </c>
      <c r="BK1530" t="s">
        <v>2365</v>
      </c>
      <c r="BL1530" t="s">
        <v>2365</v>
      </c>
      <c r="BM1530" t="s">
        <v>2365</v>
      </c>
      <c r="BO1530">
        <v>3</v>
      </c>
      <c r="BP1530">
        <v>31</v>
      </c>
      <c r="BQ1530" t="s">
        <v>2716</v>
      </c>
      <c r="BR1530" t="s">
        <v>1485</v>
      </c>
      <c r="BU1530">
        <v>0</v>
      </c>
      <c r="BV1530">
        <v>0</v>
      </c>
      <c r="BW1530">
        <v>0</v>
      </c>
      <c r="BX1530">
        <v>0</v>
      </c>
      <c r="BY1530">
        <v>0</v>
      </c>
      <c r="BZ1530">
        <v>0</v>
      </c>
      <c r="CA1530">
        <v>0</v>
      </c>
      <c r="CB1530">
        <v>0</v>
      </c>
      <c r="CC1530">
        <v>0</v>
      </c>
      <c r="CD1530">
        <v>0</v>
      </c>
      <c r="CE1530">
        <v>0</v>
      </c>
      <c r="CF1530">
        <v>0</v>
      </c>
      <c r="CG1530">
        <v>0</v>
      </c>
      <c r="CH1530">
        <v>0</v>
      </c>
      <c r="CI1530">
        <v>0</v>
      </c>
      <c r="CJ1530">
        <v>0</v>
      </c>
      <c r="CK1530">
        <v>0</v>
      </c>
      <c r="CL1530">
        <v>0</v>
      </c>
      <c r="CM1530">
        <v>0</v>
      </c>
      <c r="CR1530" t="s">
        <v>2324</v>
      </c>
      <c r="CS1530" s="1369" t="str">
        <f>INDEX([8]Sheet1!$H:$H,MATCH(CR:CR,[8]Sheet1!$AU:$AU,0))</f>
        <v>Finance</v>
      </c>
    </row>
    <row r="1531" spans="1:97" x14ac:dyDescent="0.2">
      <c r="A1531" t="s">
        <v>4615</v>
      </c>
      <c r="B1531">
        <v>1620</v>
      </c>
      <c r="C1531" t="s">
        <v>4615</v>
      </c>
      <c r="D1531">
        <v>54490</v>
      </c>
      <c r="E1531" t="s">
        <v>2499</v>
      </c>
      <c r="F1531">
        <v>2900</v>
      </c>
      <c r="G1531" t="s">
        <v>569</v>
      </c>
      <c r="H1531" s="1373" t="s">
        <v>2366</v>
      </c>
      <c r="I1531" t="s">
        <v>2366</v>
      </c>
      <c r="J1531">
        <v>2904</v>
      </c>
      <c r="K1531" t="s">
        <v>1432</v>
      </c>
      <c r="L1531" s="1373">
        <v>2100</v>
      </c>
      <c r="M1531" t="s">
        <v>618</v>
      </c>
      <c r="N1531">
        <v>2110</v>
      </c>
      <c r="O1531" t="s">
        <v>1293</v>
      </c>
      <c r="P1531" t="s">
        <v>2366</v>
      </c>
      <c r="Q1531" t="s">
        <v>2364</v>
      </c>
      <c r="R1531" t="s">
        <v>2364</v>
      </c>
      <c r="S1531" t="s">
        <v>1881</v>
      </c>
      <c r="T1531" t="s">
        <v>1812</v>
      </c>
      <c r="U1531" t="s">
        <v>2365</v>
      </c>
      <c r="V1531" t="s">
        <v>2365</v>
      </c>
      <c r="W1531" t="s">
        <v>2365</v>
      </c>
      <c r="X1531" t="s">
        <v>2365</v>
      </c>
      <c r="Y1531" t="s">
        <v>2365</v>
      </c>
      <c r="Z1531" t="s">
        <v>2365</v>
      </c>
      <c r="AA1531" t="s">
        <v>2365</v>
      </c>
      <c r="AB1531" t="s">
        <v>2365</v>
      </c>
      <c r="AC1531" s="813" t="s">
        <v>2365</v>
      </c>
      <c r="AD1531" s="813" t="s">
        <v>2365</v>
      </c>
      <c r="AE1531" s="813" t="s">
        <v>2365</v>
      </c>
      <c r="AF1531" t="s">
        <v>2365</v>
      </c>
      <c r="AG1531" t="s">
        <v>2365</v>
      </c>
      <c r="AH1531" t="s">
        <v>2365</v>
      </c>
      <c r="AI1531" t="s">
        <v>2365</v>
      </c>
      <c r="AJ1531" t="s">
        <v>2365</v>
      </c>
      <c r="AK1531" s="1373" t="s">
        <v>2365</v>
      </c>
      <c r="AL1531" t="s">
        <v>2365</v>
      </c>
      <c r="AM1531" t="s">
        <v>2365</v>
      </c>
      <c r="AN1531" t="s">
        <v>2365</v>
      </c>
      <c r="AR1531" t="s">
        <v>2365</v>
      </c>
      <c r="AS1531" t="s">
        <v>2365</v>
      </c>
      <c r="AT1531" t="s">
        <v>2365</v>
      </c>
      <c r="AU1531" t="s">
        <v>2365</v>
      </c>
      <c r="AV1531" t="s">
        <v>2365</v>
      </c>
      <c r="AW1531" t="s">
        <v>2365</v>
      </c>
      <c r="AX1531" t="s">
        <v>2365</v>
      </c>
      <c r="AY1531" t="s">
        <v>2365</v>
      </c>
      <c r="AZ1531" t="s">
        <v>2365</v>
      </c>
      <c r="BA1531" t="s">
        <v>2365</v>
      </c>
      <c r="BB1531" t="s">
        <v>2365</v>
      </c>
      <c r="BC1531" t="s">
        <v>2365</v>
      </c>
      <c r="BD1531" t="s">
        <v>2366</v>
      </c>
      <c r="BE1531" t="s">
        <v>2365</v>
      </c>
      <c r="BF1531" t="s">
        <v>2365</v>
      </c>
      <c r="BG1531" t="s">
        <v>2365</v>
      </c>
      <c r="BH1531" t="s">
        <v>2365</v>
      </c>
      <c r="BI1531" t="s">
        <v>2366</v>
      </c>
      <c r="BJ1531" t="s">
        <v>2365</v>
      </c>
      <c r="BK1531" t="s">
        <v>2365</v>
      </c>
      <c r="BL1531" t="s">
        <v>2365</v>
      </c>
      <c r="BM1531" t="s">
        <v>2365</v>
      </c>
      <c r="BO1531">
        <v>5</v>
      </c>
      <c r="BP1531">
        <v>52</v>
      </c>
      <c r="BQ1531" t="s">
        <v>2438</v>
      </c>
      <c r="BR1531" t="s">
        <v>1293</v>
      </c>
      <c r="BU1531" s="1371">
        <v>30000</v>
      </c>
      <c r="BV1531" s="1371">
        <v>0</v>
      </c>
      <c r="BW1531" s="1371">
        <v>30000</v>
      </c>
      <c r="BX1531" s="1371">
        <v>-30000</v>
      </c>
      <c r="BY1531" s="1371">
        <v>0</v>
      </c>
      <c r="BZ1531">
        <v>31800</v>
      </c>
      <c r="CA1531">
        <v>33708</v>
      </c>
      <c r="CB1531">
        <v>0</v>
      </c>
      <c r="CC1531">
        <v>0</v>
      </c>
      <c r="CD1531">
        <v>4000</v>
      </c>
      <c r="CE1531">
        <v>0</v>
      </c>
      <c r="CF1531">
        <v>0</v>
      </c>
      <c r="CG1531">
        <v>-2000</v>
      </c>
      <c r="CH1531">
        <v>0</v>
      </c>
      <c r="CI1531">
        <v>0</v>
      </c>
      <c r="CJ1531">
        <v>0</v>
      </c>
      <c r="CK1531">
        <v>0</v>
      </c>
      <c r="CL1531">
        <v>0</v>
      </c>
      <c r="CM1531">
        <v>0</v>
      </c>
      <c r="CR1531" t="s">
        <v>2324</v>
      </c>
      <c r="CS1531" s="1369" t="str">
        <f>INDEX([8]Sheet1!$H:$H,MATCH(CR:CR,[8]Sheet1!$AU:$AU,0))</f>
        <v>Finance</v>
      </c>
    </row>
    <row r="1532" spans="1:97" x14ac:dyDescent="0.2">
      <c r="A1532" t="s">
        <v>4616</v>
      </c>
      <c r="B1532">
        <v>1622</v>
      </c>
      <c r="C1532" t="s">
        <v>4616</v>
      </c>
      <c r="D1532">
        <v>54492</v>
      </c>
      <c r="E1532" t="s">
        <v>2455</v>
      </c>
      <c r="F1532">
        <v>2900</v>
      </c>
      <c r="G1532" t="s">
        <v>569</v>
      </c>
      <c r="H1532" s="1373" t="s">
        <v>2366</v>
      </c>
      <c r="I1532" t="s">
        <v>2366</v>
      </c>
      <c r="J1532">
        <v>2904</v>
      </c>
      <c r="K1532" t="s">
        <v>1432</v>
      </c>
      <c r="L1532" s="1373">
        <v>1200</v>
      </c>
      <c r="M1532" t="s">
        <v>1480</v>
      </c>
      <c r="N1532">
        <v>1201</v>
      </c>
      <c r="O1532" t="s">
        <v>1486</v>
      </c>
      <c r="P1532" t="s">
        <v>2366</v>
      </c>
      <c r="Q1532" t="s">
        <v>2364</v>
      </c>
      <c r="R1532" t="s">
        <v>2364</v>
      </c>
      <c r="S1532" t="s">
        <v>1881</v>
      </c>
      <c r="T1532" t="s">
        <v>1812</v>
      </c>
      <c r="U1532" t="s">
        <v>2365</v>
      </c>
      <c r="V1532" t="s">
        <v>2365</v>
      </c>
      <c r="W1532" t="s">
        <v>2365</v>
      </c>
      <c r="X1532" t="s">
        <v>2365</v>
      </c>
      <c r="Y1532" t="s">
        <v>2365</v>
      </c>
      <c r="Z1532" t="s">
        <v>2365</v>
      </c>
      <c r="AA1532" t="s">
        <v>2365</v>
      </c>
      <c r="AB1532" t="s">
        <v>2365</v>
      </c>
      <c r="AC1532" s="813" t="s">
        <v>2365</v>
      </c>
      <c r="AD1532" s="813" t="s">
        <v>2365</v>
      </c>
      <c r="AE1532" s="813" t="s">
        <v>2365</v>
      </c>
      <c r="AF1532" t="s">
        <v>2365</v>
      </c>
      <c r="AG1532" t="s">
        <v>2365</v>
      </c>
      <c r="AH1532" t="s">
        <v>2365</v>
      </c>
      <c r="AI1532" t="s">
        <v>2365</v>
      </c>
      <c r="AJ1532" t="s">
        <v>2365</v>
      </c>
      <c r="AK1532" t="s">
        <v>2365</v>
      </c>
      <c r="AL1532" t="s">
        <v>2365</v>
      </c>
      <c r="AM1532" t="s">
        <v>2365</v>
      </c>
      <c r="AN1532" t="s">
        <v>2365</v>
      </c>
      <c r="AR1532" t="s">
        <v>2365</v>
      </c>
      <c r="AS1532" t="s">
        <v>2365</v>
      </c>
      <c r="AT1532" t="s">
        <v>2365</v>
      </c>
      <c r="AU1532" t="s">
        <v>2365</v>
      </c>
      <c r="AV1532" t="s">
        <v>2365</v>
      </c>
      <c r="AW1532" t="s">
        <v>2365</v>
      </c>
      <c r="AX1532" t="s">
        <v>2365</v>
      </c>
      <c r="AY1532" t="s">
        <v>2365</v>
      </c>
      <c r="AZ1532" t="s">
        <v>2365</v>
      </c>
      <c r="BA1532" t="s">
        <v>2365</v>
      </c>
      <c r="BB1532" t="s">
        <v>2365</v>
      </c>
      <c r="BC1532" t="s">
        <v>2365</v>
      </c>
      <c r="BD1532" t="s">
        <v>2366</v>
      </c>
      <c r="BE1532" t="s">
        <v>2365</v>
      </c>
      <c r="BF1532" t="s">
        <v>2365</v>
      </c>
      <c r="BG1532" t="s">
        <v>2365</v>
      </c>
      <c r="BH1532" t="s">
        <v>2365</v>
      </c>
      <c r="BI1532" t="s">
        <v>2366</v>
      </c>
      <c r="BJ1532" t="s">
        <v>2365</v>
      </c>
      <c r="BK1532" t="s">
        <v>2365</v>
      </c>
      <c r="BL1532" t="s">
        <v>2365</v>
      </c>
      <c r="BM1532" t="s">
        <v>2365</v>
      </c>
      <c r="BO1532">
        <v>1</v>
      </c>
      <c r="BP1532">
        <v>14</v>
      </c>
      <c r="BQ1532" t="s">
        <v>2369</v>
      </c>
      <c r="BR1532" t="s">
        <v>1486</v>
      </c>
      <c r="BU1532" s="1371">
        <v>0</v>
      </c>
      <c r="BV1532" s="1371">
        <v>0</v>
      </c>
      <c r="BW1532" s="1371">
        <v>0</v>
      </c>
      <c r="BX1532" s="1371">
        <v>0</v>
      </c>
      <c r="BY1532" s="1371">
        <v>0</v>
      </c>
      <c r="BZ1532">
        <v>0</v>
      </c>
      <c r="CA1532">
        <v>0</v>
      </c>
      <c r="CB1532">
        <v>0</v>
      </c>
      <c r="CC1532">
        <v>0</v>
      </c>
      <c r="CD1532">
        <v>0</v>
      </c>
      <c r="CE1532">
        <v>0</v>
      </c>
      <c r="CF1532">
        <v>0</v>
      </c>
      <c r="CG1532">
        <v>0</v>
      </c>
      <c r="CH1532">
        <v>0</v>
      </c>
      <c r="CI1532">
        <v>0</v>
      </c>
      <c r="CJ1532">
        <v>0</v>
      </c>
      <c r="CK1532">
        <v>0</v>
      </c>
      <c r="CL1532">
        <v>0</v>
      </c>
      <c r="CM1532">
        <v>0</v>
      </c>
      <c r="CR1532" t="s">
        <v>2324</v>
      </c>
      <c r="CS1532" s="1369" t="str">
        <f>INDEX([8]Sheet1!$H:$H,MATCH(CR:CR,[8]Sheet1!$AU:$AU,0))</f>
        <v>Finance</v>
      </c>
    </row>
    <row r="1533" spans="1:97" x14ac:dyDescent="0.2">
      <c r="A1533" t="s">
        <v>4617</v>
      </c>
      <c r="B1533">
        <v>1623</v>
      </c>
      <c r="C1533" t="s">
        <v>4617</v>
      </c>
      <c r="D1533">
        <v>54493</v>
      </c>
      <c r="E1533" t="s">
        <v>2432</v>
      </c>
      <c r="F1533">
        <v>2600</v>
      </c>
      <c r="G1533" t="s">
        <v>655</v>
      </c>
      <c r="H1533" s="1373">
        <v>2600</v>
      </c>
      <c r="I1533" t="s">
        <v>655</v>
      </c>
      <c r="J1533" t="s">
        <v>2365</v>
      </c>
      <c r="K1533" t="s">
        <v>2365</v>
      </c>
      <c r="L1533" s="1373">
        <v>1200</v>
      </c>
      <c r="M1533" t="s">
        <v>1480</v>
      </c>
      <c r="N1533">
        <v>1201</v>
      </c>
      <c r="O1533" t="s">
        <v>1486</v>
      </c>
      <c r="P1533" t="s">
        <v>2366</v>
      </c>
      <c r="Q1533" t="s">
        <v>2364</v>
      </c>
      <c r="R1533" t="s">
        <v>2364</v>
      </c>
      <c r="S1533" t="s">
        <v>1881</v>
      </c>
      <c r="T1533" t="s">
        <v>1812</v>
      </c>
      <c r="U1533" t="s">
        <v>2365</v>
      </c>
      <c r="V1533" t="s">
        <v>2365</v>
      </c>
      <c r="W1533" t="s">
        <v>2365</v>
      </c>
      <c r="X1533" t="s">
        <v>2365</v>
      </c>
      <c r="Y1533" t="s">
        <v>2365</v>
      </c>
      <c r="Z1533" t="s">
        <v>2365</v>
      </c>
      <c r="AA1533" t="s">
        <v>2365</v>
      </c>
      <c r="AB1533" t="s">
        <v>2365</v>
      </c>
      <c r="AC1533" s="813" t="s">
        <v>2365</v>
      </c>
      <c r="AD1533" s="813" t="s">
        <v>2365</v>
      </c>
      <c r="AE1533" s="813" t="s">
        <v>2365</v>
      </c>
      <c r="AF1533" t="s">
        <v>2365</v>
      </c>
      <c r="AG1533" t="s">
        <v>2365</v>
      </c>
      <c r="AH1533" t="s">
        <v>2365</v>
      </c>
      <c r="AI1533" t="s">
        <v>2365</v>
      </c>
      <c r="AJ1533" t="s">
        <v>2365</v>
      </c>
      <c r="AK1533" t="s">
        <v>2365</v>
      </c>
      <c r="AL1533" t="s">
        <v>2365</v>
      </c>
      <c r="AM1533" t="s">
        <v>2365</v>
      </c>
      <c r="AN1533" t="s">
        <v>2365</v>
      </c>
      <c r="AR1533" t="s">
        <v>2365</v>
      </c>
      <c r="AS1533" t="s">
        <v>2365</v>
      </c>
      <c r="AT1533" t="s">
        <v>2365</v>
      </c>
      <c r="AU1533" t="s">
        <v>2365</v>
      </c>
      <c r="AV1533" t="s">
        <v>2365</v>
      </c>
      <c r="AW1533" t="s">
        <v>2365</v>
      </c>
      <c r="AX1533" t="s">
        <v>2365</v>
      </c>
      <c r="AY1533" t="s">
        <v>2365</v>
      </c>
      <c r="AZ1533" t="s">
        <v>2365</v>
      </c>
      <c r="BA1533" t="s">
        <v>2365</v>
      </c>
      <c r="BB1533" t="s">
        <v>2365</v>
      </c>
      <c r="BC1533" t="s">
        <v>2365</v>
      </c>
      <c r="BD1533" t="s">
        <v>2366</v>
      </c>
      <c r="BE1533" t="s">
        <v>2365</v>
      </c>
      <c r="BF1533" t="s">
        <v>2365</v>
      </c>
      <c r="BG1533" t="s">
        <v>2365</v>
      </c>
      <c r="BH1533" t="s">
        <v>2365</v>
      </c>
      <c r="BI1533" t="s">
        <v>2366</v>
      </c>
      <c r="BJ1533" t="s">
        <v>2365</v>
      </c>
      <c r="BK1533" t="s">
        <v>2365</v>
      </c>
      <c r="BL1533" t="s">
        <v>2365</v>
      </c>
      <c r="BM1533" t="s">
        <v>2365</v>
      </c>
      <c r="BO1533">
        <v>1</v>
      </c>
      <c r="BP1533">
        <v>14</v>
      </c>
      <c r="BQ1533" t="s">
        <v>2369</v>
      </c>
      <c r="BR1533" t="s">
        <v>1486</v>
      </c>
      <c r="BU1533" s="1371">
        <v>0</v>
      </c>
      <c r="BV1533" s="1371">
        <v>0</v>
      </c>
      <c r="BW1533" s="1371">
        <v>0</v>
      </c>
      <c r="BX1533" s="1371">
        <v>0</v>
      </c>
      <c r="BY1533" s="1371">
        <v>0</v>
      </c>
      <c r="BZ1533">
        <v>0</v>
      </c>
      <c r="CA1533">
        <v>0</v>
      </c>
      <c r="CB1533">
        <v>0</v>
      </c>
      <c r="CC1533">
        <v>0</v>
      </c>
      <c r="CD1533">
        <v>0</v>
      </c>
      <c r="CE1533">
        <v>0</v>
      </c>
      <c r="CF1533">
        <v>0</v>
      </c>
      <c r="CG1533">
        <v>0</v>
      </c>
      <c r="CH1533">
        <v>0</v>
      </c>
      <c r="CI1533">
        <v>0</v>
      </c>
      <c r="CJ1533">
        <v>0</v>
      </c>
      <c r="CK1533">
        <v>0</v>
      </c>
      <c r="CL1533">
        <v>0</v>
      </c>
      <c r="CM1533">
        <v>0</v>
      </c>
      <c r="CR1533" t="s">
        <v>2324</v>
      </c>
      <c r="CS1533" s="1369" t="str">
        <f>INDEX([8]Sheet1!$H:$H,MATCH(CR:CR,[8]Sheet1!$AU:$AU,0))</f>
        <v>Finance</v>
      </c>
    </row>
    <row r="1534" spans="1:97" x14ac:dyDescent="0.2">
      <c r="A1534" t="s">
        <v>4618</v>
      </c>
      <c r="B1534">
        <v>1624</v>
      </c>
      <c r="C1534" t="s">
        <v>4618</v>
      </c>
      <c r="D1534">
        <v>54494</v>
      </c>
      <c r="E1534" t="s">
        <v>4619</v>
      </c>
      <c r="F1534">
        <v>2900</v>
      </c>
      <c r="G1534" t="s">
        <v>569</v>
      </c>
      <c r="H1534" s="1373" t="s">
        <v>2366</v>
      </c>
      <c r="I1534" t="s">
        <v>2366</v>
      </c>
      <c r="J1534">
        <v>2904</v>
      </c>
      <c r="K1534" t="s">
        <v>1432</v>
      </c>
      <c r="L1534" s="1373">
        <v>1200</v>
      </c>
      <c r="M1534" t="s">
        <v>1480</v>
      </c>
      <c r="N1534">
        <v>1201</v>
      </c>
      <c r="O1534" t="s">
        <v>1486</v>
      </c>
      <c r="P1534" t="s">
        <v>2366</v>
      </c>
      <c r="Q1534" t="s">
        <v>2364</v>
      </c>
      <c r="R1534" t="s">
        <v>2364</v>
      </c>
      <c r="S1534" t="s">
        <v>1881</v>
      </c>
      <c r="T1534" t="s">
        <v>1812</v>
      </c>
      <c r="U1534" t="s">
        <v>2365</v>
      </c>
      <c r="V1534" t="s">
        <v>2365</v>
      </c>
      <c r="W1534" t="s">
        <v>2365</v>
      </c>
      <c r="X1534" t="s">
        <v>2365</v>
      </c>
      <c r="Y1534" t="s">
        <v>2365</v>
      </c>
      <c r="Z1534" t="s">
        <v>2365</v>
      </c>
      <c r="AA1534" t="s">
        <v>2365</v>
      </c>
      <c r="AB1534" t="s">
        <v>2365</v>
      </c>
      <c r="AC1534" s="813" t="s">
        <v>2365</v>
      </c>
      <c r="AD1534" s="813" t="s">
        <v>2365</v>
      </c>
      <c r="AE1534" s="813" t="s">
        <v>2365</v>
      </c>
      <c r="AF1534" t="s">
        <v>2365</v>
      </c>
      <c r="AG1534" t="s">
        <v>2365</v>
      </c>
      <c r="AH1534" t="s">
        <v>2365</v>
      </c>
      <c r="AI1534" t="s">
        <v>2365</v>
      </c>
      <c r="AJ1534" t="s">
        <v>2365</v>
      </c>
      <c r="AK1534" t="s">
        <v>2365</v>
      </c>
      <c r="AL1534" t="s">
        <v>2365</v>
      </c>
      <c r="AM1534" t="s">
        <v>2365</v>
      </c>
      <c r="AN1534" t="s">
        <v>2365</v>
      </c>
      <c r="AR1534" t="s">
        <v>2365</v>
      </c>
      <c r="AS1534" t="s">
        <v>2365</v>
      </c>
      <c r="AT1534" t="s">
        <v>2365</v>
      </c>
      <c r="AU1534" t="s">
        <v>2365</v>
      </c>
      <c r="AV1534" t="s">
        <v>2365</v>
      </c>
      <c r="AW1534" t="s">
        <v>2365</v>
      </c>
      <c r="AX1534" t="s">
        <v>2365</v>
      </c>
      <c r="AY1534" t="s">
        <v>2365</v>
      </c>
      <c r="AZ1534" t="s">
        <v>2365</v>
      </c>
      <c r="BA1534" t="s">
        <v>2365</v>
      </c>
      <c r="BB1534" t="s">
        <v>2365</v>
      </c>
      <c r="BC1534" t="s">
        <v>2365</v>
      </c>
      <c r="BD1534" t="s">
        <v>2366</v>
      </c>
      <c r="BE1534" t="s">
        <v>2365</v>
      </c>
      <c r="BF1534" t="s">
        <v>2365</v>
      </c>
      <c r="BG1534" t="s">
        <v>2365</v>
      </c>
      <c r="BH1534" t="s">
        <v>2365</v>
      </c>
      <c r="BI1534" t="s">
        <v>2366</v>
      </c>
      <c r="BJ1534" t="s">
        <v>2365</v>
      </c>
      <c r="BK1534" t="s">
        <v>2365</v>
      </c>
      <c r="BL1534" t="s">
        <v>2365</v>
      </c>
      <c r="BM1534" t="s">
        <v>2365</v>
      </c>
      <c r="BO1534">
        <v>1</v>
      </c>
      <c r="BP1534">
        <v>14</v>
      </c>
      <c r="BQ1534" t="s">
        <v>2369</v>
      </c>
      <c r="BR1534" t="s">
        <v>1486</v>
      </c>
      <c r="BU1534" s="1371">
        <v>3000</v>
      </c>
      <c r="BV1534" s="1371">
        <v>0</v>
      </c>
      <c r="BW1534" s="1371">
        <v>3000</v>
      </c>
      <c r="BX1534" s="1371">
        <v>0</v>
      </c>
      <c r="BY1534" s="1371">
        <v>3000</v>
      </c>
      <c r="BZ1534">
        <v>3180</v>
      </c>
      <c r="CA1534">
        <v>3371</v>
      </c>
      <c r="CB1534">
        <v>0</v>
      </c>
      <c r="CC1534">
        <v>0</v>
      </c>
      <c r="CD1534">
        <v>0</v>
      </c>
      <c r="CE1534">
        <v>0</v>
      </c>
      <c r="CF1534">
        <v>0</v>
      </c>
      <c r="CG1534">
        <v>0</v>
      </c>
      <c r="CH1534">
        <v>0</v>
      </c>
      <c r="CI1534">
        <v>0</v>
      </c>
      <c r="CJ1534">
        <v>0</v>
      </c>
      <c r="CK1534">
        <v>0</v>
      </c>
      <c r="CL1534">
        <v>0</v>
      </c>
      <c r="CM1534">
        <v>0</v>
      </c>
      <c r="CR1534" t="s">
        <v>2324</v>
      </c>
      <c r="CS1534" s="1369" t="str">
        <f>INDEX([8]Sheet1!$H:$H,MATCH(CR:CR,[8]Sheet1!$AU:$AU,0))</f>
        <v>Finance</v>
      </c>
    </row>
    <row r="1535" spans="1:97" x14ac:dyDescent="0.2">
      <c r="A1535" t="s">
        <v>4620</v>
      </c>
      <c r="B1535">
        <v>1625</v>
      </c>
      <c r="C1535" t="s">
        <v>4620</v>
      </c>
      <c r="D1535">
        <v>54495</v>
      </c>
      <c r="E1535" t="s">
        <v>4621</v>
      </c>
      <c r="F1535">
        <v>2700</v>
      </c>
      <c r="G1535" t="s">
        <v>656</v>
      </c>
      <c r="H1535" s="1373" t="s">
        <v>2478</v>
      </c>
      <c r="I1535" t="s">
        <v>1802</v>
      </c>
      <c r="J1535">
        <v>2703</v>
      </c>
      <c r="K1535" t="s">
        <v>1802</v>
      </c>
      <c r="L1535" s="1373">
        <v>1200</v>
      </c>
      <c r="M1535" t="s">
        <v>1480</v>
      </c>
      <c r="N1535">
        <v>1201</v>
      </c>
      <c r="O1535" t="s">
        <v>1486</v>
      </c>
      <c r="P1535" t="s">
        <v>2366</v>
      </c>
      <c r="Q1535" t="s">
        <v>2364</v>
      </c>
      <c r="R1535" t="s">
        <v>2364</v>
      </c>
      <c r="S1535" t="s">
        <v>1881</v>
      </c>
      <c r="T1535" t="s">
        <v>1812</v>
      </c>
      <c r="U1535" t="s">
        <v>2365</v>
      </c>
      <c r="V1535" t="s">
        <v>2365</v>
      </c>
      <c r="W1535" t="s">
        <v>2365</v>
      </c>
      <c r="X1535" t="s">
        <v>2365</v>
      </c>
      <c r="Y1535" t="s">
        <v>2365</v>
      </c>
      <c r="Z1535" t="s">
        <v>2365</v>
      </c>
      <c r="AA1535" t="s">
        <v>2365</v>
      </c>
      <c r="AB1535" t="s">
        <v>2365</v>
      </c>
      <c r="AC1535" s="813" t="s">
        <v>2365</v>
      </c>
      <c r="AD1535" s="813" t="s">
        <v>2365</v>
      </c>
      <c r="AE1535" s="813" t="s">
        <v>2365</v>
      </c>
      <c r="AF1535" t="s">
        <v>2365</v>
      </c>
      <c r="AG1535" t="s">
        <v>2365</v>
      </c>
      <c r="AH1535" t="s">
        <v>2365</v>
      </c>
      <c r="AI1535" t="s">
        <v>2365</v>
      </c>
      <c r="AJ1535" t="s">
        <v>2365</v>
      </c>
      <c r="AK1535" t="s">
        <v>2365</v>
      </c>
      <c r="AL1535" t="s">
        <v>2365</v>
      </c>
      <c r="AM1535" t="s">
        <v>2365</v>
      </c>
      <c r="AN1535" t="s">
        <v>2365</v>
      </c>
      <c r="AR1535" t="s">
        <v>2365</v>
      </c>
      <c r="AS1535" t="s">
        <v>2365</v>
      </c>
      <c r="AT1535" t="s">
        <v>2365</v>
      </c>
      <c r="AU1535" t="s">
        <v>2365</v>
      </c>
      <c r="AV1535" t="s">
        <v>2365</v>
      </c>
      <c r="AW1535" t="s">
        <v>2365</v>
      </c>
      <c r="AX1535" t="s">
        <v>2365</v>
      </c>
      <c r="AY1535" t="s">
        <v>2365</v>
      </c>
      <c r="AZ1535" t="s">
        <v>2365</v>
      </c>
      <c r="BA1535" t="s">
        <v>2365</v>
      </c>
      <c r="BB1535" t="s">
        <v>2365</v>
      </c>
      <c r="BC1535" t="s">
        <v>2365</v>
      </c>
      <c r="BD1535" t="s">
        <v>2366</v>
      </c>
      <c r="BE1535" t="s">
        <v>2365</v>
      </c>
      <c r="BF1535" t="s">
        <v>2365</v>
      </c>
      <c r="BG1535" t="s">
        <v>2365</v>
      </c>
      <c r="BH1535" t="s">
        <v>2365</v>
      </c>
      <c r="BI1535" t="s">
        <v>2366</v>
      </c>
      <c r="BJ1535" t="s">
        <v>2365</v>
      </c>
      <c r="BK1535" t="s">
        <v>2365</v>
      </c>
      <c r="BL1535" t="s">
        <v>2365</v>
      </c>
      <c r="BM1535" t="s">
        <v>2365</v>
      </c>
      <c r="BO1535">
        <v>1</v>
      </c>
      <c r="BP1535">
        <v>14</v>
      </c>
      <c r="BQ1535" t="s">
        <v>2369</v>
      </c>
      <c r="BR1535" t="s">
        <v>1486</v>
      </c>
      <c r="BU1535" s="1371">
        <v>20000</v>
      </c>
      <c r="BV1535" s="1371">
        <v>0</v>
      </c>
      <c r="BW1535" s="1371">
        <v>20000</v>
      </c>
      <c r="BX1535" s="1371">
        <v>220000</v>
      </c>
      <c r="BY1535" s="1371">
        <v>240000</v>
      </c>
      <c r="BZ1535">
        <v>21200</v>
      </c>
      <c r="CA1535">
        <v>22472</v>
      </c>
      <c r="CB1535">
        <v>6524.91</v>
      </c>
      <c r="CC1535">
        <v>0</v>
      </c>
      <c r="CD1535">
        <v>0</v>
      </c>
      <c r="CE1535">
        <v>0</v>
      </c>
      <c r="CF1535">
        <v>0</v>
      </c>
      <c r="CG1535">
        <v>0</v>
      </c>
      <c r="CH1535">
        <v>18700</v>
      </c>
      <c r="CI1535">
        <v>18700</v>
      </c>
      <c r="CJ1535">
        <v>0</v>
      </c>
      <c r="CK1535">
        <v>0</v>
      </c>
      <c r="CL1535">
        <v>0</v>
      </c>
      <c r="CM1535">
        <v>0</v>
      </c>
      <c r="CR1535" t="s">
        <v>2324</v>
      </c>
      <c r="CS1535" s="1369" t="str">
        <f>INDEX([8]Sheet1!$H:$H,MATCH(CR:CR,[8]Sheet1!$AU:$AU,0))</f>
        <v>Finance</v>
      </c>
    </row>
    <row r="1536" spans="1:97" x14ac:dyDescent="0.2">
      <c r="A1536" t="s">
        <v>4622</v>
      </c>
      <c r="B1536">
        <v>1626</v>
      </c>
      <c r="C1536" t="s">
        <v>4622</v>
      </c>
      <c r="D1536">
        <v>54496</v>
      </c>
      <c r="E1536" t="s">
        <v>4623</v>
      </c>
      <c r="F1536">
        <v>2900</v>
      </c>
      <c r="G1536" t="s">
        <v>569</v>
      </c>
      <c r="H1536" t="s">
        <v>2366</v>
      </c>
      <c r="I1536" t="s">
        <v>2366</v>
      </c>
      <c r="J1536">
        <v>2904</v>
      </c>
      <c r="K1536" t="s">
        <v>1432</v>
      </c>
      <c r="L1536">
        <v>1200</v>
      </c>
      <c r="M1536" t="s">
        <v>1480</v>
      </c>
      <c r="N1536">
        <v>1201</v>
      </c>
      <c r="O1536" t="s">
        <v>1486</v>
      </c>
      <c r="P1536" t="s">
        <v>2366</v>
      </c>
      <c r="Q1536" t="s">
        <v>2364</v>
      </c>
      <c r="R1536" t="s">
        <v>2364</v>
      </c>
      <c r="S1536" t="s">
        <v>1881</v>
      </c>
      <c r="T1536" t="s">
        <v>1812</v>
      </c>
      <c r="U1536" t="s">
        <v>2365</v>
      </c>
      <c r="V1536" t="s">
        <v>2365</v>
      </c>
      <c r="W1536" t="s">
        <v>2365</v>
      </c>
      <c r="X1536" t="s">
        <v>2365</v>
      </c>
      <c r="Y1536" t="s">
        <v>2365</v>
      </c>
      <c r="Z1536" t="s">
        <v>2365</v>
      </c>
      <c r="AA1536" t="s">
        <v>2365</v>
      </c>
      <c r="AB1536" t="s">
        <v>2365</v>
      </c>
      <c r="AC1536" s="813" t="s">
        <v>2365</v>
      </c>
      <c r="AD1536" s="813" t="s">
        <v>2365</v>
      </c>
      <c r="AE1536" s="813" t="s">
        <v>2365</v>
      </c>
      <c r="AF1536" t="s">
        <v>2365</v>
      </c>
      <c r="AG1536" t="s">
        <v>2365</v>
      </c>
      <c r="AH1536" t="s">
        <v>2365</v>
      </c>
      <c r="AI1536" t="s">
        <v>2365</v>
      </c>
      <c r="AJ1536" t="s">
        <v>2365</v>
      </c>
      <c r="AK1536" t="s">
        <v>2365</v>
      </c>
      <c r="AL1536" t="s">
        <v>2365</v>
      </c>
      <c r="AM1536" t="s">
        <v>2365</v>
      </c>
      <c r="AN1536" t="s">
        <v>2365</v>
      </c>
      <c r="AR1536" t="s">
        <v>2365</v>
      </c>
      <c r="AS1536" t="s">
        <v>2365</v>
      </c>
      <c r="AT1536" t="s">
        <v>2365</v>
      </c>
      <c r="AU1536" t="s">
        <v>2365</v>
      </c>
      <c r="AV1536" t="s">
        <v>2365</v>
      </c>
      <c r="AW1536" t="s">
        <v>2365</v>
      </c>
      <c r="AX1536" t="s">
        <v>2365</v>
      </c>
      <c r="AY1536" t="s">
        <v>2365</v>
      </c>
      <c r="AZ1536" t="s">
        <v>2365</v>
      </c>
      <c r="BA1536" t="s">
        <v>2365</v>
      </c>
      <c r="BB1536" t="s">
        <v>2365</v>
      </c>
      <c r="BC1536" t="s">
        <v>2365</v>
      </c>
      <c r="BD1536" t="s">
        <v>2366</v>
      </c>
      <c r="BE1536" t="s">
        <v>2365</v>
      </c>
      <c r="BF1536" t="s">
        <v>2365</v>
      </c>
      <c r="BG1536" t="s">
        <v>2365</v>
      </c>
      <c r="BH1536" t="s">
        <v>2365</v>
      </c>
      <c r="BI1536" t="s">
        <v>2366</v>
      </c>
      <c r="BJ1536" t="s">
        <v>2365</v>
      </c>
      <c r="BK1536" t="s">
        <v>2365</v>
      </c>
      <c r="BL1536" t="s">
        <v>2365</v>
      </c>
      <c r="BM1536" t="s">
        <v>2365</v>
      </c>
      <c r="BO1536">
        <v>1</v>
      </c>
      <c r="BP1536">
        <v>14</v>
      </c>
      <c r="BQ1536" t="s">
        <v>2369</v>
      </c>
      <c r="BR1536" t="s">
        <v>1486</v>
      </c>
      <c r="BU1536">
        <v>180000</v>
      </c>
      <c r="BV1536">
        <v>0</v>
      </c>
      <c r="BW1536">
        <v>180000</v>
      </c>
      <c r="BX1536">
        <v>0</v>
      </c>
      <c r="BY1536">
        <v>180000</v>
      </c>
      <c r="BZ1536">
        <v>190800</v>
      </c>
      <c r="CA1536">
        <v>202248</v>
      </c>
      <c r="CB1536">
        <v>0</v>
      </c>
      <c r="CC1536">
        <v>180000</v>
      </c>
      <c r="CD1536">
        <v>0</v>
      </c>
      <c r="CE1536">
        <v>0</v>
      </c>
      <c r="CF1536">
        <v>0</v>
      </c>
      <c r="CG1536">
        <v>0</v>
      </c>
      <c r="CH1536">
        <v>0</v>
      </c>
      <c r="CI1536">
        <v>0</v>
      </c>
      <c r="CJ1536">
        <v>0</v>
      </c>
      <c r="CK1536">
        <v>0</v>
      </c>
      <c r="CL1536">
        <v>0</v>
      </c>
      <c r="CM1536">
        <v>0</v>
      </c>
      <c r="CR1536" t="s">
        <v>2324</v>
      </c>
      <c r="CS1536" s="1369" t="str">
        <f>INDEX([8]Sheet1!$H:$H,MATCH(CR:CR,[8]Sheet1!$AU:$AU,0))</f>
        <v>Finance</v>
      </c>
    </row>
    <row r="1537" spans="1:97" x14ac:dyDescent="0.2">
      <c r="A1537" t="s">
        <v>4624</v>
      </c>
      <c r="B1537">
        <v>1627</v>
      </c>
      <c r="C1537" t="s">
        <v>4624</v>
      </c>
      <c r="D1537">
        <v>54499</v>
      </c>
      <c r="E1537" t="s">
        <v>4625</v>
      </c>
      <c r="F1537">
        <v>2700</v>
      </c>
      <c r="G1537" t="s">
        <v>656</v>
      </c>
      <c r="H1537" t="s">
        <v>2428</v>
      </c>
      <c r="I1537" t="s">
        <v>1800</v>
      </c>
      <c r="J1537">
        <v>2701</v>
      </c>
      <c r="K1537" t="s">
        <v>1800</v>
      </c>
      <c r="L1537">
        <v>1200</v>
      </c>
      <c r="M1537" t="s">
        <v>1480</v>
      </c>
      <c r="N1537">
        <v>1201</v>
      </c>
      <c r="O1537" t="s">
        <v>1486</v>
      </c>
      <c r="P1537" t="s">
        <v>2366</v>
      </c>
      <c r="Q1537" t="s">
        <v>2364</v>
      </c>
      <c r="R1537" t="s">
        <v>2364</v>
      </c>
      <c r="S1537" t="s">
        <v>1881</v>
      </c>
      <c r="T1537" t="s">
        <v>1812</v>
      </c>
      <c r="U1537" t="s">
        <v>2365</v>
      </c>
      <c r="V1537" t="s">
        <v>2365</v>
      </c>
      <c r="W1537" t="s">
        <v>2365</v>
      </c>
      <c r="X1537" t="s">
        <v>2365</v>
      </c>
      <c r="Y1537" t="s">
        <v>2365</v>
      </c>
      <c r="Z1537" t="s">
        <v>2365</v>
      </c>
      <c r="AA1537" t="s">
        <v>2365</v>
      </c>
      <c r="AB1537" t="s">
        <v>2365</v>
      </c>
      <c r="AC1537" s="813" t="s">
        <v>2365</v>
      </c>
      <c r="AD1537" s="813" t="s">
        <v>2365</v>
      </c>
      <c r="AE1537" s="813" t="s">
        <v>2365</v>
      </c>
      <c r="AF1537" t="s">
        <v>2365</v>
      </c>
      <c r="AG1537" t="s">
        <v>2365</v>
      </c>
      <c r="AH1537" t="s">
        <v>2365</v>
      </c>
      <c r="AI1537" t="s">
        <v>2365</v>
      </c>
      <c r="AJ1537" t="s">
        <v>2365</v>
      </c>
      <c r="AK1537" t="s">
        <v>2365</v>
      </c>
      <c r="AL1537" t="s">
        <v>2365</v>
      </c>
      <c r="AM1537" t="s">
        <v>2365</v>
      </c>
      <c r="AN1537" t="s">
        <v>2365</v>
      </c>
      <c r="AR1537" t="s">
        <v>2365</v>
      </c>
      <c r="AS1537" t="s">
        <v>2365</v>
      </c>
      <c r="AT1537" t="s">
        <v>2365</v>
      </c>
      <c r="AU1537" t="s">
        <v>2365</v>
      </c>
      <c r="AV1537" t="s">
        <v>2365</v>
      </c>
      <c r="AW1537" t="s">
        <v>2365</v>
      </c>
      <c r="AX1537" t="s">
        <v>2365</v>
      </c>
      <c r="AY1537" t="s">
        <v>2365</v>
      </c>
      <c r="AZ1537" t="s">
        <v>2365</v>
      </c>
      <c r="BA1537" t="s">
        <v>2365</v>
      </c>
      <c r="BB1537" t="s">
        <v>2365</v>
      </c>
      <c r="BC1537" t="s">
        <v>2365</v>
      </c>
      <c r="BD1537" t="s">
        <v>2366</v>
      </c>
      <c r="BE1537" t="s">
        <v>2365</v>
      </c>
      <c r="BF1537" t="s">
        <v>2365</v>
      </c>
      <c r="BG1537" t="s">
        <v>2365</v>
      </c>
      <c r="BH1537" t="s">
        <v>2365</v>
      </c>
      <c r="BI1537" t="s">
        <v>2366</v>
      </c>
      <c r="BJ1537" t="s">
        <v>2365</v>
      </c>
      <c r="BK1537" t="s">
        <v>2365</v>
      </c>
      <c r="BL1537" t="s">
        <v>2365</v>
      </c>
      <c r="BM1537" t="s">
        <v>2365</v>
      </c>
      <c r="BO1537">
        <v>1</v>
      </c>
      <c r="BP1537">
        <v>14</v>
      </c>
      <c r="BQ1537" t="s">
        <v>2369</v>
      </c>
      <c r="BR1537" t="s">
        <v>1486</v>
      </c>
      <c r="BU1537">
        <v>0</v>
      </c>
      <c r="BV1537">
        <v>0</v>
      </c>
      <c r="BW1537">
        <v>0</v>
      </c>
      <c r="BX1537">
        <v>0</v>
      </c>
      <c r="BY1537">
        <v>0</v>
      </c>
      <c r="BZ1537">
        <v>0</v>
      </c>
      <c r="CA1537">
        <v>0</v>
      </c>
      <c r="CB1537">
        <v>0</v>
      </c>
      <c r="CC1537">
        <v>0</v>
      </c>
      <c r="CD1537">
        <v>0</v>
      </c>
      <c r="CE1537">
        <v>0</v>
      </c>
      <c r="CF1537">
        <v>0</v>
      </c>
      <c r="CG1537">
        <v>0</v>
      </c>
      <c r="CH1537">
        <v>0</v>
      </c>
      <c r="CI1537">
        <v>0</v>
      </c>
      <c r="CJ1537">
        <v>0</v>
      </c>
      <c r="CK1537">
        <v>0</v>
      </c>
      <c r="CL1537">
        <v>0</v>
      </c>
      <c r="CM1537">
        <v>0</v>
      </c>
      <c r="CR1537" t="s">
        <v>2324</v>
      </c>
      <c r="CS1537" s="1369" t="str">
        <f>INDEX([8]Sheet1!$H:$H,MATCH(CR:CR,[8]Sheet1!$AU:$AU,0))</f>
        <v>Finance</v>
      </c>
    </row>
    <row r="1538" spans="1:97" x14ac:dyDescent="0.2">
      <c r="A1538" t="s">
        <v>4626</v>
      </c>
      <c r="B1538">
        <v>1628</v>
      </c>
      <c r="C1538" t="s">
        <v>4626</v>
      </c>
      <c r="D1538">
        <v>54527</v>
      </c>
      <c r="E1538" t="s">
        <v>2455</v>
      </c>
      <c r="F1538">
        <v>2900</v>
      </c>
      <c r="G1538" t="s">
        <v>569</v>
      </c>
      <c r="H1538" t="s">
        <v>2366</v>
      </c>
      <c r="I1538" t="s">
        <v>2366</v>
      </c>
      <c r="J1538">
        <v>2904</v>
      </c>
      <c r="K1538" t="s">
        <v>1432</v>
      </c>
      <c r="L1538">
        <v>1200</v>
      </c>
      <c r="M1538" t="s">
        <v>1480</v>
      </c>
      <c r="N1538">
        <v>1201</v>
      </c>
      <c r="O1538" t="s">
        <v>1486</v>
      </c>
      <c r="P1538" t="s">
        <v>2366</v>
      </c>
      <c r="Q1538" t="s">
        <v>2364</v>
      </c>
      <c r="R1538" t="s">
        <v>2364</v>
      </c>
      <c r="S1538" t="s">
        <v>1881</v>
      </c>
      <c r="T1538" t="s">
        <v>1812</v>
      </c>
      <c r="U1538" t="s">
        <v>2365</v>
      </c>
      <c r="V1538" t="s">
        <v>2365</v>
      </c>
      <c r="W1538" t="s">
        <v>2365</v>
      </c>
      <c r="X1538" t="s">
        <v>2365</v>
      </c>
      <c r="Y1538" t="s">
        <v>2365</v>
      </c>
      <c r="Z1538" t="s">
        <v>2365</v>
      </c>
      <c r="AA1538" t="s">
        <v>2365</v>
      </c>
      <c r="AB1538" t="s">
        <v>2365</v>
      </c>
      <c r="AC1538" s="813" t="s">
        <v>2365</v>
      </c>
      <c r="AD1538" s="813" t="s">
        <v>2365</v>
      </c>
      <c r="AE1538" s="813" t="s">
        <v>2365</v>
      </c>
      <c r="AF1538" t="s">
        <v>2365</v>
      </c>
      <c r="AG1538" t="s">
        <v>2365</v>
      </c>
      <c r="AH1538" t="s">
        <v>2365</v>
      </c>
      <c r="AI1538" t="s">
        <v>2365</v>
      </c>
      <c r="AJ1538" t="s">
        <v>2365</v>
      </c>
      <c r="AK1538" t="s">
        <v>2365</v>
      </c>
      <c r="AL1538" t="s">
        <v>2365</v>
      </c>
      <c r="AM1538" t="s">
        <v>2365</v>
      </c>
      <c r="AN1538" t="s">
        <v>2365</v>
      </c>
      <c r="AR1538" t="s">
        <v>2365</v>
      </c>
      <c r="AS1538" t="s">
        <v>2365</v>
      </c>
      <c r="AT1538" t="s">
        <v>2365</v>
      </c>
      <c r="AU1538" t="s">
        <v>2365</v>
      </c>
      <c r="AV1538" t="s">
        <v>2365</v>
      </c>
      <c r="AW1538" t="s">
        <v>2365</v>
      </c>
      <c r="AX1538" t="s">
        <v>2365</v>
      </c>
      <c r="AY1538" t="s">
        <v>2365</v>
      </c>
      <c r="AZ1538" t="s">
        <v>2365</v>
      </c>
      <c r="BA1538" t="s">
        <v>2365</v>
      </c>
      <c r="BB1538" t="s">
        <v>2365</v>
      </c>
      <c r="BC1538" t="s">
        <v>2365</v>
      </c>
      <c r="BD1538" t="s">
        <v>2366</v>
      </c>
      <c r="BE1538" t="s">
        <v>2365</v>
      </c>
      <c r="BF1538" t="s">
        <v>2365</v>
      </c>
      <c r="BG1538" t="s">
        <v>2365</v>
      </c>
      <c r="BH1538" t="s">
        <v>2365</v>
      </c>
      <c r="BI1538" t="s">
        <v>2366</v>
      </c>
      <c r="BJ1538" t="s">
        <v>2365</v>
      </c>
      <c r="BK1538" t="s">
        <v>2365</v>
      </c>
      <c r="BL1538" t="s">
        <v>2365</v>
      </c>
      <c r="BM1538" t="s">
        <v>2365</v>
      </c>
      <c r="BO1538">
        <v>1</v>
      </c>
      <c r="BP1538">
        <v>14</v>
      </c>
      <c r="BQ1538" t="s">
        <v>2369</v>
      </c>
      <c r="BR1538" t="s">
        <v>1486</v>
      </c>
      <c r="BU1538">
        <v>0</v>
      </c>
      <c r="BV1538">
        <v>0</v>
      </c>
      <c r="BW1538">
        <v>0</v>
      </c>
      <c r="BX1538">
        <v>0</v>
      </c>
      <c r="BY1538">
        <v>0</v>
      </c>
      <c r="BZ1538">
        <v>0</v>
      </c>
      <c r="CA1538">
        <v>0</v>
      </c>
      <c r="CB1538">
        <v>0</v>
      </c>
      <c r="CC1538">
        <v>0</v>
      </c>
      <c r="CD1538">
        <v>0</v>
      </c>
      <c r="CE1538">
        <v>0</v>
      </c>
      <c r="CF1538">
        <v>0</v>
      </c>
      <c r="CG1538">
        <v>0</v>
      </c>
      <c r="CH1538">
        <v>0</v>
      </c>
      <c r="CI1538">
        <v>0</v>
      </c>
      <c r="CJ1538">
        <v>0</v>
      </c>
      <c r="CK1538">
        <v>0</v>
      </c>
      <c r="CL1538">
        <v>0</v>
      </c>
      <c r="CM1538">
        <v>0</v>
      </c>
      <c r="CR1538" t="s">
        <v>2328</v>
      </c>
      <c r="CS1538" s="1369" t="str">
        <f>INDEX([8]Sheet1!$H:$H,MATCH(CR:CR,[8]Sheet1!$AU:$AU,0))</f>
        <v>Water Distribution</v>
      </c>
    </row>
    <row r="1539" spans="1:97" x14ac:dyDescent="0.2">
      <c r="A1539" t="s">
        <v>4627</v>
      </c>
      <c r="B1539">
        <v>1629</v>
      </c>
      <c r="C1539" t="s">
        <v>4627</v>
      </c>
      <c r="D1539">
        <v>54535</v>
      </c>
      <c r="E1539" t="s">
        <v>2430</v>
      </c>
      <c r="F1539">
        <v>2700</v>
      </c>
      <c r="G1539" t="s">
        <v>656</v>
      </c>
      <c r="H1539" t="s">
        <v>2428</v>
      </c>
      <c r="I1539" t="s">
        <v>1800</v>
      </c>
      <c r="J1539">
        <v>2701</v>
      </c>
      <c r="K1539" t="s">
        <v>1800</v>
      </c>
      <c r="L1539">
        <v>1100</v>
      </c>
      <c r="M1539" t="s">
        <v>616</v>
      </c>
      <c r="N1539">
        <v>1120</v>
      </c>
      <c r="O1539" t="s">
        <v>1485</v>
      </c>
      <c r="P1539" t="s">
        <v>2366</v>
      </c>
      <c r="Q1539" t="s">
        <v>2364</v>
      </c>
      <c r="R1539" t="s">
        <v>2364</v>
      </c>
      <c r="S1539" t="s">
        <v>1881</v>
      </c>
      <c r="T1539" t="s">
        <v>1812</v>
      </c>
      <c r="U1539" t="s">
        <v>2365</v>
      </c>
      <c r="V1539" t="s">
        <v>2365</v>
      </c>
      <c r="W1539" t="s">
        <v>2365</v>
      </c>
      <c r="X1539" t="s">
        <v>2365</v>
      </c>
      <c r="Y1539" t="s">
        <v>2365</v>
      </c>
      <c r="Z1539" t="s">
        <v>2365</v>
      </c>
      <c r="AA1539" t="s">
        <v>2365</v>
      </c>
      <c r="AB1539" t="s">
        <v>2365</v>
      </c>
      <c r="AC1539" s="813" t="s">
        <v>2365</v>
      </c>
      <c r="AD1539" s="813" t="s">
        <v>2365</v>
      </c>
      <c r="AE1539" s="813" t="s">
        <v>2365</v>
      </c>
      <c r="AF1539" t="s">
        <v>2365</v>
      </c>
      <c r="AG1539" t="s">
        <v>2365</v>
      </c>
      <c r="AH1539" t="s">
        <v>2365</v>
      </c>
      <c r="AI1539" t="s">
        <v>2365</v>
      </c>
      <c r="AJ1539" t="s">
        <v>2365</v>
      </c>
      <c r="AK1539" t="s">
        <v>2365</v>
      </c>
      <c r="AL1539" t="s">
        <v>2365</v>
      </c>
      <c r="AM1539" t="s">
        <v>2365</v>
      </c>
      <c r="AN1539" t="s">
        <v>2365</v>
      </c>
      <c r="AR1539" t="s">
        <v>2365</v>
      </c>
      <c r="AS1539" t="s">
        <v>2365</v>
      </c>
      <c r="AT1539" t="s">
        <v>2365</v>
      </c>
      <c r="AU1539" t="s">
        <v>2365</v>
      </c>
      <c r="AV1539" t="s">
        <v>2365</v>
      </c>
      <c r="AW1539" t="s">
        <v>2365</v>
      </c>
      <c r="AX1539" t="s">
        <v>2365</v>
      </c>
      <c r="AY1539" t="s">
        <v>2365</v>
      </c>
      <c r="AZ1539" t="s">
        <v>2365</v>
      </c>
      <c r="BA1539" t="s">
        <v>2365</v>
      </c>
      <c r="BB1539" t="s">
        <v>2365</v>
      </c>
      <c r="BC1539" t="s">
        <v>2365</v>
      </c>
      <c r="BD1539" t="s">
        <v>2366</v>
      </c>
      <c r="BE1539" t="s">
        <v>2365</v>
      </c>
      <c r="BF1539" t="s">
        <v>2365</v>
      </c>
      <c r="BG1539" t="s">
        <v>2365</v>
      </c>
      <c r="BH1539" t="s">
        <v>2365</v>
      </c>
      <c r="BI1539" t="s">
        <v>2366</v>
      </c>
      <c r="BJ1539" t="s">
        <v>2365</v>
      </c>
      <c r="BK1539" t="s">
        <v>2365</v>
      </c>
      <c r="BL1539" t="s">
        <v>2365</v>
      </c>
      <c r="BM1539" t="s">
        <v>2365</v>
      </c>
      <c r="BO1539">
        <v>3</v>
      </c>
      <c r="BP1539">
        <v>31</v>
      </c>
      <c r="BQ1539" t="s">
        <v>2716</v>
      </c>
      <c r="BR1539" t="s">
        <v>1485</v>
      </c>
      <c r="BU1539">
        <v>150000</v>
      </c>
      <c r="BV1539">
        <v>0</v>
      </c>
      <c r="BW1539">
        <v>150000</v>
      </c>
      <c r="BX1539">
        <v>0</v>
      </c>
      <c r="BY1539">
        <v>150000</v>
      </c>
      <c r="BZ1539">
        <v>156000</v>
      </c>
      <c r="CA1539">
        <v>162240</v>
      </c>
      <c r="CB1539">
        <v>0</v>
      </c>
      <c r="CC1539">
        <v>0</v>
      </c>
      <c r="CD1539">
        <v>0</v>
      </c>
      <c r="CE1539">
        <v>0</v>
      </c>
      <c r="CF1539">
        <v>0</v>
      </c>
      <c r="CG1539">
        <v>0</v>
      </c>
      <c r="CH1539">
        <v>0</v>
      </c>
      <c r="CI1539">
        <v>0</v>
      </c>
      <c r="CJ1539">
        <v>0</v>
      </c>
      <c r="CK1539">
        <v>0</v>
      </c>
      <c r="CL1539">
        <v>0</v>
      </c>
      <c r="CM1539">
        <v>0</v>
      </c>
      <c r="CR1539" t="s">
        <v>2328</v>
      </c>
      <c r="CS1539" s="1369" t="str">
        <f>INDEX([8]Sheet1!$H:$H,MATCH(CR:CR,[8]Sheet1!$AU:$AU,0))</f>
        <v>Water Distribution</v>
      </c>
    </row>
    <row r="1540" spans="1:97" x14ac:dyDescent="0.2">
      <c r="A1540" t="s">
        <v>4628</v>
      </c>
      <c r="B1540">
        <v>1630</v>
      </c>
      <c r="C1540" t="s">
        <v>4628</v>
      </c>
      <c r="D1540">
        <v>54536</v>
      </c>
      <c r="E1540" t="s">
        <v>2427</v>
      </c>
      <c r="F1540">
        <v>2700</v>
      </c>
      <c r="G1540" t="s">
        <v>656</v>
      </c>
      <c r="H1540" s="1373" t="s">
        <v>2428</v>
      </c>
      <c r="I1540" t="s">
        <v>1800</v>
      </c>
      <c r="J1540">
        <v>2701</v>
      </c>
      <c r="K1540" t="s">
        <v>1800</v>
      </c>
      <c r="L1540" s="1373">
        <v>1100</v>
      </c>
      <c r="M1540" t="s">
        <v>616</v>
      </c>
      <c r="N1540">
        <v>1120</v>
      </c>
      <c r="O1540" t="s">
        <v>1485</v>
      </c>
      <c r="P1540" t="s">
        <v>2366</v>
      </c>
      <c r="Q1540" t="s">
        <v>2364</v>
      </c>
      <c r="R1540" t="s">
        <v>2364</v>
      </c>
      <c r="S1540" t="s">
        <v>1881</v>
      </c>
      <c r="T1540" t="s">
        <v>1812</v>
      </c>
      <c r="U1540" t="s">
        <v>2365</v>
      </c>
      <c r="V1540" t="s">
        <v>2365</v>
      </c>
      <c r="W1540" t="s">
        <v>2365</v>
      </c>
      <c r="X1540" t="s">
        <v>2365</v>
      </c>
      <c r="Y1540" t="s">
        <v>2365</v>
      </c>
      <c r="Z1540" t="s">
        <v>2365</v>
      </c>
      <c r="AA1540" t="s">
        <v>2365</v>
      </c>
      <c r="AB1540" t="s">
        <v>2365</v>
      </c>
      <c r="AC1540" s="813" t="s">
        <v>2365</v>
      </c>
      <c r="AD1540" s="813" t="s">
        <v>2365</v>
      </c>
      <c r="AE1540" s="813" t="s">
        <v>2365</v>
      </c>
      <c r="AF1540" t="s">
        <v>2365</v>
      </c>
      <c r="AG1540" t="s">
        <v>2365</v>
      </c>
      <c r="AH1540" t="s">
        <v>2365</v>
      </c>
      <c r="AI1540" t="s">
        <v>2365</v>
      </c>
      <c r="AJ1540" t="s">
        <v>2365</v>
      </c>
      <c r="AK1540" t="s">
        <v>2365</v>
      </c>
      <c r="AL1540" t="s">
        <v>2365</v>
      </c>
      <c r="AM1540" t="s">
        <v>2365</v>
      </c>
      <c r="AN1540" t="s">
        <v>2365</v>
      </c>
      <c r="AR1540" t="s">
        <v>2365</v>
      </c>
      <c r="AS1540" t="s">
        <v>2365</v>
      </c>
      <c r="AT1540" t="s">
        <v>2365</v>
      </c>
      <c r="AU1540" t="s">
        <v>2365</v>
      </c>
      <c r="AV1540" t="s">
        <v>2365</v>
      </c>
      <c r="AW1540" t="s">
        <v>2365</v>
      </c>
      <c r="AX1540" t="s">
        <v>2365</v>
      </c>
      <c r="AY1540" t="s">
        <v>2365</v>
      </c>
      <c r="AZ1540" t="s">
        <v>2365</v>
      </c>
      <c r="BA1540" t="s">
        <v>2365</v>
      </c>
      <c r="BB1540" t="s">
        <v>2365</v>
      </c>
      <c r="BC1540" t="s">
        <v>2365</v>
      </c>
      <c r="BD1540" t="s">
        <v>2366</v>
      </c>
      <c r="BE1540" t="s">
        <v>2365</v>
      </c>
      <c r="BF1540" t="s">
        <v>2365</v>
      </c>
      <c r="BG1540" t="s">
        <v>2365</v>
      </c>
      <c r="BH1540" t="s">
        <v>2365</v>
      </c>
      <c r="BI1540" t="s">
        <v>2366</v>
      </c>
      <c r="BJ1540" t="s">
        <v>2365</v>
      </c>
      <c r="BK1540" t="s">
        <v>2365</v>
      </c>
      <c r="BL1540" t="s">
        <v>2365</v>
      </c>
      <c r="BM1540" t="s">
        <v>2365</v>
      </c>
      <c r="BO1540">
        <v>3</v>
      </c>
      <c r="BP1540">
        <v>31</v>
      </c>
      <c r="BQ1540" t="s">
        <v>2716</v>
      </c>
      <c r="BR1540" t="s">
        <v>1485</v>
      </c>
      <c r="BU1540" s="1371">
        <v>150000</v>
      </c>
      <c r="BV1540" s="1371">
        <v>0</v>
      </c>
      <c r="BW1540" s="1371">
        <v>150000</v>
      </c>
      <c r="BX1540" s="1371">
        <v>100000</v>
      </c>
      <c r="BY1540" s="1371">
        <v>250000</v>
      </c>
      <c r="BZ1540">
        <v>156000</v>
      </c>
      <c r="CA1540">
        <v>162240</v>
      </c>
      <c r="CB1540">
        <v>0</v>
      </c>
      <c r="CC1540">
        <v>0</v>
      </c>
      <c r="CD1540">
        <v>0</v>
      </c>
      <c r="CE1540">
        <v>24000</v>
      </c>
      <c r="CF1540">
        <v>177564</v>
      </c>
      <c r="CG1540">
        <v>41900</v>
      </c>
      <c r="CH1540">
        <v>0</v>
      </c>
      <c r="CI1540">
        <v>0</v>
      </c>
      <c r="CJ1540">
        <v>0</v>
      </c>
      <c r="CK1540">
        <v>0</v>
      </c>
      <c r="CL1540">
        <v>0</v>
      </c>
      <c r="CM1540">
        <v>0</v>
      </c>
      <c r="CR1540" t="s">
        <v>2324</v>
      </c>
      <c r="CS1540" s="1369" t="str">
        <f>INDEX([8]Sheet1!$H:$H,MATCH(CR:CR,[8]Sheet1!$AU:$AU,0))</f>
        <v>Finance</v>
      </c>
    </row>
    <row r="1541" spans="1:97" x14ac:dyDescent="0.2">
      <c r="A1541" t="s">
        <v>4629</v>
      </c>
      <c r="B1541">
        <v>1631</v>
      </c>
      <c r="C1541" t="s">
        <v>4629</v>
      </c>
      <c r="D1541">
        <v>54545</v>
      </c>
      <c r="E1541" t="s">
        <v>2706</v>
      </c>
      <c r="F1541">
        <v>2900</v>
      </c>
      <c r="G1541" t="s">
        <v>569</v>
      </c>
      <c r="H1541" t="s">
        <v>2366</v>
      </c>
      <c r="I1541" t="s">
        <v>2366</v>
      </c>
      <c r="J1541">
        <v>2904</v>
      </c>
      <c r="K1541" t="s">
        <v>1432</v>
      </c>
      <c r="L1541">
        <v>3100</v>
      </c>
      <c r="M1541" t="s">
        <v>624</v>
      </c>
      <c r="N1541">
        <v>3107</v>
      </c>
      <c r="O1541" t="s">
        <v>1536</v>
      </c>
      <c r="P1541" t="s">
        <v>2366</v>
      </c>
      <c r="Q1541" t="s">
        <v>2364</v>
      </c>
      <c r="R1541" t="s">
        <v>2364</v>
      </c>
      <c r="S1541" t="s">
        <v>1881</v>
      </c>
      <c r="T1541" t="s">
        <v>1812</v>
      </c>
      <c r="U1541" t="s">
        <v>2365</v>
      </c>
      <c r="V1541" t="s">
        <v>2365</v>
      </c>
      <c r="W1541" t="s">
        <v>2365</v>
      </c>
      <c r="X1541" t="s">
        <v>2365</v>
      </c>
      <c r="Y1541" t="s">
        <v>2365</v>
      </c>
      <c r="Z1541" t="s">
        <v>2365</v>
      </c>
      <c r="AA1541" t="s">
        <v>2365</v>
      </c>
      <c r="AB1541" t="s">
        <v>2365</v>
      </c>
      <c r="AC1541" s="813" t="s">
        <v>2365</v>
      </c>
      <c r="AD1541" s="813" t="s">
        <v>2365</v>
      </c>
      <c r="AE1541" s="813" t="s">
        <v>2365</v>
      </c>
      <c r="AF1541" t="s">
        <v>2365</v>
      </c>
      <c r="AG1541" t="s">
        <v>2365</v>
      </c>
      <c r="AH1541" t="s">
        <v>2365</v>
      </c>
      <c r="AI1541" t="s">
        <v>2365</v>
      </c>
      <c r="AJ1541" t="s">
        <v>2365</v>
      </c>
      <c r="AK1541" t="s">
        <v>2365</v>
      </c>
      <c r="AL1541" t="s">
        <v>2365</v>
      </c>
      <c r="AM1541" t="s">
        <v>2365</v>
      </c>
      <c r="AN1541" t="s">
        <v>2365</v>
      </c>
      <c r="AR1541" t="s">
        <v>2365</v>
      </c>
      <c r="AS1541" t="s">
        <v>2365</v>
      </c>
      <c r="AT1541" t="s">
        <v>2365</v>
      </c>
      <c r="AU1541" t="s">
        <v>2365</v>
      </c>
      <c r="AV1541" t="s">
        <v>2365</v>
      </c>
      <c r="AW1541" t="s">
        <v>2365</v>
      </c>
      <c r="AX1541" t="s">
        <v>2365</v>
      </c>
      <c r="AY1541" t="s">
        <v>2365</v>
      </c>
      <c r="AZ1541" t="s">
        <v>2365</v>
      </c>
      <c r="BA1541" t="s">
        <v>2365</v>
      </c>
      <c r="BB1541" t="s">
        <v>2365</v>
      </c>
      <c r="BC1541" t="s">
        <v>2365</v>
      </c>
      <c r="BD1541" t="s">
        <v>2366</v>
      </c>
      <c r="BE1541" t="s">
        <v>2365</v>
      </c>
      <c r="BF1541" t="s">
        <v>2365</v>
      </c>
      <c r="BG1541" t="s">
        <v>2365</v>
      </c>
      <c r="BH1541" t="s">
        <v>2365</v>
      </c>
      <c r="BI1541" t="s">
        <v>2366</v>
      </c>
      <c r="BJ1541" t="s">
        <v>2365</v>
      </c>
      <c r="BK1541" t="s">
        <v>2365</v>
      </c>
      <c r="BL1541" t="s">
        <v>2365</v>
      </c>
      <c r="BM1541" t="s">
        <v>2365</v>
      </c>
      <c r="BO1541">
        <v>8</v>
      </c>
      <c r="BP1541">
        <v>81</v>
      </c>
      <c r="BQ1541" t="s">
        <v>2442</v>
      </c>
      <c r="BR1541" t="s">
        <v>1536</v>
      </c>
      <c r="BU1541">
        <v>300000</v>
      </c>
      <c r="BV1541">
        <v>0</v>
      </c>
      <c r="BW1541">
        <v>300000</v>
      </c>
      <c r="BX1541">
        <v>0</v>
      </c>
      <c r="BY1541">
        <v>300000</v>
      </c>
      <c r="BZ1541">
        <v>330000</v>
      </c>
      <c r="CA1541">
        <v>363000</v>
      </c>
      <c r="CB1541">
        <v>0</v>
      </c>
      <c r="CC1541">
        <v>0</v>
      </c>
      <c r="CD1541">
        <v>0</v>
      </c>
      <c r="CE1541">
        <v>25000</v>
      </c>
      <c r="CF1541">
        <v>0</v>
      </c>
      <c r="CG1541">
        <v>15000</v>
      </c>
      <c r="CH1541">
        <v>0</v>
      </c>
      <c r="CI1541">
        <v>0</v>
      </c>
      <c r="CJ1541">
        <v>0</v>
      </c>
      <c r="CK1541">
        <v>0</v>
      </c>
      <c r="CL1541">
        <v>0</v>
      </c>
      <c r="CM1541">
        <v>0</v>
      </c>
      <c r="CR1541" t="s">
        <v>2330</v>
      </c>
      <c r="CS1541" s="1369" t="str">
        <f>INDEX([8]Sheet1!$H:$H,MATCH(CR:CR,[8]Sheet1!$AU:$AU,0))</f>
        <v>Water Treatment</v>
      </c>
    </row>
    <row r="1542" spans="1:97" x14ac:dyDescent="0.2">
      <c r="A1542" t="s">
        <v>4630</v>
      </c>
      <c r="B1542">
        <v>1632</v>
      </c>
      <c r="C1542" t="s">
        <v>4630</v>
      </c>
      <c r="D1542">
        <v>54550</v>
      </c>
      <c r="E1542" t="s">
        <v>2919</v>
      </c>
      <c r="F1542">
        <v>2900</v>
      </c>
      <c r="G1542" t="s">
        <v>569</v>
      </c>
      <c r="H1542" t="s">
        <v>2366</v>
      </c>
      <c r="I1542" t="s">
        <v>2366</v>
      </c>
      <c r="J1542">
        <v>2904</v>
      </c>
      <c r="K1542" t="s">
        <v>1432</v>
      </c>
      <c r="L1542">
        <v>3100</v>
      </c>
      <c r="M1542" t="s">
        <v>624</v>
      </c>
      <c r="N1542">
        <v>3107</v>
      </c>
      <c r="O1542" t="s">
        <v>1536</v>
      </c>
      <c r="P1542" t="s">
        <v>2366</v>
      </c>
      <c r="Q1542" t="s">
        <v>2364</v>
      </c>
      <c r="R1542" t="s">
        <v>2364</v>
      </c>
      <c r="S1542" t="s">
        <v>1881</v>
      </c>
      <c r="T1542" t="s">
        <v>1812</v>
      </c>
      <c r="U1542" t="s">
        <v>2365</v>
      </c>
      <c r="V1542" t="s">
        <v>2365</v>
      </c>
      <c r="W1542" t="s">
        <v>2365</v>
      </c>
      <c r="X1542" t="s">
        <v>2365</v>
      </c>
      <c r="Y1542" t="s">
        <v>2365</v>
      </c>
      <c r="Z1542" t="s">
        <v>2365</v>
      </c>
      <c r="AA1542" t="s">
        <v>2365</v>
      </c>
      <c r="AB1542" t="s">
        <v>2365</v>
      </c>
      <c r="AC1542" s="813" t="s">
        <v>2365</v>
      </c>
      <c r="AD1542" s="813" t="s">
        <v>2365</v>
      </c>
      <c r="AE1542" s="813" t="s">
        <v>2365</v>
      </c>
      <c r="AF1542" t="s">
        <v>2365</v>
      </c>
      <c r="AG1542" t="s">
        <v>2365</v>
      </c>
      <c r="AH1542" t="s">
        <v>2365</v>
      </c>
      <c r="AI1542" t="s">
        <v>2365</v>
      </c>
      <c r="AJ1542" t="s">
        <v>2365</v>
      </c>
      <c r="AK1542" t="s">
        <v>2365</v>
      </c>
      <c r="AL1542" t="s">
        <v>2365</v>
      </c>
      <c r="AM1542" t="s">
        <v>2365</v>
      </c>
      <c r="AN1542" t="s">
        <v>2365</v>
      </c>
      <c r="AR1542" t="s">
        <v>2365</v>
      </c>
      <c r="AS1542" t="s">
        <v>2365</v>
      </c>
      <c r="AT1542" t="s">
        <v>2365</v>
      </c>
      <c r="AU1542" t="s">
        <v>2365</v>
      </c>
      <c r="AV1542" t="s">
        <v>2365</v>
      </c>
      <c r="AW1542" t="s">
        <v>2365</v>
      </c>
      <c r="AX1542" t="s">
        <v>2365</v>
      </c>
      <c r="AY1542" t="s">
        <v>2365</v>
      </c>
      <c r="AZ1542" t="s">
        <v>2365</v>
      </c>
      <c r="BA1542" t="s">
        <v>2365</v>
      </c>
      <c r="BB1542" t="s">
        <v>2365</v>
      </c>
      <c r="BC1542" t="s">
        <v>2365</v>
      </c>
      <c r="BD1542" t="s">
        <v>2366</v>
      </c>
      <c r="BE1542" t="s">
        <v>2365</v>
      </c>
      <c r="BF1542" t="s">
        <v>2365</v>
      </c>
      <c r="BG1542" t="s">
        <v>2365</v>
      </c>
      <c r="BH1542" t="s">
        <v>2365</v>
      </c>
      <c r="BI1542" t="s">
        <v>2366</v>
      </c>
      <c r="BJ1542" t="s">
        <v>2365</v>
      </c>
      <c r="BK1542" t="s">
        <v>2365</v>
      </c>
      <c r="BL1542" t="s">
        <v>2365</v>
      </c>
      <c r="BM1542" t="s">
        <v>2365</v>
      </c>
      <c r="BO1542">
        <v>8</v>
      </c>
      <c r="BP1542">
        <v>81</v>
      </c>
      <c r="BQ1542" t="s">
        <v>2442</v>
      </c>
      <c r="BR1542" t="s">
        <v>1536</v>
      </c>
      <c r="BU1542">
        <v>15000</v>
      </c>
      <c r="BV1542">
        <v>0</v>
      </c>
      <c r="BW1542">
        <v>15000</v>
      </c>
      <c r="BX1542">
        <v>-15000</v>
      </c>
      <c r="BY1542">
        <v>0</v>
      </c>
      <c r="BZ1542">
        <v>16500</v>
      </c>
      <c r="CA1542">
        <v>18150</v>
      </c>
      <c r="CB1542">
        <v>0</v>
      </c>
      <c r="CC1542">
        <v>0</v>
      </c>
      <c r="CD1542">
        <v>0</v>
      </c>
      <c r="CE1542">
        <v>0</v>
      </c>
      <c r="CF1542">
        <v>0</v>
      </c>
      <c r="CG1542">
        <v>0</v>
      </c>
      <c r="CH1542">
        <v>0</v>
      </c>
      <c r="CI1542">
        <v>0</v>
      </c>
      <c r="CJ1542">
        <v>0</v>
      </c>
      <c r="CK1542">
        <v>0</v>
      </c>
      <c r="CL1542">
        <v>0</v>
      </c>
      <c r="CM1542">
        <v>0</v>
      </c>
      <c r="CR1542" t="s">
        <v>2330</v>
      </c>
      <c r="CS1542" s="1369" t="str">
        <f>INDEX([8]Sheet1!$H:$H,MATCH(CR:CR,[8]Sheet1!$AU:$AU,0))</f>
        <v>Water Treatment</v>
      </c>
    </row>
    <row r="1543" spans="1:97" x14ac:dyDescent="0.2">
      <c r="A1543" t="s">
        <v>4631</v>
      </c>
      <c r="B1543">
        <v>1633</v>
      </c>
      <c r="C1543" t="s">
        <v>4631</v>
      </c>
      <c r="D1543">
        <v>54551</v>
      </c>
      <c r="E1543" t="s">
        <v>2916</v>
      </c>
      <c r="F1543">
        <v>2900</v>
      </c>
      <c r="G1543" t="s">
        <v>569</v>
      </c>
      <c r="H1543" t="s">
        <v>2366</v>
      </c>
      <c r="I1543" t="s">
        <v>2366</v>
      </c>
      <c r="J1543">
        <v>2904</v>
      </c>
      <c r="K1543" t="s">
        <v>1432</v>
      </c>
      <c r="L1543">
        <v>1200</v>
      </c>
      <c r="M1543" t="s">
        <v>1480</v>
      </c>
      <c r="N1543">
        <v>1204</v>
      </c>
      <c r="O1543" t="s">
        <v>1487</v>
      </c>
      <c r="P1543" t="s">
        <v>2366</v>
      </c>
      <c r="Q1543" t="s">
        <v>2364</v>
      </c>
      <c r="R1543" t="s">
        <v>2364</v>
      </c>
      <c r="S1543" t="s">
        <v>1881</v>
      </c>
      <c r="T1543" t="s">
        <v>1812</v>
      </c>
      <c r="U1543" t="s">
        <v>2365</v>
      </c>
      <c r="V1543" t="s">
        <v>2365</v>
      </c>
      <c r="W1543" t="s">
        <v>2365</v>
      </c>
      <c r="X1543" t="s">
        <v>2365</v>
      </c>
      <c r="Y1543" t="s">
        <v>2365</v>
      </c>
      <c r="Z1543" t="s">
        <v>2365</v>
      </c>
      <c r="AA1543" t="s">
        <v>2365</v>
      </c>
      <c r="AB1543" t="s">
        <v>2365</v>
      </c>
      <c r="AC1543" s="813" t="s">
        <v>2365</v>
      </c>
      <c r="AD1543" s="813" t="s">
        <v>2365</v>
      </c>
      <c r="AE1543" s="813" t="s">
        <v>2365</v>
      </c>
      <c r="AF1543" t="s">
        <v>2365</v>
      </c>
      <c r="AG1543" t="s">
        <v>2365</v>
      </c>
      <c r="AH1543" t="s">
        <v>2365</v>
      </c>
      <c r="AI1543" t="s">
        <v>2365</v>
      </c>
      <c r="AJ1543" t="s">
        <v>2365</v>
      </c>
      <c r="AK1543" s="1373" t="s">
        <v>2365</v>
      </c>
      <c r="AL1543" t="s">
        <v>2365</v>
      </c>
      <c r="AM1543" t="s">
        <v>2365</v>
      </c>
      <c r="AN1543" t="s">
        <v>2365</v>
      </c>
      <c r="AR1543" t="s">
        <v>2365</v>
      </c>
      <c r="AS1543" t="s">
        <v>2365</v>
      </c>
      <c r="AT1543" t="s">
        <v>2365</v>
      </c>
      <c r="AU1543" t="s">
        <v>2365</v>
      </c>
      <c r="AV1543" t="s">
        <v>2365</v>
      </c>
      <c r="AW1543" t="s">
        <v>2365</v>
      </c>
      <c r="AX1543" t="s">
        <v>2365</v>
      </c>
      <c r="AY1543" t="s">
        <v>2365</v>
      </c>
      <c r="AZ1543" t="s">
        <v>2365</v>
      </c>
      <c r="BA1543" t="s">
        <v>2365</v>
      </c>
      <c r="BB1543" t="s">
        <v>2365</v>
      </c>
      <c r="BC1543" t="s">
        <v>2365</v>
      </c>
      <c r="BD1543" t="s">
        <v>2366</v>
      </c>
      <c r="BE1543" t="s">
        <v>2365</v>
      </c>
      <c r="BF1543" t="s">
        <v>2365</v>
      </c>
      <c r="BG1543" t="s">
        <v>2365</v>
      </c>
      <c r="BH1543" t="s">
        <v>2365</v>
      </c>
      <c r="BI1543" t="s">
        <v>2366</v>
      </c>
      <c r="BJ1543" t="s">
        <v>2365</v>
      </c>
      <c r="BK1543" t="s">
        <v>2365</v>
      </c>
      <c r="BL1543" t="s">
        <v>2365</v>
      </c>
      <c r="BM1543" t="s">
        <v>2365</v>
      </c>
      <c r="BO1543">
        <v>1</v>
      </c>
      <c r="BP1543">
        <v>11</v>
      </c>
      <c r="BQ1543" t="s">
        <v>2369</v>
      </c>
      <c r="BR1543" t="s">
        <v>1487</v>
      </c>
      <c r="BU1543">
        <v>0</v>
      </c>
      <c r="BV1543">
        <v>0</v>
      </c>
      <c r="BW1543">
        <v>0</v>
      </c>
      <c r="BX1543">
        <v>0</v>
      </c>
      <c r="BY1543">
        <v>0</v>
      </c>
      <c r="BZ1543">
        <v>0</v>
      </c>
      <c r="CA1543">
        <v>0</v>
      </c>
      <c r="CB1543">
        <v>0</v>
      </c>
      <c r="CC1543">
        <v>0</v>
      </c>
      <c r="CD1543">
        <v>0</v>
      </c>
      <c r="CE1543">
        <v>0</v>
      </c>
      <c r="CF1543">
        <v>0</v>
      </c>
      <c r="CG1543">
        <v>0</v>
      </c>
      <c r="CH1543">
        <v>0</v>
      </c>
      <c r="CI1543">
        <v>0</v>
      </c>
      <c r="CJ1543">
        <v>0</v>
      </c>
      <c r="CK1543">
        <v>0</v>
      </c>
      <c r="CL1543">
        <v>0</v>
      </c>
      <c r="CM1543">
        <v>0</v>
      </c>
      <c r="CR1543" t="s">
        <v>2336</v>
      </c>
      <c r="CS1543" s="1369" t="str">
        <f>INDEX([8]Sheet1!$H:$H,MATCH(CR:CR,[8]Sheet1!$AU:$AU,0))</f>
        <v>Project Management Unit</v>
      </c>
    </row>
    <row r="1544" spans="1:97" x14ac:dyDescent="0.2">
      <c r="A1544" t="s">
        <v>4632</v>
      </c>
      <c r="B1544">
        <v>1634</v>
      </c>
      <c r="C1544" t="s">
        <v>4632</v>
      </c>
      <c r="D1544">
        <v>54562</v>
      </c>
      <c r="E1544" t="s">
        <v>2437</v>
      </c>
      <c r="F1544" t="s">
        <v>2364</v>
      </c>
      <c r="G1544" t="s">
        <v>2364</v>
      </c>
      <c r="H1544" t="s">
        <v>2365</v>
      </c>
      <c r="I1544" t="s">
        <v>2365</v>
      </c>
      <c r="J1544" t="s">
        <v>2365</v>
      </c>
      <c r="K1544" t="s">
        <v>2365</v>
      </c>
      <c r="L1544">
        <v>4100</v>
      </c>
      <c r="M1544" t="s">
        <v>1482</v>
      </c>
      <c r="N1544">
        <v>4101</v>
      </c>
      <c r="O1544" t="s">
        <v>1550</v>
      </c>
      <c r="P1544" t="s">
        <v>1846</v>
      </c>
      <c r="Q1544">
        <v>2010</v>
      </c>
      <c r="R1544" t="s">
        <v>668</v>
      </c>
      <c r="S1544" t="s">
        <v>552</v>
      </c>
      <c r="T1544" t="s">
        <v>2175</v>
      </c>
      <c r="U1544">
        <v>240</v>
      </c>
      <c r="V1544" t="s">
        <v>2389</v>
      </c>
      <c r="W1544">
        <v>240</v>
      </c>
      <c r="X1544" t="s">
        <v>701</v>
      </c>
      <c r="Y1544" t="s">
        <v>2365</v>
      </c>
      <c r="Z1544" t="s">
        <v>2365</v>
      </c>
      <c r="AA1544" t="s">
        <v>2365</v>
      </c>
      <c r="AB1544" t="s">
        <v>2365</v>
      </c>
      <c r="AC1544" s="813" t="s">
        <v>2365</v>
      </c>
      <c r="AD1544" s="813" t="s">
        <v>2365</v>
      </c>
      <c r="AE1544" s="813" t="s">
        <v>2365</v>
      </c>
      <c r="AF1544" t="s">
        <v>2365</v>
      </c>
      <c r="AG1544" t="s">
        <v>2365</v>
      </c>
      <c r="AH1544" t="s">
        <v>2365</v>
      </c>
      <c r="AI1544" t="s">
        <v>2365</v>
      </c>
      <c r="AJ1544" t="s">
        <v>2365</v>
      </c>
      <c r="AK1544">
        <v>241</v>
      </c>
      <c r="AL1544" t="s">
        <v>1203</v>
      </c>
      <c r="AM1544">
        <v>241</v>
      </c>
      <c r="AN1544" t="s">
        <v>1203</v>
      </c>
      <c r="AR1544">
        <v>240</v>
      </c>
      <c r="AS1544" t="s">
        <v>1580</v>
      </c>
      <c r="AT1544">
        <v>240</v>
      </c>
      <c r="AU1544" t="s">
        <v>1580</v>
      </c>
      <c r="AV1544" t="s">
        <v>2365</v>
      </c>
      <c r="AW1544" t="s">
        <v>2365</v>
      </c>
      <c r="AX1544" t="s">
        <v>2365</v>
      </c>
      <c r="AY1544" t="s">
        <v>2365</v>
      </c>
      <c r="AZ1544" t="s">
        <v>2365</v>
      </c>
      <c r="BA1544" t="s">
        <v>2365</v>
      </c>
      <c r="BB1544" t="s">
        <v>2365</v>
      </c>
      <c r="BC1544" t="s">
        <v>2365</v>
      </c>
      <c r="BD1544" t="s">
        <v>2366</v>
      </c>
      <c r="BE1544" t="s">
        <v>2365</v>
      </c>
      <c r="BF1544" t="s">
        <v>2365</v>
      </c>
      <c r="BG1544" t="s">
        <v>2365</v>
      </c>
      <c r="BH1544" t="s">
        <v>2365</v>
      </c>
      <c r="BI1544" t="s">
        <v>2366</v>
      </c>
      <c r="BJ1544" t="s">
        <v>2365</v>
      </c>
      <c r="BK1544" t="s">
        <v>2365</v>
      </c>
      <c r="BL1544" t="s">
        <v>2365</v>
      </c>
      <c r="BM1544" t="s">
        <v>2365</v>
      </c>
      <c r="BO1544">
        <v>6</v>
      </c>
      <c r="BP1544">
        <v>61</v>
      </c>
      <c r="BQ1544" t="s">
        <v>2445</v>
      </c>
      <c r="BR1544" t="s">
        <v>628</v>
      </c>
      <c r="BU1544">
        <v>0</v>
      </c>
      <c r="BV1544">
        <v>0</v>
      </c>
      <c r="BW1544">
        <v>0</v>
      </c>
      <c r="BX1544">
        <v>0</v>
      </c>
      <c r="BY1544">
        <v>0</v>
      </c>
      <c r="BZ1544">
        <v>0</v>
      </c>
      <c r="CA1544">
        <v>0</v>
      </c>
      <c r="CB1544">
        <v>0</v>
      </c>
      <c r="CC1544">
        <v>0</v>
      </c>
      <c r="CD1544">
        <v>0</v>
      </c>
      <c r="CE1544">
        <v>0</v>
      </c>
      <c r="CF1544">
        <v>0</v>
      </c>
      <c r="CG1544">
        <v>0</v>
      </c>
      <c r="CH1544">
        <v>0</v>
      </c>
      <c r="CI1544">
        <v>0</v>
      </c>
      <c r="CJ1544">
        <v>0</v>
      </c>
      <c r="CK1544">
        <v>0</v>
      </c>
      <c r="CL1544">
        <v>0</v>
      </c>
      <c r="CM1544">
        <v>0</v>
      </c>
      <c r="CR1544" t="s">
        <v>2335</v>
      </c>
      <c r="CS1544" s="1369" t="str">
        <f>INDEX([8]Sheet1!$H:$H,MATCH(CR:CR,[8]Sheet1!$AU:$AU,0))</f>
        <v>Economic Development/Planning</v>
      </c>
    </row>
    <row r="1545" spans="1:97" x14ac:dyDescent="0.2">
      <c r="A1545" t="s">
        <v>4633</v>
      </c>
      <c r="B1545">
        <v>1635</v>
      </c>
      <c r="C1545" t="s">
        <v>4633</v>
      </c>
      <c r="D1545">
        <v>54559</v>
      </c>
      <c r="E1545" t="s">
        <v>2701</v>
      </c>
      <c r="F1545" t="s">
        <v>2364</v>
      </c>
      <c r="G1545" t="s">
        <v>2364</v>
      </c>
      <c r="H1545" t="s">
        <v>2365</v>
      </c>
      <c r="I1545" t="s">
        <v>2365</v>
      </c>
      <c r="J1545" t="s">
        <v>2365</v>
      </c>
      <c r="K1545" t="s">
        <v>2365</v>
      </c>
      <c r="L1545">
        <v>3200</v>
      </c>
      <c r="M1545" t="s">
        <v>625</v>
      </c>
      <c r="N1545">
        <v>3205</v>
      </c>
      <c r="O1545" t="s">
        <v>1002</v>
      </c>
      <c r="P1545" t="s">
        <v>1846</v>
      </c>
      <c r="Q1545">
        <v>2080</v>
      </c>
      <c r="R1545" t="s">
        <v>579</v>
      </c>
      <c r="S1545" t="s">
        <v>552</v>
      </c>
      <c r="T1545" t="s">
        <v>2175</v>
      </c>
      <c r="U1545">
        <v>240</v>
      </c>
      <c r="V1545" t="s">
        <v>2389</v>
      </c>
      <c r="W1545">
        <v>240</v>
      </c>
      <c r="X1545" t="s">
        <v>701</v>
      </c>
      <c r="Y1545" t="s">
        <v>2365</v>
      </c>
      <c r="Z1545" t="s">
        <v>2365</v>
      </c>
      <c r="AA1545" t="s">
        <v>2365</v>
      </c>
      <c r="AB1545" t="s">
        <v>2365</v>
      </c>
      <c r="AC1545" s="813" t="s">
        <v>2365</v>
      </c>
      <c r="AD1545" s="813" t="s">
        <v>2365</v>
      </c>
      <c r="AE1545" s="813" t="s">
        <v>2365</v>
      </c>
      <c r="AF1545" t="s">
        <v>2365</v>
      </c>
      <c r="AG1545">
        <v>1530</v>
      </c>
      <c r="AH1545" t="s">
        <v>1677</v>
      </c>
      <c r="AI1545">
        <v>1530</v>
      </c>
      <c r="AJ1545" t="s">
        <v>1677</v>
      </c>
      <c r="AK1545">
        <v>241</v>
      </c>
      <c r="AL1545" t="s">
        <v>1203</v>
      </c>
      <c r="AM1545">
        <v>241</v>
      </c>
      <c r="AN1545" t="s">
        <v>1203</v>
      </c>
      <c r="AR1545">
        <v>1530</v>
      </c>
      <c r="AS1545" t="s">
        <v>1677</v>
      </c>
      <c r="AT1545">
        <v>1530</v>
      </c>
      <c r="AU1545" t="s">
        <v>1677</v>
      </c>
      <c r="AV1545" t="s">
        <v>2365</v>
      </c>
      <c r="AW1545" t="s">
        <v>2365</v>
      </c>
      <c r="AX1545" t="s">
        <v>2365</v>
      </c>
      <c r="AY1545" t="s">
        <v>2365</v>
      </c>
      <c r="AZ1545" t="s">
        <v>2365</v>
      </c>
      <c r="BA1545" t="s">
        <v>2365</v>
      </c>
      <c r="BB1545" t="s">
        <v>2365</v>
      </c>
      <c r="BC1545" t="s">
        <v>2365</v>
      </c>
      <c r="BD1545" t="s">
        <v>2366</v>
      </c>
      <c r="BE1545" t="s">
        <v>2365</v>
      </c>
      <c r="BF1545" t="s">
        <v>2365</v>
      </c>
      <c r="BG1545" t="s">
        <v>2365</v>
      </c>
      <c r="BH1545" t="s">
        <v>2365</v>
      </c>
      <c r="BI1545" t="s">
        <v>2366</v>
      </c>
      <c r="BJ1545" t="s">
        <v>2365</v>
      </c>
      <c r="BK1545" t="s">
        <v>2365</v>
      </c>
      <c r="BL1545" t="s">
        <v>2365</v>
      </c>
      <c r="BM1545" t="s">
        <v>2365</v>
      </c>
      <c r="BO1545">
        <v>7</v>
      </c>
      <c r="BP1545">
        <v>71</v>
      </c>
      <c r="BQ1545" t="s">
        <v>2665</v>
      </c>
      <c r="BR1545" t="s">
        <v>1002</v>
      </c>
      <c r="BU1545">
        <v>0</v>
      </c>
      <c r="BV1545">
        <v>0</v>
      </c>
      <c r="BW1545">
        <v>0</v>
      </c>
      <c r="BX1545">
        <v>0</v>
      </c>
      <c r="BY1545">
        <v>0</v>
      </c>
      <c r="BZ1545">
        <v>0</v>
      </c>
      <c r="CA1545">
        <v>0</v>
      </c>
      <c r="CB1545">
        <v>0</v>
      </c>
      <c r="CC1545">
        <v>0</v>
      </c>
      <c r="CD1545">
        <v>0</v>
      </c>
      <c r="CE1545">
        <v>0</v>
      </c>
      <c r="CF1545">
        <v>0</v>
      </c>
      <c r="CG1545">
        <v>0</v>
      </c>
      <c r="CH1545">
        <v>0</v>
      </c>
      <c r="CI1545">
        <v>0</v>
      </c>
      <c r="CJ1545">
        <v>0</v>
      </c>
      <c r="CK1545">
        <v>0</v>
      </c>
      <c r="CL1545">
        <v>0</v>
      </c>
      <c r="CM1545">
        <v>0</v>
      </c>
      <c r="CR1545" t="s">
        <v>2335</v>
      </c>
      <c r="CS1545" s="1369" t="str">
        <f>INDEX([8]Sheet1!$H:$H,MATCH(CR:CR,[8]Sheet1!$AU:$AU,0))</f>
        <v>Economic Development/Planning</v>
      </c>
    </row>
    <row r="1546" spans="1:97" x14ac:dyDescent="0.2">
      <c r="A1546" t="s">
        <v>4634</v>
      </c>
      <c r="B1546">
        <v>1636</v>
      </c>
      <c r="C1546" t="s">
        <v>4634</v>
      </c>
      <c r="D1546">
        <v>54560</v>
      </c>
      <c r="E1546" t="s">
        <v>4281</v>
      </c>
      <c r="F1546" t="s">
        <v>2364</v>
      </c>
      <c r="G1546" t="s">
        <v>2364</v>
      </c>
      <c r="H1546" t="s">
        <v>2365</v>
      </c>
      <c r="I1546" t="s">
        <v>2365</v>
      </c>
      <c r="J1546" t="s">
        <v>2365</v>
      </c>
      <c r="K1546" t="s">
        <v>2365</v>
      </c>
      <c r="L1546">
        <v>3200</v>
      </c>
      <c r="M1546" t="s">
        <v>625</v>
      </c>
      <c r="N1546">
        <v>3205</v>
      </c>
      <c r="O1546" t="s">
        <v>1002</v>
      </c>
      <c r="P1546" t="s">
        <v>1846</v>
      </c>
      <c r="Q1546">
        <v>2080</v>
      </c>
      <c r="R1546" t="s">
        <v>579</v>
      </c>
      <c r="S1546" t="s">
        <v>552</v>
      </c>
      <c r="T1546" t="s">
        <v>2175</v>
      </c>
      <c r="U1546">
        <v>240</v>
      </c>
      <c r="V1546" t="s">
        <v>2389</v>
      </c>
      <c r="W1546">
        <v>240</v>
      </c>
      <c r="X1546" t="s">
        <v>701</v>
      </c>
      <c r="Y1546" t="s">
        <v>2365</v>
      </c>
      <c r="Z1546" t="s">
        <v>2365</v>
      </c>
      <c r="AA1546" t="s">
        <v>2365</v>
      </c>
      <c r="AB1546" t="s">
        <v>2365</v>
      </c>
      <c r="AC1546" s="813" t="s">
        <v>2365</v>
      </c>
      <c r="AD1546" s="813" t="s">
        <v>2365</v>
      </c>
      <c r="AE1546" s="813" t="s">
        <v>2365</v>
      </c>
      <c r="AF1546" t="s">
        <v>2365</v>
      </c>
      <c r="AG1546">
        <v>1180</v>
      </c>
      <c r="AH1546" t="s">
        <v>1368</v>
      </c>
      <c r="AI1546">
        <v>1180</v>
      </c>
      <c r="AJ1546" t="s">
        <v>1368</v>
      </c>
      <c r="AK1546">
        <v>241</v>
      </c>
      <c r="AL1546" t="s">
        <v>1203</v>
      </c>
      <c r="AM1546">
        <v>241</v>
      </c>
      <c r="AN1546" t="s">
        <v>1203</v>
      </c>
      <c r="AR1546" t="s">
        <v>2365</v>
      </c>
      <c r="AS1546" t="s">
        <v>2365</v>
      </c>
      <c r="AT1546" t="s">
        <v>2365</v>
      </c>
      <c r="AU1546" t="s">
        <v>2365</v>
      </c>
      <c r="AV1546">
        <v>1240</v>
      </c>
      <c r="AW1546" t="s">
        <v>1656</v>
      </c>
      <c r="AX1546">
        <v>1240</v>
      </c>
      <c r="AY1546" t="s">
        <v>1656</v>
      </c>
      <c r="AZ1546" t="s">
        <v>2365</v>
      </c>
      <c r="BA1546" t="s">
        <v>2365</v>
      </c>
      <c r="BB1546" t="s">
        <v>2365</v>
      </c>
      <c r="BC1546" t="s">
        <v>2365</v>
      </c>
      <c r="BD1546" t="s">
        <v>2366</v>
      </c>
      <c r="BE1546" t="s">
        <v>2365</v>
      </c>
      <c r="BF1546" t="s">
        <v>2365</v>
      </c>
      <c r="BG1546" t="s">
        <v>2365</v>
      </c>
      <c r="BH1546" t="s">
        <v>2365</v>
      </c>
      <c r="BI1546" t="s">
        <v>2366</v>
      </c>
      <c r="BJ1546" t="s">
        <v>2365</v>
      </c>
      <c r="BK1546" t="s">
        <v>2365</v>
      </c>
      <c r="BL1546" t="s">
        <v>2365</v>
      </c>
      <c r="BM1546" t="s">
        <v>2365</v>
      </c>
      <c r="BO1546">
        <v>7</v>
      </c>
      <c r="BP1546">
        <v>71</v>
      </c>
      <c r="BQ1546" t="s">
        <v>2665</v>
      </c>
      <c r="BR1546" t="s">
        <v>1002</v>
      </c>
      <c r="BU1546">
        <v>0</v>
      </c>
      <c r="BV1546">
        <v>0</v>
      </c>
      <c r="BW1546">
        <v>0</v>
      </c>
      <c r="BX1546">
        <v>550000</v>
      </c>
      <c r="BY1546">
        <v>550000</v>
      </c>
      <c r="BZ1546">
        <v>1200000</v>
      </c>
      <c r="CA1546">
        <v>0</v>
      </c>
      <c r="CB1546">
        <v>0</v>
      </c>
      <c r="CC1546">
        <v>0</v>
      </c>
      <c r="CD1546">
        <v>0</v>
      </c>
      <c r="CE1546">
        <v>0</v>
      </c>
      <c r="CF1546">
        <v>0</v>
      </c>
      <c r="CG1546">
        <v>0</v>
      </c>
      <c r="CH1546">
        <v>0</v>
      </c>
      <c r="CI1546">
        <v>0</v>
      </c>
      <c r="CJ1546">
        <v>0</v>
      </c>
      <c r="CK1546">
        <v>0</v>
      </c>
      <c r="CL1546">
        <v>0</v>
      </c>
      <c r="CM1546">
        <v>0</v>
      </c>
      <c r="CR1546" t="s">
        <v>2335</v>
      </c>
      <c r="CS1546" s="1369" t="str">
        <f>INDEX([8]Sheet1!$H:$H,MATCH(CR:CR,[8]Sheet1!$AU:$AU,0))</f>
        <v>Economic Development/Planning</v>
      </c>
    </row>
    <row r="1547" spans="1:97" x14ac:dyDescent="0.2">
      <c r="A1547" t="s">
        <v>4635</v>
      </c>
      <c r="B1547">
        <v>1637</v>
      </c>
      <c r="C1547" t="s">
        <v>4635</v>
      </c>
      <c r="D1547">
        <v>54561</v>
      </c>
      <c r="E1547" t="s">
        <v>2437</v>
      </c>
      <c r="F1547" t="s">
        <v>2364</v>
      </c>
      <c r="G1547" t="s">
        <v>2364</v>
      </c>
      <c r="H1547" t="s">
        <v>2365</v>
      </c>
      <c r="I1547" t="s">
        <v>2365</v>
      </c>
      <c r="J1547" t="s">
        <v>2365</v>
      </c>
      <c r="K1547" t="s">
        <v>2365</v>
      </c>
      <c r="L1547">
        <v>1200</v>
      </c>
      <c r="M1547" t="s">
        <v>1480</v>
      </c>
      <c r="N1547">
        <v>1201</v>
      </c>
      <c r="O1547" t="s">
        <v>1486</v>
      </c>
      <c r="P1547" t="s">
        <v>1846</v>
      </c>
      <c r="Q1547">
        <v>2080</v>
      </c>
      <c r="R1547" t="s">
        <v>579</v>
      </c>
      <c r="S1547" t="s">
        <v>552</v>
      </c>
      <c r="T1547" t="s">
        <v>2175</v>
      </c>
      <c r="U1547">
        <v>240</v>
      </c>
      <c r="V1547" t="s">
        <v>2389</v>
      </c>
      <c r="W1547">
        <v>240</v>
      </c>
      <c r="X1547" t="s">
        <v>701</v>
      </c>
      <c r="Y1547" t="s">
        <v>2365</v>
      </c>
      <c r="Z1547" t="s">
        <v>2365</v>
      </c>
      <c r="AA1547" t="s">
        <v>2365</v>
      </c>
      <c r="AB1547" t="s">
        <v>2365</v>
      </c>
      <c r="AC1547" s="813" t="s">
        <v>2365</v>
      </c>
      <c r="AD1547" s="813" t="s">
        <v>2365</v>
      </c>
      <c r="AE1547" s="813" t="s">
        <v>2365</v>
      </c>
      <c r="AF1547" t="s">
        <v>2365</v>
      </c>
      <c r="AG1547" t="s">
        <v>2365</v>
      </c>
      <c r="AH1547" t="s">
        <v>2365</v>
      </c>
      <c r="AI1547" t="s">
        <v>2365</v>
      </c>
      <c r="AJ1547" t="s">
        <v>2365</v>
      </c>
      <c r="AK1547">
        <v>241</v>
      </c>
      <c r="AL1547" t="s">
        <v>1203</v>
      </c>
      <c r="AM1547">
        <v>241</v>
      </c>
      <c r="AN1547" t="s">
        <v>1203</v>
      </c>
      <c r="AR1547" t="s">
        <v>2365</v>
      </c>
      <c r="AS1547" t="s">
        <v>2365</v>
      </c>
      <c r="AT1547" t="s">
        <v>2365</v>
      </c>
      <c r="AU1547" t="s">
        <v>2365</v>
      </c>
      <c r="AV1547" t="s">
        <v>2365</v>
      </c>
      <c r="AW1547" t="s">
        <v>2365</v>
      </c>
      <c r="AX1547" t="s">
        <v>2365</v>
      </c>
      <c r="AY1547" t="s">
        <v>2365</v>
      </c>
      <c r="AZ1547" t="s">
        <v>2365</v>
      </c>
      <c r="BA1547" t="s">
        <v>2365</v>
      </c>
      <c r="BB1547" t="s">
        <v>2365</v>
      </c>
      <c r="BC1547" t="s">
        <v>2365</v>
      </c>
      <c r="BD1547" t="s">
        <v>2366</v>
      </c>
      <c r="BE1547" t="s">
        <v>2365</v>
      </c>
      <c r="BF1547" t="s">
        <v>2365</v>
      </c>
      <c r="BG1547" t="s">
        <v>2365</v>
      </c>
      <c r="BH1547" t="s">
        <v>2365</v>
      </c>
      <c r="BI1547" t="s">
        <v>2366</v>
      </c>
      <c r="BJ1547">
        <v>1200</v>
      </c>
      <c r="BK1547" t="s">
        <v>1652</v>
      </c>
      <c r="BL1547">
        <v>1200</v>
      </c>
      <c r="BM1547" t="s">
        <v>1652</v>
      </c>
      <c r="BO1547">
        <v>1</v>
      </c>
      <c r="BP1547">
        <v>14</v>
      </c>
      <c r="BQ1547" t="s">
        <v>2369</v>
      </c>
      <c r="BR1547" t="s">
        <v>1486</v>
      </c>
      <c r="BU1547">
        <v>1000000</v>
      </c>
      <c r="BV1547">
        <v>0</v>
      </c>
      <c r="BW1547">
        <v>1000000</v>
      </c>
      <c r="BX1547">
        <v>0</v>
      </c>
      <c r="BY1547">
        <v>1000000</v>
      </c>
      <c r="BZ1547">
        <v>0</v>
      </c>
      <c r="CA1547">
        <v>0</v>
      </c>
      <c r="CB1547">
        <v>0</v>
      </c>
      <c r="CC1547">
        <v>0</v>
      </c>
      <c r="CD1547">
        <v>0</v>
      </c>
      <c r="CE1547">
        <v>0</v>
      </c>
      <c r="CF1547">
        <v>0</v>
      </c>
      <c r="CG1547">
        <v>0</v>
      </c>
      <c r="CH1547">
        <v>0</v>
      </c>
      <c r="CI1547">
        <v>0</v>
      </c>
      <c r="CJ1547">
        <v>0</v>
      </c>
      <c r="CK1547">
        <v>0</v>
      </c>
      <c r="CL1547">
        <v>0</v>
      </c>
      <c r="CM1547">
        <v>0</v>
      </c>
      <c r="CR1547" t="s">
        <v>2335</v>
      </c>
      <c r="CS1547" s="1369" t="str">
        <f>INDEX([8]Sheet1!$H:$H,MATCH(CR:CR,[8]Sheet1!$AU:$AU,0))</f>
        <v>Economic Development/Planning</v>
      </c>
    </row>
    <row r="1548" spans="1:97" x14ac:dyDescent="0.2">
      <c r="A1548" t="s">
        <v>4636</v>
      </c>
      <c r="B1548">
        <v>1638</v>
      </c>
      <c r="C1548" t="s">
        <v>4636</v>
      </c>
      <c r="D1548">
        <v>54525</v>
      </c>
      <c r="E1548" t="s">
        <v>2427</v>
      </c>
      <c r="F1548">
        <v>2700</v>
      </c>
      <c r="G1548" t="s">
        <v>656</v>
      </c>
      <c r="H1548" t="s">
        <v>2428</v>
      </c>
      <c r="I1548" t="s">
        <v>1800</v>
      </c>
      <c r="J1548">
        <v>2701</v>
      </c>
      <c r="K1548" t="s">
        <v>1800</v>
      </c>
      <c r="L1548">
        <v>3100</v>
      </c>
      <c r="M1548" t="s">
        <v>624</v>
      </c>
      <c r="N1548">
        <v>3105</v>
      </c>
      <c r="O1548" t="s">
        <v>1534</v>
      </c>
      <c r="P1548" t="s">
        <v>2366</v>
      </c>
      <c r="Q1548" t="s">
        <v>2364</v>
      </c>
      <c r="R1548" t="s">
        <v>2364</v>
      </c>
      <c r="S1548" t="s">
        <v>1881</v>
      </c>
      <c r="T1548" t="s">
        <v>1812</v>
      </c>
      <c r="U1548" t="s">
        <v>2365</v>
      </c>
      <c r="V1548" t="s">
        <v>2365</v>
      </c>
      <c r="W1548" t="s">
        <v>2365</v>
      </c>
      <c r="X1548" t="s">
        <v>2365</v>
      </c>
      <c r="Y1548" t="s">
        <v>2365</v>
      </c>
      <c r="Z1548" t="s">
        <v>2365</v>
      </c>
      <c r="AA1548" t="s">
        <v>2365</v>
      </c>
      <c r="AB1548" t="s">
        <v>2365</v>
      </c>
      <c r="AC1548" s="813" t="s">
        <v>2365</v>
      </c>
      <c r="AD1548" s="813" t="s">
        <v>2365</v>
      </c>
      <c r="AE1548" s="813" t="s">
        <v>2365</v>
      </c>
      <c r="AF1548" t="s">
        <v>2365</v>
      </c>
      <c r="AG1548" t="s">
        <v>2365</v>
      </c>
      <c r="AH1548" t="s">
        <v>2365</v>
      </c>
      <c r="AI1548" t="s">
        <v>2365</v>
      </c>
      <c r="AJ1548" t="s">
        <v>2365</v>
      </c>
      <c r="AK1548" t="s">
        <v>2365</v>
      </c>
      <c r="AL1548" t="s">
        <v>2365</v>
      </c>
      <c r="AM1548" t="s">
        <v>2365</v>
      </c>
      <c r="AN1548" t="s">
        <v>2365</v>
      </c>
      <c r="AR1548" t="s">
        <v>2365</v>
      </c>
      <c r="AS1548" t="s">
        <v>2365</v>
      </c>
      <c r="AT1548" t="s">
        <v>2365</v>
      </c>
      <c r="AU1548" t="s">
        <v>2365</v>
      </c>
      <c r="AV1548" t="s">
        <v>2365</v>
      </c>
      <c r="AW1548" t="s">
        <v>2365</v>
      </c>
      <c r="AX1548" t="s">
        <v>2365</v>
      </c>
      <c r="AY1548" t="s">
        <v>2365</v>
      </c>
      <c r="AZ1548" t="s">
        <v>2365</v>
      </c>
      <c r="BA1548" t="s">
        <v>2365</v>
      </c>
      <c r="BB1548" t="s">
        <v>2365</v>
      </c>
      <c r="BC1548" t="s">
        <v>2365</v>
      </c>
      <c r="BD1548" t="s">
        <v>2366</v>
      </c>
      <c r="BE1548" t="s">
        <v>2365</v>
      </c>
      <c r="BF1548" t="s">
        <v>2365</v>
      </c>
      <c r="BG1548" t="s">
        <v>2365</v>
      </c>
      <c r="BH1548" t="s">
        <v>2365</v>
      </c>
      <c r="BI1548" t="s">
        <v>2366</v>
      </c>
      <c r="BJ1548" t="s">
        <v>2365</v>
      </c>
      <c r="BK1548" t="s">
        <v>2365</v>
      </c>
      <c r="BL1548" t="s">
        <v>2365</v>
      </c>
      <c r="BM1548" t="s">
        <v>2365</v>
      </c>
      <c r="BO1548">
        <v>8</v>
      </c>
      <c r="BP1548">
        <v>83</v>
      </c>
      <c r="BQ1548" t="s">
        <v>2442</v>
      </c>
      <c r="BR1548" t="s">
        <v>1534</v>
      </c>
      <c r="BU1548">
        <v>0</v>
      </c>
      <c r="BV1548">
        <v>0</v>
      </c>
      <c r="BW1548">
        <v>0</v>
      </c>
      <c r="BX1548">
        <v>0</v>
      </c>
      <c r="BY1548">
        <v>0</v>
      </c>
      <c r="BZ1548">
        <v>0</v>
      </c>
      <c r="CA1548">
        <v>0</v>
      </c>
      <c r="CB1548">
        <v>0</v>
      </c>
      <c r="CC1548">
        <v>0</v>
      </c>
      <c r="CD1548">
        <v>0</v>
      </c>
      <c r="CE1548">
        <v>0</v>
      </c>
      <c r="CF1548">
        <v>0</v>
      </c>
      <c r="CG1548">
        <v>0</v>
      </c>
      <c r="CH1548">
        <v>0</v>
      </c>
      <c r="CI1548">
        <v>0</v>
      </c>
      <c r="CJ1548">
        <v>0</v>
      </c>
      <c r="CK1548">
        <v>0</v>
      </c>
      <c r="CL1548">
        <v>0</v>
      </c>
      <c r="CM1548">
        <v>0</v>
      </c>
      <c r="CR1548" t="s">
        <v>2335</v>
      </c>
      <c r="CS1548" s="1369" t="str">
        <f>INDEX([8]Sheet1!$H:$H,MATCH(CR:CR,[8]Sheet1!$AU:$AU,0))</f>
        <v>Economic Development/Planning</v>
      </c>
    </row>
    <row r="1549" spans="1:97" x14ac:dyDescent="0.2">
      <c r="A1549" t="s">
        <v>4637</v>
      </c>
      <c r="B1549">
        <v>1639</v>
      </c>
      <c r="C1549" t="s">
        <v>4637</v>
      </c>
      <c r="D1549">
        <v>54503</v>
      </c>
      <c r="E1549" t="s">
        <v>2499</v>
      </c>
      <c r="F1549">
        <v>2900</v>
      </c>
      <c r="G1549" t="s">
        <v>569</v>
      </c>
      <c r="H1549" t="s">
        <v>2366</v>
      </c>
      <c r="I1549" t="s">
        <v>2366</v>
      </c>
      <c r="J1549">
        <v>2904</v>
      </c>
      <c r="K1549" t="s">
        <v>1432</v>
      </c>
      <c r="L1549">
        <v>1200</v>
      </c>
      <c r="M1549" t="s">
        <v>1480</v>
      </c>
      <c r="N1549">
        <v>1201</v>
      </c>
      <c r="O1549" t="s">
        <v>1486</v>
      </c>
      <c r="P1549" t="s">
        <v>2366</v>
      </c>
      <c r="Q1549" t="s">
        <v>2364</v>
      </c>
      <c r="R1549" t="s">
        <v>2364</v>
      </c>
      <c r="S1549" t="s">
        <v>1881</v>
      </c>
      <c r="T1549" t="s">
        <v>1812</v>
      </c>
      <c r="U1549" t="s">
        <v>2365</v>
      </c>
      <c r="V1549" t="s">
        <v>2365</v>
      </c>
      <c r="W1549" t="s">
        <v>2365</v>
      </c>
      <c r="X1549" t="s">
        <v>2365</v>
      </c>
      <c r="Y1549" t="s">
        <v>2365</v>
      </c>
      <c r="Z1549" t="s">
        <v>2365</v>
      </c>
      <c r="AA1549" t="s">
        <v>2365</v>
      </c>
      <c r="AB1549" t="s">
        <v>2365</v>
      </c>
      <c r="AC1549" s="813" t="s">
        <v>2365</v>
      </c>
      <c r="AD1549" s="813" t="s">
        <v>2365</v>
      </c>
      <c r="AE1549" s="813" t="s">
        <v>2365</v>
      </c>
      <c r="AF1549" t="s">
        <v>2365</v>
      </c>
      <c r="AG1549" t="s">
        <v>2365</v>
      </c>
      <c r="AH1549" t="s">
        <v>2365</v>
      </c>
      <c r="AI1549" t="s">
        <v>2365</v>
      </c>
      <c r="AJ1549" t="s">
        <v>2365</v>
      </c>
      <c r="AK1549" t="s">
        <v>2365</v>
      </c>
      <c r="AL1549" t="s">
        <v>2365</v>
      </c>
      <c r="AM1549" t="s">
        <v>2365</v>
      </c>
      <c r="AN1549" t="s">
        <v>2365</v>
      </c>
      <c r="AR1549" t="s">
        <v>2365</v>
      </c>
      <c r="AS1549" t="s">
        <v>2365</v>
      </c>
      <c r="AT1549" t="s">
        <v>2365</v>
      </c>
      <c r="AU1549" t="s">
        <v>2365</v>
      </c>
      <c r="AV1549" t="s">
        <v>2365</v>
      </c>
      <c r="AW1549" t="s">
        <v>2365</v>
      </c>
      <c r="AX1549" t="s">
        <v>2365</v>
      </c>
      <c r="AY1549" t="s">
        <v>2365</v>
      </c>
      <c r="AZ1549" t="s">
        <v>2365</v>
      </c>
      <c r="BA1549" t="s">
        <v>2365</v>
      </c>
      <c r="BB1549" t="s">
        <v>2365</v>
      </c>
      <c r="BC1549" t="s">
        <v>2365</v>
      </c>
      <c r="BD1549" t="s">
        <v>2366</v>
      </c>
      <c r="BE1549" t="s">
        <v>2365</v>
      </c>
      <c r="BF1549" t="s">
        <v>2365</v>
      </c>
      <c r="BG1549" t="s">
        <v>2365</v>
      </c>
      <c r="BH1549" t="s">
        <v>2365</v>
      </c>
      <c r="BI1549" t="s">
        <v>2366</v>
      </c>
      <c r="BJ1549" t="s">
        <v>2365</v>
      </c>
      <c r="BK1549" t="s">
        <v>2365</v>
      </c>
      <c r="BL1549" t="s">
        <v>2365</v>
      </c>
      <c r="BM1549" t="s">
        <v>2365</v>
      </c>
      <c r="BO1549">
        <v>1</v>
      </c>
      <c r="BP1549">
        <v>14</v>
      </c>
      <c r="BQ1549" t="s">
        <v>2369</v>
      </c>
      <c r="BR1549" t="s">
        <v>1486</v>
      </c>
      <c r="BU1549">
        <v>20000</v>
      </c>
      <c r="BV1549">
        <v>0</v>
      </c>
      <c r="BW1549">
        <v>20000</v>
      </c>
      <c r="BX1549">
        <v>-10000</v>
      </c>
      <c r="BY1549">
        <v>10000</v>
      </c>
      <c r="BZ1549">
        <v>21200</v>
      </c>
      <c r="CA1549">
        <v>22472</v>
      </c>
      <c r="CB1549">
        <v>0</v>
      </c>
      <c r="CC1549">
        <v>0</v>
      </c>
      <c r="CD1549">
        <v>0</v>
      </c>
      <c r="CE1549">
        <v>0</v>
      </c>
      <c r="CF1549">
        <v>0</v>
      </c>
      <c r="CG1549">
        <v>0</v>
      </c>
      <c r="CH1549">
        <v>0</v>
      </c>
      <c r="CI1549">
        <v>0</v>
      </c>
      <c r="CJ1549">
        <v>0</v>
      </c>
      <c r="CK1549">
        <v>0</v>
      </c>
      <c r="CL1549">
        <v>0</v>
      </c>
      <c r="CM1549">
        <v>0</v>
      </c>
      <c r="CR1549" t="s">
        <v>2327</v>
      </c>
      <c r="CS1549" s="1369" t="str">
        <f>INDEX([8]Sheet1!$H:$H,MATCH(CR:CR,[8]Sheet1!$AU:$AU,0))</f>
        <v>Education</v>
      </c>
    </row>
    <row r="1550" spans="1:97" x14ac:dyDescent="0.2">
      <c r="A1550" t="s">
        <v>4638</v>
      </c>
      <c r="B1550">
        <v>1640</v>
      </c>
      <c r="C1550" t="s">
        <v>4638</v>
      </c>
      <c r="D1550">
        <v>54488</v>
      </c>
      <c r="E1550" t="s">
        <v>4639</v>
      </c>
      <c r="F1550">
        <v>2700</v>
      </c>
      <c r="G1550" t="s">
        <v>656</v>
      </c>
      <c r="H1550" t="s">
        <v>2428</v>
      </c>
      <c r="I1550" t="s">
        <v>1800</v>
      </c>
      <c r="J1550">
        <v>2701</v>
      </c>
      <c r="K1550" t="s">
        <v>1800</v>
      </c>
      <c r="L1550">
        <v>1100</v>
      </c>
      <c r="M1550" t="s">
        <v>616</v>
      </c>
      <c r="N1550">
        <v>1120</v>
      </c>
      <c r="O1550" t="s">
        <v>1485</v>
      </c>
      <c r="P1550" t="s">
        <v>2366</v>
      </c>
      <c r="Q1550" t="s">
        <v>2364</v>
      </c>
      <c r="R1550" t="s">
        <v>2364</v>
      </c>
      <c r="S1550" t="s">
        <v>1881</v>
      </c>
      <c r="T1550" t="s">
        <v>1812</v>
      </c>
      <c r="U1550" t="s">
        <v>2365</v>
      </c>
      <c r="V1550" t="s">
        <v>2365</v>
      </c>
      <c r="W1550" t="s">
        <v>2365</v>
      </c>
      <c r="X1550" t="s">
        <v>2365</v>
      </c>
      <c r="Y1550" t="s">
        <v>2365</v>
      </c>
      <c r="Z1550" t="s">
        <v>2365</v>
      </c>
      <c r="AA1550" t="s">
        <v>2365</v>
      </c>
      <c r="AB1550" t="s">
        <v>2365</v>
      </c>
      <c r="AC1550" s="813" t="s">
        <v>2365</v>
      </c>
      <c r="AD1550" s="813" t="s">
        <v>2365</v>
      </c>
      <c r="AE1550" s="813" t="s">
        <v>2365</v>
      </c>
      <c r="AF1550" t="s">
        <v>2365</v>
      </c>
      <c r="AG1550" t="s">
        <v>2365</v>
      </c>
      <c r="AH1550" t="s">
        <v>2365</v>
      </c>
      <c r="AI1550" t="s">
        <v>2365</v>
      </c>
      <c r="AJ1550" t="s">
        <v>2365</v>
      </c>
      <c r="AK1550" t="s">
        <v>2365</v>
      </c>
      <c r="AL1550" t="s">
        <v>2365</v>
      </c>
      <c r="AM1550" t="s">
        <v>2365</v>
      </c>
      <c r="AN1550" t="s">
        <v>2365</v>
      </c>
      <c r="AR1550" t="s">
        <v>2365</v>
      </c>
      <c r="AS1550" t="s">
        <v>2365</v>
      </c>
      <c r="AT1550" t="s">
        <v>2365</v>
      </c>
      <c r="AU1550" t="s">
        <v>2365</v>
      </c>
      <c r="AV1550" t="s">
        <v>2365</v>
      </c>
      <c r="AW1550" t="s">
        <v>2365</v>
      </c>
      <c r="AX1550" t="s">
        <v>2365</v>
      </c>
      <c r="AY1550" t="s">
        <v>2365</v>
      </c>
      <c r="AZ1550" t="s">
        <v>2365</v>
      </c>
      <c r="BA1550" t="s">
        <v>2365</v>
      </c>
      <c r="BB1550" t="s">
        <v>2365</v>
      </c>
      <c r="BC1550" t="s">
        <v>2365</v>
      </c>
      <c r="BD1550" t="s">
        <v>2366</v>
      </c>
      <c r="BE1550" t="s">
        <v>2365</v>
      </c>
      <c r="BF1550" t="s">
        <v>2365</v>
      </c>
      <c r="BG1550" t="s">
        <v>2365</v>
      </c>
      <c r="BH1550" t="s">
        <v>2365</v>
      </c>
      <c r="BI1550" t="s">
        <v>2366</v>
      </c>
      <c r="BJ1550" t="s">
        <v>2365</v>
      </c>
      <c r="BK1550" t="s">
        <v>2365</v>
      </c>
      <c r="BL1550" t="s">
        <v>2365</v>
      </c>
      <c r="BM1550" t="s">
        <v>2365</v>
      </c>
      <c r="BO1550">
        <v>3</v>
      </c>
      <c r="BP1550">
        <v>31</v>
      </c>
      <c r="BQ1550" t="s">
        <v>2716</v>
      </c>
      <c r="BR1550" t="s">
        <v>1485</v>
      </c>
      <c r="BU1550">
        <v>0</v>
      </c>
      <c r="BV1550">
        <v>0</v>
      </c>
      <c r="BW1550">
        <v>0</v>
      </c>
      <c r="BX1550">
        <v>0</v>
      </c>
      <c r="BY1550">
        <v>0</v>
      </c>
      <c r="BZ1550">
        <v>0</v>
      </c>
      <c r="CA1550">
        <v>0</v>
      </c>
      <c r="CB1550">
        <v>0</v>
      </c>
      <c r="CC1550">
        <v>0</v>
      </c>
      <c r="CD1550">
        <v>0</v>
      </c>
      <c r="CE1550">
        <v>0</v>
      </c>
      <c r="CF1550">
        <v>0</v>
      </c>
      <c r="CG1550">
        <v>0</v>
      </c>
      <c r="CH1550">
        <v>0</v>
      </c>
      <c r="CI1550">
        <v>0</v>
      </c>
      <c r="CJ1550">
        <v>0</v>
      </c>
      <c r="CK1550">
        <v>0</v>
      </c>
      <c r="CL1550">
        <v>0</v>
      </c>
      <c r="CM1550">
        <v>0</v>
      </c>
      <c r="CR1550" t="s">
        <v>2324</v>
      </c>
      <c r="CS1550" s="1369" t="str">
        <f>INDEX([8]Sheet1!$H:$H,MATCH(CR:CR,[8]Sheet1!$AU:$AU,0))</f>
        <v>Finance</v>
      </c>
    </row>
    <row r="1551" spans="1:97" x14ac:dyDescent="0.2">
      <c r="A1551" t="s">
        <v>4640</v>
      </c>
      <c r="B1551">
        <v>1641</v>
      </c>
      <c r="C1551" t="s">
        <v>4640</v>
      </c>
      <c r="D1551">
        <v>54489</v>
      </c>
      <c r="E1551" t="s">
        <v>3010</v>
      </c>
      <c r="F1551">
        <v>2700</v>
      </c>
      <c r="G1551" t="s">
        <v>656</v>
      </c>
      <c r="H1551" t="s">
        <v>2428</v>
      </c>
      <c r="I1551" t="s">
        <v>1800</v>
      </c>
      <c r="J1551">
        <v>2701</v>
      </c>
      <c r="K1551" t="s">
        <v>1800</v>
      </c>
      <c r="L1551">
        <v>1100</v>
      </c>
      <c r="M1551" t="s">
        <v>616</v>
      </c>
      <c r="N1551">
        <v>1120</v>
      </c>
      <c r="O1551" t="s">
        <v>1485</v>
      </c>
      <c r="P1551" t="s">
        <v>2366</v>
      </c>
      <c r="Q1551" t="s">
        <v>2364</v>
      </c>
      <c r="R1551" t="s">
        <v>2364</v>
      </c>
      <c r="S1551" t="s">
        <v>1881</v>
      </c>
      <c r="T1551" t="s">
        <v>1812</v>
      </c>
      <c r="U1551" t="s">
        <v>2365</v>
      </c>
      <c r="V1551" t="s">
        <v>2365</v>
      </c>
      <c r="W1551" t="s">
        <v>2365</v>
      </c>
      <c r="X1551" t="s">
        <v>2365</v>
      </c>
      <c r="Y1551" t="s">
        <v>2365</v>
      </c>
      <c r="Z1551" t="s">
        <v>2365</v>
      </c>
      <c r="AA1551" t="s">
        <v>2365</v>
      </c>
      <c r="AB1551" t="s">
        <v>2365</v>
      </c>
      <c r="AC1551" s="813" t="s">
        <v>2365</v>
      </c>
      <c r="AD1551" s="813" t="s">
        <v>2365</v>
      </c>
      <c r="AE1551" s="813" t="s">
        <v>2365</v>
      </c>
      <c r="AF1551" t="s">
        <v>2365</v>
      </c>
      <c r="AG1551" t="s">
        <v>2365</v>
      </c>
      <c r="AH1551" t="s">
        <v>2365</v>
      </c>
      <c r="AI1551" t="s">
        <v>2365</v>
      </c>
      <c r="AJ1551" t="s">
        <v>2365</v>
      </c>
      <c r="AK1551" t="s">
        <v>2365</v>
      </c>
      <c r="AL1551" t="s">
        <v>2365</v>
      </c>
      <c r="AM1551" t="s">
        <v>2365</v>
      </c>
      <c r="AN1551" t="s">
        <v>2365</v>
      </c>
      <c r="AR1551" t="s">
        <v>2365</v>
      </c>
      <c r="AS1551" t="s">
        <v>2365</v>
      </c>
      <c r="AT1551" t="s">
        <v>2365</v>
      </c>
      <c r="AU1551" t="s">
        <v>2365</v>
      </c>
      <c r="AV1551" t="s">
        <v>2365</v>
      </c>
      <c r="AW1551" t="s">
        <v>2365</v>
      </c>
      <c r="AX1551" t="s">
        <v>2365</v>
      </c>
      <c r="AY1551" t="s">
        <v>2365</v>
      </c>
      <c r="AZ1551" t="s">
        <v>2365</v>
      </c>
      <c r="BA1551" t="s">
        <v>2365</v>
      </c>
      <c r="BB1551" t="s">
        <v>2365</v>
      </c>
      <c r="BC1551" t="s">
        <v>2365</v>
      </c>
      <c r="BD1551" t="s">
        <v>2366</v>
      </c>
      <c r="BE1551" t="s">
        <v>2365</v>
      </c>
      <c r="BF1551" t="s">
        <v>2365</v>
      </c>
      <c r="BG1551" t="s">
        <v>2365</v>
      </c>
      <c r="BH1551" t="s">
        <v>2365</v>
      </c>
      <c r="BI1551" t="s">
        <v>2366</v>
      </c>
      <c r="BJ1551" t="s">
        <v>2365</v>
      </c>
      <c r="BK1551" t="s">
        <v>2365</v>
      </c>
      <c r="BL1551" t="s">
        <v>2365</v>
      </c>
      <c r="BM1551" t="s">
        <v>2365</v>
      </c>
      <c r="BO1551">
        <v>3</v>
      </c>
      <c r="BP1551">
        <v>31</v>
      </c>
      <c r="BQ1551" t="s">
        <v>2716</v>
      </c>
      <c r="BR1551" t="s">
        <v>1485</v>
      </c>
      <c r="BU1551">
        <v>0</v>
      </c>
      <c r="BV1551">
        <v>0</v>
      </c>
      <c r="BW1551">
        <v>0</v>
      </c>
      <c r="BX1551">
        <v>1300000</v>
      </c>
      <c r="BY1551">
        <v>1300000</v>
      </c>
      <c r="BZ1551">
        <v>0</v>
      </c>
      <c r="CA1551">
        <v>0</v>
      </c>
      <c r="CB1551">
        <v>94000</v>
      </c>
      <c r="CC1551">
        <v>94000</v>
      </c>
      <c r="CD1551">
        <v>94000</v>
      </c>
      <c r="CE1551">
        <v>94000</v>
      </c>
      <c r="CF1551">
        <v>94000</v>
      </c>
      <c r="CG1551">
        <v>6117.16</v>
      </c>
      <c r="CH1551">
        <v>188000</v>
      </c>
      <c r="CI1551">
        <v>0</v>
      </c>
      <c r="CJ1551">
        <v>94000</v>
      </c>
      <c r="CK1551">
        <v>0</v>
      </c>
      <c r="CL1551">
        <v>0</v>
      </c>
      <c r="CM1551">
        <v>0</v>
      </c>
      <c r="CR1551" t="s">
        <v>2337</v>
      </c>
      <c r="CS1551" s="1369" t="str">
        <f>INDEX([8]Sheet1!$H:$H,MATCH(CR:CR,[8]Sheet1!$AU:$AU,0))</f>
        <v>Corporate Wide Strategic Planning (IDPs, LEDs)</v>
      </c>
    </row>
    <row r="1552" spans="1:97" x14ac:dyDescent="0.2">
      <c r="A1552" t="s">
        <v>4641</v>
      </c>
      <c r="B1552">
        <v>1642</v>
      </c>
      <c r="C1552" t="s">
        <v>4641</v>
      </c>
      <c r="D1552">
        <v>54497</v>
      </c>
      <c r="E1552" t="s">
        <v>2600</v>
      </c>
      <c r="F1552">
        <v>2900</v>
      </c>
      <c r="G1552" t="s">
        <v>569</v>
      </c>
      <c r="H1552" s="1373" t="s">
        <v>2366</v>
      </c>
      <c r="I1552" t="s">
        <v>2366</v>
      </c>
      <c r="J1552">
        <v>2904</v>
      </c>
      <c r="K1552" t="s">
        <v>1432</v>
      </c>
      <c r="L1552" s="1373">
        <v>2100</v>
      </c>
      <c r="M1552" t="s">
        <v>618</v>
      </c>
      <c r="N1552">
        <v>2110</v>
      </c>
      <c r="O1552" t="s">
        <v>1293</v>
      </c>
      <c r="P1552" t="s">
        <v>2366</v>
      </c>
      <c r="Q1552" t="s">
        <v>2364</v>
      </c>
      <c r="R1552" t="s">
        <v>2364</v>
      </c>
      <c r="S1552" t="s">
        <v>1881</v>
      </c>
      <c r="T1552" t="s">
        <v>1812</v>
      </c>
      <c r="U1552" t="s">
        <v>2365</v>
      </c>
      <c r="V1552" t="s">
        <v>2365</v>
      </c>
      <c r="W1552" t="s">
        <v>2365</v>
      </c>
      <c r="X1552" t="s">
        <v>2365</v>
      </c>
      <c r="Y1552" t="s">
        <v>2365</v>
      </c>
      <c r="Z1552" t="s">
        <v>2365</v>
      </c>
      <c r="AA1552" t="s">
        <v>2365</v>
      </c>
      <c r="AB1552" t="s">
        <v>2365</v>
      </c>
      <c r="AC1552" s="813" t="s">
        <v>2365</v>
      </c>
      <c r="AD1552" s="813" t="s">
        <v>2365</v>
      </c>
      <c r="AE1552" s="813" t="s">
        <v>2365</v>
      </c>
      <c r="AF1552" t="s">
        <v>2365</v>
      </c>
      <c r="AG1552" t="s">
        <v>2365</v>
      </c>
      <c r="AH1552" t="s">
        <v>2365</v>
      </c>
      <c r="AI1552" t="s">
        <v>2365</v>
      </c>
      <c r="AJ1552" t="s">
        <v>2365</v>
      </c>
      <c r="AK1552" t="s">
        <v>2365</v>
      </c>
      <c r="AL1552" t="s">
        <v>2365</v>
      </c>
      <c r="AM1552" t="s">
        <v>2365</v>
      </c>
      <c r="AN1552" t="s">
        <v>2365</v>
      </c>
      <c r="AR1552" t="s">
        <v>2365</v>
      </c>
      <c r="AS1552" t="s">
        <v>2365</v>
      </c>
      <c r="AT1552" t="s">
        <v>2365</v>
      </c>
      <c r="AU1552" t="s">
        <v>2365</v>
      </c>
      <c r="AV1552" t="s">
        <v>2365</v>
      </c>
      <c r="AW1552" t="s">
        <v>2365</v>
      </c>
      <c r="AX1552" t="s">
        <v>2365</v>
      </c>
      <c r="AY1552" t="s">
        <v>2365</v>
      </c>
      <c r="AZ1552" t="s">
        <v>2365</v>
      </c>
      <c r="BA1552" t="s">
        <v>2365</v>
      </c>
      <c r="BB1552" t="s">
        <v>2365</v>
      </c>
      <c r="BC1552" t="s">
        <v>2365</v>
      </c>
      <c r="BD1552" t="s">
        <v>2366</v>
      </c>
      <c r="BE1552" t="s">
        <v>2365</v>
      </c>
      <c r="BF1552" t="s">
        <v>2365</v>
      </c>
      <c r="BG1552" t="s">
        <v>2365</v>
      </c>
      <c r="BH1552" t="s">
        <v>2365</v>
      </c>
      <c r="BI1552" t="s">
        <v>2366</v>
      </c>
      <c r="BJ1552" t="s">
        <v>2365</v>
      </c>
      <c r="BK1552" t="s">
        <v>2365</v>
      </c>
      <c r="BL1552" t="s">
        <v>2365</v>
      </c>
      <c r="BM1552" t="s">
        <v>2365</v>
      </c>
      <c r="BO1552">
        <v>5</v>
      </c>
      <c r="BP1552">
        <v>52</v>
      </c>
      <c r="BQ1552" t="s">
        <v>2438</v>
      </c>
      <c r="BR1552" t="s">
        <v>1293</v>
      </c>
      <c r="BU1552" s="1371">
        <v>50000</v>
      </c>
      <c r="BV1552" s="1371">
        <v>0</v>
      </c>
      <c r="BW1552" s="1371">
        <v>50000</v>
      </c>
      <c r="BX1552" s="1371">
        <v>-50000</v>
      </c>
      <c r="BY1552" s="1371">
        <v>0</v>
      </c>
      <c r="BZ1552">
        <v>53000</v>
      </c>
      <c r="CA1552">
        <v>56180</v>
      </c>
      <c r="CB1552">
        <v>0</v>
      </c>
      <c r="CC1552">
        <v>0</v>
      </c>
      <c r="CD1552">
        <v>89500</v>
      </c>
      <c r="CE1552">
        <v>0</v>
      </c>
      <c r="CF1552">
        <v>0</v>
      </c>
      <c r="CG1552">
        <v>0</v>
      </c>
      <c r="CH1552">
        <v>0</v>
      </c>
      <c r="CI1552">
        <v>0</v>
      </c>
      <c r="CJ1552">
        <v>0</v>
      </c>
      <c r="CK1552">
        <v>0</v>
      </c>
      <c r="CL1552">
        <v>0</v>
      </c>
      <c r="CM1552">
        <v>0</v>
      </c>
      <c r="CR1552" t="s">
        <v>2328</v>
      </c>
      <c r="CS1552" s="1369" t="str">
        <f>INDEX([8]Sheet1!$H:$H,MATCH(CR:CR,[8]Sheet1!$AU:$AU,0))</f>
        <v>Water Distribution</v>
      </c>
    </row>
    <row r="1553" spans="1:97" x14ac:dyDescent="0.2">
      <c r="A1553" t="s">
        <v>4642</v>
      </c>
      <c r="B1553">
        <v>1643</v>
      </c>
      <c r="C1553" t="s">
        <v>4642</v>
      </c>
      <c r="D1553">
        <v>54498</v>
      </c>
      <c r="E1553" t="s">
        <v>2427</v>
      </c>
      <c r="F1553">
        <v>2700</v>
      </c>
      <c r="G1553" t="s">
        <v>656</v>
      </c>
      <c r="H1553" s="1373" t="s">
        <v>2428</v>
      </c>
      <c r="I1553" t="s">
        <v>1800</v>
      </c>
      <c r="J1553">
        <v>2701</v>
      </c>
      <c r="K1553" t="s">
        <v>1800</v>
      </c>
      <c r="L1553" s="1373">
        <v>2100</v>
      </c>
      <c r="M1553" t="s">
        <v>618</v>
      </c>
      <c r="N1553">
        <v>2110</v>
      </c>
      <c r="O1553" t="s">
        <v>1293</v>
      </c>
      <c r="P1553" t="s">
        <v>2366</v>
      </c>
      <c r="Q1553" t="s">
        <v>2364</v>
      </c>
      <c r="R1553" t="s">
        <v>2364</v>
      </c>
      <c r="S1553" t="s">
        <v>1881</v>
      </c>
      <c r="T1553" t="s">
        <v>1812</v>
      </c>
      <c r="U1553" t="s">
        <v>2365</v>
      </c>
      <c r="V1553" t="s">
        <v>2365</v>
      </c>
      <c r="W1553" t="s">
        <v>2365</v>
      </c>
      <c r="X1553" t="s">
        <v>2365</v>
      </c>
      <c r="Y1553" t="s">
        <v>2365</v>
      </c>
      <c r="Z1553" t="s">
        <v>2365</v>
      </c>
      <c r="AA1553" t="s">
        <v>2365</v>
      </c>
      <c r="AB1553" t="s">
        <v>2365</v>
      </c>
      <c r="AC1553" s="813" t="s">
        <v>2365</v>
      </c>
      <c r="AD1553" s="813" t="s">
        <v>2365</v>
      </c>
      <c r="AE1553" s="813" t="s">
        <v>2365</v>
      </c>
      <c r="AF1553" t="s">
        <v>2365</v>
      </c>
      <c r="AG1553" t="s">
        <v>2365</v>
      </c>
      <c r="AH1553" t="s">
        <v>2365</v>
      </c>
      <c r="AI1553" t="s">
        <v>2365</v>
      </c>
      <c r="AJ1553" t="s">
        <v>2365</v>
      </c>
      <c r="AK1553" t="s">
        <v>2365</v>
      </c>
      <c r="AL1553" t="s">
        <v>2365</v>
      </c>
      <c r="AM1553" t="s">
        <v>2365</v>
      </c>
      <c r="AN1553" t="s">
        <v>2365</v>
      </c>
      <c r="AR1553" t="s">
        <v>2365</v>
      </c>
      <c r="AS1553" t="s">
        <v>2365</v>
      </c>
      <c r="AT1553" t="s">
        <v>2365</v>
      </c>
      <c r="AU1553" t="s">
        <v>2365</v>
      </c>
      <c r="AV1553" t="s">
        <v>2365</v>
      </c>
      <c r="AW1553" t="s">
        <v>2365</v>
      </c>
      <c r="AX1553" t="s">
        <v>2365</v>
      </c>
      <c r="AY1553" t="s">
        <v>2365</v>
      </c>
      <c r="AZ1553" t="s">
        <v>2365</v>
      </c>
      <c r="BA1553" t="s">
        <v>2365</v>
      </c>
      <c r="BB1553" t="s">
        <v>2365</v>
      </c>
      <c r="BC1553" t="s">
        <v>2365</v>
      </c>
      <c r="BD1553" t="s">
        <v>2366</v>
      </c>
      <c r="BE1553" t="s">
        <v>2365</v>
      </c>
      <c r="BF1553" t="s">
        <v>2365</v>
      </c>
      <c r="BG1553" t="s">
        <v>2365</v>
      </c>
      <c r="BH1553" t="s">
        <v>2365</v>
      </c>
      <c r="BI1553" t="s">
        <v>2366</v>
      </c>
      <c r="BJ1553" t="s">
        <v>2365</v>
      </c>
      <c r="BK1553" t="s">
        <v>2365</v>
      </c>
      <c r="BL1553" t="s">
        <v>2365</v>
      </c>
      <c r="BM1553" t="s">
        <v>2365</v>
      </c>
      <c r="BO1553">
        <v>5</v>
      </c>
      <c r="BP1553">
        <v>52</v>
      </c>
      <c r="BQ1553" t="s">
        <v>2438</v>
      </c>
      <c r="BR1553" t="s">
        <v>1293</v>
      </c>
      <c r="BU1553" s="1371">
        <v>60000</v>
      </c>
      <c r="BV1553" s="1371">
        <v>0</v>
      </c>
      <c r="BW1553" s="1371">
        <v>60000</v>
      </c>
      <c r="BX1553" s="1371">
        <v>-60000</v>
      </c>
      <c r="BY1553" s="1371">
        <v>0</v>
      </c>
      <c r="BZ1553">
        <v>63600</v>
      </c>
      <c r="CA1553">
        <v>67416</v>
      </c>
      <c r="CB1553">
        <v>0</v>
      </c>
      <c r="CC1553">
        <v>0</v>
      </c>
      <c r="CD1553">
        <v>-2000</v>
      </c>
      <c r="CE1553">
        <v>0</v>
      </c>
      <c r="CF1553">
        <v>0</v>
      </c>
      <c r="CG1553">
        <v>2000</v>
      </c>
      <c r="CH1553">
        <v>0</v>
      </c>
      <c r="CI1553">
        <v>0</v>
      </c>
      <c r="CJ1553">
        <v>0</v>
      </c>
      <c r="CK1553">
        <v>0</v>
      </c>
      <c r="CL1553">
        <v>0</v>
      </c>
      <c r="CM1553">
        <v>0</v>
      </c>
      <c r="CR1553" t="s">
        <v>2328</v>
      </c>
      <c r="CS1553" s="1369" t="str">
        <f>INDEX([8]Sheet1!$H:$H,MATCH(CR:CR,[8]Sheet1!$AU:$AU,0))</f>
        <v>Water Distribution</v>
      </c>
    </row>
    <row r="1554" spans="1:97" x14ac:dyDescent="0.2">
      <c r="A1554" t="s">
        <v>4643</v>
      </c>
      <c r="B1554">
        <v>1644</v>
      </c>
      <c r="C1554" t="s">
        <v>4643</v>
      </c>
      <c r="D1554">
        <v>54500</v>
      </c>
      <c r="E1554" t="s">
        <v>4600</v>
      </c>
      <c r="F1554">
        <v>2700</v>
      </c>
      <c r="G1554" t="s">
        <v>656</v>
      </c>
      <c r="H1554" t="s">
        <v>2664</v>
      </c>
      <c r="I1554" t="s">
        <v>1801</v>
      </c>
      <c r="J1554">
        <v>2702</v>
      </c>
      <c r="K1554" t="s">
        <v>1801</v>
      </c>
      <c r="L1554">
        <v>1100</v>
      </c>
      <c r="M1554" t="s">
        <v>616</v>
      </c>
      <c r="N1554">
        <v>1120</v>
      </c>
      <c r="O1554" t="s">
        <v>1485</v>
      </c>
      <c r="P1554" t="s">
        <v>2366</v>
      </c>
      <c r="Q1554" t="s">
        <v>2364</v>
      </c>
      <c r="R1554" t="s">
        <v>2364</v>
      </c>
      <c r="S1554" t="s">
        <v>1881</v>
      </c>
      <c r="T1554" t="s">
        <v>1812</v>
      </c>
      <c r="U1554" t="s">
        <v>2365</v>
      </c>
      <c r="V1554" t="s">
        <v>2365</v>
      </c>
      <c r="W1554" t="s">
        <v>2365</v>
      </c>
      <c r="X1554" t="s">
        <v>2365</v>
      </c>
      <c r="Y1554" t="s">
        <v>2365</v>
      </c>
      <c r="Z1554" t="s">
        <v>2365</v>
      </c>
      <c r="AA1554" t="s">
        <v>2365</v>
      </c>
      <c r="AB1554" t="s">
        <v>2365</v>
      </c>
      <c r="AC1554" s="813" t="s">
        <v>2365</v>
      </c>
      <c r="AD1554" s="813" t="s">
        <v>2365</v>
      </c>
      <c r="AE1554" s="813" t="s">
        <v>2365</v>
      </c>
      <c r="AF1554" t="s">
        <v>2365</v>
      </c>
      <c r="AG1554" t="s">
        <v>2365</v>
      </c>
      <c r="AH1554" t="s">
        <v>2365</v>
      </c>
      <c r="AI1554" t="s">
        <v>2365</v>
      </c>
      <c r="AJ1554" t="s">
        <v>2365</v>
      </c>
      <c r="AK1554" t="s">
        <v>2365</v>
      </c>
      <c r="AL1554" t="s">
        <v>2365</v>
      </c>
      <c r="AM1554" t="s">
        <v>2365</v>
      </c>
      <c r="AN1554" t="s">
        <v>2365</v>
      </c>
      <c r="AR1554" t="s">
        <v>2365</v>
      </c>
      <c r="AS1554" t="s">
        <v>2365</v>
      </c>
      <c r="AT1554" t="s">
        <v>2365</v>
      </c>
      <c r="AU1554" t="s">
        <v>2365</v>
      </c>
      <c r="AV1554" t="s">
        <v>2365</v>
      </c>
      <c r="AW1554" t="s">
        <v>2365</v>
      </c>
      <c r="AX1554" t="s">
        <v>2365</v>
      </c>
      <c r="AY1554" t="s">
        <v>2365</v>
      </c>
      <c r="AZ1554" t="s">
        <v>2365</v>
      </c>
      <c r="BA1554" t="s">
        <v>2365</v>
      </c>
      <c r="BB1554" t="s">
        <v>2365</v>
      </c>
      <c r="BC1554" t="s">
        <v>2365</v>
      </c>
      <c r="BD1554" t="s">
        <v>2366</v>
      </c>
      <c r="BE1554" t="s">
        <v>2365</v>
      </c>
      <c r="BF1554" t="s">
        <v>2365</v>
      </c>
      <c r="BG1554" t="s">
        <v>2365</v>
      </c>
      <c r="BH1554" t="s">
        <v>2365</v>
      </c>
      <c r="BI1554" t="s">
        <v>2366</v>
      </c>
      <c r="BJ1554" t="s">
        <v>2365</v>
      </c>
      <c r="BK1554" t="s">
        <v>2365</v>
      </c>
      <c r="BL1554" t="s">
        <v>2365</v>
      </c>
      <c r="BM1554" t="s">
        <v>2365</v>
      </c>
      <c r="BO1554">
        <v>3</v>
      </c>
      <c r="BP1554">
        <v>31</v>
      </c>
      <c r="BQ1554" t="s">
        <v>2716</v>
      </c>
      <c r="BR1554" t="s">
        <v>1485</v>
      </c>
      <c r="BU1554">
        <v>0</v>
      </c>
      <c r="BV1554">
        <v>0</v>
      </c>
      <c r="BW1554" s="1371">
        <v>0</v>
      </c>
      <c r="BX1554" s="1372">
        <v>0</v>
      </c>
      <c r="BY1554">
        <v>0</v>
      </c>
      <c r="BZ1554">
        <v>0</v>
      </c>
      <c r="CA1554">
        <v>0</v>
      </c>
      <c r="CB1554">
        <v>0</v>
      </c>
      <c r="CC1554">
        <v>0</v>
      </c>
      <c r="CD1554">
        <v>0</v>
      </c>
      <c r="CE1554">
        <v>0</v>
      </c>
      <c r="CF1554">
        <v>0</v>
      </c>
      <c r="CG1554">
        <v>0</v>
      </c>
      <c r="CH1554">
        <v>0</v>
      </c>
      <c r="CI1554">
        <v>0</v>
      </c>
      <c r="CJ1554">
        <v>0</v>
      </c>
      <c r="CK1554">
        <v>0</v>
      </c>
      <c r="CL1554">
        <v>0</v>
      </c>
      <c r="CM1554">
        <v>0</v>
      </c>
      <c r="CR1554" t="s">
        <v>2324</v>
      </c>
      <c r="CS1554" s="1369" t="str">
        <f>INDEX([8]Sheet1!$H:$H,MATCH(CR:CR,[8]Sheet1!$AU:$AU,0))</f>
        <v>Finance</v>
      </c>
    </row>
    <row r="1555" spans="1:97" x14ac:dyDescent="0.2">
      <c r="A1555" t="s">
        <v>4644</v>
      </c>
      <c r="B1555">
        <v>1645</v>
      </c>
      <c r="C1555" t="s">
        <v>4644</v>
      </c>
      <c r="D1555">
        <v>54501</v>
      </c>
      <c r="E1555" t="s">
        <v>2427</v>
      </c>
      <c r="F1555">
        <v>2700</v>
      </c>
      <c r="G1555" t="s">
        <v>656</v>
      </c>
      <c r="H1555" t="s">
        <v>2428</v>
      </c>
      <c r="I1555" t="s">
        <v>1800</v>
      </c>
      <c r="J1555">
        <v>2701</v>
      </c>
      <c r="K1555" t="s">
        <v>1800</v>
      </c>
      <c r="L1555">
        <v>2100</v>
      </c>
      <c r="M1555" t="s">
        <v>618</v>
      </c>
      <c r="N1555">
        <v>2118</v>
      </c>
      <c r="O1555" t="s">
        <v>1509</v>
      </c>
      <c r="P1555" t="s">
        <v>2366</v>
      </c>
      <c r="Q1555" t="s">
        <v>2364</v>
      </c>
      <c r="R1555" t="s">
        <v>2364</v>
      </c>
      <c r="S1555" t="s">
        <v>1881</v>
      </c>
      <c r="T1555" t="s">
        <v>1812</v>
      </c>
      <c r="U1555" t="s">
        <v>2365</v>
      </c>
      <c r="V1555" t="s">
        <v>2365</v>
      </c>
      <c r="W1555" t="s">
        <v>2365</v>
      </c>
      <c r="X1555" t="s">
        <v>2365</v>
      </c>
      <c r="Y1555" t="s">
        <v>2365</v>
      </c>
      <c r="Z1555" t="s">
        <v>2365</v>
      </c>
      <c r="AA1555" t="s">
        <v>2365</v>
      </c>
      <c r="AB1555" t="s">
        <v>2365</v>
      </c>
      <c r="AC1555" s="813" t="s">
        <v>2365</v>
      </c>
      <c r="AD1555" s="813" t="s">
        <v>2365</v>
      </c>
      <c r="AE1555" s="813" t="s">
        <v>2365</v>
      </c>
      <c r="AF1555" t="s">
        <v>2365</v>
      </c>
      <c r="AG1555" t="s">
        <v>2365</v>
      </c>
      <c r="AH1555" t="s">
        <v>2365</v>
      </c>
      <c r="AI1555" t="s">
        <v>2365</v>
      </c>
      <c r="AJ1555" t="s">
        <v>2365</v>
      </c>
      <c r="AK1555" t="s">
        <v>2365</v>
      </c>
      <c r="AL1555" t="s">
        <v>2365</v>
      </c>
      <c r="AM1555" t="s">
        <v>2365</v>
      </c>
      <c r="AN1555" t="s">
        <v>2365</v>
      </c>
      <c r="AR1555" t="s">
        <v>2365</v>
      </c>
      <c r="AS1555" t="s">
        <v>2365</v>
      </c>
      <c r="AT1555" t="s">
        <v>2365</v>
      </c>
      <c r="AU1555" t="s">
        <v>2365</v>
      </c>
      <c r="AV1555" t="s">
        <v>2365</v>
      </c>
      <c r="AW1555" t="s">
        <v>2365</v>
      </c>
      <c r="AX1555" t="s">
        <v>2365</v>
      </c>
      <c r="AY1555" t="s">
        <v>2365</v>
      </c>
      <c r="AZ1555" t="s">
        <v>2365</v>
      </c>
      <c r="BA1555" t="s">
        <v>2365</v>
      </c>
      <c r="BB1555" t="s">
        <v>2365</v>
      </c>
      <c r="BC1555" t="s">
        <v>2365</v>
      </c>
      <c r="BD1555" t="s">
        <v>2366</v>
      </c>
      <c r="BE1555" t="s">
        <v>2365</v>
      </c>
      <c r="BF1555" t="s">
        <v>2365</v>
      </c>
      <c r="BG1555" t="s">
        <v>2365</v>
      </c>
      <c r="BH1555" t="s">
        <v>2365</v>
      </c>
      <c r="BI1555" t="s">
        <v>2366</v>
      </c>
      <c r="BJ1555" t="s">
        <v>2365</v>
      </c>
      <c r="BK1555" t="s">
        <v>2365</v>
      </c>
      <c r="BL1555" t="s">
        <v>2365</v>
      </c>
      <c r="BM1555" t="s">
        <v>2365</v>
      </c>
      <c r="BO1555">
        <v>4</v>
      </c>
      <c r="BP1555">
        <v>43</v>
      </c>
      <c r="BQ1555" t="s">
        <v>2433</v>
      </c>
      <c r="BR1555" t="s">
        <v>1509</v>
      </c>
      <c r="BU1555">
        <v>0</v>
      </c>
      <c r="BV1555">
        <v>0</v>
      </c>
      <c r="BW1555" s="1371">
        <v>0</v>
      </c>
      <c r="BX1555" s="1372">
        <v>0</v>
      </c>
      <c r="BY1555">
        <v>0</v>
      </c>
      <c r="BZ1555">
        <v>0</v>
      </c>
      <c r="CA1555">
        <v>0</v>
      </c>
      <c r="CB1555">
        <v>0</v>
      </c>
      <c r="CC1555">
        <v>0</v>
      </c>
      <c r="CD1555">
        <v>0</v>
      </c>
      <c r="CE1555">
        <v>0</v>
      </c>
      <c r="CF1555">
        <v>0</v>
      </c>
      <c r="CG1555">
        <v>0</v>
      </c>
      <c r="CH1555">
        <v>0</v>
      </c>
      <c r="CI1555">
        <v>0</v>
      </c>
      <c r="CJ1555">
        <v>0</v>
      </c>
      <c r="CK1555">
        <v>0</v>
      </c>
      <c r="CL1555">
        <v>0</v>
      </c>
      <c r="CM1555">
        <v>0</v>
      </c>
      <c r="CR1555" t="s">
        <v>2324</v>
      </c>
      <c r="CS1555" s="1369" t="str">
        <f>INDEX([8]Sheet1!$H:$H,MATCH(CR:CR,[8]Sheet1!$AU:$AU,0))</f>
        <v>Finance</v>
      </c>
    </row>
    <row r="1556" spans="1:97" x14ac:dyDescent="0.2">
      <c r="A1556" t="s">
        <v>4645</v>
      </c>
      <c r="B1556">
        <v>1646</v>
      </c>
      <c r="C1556" t="s">
        <v>4645</v>
      </c>
      <c r="D1556">
        <v>54502</v>
      </c>
      <c r="E1556" t="s">
        <v>2430</v>
      </c>
      <c r="F1556">
        <v>2700</v>
      </c>
      <c r="G1556" t="s">
        <v>656</v>
      </c>
      <c r="H1556" t="s">
        <v>2428</v>
      </c>
      <c r="I1556" t="s">
        <v>1800</v>
      </c>
      <c r="J1556">
        <v>2701</v>
      </c>
      <c r="K1556" t="s">
        <v>1800</v>
      </c>
      <c r="L1556">
        <v>2100</v>
      </c>
      <c r="M1556" t="s">
        <v>618</v>
      </c>
      <c r="N1556">
        <v>2118</v>
      </c>
      <c r="O1556" t="s">
        <v>1509</v>
      </c>
      <c r="P1556" t="s">
        <v>2366</v>
      </c>
      <c r="Q1556" t="s">
        <v>2364</v>
      </c>
      <c r="R1556" t="s">
        <v>2364</v>
      </c>
      <c r="S1556" t="s">
        <v>1881</v>
      </c>
      <c r="T1556" t="s">
        <v>1812</v>
      </c>
      <c r="U1556" t="s">
        <v>2365</v>
      </c>
      <c r="V1556" t="s">
        <v>2365</v>
      </c>
      <c r="W1556" t="s">
        <v>2365</v>
      </c>
      <c r="X1556" t="s">
        <v>2365</v>
      </c>
      <c r="Y1556" t="s">
        <v>2365</v>
      </c>
      <c r="Z1556" t="s">
        <v>2365</v>
      </c>
      <c r="AA1556" t="s">
        <v>2365</v>
      </c>
      <c r="AB1556" t="s">
        <v>2365</v>
      </c>
      <c r="AC1556" s="813" t="s">
        <v>2365</v>
      </c>
      <c r="AD1556" s="813" t="s">
        <v>2365</v>
      </c>
      <c r="AE1556" s="813" t="s">
        <v>2365</v>
      </c>
      <c r="AF1556" t="s">
        <v>2365</v>
      </c>
      <c r="AG1556" t="s">
        <v>2365</v>
      </c>
      <c r="AH1556" t="s">
        <v>2365</v>
      </c>
      <c r="AI1556" t="s">
        <v>2365</v>
      </c>
      <c r="AJ1556" t="s">
        <v>2365</v>
      </c>
      <c r="AK1556" t="s">
        <v>2365</v>
      </c>
      <c r="AL1556" t="s">
        <v>2365</v>
      </c>
      <c r="AM1556" t="s">
        <v>2365</v>
      </c>
      <c r="AN1556" t="s">
        <v>2365</v>
      </c>
      <c r="AR1556" t="s">
        <v>2365</v>
      </c>
      <c r="AS1556" t="s">
        <v>2365</v>
      </c>
      <c r="AT1556" t="s">
        <v>2365</v>
      </c>
      <c r="AU1556" t="s">
        <v>2365</v>
      </c>
      <c r="AV1556" t="s">
        <v>2365</v>
      </c>
      <c r="AW1556" t="s">
        <v>2365</v>
      </c>
      <c r="AX1556" t="s">
        <v>2365</v>
      </c>
      <c r="AY1556" t="s">
        <v>2365</v>
      </c>
      <c r="AZ1556" t="s">
        <v>2365</v>
      </c>
      <c r="BA1556" t="s">
        <v>2365</v>
      </c>
      <c r="BB1556" t="s">
        <v>2365</v>
      </c>
      <c r="BC1556" t="s">
        <v>2365</v>
      </c>
      <c r="BD1556" t="s">
        <v>2366</v>
      </c>
      <c r="BE1556" t="s">
        <v>2365</v>
      </c>
      <c r="BF1556" t="s">
        <v>2365</v>
      </c>
      <c r="BG1556" t="s">
        <v>2365</v>
      </c>
      <c r="BH1556" t="s">
        <v>2365</v>
      </c>
      <c r="BI1556" t="s">
        <v>2366</v>
      </c>
      <c r="BJ1556" t="s">
        <v>2365</v>
      </c>
      <c r="BK1556" t="s">
        <v>2365</v>
      </c>
      <c r="BL1556" t="s">
        <v>2365</v>
      </c>
      <c r="BM1556" t="s">
        <v>2365</v>
      </c>
      <c r="BO1556">
        <v>4</v>
      </c>
      <c r="BP1556">
        <v>43</v>
      </c>
      <c r="BQ1556" t="s">
        <v>2433</v>
      </c>
      <c r="BR1556" t="s">
        <v>1509</v>
      </c>
      <c r="BU1556">
        <v>0</v>
      </c>
      <c r="BV1556">
        <v>0</v>
      </c>
      <c r="BW1556">
        <v>0</v>
      </c>
      <c r="BX1556">
        <v>0</v>
      </c>
      <c r="BY1556">
        <v>0</v>
      </c>
      <c r="BZ1556">
        <v>0</v>
      </c>
      <c r="CA1556">
        <v>0</v>
      </c>
      <c r="CB1556">
        <v>0</v>
      </c>
      <c r="CC1556">
        <v>0</v>
      </c>
      <c r="CD1556">
        <v>0</v>
      </c>
      <c r="CE1556">
        <v>0</v>
      </c>
      <c r="CF1556">
        <v>0</v>
      </c>
      <c r="CG1556">
        <v>8000</v>
      </c>
      <c r="CH1556">
        <v>0</v>
      </c>
      <c r="CI1556">
        <v>0</v>
      </c>
      <c r="CJ1556">
        <v>0</v>
      </c>
      <c r="CK1556">
        <v>0</v>
      </c>
      <c r="CL1556">
        <v>0</v>
      </c>
      <c r="CM1556">
        <v>0</v>
      </c>
      <c r="CR1556" t="s">
        <v>2337</v>
      </c>
      <c r="CS1556" s="1369" t="str">
        <f>INDEX([8]Sheet1!$H:$H,MATCH(CR:CR,[8]Sheet1!$AU:$AU,0))</f>
        <v>Corporate Wide Strategic Planning (IDPs, LEDs)</v>
      </c>
    </row>
    <row r="1557" spans="1:97" x14ac:dyDescent="0.2">
      <c r="A1557" t="s">
        <v>4646</v>
      </c>
      <c r="B1557">
        <v>1647</v>
      </c>
      <c r="C1557" t="s">
        <v>4646</v>
      </c>
      <c r="D1557">
        <v>54504</v>
      </c>
      <c r="E1557" t="s">
        <v>3010</v>
      </c>
      <c r="F1557">
        <v>2700</v>
      </c>
      <c r="G1557" t="s">
        <v>656</v>
      </c>
      <c r="H1557" t="s">
        <v>2428</v>
      </c>
      <c r="I1557" t="s">
        <v>1800</v>
      </c>
      <c r="J1557">
        <v>2701</v>
      </c>
      <c r="K1557" t="s">
        <v>1800</v>
      </c>
      <c r="L1557">
        <v>1200</v>
      </c>
      <c r="M1557" t="s">
        <v>1480</v>
      </c>
      <c r="N1557">
        <v>1207</v>
      </c>
      <c r="O1557" t="s">
        <v>997</v>
      </c>
      <c r="P1557" t="s">
        <v>2366</v>
      </c>
      <c r="Q1557" t="s">
        <v>2364</v>
      </c>
      <c r="R1557" t="s">
        <v>2364</v>
      </c>
      <c r="S1557" t="s">
        <v>1881</v>
      </c>
      <c r="T1557" t="s">
        <v>1812</v>
      </c>
      <c r="U1557" t="s">
        <v>2365</v>
      </c>
      <c r="V1557" t="s">
        <v>2365</v>
      </c>
      <c r="W1557" t="s">
        <v>2365</v>
      </c>
      <c r="X1557" t="s">
        <v>2365</v>
      </c>
      <c r="Y1557" t="s">
        <v>2365</v>
      </c>
      <c r="Z1557" t="s">
        <v>2365</v>
      </c>
      <c r="AA1557" t="s">
        <v>2365</v>
      </c>
      <c r="AB1557" t="s">
        <v>2365</v>
      </c>
      <c r="AC1557" s="813" t="s">
        <v>2365</v>
      </c>
      <c r="AD1557" s="813" t="s">
        <v>2365</v>
      </c>
      <c r="AE1557" s="813" t="s">
        <v>2365</v>
      </c>
      <c r="AF1557" t="s">
        <v>2365</v>
      </c>
      <c r="AG1557" t="s">
        <v>2365</v>
      </c>
      <c r="AH1557" t="s">
        <v>2365</v>
      </c>
      <c r="AI1557" t="s">
        <v>2365</v>
      </c>
      <c r="AJ1557" t="s">
        <v>2365</v>
      </c>
      <c r="AK1557" t="s">
        <v>2365</v>
      </c>
      <c r="AL1557" t="s">
        <v>2365</v>
      </c>
      <c r="AM1557" t="s">
        <v>2365</v>
      </c>
      <c r="AN1557" t="s">
        <v>2365</v>
      </c>
      <c r="AR1557" t="s">
        <v>2365</v>
      </c>
      <c r="AS1557" t="s">
        <v>2365</v>
      </c>
      <c r="AT1557" t="s">
        <v>2365</v>
      </c>
      <c r="AU1557" t="s">
        <v>2365</v>
      </c>
      <c r="AV1557" t="s">
        <v>2365</v>
      </c>
      <c r="AW1557" t="s">
        <v>2365</v>
      </c>
      <c r="AX1557" t="s">
        <v>2365</v>
      </c>
      <c r="AY1557" t="s">
        <v>2365</v>
      </c>
      <c r="AZ1557" t="s">
        <v>2365</v>
      </c>
      <c r="BA1557" t="s">
        <v>2365</v>
      </c>
      <c r="BB1557" t="s">
        <v>2365</v>
      </c>
      <c r="BC1557" t="s">
        <v>2365</v>
      </c>
      <c r="BD1557" t="s">
        <v>2366</v>
      </c>
      <c r="BE1557" t="s">
        <v>2365</v>
      </c>
      <c r="BF1557" t="s">
        <v>2365</v>
      </c>
      <c r="BG1557" t="s">
        <v>2365</v>
      </c>
      <c r="BH1557" t="s">
        <v>2365</v>
      </c>
      <c r="BI1557" t="s">
        <v>2366</v>
      </c>
      <c r="BJ1557" t="s">
        <v>2365</v>
      </c>
      <c r="BK1557" t="s">
        <v>2365</v>
      </c>
      <c r="BL1557" t="s">
        <v>2365</v>
      </c>
      <c r="BM1557" t="s">
        <v>2365</v>
      </c>
      <c r="BO1557">
        <v>1</v>
      </c>
      <c r="BP1557">
        <v>18</v>
      </c>
      <c r="BQ1557" t="s">
        <v>2369</v>
      </c>
      <c r="BR1557" t="s">
        <v>997</v>
      </c>
      <c r="BU1557">
        <v>200000</v>
      </c>
      <c r="BV1557">
        <v>0</v>
      </c>
      <c r="BW1557">
        <v>200000</v>
      </c>
      <c r="BX1557">
        <v>-130000</v>
      </c>
      <c r="BY1557">
        <v>70000</v>
      </c>
      <c r="BZ1557">
        <v>212000</v>
      </c>
      <c r="CA1557">
        <v>224720</v>
      </c>
      <c r="CB1557">
        <v>10300</v>
      </c>
      <c r="CC1557">
        <v>0</v>
      </c>
      <c r="CD1557">
        <v>0</v>
      </c>
      <c r="CE1557">
        <v>13011.55</v>
      </c>
      <c r="CF1557">
        <v>7754.42</v>
      </c>
      <c r="CG1557">
        <v>0</v>
      </c>
      <c r="CH1557">
        <v>0</v>
      </c>
      <c r="CI1557">
        <v>0</v>
      </c>
      <c r="CJ1557">
        <v>0</v>
      </c>
      <c r="CK1557">
        <v>0</v>
      </c>
      <c r="CL1557">
        <v>0</v>
      </c>
      <c r="CM1557">
        <v>0</v>
      </c>
      <c r="CR1557" t="s">
        <v>2326</v>
      </c>
      <c r="CS1557" s="1369" t="str">
        <f>INDEX([8]Sheet1!$H:$H,MATCH(CR:CR,[8]Sheet1!$AU:$AU,0))</f>
        <v>Supply Chain Management</v>
      </c>
    </row>
    <row r="1558" spans="1:97" x14ac:dyDescent="0.2">
      <c r="A1558" t="s">
        <v>4647</v>
      </c>
      <c r="B1558">
        <v>1648</v>
      </c>
      <c r="C1558" t="s">
        <v>4647</v>
      </c>
      <c r="D1558">
        <v>54505</v>
      </c>
      <c r="E1558" t="s">
        <v>2430</v>
      </c>
      <c r="F1558">
        <v>2700</v>
      </c>
      <c r="G1558" t="s">
        <v>656</v>
      </c>
      <c r="H1558" t="s">
        <v>2428</v>
      </c>
      <c r="I1558" t="s">
        <v>1800</v>
      </c>
      <c r="J1558">
        <v>2701</v>
      </c>
      <c r="K1558" t="s">
        <v>1800</v>
      </c>
      <c r="L1558">
        <v>2100</v>
      </c>
      <c r="M1558" t="s">
        <v>618</v>
      </c>
      <c r="N1558">
        <v>2118</v>
      </c>
      <c r="O1558" t="s">
        <v>1509</v>
      </c>
      <c r="P1558" t="s">
        <v>2366</v>
      </c>
      <c r="Q1558" t="s">
        <v>2364</v>
      </c>
      <c r="R1558" t="s">
        <v>2364</v>
      </c>
      <c r="S1558" t="s">
        <v>1881</v>
      </c>
      <c r="T1558" t="s">
        <v>1812</v>
      </c>
      <c r="U1558" t="s">
        <v>2365</v>
      </c>
      <c r="V1558" t="s">
        <v>2365</v>
      </c>
      <c r="W1558" t="s">
        <v>2365</v>
      </c>
      <c r="X1558" t="s">
        <v>2365</v>
      </c>
      <c r="Y1558" t="s">
        <v>2365</v>
      </c>
      <c r="Z1558" t="s">
        <v>2365</v>
      </c>
      <c r="AA1558" t="s">
        <v>2365</v>
      </c>
      <c r="AB1558" t="s">
        <v>2365</v>
      </c>
      <c r="AC1558" s="813" t="s">
        <v>2365</v>
      </c>
      <c r="AD1558" s="813" t="s">
        <v>2365</v>
      </c>
      <c r="AE1558" s="813" t="s">
        <v>2365</v>
      </c>
      <c r="AF1558" t="s">
        <v>2365</v>
      </c>
      <c r="AG1558" t="s">
        <v>2365</v>
      </c>
      <c r="AH1558" t="s">
        <v>2365</v>
      </c>
      <c r="AI1558" t="s">
        <v>2365</v>
      </c>
      <c r="AJ1558" t="s">
        <v>2365</v>
      </c>
      <c r="AK1558" t="s">
        <v>2365</v>
      </c>
      <c r="AL1558" t="s">
        <v>2365</v>
      </c>
      <c r="AM1558" t="s">
        <v>2365</v>
      </c>
      <c r="AN1558" t="s">
        <v>2365</v>
      </c>
      <c r="AR1558" t="s">
        <v>2365</v>
      </c>
      <c r="AS1558" t="s">
        <v>2365</v>
      </c>
      <c r="AT1558" t="s">
        <v>2365</v>
      </c>
      <c r="AU1558" t="s">
        <v>2365</v>
      </c>
      <c r="AV1558" t="s">
        <v>2365</v>
      </c>
      <c r="AW1558" t="s">
        <v>2365</v>
      </c>
      <c r="AX1558" t="s">
        <v>2365</v>
      </c>
      <c r="AY1558" t="s">
        <v>2365</v>
      </c>
      <c r="AZ1558" t="s">
        <v>2365</v>
      </c>
      <c r="BA1558" t="s">
        <v>2365</v>
      </c>
      <c r="BB1558" t="s">
        <v>2365</v>
      </c>
      <c r="BC1558" t="s">
        <v>2365</v>
      </c>
      <c r="BD1558" t="s">
        <v>2366</v>
      </c>
      <c r="BE1558" t="s">
        <v>2365</v>
      </c>
      <c r="BF1558" t="s">
        <v>2365</v>
      </c>
      <c r="BG1558" t="s">
        <v>2365</v>
      </c>
      <c r="BH1558" t="s">
        <v>2365</v>
      </c>
      <c r="BI1558" t="s">
        <v>2366</v>
      </c>
      <c r="BJ1558" t="s">
        <v>2365</v>
      </c>
      <c r="BK1558" t="s">
        <v>2365</v>
      </c>
      <c r="BL1558" t="s">
        <v>2365</v>
      </c>
      <c r="BM1558" t="s">
        <v>2365</v>
      </c>
      <c r="BO1558">
        <v>4</v>
      </c>
      <c r="BP1558">
        <v>43</v>
      </c>
      <c r="BQ1558" t="s">
        <v>2433</v>
      </c>
      <c r="BR1558" t="s">
        <v>1509</v>
      </c>
      <c r="BU1558">
        <v>50000</v>
      </c>
      <c r="BV1558">
        <v>0</v>
      </c>
      <c r="BW1558">
        <v>50000</v>
      </c>
      <c r="BX1558">
        <v>20300</v>
      </c>
      <c r="BY1558">
        <v>70300</v>
      </c>
      <c r="BZ1558">
        <v>53000</v>
      </c>
      <c r="CA1558">
        <v>56180</v>
      </c>
      <c r="CB1558">
        <v>0</v>
      </c>
      <c r="CC1558">
        <v>0</v>
      </c>
      <c r="CD1558">
        <v>0</v>
      </c>
      <c r="CE1558">
        <v>0</v>
      </c>
      <c r="CF1558">
        <v>41700</v>
      </c>
      <c r="CG1558">
        <v>0</v>
      </c>
      <c r="CH1558">
        <v>0</v>
      </c>
      <c r="CI1558">
        <v>0</v>
      </c>
      <c r="CJ1558">
        <v>0</v>
      </c>
      <c r="CK1558">
        <v>0</v>
      </c>
      <c r="CL1558">
        <v>0</v>
      </c>
      <c r="CM1558">
        <v>0</v>
      </c>
      <c r="CR1558" t="s">
        <v>2349</v>
      </c>
      <c r="CS1558" s="1369" t="str">
        <f>INDEX([8]Sheet1!$H:$H,MATCH(CR:CR,[8]Sheet1!$AU:$AU,0))</f>
        <v>Valuation Service</v>
      </c>
    </row>
    <row r="1559" spans="1:97" x14ac:dyDescent="0.2">
      <c r="A1559" t="s">
        <v>4648</v>
      </c>
      <c r="B1559">
        <v>1649</v>
      </c>
      <c r="C1559" t="s">
        <v>4648</v>
      </c>
      <c r="D1559">
        <v>54506</v>
      </c>
      <c r="E1559" t="s">
        <v>2430</v>
      </c>
      <c r="F1559">
        <v>2700</v>
      </c>
      <c r="G1559" t="s">
        <v>656</v>
      </c>
      <c r="H1559" t="s">
        <v>2428</v>
      </c>
      <c r="I1559" t="s">
        <v>1800</v>
      </c>
      <c r="J1559">
        <v>2701</v>
      </c>
      <c r="K1559" t="s">
        <v>1800</v>
      </c>
      <c r="L1559">
        <v>2100</v>
      </c>
      <c r="M1559" t="s">
        <v>618</v>
      </c>
      <c r="N1559">
        <v>2118</v>
      </c>
      <c r="O1559" t="s">
        <v>1509</v>
      </c>
      <c r="P1559" t="s">
        <v>2366</v>
      </c>
      <c r="Q1559" t="s">
        <v>2364</v>
      </c>
      <c r="R1559" t="s">
        <v>2364</v>
      </c>
      <c r="S1559" t="s">
        <v>1881</v>
      </c>
      <c r="T1559" t="s">
        <v>1812</v>
      </c>
      <c r="U1559" t="s">
        <v>2365</v>
      </c>
      <c r="V1559" t="s">
        <v>2365</v>
      </c>
      <c r="W1559" t="s">
        <v>2365</v>
      </c>
      <c r="X1559" t="s">
        <v>2365</v>
      </c>
      <c r="Y1559" t="s">
        <v>2365</v>
      </c>
      <c r="Z1559" t="s">
        <v>2365</v>
      </c>
      <c r="AA1559" t="s">
        <v>2365</v>
      </c>
      <c r="AB1559" t="s">
        <v>2365</v>
      </c>
      <c r="AC1559" s="813" t="s">
        <v>2365</v>
      </c>
      <c r="AD1559" s="813" t="s">
        <v>2365</v>
      </c>
      <c r="AE1559" s="813" t="s">
        <v>2365</v>
      </c>
      <c r="AF1559" t="s">
        <v>2365</v>
      </c>
      <c r="AG1559" t="s">
        <v>2365</v>
      </c>
      <c r="AH1559" t="s">
        <v>2365</v>
      </c>
      <c r="AI1559" t="s">
        <v>2365</v>
      </c>
      <c r="AJ1559" t="s">
        <v>2365</v>
      </c>
      <c r="AK1559" t="s">
        <v>2365</v>
      </c>
      <c r="AL1559" t="s">
        <v>2365</v>
      </c>
      <c r="AM1559" t="s">
        <v>2365</v>
      </c>
      <c r="AN1559" t="s">
        <v>2365</v>
      </c>
      <c r="AR1559" t="s">
        <v>2365</v>
      </c>
      <c r="AS1559" t="s">
        <v>2365</v>
      </c>
      <c r="AT1559" t="s">
        <v>2365</v>
      </c>
      <c r="AU1559" t="s">
        <v>2365</v>
      </c>
      <c r="AV1559" t="s">
        <v>2365</v>
      </c>
      <c r="AW1559" t="s">
        <v>2365</v>
      </c>
      <c r="AX1559" t="s">
        <v>2365</v>
      </c>
      <c r="AY1559" t="s">
        <v>2365</v>
      </c>
      <c r="AZ1559" t="s">
        <v>2365</v>
      </c>
      <c r="BA1559" t="s">
        <v>2365</v>
      </c>
      <c r="BB1559" t="s">
        <v>2365</v>
      </c>
      <c r="BC1559" t="s">
        <v>2365</v>
      </c>
      <c r="BD1559" t="s">
        <v>2366</v>
      </c>
      <c r="BE1559" t="s">
        <v>2365</v>
      </c>
      <c r="BF1559" t="s">
        <v>2365</v>
      </c>
      <c r="BG1559" t="s">
        <v>2365</v>
      </c>
      <c r="BH1559" t="s">
        <v>2365</v>
      </c>
      <c r="BI1559" t="s">
        <v>2366</v>
      </c>
      <c r="BJ1559" t="s">
        <v>2365</v>
      </c>
      <c r="BK1559" t="s">
        <v>2365</v>
      </c>
      <c r="BL1559" t="s">
        <v>2365</v>
      </c>
      <c r="BM1559" t="s">
        <v>2365</v>
      </c>
      <c r="BO1559">
        <v>4</v>
      </c>
      <c r="BP1559">
        <v>43</v>
      </c>
      <c r="BQ1559" t="s">
        <v>2433</v>
      </c>
      <c r="BR1559" t="s">
        <v>1509</v>
      </c>
      <c r="BU1559">
        <v>30000</v>
      </c>
      <c r="BV1559">
        <v>0</v>
      </c>
      <c r="BW1559">
        <v>30000</v>
      </c>
      <c r="BX1559">
        <v>0</v>
      </c>
      <c r="BY1559">
        <v>30000</v>
      </c>
      <c r="BZ1559">
        <v>31800</v>
      </c>
      <c r="CA1559">
        <v>33708</v>
      </c>
      <c r="CB1559">
        <v>0</v>
      </c>
      <c r="CC1559">
        <v>0</v>
      </c>
      <c r="CD1559">
        <v>0</v>
      </c>
      <c r="CE1559">
        <v>0</v>
      </c>
      <c r="CF1559">
        <v>0</v>
      </c>
      <c r="CG1559">
        <v>0</v>
      </c>
      <c r="CH1559">
        <v>0</v>
      </c>
      <c r="CI1559">
        <v>0</v>
      </c>
      <c r="CJ1559">
        <v>0</v>
      </c>
      <c r="CK1559">
        <v>0</v>
      </c>
      <c r="CL1559">
        <v>0</v>
      </c>
      <c r="CM1559">
        <v>0</v>
      </c>
      <c r="CR1559" t="s">
        <v>2350</v>
      </c>
      <c r="CS1559" s="1369" t="str">
        <f>INDEX([8]Sheet1!$H:$H,MATCH(CR:CR,[8]Sheet1!$AU:$AU,0))</f>
        <v>Risk Management</v>
      </c>
    </row>
    <row r="1560" spans="1:97" x14ac:dyDescent="0.2">
      <c r="A1560" t="s">
        <v>4649</v>
      </c>
      <c r="B1560">
        <v>1650</v>
      </c>
      <c r="C1560" t="s">
        <v>4649</v>
      </c>
      <c r="D1560">
        <v>54507</v>
      </c>
      <c r="E1560" t="s">
        <v>2427</v>
      </c>
      <c r="F1560">
        <v>2700</v>
      </c>
      <c r="G1560" t="s">
        <v>656</v>
      </c>
      <c r="H1560" t="s">
        <v>2428</v>
      </c>
      <c r="I1560" t="s">
        <v>1800</v>
      </c>
      <c r="J1560">
        <v>2701</v>
      </c>
      <c r="K1560" t="s">
        <v>1800</v>
      </c>
      <c r="L1560">
        <v>2100</v>
      </c>
      <c r="M1560" t="s">
        <v>618</v>
      </c>
      <c r="N1560">
        <v>2118</v>
      </c>
      <c r="O1560" t="s">
        <v>1509</v>
      </c>
      <c r="P1560" t="s">
        <v>2366</v>
      </c>
      <c r="Q1560" t="s">
        <v>2364</v>
      </c>
      <c r="R1560" t="s">
        <v>2364</v>
      </c>
      <c r="S1560" t="s">
        <v>1881</v>
      </c>
      <c r="T1560" t="s">
        <v>1812</v>
      </c>
      <c r="U1560" t="s">
        <v>2365</v>
      </c>
      <c r="V1560" t="s">
        <v>2365</v>
      </c>
      <c r="W1560" t="s">
        <v>2365</v>
      </c>
      <c r="X1560" t="s">
        <v>2365</v>
      </c>
      <c r="Y1560" t="s">
        <v>2365</v>
      </c>
      <c r="Z1560" t="s">
        <v>2365</v>
      </c>
      <c r="AA1560" t="s">
        <v>2365</v>
      </c>
      <c r="AB1560" t="s">
        <v>2365</v>
      </c>
      <c r="AC1560" s="813" t="s">
        <v>2365</v>
      </c>
      <c r="AD1560" s="813" t="s">
        <v>2365</v>
      </c>
      <c r="AE1560" s="813" t="s">
        <v>2365</v>
      </c>
      <c r="AF1560" t="s">
        <v>2365</v>
      </c>
      <c r="AG1560" t="s">
        <v>2365</v>
      </c>
      <c r="AH1560" t="s">
        <v>2365</v>
      </c>
      <c r="AI1560" t="s">
        <v>2365</v>
      </c>
      <c r="AJ1560" t="s">
        <v>2365</v>
      </c>
      <c r="AK1560" t="s">
        <v>2365</v>
      </c>
      <c r="AL1560" t="s">
        <v>2365</v>
      </c>
      <c r="AM1560" t="s">
        <v>2365</v>
      </c>
      <c r="AN1560" t="s">
        <v>2365</v>
      </c>
      <c r="AR1560" t="s">
        <v>2365</v>
      </c>
      <c r="AS1560" t="s">
        <v>2365</v>
      </c>
      <c r="AT1560" t="s">
        <v>2365</v>
      </c>
      <c r="AU1560" t="s">
        <v>2365</v>
      </c>
      <c r="AV1560" t="s">
        <v>2365</v>
      </c>
      <c r="AW1560" t="s">
        <v>2365</v>
      </c>
      <c r="AX1560" t="s">
        <v>2365</v>
      </c>
      <c r="AY1560" t="s">
        <v>2365</v>
      </c>
      <c r="AZ1560" t="s">
        <v>2365</v>
      </c>
      <c r="BA1560" t="s">
        <v>2365</v>
      </c>
      <c r="BB1560" t="s">
        <v>2365</v>
      </c>
      <c r="BC1560" t="s">
        <v>2365</v>
      </c>
      <c r="BD1560" t="s">
        <v>2366</v>
      </c>
      <c r="BE1560" t="s">
        <v>2365</v>
      </c>
      <c r="BF1560" t="s">
        <v>2365</v>
      </c>
      <c r="BG1560" t="s">
        <v>2365</v>
      </c>
      <c r="BH1560" t="s">
        <v>2365</v>
      </c>
      <c r="BI1560" t="s">
        <v>2366</v>
      </c>
      <c r="BJ1560" t="s">
        <v>2365</v>
      </c>
      <c r="BK1560" t="s">
        <v>2365</v>
      </c>
      <c r="BL1560" t="s">
        <v>2365</v>
      </c>
      <c r="BM1560" t="s">
        <v>2365</v>
      </c>
      <c r="BO1560">
        <v>4</v>
      </c>
      <c r="BP1560">
        <v>43</v>
      </c>
      <c r="BQ1560" t="s">
        <v>2433</v>
      </c>
      <c r="BR1560" t="s">
        <v>1509</v>
      </c>
      <c r="BU1560">
        <v>30000</v>
      </c>
      <c r="BV1560">
        <v>0</v>
      </c>
      <c r="BW1560">
        <v>30000</v>
      </c>
      <c r="BX1560">
        <v>0</v>
      </c>
      <c r="BY1560">
        <v>30000</v>
      </c>
      <c r="BZ1560">
        <v>31800</v>
      </c>
      <c r="CA1560">
        <v>33708</v>
      </c>
      <c r="CB1560">
        <v>0</v>
      </c>
      <c r="CC1560">
        <v>0</v>
      </c>
      <c r="CD1560">
        <v>0</v>
      </c>
      <c r="CE1560">
        <v>0</v>
      </c>
      <c r="CF1560">
        <v>0</v>
      </c>
      <c r="CG1560">
        <v>0</v>
      </c>
      <c r="CH1560">
        <v>0</v>
      </c>
      <c r="CI1560">
        <v>0</v>
      </c>
      <c r="CJ1560">
        <v>0</v>
      </c>
      <c r="CK1560">
        <v>0</v>
      </c>
      <c r="CL1560">
        <v>0</v>
      </c>
      <c r="CM1560">
        <v>0</v>
      </c>
      <c r="CR1560" t="s">
        <v>2351</v>
      </c>
      <c r="CS1560" s="1369" t="str">
        <f>INDEX([8]Sheet1!$H:$H,MATCH(CR:CR,[8]Sheet1!$AU:$AU,0))</f>
        <v>Fleet Management</v>
      </c>
    </row>
    <row r="1561" spans="1:97" x14ac:dyDescent="0.2">
      <c r="A1561" t="s">
        <v>4650</v>
      </c>
      <c r="B1561">
        <v>1651</v>
      </c>
      <c r="C1561" t="s">
        <v>4650</v>
      </c>
      <c r="D1561">
        <v>54508</v>
      </c>
      <c r="E1561" t="s">
        <v>2615</v>
      </c>
      <c r="F1561">
        <v>2700</v>
      </c>
      <c r="G1561" t="s">
        <v>656</v>
      </c>
      <c r="H1561" s="1373" t="s">
        <v>2478</v>
      </c>
      <c r="I1561" t="s">
        <v>1802</v>
      </c>
      <c r="J1561">
        <v>2703</v>
      </c>
      <c r="K1561" t="s">
        <v>1802</v>
      </c>
      <c r="L1561" s="1373">
        <v>2100</v>
      </c>
      <c r="M1561" t="s">
        <v>618</v>
      </c>
      <c r="N1561">
        <v>2118</v>
      </c>
      <c r="O1561" t="s">
        <v>1509</v>
      </c>
      <c r="P1561" t="s">
        <v>2366</v>
      </c>
      <c r="Q1561" t="s">
        <v>2364</v>
      </c>
      <c r="R1561" t="s">
        <v>2364</v>
      </c>
      <c r="S1561" t="s">
        <v>1881</v>
      </c>
      <c r="T1561" t="s">
        <v>1812</v>
      </c>
      <c r="U1561" t="s">
        <v>2365</v>
      </c>
      <c r="V1561" t="s">
        <v>2365</v>
      </c>
      <c r="W1561" t="s">
        <v>2365</v>
      </c>
      <c r="X1561" t="s">
        <v>2365</v>
      </c>
      <c r="Y1561" t="s">
        <v>2365</v>
      </c>
      <c r="Z1561" t="s">
        <v>2365</v>
      </c>
      <c r="AA1561" t="s">
        <v>2365</v>
      </c>
      <c r="AB1561" t="s">
        <v>2365</v>
      </c>
      <c r="AC1561" s="813" t="s">
        <v>2365</v>
      </c>
      <c r="AD1561" s="813" t="s">
        <v>2365</v>
      </c>
      <c r="AE1561" s="813" t="s">
        <v>2365</v>
      </c>
      <c r="AF1561" t="s">
        <v>2365</v>
      </c>
      <c r="AG1561" t="s">
        <v>2365</v>
      </c>
      <c r="AH1561" t="s">
        <v>2365</v>
      </c>
      <c r="AI1561" t="s">
        <v>2365</v>
      </c>
      <c r="AJ1561" t="s">
        <v>2365</v>
      </c>
      <c r="AK1561" t="s">
        <v>2365</v>
      </c>
      <c r="AL1561" t="s">
        <v>2365</v>
      </c>
      <c r="AM1561" t="s">
        <v>2365</v>
      </c>
      <c r="AN1561" t="s">
        <v>2365</v>
      </c>
      <c r="AR1561" t="s">
        <v>2365</v>
      </c>
      <c r="AS1561" t="s">
        <v>2365</v>
      </c>
      <c r="AT1561" t="s">
        <v>2365</v>
      </c>
      <c r="AU1561" t="s">
        <v>2365</v>
      </c>
      <c r="AV1561" t="s">
        <v>2365</v>
      </c>
      <c r="AW1561" t="s">
        <v>2365</v>
      </c>
      <c r="AX1561" t="s">
        <v>2365</v>
      </c>
      <c r="AY1561" t="s">
        <v>2365</v>
      </c>
      <c r="AZ1561" t="s">
        <v>2365</v>
      </c>
      <c r="BA1561" t="s">
        <v>2365</v>
      </c>
      <c r="BB1561" t="s">
        <v>2365</v>
      </c>
      <c r="BC1561" t="s">
        <v>2365</v>
      </c>
      <c r="BD1561" t="s">
        <v>2366</v>
      </c>
      <c r="BE1561" t="s">
        <v>2365</v>
      </c>
      <c r="BF1561" t="s">
        <v>2365</v>
      </c>
      <c r="BG1561" t="s">
        <v>2365</v>
      </c>
      <c r="BH1561" t="s">
        <v>2365</v>
      </c>
      <c r="BI1561" t="s">
        <v>2366</v>
      </c>
      <c r="BJ1561" t="s">
        <v>2365</v>
      </c>
      <c r="BK1561" t="s">
        <v>2365</v>
      </c>
      <c r="BL1561" t="s">
        <v>2365</v>
      </c>
      <c r="BM1561" t="s">
        <v>2365</v>
      </c>
      <c r="BO1561">
        <v>4</v>
      </c>
      <c r="BP1561">
        <v>43</v>
      </c>
      <c r="BQ1561" t="s">
        <v>2433</v>
      </c>
      <c r="BR1561" t="s">
        <v>1509</v>
      </c>
      <c r="BU1561" s="1371">
        <v>5000</v>
      </c>
      <c r="BV1561" s="1371">
        <v>0</v>
      </c>
      <c r="BW1561" s="1371">
        <v>5000</v>
      </c>
      <c r="BX1561" s="1371">
        <v>0</v>
      </c>
      <c r="BY1561" s="1371">
        <v>5000</v>
      </c>
      <c r="BZ1561">
        <v>5300</v>
      </c>
      <c r="CA1561">
        <v>5618</v>
      </c>
      <c r="CB1561">
        <v>0</v>
      </c>
      <c r="CC1561">
        <v>0</v>
      </c>
      <c r="CD1561">
        <v>0</v>
      </c>
      <c r="CE1561">
        <v>0</v>
      </c>
      <c r="CF1561">
        <v>0</v>
      </c>
      <c r="CG1561">
        <v>0</v>
      </c>
      <c r="CH1561">
        <v>0</v>
      </c>
      <c r="CI1561">
        <v>0</v>
      </c>
      <c r="CJ1561">
        <v>0</v>
      </c>
      <c r="CK1561">
        <v>0</v>
      </c>
      <c r="CL1561">
        <v>0</v>
      </c>
      <c r="CM1561">
        <v>0</v>
      </c>
      <c r="CR1561" t="s">
        <v>2337</v>
      </c>
      <c r="CS1561" s="1369" t="str">
        <f>INDEX([8]Sheet1!$H:$H,MATCH(CR:CR,[8]Sheet1!$AU:$AU,0))</f>
        <v>Corporate Wide Strategic Planning (IDPs, LEDs)</v>
      </c>
    </row>
    <row r="1562" spans="1:97" x14ac:dyDescent="0.2">
      <c r="A1562" t="s">
        <v>4651</v>
      </c>
      <c r="B1562">
        <v>1652</v>
      </c>
      <c r="C1562" t="s">
        <v>4651</v>
      </c>
      <c r="D1562">
        <v>54509</v>
      </c>
      <c r="E1562" t="s">
        <v>2508</v>
      </c>
      <c r="F1562">
        <v>2900</v>
      </c>
      <c r="G1562" t="s">
        <v>569</v>
      </c>
      <c r="H1562" s="1373" t="s">
        <v>2366</v>
      </c>
      <c r="I1562" t="s">
        <v>2366</v>
      </c>
      <c r="J1562">
        <v>2904</v>
      </c>
      <c r="K1562" t="s">
        <v>1432</v>
      </c>
      <c r="L1562" s="1373">
        <v>2100</v>
      </c>
      <c r="M1562" t="s">
        <v>618</v>
      </c>
      <c r="N1562">
        <v>2118</v>
      </c>
      <c r="O1562" t="s">
        <v>1509</v>
      </c>
      <c r="P1562" t="s">
        <v>2366</v>
      </c>
      <c r="Q1562" t="s">
        <v>2364</v>
      </c>
      <c r="R1562" t="s">
        <v>2364</v>
      </c>
      <c r="S1562" t="s">
        <v>1881</v>
      </c>
      <c r="T1562" t="s">
        <v>1812</v>
      </c>
      <c r="U1562" t="s">
        <v>2365</v>
      </c>
      <c r="V1562" t="s">
        <v>2365</v>
      </c>
      <c r="W1562" t="s">
        <v>2365</v>
      </c>
      <c r="X1562" t="s">
        <v>2365</v>
      </c>
      <c r="Y1562" t="s">
        <v>2365</v>
      </c>
      <c r="Z1562" t="s">
        <v>2365</v>
      </c>
      <c r="AA1562" t="s">
        <v>2365</v>
      </c>
      <c r="AB1562" t="s">
        <v>2365</v>
      </c>
      <c r="AC1562" s="813" t="s">
        <v>2365</v>
      </c>
      <c r="AD1562" s="813" t="s">
        <v>2365</v>
      </c>
      <c r="AE1562" s="813" t="s">
        <v>2365</v>
      </c>
      <c r="AF1562" t="s">
        <v>2365</v>
      </c>
      <c r="AG1562" t="s">
        <v>2365</v>
      </c>
      <c r="AH1562" t="s">
        <v>2365</v>
      </c>
      <c r="AI1562" t="s">
        <v>2365</v>
      </c>
      <c r="AJ1562" t="s">
        <v>2365</v>
      </c>
      <c r="AK1562" t="s">
        <v>2365</v>
      </c>
      <c r="AL1562" t="s">
        <v>2365</v>
      </c>
      <c r="AM1562" t="s">
        <v>2365</v>
      </c>
      <c r="AN1562" t="s">
        <v>2365</v>
      </c>
      <c r="AR1562" t="s">
        <v>2365</v>
      </c>
      <c r="AS1562" t="s">
        <v>2365</v>
      </c>
      <c r="AT1562" t="s">
        <v>2365</v>
      </c>
      <c r="AU1562" t="s">
        <v>2365</v>
      </c>
      <c r="AV1562" t="s">
        <v>2365</v>
      </c>
      <c r="AW1562" t="s">
        <v>2365</v>
      </c>
      <c r="AX1562" t="s">
        <v>2365</v>
      </c>
      <c r="AY1562" t="s">
        <v>2365</v>
      </c>
      <c r="AZ1562" t="s">
        <v>2365</v>
      </c>
      <c r="BA1562" t="s">
        <v>2365</v>
      </c>
      <c r="BB1562" t="s">
        <v>2365</v>
      </c>
      <c r="BC1562" t="s">
        <v>2365</v>
      </c>
      <c r="BD1562" t="s">
        <v>2366</v>
      </c>
      <c r="BE1562" t="s">
        <v>2365</v>
      </c>
      <c r="BF1562" t="s">
        <v>2365</v>
      </c>
      <c r="BG1562" t="s">
        <v>2365</v>
      </c>
      <c r="BH1562" t="s">
        <v>2365</v>
      </c>
      <c r="BI1562" t="s">
        <v>2366</v>
      </c>
      <c r="BJ1562" t="s">
        <v>2365</v>
      </c>
      <c r="BK1562" t="s">
        <v>2365</v>
      </c>
      <c r="BL1562" t="s">
        <v>2365</v>
      </c>
      <c r="BM1562" t="s">
        <v>2365</v>
      </c>
      <c r="BO1562">
        <v>4</v>
      </c>
      <c r="BP1562">
        <v>43</v>
      </c>
      <c r="BQ1562" t="s">
        <v>2433</v>
      </c>
      <c r="BR1562" t="s">
        <v>1509</v>
      </c>
      <c r="BU1562" s="1371">
        <v>0</v>
      </c>
      <c r="BV1562" s="1371">
        <v>0</v>
      </c>
      <c r="BW1562" s="1371">
        <v>0</v>
      </c>
      <c r="BX1562" s="1371">
        <v>0</v>
      </c>
      <c r="BY1562" s="1371">
        <v>0</v>
      </c>
      <c r="BZ1562">
        <v>0</v>
      </c>
      <c r="CA1562">
        <v>0</v>
      </c>
      <c r="CB1562">
        <v>0</v>
      </c>
      <c r="CC1562">
        <v>0</v>
      </c>
      <c r="CD1562">
        <v>0</v>
      </c>
      <c r="CE1562">
        <v>0</v>
      </c>
      <c r="CF1562">
        <v>0</v>
      </c>
      <c r="CG1562">
        <v>0</v>
      </c>
      <c r="CH1562">
        <v>0</v>
      </c>
      <c r="CI1562">
        <v>0</v>
      </c>
      <c r="CJ1562">
        <v>0</v>
      </c>
      <c r="CK1562">
        <v>0</v>
      </c>
      <c r="CL1562">
        <v>0</v>
      </c>
      <c r="CM1562">
        <v>0</v>
      </c>
      <c r="CR1562" t="s">
        <v>2327</v>
      </c>
      <c r="CS1562" s="1369" t="str">
        <f>INDEX([8]Sheet1!$H:$H,MATCH(CR:CR,[8]Sheet1!$AU:$AU,0))</f>
        <v>Education</v>
      </c>
    </row>
    <row r="1563" spans="1:97" x14ac:dyDescent="0.2">
      <c r="A1563" t="s">
        <v>4652</v>
      </c>
      <c r="B1563">
        <v>1653</v>
      </c>
      <c r="C1563" t="s">
        <v>4652</v>
      </c>
      <c r="D1563">
        <v>54510</v>
      </c>
      <c r="E1563" t="s">
        <v>2430</v>
      </c>
      <c r="F1563">
        <v>2700</v>
      </c>
      <c r="G1563" t="s">
        <v>656</v>
      </c>
      <c r="H1563" s="1373" t="s">
        <v>2428</v>
      </c>
      <c r="I1563" t="s">
        <v>1800</v>
      </c>
      <c r="J1563">
        <v>2701</v>
      </c>
      <c r="K1563" t="s">
        <v>1800</v>
      </c>
      <c r="L1563" s="1373">
        <v>2100</v>
      </c>
      <c r="M1563" t="s">
        <v>618</v>
      </c>
      <c r="N1563">
        <v>2118</v>
      </c>
      <c r="O1563" t="s">
        <v>1509</v>
      </c>
      <c r="P1563" t="s">
        <v>2366</v>
      </c>
      <c r="Q1563" t="s">
        <v>2364</v>
      </c>
      <c r="R1563" t="s">
        <v>2364</v>
      </c>
      <c r="S1563" t="s">
        <v>1881</v>
      </c>
      <c r="T1563" t="s">
        <v>1812</v>
      </c>
      <c r="U1563" t="s">
        <v>2365</v>
      </c>
      <c r="V1563" t="s">
        <v>2365</v>
      </c>
      <c r="W1563" t="s">
        <v>2365</v>
      </c>
      <c r="X1563" t="s">
        <v>2365</v>
      </c>
      <c r="Y1563" t="s">
        <v>2365</v>
      </c>
      <c r="Z1563" t="s">
        <v>2365</v>
      </c>
      <c r="AA1563" t="s">
        <v>2365</v>
      </c>
      <c r="AB1563" t="s">
        <v>2365</v>
      </c>
      <c r="AC1563" s="813" t="s">
        <v>2365</v>
      </c>
      <c r="AD1563" s="813" t="s">
        <v>2365</v>
      </c>
      <c r="AE1563" s="813" t="s">
        <v>2365</v>
      </c>
      <c r="AF1563" t="s">
        <v>2365</v>
      </c>
      <c r="AG1563" t="s">
        <v>2365</v>
      </c>
      <c r="AH1563" t="s">
        <v>2365</v>
      </c>
      <c r="AI1563" t="s">
        <v>2365</v>
      </c>
      <c r="AJ1563" t="s">
        <v>2365</v>
      </c>
      <c r="AK1563" t="s">
        <v>2365</v>
      </c>
      <c r="AL1563" t="s">
        <v>2365</v>
      </c>
      <c r="AM1563" t="s">
        <v>2365</v>
      </c>
      <c r="AN1563" t="s">
        <v>2365</v>
      </c>
      <c r="AR1563" t="s">
        <v>2365</v>
      </c>
      <c r="AS1563" t="s">
        <v>2365</v>
      </c>
      <c r="AT1563" t="s">
        <v>2365</v>
      </c>
      <c r="AU1563" t="s">
        <v>2365</v>
      </c>
      <c r="AV1563" t="s">
        <v>2365</v>
      </c>
      <c r="AW1563" t="s">
        <v>2365</v>
      </c>
      <c r="AX1563" t="s">
        <v>2365</v>
      </c>
      <c r="AY1563" t="s">
        <v>2365</v>
      </c>
      <c r="AZ1563" t="s">
        <v>2365</v>
      </c>
      <c r="BA1563" t="s">
        <v>2365</v>
      </c>
      <c r="BB1563" t="s">
        <v>2365</v>
      </c>
      <c r="BC1563" t="s">
        <v>2365</v>
      </c>
      <c r="BD1563" t="s">
        <v>2366</v>
      </c>
      <c r="BE1563" t="s">
        <v>2365</v>
      </c>
      <c r="BF1563" t="s">
        <v>2365</v>
      </c>
      <c r="BG1563" t="s">
        <v>2365</v>
      </c>
      <c r="BH1563" t="s">
        <v>2365</v>
      </c>
      <c r="BI1563" t="s">
        <v>2366</v>
      </c>
      <c r="BJ1563" t="s">
        <v>2365</v>
      </c>
      <c r="BK1563" t="s">
        <v>2365</v>
      </c>
      <c r="BL1563" t="s">
        <v>2365</v>
      </c>
      <c r="BM1563" t="s">
        <v>2365</v>
      </c>
      <c r="BO1563">
        <v>4</v>
      </c>
      <c r="BP1563">
        <v>43</v>
      </c>
      <c r="BQ1563" t="s">
        <v>2433</v>
      </c>
      <c r="BR1563" t="s">
        <v>1509</v>
      </c>
      <c r="BU1563" s="1371">
        <v>40000</v>
      </c>
      <c r="BV1563" s="1371">
        <v>0</v>
      </c>
      <c r="BW1563" s="1371">
        <v>40000</v>
      </c>
      <c r="BX1563" s="1371">
        <v>0</v>
      </c>
      <c r="BY1563" s="1371">
        <v>40000</v>
      </c>
      <c r="BZ1563">
        <v>42400</v>
      </c>
      <c r="CA1563">
        <v>44944</v>
      </c>
      <c r="CB1563">
        <v>0</v>
      </c>
      <c r="CC1563">
        <v>0</v>
      </c>
      <c r="CD1563">
        <v>0</v>
      </c>
      <c r="CE1563">
        <v>0</v>
      </c>
      <c r="CF1563">
        <v>0</v>
      </c>
      <c r="CG1563">
        <v>0</v>
      </c>
      <c r="CH1563">
        <v>0</v>
      </c>
      <c r="CI1563">
        <v>0</v>
      </c>
      <c r="CJ1563">
        <v>0</v>
      </c>
      <c r="CK1563">
        <v>0</v>
      </c>
      <c r="CL1563">
        <v>0</v>
      </c>
      <c r="CM1563">
        <v>0</v>
      </c>
      <c r="CR1563" t="s">
        <v>2327</v>
      </c>
      <c r="CS1563" s="1369" t="str">
        <f>INDEX([8]Sheet1!$H:$H,MATCH(CR:CR,[8]Sheet1!$AU:$AU,0))</f>
        <v>Education</v>
      </c>
    </row>
    <row r="1564" spans="1:97" x14ac:dyDescent="0.2">
      <c r="A1564" t="s">
        <v>4653</v>
      </c>
      <c r="B1564">
        <v>1654</v>
      </c>
      <c r="C1564" t="s">
        <v>4653</v>
      </c>
      <c r="D1564">
        <v>54511</v>
      </c>
      <c r="E1564" t="s">
        <v>2499</v>
      </c>
      <c r="F1564">
        <v>2900</v>
      </c>
      <c r="G1564" t="s">
        <v>569</v>
      </c>
      <c r="H1564" s="1373" t="s">
        <v>2366</v>
      </c>
      <c r="I1564" t="s">
        <v>2366</v>
      </c>
      <c r="J1564">
        <v>2904</v>
      </c>
      <c r="K1564" t="s">
        <v>1432</v>
      </c>
      <c r="L1564" s="1373">
        <v>2100</v>
      </c>
      <c r="M1564" t="s">
        <v>618</v>
      </c>
      <c r="N1564">
        <v>2118</v>
      </c>
      <c r="O1564" t="s">
        <v>1509</v>
      </c>
      <c r="P1564" t="s">
        <v>2366</v>
      </c>
      <c r="Q1564" t="s">
        <v>2364</v>
      </c>
      <c r="R1564" t="s">
        <v>2364</v>
      </c>
      <c r="S1564" t="s">
        <v>1881</v>
      </c>
      <c r="T1564" t="s">
        <v>1812</v>
      </c>
      <c r="U1564" t="s">
        <v>2365</v>
      </c>
      <c r="V1564" t="s">
        <v>2365</v>
      </c>
      <c r="W1564" t="s">
        <v>2365</v>
      </c>
      <c r="X1564" t="s">
        <v>2365</v>
      </c>
      <c r="Y1564" t="s">
        <v>2365</v>
      </c>
      <c r="Z1564" t="s">
        <v>2365</v>
      </c>
      <c r="AA1564" t="s">
        <v>2365</v>
      </c>
      <c r="AB1564" t="s">
        <v>2365</v>
      </c>
      <c r="AC1564" s="813" t="s">
        <v>2365</v>
      </c>
      <c r="AD1564" s="813" t="s">
        <v>2365</v>
      </c>
      <c r="AE1564" s="813" t="s">
        <v>2365</v>
      </c>
      <c r="AF1564" t="s">
        <v>2365</v>
      </c>
      <c r="AG1564" t="s">
        <v>2365</v>
      </c>
      <c r="AH1564" t="s">
        <v>2365</v>
      </c>
      <c r="AI1564" t="s">
        <v>2365</v>
      </c>
      <c r="AJ1564" t="s">
        <v>2365</v>
      </c>
      <c r="AK1564" t="s">
        <v>2365</v>
      </c>
      <c r="AL1564" t="s">
        <v>2365</v>
      </c>
      <c r="AM1564" t="s">
        <v>2365</v>
      </c>
      <c r="AN1564" t="s">
        <v>2365</v>
      </c>
      <c r="AR1564" t="s">
        <v>2365</v>
      </c>
      <c r="AS1564" t="s">
        <v>2365</v>
      </c>
      <c r="AT1564" t="s">
        <v>2365</v>
      </c>
      <c r="AU1564" t="s">
        <v>2365</v>
      </c>
      <c r="AV1564" t="s">
        <v>2365</v>
      </c>
      <c r="AW1564" t="s">
        <v>2365</v>
      </c>
      <c r="AX1564" t="s">
        <v>2365</v>
      </c>
      <c r="AY1564" t="s">
        <v>2365</v>
      </c>
      <c r="AZ1564" t="s">
        <v>2365</v>
      </c>
      <c r="BA1564" t="s">
        <v>2365</v>
      </c>
      <c r="BB1564" t="s">
        <v>2365</v>
      </c>
      <c r="BC1564" t="s">
        <v>2365</v>
      </c>
      <c r="BD1564" t="s">
        <v>2366</v>
      </c>
      <c r="BE1564" t="s">
        <v>2365</v>
      </c>
      <c r="BF1564" t="s">
        <v>2365</v>
      </c>
      <c r="BG1564" t="s">
        <v>2365</v>
      </c>
      <c r="BH1564" t="s">
        <v>2365</v>
      </c>
      <c r="BI1564" t="s">
        <v>2366</v>
      </c>
      <c r="BJ1564" t="s">
        <v>2365</v>
      </c>
      <c r="BK1564" t="s">
        <v>2365</v>
      </c>
      <c r="BL1564" t="s">
        <v>2365</v>
      </c>
      <c r="BM1564" t="s">
        <v>2365</v>
      </c>
      <c r="BO1564">
        <v>4</v>
      </c>
      <c r="BP1564">
        <v>43</v>
      </c>
      <c r="BQ1564" t="s">
        <v>2433</v>
      </c>
      <c r="BR1564" t="s">
        <v>1509</v>
      </c>
      <c r="BU1564" s="1371">
        <v>0</v>
      </c>
      <c r="BV1564" s="1371">
        <v>0</v>
      </c>
      <c r="BW1564" s="1371">
        <v>0</v>
      </c>
      <c r="BX1564" s="1371">
        <v>0</v>
      </c>
      <c r="BY1564" s="1371">
        <v>0</v>
      </c>
      <c r="BZ1564">
        <v>0</v>
      </c>
      <c r="CA1564">
        <v>0</v>
      </c>
      <c r="CB1564">
        <v>0</v>
      </c>
      <c r="CC1564">
        <v>0</v>
      </c>
      <c r="CD1564">
        <v>0</v>
      </c>
      <c r="CE1564">
        <v>0</v>
      </c>
      <c r="CF1564">
        <v>0</v>
      </c>
      <c r="CG1564">
        <v>0</v>
      </c>
      <c r="CH1564">
        <v>0</v>
      </c>
      <c r="CI1564">
        <v>0</v>
      </c>
      <c r="CJ1564">
        <v>0</v>
      </c>
      <c r="CK1564">
        <v>0</v>
      </c>
      <c r="CL1564">
        <v>0</v>
      </c>
      <c r="CM1564">
        <v>0</v>
      </c>
      <c r="CR1564" t="s">
        <v>2335</v>
      </c>
      <c r="CS1564" s="1369" t="str">
        <f>INDEX([8]Sheet1!$H:$H,MATCH(CR:CR,[8]Sheet1!$AU:$AU,0))</f>
        <v>Economic Development/Planning</v>
      </c>
    </row>
    <row r="1565" spans="1:97" x14ac:dyDescent="0.2">
      <c r="A1565" t="s">
        <v>4654</v>
      </c>
      <c r="B1565">
        <v>1655</v>
      </c>
      <c r="C1565" t="s">
        <v>4654</v>
      </c>
      <c r="D1565">
        <v>54512</v>
      </c>
      <c r="E1565" t="s">
        <v>2427</v>
      </c>
      <c r="F1565">
        <v>2700</v>
      </c>
      <c r="G1565" t="s">
        <v>656</v>
      </c>
      <c r="H1565" s="1373" t="s">
        <v>2428</v>
      </c>
      <c r="I1565" t="s">
        <v>1800</v>
      </c>
      <c r="J1565">
        <v>2701</v>
      </c>
      <c r="K1565" t="s">
        <v>1800</v>
      </c>
      <c r="L1565" s="1373">
        <v>2100</v>
      </c>
      <c r="M1565" t="s">
        <v>618</v>
      </c>
      <c r="N1565">
        <v>2118</v>
      </c>
      <c r="O1565" t="s">
        <v>1509</v>
      </c>
      <c r="P1565" t="s">
        <v>2366</v>
      </c>
      <c r="Q1565" t="s">
        <v>2364</v>
      </c>
      <c r="R1565" t="s">
        <v>2364</v>
      </c>
      <c r="S1565" t="s">
        <v>1881</v>
      </c>
      <c r="T1565" t="s">
        <v>1812</v>
      </c>
      <c r="U1565" t="s">
        <v>2365</v>
      </c>
      <c r="V1565" t="s">
        <v>2365</v>
      </c>
      <c r="W1565" t="s">
        <v>2365</v>
      </c>
      <c r="X1565" t="s">
        <v>2365</v>
      </c>
      <c r="Y1565" t="s">
        <v>2365</v>
      </c>
      <c r="Z1565" t="s">
        <v>2365</v>
      </c>
      <c r="AA1565" t="s">
        <v>2365</v>
      </c>
      <c r="AB1565" t="s">
        <v>2365</v>
      </c>
      <c r="AC1565" s="813" t="s">
        <v>2365</v>
      </c>
      <c r="AD1565" s="813" t="s">
        <v>2365</v>
      </c>
      <c r="AE1565" s="813" t="s">
        <v>2365</v>
      </c>
      <c r="AF1565" t="s">
        <v>2365</v>
      </c>
      <c r="AG1565" t="s">
        <v>2365</v>
      </c>
      <c r="AH1565" t="s">
        <v>2365</v>
      </c>
      <c r="AI1565" t="s">
        <v>2365</v>
      </c>
      <c r="AJ1565" t="s">
        <v>2365</v>
      </c>
      <c r="AK1565" t="s">
        <v>2365</v>
      </c>
      <c r="AL1565" t="s">
        <v>2365</v>
      </c>
      <c r="AM1565" t="s">
        <v>2365</v>
      </c>
      <c r="AN1565" t="s">
        <v>2365</v>
      </c>
      <c r="AR1565" t="s">
        <v>2365</v>
      </c>
      <c r="AS1565" t="s">
        <v>2365</v>
      </c>
      <c r="AT1565" t="s">
        <v>2365</v>
      </c>
      <c r="AU1565" t="s">
        <v>2365</v>
      </c>
      <c r="AV1565" t="s">
        <v>2365</v>
      </c>
      <c r="AW1565" t="s">
        <v>2365</v>
      </c>
      <c r="AX1565" t="s">
        <v>2365</v>
      </c>
      <c r="AY1565" t="s">
        <v>2365</v>
      </c>
      <c r="AZ1565" t="s">
        <v>2365</v>
      </c>
      <c r="BA1565" t="s">
        <v>2365</v>
      </c>
      <c r="BB1565" t="s">
        <v>2365</v>
      </c>
      <c r="BC1565" t="s">
        <v>2365</v>
      </c>
      <c r="BD1565" t="s">
        <v>2366</v>
      </c>
      <c r="BE1565" t="s">
        <v>2365</v>
      </c>
      <c r="BF1565" t="s">
        <v>2365</v>
      </c>
      <c r="BG1565" t="s">
        <v>2365</v>
      </c>
      <c r="BH1565" t="s">
        <v>2365</v>
      </c>
      <c r="BI1565" t="s">
        <v>2366</v>
      </c>
      <c r="BJ1565" t="s">
        <v>2365</v>
      </c>
      <c r="BK1565" t="s">
        <v>2365</v>
      </c>
      <c r="BL1565" t="s">
        <v>2365</v>
      </c>
      <c r="BM1565" t="s">
        <v>2365</v>
      </c>
      <c r="BO1565">
        <v>4</v>
      </c>
      <c r="BP1565">
        <v>43</v>
      </c>
      <c r="BQ1565" t="s">
        <v>2433</v>
      </c>
      <c r="BR1565" t="s">
        <v>1509</v>
      </c>
      <c r="BU1565" s="1371">
        <v>47900</v>
      </c>
      <c r="BV1565" s="1371">
        <v>0</v>
      </c>
      <c r="BW1565" s="1371">
        <v>47900</v>
      </c>
      <c r="BX1565" s="1371">
        <v>-47900</v>
      </c>
      <c r="BY1565" s="1371">
        <v>0</v>
      </c>
      <c r="BZ1565">
        <v>50774</v>
      </c>
      <c r="CA1565">
        <v>53820</v>
      </c>
      <c r="CB1565">
        <v>0</v>
      </c>
      <c r="CC1565">
        <v>0</v>
      </c>
      <c r="CD1565">
        <v>0</v>
      </c>
      <c r="CE1565">
        <v>0</v>
      </c>
      <c r="CF1565">
        <v>0</v>
      </c>
      <c r="CG1565">
        <v>0</v>
      </c>
      <c r="CH1565">
        <v>0</v>
      </c>
      <c r="CI1565">
        <v>0</v>
      </c>
      <c r="CJ1565">
        <v>0</v>
      </c>
      <c r="CK1565">
        <v>0</v>
      </c>
      <c r="CL1565">
        <v>0</v>
      </c>
      <c r="CM1565">
        <v>0</v>
      </c>
      <c r="CR1565" t="s">
        <v>2335</v>
      </c>
      <c r="CS1565" s="1369" t="str">
        <f>INDEX([8]Sheet1!$H:$H,MATCH(CR:CR,[8]Sheet1!$AU:$AU,0))</f>
        <v>Economic Development/Planning</v>
      </c>
    </row>
    <row r="1566" spans="1:97" x14ac:dyDescent="0.2">
      <c r="A1566" t="s">
        <v>4655</v>
      </c>
      <c r="B1566">
        <v>1656</v>
      </c>
      <c r="C1566" t="s">
        <v>4655</v>
      </c>
      <c r="D1566">
        <v>54513</v>
      </c>
      <c r="E1566" t="s">
        <v>2430</v>
      </c>
      <c r="F1566">
        <v>2700</v>
      </c>
      <c r="G1566" t="s">
        <v>656</v>
      </c>
      <c r="H1566" s="1373" t="s">
        <v>2428</v>
      </c>
      <c r="I1566" t="s">
        <v>1800</v>
      </c>
      <c r="J1566">
        <v>2701</v>
      </c>
      <c r="K1566" t="s">
        <v>1800</v>
      </c>
      <c r="L1566" s="1373">
        <v>2100</v>
      </c>
      <c r="M1566" t="s">
        <v>618</v>
      </c>
      <c r="N1566">
        <v>2118</v>
      </c>
      <c r="O1566" t="s">
        <v>1509</v>
      </c>
      <c r="P1566" t="s">
        <v>2366</v>
      </c>
      <c r="Q1566" t="s">
        <v>2364</v>
      </c>
      <c r="R1566" t="s">
        <v>2364</v>
      </c>
      <c r="S1566" t="s">
        <v>1881</v>
      </c>
      <c r="T1566" t="s">
        <v>1812</v>
      </c>
      <c r="U1566" t="s">
        <v>2365</v>
      </c>
      <c r="V1566" t="s">
        <v>2365</v>
      </c>
      <c r="W1566" t="s">
        <v>2365</v>
      </c>
      <c r="X1566" t="s">
        <v>2365</v>
      </c>
      <c r="Y1566" t="s">
        <v>2365</v>
      </c>
      <c r="Z1566" t="s">
        <v>2365</v>
      </c>
      <c r="AA1566" t="s">
        <v>2365</v>
      </c>
      <c r="AB1566" t="s">
        <v>2365</v>
      </c>
      <c r="AC1566" s="813" t="s">
        <v>2365</v>
      </c>
      <c r="AD1566" s="813" t="s">
        <v>2365</v>
      </c>
      <c r="AE1566" s="813" t="s">
        <v>2365</v>
      </c>
      <c r="AF1566" t="s">
        <v>2365</v>
      </c>
      <c r="AG1566" t="s">
        <v>2365</v>
      </c>
      <c r="AH1566" t="s">
        <v>2365</v>
      </c>
      <c r="AI1566" t="s">
        <v>2365</v>
      </c>
      <c r="AJ1566" t="s">
        <v>2365</v>
      </c>
      <c r="AK1566" t="s">
        <v>2365</v>
      </c>
      <c r="AL1566" t="s">
        <v>2365</v>
      </c>
      <c r="AM1566" t="s">
        <v>2365</v>
      </c>
      <c r="AN1566" t="s">
        <v>2365</v>
      </c>
      <c r="AR1566" t="s">
        <v>2365</v>
      </c>
      <c r="AS1566" t="s">
        <v>2365</v>
      </c>
      <c r="AT1566" t="s">
        <v>2365</v>
      </c>
      <c r="AU1566" t="s">
        <v>2365</v>
      </c>
      <c r="AV1566" t="s">
        <v>2365</v>
      </c>
      <c r="AW1566" t="s">
        <v>2365</v>
      </c>
      <c r="AX1566" t="s">
        <v>2365</v>
      </c>
      <c r="AY1566" t="s">
        <v>2365</v>
      </c>
      <c r="AZ1566" t="s">
        <v>2365</v>
      </c>
      <c r="BA1566" t="s">
        <v>2365</v>
      </c>
      <c r="BB1566" t="s">
        <v>2365</v>
      </c>
      <c r="BC1566" t="s">
        <v>2365</v>
      </c>
      <c r="BD1566" t="s">
        <v>2366</v>
      </c>
      <c r="BE1566" t="s">
        <v>2365</v>
      </c>
      <c r="BF1566" t="s">
        <v>2365</v>
      </c>
      <c r="BG1566" t="s">
        <v>2365</v>
      </c>
      <c r="BH1566" t="s">
        <v>2365</v>
      </c>
      <c r="BI1566" t="s">
        <v>2366</v>
      </c>
      <c r="BJ1566" t="s">
        <v>2365</v>
      </c>
      <c r="BK1566" t="s">
        <v>2365</v>
      </c>
      <c r="BL1566" t="s">
        <v>2365</v>
      </c>
      <c r="BM1566" t="s">
        <v>2365</v>
      </c>
      <c r="BO1566">
        <v>4</v>
      </c>
      <c r="BP1566">
        <v>43</v>
      </c>
      <c r="BQ1566" t="s">
        <v>2433</v>
      </c>
      <c r="BR1566" t="s">
        <v>1509</v>
      </c>
      <c r="BU1566" s="1371">
        <v>40000</v>
      </c>
      <c r="BV1566" s="1371">
        <v>0</v>
      </c>
      <c r="BW1566" s="1371">
        <v>40000</v>
      </c>
      <c r="BX1566" s="1371">
        <v>-40000</v>
      </c>
      <c r="BY1566" s="1371">
        <v>0</v>
      </c>
      <c r="BZ1566">
        <v>42400</v>
      </c>
      <c r="CA1566">
        <v>44944</v>
      </c>
      <c r="CB1566">
        <v>0</v>
      </c>
      <c r="CC1566">
        <v>0</v>
      </c>
      <c r="CD1566">
        <v>0</v>
      </c>
      <c r="CE1566">
        <v>0</v>
      </c>
      <c r="CF1566">
        <v>0</v>
      </c>
      <c r="CG1566">
        <v>0</v>
      </c>
      <c r="CH1566">
        <v>0</v>
      </c>
      <c r="CI1566">
        <v>0</v>
      </c>
      <c r="CJ1566">
        <v>0</v>
      </c>
      <c r="CK1566">
        <v>0</v>
      </c>
      <c r="CL1566">
        <v>0</v>
      </c>
      <c r="CM1566">
        <v>0</v>
      </c>
      <c r="CR1566" t="s">
        <v>2328</v>
      </c>
      <c r="CS1566" s="1369" t="str">
        <f>INDEX([8]Sheet1!$H:$H,MATCH(CR:CR,[8]Sheet1!$AU:$AU,0))</f>
        <v>Water Distribution</v>
      </c>
    </row>
    <row r="1567" spans="1:97" x14ac:dyDescent="0.2">
      <c r="A1567" t="s">
        <v>4656</v>
      </c>
      <c r="B1567">
        <v>1657</v>
      </c>
      <c r="C1567" t="s">
        <v>4656</v>
      </c>
      <c r="D1567">
        <v>54514</v>
      </c>
      <c r="E1567" t="s">
        <v>2499</v>
      </c>
      <c r="F1567">
        <v>2900</v>
      </c>
      <c r="G1567" t="s">
        <v>569</v>
      </c>
      <c r="H1567" s="1373" t="s">
        <v>2366</v>
      </c>
      <c r="I1567" t="s">
        <v>2366</v>
      </c>
      <c r="J1567">
        <v>2904</v>
      </c>
      <c r="K1567" t="s">
        <v>1432</v>
      </c>
      <c r="L1567" s="1373">
        <v>2100</v>
      </c>
      <c r="M1567" t="s">
        <v>618</v>
      </c>
      <c r="N1567">
        <v>2118</v>
      </c>
      <c r="O1567" t="s">
        <v>1509</v>
      </c>
      <c r="P1567" t="s">
        <v>2366</v>
      </c>
      <c r="Q1567" t="s">
        <v>2364</v>
      </c>
      <c r="R1567" t="s">
        <v>2364</v>
      </c>
      <c r="S1567" t="s">
        <v>1881</v>
      </c>
      <c r="T1567" t="s">
        <v>1812</v>
      </c>
      <c r="U1567" t="s">
        <v>2365</v>
      </c>
      <c r="V1567" t="s">
        <v>2365</v>
      </c>
      <c r="W1567" t="s">
        <v>2365</v>
      </c>
      <c r="X1567" t="s">
        <v>2365</v>
      </c>
      <c r="Y1567" t="s">
        <v>2365</v>
      </c>
      <c r="Z1567" t="s">
        <v>2365</v>
      </c>
      <c r="AA1567" t="s">
        <v>2365</v>
      </c>
      <c r="AB1567" t="s">
        <v>2365</v>
      </c>
      <c r="AC1567" s="813" t="s">
        <v>2365</v>
      </c>
      <c r="AD1567" s="813" t="s">
        <v>2365</v>
      </c>
      <c r="AE1567" s="813" t="s">
        <v>2365</v>
      </c>
      <c r="AF1567" t="s">
        <v>2365</v>
      </c>
      <c r="AG1567" t="s">
        <v>2365</v>
      </c>
      <c r="AH1567" t="s">
        <v>2365</v>
      </c>
      <c r="AI1567" t="s">
        <v>2365</v>
      </c>
      <c r="AJ1567" t="s">
        <v>2365</v>
      </c>
      <c r="AK1567" t="s">
        <v>2365</v>
      </c>
      <c r="AL1567" t="s">
        <v>2365</v>
      </c>
      <c r="AM1567" t="s">
        <v>2365</v>
      </c>
      <c r="AN1567" t="s">
        <v>2365</v>
      </c>
      <c r="AR1567" t="s">
        <v>2365</v>
      </c>
      <c r="AS1567" t="s">
        <v>2365</v>
      </c>
      <c r="AT1567" t="s">
        <v>2365</v>
      </c>
      <c r="AU1567" t="s">
        <v>2365</v>
      </c>
      <c r="AV1567" t="s">
        <v>2365</v>
      </c>
      <c r="AW1567" t="s">
        <v>2365</v>
      </c>
      <c r="AX1567" t="s">
        <v>2365</v>
      </c>
      <c r="AY1567" t="s">
        <v>2365</v>
      </c>
      <c r="AZ1567" t="s">
        <v>2365</v>
      </c>
      <c r="BA1567" t="s">
        <v>2365</v>
      </c>
      <c r="BB1567" t="s">
        <v>2365</v>
      </c>
      <c r="BC1567" t="s">
        <v>2365</v>
      </c>
      <c r="BD1567" t="s">
        <v>2366</v>
      </c>
      <c r="BE1567" t="s">
        <v>2365</v>
      </c>
      <c r="BF1567" t="s">
        <v>2365</v>
      </c>
      <c r="BG1567" t="s">
        <v>2365</v>
      </c>
      <c r="BH1567" t="s">
        <v>2365</v>
      </c>
      <c r="BI1567" t="s">
        <v>2366</v>
      </c>
      <c r="BJ1567" t="s">
        <v>2365</v>
      </c>
      <c r="BK1567" t="s">
        <v>2365</v>
      </c>
      <c r="BL1567" t="s">
        <v>2365</v>
      </c>
      <c r="BM1567" t="s">
        <v>2365</v>
      </c>
      <c r="BO1567">
        <v>4</v>
      </c>
      <c r="BP1567">
        <v>43</v>
      </c>
      <c r="BQ1567" t="s">
        <v>2433</v>
      </c>
      <c r="BR1567" t="s">
        <v>1509</v>
      </c>
      <c r="BU1567" s="1371">
        <v>60000</v>
      </c>
      <c r="BV1567" s="1371">
        <v>0</v>
      </c>
      <c r="BW1567" s="1371">
        <v>60000</v>
      </c>
      <c r="BX1567" s="1371">
        <v>-33960</v>
      </c>
      <c r="BY1567" s="1371">
        <v>26040</v>
      </c>
      <c r="BZ1567">
        <v>63600</v>
      </c>
      <c r="CA1567">
        <v>67416</v>
      </c>
      <c r="CB1567">
        <v>0</v>
      </c>
      <c r="CC1567">
        <v>0</v>
      </c>
      <c r="CD1567">
        <v>33960</v>
      </c>
      <c r="CE1567">
        <v>0</v>
      </c>
      <c r="CF1567">
        <v>0</v>
      </c>
      <c r="CG1567">
        <v>0</v>
      </c>
      <c r="CH1567">
        <v>0</v>
      </c>
      <c r="CI1567">
        <v>0</v>
      </c>
      <c r="CJ1567">
        <v>0</v>
      </c>
      <c r="CK1567">
        <v>0</v>
      </c>
      <c r="CL1567">
        <v>0</v>
      </c>
      <c r="CM1567">
        <v>0</v>
      </c>
      <c r="CR1567" t="s">
        <v>2328</v>
      </c>
      <c r="CS1567" s="1369" t="str">
        <f>INDEX([8]Sheet1!$H:$H,MATCH(CR:CR,[8]Sheet1!$AU:$AU,0))</f>
        <v>Water Distribution</v>
      </c>
    </row>
    <row r="1568" spans="1:97" x14ac:dyDescent="0.2">
      <c r="A1568" t="s">
        <v>4657</v>
      </c>
      <c r="B1568">
        <v>1658</v>
      </c>
      <c r="C1568" t="s">
        <v>4657</v>
      </c>
      <c r="D1568">
        <v>54520</v>
      </c>
      <c r="E1568" t="s">
        <v>2430</v>
      </c>
      <c r="F1568">
        <v>2700</v>
      </c>
      <c r="G1568" t="s">
        <v>656</v>
      </c>
      <c r="H1568" t="s">
        <v>2428</v>
      </c>
      <c r="I1568" t="s">
        <v>1800</v>
      </c>
      <c r="J1568">
        <v>2701</v>
      </c>
      <c r="K1568" t="s">
        <v>1800</v>
      </c>
      <c r="L1568">
        <v>2100</v>
      </c>
      <c r="M1568" t="s">
        <v>618</v>
      </c>
      <c r="N1568">
        <v>2118</v>
      </c>
      <c r="O1568" t="s">
        <v>1509</v>
      </c>
      <c r="P1568" t="s">
        <v>2366</v>
      </c>
      <c r="Q1568" t="s">
        <v>2364</v>
      </c>
      <c r="R1568" t="s">
        <v>2364</v>
      </c>
      <c r="S1568" t="s">
        <v>1881</v>
      </c>
      <c r="T1568" t="s">
        <v>1812</v>
      </c>
      <c r="U1568" t="s">
        <v>2365</v>
      </c>
      <c r="V1568" t="s">
        <v>2365</v>
      </c>
      <c r="W1568" t="s">
        <v>2365</v>
      </c>
      <c r="X1568" t="s">
        <v>2365</v>
      </c>
      <c r="Y1568" t="s">
        <v>2365</v>
      </c>
      <c r="Z1568" t="s">
        <v>2365</v>
      </c>
      <c r="AA1568" t="s">
        <v>2365</v>
      </c>
      <c r="AB1568" t="s">
        <v>2365</v>
      </c>
      <c r="AC1568" s="813" t="s">
        <v>2365</v>
      </c>
      <c r="AD1568" s="813" t="s">
        <v>2365</v>
      </c>
      <c r="AE1568" s="813" t="s">
        <v>2365</v>
      </c>
      <c r="AF1568" t="s">
        <v>2365</v>
      </c>
      <c r="AG1568" t="s">
        <v>2365</v>
      </c>
      <c r="AH1568" t="s">
        <v>2365</v>
      </c>
      <c r="AI1568" t="s">
        <v>2365</v>
      </c>
      <c r="AJ1568" t="s">
        <v>2365</v>
      </c>
      <c r="AK1568" t="s">
        <v>2365</v>
      </c>
      <c r="AL1568" t="s">
        <v>2365</v>
      </c>
      <c r="AM1568" t="s">
        <v>2365</v>
      </c>
      <c r="AN1568" t="s">
        <v>2365</v>
      </c>
      <c r="AR1568" t="s">
        <v>2365</v>
      </c>
      <c r="AS1568" t="s">
        <v>2365</v>
      </c>
      <c r="AT1568" t="s">
        <v>2365</v>
      </c>
      <c r="AU1568" t="s">
        <v>2365</v>
      </c>
      <c r="AV1568" t="s">
        <v>2365</v>
      </c>
      <c r="AW1568" t="s">
        <v>2365</v>
      </c>
      <c r="AX1568" t="s">
        <v>2365</v>
      </c>
      <c r="AY1568" t="s">
        <v>2365</v>
      </c>
      <c r="AZ1568" t="s">
        <v>2365</v>
      </c>
      <c r="BA1568" t="s">
        <v>2365</v>
      </c>
      <c r="BB1568" t="s">
        <v>2365</v>
      </c>
      <c r="BC1568" t="s">
        <v>2365</v>
      </c>
      <c r="BD1568" t="s">
        <v>2366</v>
      </c>
      <c r="BE1568" t="s">
        <v>2365</v>
      </c>
      <c r="BF1568" t="s">
        <v>2365</v>
      </c>
      <c r="BG1568" t="s">
        <v>2365</v>
      </c>
      <c r="BH1568" t="s">
        <v>2365</v>
      </c>
      <c r="BI1568" t="s">
        <v>2366</v>
      </c>
      <c r="BJ1568" t="s">
        <v>2365</v>
      </c>
      <c r="BK1568" t="s">
        <v>2365</v>
      </c>
      <c r="BL1568" t="s">
        <v>2365</v>
      </c>
      <c r="BM1568" t="s">
        <v>2365</v>
      </c>
      <c r="BO1568">
        <v>4</v>
      </c>
      <c r="BP1568">
        <v>43</v>
      </c>
      <c r="BQ1568" t="s">
        <v>2433</v>
      </c>
      <c r="BR1568" t="s">
        <v>1509</v>
      </c>
      <c r="BU1568">
        <v>80600</v>
      </c>
      <c r="BV1568">
        <v>0</v>
      </c>
      <c r="BW1568">
        <v>80600</v>
      </c>
      <c r="BX1568">
        <v>-600</v>
      </c>
      <c r="BY1568">
        <v>80000</v>
      </c>
      <c r="BZ1568">
        <v>85436</v>
      </c>
      <c r="CA1568">
        <v>90562</v>
      </c>
      <c r="CB1568">
        <v>0</v>
      </c>
      <c r="CC1568">
        <v>0</v>
      </c>
      <c r="CD1568">
        <v>0</v>
      </c>
      <c r="CE1568">
        <v>0</v>
      </c>
      <c r="CF1568">
        <v>0</v>
      </c>
      <c r="CG1568">
        <v>0</v>
      </c>
      <c r="CH1568">
        <v>0</v>
      </c>
      <c r="CI1568">
        <v>0</v>
      </c>
      <c r="CJ1568">
        <v>0</v>
      </c>
      <c r="CK1568">
        <v>0</v>
      </c>
      <c r="CL1568">
        <v>0</v>
      </c>
      <c r="CM1568">
        <v>0</v>
      </c>
      <c r="CR1568" t="s">
        <v>2328</v>
      </c>
      <c r="CS1568" s="1369" t="str">
        <f>INDEX([8]Sheet1!$H:$H,MATCH(CR:CR,[8]Sheet1!$AU:$AU,0))</f>
        <v>Water Distribution</v>
      </c>
    </row>
    <row r="1569" spans="1:97" x14ac:dyDescent="0.2">
      <c r="A1569" t="s">
        <v>4658</v>
      </c>
      <c r="B1569">
        <v>1659</v>
      </c>
      <c r="C1569" t="s">
        <v>4658</v>
      </c>
      <c r="D1569">
        <v>54521</v>
      </c>
      <c r="E1569" t="s">
        <v>2427</v>
      </c>
      <c r="F1569">
        <v>2700</v>
      </c>
      <c r="G1569" t="s">
        <v>656</v>
      </c>
      <c r="H1569" t="s">
        <v>2428</v>
      </c>
      <c r="I1569" t="s">
        <v>1800</v>
      </c>
      <c r="J1569">
        <v>2701</v>
      </c>
      <c r="K1569" t="s">
        <v>1800</v>
      </c>
      <c r="L1569">
        <v>2100</v>
      </c>
      <c r="M1569" t="s">
        <v>618</v>
      </c>
      <c r="N1569">
        <v>2118</v>
      </c>
      <c r="O1569" t="s">
        <v>1509</v>
      </c>
      <c r="P1569" t="s">
        <v>2366</v>
      </c>
      <c r="Q1569" t="s">
        <v>2364</v>
      </c>
      <c r="R1569" t="s">
        <v>2364</v>
      </c>
      <c r="S1569" t="s">
        <v>1881</v>
      </c>
      <c r="T1569" t="s">
        <v>1812</v>
      </c>
      <c r="U1569" t="s">
        <v>2365</v>
      </c>
      <c r="V1569" t="s">
        <v>2365</v>
      </c>
      <c r="W1569" t="s">
        <v>2365</v>
      </c>
      <c r="X1569" t="s">
        <v>2365</v>
      </c>
      <c r="Y1569" t="s">
        <v>2365</v>
      </c>
      <c r="Z1569" t="s">
        <v>2365</v>
      </c>
      <c r="AA1569" t="s">
        <v>2365</v>
      </c>
      <c r="AB1569" t="s">
        <v>2365</v>
      </c>
      <c r="AC1569" s="813" t="s">
        <v>2365</v>
      </c>
      <c r="AD1569" s="813" t="s">
        <v>2365</v>
      </c>
      <c r="AE1569" s="813" t="s">
        <v>2365</v>
      </c>
      <c r="AF1569" t="s">
        <v>2365</v>
      </c>
      <c r="AG1569" t="s">
        <v>2365</v>
      </c>
      <c r="AH1569" t="s">
        <v>2365</v>
      </c>
      <c r="AI1569" t="s">
        <v>2365</v>
      </c>
      <c r="AJ1569" t="s">
        <v>2365</v>
      </c>
      <c r="AK1569" t="s">
        <v>2365</v>
      </c>
      <c r="AL1569" t="s">
        <v>2365</v>
      </c>
      <c r="AM1569" t="s">
        <v>2365</v>
      </c>
      <c r="AN1569" t="s">
        <v>2365</v>
      </c>
      <c r="AR1569" t="s">
        <v>2365</v>
      </c>
      <c r="AS1569" t="s">
        <v>2365</v>
      </c>
      <c r="AT1569" t="s">
        <v>2365</v>
      </c>
      <c r="AU1569" t="s">
        <v>2365</v>
      </c>
      <c r="AV1569" t="s">
        <v>2365</v>
      </c>
      <c r="AW1569" t="s">
        <v>2365</v>
      </c>
      <c r="AX1569" t="s">
        <v>2365</v>
      </c>
      <c r="AY1569" t="s">
        <v>2365</v>
      </c>
      <c r="AZ1569" t="s">
        <v>2365</v>
      </c>
      <c r="BA1569" t="s">
        <v>2365</v>
      </c>
      <c r="BB1569" t="s">
        <v>2365</v>
      </c>
      <c r="BC1569" t="s">
        <v>2365</v>
      </c>
      <c r="BD1569" t="s">
        <v>2366</v>
      </c>
      <c r="BE1569" t="s">
        <v>2365</v>
      </c>
      <c r="BF1569" t="s">
        <v>2365</v>
      </c>
      <c r="BG1569" t="s">
        <v>2365</v>
      </c>
      <c r="BH1569" t="s">
        <v>2365</v>
      </c>
      <c r="BI1569" t="s">
        <v>2366</v>
      </c>
      <c r="BJ1569" t="s">
        <v>2365</v>
      </c>
      <c r="BK1569" t="s">
        <v>2365</v>
      </c>
      <c r="BL1569" t="s">
        <v>2365</v>
      </c>
      <c r="BM1569" t="s">
        <v>2365</v>
      </c>
      <c r="BO1569">
        <v>4</v>
      </c>
      <c r="BP1569">
        <v>43</v>
      </c>
      <c r="BQ1569" t="s">
        <v>2433</v>
      </c>
      <c r="BR1569" t="s">
        <v>1509</v>
      </c>
      <c r="BU1569">
        <v>80000</v>
      </c>
      <c r="BV1569">
        <v>0</v>
      </c>
      <c r="BW1569">
        <v>80000</v>
      </c>
      <c r="BX1569">
        <v>20000</v>
      </c>
      <c r="BY1569">
        <v>100000</v>
      </c>
      <c r="BZ1569">
        <v>84800</v>
      </c>
      <c r="CA1569">
        <v>89888</v>
      </c>
      <c r="CB1569">
        <v>0</v>
      </c>
      <c r="CC1569">
        <v>0</v>
      </c>
      <c r="CD1569">
        <v>0</v>
      </c>
      <c r="CE1569">
        <v>0</v>
      </c>
      <c r="CF1569">
        <v>72462</v>
      </c>
      <c r="CG1569">
        <v>0</v>
      </c>
      <c r="CH1569">
        <v>20000</v>
      </c>
      <c r="CI1569">
        <v>0</v>
      </c>
      <c r="CJ1569">
        <v>0</v>
      </c>
      <c r="CK1569">
        <v>0</v>
      </c>
      <c r="CL1569">
        <v>0</v>
      </c>
      <c r="CM1569">
        <v>0</v>
      </c>
      <c r="CR1569" t="s">
        <v>2335</v>
      </c>
      <c r="CS1569" s="1369" t="str">
        <f>INDEX([8]Sheet1!$H:$H,MATCH(CR:CR,[8]Sheet1!$AU:$AU,0))</f>
        <v>Economic Development/Planning</v>
      </c>
    </row>
    <row r="1570" spans="1:97" x14ac:dyDescent="0.2">
      <c r="A1570" t="s">
        <v>4659</v>
      </c>
      <c r="B1570">
        <v>1660</v>
      </c>
      <c r="C1570" t="s">
        <v>4659</v>
      </c>
      <c r="D1570">
        <v>54522</v>
      </c>
      <c r="E1570" t="s">
        <v>2499</v>
      </c>
      <c r="F1570">
        <v>2900</v>
      </c>
      <c r="G1570" t="s">
        <v>569</v>
      </c>
      <c r="H1570" t="s">
        <v>2366</v>
      </c>
      <c r="I1570" t="s">
        <v>2366</v>
      </c>
      <c r="J1570">
        <v>2904</v>
      </c>
      <c r="K1570" t="s">
        <v>1432</v>
      </c>
      <c r="L1570">
        <v>2100</v>
      </c>
      <c r="M1570" t="s">
        <v>618</v>
      </c>
      <c r="N1570">
        <v>2118</v>
      </c>
      <c r="O1570" t="s">
        <v>1509</v>
      </c>
      <c r="P1570" t="s">
        <v>2366</v>
      </c>
      <c r="Q1570" t="s">
        <v>2364</v>
      </c>
      <c r="R1570" t="s">
        <v>2364</v>
      </c>
      <c r="S1570" t="s">
        <v>1881</v>
      </c>
      <c r="T1570" t="s">
        <v>1812</v>
      </c>
      <c r="U1570" t="s">
        <v>2365</v>
      </c>
      <c r="V1570" t="s">
        <v>2365</v>
      </c>
      <c r="W1570" t="s">
        <v>2365</v>
      </c>
      <c r="X1570" t="s">
        <v>2365</v>
      </c>
      <c r="Y1570" t="s">
        <v>2365</v>
      </c>
      <c r="Z1570" t="s">
        <v>2365</v>
      </c>
      <c r="AA1570" t="s">
        <v>2365</v>
      </c>
      <c r="AB1570" t="s">
        <v>2365</v>
      </c>
      <c r="AC1570" s="813" t="s">
        <v>2365</v>
      </c>
      <c r="AD1570" s="813" t="s">
        <v>2365</v>
      </c>
      <c r="AE1570" s="813" t="s">
        <v>2365</v>
      </c>
      <c r="AF1570" t="s">
        <v>2365</v>
      </c>
      <c r="AG1570" t="s">
        <v>2365</v>
      </c>
      <c r="AH1570" t="s">
        <v>2365</v>
      </c>
      <c r="AI1570" t="s">
        <v>2365</v>
      </c>
      <c r="AJ1570" t="s">
        <v>2365</v>
      </c>
      <c r="AK1570" t="s">
        <v>2365</v>
      </c>
      <c r="AL1570" t="s">
        <v>2365</v>
      </c>
      <c r="AM1570" t="s">
        <v>2365</v>
      </c>
      <c r="AN1570" t="s">
        <v>2365</v>
      </c>
      <c r="AR1570" t="s">
        <v>2365</v>
      </c>
      <c r="AS1570" t="s">
        <v>2365</v>
      </c>
      <c r="AT1570" t="s">
        <v>2365</v>
      </c>
      <c r="AU1570" t="s">
        <v>2365</v>
      </c>
      <c r="AV1570" t="s">
        <v>2365</v>
      </c>
      <c r="AW1570" t="s">
        <v>2365</v>
      </c>
      <c r="AX1570" t="s">
        <v>2365</v>
      </c>
      <c r="AY1570" t="s">
        <v>2365</v>
      </c>
      <c r="AZ1570" t="s">
        <v>2365</v>
      </c>
      <c r="BA1570" t="s">
        <v>2365</v>
      </c>
      <c r="BB1570" t="s">
        <v>2365</v>
      </c>
      <c r="BC1570" t="s">
        <v>2365</v>
      </c>
      <c r="BD1570" t="s">
        <v>2366</v>
      </c>
      <c r="BE1570" t="s">
        <v>2365</v>
      </c>
      <c r="BF1570" t="s">
        <v>2365</v>
      </c>
      <c r="BG1570" t="s">
        <v>2365</v>
      </c>
      <c r="BH1570" t="s">
        <v>2365</v>
      </c>
      <c r="BI1570" t="s">
        <v>2366</v>
      </c>
      <c r="BJ1570" t="s">
        <v>2365</v>
      </c>
      <c r="BK1570" t="s">
        <v>2365</v>
      </c>
      <c r="BL1570" t="s">
        <v>2365</v>
      </c>
      <c r="BM1570" t="s">
        <v>2365</v>
      </c>
      <c r="BO1570">
        <v>4</v>
      </c>
      <c r="BP1570">
        <v>43</v>
      </c>
      <c r="BQ1570" t="s">
        <v>2433</v>
      </c>
      <c r="BR1570" t="s">
        <v>1509</v>
      </c>
      <c r="BU1570">
        <v>586500</v>
      </c>
      <c r="BV1570">
        <v>0</v>
      </c>
      <c r="BW1570">
        <v>586500</v>
      </c>
      <c r="BX1570">
        <v>-224264</v>
      </c>
      <c r="BY1570">
        <v>362236</v>
      </c>
      <c r="BZ1570">
        <v>621690</v>
      </c>
      <c r="CA1570">
        <v>658991</v>
      </c>
      <c r="CB1570">
        <v>0</v>
      </c>
      <c r="CC1570">
        <v>0</v>
      </c>
      <c r="CD1570">
        <v>0</v>
      </c>
      <c r="CE1570">
        <v>400</v>
      </c>
      <c r="CF1570">
        <v>69064.2</v>
      </c>
      <c r="CG1570">
        <v>154800</v>
      </c>
      <c r="CH1570">
        <v>4500</v>
      </c>
      <c r="CI1570">
        <v>0</v>
      </c>
      <c r="CJ1570">
        <v>0</v>
      </c>
      <c r="CK1570">
        <v>0</v>
      </c>
      <c r="CL1570">
        <v>0</v>
      </c>
      <c r="CM1570">
        <v>0</v>
      </c>
      <c r="CR1570" t="s">
        <v>2330</v>
      </c>
      <c r="CS1570" s="1369" t="str">
        <f>INDEX([8]Sheet1!$H:$H,MATCH(CR:CR,[8]Sheet1!$AU:$AU,0))</f>
        <v>Water Treatment</v>
      </c>
    </row>
    <row r="1571" spans="1:97" x14ac:dyDescent="0.2">
      <c r="A1571" t="s">
        <v>4660</v>
      </c>
      <c r="B1571">
        <v>1661</v>
      </c>
      <c r="C1571" t="s">
        <v>4660</v>
      </c>
      <c r="D1571">
        <v>54523</v>
      </c>
      <c r="E1571" t="s">
        <v>2432</v>
      </c>
      <c r="F1571">
        <v>2600</v>
      </c>
      <c r="G1571" t="s">
        <v>655</v>
      </c>
      <c r="H1571">
        <v>2600</v>
      </c>
      <c r="I1571" t="s">
        <v>655</v>
      </c>
      <c r="J1571" t="s">
        <v>2365</v>
      </c>
      <c r="K1571" t="s">
        <v>2365</v>
      </c>
      <c r="L1571">
        <v>2100</v>
      </c>
      <c r="M1571" t="s">
        <v>618</v>
      </c>
      <c r="N1571">
        <v>2118</v>
      </c>
      <c r="O1571" t="s">
        <v>1509</v>
      </c>
      <c r="P1571" t="s">
        <v>2366</v>
      </c>
      <c r="Q1571" t="s">
        <v>2364</v>
      </c>
      <c r="R1571" t="s">
        <v>2364</v>
      </c>
      <c r="S1571" t="s">
        <v>1881</v>
      </c>
      <c r="T1571" t="s">
        <v>1812</v>
      </c>
      <c r="U1571" t="s">
        <v>2365</v>
      </c>
      <c r="V1571" t="s">
        <v>2365</v>
      </c>
      <c r="W1571" t="s">
        <v>2365</v>
      </c>
      <c r="X1571" t="s">
        <v>2365</v>
      </c>
      <c r="Y1571" t="s">
        <v>2365</v>
      </c>
      <c r="Z1571" t="s">
        <v>2365</v>
      </c>
      <c r="AA1571" t="s">
        <v>2365</v>
      </c>
      <c r="AB1571" t="s">
        <v>2365</v>
      </c>
      <c r="AC1571" s="813" t="s">
        <v>2365</v>
      </c>
      <c r="AD1571" s="813" t="s">
        <v>2365</v>
      </c>
      <c r="AE1571" s="813" t="s">
        <v>2365</v>
      </c>
      <c r="AF1571" t="s">
        <v>2365</v>
      </c>
      <c r="AG1571" t="s">
        <v>2365</v>
      </c>
      <c r="AH1571" t="s">
        <v>2365</v>
      </c>
      <c r="AI1571" t="s">
        <v>2365</v>
      </c>
      <c r="AJ1571" t="s">
        <v>2365</v>
      </c>
      <c r="AK1571" t="s">
        <v>2365</v>
      </c>
      <c r="AL1571" t="s">
        <v>2365</v>
      </c>
      <c r="AM1571" t="s">
        <v>2365</v>
      </c>
      <c r="AN1571" t="s">
        <v>2365</v>
      </c>
      <c r="AR1571" t="s">
        <v>2365</v>
      </c>
      <c r="AS1571" t="s">
        <v>2365</v>
      </c>
      <c r="AT1571" t="s">
        <v>2365</v>
      </c>
      <c r="AU1571" t="s">
        <v>2365</v>
      </c>
      <c r="AV1571" t="s">
        <v>2365</v>
      </c>
      <c r="AW1571" t="s">
        <v>2365</v>
      </c>
      <c r="AX1571" t="s">
        <v>2365</v>
      </c>
      <c r="AY1571" t="s">
        <v>2365</v>
      </c>
      <c r="AZ1571" t="s">
        <v>2365</v>
      </c>
      <c r="BA1571" t="s">
        <v>2365</v>
      </c>
      <c r="BB1571" t="s">
        <v>2365</v>
      </c>
      <c r="BC1571" t="s">
        <v>2365</v>
      </c>
      <c r="BD1571" t="s">
        <v>2366</v>
      </c>
      <c r="BE1571" t="s">
        <v>2365</v>
      </c>
      <c r="BF1571" t="s">
        <v>2365</v>
      </c>
      <c r="BG1571" t="s">
        <v>2365</v>
      </c>
      <c r="BH1571" t="s">
        <v>2365</v>
      </c>
      <c r="BI1571" t="s">
        <v>2366</v>
      </c>
      <c r="BJ1571" t="s">
        <v>2365</v>
      </c>
      <c r="BK1571" t="s">
        <v>2365</v>
      </c>
      <c r="BL1571" t="s">
        <v>2365</v>
      </c>
      <c r="BM1571" t="s">
        <v>2365</v>
      </c>
      <c r="BO1571">
        <v>4</v>
      </c>
      <c r="BP1571">
        <v>43</v>
      </c>
      <c r="BQ1571" t="s">
        <v>2433</v>
      </c>
      <c r="BR1571" t="s">
        <v>1509</v>
      </c>
      <c r="BU1571">
        <v>736500</v>
      </c>
      <c r="BV1571">
        <v>0</v>
      </c>
      <c r="BW1571">
        <v>736500</v>
      </c>
      <c r="BX1571">
        <v>-136500</v>
      </c>
      <c r="BY1571">
        <v>600000</v>
      </c>
      <c r="BZ1571">
        <v>780690</v>
      </c>
      <c r="CA1571">
        <v>827531</v>
      </c>
      <c r="CB1571">
        <v>39750</v>
      </c>
      <c r="CC1571">
        <v>0</v>
      </c>
      <c r="CD1571">
        <v>0</v>
      </c>
      <c r="CE1571">
        <v>0</v>
      </c>
      <c r="CF1571">
        <v>95860</v>
      </c>
      <c r="CG1571">
        <v>900</v>
      </c>
      <c r="CH1571">
        <v>0</v>
      </c>
      <c r="CI1571">
        <v>0</v>
      </c>
      <c r="CJ1571">
        <v>0</v>
      </c>
      <c r="CK1571">
        <v>0</v>
      </c>
      <c r="CL1571">
        <v>0</v>
      </c>
      <c r="CM1571">
        <v>0</v>
      </c>
      <c r="CR1571" t="s">
        <v>2328</v>
      </c>
      <c r="CS1571" s="1369" t="str">
        <f>INDEX([8]Sheet1!$H:$H,MATCH(CR:CR,[8]Sheet1!$AU:$AU,0))</f>
        <v>Water Distribution</v>
      </c>
    </row>
    <row r="1572" spans="1:97" x14ac:dyDescent="0.2">
      <c r="A1572" t="s">
        <v>4661</v>
      </c>
      <c r="B1572">
        <v>1662</v>
      </c>
      <c r="C1572" t="s">
        <v>4661</v>
      </c>
      <c r="D1572">
        <v>54524</v>
      </c>
      <c r="E1572" t="s">
        <v>3284</v>
      </c>
      <c r="F1572">
        <v>2700</v>
      </c>
      <c r="G1572" t="s">
        <v>656</v>
      </c>
      <c r="H1572" t="s">
        <v>2664</v>
      </c>
      <c r="I1572" t="s">
        <v>1801</v>
      </c>
      <c r="J1572">
        <v>2702</v>
      </c>
      <c r="K1572" t="s">
        <v>1801</v>
      </c>
      <c r="L1572">
        <v>1100</v>
      </c>
      <c r="M1572" t="s">
        <v>616</v>
      </c>
      <c r="N1572">
        <v>1120</v>
      </c>
      <c r="O1572" t="s">
        <v>1485</v>
      </c>
      <c r="P1572" t="s">
        <v>2366</v>
      </c>
      <c r="Q1572" t="s">
        <v>2364</v>
      </c>
      <c r="R1572" t="s">
        <v>2364</v>
      </c>
      <c r="S1572" t="s">
        <v>1881</v>
      </c>
      <c r="T1572" t="s">
        <v>1812</v>
      </c>
      <c r="U1572" t="s">
        <v>2365</v>
      </c>
      <c r="V1572" t="s">
        <v>2365</v>
      </c>
      <c r="W1572" t="s">
        <v>2365</v>
      </c>
      <c r="X1572" t="s">
        <v>2365</v>
      </c>
      <c r="Y1572" t="s">
        <v>2365</v>
      </c>
      <c r="Z1572" t="s">
        <v>2365</v>
      </c>
      <c r="AA1572" t="s">
        <v>2365</v>
      </c>
      <c r="AB1572" t="s">
        <v>2365</v>
      </c>
      <c r="AC1572" s="813" t="s">
        <v>2365</v>
      </c>
      <c r="AD1572" s="813" t="s">
        <v>2365</v>
      </c>
      <c r="AE1572" s="813" t="s">
        <v>2365</v>
      </c>
      <c r="AF1572" t="s">
        <v>2365</v>
      </c>
      <c r="AG1572" t="s">
        <v>2365</v>
      </c>
      <c r="AH1572" t="s">
        <v>2365</v>
      </c>
      <c r="AI1572" t="s">
        <v>2365</v>
      </c>
      <c r="AJ1572" t="s">
        <v>2365</v>
      </c>
      <c r="AK1572" t="s">
        <v>2365</v>
      </c>
      <c r="AL1572" t="s">
        <v>2365</v>
      </c>
      <c r="AM1572" t="s">
        <v>2365</v>
      </c>
      <c r="AN1572" t="s">
        <v>2365</v>
      </c>
      <c r="AR1572" t="s">
        <v>2365</v>
      </c>
      <c r="AS1572" t="s">
        <v>2365</v>
      </c>
      <c r="AT1572" t="s">
        <v>2365</v>
      </c>
      <c r="AU1572" t="s">
        <v>2365</v>
      </c>
      <c r="AV1572" t="s">
        <v>2365</v>
      </c>
      <c r="AW1572" t="s">
        <v>2365</v>
      </c>
      <c r="AX1572" t="s">
        <v>2365</v>
      </c>
      <c r="AY1572" t="s">
        <v>2365</v>
      </c>
      <c r="AZ1572" t="s">
        <v>2365</v>
      </c>
      <c r="BA1572" t="s">
        <v>2365</v>
      </c>
      <c r="BB1572" t="s">
        <v>2365</v>
      </c>
      <c r="BC1572" t="s">
        <v>2365</v>
      </c>
      <c r="BD1572" t="s">
        <v>2366</v>
      </c>
      <c r="BE1572" t="s">
        <v>2365</v>
      </c>
      <c r="BF1572" t="s">
        <v>2365</v>
      </c>
      <c r="BG1572" t="s">
        <v>2365</v>
      </c>
      <c r="BH1572" t="s">
        <v>2365</v>
      </c>
      <c r="BI1572" t="s">
        <v>2366</v>
      </c>
      <c r="BJ1572" t="s">
        <v>2365</v>
      </c>
      <c r="BK1572" t="s">
        <v>2365</v>
      </c>
      <c r="BL1572" t="s">
        <v>2365</v>
      </c>
      <c r="BM1572" t="s">
        <v>2365</v>
      </c>
      <c r="BO1572">
        <v>3</v>
      </c>
      <c r="BP1572">
        <v>31</v>
      </c>
      <c r="BQ1572" t="s">
        <v>2716</v>
      </c>
      <c r="BR1572" t="s">
        <v>1485</v>
      </c>
      <c r="BU1572">
        <v>0</v>
      </c>
      <c r="BV1572">
        <v>0</v>
      </c>
      <c r="BW1572">
        <v>0</v>
      </c>
      <c r="BX1572">
        <v>0</v>
      </c>
      <c r="BY1572">
        <v>0</v>
      </c>
      <c r="BZ1572">
        <v>0</v>
      </c>
      <c r="CA1572">
        <v>0</v>
      </c>
      <c r="CB1572">
        <v>0</v>
      </c>
      <c r="CC1572">
        <v>0</v>
      </c>
      <c r="CD1572">
        <v>0</v>
      </c>
      <c r="CE1572">
        <v>0</v>
      </c>
      <c r="CF1572">
        <v>0</v>
      </c>
      <c r="CG1572">
        <v>0</v>
      </c>
      <c r="CH1572">
        <v>0</v>
      </c>
      <c r="CI1572">
        <v>0</v>
      </c>
      <c r="CJ1572">
        <v>0</v>
      </c>
      <c r="CK1572">
        <v>0</v>
      </c>
      <c r="CL1572">
        <v>0</v>
      </c>
      <c r="CM1572">
        <v>0</v>
      </c>
      <c r="CR1572" t="s">
        <v>2328</v>
      </c>
      <c r="CS1572" s="1369" t="str">
        <f>INDEX([8]Sheet1!$H:$H,MATCH(CR:CR,[8]Sheet1!$AU:$AU,0))</f>
        <v>Water Distribution</v>
      </c>
    </row>
    <row r="1573" spans="1:97" x14ac:dyDescent="0.2">
      <c r="A1573" t="s">
        <v>4662</v>
      </c>
      <c r="B1573">
        <v>1663</v>
      </c>
      <c r="C1573" t="s">
        <v>4662</v>
      </c>
      <c r="D1573">
        <v>54526</v>
      </c>
      <c r="E1573" t="s">
        <v>3307</v>
      </c>
      <c r="F1573">
        <v>2900</v>
      </c>
      <c r="G1573" t="s">
        <v>569</v>
      </c>
      <c r="H1573" t="s">
        <v>2366</v>
      </c>
      <c r="I1573" t="s">
        <v>2366</v>
      </c>
      <c r="J1573">
        <v>2904</v>
      </c>
      <c r="K1573" t="s">
        <v>1432</v>
      </c>
      <c r="L1573">
        <v>1100</v>
      </c>
      <c r="M1573" t="s">
        <v>616</v>
      </c>
      <c r="N1573">
        <v>1120</v>
      </c>
      <c r="O1573" t="s">
        <v>1485</v>
      </c>
      <c r="P1573" t="s">
        <v>2366</v>
      </c>
      <c r="Q1573" t="s">
        <v>2364</v>
      </c>
      <c r="R1573" t="s">
        <v>2364</v>
      </c>
      <c r="S1573" t="s">
        <v>1881</v>
      </c>
      <c r="T1573" t="s">
        <v>1812</v>
      </c>
      <c r="U1573" t="s">
        <v>2365</v>
      </c>
      <c r="V1573" t="s">
        <v>2365</v>
      </c>
      <c r="W1573" t="s">
        <v>2365</v>
      </c>
      <c r="X1573" t="s">
        <v>2365</v>
      </c>
      <c r="Y1573" t="s">
        <v>2365</v>
      </c>
      <c r="Z1573" t="s">
        <v>2365</v>
      </c>
      <c r="AA1573" t="s">
        <v>2365</v>
      </c>
      <c r="AB1573" t="s">
        <v>2365</v>
      </c>
      <c r="AC1573" s="813" t="s">
        <v>2365</v>
      </c>
      <c r="AD1573" s="813" t="s">
        <v>2365</v>
      </c>
      <c r="AE1573" s="813" t="s">
        <v>2365</v>
      </c>
      <c r="AF1573" t="s">
        <v>2365</v>
      </c>
      <c r="AG1573" t="s">
        <v>2365</v>
      </c>
      <c r="AH1573" t="s">
        <v>2365</v>
      </c>
      <c r="AI1573" t="s">
        <v>2365</v>
      </c>
      <c r="AJ1573" t="s">
        <v>2365</v>
      </c>
      <c r="AK1573" t="s">
        <v>2365</v>
      </c>
      <c r="AL1573" t="s">
        <v>2365</v>
      </c>
      <c r="AM1573" t="s">
        <v>2365</v>
      </c>
      <c r="AN1573" t="s">
        <v>2365</v>
      </c>
      <c r="AR1573" t="s">
        <v>2365</v>
      </c>
      <c r="AS1573" t="s">
        <v>2365</v>
      </c>
      <c r="AT1573" t="s">
        <v>2365</v>
      </c>
      <c r="AU1573" t="s">
        <v>2365</v>
      </c>
      <c r="AV1573" t="s">
        <v>2365</v>
      </c>
      <c r="AW1573" t="s">
        <v>2365</v>
      </c>
      <c r="AX1573" t="s">
        <v>2365</v>
      </c>
      <c r="AY1573" t="s">
        <v>2365</v>
      </c>
      <c r="AZ1573" t="s">
        <v>2365</v>
      </c>
      <c r="BA1573" t="s">
        <v>2365</v>
      </c>
      <c r="BB1573" t="s">
        <v>2365</v>
      </c>
      <c r="BC1573" t="s">
        <v>2365</v>
      </c>
      <c r="BD1573" t="s">
        <v>2366</v>
      </c>
      <c r="BE1573" t="s">
        <v>2365</v>
      </c>
      <c r="BF1573" t="s">
        <v>2365</v>
      </c>
      <c r="BG1573" t="s">
        <v>2365</v>
      </c>
      <c r="BH1573" t="s">
        <v>2365</v>
      </c>
      <c r="BI1573" t="s">
        <v>2366</v>
      </c>
      <c r="BJ1573" t="s">
        <v>2365</v>
      </c>
      <c r="BK1573" t="s">
        <v>2365</v>
      </c>
      <c r="BL1573" t="s">
        <v>2365</v>
      </c>
      <c r="BM1573" t="s">
        <v>2365</v>
      </c>
      <c r="BO1573">
        <v>3</v>
      </c>
      <c r="BP1573">
        <v>31</v>
      </c>
      <c r="BQ1573" t="s">
        <v>2716</v>
      </c>
      <c r="BR1573" t="s">
        <v>1485</v>
      </c>
      <c r="BU1573">
        <v>60000</v>
      </c>
      <c r="BV1573">
        <v>0</v>
      </c>
      <c r="BW1573">
        <v>60000</v>
      </c>
      <c r="BX1573">
        <v>0</v>
      </c>
      <c r="BY1573">
        <v>60000</v>
      </c>
      <c r="BZ1573">
        <v>62400</v>
      </c>
      <c r="CA1573">
        <v>64896</v>
      </c>
      <c r="CB1573">
        <v>0</v>
      </c>
      <c r="CC1573">
        <v>0</v>
      </c>
      <c r="CD1573">
        <v>921.74</v>
      </c>
      <c r="CE1573">
        <v>921.74</v>
      </c>
      <c r="CF1573">
        <v>0</v>
      </c>
      <c r="CG1573">
        <v>0</v>
      </c>
      <c r="CH1573">
        <v>0</v>
      </c>
      <c r="CI1573">
        <v>0</v>
      </c>
      <c r="CJ1573">
        <v>0</v>
      </c>
      <c r="CK1573">
        <v>0</v>
      </c>
      <c r="CL1573">
        <v>0</v>
      </c>
      <c r="CM1573">
        <v>0</v>
      </c>
      <c r="CR1573" t="s">
        <v>2323</v>
      </c>
      <c r="CS1573" s="1369" t="str">
        <f>INDEX([8]Sheet1!$H:$H,MATCH(CR:CR,[8]Sheet1!$AU:$AU,0))</f>
        <v>Information Technology</v>
      </c>
    </row>
    <row r="1574" spans="1:97" x14ac:dyDescent="0.2">
      <c r="A1574" t="s">
        <v>4663</v>
      </c>
      <c r="B1574">
        <v>1664</v>
      </c>
      <c r="C1574" t="s">
        <v>4663</v>
      </c>
      <c r="D1574">
        <v>54528</v>
      </c>
      <c r="E1574" t="s">
        <v>3253</v>
      </c>
      <c r="F1574">
        <v>2900</v>
      </c>
      <c r="G1574" t="s">
        <v>569</v>
      </c>
      <c r="H1574" s="1373" t="s">
        <v>2366</v>
      </c>
      <c r="I1574" t="s">
        <v>2366</v>
      </c>
      <c r="J1574">
        <v>2904</v>
      </c>
      <c r="K1574" t="s">
        <v>1432</v>
      </c>
      <c r="L1574" s="1373">
        <v>1100</v>
      </c>
      <c r="M1574" t="s">
        <v>616</v>
      </c>
      <c r="N1574">
        <v>1120</v>
      </c>
      <c r="O1574" t="s">
        <v>1485</v>
      </c>
      <c r="P1574" t="s">
        <v>2366</v>
      </c>
      <c r="Q1574" t="s">
        <v>2364</v>
      </c>
      <c r="R1574" t="s">
        <v>2364</v>
      </c>
      <c r="S1574" t="s">
        <v>1881</v>
      </c>
      <c r="T1574" t="s">
        <v>1812</v>
      </c>
      <c r="U1574" t="s">
        <v>2365</v>
      </c>
      <c r="V1574" t="s">
        <v>2365</v>
      </c>
      <c r="W1574" t="s">
        <v>2365</v>
      </c>
      <c r="X1574" t="s">
        <v>2365</v>
      </c>
      <c r="Y1574" t="s">
        <v>2365</v>
      </c>
      <c r="Z1574" t="s">
        <v>2365</v>
      </c>
      <c r="AA1574" t="s">
        <v>2365</v>
      </c>
      <c r="AB1574" t="s">
        <v>2365</v>
      </c>
      <c r="AC1574" s="813" t="s">
        <v>2365</v>
      </c>
      <c r="AD1574" s="813" t="s">
        <v>2365</v>
      </c>
      <c r="AE1574" s="813" t="s">
        <v>2365</v>
      </c>
      <c r="AF1574" t="s">
        <v>2365</v>
      </c>
      <c r="AG1574" t="s">
        <v>2365</v>
      </c>
      <c r="AH1574" t="s">
        <v>2365</v>
      </c>
      <c r="AI1574" t="s">
        <v>2365</v>
      </c>
      <c r="AJ1574" t="s">
        <v>2365</v>
      </c>
      <c r="AK1574" t="s">
        <v>2365</v>
      </c>
      <c r="AL1574" t="s">
        <v>2365</v>
      </c>
      <c r="AM1574" t="s">
        <v>2365</v>
      </c>
      <c r="AN1574" t="s">
        <v>2365</v>
      </c>
      <c r="AR1574" t="s">
        <v>2365</v>
      </c>
      <c r="AS1574" t="s">
        <v>2365</v>
      </c>
      <c r="AT1574" t="s">
        <v>2365</v>
      </c>
      <c r="AU1574" t="s">
        <v>2365</v>
      </c>
      <c r="AV1574" t="s">
        <v>2365</v>
      </c>
      <c r="AW1574" t="s">
        <v>2365</v>
      </c>
      <c r="AX1574" t="s">
        <v>2365</v>
      </c>
      <c r="AY1574" t="s">
        <v>2365</v>
      </c>
      <c r="AZ1574" t="s">
        <v>2365</v>
      </c>
      <c r="BA1574" t="s">
        <v>2365</v>
      </c>
      <c r="BB1574" t="s">
        <v>2365</v>
      </c>
      <c r="BC1574" t="s">
        <v>2365</v>
      </c>
      <c r="BD1574" t="s">
        <v>2366</v>
      </c>
      <c r="BE1574" t="s">
        <v>2365</v>
      </c>
      <c r="BF1574" t="s">
        <v>2365</v>
      </c>
      <c r="BG1574" t="s">
        <v>2365</v>
      </c>
      <c r="BH1574" t="s">
        <v>2365</v>
      </c>
      <c r="BI1574" t="s">
        <v>2366</v>
      </c>
      <c r="BJ1574" t="s">
        <v>2365</v>
      </c>
      <c r="BK1574" t="s">
        <v>2365</v>
      </c>
      <c r="BL1574" t="s">
        <v>2365</v>
      </c>
      <c r="BM1574" t="s">
        <v>2365</v>
      </c>
      <c r="BO1574">
        <v>3</v>
      </c>
      <c r="BP1574">
        <v>31</v>
      </c>
      <c r="BQ1574" t="s">
        <v>2716</v>
      </c>
      <c r="BR1574" t="s">
        <v>1485</v>
      </c>
      <c r="BU1574" s="1371">
        <v>100000</v>
      </c>
      <c r="BV1574" s="1371">
        <v>0</v>
      </c>
      <c r="BW1574" s="1371">
        <v>100000</v>
      </c>
      <c r="BX1574" s="1371">
        <v>0</v>
      </c>
      <c r="BY1574" s="1371">
        <v>100000</v>
      </c>
      <c r="BZ1574">
        <v>104000</v>
      </c>
      <c r="CA1574">
        <v>108160</v>
      </c>
      <c r="CB1574">
        <v>0</v>
      </c>
      <c r="CC1574">
        <v>0</v>
      </c>
      <c r="CD1574">
        <v>0</v>
      </c>
      <c r="CE1574">
        <v>0</v>
      </c>
      <c r="CF1574">
        <v>0</v>
      </c>
      <c r="CG1574">
        <v>0</v>
      </c>
      <c r="CH1574">
        <v>0</v>
      </c>
      <c r="CI1574">
        <v>0</v>
      </c>
      <c r="CJ1574">
        <v>0</v>
      </c>
      <c r="CK1574">
        <v>0</v>
      </c>
      <c r="CL1574">
        <v>0</v>
      </c>
      <c r="CM1574">
        <v>0</v>
      </c>
      <c r="CR1574" t="s">
        <v>2352</v>
      </c>
      <c r="CS1574" s="1369" t="str">
        <f>INDEX([8]Sheet1!$H:$H,MATCH(CR:CR,[8]Sheet1!$AU:$AU,0))</f>
        <v>Property Services</v>
      </c>
    </row>
    <row r="1575" spans="1:97" x14ac:dyDescent="0.2">
      <c r="A1575" t="s">
        <v>4664</v>
      </c>
      <c r="B1575">
        <v>1665</v>
      </c>
      <c r="C1575" t="s">
        <v>4664</v>
      </c>
      <c r="D1575">
        <v>54529</v>
      </c>
      <c r="E1575" t="s">
        <v>2504</v>
      </c>
      <c r="F1575">
        <v>2900</v>
      </c>
      <c r="G1575" t="s">
        <v>569</v>
      </c>
      <c r="H1575" s="1373" t="s">
        <v>2366</v>
      </c>
      <c r="I1575" t="s">
        <v>2366</v>
      </c>
      <c r="J1575">
        <v>2904</v>
      </c>
      <c r="K1575" t="s">
        <v>1432</v>
      </c>
      <c r="L1575" s="1373">
        <v>1100</v>
      </c>
      <c r="M1575" t="s">
        <v>616</v>
      </c>
      <c r="N1575">
        <v>1120</v>
      </c>
      <c r="O1575" t="s">
        <v>1485</v>
      </c>
      <c r="P1575" t="s">
        <v>2366</v>
      </c>
      <c r="Q1575" t="s">
        <v>2364</v>
      </c>
      <c r="R1575" t="s">
        <v>2364</v>
      </c>
      <c r="S1575" t="s">
        <v>1881</v>
      </c>
      <c r="T1575" t="s">
        <v>1812</v>
      </c>
      <c r="U1575" t="s">
        <v>2365</v>
      </c>
      <c r="V1575" t="s">
        <v>2365</v>
      </c>
      <c r="W1575" t="s">
        <v>2365</v>
      </c>
      <c r="X1575" t="s">
        <v>2365</v>
      </c>
      <c r="Y1575" t="s">
        <v>2365</v>
      </c>
      <c r="Z1575" t="s">
        <v>2365</v>
      </c>
      <c r="AA1575" t="s">
        <v>2365</v>
      </c>
      <c r="AB1575" t="s">
        <v>2365</v>
      </c>
      <c r="AC1575" s="813" t="s">
        <v>2365</v>
      </c>
      <c r="AD1575" s="813" t="s">
        <v>2365</v>
      </c>
      <c r="AE1575" s="813" t="s">
        <v>2365</v>
      </c>
      <c r="AF1575" t="s">
        <v>2365</v>
      </c>
      <c r="AG1575" t="s">
        <v>2365</v>
      </c>
      <c r="AH1575" t="s">
        <v>2365</v>
      </c>
      <c r="AI1575" t="s">
        <v>2365</v>
      </c>
      <c r="AJ1575" t="s">
        <v>2365</v>
      </c>
      <c r="AK1575" t="s">
        <v>2365</v>
      </c>
      <c r="AL1575" t="s">
        <v>2365</v>
      </c>
      <c r="AM1575" t="s">
        <v>2365</v>
      </c>
      <c r="AN1575" t="s">
        <v>2365</v>
      </c>
      <c r="AR1575" t="s">
        <v>2365</v>
      </c>
      <c r="AS1575" t="s">
        <v>2365</v>
      </c>
      <c r="AT1575" t="s">
        <v>2365</v>
      </c>
      <c r="AU1575" t="s">
        <v>2365</v>
      </c>
      <c r="AV1575" t="s">
        <v>2365</v>
      </c>
      <c r="AW1575" t="s">
        <v>2365</v>
      </c>
      <c r="AX1575" t="s">
        <v>2365</v>
      </c>
      <c r="AY1575" t="s">
        <v>2365</v>
      </c>
      <c r="AZ1575" t="s">
        <v>2365</v>
      </c>
      <c r="BA1575" t="s">
        <v>2365</v>
      </c>
      <c r="BB1575" t="s">
        <v>2365</v>
      </c>
      <c r="BC1575" t="s">
        <v>2365</v>
      </c>
      <c r="BD1575" t="s">
        <v>2366</v>
      </c>
      <c r="BE1575" t="s">
        <v>2365</v>
      </c>
      <c r="BF1575" t="s">
        <v>2365</v>
      </c>
      <c r="BG1575" t="s">
        <v>2365</v>
      </c>
      <c r="BH1575" t="s">
        <v>2365</v>
      </c>
      <c r="BI1575" t="s">
        <v>2366</v>
      </c>
      <c r="BJ1575" t="s">
        <v>2365</v>
      </c>
      <c r="BK1575" t="s">
        <v>2365</v>
      </c>
      <c r="BL1575" t="s">
        <v>2365</v>
      </c>
      <c r="BM1575" t="s">
        <v>2365</v>
      </c>
      <c r="BO1575">
        <v>3</v>
      </c>
      <c r="BP1575">
        <v>31</v>
      </c>
      <c r="BQ1575" t="s">
        <v>2716</v>
      </c>
      <c r="BR1575" t="s">
        <v>1485</v>
      </c>
      <c r="BU1575" s="1371">
        <v>60000</v>
      </c>
      <c r="BV1575" s="1371">
        <v>0</v>
      </c>
      <c r="BW1575" s="1371">
        <v>60000</v>
      </c>
      <c r="BX1575" s="1371">
        <v>0</v>
      </c>
      <c r="BY1575" s="1371">
        <v>60000</v>
      </c>
      <c r="BZ1575">
        <v>62400</v>
      </c>
      <c r="CA1575">
        <v>64896</v>
      </c>
      <c r="CB1575">
        <v>0</v>
      </c>
      <c r="CC1575">
        <v>0</v>
      </c>
      <c r="CD1575">
        <v>0</v>
      </c>
      <c r="CE1575">
        <v>0</v>
      </c>
      <c r="CF1575">
        <v>0</v>
      </c>
      <c r="CG1575">
        <v>0</v>
      </c>
      <c r="CH1575">
        <v>0</v>
      </c>
      <c r="CI1575">
        <v>0</v>
      </c>
      <c r="CJ1575">
        <v>0</v>
      </c>
      <c r="CK1575">
        <v>0</v>
      </c>
      <c r="CL1575">
        <v>0</v>
      </c>
      <c r="CM1575">
        <v>0</v>
      </c>
      <c r="CR1575" t="s">
        <v>2353</v>
      </c>
      <c r="CS1575" s="1369" t="str">
        <f>INDEX([8]Sheet1!$H:$H,MATCH(CR:CR,[8]Sheet1!$AU:$AU,0))</f>
        <v>Fleet Management</v>
      </c>
    </row>
    <row r="1576" spans="1:97" x14ac:dyDescent="0.2">
      <c r="A1576" t="s">
        <v>4665</v>
      </c>
      <c r="B1576">
        <v>1666</v>
      </c>
      <c r="C1576" t="s">
        <v>4665</v>
      </c>
      <c r="D1576">
        <v>54530</v>
      </c>
      <c r="E1576" t="s">
        <v>2911</v>
      </c>
      <c r="F1576">
        <v>2900</v>
      </c>
      <c r="G1576" t="s">
        <v>569</v>
      </c>
      <c r="H1576" s="1373" t="s">
        <v>2366</v>
      </c>
      <c r="I1576" t="s">
        <v>2366</v>
      </c>
      <c r="J1576">
        <v>2904</v>
      </c>
      <c r="K1576" t="s">
        <v>1432</v>
      </c>
      <c r="L1576" s="1373">
        <v>1100</v>
      </c>
      <c r="M1576" t="s">
        <v>616</v>
      </c>
      <c r="N1576">
        <v>1120</v>
      </c>
      <c r="O1576" t="s">
        <v>1485</v>
      </c>
      <c r="P1576" t="s">
        <v>2366</v>
      </c>
      <c r="Q1576" t="s">
        <v>2364</v>
      </c>
      <c r="R1576" t="s">
        <v>2364</v>
      </c>
      <c r="S1576" t="s">
        <v>1881</v>
      </c>
      <c r="T1576" t="s">
        <v>1812</v>
      </c>
      <c r="U1576" t="s">
        <v>2365</v>
      </c>
      <c r="V1576" t="s">
        <v>2365</v>
      </c>
      <c r="W1576" t="s">
        <v>2365</v>
      </c>
      <c r="X1576" t="s">
        <v>2365</v>
      </c>
      <c r="Y1576" t="s">
        <v>2365</v>
      </c>
      <c r="Z1576" t="s">
        <v>2365</v>
      </c>
      <c r="AA1576" t="s">
        <v>2365</v>
      </c>
      <c r="AB1576" t="s">
        <v>2365</v>
      </c>
      <c r="AC1576" s="813" t="s">
        <v>2365</v>
      </c>
      <c r="AD1576" s="813" t="s">
        <v>2365</v>
      </c>
      <c r="AE1576" s="813" t="s">
        <v>2365</v>
      </c>
      <c r="AF1576" t="s">
        <v>2365</v>
      </c>
      <c r="AG1576" t="s">
        <v>2365</v>
      </c>
      <c r="AH1576" t="s">
        <v>2365</v>
      </c>
      <c r="AI1576" t="s">
        <v>2365</v>
      </c>
      <c r="AJ1576" t="s">
        <v>2365</v>
      </c>
      <c r="AK1576" t="s">
        <v>2365</v>
      </c>
      <c r="AL1576" t="s">
        <v>2365</v>
      </c>
      <c r="AM1576" t="s">
        <v>2365</v>
      </c>
      <c r="AN1576" t="s">
        <v>2365</v>
      </c>
      <c r="AR1576" t="s">
        <v>2365</v>
      </c>
      <c r="AS1576" t="s">
        <v>2365</v>
      </c>
      <c r="AT1576" t="s">
        <v>2365</v>
      </c>
      <c r="AU1576" t="s">
        <v>2365</v>
      </c>
      <c r="AV1576" t="s">
        <v>2365</v>
      </c>
      <c r="AW1576" t="s">
        <v>2365</v>
      </c>
      <c r="AX1576" t="s">
        <v>2365</v>
      </c>
      <c r="AY1576" t="s">
        <v>2365</v>
      </c>
      <c r="AZ1576" t="s">
        <v>2365</v>
      </c>
      <c r="BA1576" t="s">
        <v>2365</v>
      </c>
      <c r="BB1576" t="s">
        <v>2365</v>
      </c>
      <c r="BC1576" t="s">
        <v>2365</v>
      </c>
      <c r="BD1576" t="s">
        <v>2366</v>
      </c>
      <c r="BE1576" t="s">
        <v>2365</v>
      </c>
      <c r="BF1576" t="s">
        <v>2365</v>
      </c>
      <c r="BG1576" t="s">
        <v>2365</v>
      </c>
      <c r="BH1576" t="s">
        <v>2365</v>
      </c>
      <c r="BI1576" t="s">
        <v>2366</v>
      </c>
      <c r="BJ1576" t="s">
        <v>2365</v>
      </c>
      <c r="BK1576" t="s">
        <v>2365</v>
      </c>
      <c r="BL1576" t="s">
        <v>2365</v>
      </c>
      <c r="BM1576" t="s">
        <v>2365</v>
      </c>
      <c r="BO1576">
        <v>3</v>
      </c>
      <c r="BP1576">
        <v>31</v>
      </c>
      <c r="BQ1576" t="s">
        <v>2716</v>
      </c>
      <c r="BR1576" t="s">
        <v>1485</v>
      </c>
      <c r="BU1576" s="1371">
        <v>100000</v>
      </c>
      <c r="BV1576" s="1371">
        <v>0</v>
      </c>
      <c r="BW1576" s="1371">
        <v>100000</v>
      </c>
      <c r="BX1576" s="1371">
        <v>0</v>
      </c>
      <c r="BY1576" s="1371">
        <v>100000</v>
      </c>
      <c r="BZ1576">
        <v>104000</v>
      </c>
      <c r="CA1576">
        <v>108160</v>
      </c>
      <c r="CB1576">
        <v>0</v>
      </c>
      <c r="CC1576">
        <v>0</v>
      </c>
      <c r="CD1576">
        <v>0</v>
      </c>
      <c r="CE1576">
        <v>0</v>
      </c>
      <c r="CF1576">
        <v>0</v>
      </c>
      <c r="CG1576">
        <v>0</v>
      </c>
      <c r="CH1576">
        <v>0</v>
      </c>
      <c r="CI1576">
        <v>0</v>
      </c>
      <c r="CJ1576">
        <v>0</v>
      </c>
      <c r="CK1576">
        <v>0</v>
      </c>
      <c r="CL1576">
        <v>0</v>
      </c>
      <c r="CM1576">
        <v>0</v>
      </c>
      <c r="CR1576" t="s">
        <v>2325</v>
      </c>
      <c r="CS1576" s="1369" t="str">
        <f>INDEX([8]Sheet1!$H:$H,MATCH(CR:CR,[8]Sheet1!$AU:$AU,0))</f>
        <v>Asset Management</v>
      </c>
    </row>
    <row r="1577" spans="1:97" x14ac:dyDescent="0.2">
      <c r="A1577" t="s">
        <v>4666</v>
      </c>
      <c r="B1577">
        <v>1667</v>
      </c>
      <c r="C1577" t="s">
        <v>4666</v>
      </c>
      <c r="D1577">
        <v>54531</v>
      </c>
      <c r="E1577" t="s">
        <v>2508</v>
      </c>
      <c r="F1577">
        <v>2900</v>
      </c>
      <c r="G1577" t="s">
        <v>569</v>
      </c>
      <c r="H1577" s="1373" t="s">
        <v>2366</v>
      </c>
      <c r="I1577" t="s">
        <v>2366</v>
      </c>
      <c r="J1577">
        <v>2904</v>
      </c>
      <c r="K1577" t="s">
        <v>1432</v>
      </c>
      <c r="L1577" s="1373">
        <v>1100</v>
      </c>
      <c r="M1577" t="s">
        <v>616</v>
      </c>
      <c r="N1577">
        <v>1120</v>
      </c>
      <c r="O1577" t="s">
        <v>1485</v>
      </c>
      <c r="P1577" t="s">
        <v>2366</v>
      </c>
      <c r="Q1577" t="s">
        <v>2364</v>
      </c>
      <c r="R1577" t="s">
        <v>2364</v>
      </c>
      <c r="S1577" t="s">
        <v>1881</v>
      </c>
      <c r="T1577" t="s">
        <v>1812</v>
      </c>
      <c r="U1577" t="s">
        <v>2365</v>
      </c>
      <c r="V1577" t="s">
        <v>2365</v>
      </c>
      <c r="W1577" t="s">
        <v>2365</v>
      </c>
      <c r="X1577" t="s">
        <v>2365</v>
      </c>
      <c r="Y1577" t="s">
        <v>2365</v>
      </c>
      <c r="Z1577" t="s">
        <v>2365</v>
      </c>
      <c r="AA1577" t="s">
        <v>2365</v>
      </c>
      <c r="AB1577" t="s">
        <v>2365</v>
      </c>
      <c r="AC1577" s="813" t="s">
        <v>2365</v>
      </c>
      <c r="AD1577" s="813" t="s">
        <v>2365</v>
      </c>
      <c r="AE1577" s="813" t="s">
        <v>2365</v>
      </c>
      <c r="AF1577" t="s">
        <v>2365</v>
      </c>
      <c r="AG1577" t="s">
        <v>2365</v>
      </c>
      <c r="AH1577" t="s">
        <v>2365</v>
      </c>
      <c r="AI1577" t="s">
        <v>2365</v>
      </c>
      <c r="AJ1577" t="s">
        <v>2365</v>
      </c>
      <c r="AK1577" t="s">
        <v>2365</v>
      </c>
      <c r="AL1577" t="s">
        <v>2365</v>
      </c>
      <c r="AM1577" t="s">
        <v>2365</v>
      </c>
      <c r="AN1577" t="s">
        <v>2365</v>
      </c>
      <c r="AR1577" t="s">
        <v>2365</v>
      </c>
      <c r="AS1577" t="s">
        <v>2365</v>
      </c>
      <c r="AT1577" t="s">
        <v>2365</v>
      </c>
      <c r="AU1577" t="s">
        <v>2365</v>
      </c>
      <c r="AV1577" t="s">
        <v>2365</v>
      </c>
      <c r="AW1577" t="s">
        <v>2365</v>
      </c>
      <c r="AX1577" t="s">
        <v>2365</v>
      </c>
      <c r="AY1577" t="s">
        <v>2365</v>
      </c>
      <c r="AZ1577" t="s">
        <v>2365</v>
      </c>
      <c r="BA1577" t="s">
        <v>2365</v>
      </c>
      <c r="BB1577" t="s">
        <v>2365</v>
      </c>
      <c r="BC1577" t="s">
        <v>2365</v>
      </c>
      <c r="BD1577" t="s">
        <v>2366</v>
      </c>
      <c r="BE1577" t="s">
        <v>2365</v>
      </c>
      <c r="BF1577" t="s">
        <v>2365</v>
      </c>
      <c r="BG1577" t="s">
        <v>2365</v>
      </c>
      <c r="BH1577" t="s">
        <v>2365</v>
      </c>
      <c r="BI1577" t="s">
        <v>2366</v>
      </c>
      <c r="BJ1577" t="s">
        <v>2365</v>
      </c>
      <c r="BK1577" t="s">
        <v>2365</v>
      </c>
      <c r="BL1577" t="s">
        <v>2365</v>
      </c>
      <c r="BM1577" t="s">
        <v>2365</v>
      </c>
      <c r="BO1577">
        <v>3</v>
      </c>
      <c r="BP1577">
        <v>31</v>
      </c>
      <c r="BQ1577" t="s">
        <v>2716</v>
      </c>
      <c r="BR1577" t="s">
        <v>1485</v>
      </c>
      <c r="BU1577" s="1371">
        <v>200000</v>
      </c>
      <c r="BV1577" s="1371">
        <v>0</v>
      </c>
      <c r="BW1577" s="1371">
        <v>200000</v>
      </c>
      <c r="BX1577" s="1371">
        <v>-100000</v>
      </c>
      <c r="BY1577" s="1371">
        <v>100000</v>
      </c>
      <c r="BZ1577">
        <v>208000</v>
      </c>
      <c r="CA1577">
        <v>216320</v>
      </c>
      <c r="CB1577">
        <v>0</v>
      </c>
      <c r="CC1577">
        <v>0</v>
      </c>
      <c r="CD1577">
        <v>27686.61</v>
      </c>
      <c r="CE1577">
        <v>1550</v>
      </c>
      <c r="CF1577">
        <v>0</v>
      </c>
      <c r="CG1577">
        <v>0</v>
      </c>
      <c r="CH1577">
        <v>0</v>
      </c>
      <c r="CI1577">
        <v>0</v>
      </c>
      <c r="CJ1577">
        <v>0</v>
      </c>
      <c r="CK1577">
        <v>0</v>
      </c>
      <c r="CL1577">
        <v>0</v>
      </c>
      <c r="CM1577">
        <v>0</v>
      </c>
      <c r="CR1577" t="s">
        <v>2352</v>
      </c>
      <c r="CS1577" s="1369" t="str">
        <f>INDEX([8]Sheet1!$H:$H,MATCH(CR:CR,[8]Sheet1!$AU:$AU,0))</f>
        <v>Property Services</v>
      </c>
    </row>
    <row r="1578" spans="1:97" x14ac:dyDescent="0.2">
      <c r="A1578" t="s">
        <v>4667</v>
      </c>
      <c r="B1578">
        <v>1668</v>
      </c>
      <c r="C1578" t="s">
        <v>4667</v>
      </c>
      <c r="D1578">
        <v>54532</v>
      </c>
      <c r="E1578" t="s">
        <v>2425</v>
      </c>
      <c r="F1578">
        <v>2900</v>
      </c>
      <c r="G1578" t="s">
        <v>569</v>
      </c>
      <c r="H1578" s="1373" t="s">
        <v>2366</v>
      </c>
      <c r="I1578" t="s">
        <v>2366</v>
      </c>
      <c r="J1578">
        <v>2904</v>
      </c>
      <c r="K1578" t="s">
        <v>1432</v>
      </c>
      <c r="L1578" s="1373">
        <v>1100</v>
      </c>
      <c r="M1578" t="s">
        <v>616</v>
      </c>
      <c r="N1578">
        <v>1120</v>
      </c>
      <c r="O1578" t="s">
        <v>1485</v>
      </c>
      <c r="P1578" t="s">
        <v>2366</v>
      </c>
      <c r="Q1578" t="s">
        <v>2364</v>
      </c>
      <c r="R1578" t="s">
        <v>2364</v>
      </c>
      <c r="S1578" t="s">
        <v>1881</v>
      </c>
      <c r="T1578" t="s">
        <v>1812</v>
      </c>
      <c r="U1578" t="s">
        <v>2365</v>
      </c>
      <c r="V1578" t="s">
        <v>2365</v>
      </c>
      <c r="W1578" t="s">
        <v>2365</v>
      </c>
      <c r="X1578" t="s">
        <v>2365</v>
      </c>
      <c r="Y1578" t="s">
        <v>2365</v>
      </c>
      <c r="Z1578" t="s">
        <v>2365</v>
      </c>
      <c r="AA1578" t="s">
        <v>2365</v>
      </c>
      <c r="AB1578" t="s">
        <v>2365</v>
      </c>
      <c r="AC1578" s="813" t="s">
        <v>2365</v>
      </c>
      <c r="AD1578" s="813" t="s">
        <v>2365</v>
      </c>
      <c r="AE1578" s="813" t="s">
        <v>2365</v>
      </c>
      <c r="AF1578" t="s">
        <v>2365</v>
      </c>
      <c r="AG1578" t="s">
        <v>2365</v>
      </c>
      <c r="AH1578" t="s">
        <v>2365</v>
      </c>
      <c r="AI1578" t="s">
        <v>2365</v>
      </c>
      <c r="AJ1578" t="s">
        <v>2365</v>
      </c>
      <c r="AK1578" t="s">
        <v>2365</v>
      </c>
      <c r="AL1578" t="s">
        <v>2365</v>
      </c>
      <c r="AM1578" t="s">
        <v>2365</v>
      </c>
      <c r="AN1578" t="s">
        <v>2365</v>
      </c>
      <c r="AR1578" t="s">
        <v>2365</v>
      </c>
      <c r="AS1578" t="s">
        <v>2365</v>
      </c>
      <c r="AT1578" t="s">
        <v>2365</v>
      </c>
      <c r="AU1578" t="s">
        <v>2365</v>
      </c>
      <c r="AV1578" t="s">
        <v>2365</v>
      </c>
      <c r="AW1578" t="s">
        <v>2365</v>
      </c>
      <c r="AX1578" t="s">
        <v>2365</v>
      </c>
      <c r="AY1578" t="s">
        <v>2365</v>
      </c>
      <c r="AZ1578" t="s">
        <v>2365</v>
      </c>
      <c r="BA1578" t="s">
        <v>2365</v>
      </c>
      <c r="BB1578" t="s">
        <v>2365</v>
      </c>
      <c r="BC1578" t="s">
        <v>2365</v>
      </c>
      <c r="BD1578" t="s">
        <v>2366</v>
      </c>
      <c r="BE1578" t="s">
        <v>2365</v>
      </c>
      <c r="BF1578" t="s">
        <v>2365</v>
      </c>
      <c r="BG1578" t="s">
        <v>2365</v>
      </c>
      <c r="BH1578" t="s">
        <v>2365</v>
      </c>
      <c r="BI1578" t="s">
        <v>2366</v>
      </c>
      <c r="BJ1578" t="s">
        <v>2365</v>
      </c>
      <c r="BK1578" t="s">
        <v>2365</v>
      </c>
      <c r="BL1578" t="s">
        <v>2365</v>
      </c>
      <c r="BM1578" t="s">
        <v>2365</v>
      </c>
      <c r="BO1578">
        <v>3</v>
      </c>
      <c r="BP1578">
        <v>31</v>
      </c>
      <c r="BQ1578" t="s">
        <v>2716</v>
      </c>
      <c r="BR1578" t="s">
        <v>1485</v>
      </c>
      <c r="BU1578" s="1371">
        <v>70000</v>
      </c>
      <c r="BV1578" s="1371">
        <v>0</v>
      </c>
      <c r="BW1578" s="1371">
        <v>70000</v>
      </c>
      <c r="BX1578" s="1371">
        <v>0</v>
      </c>
      <c r="BY1578" s="1371">
        <v>70000</v>
      </c>
      <c r="BZ1578">
        <v>72800</v>
      </c>
      <c r="CA1578">
        <v>75712</v>
      </c>
      <c r="CB1578">
        <v>0</v>
      </c>
      <c r="CC1578">
        <v>0</v>
      </c>
      <c r="CD1578">
        <v>0</v>
      </c>
      <c r="CE1578">
        <v>0</v>
      </c>
      <c r="CF1578">
        <v>0</v>
      </c>
      <c r="CG1578">
        <v>0</v>
      </c>
      <c r="CH1578">
        <v>0</v>
      </c>
      <c r="CI1578">
        <v>0</v>
      </c>
      <c r="CJ1578">
        <v>0</v>
      </c>
      <c r="CK1578">
        <v>0</v>
      </c>
      <c r="CL1578">
        <v>0</v>
      </c>
      <c r="CM1578">
        <v>0</v>
      </c>
      <c r="CR1578" t="s">
        <v>2352</v>
      </c>
      <c r="CS1578" s="1369" t="str">
        <f>INDEX([8]Sheet1!$H:$H,MATCH(CR:CR,[8]Sheet1!$AU:$AU,0))</f>
        <v>Property Services</v>
      </c>
    </row>
    <row r="1579" spans="1:97" x14ac:dyDescent="0.2">
      <c r="A1579" t="s">
        <v>4668</v>
      </c>
      <c r="B1579">
        <v>1669</v>
      </c>
      <c r="C1579" t="s">
        <v>4668</v>
      </c>
      <c r="D1579">
        <v>54533</v>
      </c>
      <c r="E1579" t="s">
        <v>3010</v>
      </c>
      <c r="F1579">
        <v>2700</v>
      </c>
      <c r="G1579" t="s">
        <v>656</v>
      </c>
      <c r="H1579" t="s">
        <v>2428</v>
      </c>
      <c r="I1579" t="s">
        <v>1800</v>
      </c>
      <c r="J1579">
        <v>2701</v>
      </c>
      <c r="K1579" t="s">
        <v>1800</v>
      </c>
      <c r="L1579">
        <v>2100</v>
      </c>
      <c r="M1579" t="s">
        <v>618</v>
      </c>
      <c r="N1579">
        <v>2109</v>
      </c>
      <c r="O1579" t="s">
        <v>1502</v>
      </c>
      <c r="P1579" t="s">
        <v>2366</v>
      </c>
      <c r="Q1579" t="s">
        <v>2364</v>
      </c>
      <c r="R1579" t="s">
        <v>2364</v>
      </c>
      <c r="S1579" t="s">
        <v>1881</v>
      </c>
      <c r="T1579" t="s">
        <v>1812</v>
      </c>
      <c r="U1579" t="s">
        <v>2365</v>
      </c>
      <c r="V1579" t="s">
        <v>2365</v>
      </c>
      <c r="W1579" t="s">
        <v>2365</v>
      </c>
      <c r="X1579" t="s">
        <v>2365</v>
      </c>
      <c r="Y1579" t="s">
        <v>2365</v>
      </c>
      <c r="Z1579" t="s">
        <v>2365</v>
      </c>
      <c r="AA1579" t="s">
        <v>2365</v>
      </c>
      <c r="AB1579" t="s">
        <v>2365</v>
      </c>
      <c r="AC1579" s="813" t="s">
        <v>2365</v>
      </c>
      <c r="AD1579" s="813" t="s">
        <v>2365</v>
      </c>
      <c r="AE1579" s="813" t="s">
        <v>2365</v>
      </c>
      <c r="AF1579" t="s">
        <v>2365</v>
      </c>
      <c r="AG1579" t="s">
        <v>2365</v>
      </c>
      <c r="AH1579" t="s">
        <v>2365</v>
      </c>
      <c r="AI1579" t="s">
        <v>2365</v>
      </c>
      <c r="AJ1579" t="s">
        <v>2365</v>
      </c>
      <c r="AK1579" t="s">
        <v>2365</v>
      </c>
      <c r="AL1579" t="s">
        <v>2365</v>
      </c>
      <c r="AM1579" t="s">
        <v>2365</v>
      </c>
      <c r="AN1579" t="s">
        <v>2365</v>
      </c>
      <c r="AR1579" t="s">
        <v>2365</v>
      </c>
      <c r="AS1579" t="s">
        <v>2365</v>
      </c>
      <c r="AT1579" t="s">
        <v>2365</v>
      </c>
      <c r="AU1579" t="s">
        <v>2365</v>
      </c>
      <c r="AV1579" t="s">
        <v>2365</v>
      </c>
      <c r="AW1579" t="s">
        <v>2365</v>
      </c>
      <c r="AX1579" t="s">
        <v>2365</v>
      </c>
      <c r="AY1579" t="s">
        <v>2365</v>
      </c>
      <c r="AZ1579" t="s">
        <v>2365</v>
      </c>
      <c r="BA1579" t="s">
        <v>2365</v>
      </c>
      <c r="BB1579" t="s">
        <v>2365</v>
      </c>
      <c r="BC1579" t="s">
        <v>2365</v>
      </c>
      <c r="BD1579" t="s">
        <v>2366</v>
      </c>
      <c r="BE1579" t="s">
        <v>2365</v>
      </c>
      <c r="BF1579" t="s">
        <v>2365</v>
      </c>
      <c r="BG1579" t="s">
        <v>2365</v>
      </c>
      <c r="BH1579" t="s">
        <v>2365</v>
      </c>
      <c r="BI1579" t="s">
        <v>2366</v>
      </c>
      <c r="BJ1579" t="s">
        <v>2365</v>
      </c>
      <c r="BK1579" t="s">
        <v>2365</v>
      </c>
      <c r="BL1579" t="s">
        <v>2365</v>
      </c>
      <c r="BM1579" t="s">
        <v>2365</v>
      </c>
      <c r="BO1579">
        <v>4</v>
      </c>
      <c r="BP1579">
        <v>41</v>
      </c>
      <c r="BQ1579" t="s">
        <v>2433</v>
      </c>
      <c r="BR1579" t="s">
        <v>1502</v>
      </c>
      <c r="BU1579">
        <v>50000</v>
      </c>
      <c r="BV1579">
        <v>0</v>
      </c>
      <c r="BW1579">
        <v>50000</v>
      </c>
      <c r="BX1579">
        <v>0</v>
      </c>
      <c r="BY1579">
        <v>50000</v>
      </c>
      <c r="BZ1579">
        <v>53000</v>
      </c>
      <c r="CA1579">
        <v>56180</v>
      </c>
      <c r="CB1579">
        <v>0</v>
      </c>
      <c r="CC1579">
        <v>0</v>
      </c>
      <c r="CD1579">
        <v>0</v>
      </c>
      <c r="CE1579">
        <v>0</v>
      </c>
      <c r="CF1579">
        <v>0</v>
      </c>
      <c r="CG1579">
        <v>0</v>
      </c>
      <c r="CH1579">
        <v>0</v>
      </c>
      <c r="CI1579">
        <v>0</v>
      </c>
      <c r="CJ1579">
        <v>0</v>
      </c>
      <c r="CK1579">
        <v>0</v>
      </c>
      <c r="CL1579">
        <v>0</v>
      </c>
      <c r="CM1579">
        <v>0</v>
      </c>
      <c r="CR1579" t="s">
        <v>2325</v>
      </c>
      <c r="CS1579" s="1369" t="str">
        <f>INDEX([8]Sheet1!$H:$H,MATCH(CR:CR,[8]Sheet1!$AU:$AU,0))</f>
        <v>Asset Management</v>
      </c>
    </row>
    <row r="1580" spans="1:97" x14ac:dyDescent="0.2">
      <c r="A1580" t="s">
        <v>4669</v>
      </c>
      <c r="B1580">
        <v>1670</v>
      </c>
      <c r="C1580" t="s">
        <v>4669</v>
      </c>
      <c r="D1580">
        <v>54534</v>
      </c>
      <c r="E1580" t="s">
        <v>2459</v>
      </c>
      <c r="F1580">
        <v>600</v>
      </c>
      <c r="G1580" t="s">
        <v>1152</v>
      </c>
      <c r="H1580">
        <v>600</v>
      </c>
      <c r="I1580" t="s">
        <v>731</v>
      </c>
      <c r="J1580" t="s">
        <v>2365</v>
      </c>
      <c r="K1580" t="s">
        <v>2365</v>
      </c>
      <c r="L1580">
        <v>4400</v>
      </c>
      <c r="M1580" t="s">
        <v>631</v>
      </c>
      <c r="N1580">
        <v>4403</v>
      </c>
      <c r="O1580" t="s">
        <v>1557</v>
      </c>
      <c r="P1580" t="s">
        <v>2366</v>
      </c>
      <c r="Q1580" t="s">
        <v>2364</v>
      </c>
      <c r="R1580" t="s">
        <v>2364</v>
      </c>
      <c r="S1580" t="s">
        <v>1881</v>
      </c>
      <c r="T1580" t="s">
        <v>1811</v>
      </c>
      <c r="U1580" t="s">
        <v>2365</v>
      </c>
      <c r="V1580" t="s">
        <v>2365</v>
      </c>
      <c r="W1580" t="s">
        <v>2365</v>
      </c>
      <c r="X1580" t="s">
        <v>2365</v>
      </c>
      <c r="Y1580" t="s">
        <v>2365</v>
      </c>
      <c r="Z1580" t="s">
        <v>2365</v>
      </c>
      <c r="AA1580" t="s">
        <v>2365</v>
      </c>
      <c r="AB1580" t="s">
        <v>2365</v>
      </c>
      <c r="AC1580" s="813" t="s">
        <v>2365</v>
      </c>
      <c r="AD1580" s="813" t="s">
        <v>2365</v>
      </c>
      <c r="AE1580" s="813" t="s">
        <v>2365</v>
      </c>
      <c r="AF1580" t="s">
        <v>2365</v>
      </c>
      <c r="AG1580" t="s">
        <v>2365</v>
      </c>
      <c r="AH1580" t="s">
        <v>2365</v>
      </c>
      <c r="AI1580" t="s">
        <v>2365</v>
      </c>
      <c r="AJ1580" t="s">
        <v>2365</v>
      </c>
      <c r="AK1580" t="s">
        <v>2365</v>
      </c>
      <c r="AL1580" t="s">
        <v>2365</v>
      </c>
      <c r="AM1580" t="s">
        <v>2365</v>
      </c>
      <c r="AN1580" t="s">
        <v>2365</v>
      </c>
      <c r="AR1580" t="s">
        <v>2365</v>
      </c>
      <c r="AS1580" t="s">
        <v>2365</v>
      </c>
      <c r="AT1580" t="s">
        <v>2365</v>
      </c>
      <c r="AU1580" t="s">
        <v>2365</v>
      </c>
      <c r="AV1580" t="s">
        <v>2365</v>
      </c>
      <c r="AW1580" t="s">
        <v>2365</v>
      </c>
      <c r="AX1580" t="s">
        <v>2365</v>
      </c>
      <c r="AY1580" t="s">
        <v>2365</v>
      </c>
      <c r="AZ1580" t="s">
        <v>2365</v>
      </c>
      <c r="BA1580" t="s">
        <v>2365</v>
      </c>
      <c r="BB1580" t="s">
        <v>2365</v>
      </c>
      <c r="BC1580" t="s">
        <v>2365</v>
      </c>
      <c r="BD1580" t="s">
        <v>2366</v>
      </c>
      <c r="BE1580" t="s">
        <v>2365</v>
      </c>
      <c r="BF1580" t="s">
        <v>2365</v>
      </c>
      <c r="BG1580" t="s">
        <v>2365</v>
      </c>
      <c r="BH1580" t="s">
        <v>2365</v>
      </c>
      <c r="BI1580" t="s">
        <v>2366</v>
      </c>
      <c r="BJ1580" t="s">
        <v>2365</v>
      </c>
      <c r="BK1580" t="s">
        <v>2365</v>
      </c>
      <c r="BL1580" t="s">
        <v>2365</v>
      </c>
      <c r="BM1580" t="s">
        <v>2365</v>
      </c>
      <c r="BO1580">
        <v>12</v>
      </c>
      <c r="BP1580">
        <v>121</v>
      </c>
      <c r="BQ1580" t="s">
        <v>1369</v>
      </c>
      <c r="BR1580" t="s">
        <v>1557</v>
      </c>
      <c r="BU1580">
        <v>0</v>
      </c>
      <c r="BV1580">
        <v>0</v>
      </c>
      <c r="BW1580">
        <v>0</v>
      </c>
      <c r="BX1580">
        <v>0</v>
      </c>
      <c r="BY1580">
        <v>0</v>
      </c>
      <c r="BZ1580">
        <v>0</v>
      </c>
      <c r="CA1580">
        <v>0</v>
      </c>
      <c r="CB1580">
        <v>0</v>
      </c>
      <c r="CC1580">
        <v>0</v>
      </c>
      <c r="CD1580">
        <v>0</v>
      </c>
      <c r="CE1580">
        <v>0</v>
      </c>
      <c r="CF1580">
        <v>0</v>
      </c>
      <c r="CG1580">
        <v>0</v>
      </c>
      <c r="CH1580">
        <v>0</v>
      </c>
      <c r="CI1580">
        <v>0</v>
      </c>
      <c r="CJ1580">
        <v>0</v>
      </c>
      <c r="CK1580">
        <v>0</v>
      </c>
      <c r="CL1580">
        <v>0</v>
      </c>
      <c r="CM1580">
        <v>0</v>
      </c>
      <c r="CR1580" t="s">
        <v>2325</v>
      </c>
      <c r="CS1580" s="1369" t="str">
        <f>INDEX([8]Sheet1!$H:$H,MATCH(CR:CR,[8]Sheet1!$AU:$AU,0))</f>
        <v>Asset Management</v>
      </c>
    </row>
    <row r="1581" spans="1:97" x14ac:dyDescent="0.2">
      <c r="A1581" t="s">
        <v>4670</v>
      </c>
      <c r="B1581">
        <v>1671</v>
      </c>
      <c r="C1581" t="s">
        <v>4670</v>
      </c>
      <c r="D1581">
        <v>54537</v>
      </c>
      <c r="E1581" t="s">
        <v>4671</v>
      </c>
      <c r="F1581">
        <v>2900</v>
      </c>
      <c r="G1581" t="s">
        <v>569</v>
      </c>
      <c r="H1581" t="s">
        <v>2366</v>
      </c>
      <c r="I1581" t="s">
        <v>2366</v>
      </c>
      <c r="J1581">
        <v>2904</v>
      </c>
      <c r="K1581" t="s">
        <v>1432</v>
      </c>
      <c r="L1581">
        <v>2100</v>
      </c>
      <c r="M1581" t="s">
        <v>618</v>
      </c>
      <c r="N1581">
        <v>2118</v>
      </c>
      <c r="O1581" t="s">
        <v>1509</v>
      </c>
      <c r="P1581" t="s">
        <v>2366</v>
      </c>
      <c r="Q1581" t="s">
        <v>2364</v>
      </c>
      <c r="R1581" t="s">
        <v>2364</v>
      </c>
      <c r="S1581" t="s">
        <v>1881</v>
      </c>
      <c r="T1581" t="s">
        <v>1812</v>
      </c>
      <c r="U1581" t="s">
        <v>2365</v>
      </c>
      <c r="V1581" t="s">
        <v>2365</v>
      </c>
      <c r="W1581" t="s">
        <v>2365</v>
      </c>
      <c r="X1581" t="s">
        <v>2365</v>
      </c>
      <c r="Y1581" t="s">
        <v>2365</v>
      </c>
      <c r="Z1581" t="s">
        <v>2365</v>
      </c>
      <c r="AA1581" t="s">
        <v>2365</v>
      </c>
      <c r="AB1581" t="s">
        <v>2365</v>
      </c>
      <c r="AC1581" s="813" t="s">
        <v>2365</v>
      </c>
      <c r="AD1581" s="813" t="s">
        <v>2365</v>
      </c>
      <c r="AE1581" s="813" t="s">
        <v>2365</v>
      </c>
      <c r="AF1581" t="s">
        <v>2365</v>
      </c>
      <c r="AG1581" t="s">
        <v>2365</v>
      </c>
      <c r="AH1581" t="s">
        <v>2365</v>
      </c>
      <c r="AI1581" t="s">
        <v>2365</v>
      </c>
      <c r="AJ1581" t="s">
        <v>2365</v>
      </c>
      <c r="AK1581" t="s">
        <v>2365</v>
      </c>
      <c r="AL1581" t="s">
        <v>2365</v>
      </c>
      <c r="AM1581" t="s">
        <v>2365</v>
      </c>
      <c r="AN1581" t="s">
        <v>2365</v>
      </c>
      <c r="AR1581" t="s">
        <v>2365</v>
      </c>
      <c r="AS1581" t="s">
        <v>2365</v>
      </c>
      <c r="AT1581" t="s">
        <v>2365</v>
      </c>
      <c r="AU1581" t="s">
        <v>2365</v>
      </c>
      <c r="AV1581" t="s">
        <v>2365</v>
      </c>
      <c r="AW1581" t="s">
        <v>2365</v>
      </c>
      <c r="AX1581" t="s">
        <v>2365</v>
      </c>
      <c r="AY1581" t="s">
        <v>2365</v>
      </c>
      <c r="AZ1581" t="s">
        <v>2365</v>
      </c>
      <c r="BA1581" t="s">
        <v>2365</v>
      </c>
      <c r="BB1581" t="s">
        <v>2365</v>
      </c>
      <c r="BC1581" t="s">
        <v>2365</v>
      </c>
      <c r="BD1581" t="s">
        <v>2366</v>
      </c>
      <c r="BE1581" t="s">
        <v>2365</v>
      </c>
      <c r="BF1581" t="s">
        <v>2365</v>
      </c>
      <c r="BG1581" t="s">
        <v>2365</v>
      </c>
      <c r="BH1581" t="s">
        <v>2365</v>
      </c>
      <c r="BI1581" t="s">
        <v>2366</v>
      </c>
      <c r="BJ1581" t="s">
        <v>2365</v>
      </c>
      <c r="BK1581" t="s">
        <v>2365</v>
      </c>
      <c r="BL1581" t="s">
        <v>2365</v>
      </c>
      <c r="BM1581" t="s">
        <v>2365</v>
      </c>
      <c r="BO1581">
        <v>4</v>
      </c>
      <c r="BP1581">
        <v>43</v>
      </c>
      <c r="BQ1581" t="s">
        <v>2433</v>
      </c>
      <c r="BR1581" t="s">
        <v>1509</v>
      </c>
      <c r="BU1581">
        <v>250000</v>
      </c>
      <c r="BV1581">
        <v>0</v>
      </c>
      <c r="BW1581">
        <v>250000</v>
      </c>
      <c r="BX1581">
        <v>250000</v>
      </c>
      <c r="BY1581">
        <v>500000</v>
      </c>
      <c r="BZ1581">
        <v>265000</v>
      </c>
      <c r="CA1581">
        <v>280900</v>
      </c>
      <c r="CB1581">
        <v>7338.6</v>
      </c>
      <c r="CC1581">
        <v>229152.7</v>
      </c>
      <c r="CD1581">
        <v>7379.3600000000006</v>
      </c>
      <c r="CE1581">
        <v>4117.6099999999997</v>
      </c>
      <c r="CF1581">
        <v>5603.4999999999991</v>
      </c>
      <c r="CG1581">
        <v>3420.3999999999996</v>
      </c>
      <c r="CH1581">
        <v>2281.7999999999997</v>
      </c>
      <c r="CI1581">
        <v>5713</v>
      </c>
      <c r="CJ1581">
        <v>0</v>
      </c>
      <c r="CK1581">
        <v>0</v>
      </c>
      <c r="CL1581">
        <v>0</v>
      </c>
      <c r="CM1581">
        <v>0</v>
      </c>
      <c r="CR1581" t="s">
        <v>2354</v>
      </c>
      <c r="CS1581" s="1369" t="str">
        <f>INDEX([8]Sheet1!$H:$H,MATCH(CR:CR,[8]Sheet1!$AU:$AU,0))</f>
        <v>Taxi Ranks</v>
      </c>
    </row>
    <row r="1582" spans="1:97" x14ac:dyDescent="0.2">
      <c r="A1582" t="s">
        <v>4672</v>
      </c>
      <c r="B1582">
        <v>1672</v>
      </c>
      <c r="C1582" t="s">
        <v>4672</v>
      </c>
      <c r="D1582">
        <v>54538</v>
      </c>
      <c r="E1582" t="s">
        <v>2504</v>
      </c>
      <c r="F1582">
        <v>2900</v>
      </c>
      <c r="G1582" t="s">
        <v>569</v>
      </c>
      <c r="H1582" t="s">
        <v>2366</v>
      </c>
      <c r="I1582" t="s">
        <v>2366</v>
      </c>
      <c r="J1582">
        <v>2904</v>
      </c>
      <c r="K1582" t="s">
        <v>1432</v>
      </c>
      <c r="L1582">
        <v>2100</v>
      </c>
      <c r="M1582" t="s">
        <v>618</v>
      </c>
      <c r="N1582">
        <v>2114</v>
      </c>
      <c r="O1582" t="s">
        <v>999</v>
      </c>
      <c r="P1582" t="s">
        <v>2366</v>
      </c>
      <c r="Q1582" t="s">
        <v>2364</v>
      </c>
      <c r="R1582" t="s">
        <v>2364</v>
      </c>
      <c r="S1582" t="s">
        <v>1881</v>
      </c>
      <c r="T1582" t="s">
        <v>1812</v>
      </c>
      <c r="U1582" t="s">
        <v>2365</v>
      </c>
      <c r="V1582" t="s">
        <v>2365</v>
      </c>
      <c r="W1582" t="s">
        <v>2365</v>
      </c>
      <c r="X1582" t="s">
        <v>2365</v>
      </c>
      <c r="Y1582" t="s">
        <v>2365</v>
      </c>
      <c r="Z1582" t="s">
        <v>2365</v>
      </c>
      <c r="AA1582" t="s">
        <v>2365</v>
      </c>
      <c r="AB1582" t="s">
        <v>2365</v>
      </c>
      <c r="AC1582" s="813" t="s">
        <v>2365</v>
      </c>
      <c r="AD1582" s="813" t="s">
        <v>2365</v>
      </c>
      <c r="AE1582" s="813" t="s">
        <v>2365</v>
      </c>
      <c r="AF1582" t="s">
        <v>2365</v>
      </c>
      <c r="AG1582" t="s">
        <v>2365</v>
      </c>
      <c r="AH1582" t="s">
        <v>2365</v>
      </c>
      <c r="AI1582" t="s">
        <v>2365</v>
      </c>
      <c r="AJ1582" t="s">
        <v>2365</v>
      </c>
      <c r="AK1582" t="s">
        <v>2365</v>
      </c>
      <c r="AL1582" t="s">
        <v>2365</v>
      </c>
      <c r="AM1582" t="s">
        <v>2365</v>
      </c>
      <c r="AN1582" t="s">
        <v>2365</v>
      </c>
      <c r="AR1582" t="s">
        <v>2365</v>
      </c>
      <c r="AS1582" t="s">
        <v>2365</v>
      </c>
      <c r="AT1582" t="s">
        <v>2365</v>
      </c>
      <c r="AU1582" t="s">
        <v>2365</v>
      </c>
      <c r="AV1582" t="s">
        <v>2365</v>
      </c>
      <c r="AW1582" t="s">
        <v>2365</v>
      </c>
      <c r="AX1582" t="s">
        <v>2365</v>
      </c>
      <c r="AY1582" t="s">
        <v>2365</v>
      </c>
      <c r="AZ1582" t="s">
        <v>2365</v>
      </c>
      <c r="BA1582" t="s">
        <v>2365</v>
      </c>
      <c r="BB1582" t="s">
        <v>2365</v>
      </c>
      <c r="BC1582" t="s">
        <v>2365</v>
      </c>
      <c r="BD1582" t="s">
        <v>2366</v>
      </c>
      <c r="BE1582" t="s">
        <v>2365</v>
      </c>
      <c r="BF1582" t="s">
        <v>2365</v>
      </c>
      <c r="BG1582" t="s">
        <v>2365</v>
      </c>
      <c r="BH1582" t="s">
        <v>2365</v>
      </c>
      <c r="BI1582" t="s">
        <v>2366</v>
      </c>
      <c r="BJ1582" t="s">
        <v>2365</v>
      </c>
      <c r="BK1582" t="s">
        <v>2365</v>
      </c>
      <c r="BL1582" t="s">
        <v>2365</v>
      </c>
      <c r="BM1582" t="s">
        <v>2365</v>
      </c>
      <c r="BO1582">
        <v>4</v>
      </c>
      <c r="BP1582">
        <v>42</v>
      </c>
      <c r="BQ1582" t="s">
        <v>2433</v>
      </c>
      <c r="BR1582" t="s">
        <v>999</v>
      </c>
      <c r="BU1582">
        <v>0</v>
      </c>
      <c r="BV1582">
        <v>0</v>
      </c>
      <c r="BW1582">
        <v>0</v>
      </c>
      <c r="BX1582">
        <v>0</v>
      </c>
      <c r="BY1582">
        <v>0</v>
      </c>
      <c r="BZ1582">
        <v>0</v>
      </c>
      <c r="CA1582">
        <v>0</v>
      </c>
      <c r="CB1582">
        <v>0</v>
      </c>
      <c r="CC1582">
        <v>0</v>
      </c>
      <c r="CD1582">
        <v>0</v>
      </c>
      <c r="CE1582">
        <v>0</v>
      </c>
      <c r="CF1582">
        <v>0</v>
      </c>
      <c r="CG1582">
        <v>0</v>
      </c>
      <c r="CH1582">
        <v>0</v>
      </c>
      <c r="CI1582">
        <v>0</v>
      </c>
      <c r="CJ1582">
        <v>0</v>
      </c>
      <c r="CK1582">
        <v>0</v>
      </c>
      <c r="CL1582">
        <v>0</v>
      </c>
      <c r="CM1582">
        <v>0</v>
      </c>
      <c r="CR1582" t="s">
        <v>2355</v>
      </c>
      <c r="CS1582" s="1369" t="str">
        <f>INDEX([8]Sheet1!$H:$H,MATCH(CR:CR,[8]Sheet1!$AU:$AU,0))</f>
        <v>Electricity</v>
      </c>
    </row>
    <row r="1583" spans="1:97" x14ac:dyDescent="0.2">
      <c r="A1583" t="s">
        <v>4673</v>
      </c>
      <c r="B1583">
        <v>1673</v>
      </c>
      <c r="C1583" t="s">
        <v>4673</v>
      </c>
      <c r="D1583">
        <v>54539</v>
      </c>
      <c r="E1583" t="s">
        <v>2453</v>
      </c>
      <c r="F1583">
        <v>2900</v>
      </c>
      <c r="G1583" t="s">
        <v>569</v>
      </c>
      <c r="H1583" t="s">
        <v>2366</v>
      </c>
      <c r="I1583" t="s">
        <v>2366</v>
      </c>
      <c r="J1583">
        <v>2904</v>
      </c>
      <c r="K1583" t="s">
        <v>1432</v>
      </c>
      <c r="L1583">
        <v>2100</v>
      </c>
      <c r="M1583" t="s">
        <v>618</v>
      </c>
      <c r="N1583">
        <v>2114</v>
      </c>
      <c r="O1583" t="s">
        <v>999</v>
      </c>
      <c r="P1583" t="s">
        <v>2366</v>
      </c>
      <c r="Q1583" t="s">
        <v>2364</v>
      </c>
      <c r="R1583" t="s">
        <v>2364</v>
      </c>
      <c r="S1583" t="s">
        <v>1881</v>
      </c>
      <c r="T1583" t="s">
        <v>1812</v>
      </c>
      <c r="U1583" t="s">
        <v>2365</v>
      </c>
      <c r="V1583" t="s">
        <v>2365</v>
      </c>
      <c r="W1583" t="s">
        <v>2365</v>
      </c>
      <c r="X1583" t="s">
        <v>2365</v>
      </c>
      <c r="Y1583" t="s">
        <v>2365</v>
      </c>
      <c r="Z1583" t="s">
        <v>2365</v>
      </c>
      <c r="AA1583" t="s">
        <v>2365</v>
      </c>
      <c r="AB1583" t="s">
        <v>2365</v>
      </c>
      <c r="AC1583" s="813" t="s">
        <v>2365</v>
      </c>
      <c r="AD1583" s="813" t="s">
        <v>2365</v>
      </c>
      <c r="AE1583" s="813" t="s">
        <v>2365</v>
      </c>
      <c r="AF1583" t="s">
        <v>2365</v>
      </c>
      <c r="AG1583" t="s">
        <v>2365</v>
      </c>
      <c r="AH1583" t="s">
        <v>2365</v>
      </c>
      <c r="AI1583" t="s">
        <v>2365</v>
      </c>
      <c r="AJ1583" t="s">
        <v>2365</v>
      </c>
      <c r="AK1583" s="1373" t="s">
        <v>2365</v>
      </c>
      <c r="AL1583" t="s">
        <v>2365</v>
      </c>
      <c r="AM1583" t="s">
        <v>2365</v>
      </c>
      <c r="AN1583" t="s">
        <v>2365</v>
      </c>
      <c r="AR1583" t="s">
        <v>2365</v>
      </c>
      <c r="AS1583" t="s">
        <v>2365</v>
      </c>
      <c r="AT1583" t="s">
        <v>2365</v>
      </c>
      <c r="AU1583" t="s">
        <v>2365</v>
      </c>
      <c r="AV1583" t="s">
        <v>2365</v>
      </c>
      <c r="AW1583" t="s">
        <v>2365</v>
      </c>
      <c r="AX1583" t="s">
        <v>2365</v>
      </c>
      <c r="AY1583" t="s">
        <v>2365</v>
      </c>
      <c r="AZ1583" t="s">
        <v>2365</v>
      </c>
      <c r="BA1583" t="s">
        <v>2365</v>
      </c>
      <c r="BB1583" t="s">
        <v>2365</v>
      </c>
      <c r="BC1583" t="s">
        <v>2365</v>
      </c>
      <c r="BD1583" t="s">
        <v>2366</v>
      </c>
      <c r="BE1583" t="s">
        <v>2365</v>
      </c>
      <c r="BF1583" t="s">
        <v>2365</v>
      </c>
      <c r="BG1583" t="s">
        <v>2365</v>
      </c>
      <c r="BH1583" t="s">
        <v>2365</v>
      </c>
      <c r="BI1583" t="s">
        <v>2366</v>
      </c>
      <c r="BJ1583" t="s">
        <v>2365</v>
      </c>
      <c r="BK1583" t="s">
        <v>2365</v>
      </c>
      <c r="BL1583" t="s">
        <v>2365</v>
      </c>
      <c r="BM1583" t="s">
        <v>2365</v>
      </c>
      <c r="BO1583">
        <v>4</v>
      </c>
      <c r="BP1583">
        <v>42</v>
      </c>
      <c r="BQ1583" t="s">
        <v>2433</v>
      </c>
      <c r="BR1583" t="s">
        <v>999</v>
      </c>
      <c r="BU1583">
        <v>0</v>
      </c>
      <c r="BV1583">
        <v>0</v>
      </c>
      <c r="BW1583">
        <v>0</v>
      </c>
      <c r="BX1583">
        <v>0</v>
      </c>
      <c r="BY1583">
        <v>0</v>
      </c>
      <c r="BZ1583">
        <v>0</v>
      </c>
      <c r="CA1583">
        <v>0</v>
      </c>
      <c r="CB1583">
        <v>0</v>
      </c>
      <c r="CC1583">
        <v>0</v>
      </c>
      <c r="CD1583">
        <v>0</v>
      </c>
      <c r="CE1583">
        <v>0</v>
      </c>
      <c r="CF1583">
        <v>0</v>
      </c>
      <c r="CG1583">
        <v>0</v>
      </c>
      <c r="CH1583">
        <v>0</v>
      </c>
      <c r="CI1583">
        <v>0</v>
      </c>
      <c r="CJ1583">
        <v>0</v>
      </c>
      <c r="CK1583">
        <v>0</v>
      </c>
      <c r="CL1583">
        <v>0</v>
      </c>
      <c r="CM1583">
        <v>0</v>
      </c>
      <c r="CR1583" t="s">
        <v>2332</v>
      </c>
      <c r="CS1583" s="1369" t="str">
        <f>INDEX([8]Sheet1!$H:$H,MATCH(CR:CR,[8]Sheet1!$AU:$AU,0))</f>
        <v>Water Storage</v>
      </c>
    </row>
    <row r="1584" spans="1:97" x14ac:dyDescent="0.2">
      <c r="A1584" t="s">
        <v>4674</v>
      </c>
      <c r="B1584">
        <v>1674</v>
      </c>
      <c r="C1584" t="s">
        <v>4674</v>
      </c>
      <c r="D1584">
        <v>54540</v>
      </c>
      <c r="E1584" t="s">
        <v>2425</v>
      </c>
      <c r="F1584">
        <v>2900</v>
      </c>
      <c r="G1584" t="s">
        <v>569</v>
      </c>
      <c r="H1584" s="1373" t="s">
        <v>2366</v>
      </c>
      <c r="I1584" t="s">
        <v>2366</v>
      </c>
      <c r="J1584">
        <v>2904</v>
      </c>
      <c r="K1584" t="s">
        <v>1432</v>
      </c>
      <c r="L1584" s="1373">
        <v>2100</v>
      </c>
      <c r="M1584" t="s">
        <v>618</v>
      </c>
      <c r="N1584">
        <v>2114</v>
      </c>
      <c r="O1584" t="s">
        <v>999</v>
      </c>
      <c r="P1584" t="s">
        <v>2366</v>
      </c>
      <c r="Q1584" t="s">
        <v>2364</v>
      </c>
      <c r="R1584" t="s">
        <v>2364</v>
      </c>
      <c r="S1584" t="s">
        <v>1881</v>
      </c>
      <c r="T1584" t="s">
        <v>1812</v>
      </c>
      <c r="U1584" t="s">
        <v>2365</v>
      </c>
      <c r="V1584" t="s">
        <v>2365</v>
      </c>
      <c r="W1584" t="s">
        <v>2365</v>
      </c>
      <c r="X1584" t="s">
        <v>2365</v>
      </c>
      <c r="Y1584" t="s">
        <v>2365</v>
      </c>
      <c r="Z1584" t="s">
        <v>2365</v>
      </c>
      <c r="AA1584" t="s">
        <v>2365</v>
      </c>
      <c r="AB1584" t="s">
        <v>2365</v>
      </c>
      <c r="AC1584" s="813" t="s">
        <v>2365</v>
      </c>
      <c r="AD1584" s="813" t="s">
        <v>2365</v>
      </c>
      <c r="AE1584" s="813" t="s">
        <v>2365</v>
      </c>
      <c r="AF1584" t="s">
        <v>2365</v>
      </c>
      <c r="AG1584" t="s">
        <v>2365</v>
      </c>
      <c r="AH1584" t="s">
        <v>2365</v>
      </c>
      <c r="AI1584" t="s">
        <v>2365</v>
      </c>
      <c r="AJ1584" t="s">
        <v>2365</v>
      </c>
      <c r="AK1584" s="1373" t="s">
        <v>2365</v>
      </c>
      <c r="AL1584" t="s">
        <v>2365</v>
      </c>
      <c r="AM1584" t="s">
        <v>2365</v>
      </c>
      <c r="AN1584" t="s">
        <v>2365</v>
      </c>
      <c r="AR1584" t="s">
        <v>2365</v>
      </c>
      <c r="AS1584" t="s">
        <v>2365</v>
      </c>
      <c r="AT1584" t="s">
        <v>2365</v>
      </c>
      <c r="AU1584" t="s">
        <v>2365</v>
      </c>
      <c r="AV1584" t="s">
        <v>2365</v>
      </c>
      <c r="AW1584" t="s">
        <v>2365</v>
      </c>
      <c r="AX1584" t="s">
        <v>2365</v>
      </c>
      <c r="AY1584" t="s">
        <v>2365</v>
      </c>
      <c r="AZ1584" t="s">
        <v>2365</v>
      </c>
      <c r="BA1584" t="s">
        <v>2365</v>
      </c>
      <c r="BB1584" t="s">
        <v>2365</v>
      </c>
      <c r="BC1584" t="s">
        <v>2365</v>
      </c>
      <c r="BD1584" t="s">
        <v>2366</v>
      </c>
      <c r="BE1584" t="s">
        <v>2365</v>
      </c>
      <c r="BF1584" t="s">
        <v>2365</v>
      </c>
      <c r="BG1584" t="s">
        <v>2365</v>
      </c>
      <c r="BH1584" t="s">
        <v>2365</v>
      </c>
      <c r="BI1584" t="s">
        <v>2366</v>
      </c>
      <c r="BJ1584" t="s">
        <v>2365</v>
      </c>
      <c r="BK1584" t="s">
        <v>2365</v>
      </c>
      <c r="BL1584" t="s">
        <v>2365</v>
      </c>
      <c r="BM1584" t="s">
        <v>2365</v>
      </c>
      <c r="BO1584">
        <v>4</v>
      </c>
      <c r="BP1584">
        <v>42</v>
      </c>
      <c r="BQ1584" t="s">
        <v>2433</v>
      </c>
      <c r="BR1584" t="s">
        <v>999</v>
      </c>
      <c r="BU1584" s="1371">
        <v>6180</v>
      </c>
      <c r="BV1584" s="1371">
        <v>0</v>
      </c>
      <c r="BW1584" s="1371">
        <v>6180</v>
      </c>
      <c r="BX1584" s="1371">
        <v>0</v>
      </c>
      <c r="BY1584" s="1371">
        <v>6180</v>
      </c>
      <c r="BZ1584">
        <v>6551</v>
      </c>
      <c r="CA1584">
        <v>6944</v>
      </c>
      <c r="CB1584">
        <v>0</v>
      </c>
      <c r="CC1584">
        <v>0</v>
      </c>
      <c r="CD1584">
        <v>0</v>
      </c>
      <c r="CE1584">
        <v>0</v>
      </c>
      <c r="CF1584">
        <v>0</v>
      </c>
      <c r="CG1584">
        <v>0</v>
      </c>
      <c r="CH1584">
        <v>0</v>
      </c>
      <c r="CI1584">
        <v>0</v>
      </c>
      <c r="CJ1584">
        <v>0</v>
      </c>
      <c r="CK1584">
        <v>0</v>
      </c>
      <c r="CL1584">
        <v>0</v>
      </c>
      <c r="CM1584">
        <v>0</v>
      </c>
      <c r="CR1584" t="s">
        <v>2328</v>
      </c>
      <c r="CS1584" s="1369" t="str">
        <f>INDEX([8]Sheet1!$H:$H,MATCH(CR:CR,[8]Sheet1!$AU:$AU,0))</f>
        <v>Water Distribution</v>
      </c>
    </row>
    <row r="1585" spans="1:97" x14ac:dyDescent="0.2">
      <c r="A1585" t="s">
        <v>4675</v>
      </c>
      <c r="B1585">
        <v>1675</v>
      </c>
      <c r="C1585" t="s">
        <v>4675</v>
      </c>
      <c r="D1585">
        <v>54541</v>
      </c>
      <c r="E1585" t="s">
        <v>2504</v>
      </c>
      <c r="F1585">
        <v>2900</v>
      </c>
      <c r="G1585" t="s">
        <v>569</v>
      </c>
      <c r="H1585" t="s">
        <v>2366</v>
      </c>
      <c r="I1585" t="s">
        <v>2366</v>
      </c>
      <c r="J1585">
        <v>2904</v>
      </c>
      <c r="K1585" t="s">
        <v>1432</v>
      </c>
      <c r="L1585">
        <v>2100</v>
      </c>
      <c r="M1585" t="s">
        <v>618</v>
      </c>
      <c r="N1585">
        <v>2114</v>
      </c>
      <c r="O1585" t="s">
        <v>999</v>
      </c>
      <c r="P1585" t="s">
        <v>2366</v>
      </c>
      <c r="Q1585" t="s">
        <v>2364</v>
      </c>
      <c r="R1585" t="s">
        <v>2364</v>
      </c>
      <c r="S1585" t="s">
        <v>1881</v>
      </c>
      <c r="T1585" t="s">
        <v>1812</v>
      </c>
      <c r="U1585" t="s">
        <v>2365</v>
      </c>
      <c r="V1585" t="s">
        <v>2365</v>
      </c>
      <c r="W1585" t="s">
        <v>2365</v>
      </c>
      <c r="X1585" t="s">
        <v>2365</v>
      </c>
      <c r="Y1585" t="s">
        <v>2365</v>
      </c>
      <c r="Z1585" t="s">
        <v>2365</v>
      </c>
      <c r="AA1585" t="s">
        <v>2365</v>
      </c>
      <c r="AB1585" t="s">
        <v>2365</v>
      </c>
      <c r="AC1585" s="813" t="s">
        <v>2365</v>
      </c>
      <c r="AD1585" s="813" t="s">
        <v>2365</v>
      </c>
      <c r="AE1585" s="813" t="s">
        <v>2365</v>
      </c>
      <c r="AF1585" t="s">
        <v>2365</v>
      </c>
      <c r="AG1585" t="s">
        <v>2365</v>
      </c>
      <c r="AH1585" t="s">
        <v>2365</v>
      </c>
      <c r="AI1585" t="s">
        <v>2365</v>
      </c>
      <c r="AJ1585" t="s">
        <v>2365</v>
      </c>
      <c r="AK1585" t="s">
        <v>2365</v>
      </c>
      <c r="AL1585" t="s">
        <v>2365</v>
      </c>
      <c r="AM1585" t="s">
        <v>2365</v>
      </c>
      <c r="AN1585" t="s">
        <v>2365</v>
      </c>
      <c r="AR1585" t="s">
        <v>2365</v>
      </c>
      <c r="AS1585" t="s">
        <v>2365</v>
      </c>
      <c r="AT1585" t="s">
        <v>2365</v>
      </c>
      <c r="AU1585" t="s">
        <v>2365</v>
      </c>
      <c r="AV1585" t="s">
        <v>2365</v>
      </c>
      <c r="AW1585" t="s">
        <v>2365</v>
      </c>
      <c r="AX1585" t="s">
        <v>2365</v>
      </c>
      <c r="AY1585" t="s">
        <v>2365</v>
      </c>
      <c r="AZ1585" t="s">
        <v>2365</v>
      </c>
      <c r="BA1585" t="s">
        <v>2365</v>
      </c>
      <c r="BB1585" t="s">
        <v>2365</v>
      </c>
      <c r="BC1585" t="s">
        <v>2365</v>
      </c>
      <c r="BD1585" t="s">
        <v>2366</v>
      </c>
      <c r="BE1585" t="s">
        <v>2365</v>
      </c>
      <c r="BF1585" t="s">
        <v>2365</v>
      </c>
      <c r="BG1585" t="s">
        <v>2365</v>
      </c>
      <c r="BH1585" t="s">
        <v>2365</v>
      </c>
      <c r="BI1585" t="s">
        <v>2366</v>
      </c>
      <c r="BJ1585" t="s">
        <v>2365</v>
      </c>
      <c r="BK1585" t="s">
        <v>2365</v>
      </c>
      <c r="BL1585" t="s">
        <v>2365</v>
      </c>
      <c r="BM1585" t="s">
        <v>2365</v>
      </c>
      <c r="BO1585">
        <v>4</v>
      </c>
      <c r="BP1585">
        <v>42</v>
      </c>
      <c r="BQ1585" t="s">
        <v>2433</v>
      </c>
      <c r="BR1585" t="s">
        <v>999</v>
      </c>
      <c r="BU1585">
        <v>32960</v>
      </c>
      <c r="BV1585">
        <v>0</v>
      </c>
      <c r="BW1585">
        <v>32960</v>
      </c>
      <c r="BX1585">
        <v>0</v>
      </c>
      <c r="BY1585">
        <v>32960</v>
      </c>
      <c r="BZ1585">
        <v>34938</v>
      </c>
      <c r="CA1585">
        <v>37034</v>
      </c>
      <c r="CB1585">
        <v>0</v>
      </c>
      <c r="CC1585">
        <v>0</v>
      </c>
      <c r="CD1585">
        <v>0</v>
      </c>
      <c r="CE1585">
        <v>0</v>
      </c>
      <c r="CF1585">
        <v>0</v>
      </c>
      <c r="CG1585">
        <v>0</v>
      </c>
      <c r="CH1585">
        <v>0</v>
      </c>
      <c r="CI1585">
        <v>0</v>
      </c>
      <c r="CJ1585">
        <v>0</v>
      </c>
      <c r="CK1585">
        <v>0</v>
      </c>
      <c r="CL1585">
        <v>0</v>
      </c>
      <c r="CM1585">
        <v>0</v>
      </c>
      <c r="CR1585" t="s">
        <v>2332</v>
      </c>
      <c r="CS1585" s="1369" t="str">
        <f>INDEX([8]Sheet1!$H:$H,MATCH(CR:CR,[8]Sheet1!$AU:$AU,0))</f>
        <v>Water Storage</v>
      </c>
    </row>
    <row r="1586" spans="1:97" x14ac:dyDescent="0.2">
      <c r="A1586" t="s">
        <v>4676</v>
      </c>
      <c r="B1586">
        <v>1676</v>
      </c>
      <c r="C1586" t="s">
        <v>4676</v>
      </c>
      <c r="D1586">
        <v>54542</v>
      </c>
      <c r="E1586" t="s">
        <v>2483</v>
      </c>
      <c r="F1586">
        <v>2900</v>
      </c>
      <c r="G1586" t="s">
        <v>569</v>
      </c>
      <c r="H1586" t="s">
        <v>2366</v>
      </c>
      <c r="I1586" t="s">
        <v>2366</v>
      </c>
      <c r="J1586">
        <v>2904</v>
      </c>
      <c r="K1586" t="s">
        <v>1432</v>
      </c>
      <c r="L1586">
        <v>2100</v>
      </c>
      <c r="M1586" t="s">
        <v>618</v>
      </c>
      <c r="N1586">
        <v>2114</v>
      </c>
      <c r="O1586" t="s">
        <v>999</v>
      </c>
      <c r="P1586" t="s">
        <v>2366</v>
      </c>
      <c r="Q1586" t="s">
        <v>2364</v>
      </c>
      <c r="R1586" t="s">
        <v>2364</v>
      </c>
      <c r="S1586" t="s">
        <v>1881</v>
      </c>
      <c r="T1586" t="s">
        <v>1812</v>
      </c>
      <c r="U1586" t="s">
        <v>2365</v>
      </c>
      <c r="V1586" t="s">
        <v>2365</v>
      </c>
      <c r="W1586" t="s">
        <v>2365</v>
      </c>
      <c r="X1586" t="s">
        <v>2365</v>
      </c>
      <c r="Y1586" t="s">
        <v>2365</v>
      </c>
      <c r="Z1586" t="s">
        <v>2365</v>
      </c>
      <c r="AA1586" t="s">
        <v>2365</v>
      </c>
      <c r="AB1586" t="s">
        <v>2365</v>
      </c>
      <c r="AC1586" s="813" t="s">
        <v>2365</v>
      </c>
      <c r="AD1586" s="813" t="s">
        <v>2365</v>
      </c>
      <c r="AE1586" s="813" t="s">
        <v>2365</v>
      </c>
      <c r="AF1586" t="s">
        <v>2365</v>
      </c>
      <c r="AG1586" t="s">
        <v>2365</v>
      </c>
      <c r="AH1586" t="s">
        <v>2365</v>
      </c>
      <c r="AI1586" t="s">
        <v>2365</v>
      </c>
      <c r="AJ1586" t="s">
        <v>2365</v>
      </c>
      <c r="AK1586" t="s">
        <v>2365</v>
      </c>
      <c r="AL1586" t="s">
        <v>2365</v>
      </c>
      <c r="AM1586" t="s">
        <v>2365</v>
      </c>
      <c r="AN1586" t="s">
        <v>2365</v>
      </c>
      <c r="AR1586" t="s">
        <v>2365</v>
      </c>
      <c r="AS1586" t="s">
        <v>2365</v>
      </c>
      <c r="AT1586" t="s">
        <v>2365</v>
      </c>
      <c r="AU1586" t="s">
        <v>2365</v>
      </c>
      <c r="AV1586" t="s">
        <v>2365</v>
      </c>
      <c r="AW1586" t="s">
        <v>2365</v>
      </c>
      <c r="AX1586" t="s">
        <v>2365</v>
      </c>
      <c r="AY1586" t="s">
        <v>2365</v>
      </c>
      <c r="AZ1586" t="s">
        <v>2365</v>
      </c>
      <c r="BA1586" t="s">
        <v>2365</v>
      </c>
      <c r="BB1586" t="s">
        <v>2365</v>
      </c>
      <c r="BC1586" t="s">
        <v>2365</v>
      </c>
      <c r="BD1586" t="s">
        <v>2366</v>
      </c>
      <c r="BE1586" t="s">
        <v>2365</v>
      </c>
      <c r="BF1586" t="s">
        <v>2365</v>
      </c>
      <c r="BG1586" t="s">
        <v>2365</v>
      </c>
      <c r="BH1586" t="s">
        <v>2365</v>
      </c>
      <c r="BI1586" t="s">
        <v>2366</v>
      </c>
      <c r="BJ1586" t="s">
        <v>2365</v>
      </c>
      <c r="BK1586" t="s">
        <v>2365</v>
      </c>
      <c r="BL1586" t="s">
        <v>2365</v>
      </c>
      <c r="BM1586" t="s">
        <v>2365</v>
      </c>
      <c r="BO1586">
        <v>4</v>
      </c>
      <c r="BP1586">
        <v>42</v>
      </c>
      <c r="BQ1586" t="s">
        <v>2433</v>
      </c>
      <c r="BR1586" t="s">
        <v>999</v>
      </c>
      <c r="BU1586">
        <v>24720</v>
      </c>
      <c r="BV1586">
        <v>0</v>
      </c>
      <c r="BW1586">
        <v>24720</v>
      </c>
      <c r="BX1586">
        <v>0</v>
      </c>
      <c r="BY1586">
        <v>24720</v>
      </c>
      <c r="BZ1586">
        <v>26203</v>
      </c>
      <c r="CA1586">
        <v>27775</v>
      </c>
      <c r="CB1586">
        <v>0</v>
      </c>
      <c r="CC1586">
        <v>0</v>
      </c>
      <c r="CD1586">
        <v>0</v>
      </c>
      <c r="CE1586">
        <v>0</v>
      </c>
      <c r="CF1586">
        <v>0</v>
      </c>
      <c r="CG1586">
        <v>0</v>
      </c>
      <c r="CH1586">
        <v>0</v>
      </c>
      <c r="CI1586">
        <v>0</v>
      </c>
      <c r="CJ1586">
        <v>0</v>
      </c>
      <c r="CK1586">
        <v>0</v>
      </c>
      <c r="CL1586">
        <v>0</v>
      </c>
      <c r="CM1586">
        <v>0</v>
      </c>
      <c r="CR1586" t="s">
        <v>2328</v>
      </c>
      <c r="CS1586" s="1369" t="str">
        <f>INDEX([8]Sheet1!$H:$H,MATCH(CR:CR,[8]Sheet1!$AU:$AU,0))</f>
        <v>Water Distribution</v>
      </c>
    </row>
    <row r="1587" spans="1:97" x14ac:dyDescent="0.2">
      <c r="A1587" t="s">
        <v>4677</v>
      </c>
      <c r="B1587">
        <v>1677</v>
      </c>
      <c r="C1587" t="s">
        <v>4677</v>
      </c>
      <c r="D1587">
        <v>54543</v>
      </c>
      <c r="E1587" t="s">
        <v>2600</v>
      </c>
      <c r="F1587">
        <v>2900</v>
      </c>
      <c r="G1587" t="s">
        <v>569</v>
      </c>
      <c r="H1587" t="s">
        <v>2366</v>
      </c>
      <c r="I1587" t="s">
        <v>2366</v>
      </c>
      <c r="J1587">
        <v>2904</v>
      </c>
      <c r="K1587" t="s">
        <v>1432</v>
      </c>
      <c r="L1587">
        <v>2100</v>
      </c>
      <c r="M1587" t="s">
        <v>618</v>
      </c>
      <c r="N1587">
        <v>2114</v>
      </c>
      <c r="O1587" t="s">
        <v>999</v>
      </c>
      <c r="P1587" t="s">
        <v>2366</v>
      </c>
      <c r="Q1587" t="s">
        <v>2364</v>
      </c>
      <c r="R1587" t="s">
        <v>2364</v>
      </c>
      <c r="S1587" t="s">
        <v>1881</v>
      </c>
      <c r="T1587" t="s">
        <v>1812</v>
      </c>
      <c r="U1587" t="s">
        <v>2365</v>
      </c>
      <c r="V1587" t="s">
        <v>2365</v>
      </c>
      <c r="W1587" t="s">
        <v>2365</v>
      </c>
      <c r="X1587" t="s">
        <v>2365</v>
      </c>
      <c r="Y1587" t="s">
        <v>2365</v>
      </c>
      <c r="Z1587" t="s">
        <v>2365</v>
      </c>
      <c r="AA1587" t="s">
        <v>2365</v>
      </c>
      <c r="AB1587" t="s">
        <v>2365</v>
      </c>
      <c r="AC1587" s="813" t="s">
        <v>2365</v>
      </c>
      <c r="AD1587" s="813" t="s">
        <v>2365</v>
      </c>
      <c r="AE1587" s="813" t="s">
        <v>2365</v>
      </c>
      <c r="AF1587" t="s">
        <v>2365</v>
      </c>
      <c r="AG1587" t="s">
        <v>2365</v>
      </c>
      <c r="AH1587" t="s">
        <v>2365</v>
      </c>
      <c r="AI1587" t="s">
        <v>2365</v>
      </c>
      <c r="AJ1587" t="s">
        <v>2365</v>
      </c>
      <c r="AK1587" t="s">
        <v>2365</v>
      </c>
      <c r="AL1587" t="s">
        <v>2365</v>
      </c>
      <c r="AM1587" t="s">
        <v>2365</v>
      </c>
      <c r="AN1587" t="s">
        <v>2365</v>
      </c>
      <c r="AR1587" t="s">
        <v>2365</v>
      </c>
      <c r="AS1587" t="s">
        <v>2365</v>
      </c>
      <c r="AT1587" t="s">
        <v>2365</v>
      </c>
      <c r="AU1587" t="s">
        <v>2365</v>
      </c>
      <c r="AV1587" t="s">
        <v>2365</v>
      </c>
      <c r="AW1587" t="s">
        <v>2365</v>
      </c>
      <c r="AX1587" t="s">
        <v>2365</v>
      </c>
      <c r="AY1587" t="s">
        <v>2365</v>
      </c>
      <c r="AZ1587" t="s">
        <v>2365</v>
      </c>
      <c r="BA1587" t="s">
        <v>2365</v>
      </c>
      <c r="BB1587" t="s">
        <v>2365</v>
      </c>
      <c r="BC1587" t="s">
        <v>2365</v>
      </c>
      <c r="BD1587" t="s">
        <v>2366</v>
      </c>
      <c r="BE1587" t="s">
        <v>2365</v>
      </c>
      <c r="BF1587" t="s">
        <v>2365</v>
      </c>
      <c r="BG1587" t="s">
        <v>2365</v>
      </c>
      <c r="BH1587" t="s">
        <v>2365</v>
      </c>
      <c r="BI1587" t="s">
        <v>2366</v>
      </c>
      <c r="BJ1587" t="s">
        <v>2365</v>
      </c>
      <c r="BK1587" t="s">
        <v>2365</v>
      </c>
      <c r="BL1587" t="s">
        <v>2365</v>
      </c>
      <c r="BM1587" t="s">
        <v>2365</v>
      </c>
      <c r="BO1587">
        <v>4</v>
      </c>
      <c r="BP1587">
        <v>42</v>
      </c>
      <c r="BQ1587" t="s">
        <v>2433</v>
      </c>
      <c r="BR1587" t="s">
        <v>999</v>
      </c>
      <c r="BU1587">
        <v>5150</v>
      </c>
      <c r="BV1587">
        <v>0</v>
      </c>
      <c r="BW1587">
        <v>5150</v>
      </c>
      <c r="BX1587">
        <v>0</v>
      </c>
      <c r="BY1587">
        <v>5150</v>
      </c>
      <c r="BZ1587">
        <v>5459</v>
      </c>
      <c r="CA1587">
        <v>5787</v>
      </c>
      <c r="CB1587">
        <v>0</v>
      </c>
      <c r="CC1587">
        <v>0</v>
      </c>
      <c r="CD1587">
        <v>0</v>
      </c>
      <c r="CE1587">
        <v>0</v>
      </c>
      <c r="CF1587">
        <v>0</v>
      </c>
      <c r="CG1587">
        <v>0</v>
      </c>
      <c r="CH1587">
        <v>0</v>
      </c>
      <c r="CI1587">
        <v>0</v>
      </c>
      <c r="CJ1587">
        <v>0</v>
      </c>
      <c r="CK1587">
        <v>0</v>
      </c>
      <c r="CL1587">
        <v>0</v>
      </c>
      <c r="CM1587">
        <v>0</v>
      </c>
      <c r="CR1587" t="s">
        <v>2330</v>
      </c>
      <c r="CS1587" s="1369" t="str">
        <f>INDEX([8]Sheet1!$H:$H,MATCH(CR:CR,[8]Sheet1!$AU:$AU,0))</f>
        <v>Water Treatment</v>
      </c>
    </row>
    <row r="1588" spans="1:97" x14ac:dyDescent="0.2">
      <c r="A1588" t="s">
        <v>4678</v>
      </c>
      <c r="B1588">
        <v>1678</v>
      </c>
      <c r="C1588" t="s">
        <v>4678</v>
      </c>
      <c r="D1588">
        <v>54544</v>
      </c>
      <c r="E1588" t="s">
        <v>2453</v>
      </c>
      <c r="F1588">
        <v>2900</v>
      </c>
      <c r="G1588" t="s">
        <v>569</v>
      </c>
      <c r="H1588" t="s">
        <v>2366</v>
      </c>
      <c r="I1588" t="s">
        <v>2366</v>
      </c>
      <c r="J1588">
        <v>2904</v>
      </c>
      <c r="K1588" t="s">
        <v>1432</v>
      </c>
      <c r="L1588">
        <v>2100</v>
      </c>
      <c r="M1588" t="s">
        <v>618</v>
      </c>
      <c r="N1588">
        <v>2114</v>
      </c>
      <c r="O1588" t="s">
        <v>999</v>
      </c>
      <c r="P1588" t="s">
        <v>2366</v>
      </c>
      <c r="Q1588" t="s">
        <v>2364</v>
      </c>
      <c r="R1588" t="s">
        <v>2364</v>
      </c>
      <c r="S1588" t="s">
        <v>1881</v>
      </c>
      <c r="T1588" t="s">
        <v>1812</v>
      </c>
      <c r="U1588" t="s">
        <v>2365</v>
      </c>
      <c r="V1588" t="s">
        <v>2365</v>
      </c>
      <c r="W1588" t="s">
        <v>2365</v>
      </c>
      <c r="X1588" t="s">
        <v>2365</v>
      </c>
      <c r="Y1588" t="s">
        <v>2365</v>
      </c>
      <c r="Z1588" t="s">
        <v>2365</v>
      </c>
      <c r="AA1588" t="s">
        <v>2365</v>
      </c>
      <c r="AB1588" t="s">
        <v>2365</v>
      </c>
      <c r="AC1588" s="813" t="s">
        <v>2365</v>
      </c>
      <c r="AD1588" s="813" t="s">
        <v>2365</v>
      </c>
      <c r="AE1588" s="813" t="s">
        <v>2365</v>
      </c>
      <c r="AF1588" t="s">
        <v>2365</v>
      </c>
      <c r="AG1588" t="s">
        <v>2365</v>
      </c>
      <c r="AH1588" t="s">
        <v>2365</v>
      </c>
      <c r="AI1588" t="s">
        <v>2365</v>
      </c>
      <c r="AJ1588" t="s">
        <v>2365</v>
      </c>
      <c r="AK1588" t="s">
        <v>2365</v>
      </c>
      <c r="AL1588" t="s">
        <v>2365</v>
      </c>
      <c r="AM1588" t="s">
        <v>2365</v>
      </c>
      <c r="AN1588" t="s">
        <v>2365</v>
      </c>
      <c r="AR1588" t="s">
        <v>2365</v>
      </c>
      <c r="AS1588" t="s">
        <v>2365</v>
      </c>
      <c r="AT1588" t="s">
        <v>2365</v>
      </c>
      <c r="AU1588" t="s">
        <v>2365</v>
      </c>
      <c r="AV1588" t="s">
        <v>2365</v>
      </c>
      <c r="AW1588" t="s">
        <v>2365</v>
      </c>
      <c r="AX1588" t="s">
        <v>2365</v>
      </c>
      <c r="AY1588" t="s">
        <v>2365</v>
      </c>
      <c r="AZ1588" t="s">
        <v>2365</v>
      </c>
      <c r="BA1588" t="s">
        <v>2365</v>
      </c>
      <c r="BB1588" t="s">
        <v>2365</v>
      </c>
      <c r="BC1588" t="s">
        <v>2365</v>
      </c>
      <c r="BD1588" t="s">
        <v>2366</v>
      </c>
      <c r="BE1588" t="s">
        <v>2365</v>
      </c>
      <c r="BF1588" t="s">
        <v>2365</v>
      </c>
      <c r="BG1588" t="s">
        <v>2365</v>
      </c>
      <c r="BH1588" t="s">
        <v>2365</v>
      </c>
      <c r="BI1588" t="s">
        <v>2366</v>
      </c>
      <c r="BJ1588" t="s">
        <v>2365</v>
      </c>
      <c r="BK1588" t="s">
        <v>2365</v>
      </c>
      <c r="BL1588" t="s">
        <v>2365</v>
      </c>
      <c r="BM1588" t="s">
        <v>2365</v>
      </c>
      <c r="BO1588">
        <v>4</v>
      </c>
      <c r="BP1588">
        <v>42</v>
      </c>
      <c r="BQ1588" t="s">
        <v>2433</v>
      </c>
      <c r="BR1588" t="s">
        <v>999</v>
      </c>
      <c r="BU1588">
        <v>49440</v>
      </c>
      <c r="BV1588">
        <v>0</v>
      </c>
      <c r="BW1588">
        <v>49440</v>
      </c>
      <c r="BX1588">
        <v>0</v>
      </c>
      <c r="BY1588">
        <v>49440</v>
      </c>
      <c r="BZ1588">
        <v>52406</v>
      </c>
      <c r="CA1588">
        <v>55551</v>
      </c>
      <c r="CB1588">
        <v>0</v>
      </c>
      <c r="CC1588">
        <v>0</v>
      </c>
      <c r="CD1588">
        <v>0</v>
      </c>
      <c r="CE1588">
        <v>0</v>
      </c>
      <c r="CF1588">
        <v>0</v>
      </c>
      <c r="CG1588">
        <v>0</v>
      </c>
      <c r="CH1588">
        <v>0</v>
      </c>
      <c r="CI1588">
        <v>0</v>
      </c>
      <c r="CJ1588">
        <v>0</v>
      </c>
      <c r="CK1588">
        <v>0</v>
      </c>
      <c r="CL1588">
        <v>0</v>
      </c>
      <c r="CM1588">
        <v>0</v>
      </c>
      <c r="CR1588" t="s">
        <v>2331</v>
      </c>
      <c r="CS1588" s="1369" t="str">
        <f>INDEX([8]Sheet1!$H:$H,MATCH(CR:CR,[8]Sheet1!$AU:$AU,0))</f>
        <v>Waste Water Treatment</v>
      </c>
    </row>
    <row r="1589" spans="1:97" x14ac:dyDescent="0.2">
      <c r="A1589" t="s">
        <v>4679</v>
      </c>
      <c r="B1589">
        <v>1679</v>
      </c>
      <c r="C1589" t="s">
        <v>4679</v>
      </c>
      <c r="D1589">
        <v>54546</v>
      </c>
      <c r="E1589" t="s">
        <v>2427</v>
      </c>
      <c r="F1589">
        <v>2700</v>
      </c>
      <c r="G1589" t="s">
        <v>656</v>
      </c>
      <c r="H1589" t="s">
        <v>2428</v>
      </c>
      <c r="I1589" t="s">
        <v>1800</v>
      </c>
      <c r="J1589">
        <v>2701</v>
      </c>
      <c r="K1589" t="s">
        <v>1800</v>
      </c>
      <c r="L1589">
        <v>2100</v>
      </c>
      <c r="M1589" t="s">
        <v>618</v>
      </c>
      <c r="N1589">
        <v>2114</v>
      </c>
      <c r="O1589" t="s">
        <v>999</v>
      </c>
      <c r="P1589" t="s">
        <v>2366</v>
      </c>
      <c r="Q1589" t="s">
        <v>2364</v>
      </c>
      <c r="R1589" t="s">
        <v>2364</v>
      </c>
      <c r="S1589" t="s">
        <v>1881</v>
      </c>
      <c r="T1589" t="s">
        <v>1812</v>
      </c>
      <c r="U1589" t="s">
        <v>2365</v>
      </c>
      <c r="V1589" t="s">
        <v>2365</v>
      </c>
      <c r="W1589" t="s">
        <v>2365</v>
      </c>
      <c r="X1589" t="s">
        <v>2365</v>
      </c>
      <c r="Y1589" t="s">
        <v>2365</v>
      </c>
      <c r="Z1589" t="s">
        <v>2365</v>
      </c>
      <c r="AA1589" t="s">
        <v>2365</v>
      </c>
      <c r="AB1589" t="s">
        <v>2365</v>
      </c>
      <c r="AC1589" s="813" t="s">
        <v>2365</v>
      </c>
      <c r="AD1589" s="813" t="s">
        <v>2365</v>
      </c>
      <c r="AE1589" s="813" t="s">
        <v>2365</v>
      </c>
      <c r="AF1589" t="s">
        <v>2365</v>
      </c>
      <c r="AG1589" t="s">
        <v>2365</v>
      </c>
      <c r="AH1589" t="s">
        <v>2365</v>
      </c>
      <c r="AI1589" t="s">
        <v>2365</v>
      </c>
      <c r="AJ1589" t="s">
        <v>2365</v>
      </c>
      <c r="AK1589" t="s">
        <v>2365</v>
      </c>
      <c r="AL1589" t="s">
        <v>2365</v>
      </c>
      <c r="AM1589" t="s">
        <v>2365</v>
      </c>
      <c r="AN1589" t="s">
        <v>2365</v>
      </c>
      <c r="AR1589" t="s">
        <v>2365</v>
      </c>
      <c r="AS1589" t="s">
        <v>2365</v>
      </c>
      <c r="AT1589" t="s">
        <v>2365</v>
      </c>
      <c r="AU1589" t="s">
        <v>2365</v>
      </c>
      <c r="AV1589" t="s">
        <v>2365</v>
      </c>
      <c r="AW1589" t="s">
        <v>2365</v>
      </c>
      <c r="AX1589" t="s">
        <v>2365</v>
      </c>
      <c r="AY1589" t="s">
        <v>2365</v>
      </c>
      <c r="AZ1589" t="s">
        <v>2365</v>
      </c>
      <c r="BA1589" t="s">
        <v>2365</v>
      </c>
      <c r="BB1589" t="s">
        <v>2365</v>
      </c>
      <c r="BC1589" t="s">
        <v>2365</v>
      </c>
      <c r="BD1589" t="s">
        <v>2366</v>
      </c>
      <c r="BE1589" t="s">
        <v>2365</v>
      </c>
      <c r="BF1589" t="s">
        <v>2365</v>
      </c>
      <c r="BG1589" t="s">
        <v>2365</v>
      </c>
      <c r="BH1589" t="s">
        <v>2365</v>
      </c>
      <c r="BI1589" t="s">
        <v>2366</v>
      </c>
      <c r="BJ1589" t="s">
        <v>2365</v>
      </c>
      <c r="BK1589" t="s">
        <v>2365</v>
      </c>
      <c r="BL1589" t="s">
        <v>2365</v>
      </c>
      <c r="BM1589" t="s">
        <v>2365</v>
      </c>
      <c r="BO1589">
        <v>4</v>
      </c>
      <c r="BP1589">
        <v>42</v>
      </c>
      <c r="BQ1589" t="s">
        <v>2433</v>
      </c>
      <c r="BR1589" t="s">
        <v>999</v>
      </c>
      <c r="BU1589">
        <v>1545</v>
      </c>
      <c r="BV1589">
        <v>0</v>
      </c>
      <c r="BW1589">
        <v>1545</v>
      </c>
      <c r="BX1589">
        <v>0</v>
      </c>
      <c r="BY1589">
        <v>1545</v>
      </c>
      <c r="BZ1589">
        <v>1638</v>
      </c>
      <c r="CA1589">
        <v>1736</v>
      </c>
      <c r="CB1589">
        <v>0</v>
      </c>
      <c r="CC1589">
        <v>0</v>
      </c>
      <c r="CD1589">
        <v>0</v>
      </c>
      <c r="CE1589">
        <v>0</v>
      </c>
      <c r="CF1589">
        <v>0</v>
      </c>
      <c r="CG1589">
        <v>0</v>
      </c>
      <c r="CH1589">
        <v>0</v>
      </c>
      <c r="CI1589">
        <v>0</v>
      </c>
      <c r="CJ1589">
        <v>0</v>
      </c>
      <c r="CK1589">
        <v>0</v>
      </c>
      <c r="CL1589">
        <v>0</v>
      </c>
      <c r="CM1589">
        <v>0</v>
      </c>
      <c r="CR1589" t="s">
        <v>2329</v>
      </c>
      <c r="CS1589" s="1369" t="str">
        <f>INDEX([8]Sheet1!$H:$H,MATCH(CR:CR,[8]Sheet1!$AU:$AU,0))</f>
        <v>Sewerage</v>
      </c>
    </row>
    <row r="1590" spans="1:97" x14ac:dyDescent="0.2">
      <c r="A1590" t="s">
        <v>4680</v>
      </c>
      <c r="B1590">
        <v>1680</v>
      </c>
      <c r="C1590" t="s">
        <v>4680</v>
      </c>
      <c r="D1590">
        <v>54547</v>
      </c>
      <c r="E1590" t="s">
        <v>2455</v>
      </c>
      <c r="F1590">
        <v>2900</v>
      </c>
      <c r="G1590" t="s">
        <v>569</v>
      </c>
      <c r="H1590" t="s">
        <v>2366</v>
      </c>
      <c r="I1590" t="s">
        <v>2366</v>
      </c>
      <c r="J1590">
        <v>2904</v>
      </c>
      <c r="K1590" t="s">
        <v>1432</v>
      </c>
      <c r="L1590">
        <v>2100</v>
      </c>
      <c r="M1590" t="s">
        <v>618</v>
      </c>
      <c r="N1590">
        <v>2114</v>
      </c>
      <c r="O1590" t="s">
        <v>999</v>
      </c>
      <c r="P1590" t="s">
        <v>2366</v>
      </c>
      <c r="Q1590" t="s">
        <v>2364</v>
      </c>
      <c r="R1590" t="s">
        <v>2364</v>
      </c>
      <c r="S1590" t="s">
        <v>1881</v>
      </c>
      <c r="T1590" t="s">
        <v>1812</v>
      </c>
      <c r="U1590" t="s">
        <v>2365</v>
      </c>
      <c r="V1590" t="s">
        <v>2365</v>
      </c>
      <c r="W1590" t="s">
        <v>2365</v>
      </c>
      <c r="X1590" t="s">
        <v>2365</v>
      </c>
      <c r="Y1590" t="s">
        <v>2365</v>
      </c>
      <c r="Z1590" t="s">
        <v>2365</v>
      </c>
      <c r="AA1590" t="s">
        <v>2365</v>
      </c>
      <c r="AB1590" t="s">
        <v>2365</v>
      </c>
      <c r="AC1590" s="813" t="s">
        <v>2365</v>
      </c>
      <c r="AD1590" s="813" t="s">
        <v>2365</v>
      </c>
      <c r="AE1590" s="813" t="s">
        <v>2365</v>
      </c>
      <c r="AF1590" t="s">
        <v>2365</v>
      </c>
      <c r="AG1590" t="s">
        <v>2365</v>
      </c>
      <c r="AH1590" t="s">
        <v>2365</v>
      </c>
      <c r="AI1590" t="s">
        <v>2365</v>
      </c>
      <c r="AJ1590" t="s">
        <v>2365</v>
      </c>
      <c r="AK1590" t="s">
        <v>2365</v>
      </c>
      <c r="AL1590" t="s">
        <v>2365</v>
      </c>
      <c r="AM1590" t="s">
        <v>2365</v>
      </c>
      <c r="AN1590" t="s">
        <v>2365</v>
      </c>
      <c r="AR1590" t="s">
        <v>2365</v>
      </c>
      <c r="AS1590" t="s">
        <v>2365</v>
      </c>
      <c r="AT1590" t="s">
        <v>2365</v>
      </c>
      <c r="AU1590" t="s">
        <v>2365</v>
      </c>
      <c r="AV1590" t="s">
        <v>2365</v>
      </c>
      <c r="AW1590" t="s">
        <v>2365</v>
      </c>
      <c r="AX1590" t="s">
        <v>2365</v>
      </c>
      <c r="AY1590" t="s">
        <v>2365</v>
      </c>
      <c r="AZ1590" t="s">
        <v>2365</v>
      </c>
      <c r="BA1590" t="s">
        <v>2365</v>
      </c>
      <c r="BB1590" t="s">
        <v>2365</v>
      </c>
      <c r="BC1590" t="s">
        <v>2365</v>
      </c>
      <c r="BD1590" t="s">
        <v>2366</v>
      </c>
      <c r="BE1590" t="s">
        <v>2365</v>
      </c>
      <c r="BF1590" t="s">
        <v>2365</v>
      </c>
      <c r="BG1590" t="s">
        <v>2365</v>
      </c>
      <c r="BH1590" t="s">
        <v>2365</v>
      </c>
      <c r="BI1590" t="s">
        <v>2366</v>
      </c>
      <c r="BJ1590" t="s">
        <v>2365</v>
      </c>
      <c r="BK1590" t="s">
        <v>2365</v>
      </c>
      <c r="BL1590" t="s">
        <v>2365</v>
      </c>
      <c r="BM1590" t="s">
        <v>2365</v>
      </c>
      <c r="BO1590">
        <v>4</v>
      </c>
      <c r="BP1590">
        <v>42</v>
      </c>
      <c r="BQ1590" t="s">
        <v>2433</v>
      </c>
      <c r="BR1590" t="s">
        <v>999</v>
      </c>
      <c r="BU1590">
        <v>2060</v>
      </c>
      <c r="BV1590">
        <v>0</v>
      </c>
      <c r="BW1590">
        <v>2060</v>
      </c>
      <c r="BX1590">
        <v>0</v>
      </c>
      <c r="BY1590">
        <v>2060</v>
      </c>
      <c r="BZ1590">
        <v>2184</v>
      </c>
      <c r="CA1590">
        <v>2315</v>
      </c>
      <c r="CB1590">
        <v>0</v>
      </c>
      <c r="CC1590">
        <v>0</v>
      </c>
      <c r="CD1590">
        <v>0</v>
      </c>
      <c r="CE1590">
        <v>0</v>
      </c>
      <c r="CF1590">
        <v>0</v>
      </c>
      <c r="CG1590">
        <v>0</v>
      </c>
      <c r="CH1590">
        <v>0</v>
      </c>
      <c r="CI1590">
        <v>0</v>
      </c>
      <c r="CJ1590">
        <v>0</v>
      </c>
      <c r="CK1590">
        <v>0</v>
      </c>
      <c r="CL1590">
        <v>0</v>
      </c>
      <c r="CM1590">
        <v>0</v>
      </c>
      <c r="CR1590" t="s">
        <v>2329</v>
      </c>
      <c r="CS1590" s="1369" t="str">
        <f>INDEX([8]Sheet1!$H:$H,MATCH(CR:CR,[8]Sheet1!$AU:$AU,0))</f>
        <v>Sewerage</v>
      </c>
    </row>
    <row r="1591" spans="1:97" x14ac:dyDescent="0.2">
      <c r="A1591" t="s">
        <v>4681</v>
      </c>
      <c r="B1591">
        <v>1681</v>
      </c>
      <c r="C1591" t="s">
        <v>4681</v>
      </c>
      <c r="D1591">
        <v>54548</v>
      </c>
      <c r="E1591" t="s">
        <v>2455</v>
      </c>
      <c r="F1591">
        <v>2900</v>
      </c>
      <c r="G1591" t="s">
        <v>569</v>
      </c>
      <c r="H1591" t="s">
        <v>2366</v>
      </c>
      <c r="I1591" t="s">
        <v>2366</v>
      </c>
      <c r="J1591">
        <v>2904</v>
      </c>
      <c r="K1591" t="s">
        <v>1432</v>
      </c>
      <c r="L1591">
        <v>2100</v>
      </c>
      <c r="M1591" t="s">
        <v>618</v>
      </c>
      <c r="N1591">
        <v>2114</v>
      </c>
      <c r="O1591" t="s">
        <v>999</v>
      </c>
      <c r="P1591" t="s">
        <v>2366</v>
      </c>
      <c r="Q1591" t="s">
        <v>2364</v>
      </c>
      <c r="R1591" t="s">
        <v>2364</v>
      </c>
      <c r="S1591" t="s">
        <v>1881</v>
      </c>
      <c r="T1591" t="s">
        <v>1812</v>
      </c>
      <c r="U1591" t="s">
        <v>2365</v>
      </c>
      <c r="V1591" t="s">
        <v>2365</v>
      </c>
      <c r="W1591" t="s">
        <v>2365</v>
      </c>
      <c r="X1591" t="s">
        <v>2365</v>
      </c>
      <c r="Y1591" t="s">
        <v>2365</v>
      </c>
      <c r="Z1591" t="s">
        <v>2365</v>
      </c>
      <c r="AA1591" t="s">
        <v>2365</v>
      </c>
      <c r="AB1591" t="s">
        <v>2365</v>
      </c>
      <c r="AC1591" s="813" t="s">
        <v>2365</v>
      </c>
      <c r="AD1591" s="813" t="s">
        <v>2365</v>
      </c>
      <c r="AE1591" s="813" t="s">
        <v>2365</v>
      </c>
      <c r="AF1591" t="s">
        <v>2365</v>
      </c>
      <c r="AG1591" t="s">
        <v>2365</v>
      </c>
      <c r="AH1591" t="s">
        <v>2365</v>
      </c>
      <c r="AI1591" t="s">
        <v>2365</v>
      </c>
      <c r="AJ1591" t="s">
        <v>2365</v>
      </c>
      <c r="AK1591" t="s">
        <v>2365</v>
      </c>
      <c r="AL1591" t="s">
        <v>2365</v>
      </c>
      <c r="AM1591" t="s">
        <v>2365</v>
      </c>
      <c r="AN1591" t="s">
        <v>2365</v>
      </c>
      <c r="AR1591" t="s">
        <v>2365</v>
      </c>
      <c r="AS1591" t="s">
        <v>2365</v>
      </c>
      <c r="AT1591" t="s">
        <v>2365</v>
      </c>
      <c r="AU1591" t="s">
        <v>2365</v>
      </c>
      <c r="AV1591" t="s">
        <v>2365</v>
      </c>
      <c r="AW1591" t="s">
        <v>2365</v>
      </c>
      <c r="AX1591" t="s">
        <v>2365</v>
      </c>
      <c r="AY1591" t="s">
        <v>2365</v>
      </c>
      <c r="AZ1591" t="s">
        <v>2365</v>
      </c>
      <c r="BA1591" t="s">
        <v>2365</v>
      </c>
      <c r="BB1591" t="s">
        <v>2365</v>
      </c>
      <c r="BC1591" t="s">
        <v>2365</v>
      </c>
      <c r="BD1591" t="s">
        <v>2366</v>
      </c>
      <c r="BE1591" t="s">
        <v>2365</v>
      </c>
      <c r="BF1591" t="s">
        <v>2365</v>
      </c>
      <c r="BG1591" t="s">
        <v>2365</v>
      </c>
      <c r="BH1591" t="s">
        <v>2365</v>
      </c>
      <c r="BI1591" t="s">
        <v>2366</v>
      </c>
      <c r="BJ1591" t="s">
        <v>2365</v>
      </c>
      <c r="BK1591" t="s">
        <v>2365</v>
      </c>
      <c r="BL1591" t="s">
        <v>2365</v>
      </c>
      <c r="BM1591" t="s">
        <v>2365</v>
      </c>
      <c r="BO1591">
        <v>4</v>
      </c>
      <c r="BP1591">
        <v>42</v>
      </c>
      <c r="BQ1591" t="s">
        <v>2433</v>
      </c>
      <c r="BR1591" t="s">
        <v>999</v>
      </c>
      <c r="BU1591">
        <v>10300</v>
      </c>
      <c r="BV1591">
        <v>0</v>
      </c>
      <c r="BW1591">
        <v>10300</v>
      </c>
      <c r="BX1591">
        <v>0</v>
      </c>
      <c r="BY1591">
        <v>10300</v>
      </c>
      <c r="BZ1591">
        <v>10918</v>
      </c>
      <c r="CA1591">
        <v>11573</v>
      </c>
      <c r="CB1591">
        <v>0</v>
      </c>
      <c r="CC1591">
        <v>0</v>
      </c>
      <c r="CD1591">
        <v>0</v>
      </c>
      <c r="CE1591">
        <v>0</v>
      </c>
      <c r="CF1591">
        <v>0</v>
      </c>
      <c r="CG1591">
        <v>0</v>
      </c>
      <c r="CH1591">
        <v>0</v>
      </c>
      <c r="CI1591">
        <v>0</v>
      </c>
      <c r="CJ1591">
        <v>0</v>
      </c>
      <c r="CK1591">
        <v>0</v>
      </c>
      <c r="CL1591">
        <v>0</v>
      </c>
      <c r="CM1591">
        <v>0</v>
      </c>
      <c r="CR1591" t="s">
        <v>2325</v>
      </c>
      <c r="CS1591" s="1369" t="str">
        <f>INDEX([8]Sheet1!$H:$H,MATCH(CR:CR,[8]Sheet1!$AU:$AU,0))</f>
        <v>Asset Management</v>
      </c>
    </row>
    <row r="1592" spans="1:97" x14ac:dyDescent="0.2">
      <c r="A1592" t="s">
        <v>4682</v>
      </c>
      <c r="B1592">
        <v>1682</v>
      </c>
      <c r="C1592" t="s">
        <v>4682</v>
      </c>
      <c r="D1592">
        <v>54549</v>
      </c>
      <c r="E1592" t="s">
        <v>2455</v>
      </c>
      <c r="F1592">
        <v>2900</v>
      </c>
      <c r="G1592" t="s">
        <v>569</v>
      </c>
      <c r="H1592" t="s">
        <v>2366</v>
      </c>
      <c r="I1592" t="s">
        <v>2366</v>
      </c>
      <c r="J1592">
        <v>2904</v>
      </c>
      <c r="K1592" t="s">
        <v>1432</v>
      </c>
      <c r="L1592">
        <v>2100</v>
      </c>
      <c r="M1592" t="s">
        <v>618</v>
      </c>
      <c r="N1592">
        <v>2114</v>
      </c>
      <c r="O1592" t="s">
        <v>999</v>
      </c>
      <c r="P1592" t="s">
        <v>2366</v>
      </c>
      <c r="Q1592" t="s">
        <v>2364</v>
      </c>
      <c r="R1592" t="s">
        <v>2364</v>
      </c>
      <c r="S1592" t="s">
        <v>1881</v>
      </c>
      <c r="T1592" t="s">
        <v>1812</v>
      </c>
      <c r="U1592" t="s">
        <v>2365</v>
      </c>
      <c r="V1592" t="s">
        <v>2365</v>
      </c>
      <c r="W1592" t="s">
        <v>2365</v>
      </c>
      <c r="X1592" t="s">
        <v>2365</v>
      </c>
      <c r="Y1592" t="s">
        <v>2365</v>
      </c>
      <c r="Z1592" t="s">
        <v>2365</v>
      </c>
      <c r="AA1592" t="s">
        <v>2365</v>
      </c>
      <c r="AB1592" t="s">
        <v>2365</v>
      </c>
      <c r="AC1592" s="813" t="s">
        <v>2365</v>
      </c>
      <c r="AD1592" s="813" t="s">
        <v>2365</v>
      </c>
      <c r="AE1592" s="813" t="s">
        <v>2365</v>
      </c>
      <c r="AF1592" t="s">
        <v>2365</v>
      </c>
      <c r="AG1592" t="s">
        <v>2365</v>
      </c>
      <c r="AH1592" t="s">
        <v>2365</v>
      </c>
      <c r="AI1592" t="s">
        <v>2365</v>
      </c>
      <c r="AJ1592" t="s">
        <v>2365</v>
      </c>
      <c r="AK1592" t="s">
        <v>2365</v>
      </c>
      <c r="AL1592" t="s">
        <v>2365</v>
      </c>
      <c r="AM1592" t="s">
        <v>2365</v>
      </c>
      <c r="AN1592" t="s">
        <v>2365</v>
      </c>
      <c r="AR1592" t="s">
        <v>2365</v>
      </c>
      <c r="AS1592" t="s">
        <v>2365</v>
      </c>
      <c r="AT1592" t="s">
        <v>2365</v>
      </c>
      <c r="AU1592" t="s">
        <v>2365</v>
      </c>
      <c r="AV1592" t="s">
        <v>2365</v>
      </c>
      <c r="AW1592" t="s">
        <v>2365</v>
      </c>
      <c r="AX1592" t="s">
        <v>2365</v>
      </c>
      <c r="AY1592" t="s">
        <v>2365</v>
      </c>
      <c r="AZ1592" t="s">
        <v>2365</v>
      </c>
      <c r="BA1592" t="s">
        <v>2365</v>
      </c>
      <c r="BB1592" t="s">
        <v>2365</v>
      </c>
      <c r="BC1592" t="s">
        <v>2365</v>
      </c>
      <c r="BD1592" t="s">
        <v>2366</v>
      </c>
      <c r="BE1592" t="s">
        <v>2365</v>
      </c>
      <c r="BF1592" t="s">
        <v>2365</v>
      </c>
      <c r="BG1592" t="s">
        <v>2365</v>
      </c>
      <c r="BH1592" t="s">
        <v>2365</v>
      </c>
      <c r="BI1592" t="s">
        <v>2366</v>
      </c>
      <c r="BJ1592" t="s">
        <v>2365</v>
      </c>
      <c r="BK1592" t="s">
        <v>2365</v>
      </c>
      <c r="BL1592" t="s">
        <v>2365</v>
      </c>
      <c r="BM1592" t="s">
        <v>2365</v>
      </c>
      <c r="BO1592">
        <v>4</v>
      </c>
      <c r="BP1592">
        <v>42</v>
      </c>
      <c r="BQ1592" t="s">
        <v>2433</v>
      </c>
      <c r="BR1592" t="s">
        <v>999</v>
      </c>
      <c r="BU1592">
        <v>6180</v>
      </c>
      <c r="BV1592">
        <v>0</v>
      </c>
      <c r="BW1592">
        <v>6180</v>
      </c>
      <c r="BX1592">
        <v>0</v>
      </c>
      <c r="BY1592">
        <v>6180</v>
      </c>
      <c r="BZ1592">
        <v>6551</v>
      </c>
      <c r="CA1592">
        <v>6944</v>
      </c>
      <c r="CB1592">
        <v>0</v>
      </c>
      <c r="CC1592">
        <v>0</v>
      </c>
      <c r="CD1592">
        <v>0</v>
      </c>
      <c r="CE1592">
        <v>0</v>
      </c>
      <c r="CF1592">
        <v>0</v>
      </c>
      <c r="CG1592">
        <v>0</v>
      </c>
      <c r="CH1592">
        <v>0</v>
      </c>
      <c r="CI1592">
        <v>0</v>
      </c>
      <c r="CJ1592">
        <v>0</v>
      </c>
      <c r="CK1592">
        <v>0</v>
      </c>
      <c r="CL1592">
        <v>0</v>
      </c>
      <c r="CM1592">
        <v>0</v>
      </c>
      <c r="CR1592" t="s">
        <v>2325</v>
      </c>
      <c r="CS1592" s="1369" t="str">
        <f>INDEX([8]Sheet1!$H:$H,MATCH(CR:CR,[8]Sheet1!$AU:$AU,0))</f>
        <v>Asset Management</v>
      </c>
    </row>
    <row r="1593" spans="1:97" x14ac:dyDescent="0.2">
      <c r="A1593" t="s">
        <v>4683</v>
      </c>
      <c r="B1593">
        <v>1683</v>
      </c>
      <c r="C1593" t="s">
        <v>4683</v>
      </c>
      <c r="D1593">
        <v>54552</v>
      </c>
      <c r="E1593" t="s">
        <v>2430</v>
      </c>
      <c r="F1593">
        <v>2700</v>
      </c>
      <c r="G1593" t="s">
        <v>656</v>
      </c>
      <c r="H1593" t="s">
        <v>2428</v>
      </c>
      <c r="I1593" t="s">
        <v>1800</v>
      </c>
      <c r="J1593">
        <v>2701</v>
      </c>
      <c r="K1593" t="s">
        <v>1800</v>
      </c>
      <c r="L1593">
        <v>2100</v>
      </c>
      <c r="M1593" t="s">
        <v>618</v>
      </c>
      <c r="N1593">
        <v>2114</v>
      </c>
      <c r="O1593" t="s">
        <v>999</v>
      </c>
      <c r="P1593" t="s">
        <v>2366</v>
      </c>
      <c r="Q1593" t="s">
        <v>2364</v>
      </c>
      <c r="R1593" t="s">
        <v>2364</v>
      </c>
      <c r="S1593" t="s">
        <v>1881</v>
      </c>
      <c r="T1593" t="s">
        <v>1812</v>
      </c>
      <c r="U1593" t="s">
        <v>2365</v>
      </c>
      <c r="V1593" t="s">
        <v>2365</v>
      </c>
      <c r="W1593" t="s">
        <v>2365</v>
      </c>
      <c r="X1593" t="s">
        <v>2365</v>
      </c>
      <c r="Y1593" t="s">
        <v>2365</v>
      </c>
      <c r="Z1593" t="s">
        <v>2365</v>
      </c>
      <c r="AA1593" t="s">
        <v>2365</v>
      </c>
      <c r="AB1593" t="s">
        <v>2365</v>
      </c>
      <c r="AC1593" s="813" t="s">
        <v>2365</v>
      </c>
      <c r="AD1593" s="813" t="s">
        <v>2365</v>
      </c>
      <c r="AE1593" s="813" t="s">
        <v>2365</v>
      </c>
      <c r="AF1593" t="s">
        <v>2365</v>
      </c>
      <c r="AG1593" t="s">
        <v>2365</v>
      </c>
      <c r="AH1593" t="s">
        <v>2365</v>
      </c>
      <c r="AI1593" t="s">
        <v>2365</v>
      </c>
      <c r="AJ1593" t="s">
        <v>2365</v>
      </c>
      <c r="AK1593" t="s">
        <v>2365</v>
      </c>
      <c r="AL1593" t="s">
        <v>2365</v>
      </c>
      <c r="AM1593" t="s">
        <v>2365</v>
      </c>
      <c r="AN1593" t="s">
        <v>2365</v>
      </c>
      <c r="AR1593" t="s">
        <v>2365</v>
      </c>
      <c r="AS1593" t="s">
        <v>2365</v>
      </c>
      <c r="AT1593" t="s">
        <v>2365</v>
      </c>
      <c r="AU1593" t="s">
        <v>2365</v>
      </c>
      <c r="AV1593" t="s">
        <v>2365</v>
      </c>
      <c r="AW1593" t="s">
        <v>2365</v>
      </c>
      <c r="AX1593" t="s">
        <v>2365</v>
      </c>
      <c r="AY1593" t="s">
        <v>2365</v>
      </c>
      <c r="AZ1593" t="s">
        <v>2365</v>
      </c>
      <c r="BA1593" t="s">
        <v>2365</v>
      </c>
      <c r="BB1593" t="s">
        <v>2365</v>
      </c>
      <c r="BC1593" t="s">
        <v>2365</v>
      </c>
      <c r="BD1593" t="s">
        <v>2366</v>
      </c>
      <c r="BE1593" t="s">
        <v>2365</v>
      </c>
      <c r="BF1593" t="s">
        <v>2365</v>
      </c>
      <c r="BG1593" t="s">
        <v>2365</v>
      </c>
      <c r="BH1593" t="s">
        <v>2365</v>
      </c>
      <c r="BI1593" t="s">
        <v>2366</v>
      </c>
      <c r="BJ1593" t="s">
        <v>2365</v>
      </c>
      <c r="BK1593" t="s">
        <v>2365</v>
      </c>
      <c r="BL1593" t="s">
        <v>2365</v>
      </c>
      <c r="BM1593" t="s">
        <v>2365</v>
      </c>
      <c r="BO1593">
        <v>4</v>
      </c>
      <c r="BP1593">
        <v>42</v>
      </c>
      <c r="BQ1593" t="s">
        <v>2433</v>
      </c>
      <c r="BR1593" t="s">
        <v>999</v>
      </c>
      <c r="BU1593">
        <v>17505</v>
      </c>
      <c r="BV1593">
        <v>0</v>
      </c>
      <c r="BW1593">
        <v>17505</v>
      </c>
      <c r="BX1593">
        <v>0</v>
      </c>
      <c r="BY1593">
        <v>17505</v>
      </c>
      <c r="BZ1593">
        <v>18555</v>
      </c>
      <c r="CA1593">
        <v>19669</v>
      </c>
      <c r="CB1593">
        <v>0</v>
      </c>
      <c r="CC1593">
        <v>0</v>
      </c>
      <c r="CD1593">
        <v>0</v>
      </c>
      <c r="CE1593">
        <v>0</v>
      </c>
      <c r="CF1593">
        <v>0</v>
      </c>
      <c r="CG1593">
        <v>0</v>
      </c>
      <c r="CH1593">
        <v>0</v>
      </c>
      <c r="CI1593">
        <v>0</v>
      </c>
      <c r="CJ1593">
        <v>0</v>
      </c>
      <c r="CK1593">
        <v>0</v>
      </c>
      <c r="CL1593">
        <v>0</v>
      </c>
      <c r="CM1593">
        <v>0</v>
      </c>
      <c r="CR1593" t="s">
        <v>2325</v>
      </c>
      <c r="CS1593" s="1369" t="str">
        <f>INDEX([8]Sheet1!$H:$H,MATCH(CR:CR,[8]Sheet1!$AU:$AU,0))</f>
        <v>Asset Management</v>
      </c>
    </row>
    <row r="1594" spans="1:97" x14ac:dyDescent="0.2">
      <c r="A1594" t="s">
        <v>4684</v>
      </c>
      <c r="B1594">
        <v>1684</v>
      </c>
      <c r="C1594" t="s">
        <v>4684</v>
      </c>
      <c r="D1594">
        <v>54553</v>
      </c>
      <c r="E1594" t="s">
        <v>2455</v>
      </c>
      <c r="F1594">
        <v>2900</v>
      </c>
      <c r="G1594" t="s">
        <v>569</v>
      </c>
      <c r="H1594" t="s">
        <v>2366</v>
      </c>
      <c r="I1594" t="s">
        <v>2366</v>
      </c>
      <c r="J1594">
        <v>2904</v>
      </c>
      <c r="K1594" t="s">
        <v>1432</v>
      </c>
      <c r="L1594">
        <v>2100</v>
      </c>
      <c r="M1594" t="s">
        <v>618</v>
      </c>
      <c r="N1594">
        <v>2114</v>
      </c>
      <c r="O1594" t="s">
        <v>999</v>
      </c>
      <c r="P1594" t="s">
        <v>2366</v>
      </c>
      <c r="Q1594" t="s">
        <v>2364</v>
      </c>
      <c r="R1594" t="s">
        <v>2364</v>
      </c>
      <c r="S1594" t="s">
        <v>1881</v>
      </c>
      <c r="T1594" t="s">
        <v>1812</v>
      </c>
      <c r="U1594" t="s">
        <v>2365</v>
      </c>
      <c r="V1594" t="s">
        <v>2365</v>
      </c>
      <c r="W1594" t="s">
        <v>2365</v>
      </c>
      <c r="X1594" t="s">
        <v>2365</v>
      </c>
      <c r="Y1594" t="s">
        <v>2365</v>
      </c>
      <c r="Z1594" t="s">
        <v>2365</v>
      </c>
      <c r="AA1594" t="s">
        <v>2365</v>
      </c>
      <c r="AB1594" t="s">
        <v>2365</v>
      </c>
      <c r="AC1594" s="813" t="s">
        <v>2365</v>
      </c>
      <c r="AD1594" s="813" t="s">
        <v>2365</v>
      </c>
      <c r="AE1594" s="813" t="s">
        <v>2365</v>
      </c>
      <c r="AF1594" t="s">
        <v>2365</v>
      </c>
      <c r="AG1594" t="s">
        <v>2365</v>
      </c>
      <c r="AH1594" t="s">
        <v>2365</v>
      </c>
      <c r="AI1594" t="s">
        <v>2365</v>
      </c>
      <c r="AJ1594" t="s">
        <v>2365</v>
      </c>
      <c r="AK1594" t="s">
        <v>2365</v>
      </c>
      <c r="AL1594" t="s">
        <v>2365</v>
      </c>
      <c r="AM1594" t="s">
        <v>2365</v>
      </c>
      <c r="AN1594" t="s">
        <v>2365</v>
      </c>
      <c r="AR1594" t="s">
        <v>2365</v>
      </c>
      <c r="AS1594" t="s">
        <v>2365</v>
      </c>
      <c r="AT1594" t="s">
        <v>2365</v>
      </c>
      <c r="AU1594" t="s">
        <v>2365</v>
      </c>
      <c r="AV1594" t="s">
        <v>2365</v>
      </c>
      <c r="AW1594" t="s">
        <v>2365</v>
      </c>
      <c r="AX1594" t="s">
        <v>2365</v>
      </c>
      <c r="AY1594" t="s">
        <v>2365</v>
      </c>
      <c r="AZ1594" t="s">
        <v>2365</v>
      </c>
      <c r="BA1594" t="s">
        <v>2365</v>
      </c>
      <c r="BB1594" t="s">
        <v>2365</v>
      </c>
      <c r="BC1594" t="s">
        <v>2365</v>
      </c>
      <c r="BD1594" t="s">
        <v>2366</v>
      </c>
      <c r="BE1594" t="s">
        <v>2365</v>
      </c>
      <c r="BF1594" t="s">
        <v>2365</v>
      </c>
      <c r="BG1594" t="s">
        <v>2365</v>
      </c>
      <c r="BH1594" t="s">
        <v>2365</v>
      </c>
      <c r="BI1594" t="s">
        <v>2366</v>
      </c>
      <c r="BJ1594" t="s">
        <v>2365</v>
      </c>
      <c r="BK1594" t="s">
        <v>2365</v>
      </c>
      <c r="BL1594" t="s">
        <v>2365</v>
      </c>
      <c r="BM1594" t="s">
        <v>2365</v>
      </c>
      <c r="BO1594">
        <v>4</v>
      </c>
      <c r="BP1594">
        <v>42</v>
      </c>
      <c r="BQ1594" t="s">
        <v>2433</v>
      </c>
      <c r="BR1594" t="s">
        <v>999</v>
      </c>
      <c r="BU1594">
        <v>10300</v>
      </c>
      <c r="BV1594">
        <v>0</v>
      </c>
      <c r="BW1594">
        <v>10300</v>
      </c>
      <c r="BX1594">
        <v>0</v>
      </c>
      <c r="BY1594">
        <v>10300</v>
      </c>
      <c r="BZ1594">
        <v>10918</v>
      </c>
      <c r="CA1594">
        <v>11573</v>
      </c>
      <c r="CB1594">
        <v>0</v>
      </c>
      <c r="CC1594">
        <v>0</v>
      </c>
      <c r="CD1594">
        <v>0</v>
      </c>
      <c r="CE1594">
        <v>0</v>
      </c>
      <c r="CF1594">
        <v>0</v>
      </c>
      <c r="CG1594">
        <v>0</v>
      </c>
      <c r="CH1594">
        <v>0</v>
      </c>
      <c r="CI1594">
        <v>0</v>
      </c>
      <c r="CJ1594">
        <v>0</v>
      </c>
      <c r="CK1594">
        <v>0</v>
      </c>
      <c r="CL1594">
        <v>0</v>
      </c>
      <c r="CM1594">
        <v>0</v>
      </c>
      <c r="CR1594" t="s">
        <v>2325</v>
      </c>
      <c r="CS1594" s="1369" t="str">
        <f>INDEX([8]Sheet1!$H:$H,MATCH(CR:CR,[8]Sheet1!$AU:$AU,0))</f>
        <v>Asset Management</v>
      </c>
    </row>
    <row r="1595" spans="1:97" x14ac:dyDescent="0.2">
      <c r="A1595" t="s">
        <v>4685</v>
      </c>
      <c r="B1595">
        <v>1685</v>
      </c>
      <c r="C1595" t="s">
        <v>4685</v>
      </c>
      <c r="D1595">
        <v>54554</v>
      </c>
      <c r="E1595" t="s">
        <v>4686</v>
      </c>
      <c r="F1595">
        <v>2700</v>
      </c>
      <c r="G1595" t="s">
        <v>656</v>
      </c>
      <c r="H1595" t="s">
        <v>2428</v>
      </c>
      <c r="I1595" t="s">
        <v>1800</v>
      </c>
      <c r="J1595">
        <v>2701</v>
      </c>
      <c r="K1595" t="s">
        <v>1800</v>
      </c>
      <c r="L1595">
        <v>3100</v>
      </c>
      <c r="M1595" t="s">
        <v>624</v>
      </c>
      <c r="N1595">
        <v>3107</v>
      </c>
      <c r="O1595" t="s">
        <v>1536</v>
      </c>
      <c r="P1595" t="s">
        <v>2366</v>
      </c>
      <c r="Q1595" t="s">
        <v>2364</v>
      </c>
      <c r="R1595" t="s">
        <v>2364</v>
      </c>
      <c r="S1595" t="s">
        <v>1881</v>
      </c>
      <c r="T1595" t="s">
        <v>1812</v>
      </c>
      <c r="U1595" t="s">
        <v>2365</v>
      </c>
      <c r="V1595" t="s">
        <v>2365</v>
      </c>
      <c r="W1595" t="s">
        <v>2365</v>
      </c>
      <c r="X1595" t="s">
        <v>2365</v>
      </c>
      <c r="Y1595" t="s">
        <v>2365</v>
      </c>
      <c r="Z1595" t="s">
        <v>2365</v>
      </c>
      <c r="AA1595" t="s">
        <v>2365</v>
      </c>
      <c r="AB1595" t="s">
        <v>2365</v>
      </c>
      <c r="AC1595" s="813" t="s">
        <v>2365</v>
      </c>
      <c r="AD1595" s="813" t="s">
        <v>2365</v>
      </c>
      <c r="AE1595" s="813" t="s">
        <v>2365</v>
      </c>
      <c r="AF1595" t="s">
        <v>2365</v>
      </c>
      <c r="AG1595" t="s">
        <v>2365</v>
      </c>
      <c r="AH1595" t="s">
        <v>2365</v>
      </c>
      <c r="AI1595" t="s">
        <v>2365</v>
      </c>
      <c r="AJ1595" t="s">
        <v>2365</v>
      </c>
      <c r="AK1595" t="s">
        <v>2365</v>
      </c>
      <c r="AL1595" t="s">
        <v>2365</v>
      </c>
      <c r="AM1595" t="s">
        <v>2365</v>
      </c>
      <c r="AN1595" t="s">
        <v>2365</v>
      </c>
      <c r="AR1595" t="s">
        <v>2365</v>
      </c>
      <c r="AS1595" t="s">
        <v>2365</v>
      </c>
      <c r="AT1595" t="s">
        <v>2365</v>
      </c>
      <c r="AU1595" t="s">
        <v>2365</v>
      </c>
      <c r="AV1595" t="s">
        <v>2365</v>
      </c>
      <c r="AW1595" t="s">
        <v>2365</v>
      </c>
      <c r="AX1595" t="s">
        <v>2365</v>
      </c>
      <c r="AY1595" t="s">
        <v>2365</v>
      </c>
      <c r="AZ1595" t="s">
        <v>2365</v>
      </c>
      <c r="BA1595" t="s">
        <v>2365</v>
      </c>
      <c r="BB1595" t="s">
        <v>2365</v>
      </c>
      <c r="BC1595" t="s">
        <v>2365</v>
      </c>
      <c r="BD1595" t="s">
        <v>2366</v>
      </c>
      <c r="BE1595" t="s">
        <v>2365</v>
      </c>
      <c r="BF1595" t="s">
        <v>2365</v>
      </c>
      <c r="BG1595" t="s">
        <v>2365</v>
      </c>
      <c r="BH1595" t="s">
        <v>2365</v>
      </c>
      <c r="BI1595" t="s">
        <v>2366</v>
      </c>
      <c r="BJ1595" t="s">
        <v>2365</v>
      </c>
      <c r="BK1595" t="s">
        <v>2365</v>
      </c>
      <c r="BL1595" t="s">
        <v>2365</v>
      </c>
      <c r="BM1595" t="s">
        <v>2365</v>
      </c>
      <c r="BO1595">
        <v>8</v>
      </c>
      <c r="BP1595">
        <v>81</v>
      </c>
      <c r="BQ1595" t="s">
        <v>2442</v>
      </c>
      <c r="BR1595" t="s">
        <v>1536</v>
      </c>
      <c r="BU1595">
        <v>0</v>
      </c>
      <c r="BV1595">
        <v>0</v>
      </c>
      <c r="BW1595">
        <v>0</v>
      </c>
      <c r="BX1595">
        <v>0</v>
      </c>
      <c r="BY1595">
        <v>0</v>
      </c>
      <c r="BZ1595">
        <v>0</v>
      </c>
      <c r="CA1595">
        <v>0</v>
      </c>
      <c r="CB1595">
        <v>0</v>
      </c>
      <c r="CC1595">
        <v>0</v>
      </c>
      <c r="CD1595">
        <v>0</v>
      </c>
      <c r="CE1595">
        <v>0</v>
      </c>
      <c r="CF1595">
        <v>0</v>
      </c>
      <c r="CG1595">
        <v>0</v>
      </c>
      <c r="CH1595">
        <v>0</v>
      </c>
      <c r="CI1595">
        <v>0</v>
      </c>
      <c r="CJ1595">
        <v>0</v>
      </c>
      <c r="CK1595">
        <v>0</v>
      </c>
      <c r="CL1595">
        <v>0</v>
      </c>
      <c r="CM1595">
        <v>0</v>
      </c>
      <c r="CR1595" t="s">
        <v>2352</v>
      </c>
      <c r="CS1595" s="1369" t="str">
        <f>INDEX([8]Sheet1!$H:$H,MATCH(CR:CR,[8]Sheet1!$AU:$AU,0))</f>
        <v>Property Services</v>
      </c>
    </row>
    <row r="1596" spans="1:97" x14ac:dyDescent="0.2">
      <c r="A1596" t="s">
        <v>4687</v>
      </c>
      <c r="B1596">
        <v>1686</v>
      </c>
      <c r="C1596" t="s">
        <v>4687</v>
      </c>
      <c r="D1596">
        <v>54555</v>
      </c>
      <c r="E1596" t="s">
        <v>2455</v>
      </c>
      <c r="F1596">
        <v>2900</v>
      </c>
      <c r="G1596" t="s">
        <v>569</v>
      </c>
      <c r="H1596" t="s">
        <v>2366</v>
      </c>
      <c r="I1596" t="s">
        <v>2366</v>
      </c>
      <c r="J1596">
        <v>2904</v>
      </c>
      <c r="K1596" t="s">
        <v>1432</v>
      </c>
      <c r="L1596">
        <v>2100</v>
      </c>
      <c r="M1596" t="s">
        <v>618</v>
      </c>
      <c r="N1596">
        <v>2114</v>
      </c>
      <c r="O1596" t="s">
        <v>999</v>
      </c>
      <c r="P1596" t="s">
        <v>2366</v>
      </c>
      <c r="Q1596" t="s">
        <v>2364</v>
      </c>
      <c r="R1596" t="s">
        <v>2364</v>
      </c>
      <c r="S1596" t="s">
        <v>1881</v>
      </c>
      <c r="T1596" t="s">
        <v>1812</v>
      </c>
      <c r="U1596" t="s">
        <v>2365</v>
      </c>
      <c r="V1596" t="s">
        <v>2365</v>
      </c>
      <c r="W1596" t="s">
        <v>2365</v>
      </c>
      <c r="X1596" t="s">
        <v>2365</v>
      </c>
      <c r="Y1596" t="s">
        <v>2365</v>
      </c>
      <c r="Z1596" t="s">
        <v>2365</v>
      </c>
      <c r="AA1596" t="s">
        <v>2365</v>
      </c>
      <c r="AB1596" t="s">
        <v>2365</v>
      </c>
      <c r="AC1596" s="813" t="s">
        <v>2365</v>
      </c>
      <c r="AD1596" s="813" t="s">
        <v>2365</v>
      </c>
      <c r="AE1596" s="813" t="s">
        <v>2365</v>
      </c>
      <c r="AF1596" t="s">
        <v>2365</v>
      </c>
      <c r="AG1596" t="s">
        <v>2365</v>
      </c>
      <c r="AH1596" t="s">
        <v>2365</v>
      </c>
      <c r="AI1596" t="s">
        <v>2365</v>
      </c>
      <c r="AJ1596" t="s">
        <v>2365</v>
      </c>
      <c r="AK1596" t="s">
        <v>2365</v>
      </c>
      <c r="AL1596" t="s">
        <v>2365</v>
      </c>
      <c r="AM1596" t="s">
        <v>2365</v>
      </c>
      <c r="AN1596" t="s">
        <v>2365</v>
      </c>
      <c r="AR1596" t="s">
        <v>2365</v>
      </c>
      <c r="AS1596" t="s">
        <v>2365</v>
      </c>
      <c r="AT1596" t="s">
        <v>2365</v>
      </c>
      <c r="AU1596" t="s">
        <v>2365</v>
      </c>
      <c r="AV1596" t="s">
        <v>2365</v>
      </c>
      <c r="AW1596" t="s">
        <v>2365</v>
      </c>
      <c r="AX1596" t="s">
        <v>2365</v>
      </c>
      <c r="AY1596" t="s">
        <v>2365</v>
      </c>
      <c r="AZ1596" t="s">
        <v>2365</v>
      </c>
      <c r="BA1596" t="s">
        <v>2365</v>
      </c>
      <c r="BB1596" t="s">
        <v>2365</v>
      </c>
      <c r="BC1596" t="s">
        <v>2365</v>
      </c>
      <c r="BD1596" t="s">
        <v>2366</v>
      </c>
      <c r="BE1596" t="s">
        <v>2365</v>
      </c>
      <c r="BF1596" t="s">
        <v>2365</v>
      </c>
      <c r="BG1596" t="s">
        <v>2365</v>
      </c>
      <c r="BH1596" t="s">
        <v>2365</v>
      </c>
      <c r="BI1596" t="s">
        <v>2366</v>
      </c>
      <c r="BJ1596" t="s">
        <v>2365</v>
      </c>
      <c r="BK1596" t="s">
        <v>2365</v>
      </c>
      <c r="BL1596" t="s">
        <v>2365</v>
      </c>
      <c r="BM1596" t="s">
        <v>2365</v>
      </c>
      <c r="BO1596">
        <v>4</v>
      </c>
      <c r="BP1596">
        <v>42</v>
      </c>
      <c r="BQ1596" t="s">
        <v>2433</v>
      </c>
      <c r="BR1596" t="s">
        <v>999</v>
      </c>
      <c r="BU1596">
        <v>61800</v>
      </c>
      <c r="BV1596">
        <v>0</v>
      </c>
      <c r="BW1596">
        <v>61800</v>
      </c>
      <c r="BX1596">
        <v>0</v>
      </c>
      <c r="BY1596">
        <v>61800</v>
      </c>
      <c r="BZ1596">
        <v>65508</v>
      </c>
      <c r="CA1596">
        <v>69438</v>
      </c>
      <c r="CB1596">
        <v>0</v>
      </c>
      <c r="CC1596">
        <v>0</v>
      </c>
      <c r="CD1596">
        <v>0</v>
      </c>
      <c r="CE1596">
        <v>0</v>
      </c>
      <c r="CF1596">
        <v>0</v>
      </c>
      <c r="CG1596">
        <v>0</v>
      </c>
      <c r="CH1596">
        <v>0</v>
      </c>
      <c r="CI1596">
        <v>0</v>
      </c>
      <c r="CJ1596">
        <v>0</v>
      </c>
      <c r="CK1596">
        <v>0</v>
      </c>
      <c r="CL1596">
        <v>0</v>
      </c>
      <c r="CM1596">
        <v>0</v>
      </c>
      <c r="CR1596" t="s">
        <v>2352</v>
      </c>
      <c r="CS1596" s="1369" t="str">
        <f>INDEX([8]Sheet1!$H:$H,MATCH(CR:CR,[8]Sheet1!$AU:$AU,0))</f>
        <v>Property Services</v>
      </c>
    </row>
    <row r="1597" spans="1:97" x14ac:dyDescent="0.2">
      <c r="A1597" t="s">
        <v>4688</v>
      </c>
      <c r="B1597">
        <v>1687</v>
      </c>
      <c r="C1597" t="s">
        <v>4688</v>
      </c>
      <c r="D1597">
        <v>54556</v>
      </c>
      <c r="E1597" t="s">
        <v>2483</v>
      </c>
      <c r="F1597">
        <v>2900</v>
      </c>
      <c r="G1597" t="s">
        <v>569</v>
      </c>
      <c r="H1597" t="s">
        <v>2366</v>
      </c>
      <c r="I1597" t="s">
        <v>2366</v>
      </c>
      <c r="J1597">
        <v>2904</v>
      </c>
      <c r="K1597" t="s">
        <v>1432</v>
      </c>
      <c r="L1597">
        <v>2100</v>
      </c>
      <c r="M1597" t="s">
        <v>618</v>
      </c>
      <c r="N1597">
        <v>2114</v>
      </c>
      <c r="O1597" t="s">
        <v>999</v>
      </c>
      <c r="P1597" t="s">
        <v>2366</v>
      </c>
      <c r="Q1597" t="s">
        <v>2364</v>
      </c>
      <c r="R1597" t="s">
        <v>2364</v>
      </c>
      <c r="S1597" t="s">
        <v>1881</v>
      </c>
      <c r="T1597" t="s">
        <v>1812</v>
      </c>
      <c r="U1597" t="s">
        <v>2365</v>
      </c>
      <c r="V1597" t="s">
        <v>2365</v>
      </c>
      <c r="W1597" t="s">
        <v>2365</v>
      </c>
      <c r="X1597" t="s">
        <v>2365</v>
      </c>
      <c r="Y1597" t="s">
        <v>2365</v>
      </c>
      <c r="Z1597" t="s">
        <v>2365</v>
      </c>
      <c r="AA1597" t="s">
        <v>2365</v>
      </c>
      <c r="AB1597" t="s">
        <v>2365</v>
      </c>
      <c r="AC1597" s="813" t="s">
        <v>2365</v>
      </c>
      <c r="AD1597" s="813" t="s">
        <v>2365</v>
      </c>
      <c r="AE1597" s="813" t="s">
        <v>2365</v>
      </c>
      <c r="AF1597" t="s">
        <v>2365</v>
      </c>
      <c r="AG1597" t="s">
        <v>2365</v>
      </c>
      <c r="AH1597" t="s">
        <v>2365</v>
      </c>
      <c r="AI1597" t="s">
        <v>2365</v>
      </c>
      <c r="AJ1597" t="s">
        <v>2365</v>
      </c>
      <c r="AK1597" t="s">
        <v>2365</v>
      </c>
      <c r="AL1597" t="s">
        <v>2365</v>
      </c>
      <c r="AM1597" t="s">
        <v>2365</v>
      </c>
      <c r="AN1597" t="s">
        <v>2365</v>
      </c>
      <c r="AR1597" t="s">
        <v>2365</v>
      </c>
      <c r="AS1597" t="s">
        <v>2365</v>
      </c>
      <c r="AT1597" t="s">
        <v>2365</v>
      </c>
      <c r="AU1597" t="s">
        <v>2365</v>
      </c>
      <c r="AV1597" t="s">
        <v>2365</v>
      </c>
      <c r="AW1597" t="s">
        <v>2365</v>
      </c>
      <c r="AX1597" t="s">
        <v>2365</v>
      </c>
      <c r="AY1597" t="s">
        <v>2365</v>
      </c>
      <c r="AZ1597" t="s">
        <v>2365</v>
      </c>
      <c r="BA1597" t="s">
        <v>2365</v>
      </c>
      <c r="BB1597" t="s">
        <v>2365</v>
      </c>
      <c r="BC1597" t="s">
        <v>2365</v>
      </c>
      <c r="BD1597" t="s">
        <v>2366</v>
      </c>
      <c r="BE1597" t="s">
        <v>2365</v>
      </c>
      <c r="BF1597" t="s">
        <v>2365</v>
      </c>
      <c r="BG1597" t="s">
        <v>2365</v>
      </c>
      <c r="BH1597" t="s">
        <v>2365</v>
      </c>
      <c r="BI1597" t="s">
        <v>2366</v>
      </c>
      <c r="BJ1597" t="s">
        <v>2365</v>
      </c>
      <c r="BK1597" t="s">
        <v>2365</v>
      </c>
      <c r="BL1597" t="s">
        <v>2365</v>
      </c>
      <c r="BM1597" t="s">
        <v>2365</v>
      </c>
      <c r="BO1597">
        <v>4</v>
      </c>
      <c r="BP1597">
        <v>42</v>
      </c>
      <c r="BQ1597" t="s">
        <v>2433</v>
      </c>
      <c r="BR1597" t="s">
        <v>999</v>
      </c>
      <c r="BU1597">
        <v>27900</v>
      </c>
      <c r="BV1597">
        <v>0</v>
      </c>
      <c r="BW1597">
        <v>27900</v>
      </c>
      <c r="BX1597">
        <v>0</v>
      </c>
      <c r="BY1597">
        <v>27900</v>
      </c>
      <c r="BZ1597">
        <v>29574</v>
      </c>
      <c r="CA1597">
        <v>31348</v>
      </c>
      <c r="CB1597">
        <v>0</v>
      </c>
      <c r="CC1597">
        <v>0</v>
      </c>
      <c r="CD1597">
        <v>0</v>
      </c>
      <c r="CE1597">
        <v>0</v>
      </c>
      <c r="CF1597">
        <v>0</v>
      </c>
      <c r="CG1597">
        <v>0</v>
      </c>
      <c r="CH1597">
        <v>0</v>
      </c>
      <c r="CI1597">
        <v>0</v>
      </c>
      <c r="CJ1597">
        <v>0</v>
      </c>
      <c r="CK1597">
        <v>0</v>
      </c>
      <c r="CL1597">
        <v>0</v>
      </c>
      <c r="CM1597">
        <v>0</v>
      </c>
      <c r="CR1597" t="s">
        <v>2352</v>
      </c>
      <c r="CS1597" s="1369" t="str">
        <f>INDEX([8]Sheet1!$H:$H,MATCH(CR:CR,[8]Sheet1!$AU:$AU,0))</f>
        <v>Property Services</v>
      </c>
    </row>
    <row r="1598" spans="1:97" x14ac:dyDescent="0.2">
      <c r="A1598" t="s">
        <v>4689</v>
      </c>
      <c r="B1598">
        <v>1688</v>
      </c>
      <c r="C1598" t="s">
        <v>4689</v>
      </c>
      <c r="D1598">
        <v>54557</v>
      </c>
      <c r="E1598" t="s">
        <v>2516</v>
      </c>
      <c r="F1598">
        <v>2900</v>
      </c>
      <c r="G1598" t="s">
        <v>569</v>
      </c>
      <c r="H1598" t="s">
        <v>2366</v>
      </c>
      <c r="I1598" t="s">
        <v>2366</v>
      </c>
      <c r="J1598">
        <v>2904</v>
      </c>
      <c r="K1598" t="s">
        <v>1432</v>
      </c>
      <c r="L1598">
        <v>2100</v>
      </c>
      <c r="M1598" t="s">
        <v>618</v>
      </c>
      <c r="N1598">
        <v>2114</v>
      </c>
      <c r="O1598" t="s">
        <v>999</v>
      </c>
      <c r="P1598" t="s">
        <v>2366</v>
      </c>
      <c r="Q1598" t="s">
        <v>2364</v>
      </c>
      <c r="R1598" t="s">
        <v>2364</v>
      </c>
      <c r="S1598" t="s">
        <v>1881</v>
      </c>
      <c r="T1598" t="s">
        <v>1812</v>
      </c>
      <c r="U1598" t="s">
        <v>2365</v>
      </c>
      <c r="V1598" t="s">
        <v>2365</v>
      </c>
      <c r="W1598" t="s">
        <v>2365</v>
      </c>
      <c r="X1598" t="s">
        <v>2365</v>
      </c>
      <c r="Y1598" t="s">
        <v>2365</v>
      </c>
      <c r="Z1598" t="s">
        <v>2365</v>
      </c>
      <c r="AA1598" t="s">
        <v>2365</v>
      </c>
      <c r="AB1598" t="s">
        <v>2365</v>
      </c>
      <c r="AC1598" s="813" t="s">
        <v>2365</v>
      </c>
      <c r="AD1598" s="813" t="s">
        <v>2365</v>
      </c>
      <c r="AE1598" s="813" t="s">
        <v>2365</v>
      </c>
      <c r="AF1598" t="s">
        <v>2365</v>
      </c>
      <c r="AG1598" t="s">
        <v>2365</v>
      </c>
      <c r="AH1598" t="s">
        <v>2365</v>
      </c>
      <c r="AI1598" t="s">
        <v>2365</v>
      </c>
      <c r="AJ1598" t="s">
        <v>2365</v>
      </c>
      <c r="AK1598" t="s">
        <v>2365</v>
      </c>
      <c r="AL1598" t="s">
        <v>2365</v>
      </c>
      <c r="AM1598" t="s">
        <v>2365</v>
      </c>
      <c r="AN1598" t="s">
        <v>2365</v>
      </c>
      <c r="AR1598" t="s">
        <v>2365</v>
      </c>
      <c r="AS1598" t="s">
        <v>2365</v>
      </c>
      <c r="AT1598" t="s">
        <v>2365</v>
      </c>
      <c r="AU1598" t="s">
        <v>2365</v>
      </c>
      <c r="AV1598" t="s">
        <v>2365</v>
      </c>
      <c r="AW1598" t="s">
        <v>2365</v>
      </c>
      <c r="AX1598" t="s">
        <v>2365</v>
      </c>
      <c r="AY1598" t="s">
        <v>2365</v>
      </c>
      <c r="AZ1598" t="s">
        <v>2365</v>
      </c>
      <c r="BA1598" t="s">
        <v>2365</v>
      </c>
      <c r="BB1598" t="s">
        <v>2365</v>
      </c>
      <c r="BC1598" t="s">
        <v>2365</v>
      </c>
      <c r="BD1598" t="s">
        <v>2366</v>
      </c>
      <c r="BE1598" t="s">
        <v>2365</v>
      </c>
      <c r="BF1598" t="s">
        <v>2365</v>
      </c>
      <c r="BG1598" t="s">
        <v>2365</v>
      </c>
      <c r="BH1598" t="s">
        <v>2365</v>
      </c>
      <c r="BI1598" t="s">
        <v>2366</v>
      </c>
      <c r="BJ1598" t="s">
        <v>2365</v>
      </c>
      <c r="BK1598" t="s">
        <v>2365</v>
      </c>
      <c r="BL1598" t="s">
        <v>2365</v>
      </c>
      <c r="BM1598" t="s">
        <v>2365</v>
      </c>
      <c r="BO1598">
        <v>4</v>
      </c>
      <c r="BP1598">
        <v>42</v>
      </c>
      <c r="BQ1598" t="s">
        <v>2433</v>
      </c>
      <c r="BR1598" t="s">
        <v>999</v>
      </c>
      <c r="BU1598">
        <v>5150</v>
      </c>
      <c r="BV1598">
        <v>0</v>
      </c>
      <c r="BW1598">
        <v>5150</v>
      </c>
      <c r="BX1598">
        <v>0</v>
      </c>
      <c r="BY1598">
        <v>5150</v>
      </c>
      <c r="BZ1598">
        <v>5459</v>
      </c>
      <c r="CA1598">
        <v>5787</v>
      </c>
      <c r="CB1598">
        <v>0</v>
      </c>
      <c r="CC1598">
        <v>0</v>
      </c>
      <c r="CD1598">
        <v>0</v>
      </c>
      <c r="CE1598">
        <v>0</v>
      </c>
      <c r="CF1598">
        <v>0</v>
      </c>
      <c r="CG1598">
        <v>0</v>
      </c>
      <c r="CH1598">
        <v>0</v>
      </c>
      <c r="CI1598">
        <v>0</v>
      </c>
      <c r="CJ1598">
        <v>0</v>
      </c>
      <c r="CK1598">
        <v>0</v>
      </c>
      <c r="CL1598">
        <v>0</v>
      </c>
      <c r="CM1598">
        <v>0</v>
      </c>
      <c r="CR1598" t="s">
        <v>2354</v>
      </c>
      <c r="CS1598" s="1369" t="str">
        <f>INDEX([8]Sheet1!$H:$H,MATCH(CR:CR,[8]Sheet1!$AU:$AU,0))</f>
        <v>Taxi Ranks</v>
      </c>
    </row>
    <row r="1599" spans="1:97" x14ac:dyDescent="0.2">
      <c r="A1599" t="s">
        <v>4690</v>
      </c>
      <c r="B1599">
        <v>1689</v>
      </c>
      <c r="C1599" t="s">
        <v>4690</v>
      </c>
      <c r="D1599">
        <v>54558</v>
      </c>
      <c r="E1599" t="s">
        <v>2681</v>
      </c>
      <c r="F1599">
        <v>2700</v>
      </c>
      <c r="G1599" t="s">
        <v>656</v>
      </c>
      <c r="H1599" t="s">
        <v>2478</v>
      </c>
      <c r="I1599" t="s">
        <v>1802</v>
      </c>
      <c r="J1599">
        <v>2703</v>
      </c>
      <c r="K1599" t="s">
        <v>1802</v>
      </c>
      <c r="L1599">
        <v>2300</v>
      </c>
      <c r="M1599" t="s">
        <v>620</v>
      </c>
      <c r="N1599">
        <v>2304</v>
      </c>
      <c r="O1599" t="s">
        <v>1520</v>
      </c>
      <c r="P1599" t="s">
        <v>2366</v>
      </c>
      <c r="Q1599" t="s">
        <v>2364</v>
      </c>
      <c r="R1599" t="s">
        <v>2364</v>
      </c>
      <c r="S1599" t="s">
        <v>1881</v>
      </c>
      <c r="T1599" t="s">
        <v>1812</v>
      </c>
      <c r="U1599" t="s">
        <v>2365</v>
      </c>
      <c r="V1599" t="s">
        <v>2365</v>
      </c>
      <c r="W1599" t="s">
        <v>2365</v>
      </c>
      <c r="X1599" t="s">
        <v>2365</v>
      </c>
      <c r="Y1599" t="s">
        <v>2365</v>
      </c>
      <c r="Z1599" t="s">
        <v>2365</v>
      </c>
      <c r="AA1599" t="s">
        <v>2365</v>
      </c>
      <c r="AB1599" t="s">
        <v>2365</v>
      </c>
      <c r="AC1599" s="813" t="s">
        <v>2365</v>
      </c>
      <c r="AD1599" s="813" t="s">
        <v>2365</v>
      </c>
      <c r="AE1599" s="813" t="s">
        <v>2365</v>
      </c>
      <c r="AF1599" t="s">
        <v>2365</v>
      </c>
      <c r="AG1599" t="s">
        <v>2365</v>
      </c>
      <c r="AH1599" t="s">
        <v>2365</v>
      </c>
      <c r="AI1599" t="s">
        <v>2365</v>
      </c>
      <c r="AJ1599" t="s">
        <v>2365</v>
      </c>
      <c r="AK1599" t="s">
        <v>2365</v>
      </c>
      <c r="AL1599" t="s">
        <v>2365</v>
      </c>
      <c r="AM1599" t="s">
        <v>2365</v>
      </c>
      <c r="AN1599" t="s">
        <v>2365</v>
      </c>
      <c r="AR1599" t="s">
        <v>2365</v>
      </c>
      <c r="AS1599" t="s">
        <v>2365</v>
      </c>
      <c r="AT1599" t="s">
        <v>2365</v>
      </c>
      <c r="AU1599" t="s">
        <v>2365</v>
      </c>
      <c r="AV1599" t="s">
        <v>2365</v>
      </c>
      <c r="AW1599" t="s">
        <v>2365</v>
      </c>
      <c r="AX1599" t="s">
        <v>2365</v>
      </c>
      <c r="AY1599" t="s">
        <v>2365</v>
      </c>
      <c r="AZ1599">
        <v>1200</v>
      </c>
      <c r="BA1599" t="s">
        <v>1652</v>
      </c>
      <c r="BB1599">
        <v>1200</v>
      </c>
      <c r="BC1599" t="s">
        <v>1652</v>
      </c>
      <c r="BD1599" t="s">
        <v>1906</v>
      </c>
      <c r="BE1599" t="s">
        <v>2365</v>
      </c>
      <c r="BF1599" t="s">
        <v>2365</v>
      </c>
      <c r="BG1599" t="s">
        <v>2365</v>
      </c>
      <c r="BH1599" t="s">
        <v>2365</v>
      </c>
      <c r="BI1599" t="s">
        <v>2366</v>
      </c>
      <c r="BJ1599" t="s">
        <v>2365</v>
      </c>
      <c r="BK1599" t="s">
        <v>2365</v>
      </c>
      <c r="BL1599" t="s">
        <v>2365</v>
      </c>
      <c r="BM1599" t="s">
        <v>2365</v>
      </c>
      <c r="BO1599">
        <v>10</v>
      </c>
      <c r="BP1599">
        <v>102</v>
      </c>
      <c r="BQ1599" t="s">
        <v>4609</v>
      </c>
      <c r="BR1599" t="s">
        <v>4691</v>
      </c>
      <c r="BU1599">
        <v>0</v>
      </c>
      <c r="BV1599">
        <v>0</v>
      </c>
      <c r="BW1599">
        <v>0</v>
      </c>
      <c r="BX1599">
        <v>0</v>
      </c>
      <c r="BY1599">
        <v>0</v>
      </c>
      <c r="BZ1599">
        <v>0</v>
      </c>
      <c r="CA1599">
        <v>0</v>
      </c>
      <c r="CB1599">
        <v>0</v>
      </c>
      <c r="CC1599">
        <v>0</v>
      </c>
      <c r="CD1599">
        <v>0</v>
      </c>
      <c r="CE1599">
        <v>0</v>
      </c>
      <c r="CF1599">
        <v>0</v>
      </c>
      <c r="CG1599">
        <v>0</v>
      </c>
      <c r="CH1599">
        <v>0</v>
      </c>
      <c r="CI1599">
        <v>0</v>
      </c>
      <c r="CJ1599">
        <v>0</v>
      </c>
      <c r="CK1599">
        <v>0</v>
      </c>
      <c r="CL1599">
        <v>0</v>
      </c>
      <c r="CM1599">
        <v>0</v>
      </c>
      <c r="CR1599" t="s">
        <v>2325</v>
      </c>
      <c r="CS1599" s="1369" t="str">
        <f>INDEX([8]Sheet1!$H:$H,MATCH(CR:CR,[8]Sheet1!$AU:$AU,0))</f>
        <v>Asset Management</v>
      </c>
    </row>
    <row r="1600" spans="1:97" x14ac:dyDescent="0.2">
      <c r="A1600" t="s">
        <v>4692</v>
      </c>
      <c r="B1600">
        <v>1690</v>
      </c>
      <c r="C1600" t="s">
        <v>4692</v>
      </c>
      <c r="D1600">
        <v>54563</v>
      </c>
      <c r="E1600" t="s">
        <v>3264</v>
      </c>
      <c r="F1600">
        <v>2900</v>
      </c>
      <c r="G1600" t="s">
        <v>569</v>
      </c>
      <c r="H1600" t="s">
        <v>2366</v>
      </c>
      <c r="I1600" t="s">
        <v>2366</v>
      </c>
      <c r="J1600">
        <v>2904</v>
      </c>
      <c r="K1600" t="s">
        <v>1432</v>
      </c>
      <c r="L1600">
        <v>1100</v>
      </c>
      <c r="M1600" t="s">
        <v>616</v>
      </c>
      <c r="N1600">
        <v>1120</v>
      </c>
      <c r="O1600" t="s">
        <v>1485</v>
      </c>
      <c r="P1600" t="s">
        <v>2366</v>
      </c>
      <c r="Q1600" t="s">
        <v>2364</v>
      </c>
      <c r="R1600" t="s">
        <v>2364</v>
      </c>
      <c r="S1600" t="s">
        <v>1881</v>
      </c>
      <c r="T1600" t="s">
        <v>1812</v>
      </c>
      <c r="U1600" t="s">
        <v>2365</v>
      </c>
      <c r="V1600" t="s">
        <v>2365</v>
      </c>
      <c r="W1600" t="s">
        <v>2365</v>
      </c>
      <c r="X1600" t="s">
        <v>2365</v>
      </c>
      <c r="Y1600" t="s">
        <v>2365</v>
      </c>
      <c r="Z1600" t="s">
        <v>2365</v>
      </c>
      <c r="AA1600" t="s">
        <v>2365</v>
      </c>
      <c r="AB1600" t="s">
        <v>2365</v>
      </c>
      <c r="AC1600" s="813" t="s">
        <v>2365</v>
      </c>
      <c r="AD1600" s="813" t="s">
        <v>2365</v>
      </c>
      <c r="AE1600" s="813" t="s">
        <v>2365</v>
      </c>
      <c r="AF1600" t="s">
        <v>2365</v>
      </c>
      <c r="AG1600" t="s">
        <v>2365</v>
      </c>
      <c r="AH1600" t="s">
        <v>2365</v>
      </c>
      <c r="AI1600" t="s">
        <v>2365</v>
      </c>
      <c r="AJ1600" t="s">
        <v>2365</v>
      </c>
      <c r="AK1600" t="s">
        <v>2365</v>
      </c>
      <c r="AL1600" t="s">
        <v>2365</v>
      </c>
      <c r="AM1600" t="s">
        <v>2365</v>
      </c>
      <c r="AN1600" t="s">
        <v>2365</v>
      </c>
      <c r="AR1600" t="s">
        <v>2365</v>
      </c>
      <c r="AS1600" t="s">
        <v>2365</v>
      </c>
      <c r="AT1600" t="s">
        <v>2365</v>
      </c>
      <c r="AU1600" t="s">
        <v>2365</v>
      </c>
      <c r="AV1600" t="s">
        <v>2365</v>
      </c>
      <c r="AW1600" t="s">
        <v>2365</v>
      </c>
      <c r="AX1600" t="s">
        <v>2365</v>
      </c>
      <c r="AY1600" t="s">
        <v>2365</v>
      </c>
      <c r="AZ1600" t="s">
        <v>2365</v>
      </c>
      <c r="BA1600" t="s">
        <v>2365</v>
      </c>
      <c r="BB1600" t="s">
        <v>2365</v>
      </c>
      <c r="BC1600" t="s">
        <v>2365</v>
      </c>
      <c r="BD1600" t="s">
        <v>2366</v>
      </c>
      <c r="BE1600" t="s">
        <v>2365</v>
      </c>
      <c r="BF1600" t="s">
        <v>2365</v>
      </c>
      <c r="BG1600" t="s">
        <v>2365</v>
      </c>
      <c r="BH1600" t="s">
        <v>2365</v>
      </c>
      <c r="BI1600" t="s">
        <v>2366</v>
      </c>
      <c r="BJ1600" t="s">
        <v>2365</v>
      </c>
      <c r="BK1600" t="s">
        <v>2365</v>
      </c>
      <c r="BL1600" t="s">
        <v>2365</v>
      </c>
      <c r="BM1600" t="s">
        <v>2365</v>
      </c>
      <c r="BO1600">
        <v>3</v>
      </c>
      <c r="BP1600">
        <v>31</v>
      </c>
      <c r="BQ1600" t="s">
        <v>2716</v>
      </c>
      <c r="BR1600" t="s">
        <v>1485</v>
      </c>
      <c r="BU1600">
        <v>72715</v>
      </c>
      <c r="BV1600">
        <v>0</v>
      </c>
      <c r="BW1600">
        <v>72715</v>
      </c>
      <c r="BX1600">
        <v>0</v>
      </c>
      <c r="BY1600">
        <v>72715</v>
      </c>
      <c r="BZ1600">
        <v>75624</v>
      </c>
      <c r="CA1600">
        <v>78649</v>
      </c>
      <c r="CB1600">
        <v>0</v>
      </c>
      <c r="CC1600">
        <v>0</v>
      </c>
      <c r="CD1600">
        <v>0</v>
      </c>
      <c r="CE1600">
        <v>0</v>
      </c>
      <c r="CF1600">
        <v>0</v>
      </c>
      <c r="CG1600">
        <v>0</v>
      </c>
      <c r="CH1600">
        <v>0</v>
      </c>
      <c r="CI1600">
        <v>0</v>
      </c>
      <c r="CJ1600">
        <v>0</v>
      </c>
      <c r="CK1600">
        <v>0</v>
      </c>
      <c r="CL1600">
        <v>0</v>
      </c>
      <c r="CM1600">
        <v>0</v>
      </c>
      <c r="CR1600" t="s">
        <v>2332</v>
      </c>
      <c r="CS1600" s="1369" t="str">
        <f>INDEX([8]Sheet1!$H:$H,MATCH(CR:CR,[8]Sheet1!$AU:$AU,0))</f>
        <v>Water Storage</v>
      </c>
    </row>
    <row r="1601" spans="1:97" x14ac:dyDescent="0.2">
      <c r="A1601" t="s">
        <v>4693</v>
      </c>
      <c r="B1601">
        <v>1691</v>
      </c>
      <c r="C1601" t="s">
        <v>4693</v>
      </c>
      <c r="D1601">
        <v>54564</v>
      </c>
      <c r="E1601" t="s">
        <v>3264</v>
      </c>
      <c r="F1601">
        <v>2900</v>
      </c>
      <c r="G1601" t="s">
        <v>569</v>
      </c>
      <c r="H1601" t="s">
        <v>2366</v>
      </c>
      <c r="I1601" t="s">
        <v>2366</v>
      </c>
      <c r="J1601">
        <v>2904</v>
      </c>
      <c r="K1601" t="s">
        <v>1432</v>
      </c>
      <c r="L1601">
        <v>3200</v>
      </c>
      <c r="M1601" t="s">
        <v>625</v>
      </c>
      <c r="N1601">
        <v>3205</v>
      </c>
      <c r="O1601" t="s">
        <v>1002</v>
      </c>
      <c r="P1601" t="s">
        <v>2366</v>
      </c>
      <c r="Q1601" t="s">
        <v>2364</v>
      </c>
      <c r="R1601" t="s">
        <v>2364</v>
      </c>
      <c r="S1601" t="s">
        <v>1881</v>
      </c>
      <c r="T1601" t="s">
        <v>1812</v>
      </c>
      <c r="U1601" t="s">
        <v>2365</v>
      </c>
      <c r="V1601" t="s">
        <v>2365</v>
      </c>
      <c r="W1601" t="s">
        <v>2365</v>
      </c>
      <c r="X1601" t="s">
        <v>2365</v>
      </c>
      <c r="Y1601" t="s">
        <v>2365</v>
      </c>
      <c r="Z1601" t="s">
        <v>2365</v>
      </c>
      <c r="AA1601" t="s">
        <v>2365</v>
      </c>
      <c r="AB1601" t="s">
        <v>2365</v>
      </c>
      <c r="AC1601" s="813" t="s">
        <v>2365</v>
      </c>
      <c r="AD1601" s="813" t="s">
        <v>2365</v>
      </c>
      <c r="AE1601" s="813" t="s">
        <v>2365</v>
      </c>
      <c r="AF1601" t="s">
        <v>2365</v>
      </c>
      <c r="AG1601" t="s">
        <v>2365</v>
      </c>
      <c r="AH1601" t="s">
        <v>2365</v>
      </c>
      <c r="AI1601" t="s">
        <v>2365</v>
      </c>
      <c r="AJ1601" t="s">
        <v>2365</v>
      </c>
      <c r="AK1601" t="s">
        <v>2365</v>
      </c>
      <c r="AL1601" t="s">
        <v>2365</v>
      </c>
      <c r="AM1601" t="s">
        <v>2365</v>
      </c>
      <c r="AN1601" t="s">
        <v>2365</v>
      </c>
      <c r="AR1601" t="s">
        <v>2365</v>
      </c>
      <c r="AS1601" t="s">
        <v>2365</v>
      </c>
      <c r="AT1601" t="s">
        <v>2365</v>
      </c>
      <c r="AU1601" t="s">
        <v>2365</v>
      </c>
      <c r="AV1601" t="s">
        <v>2365</v>
      </c>
      <c r="AW1601" t="s">
        <v>2365</v>
      </c>
      <c r="AX1601" t="s">
        <v>2365</v>
      </c>
      <c r="AY1601" t="s">
        <v>2365</v>
      </c>
      <c r="AZ1601" t="s">
        <v>2365</v>
      </c>
      <c r="BA1601" t="s">
        <v>2365</v>
      </c>
      <c r="BB1601" t="s">
        <v>2365</v>
      </c>
      <c r="BC1601" t="s">
        <v>2365</v>
      </c>
      <c r="BD1601" t="s">
        <v>2366</v>
      </c>
      <c r="BE1601" t="s">
        <v>2365</v>
      </c>
      <c r="BF1601" t="s">
        <v>2365</v>
      </c>
      <c r="BG1601" t="s">
        <v>2365</v>
      </c>
      <c r="BH1601" t="s">
        <v>2365</v>
      </c>
      <c r="BI1601" t="s">
        <v>2366</v>
      </c>
      <c r="BJ1601" t="s">
        <v>2365</v>
      </c>
      <c r="BK1601" t="s">
        <v>2365</v>
      </c>
      <c r="BL1601" t="s">
        <v>2365</v>
      </c>
      <c r="BM1601" t="s">
        <v>2365</v>
      </c>
      <c r="BO1601">
        <v>7</v>
      </c>
      <c r="BP1601">
        <v>71</v>
      </c>
      <c r="BQ1601" t="s">
        <v>2665</v>
      </c>
      <c r="BR1601" t="s">
        <v>1002</v>
      </c>
      <c r="BU1601">
        <v>100000</v>
      </c>
      <c r="BV1601">
        <v>0</v>
      </c>
      <c r="BW1601">
        <v>100000</v>
      </c>
      <c r="BX1601">
        <v>-100000</v>
      </c>
      <c r="BY1601">
        <v>0</v>
      </c>
      <c r="BZ1601">
        <v>110000</v>
      </c>
      <c r="CA1601">
        <v>121000</v>
      </c>
      <c r="CB1601">
        <v>0</v>
      </c>
      <c r="CC1601">
        <v>0</v>
      </c>
      <c r="CD1601">
        <v>0</v>
      </c>
      <c r="CE1601">
        <v>0</v>
      </c>
      <c r="CF1601">
        <v>0</v>
      </c>
      <c r="CG1601">
        <v>0</v>
      </c>
      <c r="CH1601">
        <v>0</v>
      </c>
      <c r="CI1601">
        <v>0</v>
      </c>
      <c r="CJ1601">
        <v>0</v>
      </c>
      <c r="CK1601">
        <v>0</v>
      </c>
      <c r="CL1601">
        <v>0</v>
      </c>
      <c r="CM1601">
        <v>0</v>
      </c>
      <c r="CR1601" t="s">
        <v>2332</v>
      </c>
      <c r="CS1601" s="1369" t="str">
        <f>INDEX([8]Sheet1!$H:$H,MATCH(CR:CR,[8]Sheet1!$AU:$AU,0))</f>
        <v>Water Storage</v>
      </c>
    </row>
    <row r="1602" spans="1:97" x14ac:dyDescent="0.2">
      <c r="A1602" t="s">
        <v>4694</v>
      </c>
      <c r="B1602">
        <v>1692</v>
      </c>
      <c r="C1602" t="s">
        <v>4694</v>
      </c>
      <c r="D1602">
        <v>54491</v>
      </c>
      <c r="E1602" t="s">
        <v>2430</v>
      </c>
      <c r="F1602">
        <v>2700</v>
      </c>
      <c r="G1602" t="s">
        <v>656</v>
      </c>
      <c r="H1602" t="s">
        <v>2428</v>
      </c>
      <c r="I1602" t="s">
        <v>1800</v>
      </c>
      <c r="J1602">
        <v>2701</v>
      </c>
      <c r="K1602" t="s">
        <v>1800</v>
      </c>
      <c r="L1602">
        <v>2100</v>
      </c>
      <c r="M1602" t="s">
        <v>618</v>
      </c>
      <c r="N1602">
        <v>2110</v>
      </c>
      <c r="O1602" t="s">
        <v>1293</v>
      </c>
      <c r="P1602" t="s">
        <v>2366</v>
      </c>
      <c r="Q1602" t="s">
        <v>2364</v>
      </c>
      <c r="R1602" t="s">
        <v>2364</v>
      </c>
      <c r="S1602" t="s">
        <v>1881</v>
      </c>
      <c r="T1602" t="s">
        <v>1812</v>
      </c>
      <c r="U1602" t="s">
        <v>2365</v>
      </c>
      <c r="V1602" t="s">
        <v>2365</v>
      </c>
      <c r="W1602" t="s">
        <v>2365</v>
      </c>
      <c r="X1602" t="s">
        <v>2365</v>
      </c>
      <c r="Y1602" t="s">
        <v>2365</v>
      </c>
      <c r="Z1602" t="s">
        <v>2365</v>
      </c>
      <c r="AA1602" t="s">
        <v>2365</v>
      </c>
      <c r="AB1602" t="s">
        <v>2365</v>
      </c>
      <c r="AC1602" s="813" t="s">
        <v>2365</v>
      </c>
      <c r="AD1602" s="813" t="s">
        <v>2365</v>
      </c>
      <c r="AE1602" s="813" t="s">
        <v>2365</v>
      </c>
      <c r="AF1602" t="s">
        <v>2365</v>
      </c>
      <c r="AG1602" t="s">
        <v>2365</v>
      </c>
      <c r="AH1602" t="s">
        <v>2365</v>
      </c>
      <c r="AI1602" t="s">
        <v>2365</v>
      </c>
      <c r="AJ1602" t="s">
        <v>2365</v>
      </c>
      <c r="AK1602" t="s">
        <v>2365</v>
      </c>
      <c r="AL1602" t="s">
        <v>2365</v>
      </c>
      <c r="AM1602" t="s">
        <v>2365</v>
      </c>
      <c r="AN1602" t="s">
        <v>2365</v>
      </c>
      <c r="AR1602" t="s">
        <v>2365</v>
      </c>
      <c r="AS1602" t="s">
        <v>2365</v>
      </c>
      <c r="AT1602" t="s">
        <v>2365</v>
      </c>
      <c r="AU1602" t="s">
        <v>2365</v>
      </c>
      <c r="AV1602" t="s">
        <v>2365</v>
      </c>
      <c r="AW1602" t="s">
        <v>2365</v>
      </c>
      <c r="AX1602" t="s">
        <v>2365</v>
      </c>
      <c r="AY1602" t="s">
        <v>2365</v>
      </c>
      <c r="AZ1602" t="s">
        <v>2365</v>
      </c>
      <c r="BA1602" t="s">
        <v>2365</v>
      </c>
      <c r="BB1602" t="s">
        <v>2365</v>
      </c>
      <c r="BC1602" t="s">
        <v>2365</v>
      </c>
      <c r="BD1602" t="s">
        <v>2366</v>
      </c>
      <c r="BE1602" t="s">
        <v>2365</v>
      </c>
      <c r="BF1602" t="s">
        <v>2365</v>
      </c>
      <c r="BG1602" t="s">
        <v>2365</v>
      </c>
      <c r="BH1602" t="s">
        <v>2365</v>
      </c>
      <c r="BI1602" t="s">
        <v>2366</v>
      </c>
      <c r="BJ1602" t="s">
        <v>2365</v>
      </c>
      <c r="BK1602" t="s">
        <v>2365</v>
      </c>
      <c r="BL1602" t="s">
        <v>2365</v>
      </c>
      <c r="BM1602" t="s">
        <v>2365</v>
      </c>
      <c r="BO1602">
        <v>5</v>
      </c>
      <c r="BP1602">
        <v>52</v>
      </c>
      <c r="BQ1602" t="s">
        <v>2438</v>
      </c>
      <c r="BR1602" t="s">
        <v>1293</v>
      </c>
      <c r="BU1602">
        <v>50000</v>
      </c>
      <c r="BV1602">
        <v>0</v>
      </c>
      <c r="BW1602">
        <v>50000</v>
      </c>
      <c r="BX1602">
        <v>-50000</v>
      </c>
      <c r="BY1602">
        <v>0</v>
      </c>
      <c r="BZ1602">
        <v>53000</v>
      </c>
      <c r="CA1602">
        <v>56180</v>
      </c>
      <c r="CB1602">
        <v>0</v>
      </c>
      <c r="CC1602">
        <v>0</v>
      </c>
      <c r="CD1602">
        <v>0</v>
      </c>
      <c r="CE1602">
        <v>0</v>
      </c>
      <c r="CF1602">
        <v>0</v>
      </c>
      <c r="CG1602">
        <v>0</v>
      </c>
      <c r="CH1602">
        <v>0</v>
      </c>
      <c r="CI1602">
        <v>0</v>
      </c>
      <c r="CJ1602">
        <v>0</v>
      </c>
      <c r="CK1602">
        <v>0</v>
      </c>
      <c r="CL1602">
        <v>0</v>
      </c>
      <c r="CM1602">
        <v>0</v>
      </c>
      <c r="CR1602" t="s">
        <v>2328</v>
      </c>
      <c r="CS1602" s="1369" t="str">
        <f>INDEX([8]Sheet1!$H:$H,MATCH(CR:CR,[8]Sheet1!$AU:$AU,0))</f>
        <v>Water Distribution</v>
      </c>
    </row>
    <row r="1603" spans="1:97" x14ac:dyDescent="0.2">
      <c r="A1603" t="s">
        <v>4695</v>
      </c>
      <c r="B1603">
        <v>1693</v>
      </c>
      <c r="C1603" t="s">
        <v>4695</v>
      </c>
      <c r="D1603">
        <v>54569</v>
      </c>
      <c r="E1603" t="s">
        <v>3264</v>
      </c>
      <c r="F1603">
        <v>2900</v>
      </c>
      <c r="G1603" t="s">
        <v>569</v>
      </c>
      <c r="H1603" t="s">
        <v>2366</v>
      </c>
      <c r="I1603" t="s">
        <v>2366</v>
      </c>
      <c r="J1603">
        <v>2904</v>
      </c>
      <c r="K1603" t="s">
        <v>1432</v>
      </c>
      <c r="L1603">
        <v>1200</v>
      </c>
      <c r="M1603" t="s">
        <v>1480</v>
      </c>
      <c r="N1603">
        <v>1206</v>
      </c>
      <c r="O1603" t="s">
        <v>996</v>
      </c>
      <c r="P1603" t="s">
        <v>2366</v>
      </c>
      <c r="Q1603" t="s">
        <v>2364</v>
      </c>
      <c r="R1603" t="s">
        <v>2364</v>
      </c>
      <c r="S1603" t="s">
        <v>1881</v>
      </c>
      <c r="T1603" t="s">
        <v>1812</v>
      </c>
      <c r="U1603" t="s">
        <v>2365</v>
      </c>
      <c r="V1603" t="s">
        <v>2365</v>
      </c>
      <c r="W1603" t="s">
        <v>2365</v>
      </c>
      <c r="X1603" t="s">
        <v>2365</v>
      </c>
      <c r="Y1603" t="s">
        <v>2365</v>
      </c>
      <c r="Z1603" t="s">
        <v>2365</v>
      </c>
      <c r="AA1603" t="s">
        <v>2365</v>
      </c>
      <c r="AB1603" t="s">
        <v>2365</v>
      </c>
      <c r="AC1603" s="813" t="s">
        <v>2365</v>
      </c>
      <c r="AD1603" s="813" t="s">
        <v>2365</v>
      </c>
      <c r="AE1603" s="813" t="s">
        <v>2365</v>
      </c>
      <c r="AF1603" t="s">
        <v>2365</v>
      </c>
      <c r="AG1603" t="s">
        <v>2365</v>
      </c>
      <c r="AH1603" t="s">
        <v>2365</v>
      </c>
      <c r="AI1603" t="s">
        <v>2365</v>
      </c>
      <c r="AJ1603" t="s">
        <v>2365</v>
      </c>
      <c r="AK1603" t="s">
        <v>2365</v>
      </c>
      <c r="AL1603" t="s">
        <v>2365</v>
      </c>
      <c r="AM1603" t="s">
        <v>2365</v>
      </c>
      <c r="AN1603" t="s">
        <v>2365</v>
      </c>
      <c r="AR1603" t="s">
        <v>2365</v>
      </c>
      <c r="AS1603" t="s">
        <v>2365</v>
      </c>
      <c r="AT1603" t="s">
        <v>2365</v>
      </c>
      <c r="AU1603" t="s">
        <v>2365</v>
      </c>
      <c r="AV1603" t="s">
        <v>2365</v>
      </c>
      <c r="AW1603" t="s">
        <v>2365</v>
      </c>
      <c r="AX1603" t="s">
        <v>2365</v>
      </c>
      <c r="AY1603" t="s">
        <v>2365</v>
      </c>
      <c r="AZ1603" t="s">
        <v>2365</v>
      </c>
      <c r="BA1603" t="s">
        <v>2365</v>
      </c>
      <c r="BB1603" t="s">
        <v>2365</v>
      </c>
      <c r="BC1603" t="s">
        <v>2365</v>
      </c>
      <c r="BD1603" t="s">
        <v>2366</v>
      </c>
      <c r="BE1603" t="s">
        <v>2365</v>
      </c>
      <c r="BF1603" t="s">
        <v>2365</v>
      </c>
      <c r="BG1603" t="s">
        <v>2365</v>
      </c>
      <c r="BH1603" t="s">
        <v>2365</v>
      </c>
      <c r="BI1603" t="s">
        <v>2366</v>
      </c>
      <c r="BJ1603" t="s">
        <v>2365</v>
      </c>
      <c r="BK1603" t="s">
        <v>2365</v>
      </c>
      <c r="BL1603" t="s">
        <v>2365</v>
      </c>
      <c r="BM1603" t="s">
        <v>2365</v>
      </c>
      <c r="BO1603">
        <v>1</v>
      </c>
      <c r="BP1603">
        <v>15</v>
      </c>
      <c r="BQ1603" t="s">
        <v>2369</v>
      </c>
      <c r="BR1603" t="s">
        <v>996</v>
      </c>
      <c r="BU1603">
        <v>304190</v>
      </c>
      <c r="BV1603">
        <v>0</v>
      </c>
      <c r="BW1603">
        <v>304190</v>
      </c>
      <c r="BX1603">
        <v>0</v>
      </c>
      <c r="BY1603">
        <v>304190</v>
      </c>
      <c r="BZ1603">
        <v>322441</v>
      </c>
      <c r="CA1603">
        <v>341788</v>
      </c>
      <c r="CB1603">
        <v>0</v>
      </c>
      <c r="CC1603">
        <v>0</v>
      </c>
      <c r="CD1603">
        <v>0</v>
      </c>
      <c r="CE1603">
        <v>0</v>
      </c>
      <c r="CF1603">
        <v>0</v>
      </c>
      <c r="CG1603">
        <v>0</v>
      </c>
      <c r="CH1603">
        <v>0</v>
      </c>
      <c r="CI1603">
        <v>0</v>
      </c>
      <c r="CJ1603">
        <v>0</v>
      </c>
      <c r="CK1603">
        <v>0</v>
      </c>
      <c r="CL1603">
        <v>0</v>
      </c>
      <c r="CM1603">
        <v>0</v>
      </c>
      <c r="CR1603" t="s">
        <v>2328</v>
      </c>
      <c r="CS1603" s="1369" t="str">
        <f>INDEX([8]Sheet1!$H:$H,MATCH(CR:CR,[8]Sheet1!$AU:$AU,0))</f>
        <v>Water Distribution</v>
      </c>
    </row>
    <row r="1604" spans="1:97" x14ac:dyDescent="0.2">
      <c r="A1604" t="s">
        <v>4696</v>
      </c>
      <c r="B1604">
        <v>1694</v>
      </c>
      <c r="C1604" t="s">
        <v>4696</v>
      </c>
      <c r="D1604">
        <v>54570</v>
      </c>
      <c r="E1604" t="s">
        <v>2468</v>
      </c>
      <c r="F1604">
        <v>2600</v>
      </c>
      <c r="G1604" t="s">
        <v>655</v>
      </c>
      <c r="H1604">
        <v>2600</v>
      </c>
      <c r="I1604" t="s">
        <v>655</v>
      </c>
      <c r="J1604" t="s">
        <v>2365</v>
      </c>
      <c r="K1604" t="s">
        <v>2365</v>
      </c>
      <c r="L1604">
        <v>5000</v>
      </c>
      <c r="M1604" t="s">
        <v>632</v>
      </c>
      <c r="N1604">
        <v>5004</v>
      </c>
      <c r="O1604" t="s">
        <v>1560</v>
      </c>
      <c r="P1604" t="s">
        <v>2366</v>
      </c>
      <c r="Q1604" t="s">
        <v>2364</v>
      </c>
      <c r="R1604" t="s">
        <v>2364</v>
      </c>
      <c r="S1604" t="s">
        <v>1881</v>
      </c>
      <c r="T1604" t="s">
        <v>1812</v>
      </c>
      <c r="U1604" t="s">
        <v>2365</v>
      </c>
      <c r="V1604" t="s">
        <v>2365</v>
      </c>
      <c r="W1604" t="s">
        <v>2365</v>
      </c>
      <c r="X1604" t="s">
        <v>2365</v>
      </c>
      <c r="Y1604" t="s">
        <v>2365</v>
      </c>
      <c r="Z1604" t="s">
        <v>2365</v>
      </c>
      <c r="AA1604" t="s">
        <v>2365</v>
      </c>
      <c r="AB1604" t="s">
        <v>2365</v>
      </c>
      <c r="AC1604" s="813" t="s">
        <v>2365</v>
      </c>
      <c r="AD1604" s="813" t="s">
        <v>2365</v>
      </c>
      <c r="AE1604" s="813" t="s">
        <v>2365</v>
      </c>
      <c r="AF1604" t="s">
        <v>2365</v>
      </c>
      <c r="AG1604" t="s">
        <v>2365</v>
      </c>
      <c r="AH1604" t="s">
        <v>2365</v>
      </c>
      <c r="AI1604" t="s">
        <v>2365</v>
      </c>
      <c r="AJ1604" t="s">
        <v>2365</v>
      </c>
      <c r="AK1604" t="s">
        <v>2365</v>
      </c>
      <c r="AL1604" t="s">
        <v>2365</v>
      </c>
      <c r="AM1604" t="s">
        <v>2365</v>
      </c>
      <c r="AN1604" t="s">
        <v>2365</v>
      </c>
      <c r="AR1604" t="s">
        <v>2365</v>
      </c>
      <c r="AS1604" t="s">
        <v>2365</v>
      </c>
      <c r="AT1604" t="s">
        <v>2365</v>
      </c>
      <c r="AU1604" t="s">
        <v>2365</v>
      </c>
      <c r="AV1604" t="s">
        <v>2365</v>
      </c>
      <c r="AW1604" t="s">
        <v>2365</v>
      </c>
      <c r="AX1604" t="s">
        <v>2365</v>
      </c>
      <c r="AY1604" t="s">
        <v>2365</v>
      </c>
      <c r="AZ1604" t="s">
        <v>2365</v>
      </c>
      <c r="BA1604" t="s">
        <v>2365</v>
      </c>
      <c r="BB1604" t="s">
        <v>2365</v>
      </c>
      <c r="BC1604" t="s">
        <v>2365</v>
      </c>
      <c r="BD1604" t="s">
        <v>2366</v>
      </c>
      <c r="BE1604" t="s">
        <v>2365</v>
      </c>
      <c r="BF1604" t="s">
        <v>2365</v>
      </c>
      <c r="BG1604" t="s">
        <v>2365</v>
      </c>
      <c r="BH1604" t="s">
        <v>2365</v>
      </c>
      <c r="BI1604" t="s">
        <v>2366</v>
      </c>
      <c r="BJ1604" t="s">
        <v>2365</v>
      </c>
      <c r="BK1604" t="s">
        <v>2365</v>
      </c>
      <c r="BL1604" t="s">
        <v>2365</v>
      </c>
      <c r="BM1604" t="s">
        <v>2365</v>
      </c>
      <c r="BO1604">
        <v>11</v>
      </c>
      <c r="BP1604">
        <v>111</v>
      </c>
      <c r="BQ1604" t="s">
        <v>632</v>
      </c>
      <c r="BR1604" t="s">
        <v>1560</v>
      </c>
      <c r="BU1604">
        <v>0</v>
      </c>
      <c r="BV1604">
        <v>0</v>
      </c>
      <c r="BW1604">
        <v>0</v>
      </c>
      <c r="BX1604">
        <v>0</v>
      </c>
      <c r="BY1604">
        <v>0</v>
      </c>
      <c r="BZ1604">
        <v>0</v>
      </c>
      <c r="CA1604">
        <v>0</v>
      </c>
      <c r="CB1604">
        <v>0</v>
      </c>
      <c r="CC1604">
        <v>189.9</v>
      </c>
      <c r="CD1604">
        <v>0</v>
      </c>
      <c r="CE1604">
        <v>0</v>
      </c>
      <c r="CF1604">
        <v>0</v>
      </c>
      <c r="CG1604">
        <v>0</v>
      </c>
      <c r="CH1604">
        <v>0</v>
      </c>
      <c r="CI1604">
        <v>0</v>
      </c>
      <c r="CJ1604">
        <v>0</v>
      </c>
      <c r="CK1604">
        <v>0</v>
      </c>
      <c r="CL1604">
        <v>0</v>
      </c>
      <c r="CM1604">
        <v>0</v>
      </c>
      <c r="CR1604" t="s">
        <v>2330</v>
      </c>
      <c r="CS1604" s="1369" t="str">
        <f>INDEX([8]Sheet1!$H:$H,MATCH(CR:CR,[8]Sheet1!$AU:$AU,0))</f>
        <v>Water Treatment</v>
      </c>
    </row>
    <row r="1605" spans="1:97" x14ac:dyDescent="0.2">
      <c r="A1605" t="s">
        <v>4697</v>
      </c>
      <c r="B1605">
        <v>1695</v>
      </c>
      <c r="C1605" t="s">
        <v>4697</v>
      </c>
      <c r="D1605">
        <v>54571</v>
      </c>
      <c r="E1605" t="s">
        <v>3232</v>
      </c>
      <c r="F1605">
        <v>2900</v>
      </c>
      <c r="G1605" t="s">
        <v>569</v>
      </c>
      <c r="H1605" t="s">
        <v>2366</v>
      </c>
      <c r="I1605" t="s">
        <v>2366</v>
      </c>
      <c r="J1605">
        <v>2904</v>
      </c>
      <c r="K1605" t="s">
        <v>1432</v>
      </c>
      <c r="L1605">
        <v>1200</v>
      </c>
      <c r="M1605" t="s">
        <v>1480</v>
      </c>
      <c r="N1605">
        <v>1207</v>
      </c>
      <c r="O1605" t="s">
        <v>997</v>
      </c>
      <c r="P1605" t="s">
        <v>2366</v>
      </c>
      <c r="Q1605" t="s">
        <v>2364</v>
      </c>
      <c r="R1605" t="s">
        <v>2364</v>
      </c>
      <c r="S1605" t="s">
        <v>1881</v>
      </c>
      <c r="T1605" t="s">
        <v>1812</v>
      </c>
      <c r="U1605" t="s">
        <v>2365</v>
      </c>
      <c r="V1605" t="s">
        <v>2365</v>
      </c>
      <c r="W1605" t="s">
        <v>2365</v>
      </c>
      <c r="X1605" t="s">
        <v>2365</v>
      </c>
      <c r="Y1605" t="s">
        <v>2365</v>
      </c>
      <c r="Z1605" t="s">
        <v>2365</v>
      </c>
      <c r="AA1605" t="s">
        <v>2365</v>
      </c>
      <c r="AB1605" t="s">
        <v>2365</v>
      </c>
      <c r="AC1605" s="813" t="s">
        <v>2365</v>
      </c>
      <c r="AD1605" s="813" t="s">
        <v>2365</v>
      </c>
      <c r="AE1605" s="813" t="s">
        <v>2365</v>
      </c>
      <c r="AF1605" t="s">
        <v>2365</v>
      </c>
      <c r="AG1605" t="s">
        <v>2365</v>
      </c>
      <c r="AH1605" t="s">
        <v>2365</v>
      </c>
      <c r="AI1605" t="s">
        <v>2365</v>
      </c>
      <c r="AJ1605" t="s">
        <v>2365</v>
      </c>
      <c r="AK1605" t="s">
        <v>2365</v>
      </c>
      <c r="AL1605" t="s">
        <v>2365</v>
      </c>
      <c r="AM1605" t="s">
        <v>2365</v>
      </c>
      <c r="AN1605" t="s">
        <v>2365</v>
      </c>
      <c r="AR1605" t="s">
        <v>2365</v>
      </c>
      <c r="AS1605" t="s">
        <v>2365</v>
      </c>
      <c r="AT1605" t="s">
        <v>2365</v>
      </c>
      <c r="AU1605" t="s">
        <v>2365</v>
      </c>
      <c r="AV1605" t="s">
        <v>2365</v>
      </c>
      <c r="AW1605" t="s">
        <v>2365</v>
      </c>
      <c r="AX1605" t="s">
        <v>2365</v>
      </c>
      <c r="AY1605" t="s">
        <v>2365</v>
      </c>
      <c r="AZ1605" t="s">
        <v>2365</v>
      </c>
      <c r="BA1605" t="s">
        <v>2365</v>
      </c>
      <c r="BB1605" t="s">
        <v>2365</v>
      </c>
      <c r="BC1605" t="s">
        <v>2365</v>
      </c>
      <c r="BD1605" t="s">
        <v>2366</v>
      </c>
      <c r="BE1605" t="s">
        <v>2365</v>
      </c>
      <c r="BF1605" t="s">
        <v>2365</v>
      </c>
      <c r="BG1605" t="s">
        <v>2365</v>
      </c>
      <c r="BH1605" t="s">
        <v>2365</v>
      </c>
      <c r="BI1605" t="s">
        <v>2366</v>
      </c>
      <c r="BJ1605" t="s">
        <v>2365</v>
      </c>
      <c r="BK1605" t="s">
        <v>2365</v>
      </c>
      <c r="BL1605" t="s">
        <v>2365</v>
      </c>
      <c r="BM1605" t="s">
        <v>2365</v>
      </c>
      <c r="BO1605">
        <v>1</v>
      </c>
      <c r="BP1605">
        <v>18</v>
      </c>
      <c r="BQ1605" t="s">
        <v>2369</v>
      </c>
      <c r="BR1605" t="s">
        <v>997</v>
      </c>
      <c r="BU1605">
        <v>50000</v>
      </c>
      <c r="BV1605">
        <v>0</v>
      </c>
      <c r="BW1605">
        <v>50000</v>
      </c>
      <c r="BX1605">
        <v>-50000</v>
      </c>
      <c r="BY1605">
        <v>0</v>
      </c>
      <c r="BZ1605">
        <v>53000</v>
      </c>
      <c r="CA1605">
        <v>56180</v>
      </c>
      <c r="CB1605">
        <v>0</v>
      </c>
      <c r="CC1605">
        <v>0</v>
      </c>
      <c r="CD1605">
        <v>0</v>
      </c>
      <c r="CE1605">
        <v>0</v>
      </c>
      <c r="CF1605">
        <v>0</v>
      </c>
      <c r="CG1605">
        <v>0</v>
      </c>
      <c r="CH1605">
        <v>0</v>
      </c>
      <c r="CI1605">
        <v>11576</v>
      </c>
      <c r="CJ1605">
        <v>0</v>
      </c>
      <c r="CK1605">
        <v>0</v>
      </c>
      <c r="CL1605">
        <v>0</v>
      </c>
      <c r="CM1605">
        <v>0</v>
      </c>
      <c r="CR1605" t="s">
        <v>2331</v>
      </c>
      <c r="CS1605" s="1369" t="str">
        <f>INDEX([8]Sheet1!$H:$H,MATCH(CR:CR,[8]Sheet1!$AU:$AU,0))</f>
        <v>Waste Water Treatment</v>
      </c>
    </row>
    <row r="1606" spans="1:97" x14ac:dyDescent="0.2">
      <c r="A1606" t="s">
        <v>4698</v>
      </c>
      <c r="B1606">
        <v>1696</v>
      </c>
      <c r="C1606" t="s">
        <v>4698</v>
      </c>
      <c r="D1606">
        <v>54602</v>
      </c>
      <c r="E1606" t="s">
        <v>4699</v>
      </c>
      <c r="F1606">
        <v>2700</v>
      </c>
      <c r="G1606" t="s">
        <v>656</v>
      </c>
      <c r="H1606" t="s">
        <v>2478</v>
      </c>
      <c r="I1606" t="s">
        <v>1802</v>
      </c>
      <c r="J1606">
        <v>2703</v>
      </c>
      <c r="K1606" t="s">
        <v>1802</v>
      </c>
      <c r="L1606">
        <v>1200</v>
      </c>
      <c r="M1606" t="s">
        <v>1480</v>
      </c>
      <c r="N1606">
        <v>1206</v>
      </c>
      <c r="O1606" t="s">
        <v>996</v>
      </c>
      <c r="P1606" t="s">
        <v>2366</v>
      </c>
      <c r="Q1606" t="s">
        <v>2364</v>
      </c>
      <c r="R1606" t="s">
        <v>2364</v>
      </c>
      <c r="S1606" t="s">
        <v>1881</v>
      </c>
      <c r="T1606" t="s">
        <v>1812</v>
      </c>
      <c r="U1606" t="s">
        <v>2365</v>
      </c>
      <c r="V1606" t="s">
        <v>2365</v>
      </c>
      <c r="W1606" t="s">
        <v>2365</v>
      </c>
      <c r="X1606" t="s">
        <v>2365</v>
      </c>
      <c r="Y1606" t="s">
        <v>2365</v>
      </c>
      <c r="Z1606" t="s">
        <v>2365</v>
      </c>
      <c r="AA1606" t="s">
        <v>2365</v>
      </c>
      <c r="AB1606" t="s">
        <v>2365</v>
      </c>
      <c r="AC1606" s="813" t="s">
        <v>2365</v>
      </c>
      <c r="AD1606" s="813" t="s">
        <v>2365</v>
      </c>
      <c r="AE1606" s="813" t="s">
        <v>2365</v>
      </c>
      <c r="AF1606" t="s">
        <v>2365</v>
      </c>
      <c r="AG1606" t="s">
        <v>2365</v>
      </c>
      <c r="AH1606" t="s">
        <v>2365</v>
      </c>
      <c r="AI1606" t="s">
        <v>2365</v>
      </c>
      <c r="AJ1606" t="s">
        <v>2365</v>
      </c>
      <c r="AK1606" t="s">
        <v>2365</v>
      </c>
      <c r="AL1606" t="s">
        <v>2365</v>
      </c>
      <c r="AM1606" t="s">
        <v>2365</v>
      </c>
      <c r="AN1606" t="s">
        <v>2365</v>
      </c>
      <c r="AR1606" t="s">
        <v>2365</v>
      </c>
      <c r="AS1606" t="s">
        <v>2365</v>
      </c>
      <c r="AT1606" t="s">
        <v>2365</v>
      </c>
      <c r="AU1606" t="s">
        <v>2365</v>
      </c>
      <c r="AV1606" t="s">
        <v>2365</v>
      </c>
      <c r="AW1606" t="s">
        <v>2365</v>
      </c>
      <c r="AX1606" t="s">
        <v>2365</v>
      </c>
      <c r="AY1606" t="s">
        <v>2365</v>
      </c>
      <c r="AZ1606">
        <v>1200</v>
      </c>
      <c r="BA1606" t="s">
        <v>1652</v>
      </c>
      <c r="BB1606">
        <v>1200</v>
      </c>
      <c r="BC1606" t="s">
        <v>1652</v>
      </c>
      <c r="BD1606" t="s">
        <v>2366</v>
      </c>
      <c r="BE1606" t="s">
        <v>2365</v>
      </c>
      <c r="BF1606" t="s">
        <v>2365</v>
      </c>
      <c r="BG1606" t="s">
        <v>2365</v>
      </c>
      <c r="BH1606" t="s">
        <v>2365</v>
      </c>
      <c r="BI1606" t="s">
        <v>2366</v>
      </c>
      <c r="BJ1606" t="s">
        <v>2365</v>
      </c>
      <c r="BK1606" t="s">
        <v>2365</v>
      </c>
      <c r="BL1606" t="s">
        <v>2365</v>
      </c>
      <c r="BM1606" t="s">
        <v>2365</v>
      </c>
      <c r="BO1606">
        <v>1</v>
      </c>
      <c r="BP1606">
        <v>15</v>
      </c>
      <c r="BQ1606" t="s">
        <v>2369</v>
      </c>
      <c r="BR1606" t="s">
        <v>996</v>
      </c>
      <c r="BU1606">
        <v>0</v>
      </c>
      <c r="BV1606">
        <v>0</v>
      </c>
      <c r="BW1606">
        <v>0</v>
      </c>
      <c r="BX1606">
        <v>0</v>
      </c>
      <c r="BY1606">
        <v>0</v>
      </c>
      <c r="BZ1606">
        <v>0</v>
      </c>
      <c r="CA1606">
        <v>0</v>
      </c>
      <c r="CB1606">
        <v>0</v>
      </c>
      <c r="CC1606">
        <v>0</v>
      </c>
      <c r="CD1606">
        <v>0</v>
      </c>
      <c r="CE1606">
        <v>0</v>
      </c>
      <c r="CF1606">
        <v>0</v>
      </c>
      <c r="CG1606">
        <v>0</v>
      </c>
      <c r="CH1606">
        <v>0</v>
      </c>
      <c r="CI1606">
        <v>0</v>
      </c>
      <c r="CJ1606">
        <v>0</v>
      </c>
      <c r="CK1606">
        <v>0</v>
      </c>
      <c r="CL1606">
        <v>0</v>
      </c>
      <c r="CM1606">
        <v>0</v>
      </c>
      <c r="CR1606" t="s">
        <v>2331</v>
      </c>
      <c r="CS1606" s="1369" t="str">
        <f>INDEX([8]Sheet1!$H:$H,MATCH(CR:CR,[8]Sheet1!$AU:$AU,0))</f>
        <v>Waste Water Treatment</v>
      </c>
    </row>
    <row r="1607" spans="1:97" x14ac:dyDescent="0.2">
      <c r="A1607" t="s">
        <v>4700</v>
      </c>
      <c r="B1607">
        <v>1697</v>
      </c>
      <c r="C1607" t="s">
        <v>4700</v>
      </c>
      <c r="D1607">
        <v>54603</v>
      </c>
      <c r="E1607" t="s">
        <v>3264</v>
      </c>
      <c r="F1607">
        <v>2900</v>
      </c>
      <c r="G1607" t="s">
        <v>569</v>
      </c>
      <c r="H1607" t="s">
        <v>2366</v>
      </c>
      <c r="I1607" t="s">
        <v>2366</v>
      </c>
      <c r="J1607">
        <v>2904</v>
      </c>
      <c r="K1607" t="s">
        <v>1432</v>
      </c>
      <c r="L1607">
        <v>2100</v>
      </c>
      <c r="M1607" t="s">
        <v>618</v>
      </c>
      <c r="N1607">
        <v>2106</v>
      </c>
      <c r="O1607" t="s">
        <v>1499</v>
      </c>
      <c r="P1607" t="s">
        <v>2366</v>
      </c>
      <c r="Q1607" t="s">
        <v>2364</v>
      </c>
      <c r="R1607" t="s">
        <v>2364</v>
      </c>
      <c r="S1607" t="s">
        <v>1881</v>
      </c>
      <c r="T1607" t="s">
        <v>1812</v>
      </c>
      <c r="U1607" t="s">
        <v>2365</v>
      </c>
      <c r="V1607" t="s">
        <v>2365</v>
      </c>
      <c r="W1607" t="s">
        <v>2365</v>
      </c>
      <c r="X1607" t="s">
        <v>2365</v>
      </c>
      <c r="Y1607" t="s">
        <v>2365</v>
      </c>
      <c r="Z1607" t="s">
        <v>2365</v>
      </c>
      <c r="AA1607" t="s">
        <v>2365</v>
      </c>
      <c r="AB1607" t="s">
        <v>2365</v>
      </c>
      <c r="AC1607" s="813" t="s">
        <v>2365</v>
      </c>
      <c r="AD1607" s="813" t="s">
        <v>2365</v>
      </c>
      <c r="AE1607" s="813" t="s">
        <v>2365</v>
      </c>
      <c r="AF1607" t="s">
        <v>2365</v>
      </c>
      <c r="AG1607" t="s">
        <v>2365</v>
      </c>
      <c r="AH1607" t="s">
        <v>2365</v>
      </c>
      <c r="AI1607" t="s">
        <v>2365</v>
      </c>
      <c r="AJ1607" t="s">
        <v>2365</v>
      </c>
      <c r="AK1607" t="s">
        <v>2365</v>
      </c>
      <c r="AL1607" t="s">
        <v>2365</v>
      </c>
      <c r="AM1607" t="s">
        <v>2365</v>
      </c>
      <c r="AN1607" t="s">
        <v>2365</v>
      </c>
      <c r="AR1607" t="s">
        <v>2365</v>
      </c>
      <c r="AS1607" t="s">
        <v>2365</v>
      </c>
      <c r="AT1607" t="s">
        <v>2365</v>
      </c>
      <c r="AU1607" t="s">
        <v>2365</v>
      </c>
      <c r="AV1607" t="s">
        <v>2365</v>
      </c>
      <c r="AW1607" t="s">
        <v>2365</v>
      </c>
      <c r="AX1607" t="s">
        <v>2365</v>
      </c>
      <c r="AY1607" t="s">
        <v>2365</v>
      </c>
      <c r="AZ1607" t="s">
        <v>2365</v>
      </c>
      <c r="BA1607" t="s">
        <v>2365</v>
      </c>
      <c r="BB1607" t="s">
        <v>2365</v>
      </c>
      <c r="BC1607" t="s">
        <v>2365</v>
      </c>
      <c r="BD1607" t="s">
        <v>2366</v>
      </c>
      <c r="BE1607" t="s">
        <v>2365</v>
      </c>
      <c r="BF1607" t="s">
        <v>2365</v>
      </c>
      <c r="BG1607" t="s">
        <v>2365</v>
      </c>
      <c r="BH1607" t="s">
        <v>2365</v>
      </c>
      <c r="BI1607" t="s">
        <v>2366</v>
      </c>
      <c r="BJ1607" t="s">
        <v>2365</v>
      </c>
      <c r="BK1607" t="s">
        <v>2365</v>
      </c>
      <c r="BL1607" t="s">
        <v>2365</v>
      </c>
      <c r="BM1607" t="s">
        <v>2365</v>
      </c>
      <c r="BO1607">
        <v>5</v>
      </c>
      <c r="BP1607">
        <v>53</v>
      </c>
      <c r="BQ1607" t="s">
        <v>2438</v>
      </c>
      <c r="BR1607" t="s">
        <v>1499</v>
      </c>
      <c r="BU1607">
        <v>0</v>
      </c>
      <c r="BV1607">
        <v>0</v>
      </c>
      <c r="BW1607">
        <v>0</v>
      </c>
      <c r="BX1607">
        <v>0</v>
      </c>
      <c r="BY1607">
        <v>0</v>
      </c>
      <c r="BZ1607">
        <v>0</v>
      </c>
      <c r="CA1607">
        <v>0</v>
      </c>
      <c r="CB1607">
        <v>0</v>
      </c>
      <c r="CC1607">
        <v>0</v>
      </c>
      <c r="CD1607">
        <v>0</v>
      </c>
      <c r="CE1607">
        <v>0</v>
      </c>
      <c r="CF1607">
        <v>0</v>
      </c>
      <c r="CG1607">
        <v>0</v>
      </c>
      <c r="CH1607">
        <v>0</v>
      </c>
      <c r="CI1607">
        <v>0</v>
      </c>
      <c r="CJ1607">
        <v>0</v>
      </c>
      <c r="CK1607">
        <v>0</v>
      </c>
      <c r="CL1607">
        <v>0</v>
      </c>
      <c r="CM1607">
        <v>0</v>
      </c>
      <c r="CR1607" t="s">
        <v>2329</v>
      </c>
      <c r="CS1607" s="1369" t="str">
        <f>INDEX([8]Sheet1!$H:$H,MATCH(CR:CR,[8]Sheet1!$AU:$AU,0))</f>
        <v>Sewerage</v>
      </c>
    </row>
    <row r="1608" spans="1:97" x14ac:dyDescent="0.2">
      <c r="A1608" t="s">
        <v>4701</v>
      </c>
      <c r="B1608">
        <v>1698</v>
      </c>
      <c r="C1608" t="s">
        <v>4701</v>
      </c>
      <c r="D1608">
        <v>54604</v>
      </c>
      <c r="E1608" t="s">
        <v>4702</v>
      </c>
      <c r="F1608">
        <v>2000</v>
      </c>
      <c r="G1608" t="s">
        <v>652</v>
      </c>
      <c r="H1608" t="s">
        <v>2559</v>
      </c>
      <c r="I1608" t="s">
        <v>1376</v>
      </c>
      <c r="J1608">
        <v>2006</v>
      </c>
      <c r="K1608" t="s">
        <v>1376</v>
      </c>
      <c r="L1608">
        <v>1200</v>
      </c>
      <c r="M1608" t="s">
        <v>1480</v>
      </c>
      <c r="N1608">
        <v>1201</v>
      </c>
      <c r="O1608" t="s">
        <v>1486</v>
      </c>
      <c r="P1608" t="s">
        <v>2366</v>
      </c>
      <c r="Q1608" t="s">
        <v>2364</v>
      </c>
      <c r="R1608" t="s">
        <v>2364</v>
      </c>
      <c r="S1608" t="s">
        <v>1881</v>
      </c>
      <c r="T1608" t="s">
        <v>1812</v>
      </c>
      <c r="U1608" t="s">
        <v>2365</v>
      </c>
      <c r="V1608" t="s">
        <v>2365</v>
      </c>
      <c r="W1608" t="s">
        <v>2365</v>
      </c>
      <c r="X1608" t="s">
        <v>2365</v>
      </c>
      <c r="Y1608" t="s">
        <v>2365</v>
      </c>
      <c r="Z1608" t="s">
        <v>2365</v>
      </c>
      <c r="AA1608" t="s">
        <v>2365</v>
      </c>
      <c r="AB1608" t="s">
        <v>2365</v>
      </c>
      <c r="AC1608" s="813" t="s">
        <v>2365</v>
      </c>
      <c r="AD1608" s="813" t="s">
        <v>2365</v>
      </c>
      <c r="AE1608" s="813" t="s">
        <v>2365</v>
      </c>
      <c r="AF1608" t="s">
        <v>2365</v>
      </c>
      <c r="AG1608" t="s">
        <v>2365</v>
      </c>
      <c r="AH1608" t="s">
        <v>2365</v>
      </c>
      <c r="AI1608" t="s">
        <v>2365</v>
      </c>
      <c r="AJ1608" t="s">
        <v>2365</v>
      </c>
      <c r="AK1608" t="s">
        <v>2365</v>
      </c>
      <c r="AL1608" t="s">
        <v>2365</v>
      </c>
      <c r="AM1608" t="s">
        <v>2365</v>
      </c>
      <c r="AN1608" t="s">
        <v>2365</v>
      </c>
      <c r="AR1608" t="s">
        <v>2365</v>
      </c>
      <c r="AS1608" t="s">
        <v>2365</v>
      </c>
      <c r="AT1608" t="s">
        <v>2365</v>
      </c>
      <c r="AU1608" t="s">
        <v>2365</v>
      </c>
      <c r="AV1608" t="s">
        <v>2365</v>
      </c>
      <c r="AW1608" t="s">
        <v>2365</v>
      </c>
      <c r="AX1608" t="s">
        <v>2365</v>
      </c>
      <c r="AY1608" t="s">
        <v>2365</v>
      </c>
      <c r="AZ1608" t="s">
        <v>2365</v>
      </c>
      <c r="BA1608" t="s">
        <v>2365</v>
      </c>
      <c r="BB1608" t="s">
        <v>2365</v>
      </c>
      <c r="BC1608" t="s">
        <v>2365</v>
      </c>
      <c r="BD1608" t="s">
        <v>2366</v>
      </c>
      <c r="BE1608" t="s">
        <v>2365</v>
      </c>
      <c r="BF1608" t="s">
        <v>2365</v>
      </c>
      <c r="BG1608" t="s">
        <v>2365</v>
      </c>
      <c r="BH1608" t="s">
        <v>2365</v>
      </c>
      <c r="BI1608" t="s">
        <v>2366</v>
      </c>
      <c r="BJ1608" t="s">
        <v>2365</v>
      </c>
      <c r="BK1608" t="s">
        <v>2365</v>
      </c>
      <c r="BL1608" t="s">
        <v>2365</v>
      </c>
      <c r="BM1608" t="s">
        <v>2365</v>
      </c>
      <c r="BN1608" t="s">
        <v>2176</v>
      </c>
      <c r="BO1608">
        <v>1</v>
      </c>
      <c r="BP1608">
        <v>14</v>
      </c>
      <c r="BQ1608" t="s">
        <v>2369</v>
      </c>
      <c r="BR1608" t="s">
        <v>1486</v>
      </c>
      <c r="BU1608">
        <v>0</v>
      </c>
      <c r="BV1608">
        <v>0</v>
      </c>
      <c r="BW1608">
        <v>0</v>
      </c>
      <c r="BX1608">
        <v>0</v>
      </c>
      <c r="BY1608">
        <v>0</v>
      </c>
      <c r="BZ1608">
        <v>0</v>
      </c>
      <c r="CA1608">
        <v>0</v>
      </c>
      <c r="CB1608">
        <v>0</v>
      </c>
      <c r="CC1608">
        <v>0</v>
      </c>
      <c r="CD1608">
        <v>0</v>
      </c>
      <c r="CE1608">
        <v>0</v>
      </c>
      <c r="CF1608">
        <v>0</v>
      </c>
      <c r="CG1608">
        <v>0</v>
      </c>
      <c r="CH1608">
        <v>0</v>
      </c>
      <c r="CI1608">
        <v>0</v>
      </c>
      <c r="CJ1608">
        <v>0</v>
      </c>
      <c r="CK1608">
        <v>0</v>
      </c>
      <c r="CL1608">
        <v>0</v>
      </c>
      <c r="CM1608">
        <v>0</v>
      </c>
      <c r="CR1608" t="s">
        <v>2352</v>
      </c>
      <c r="CS1608" s="1369" t="str">
        <f>INDEX([8]Sheet1!$H:$H,MATCH(CR:CR,[8]Sheet1!$AU:$AU,0))</f>
        <v>Property Services</v>
      </c>
    </row>
    <row r="1609" spans="1:97" x14ac:dyDescent="0.2">
      <c r="A1609" t="s">
        <v>4703</v>
      </c>
      <c r="B1609">
        <v>1699</v>
      </c>
      <c r="C1609" t="s">
        <v>4703</v>
      </c>
      <c r="D1609">
        <v>54693</v>
      </c>
      <c r="E1609" t="s">
        <v>2638</v>
      </c>
      <c r="F1609" t="s">
        <v>2364</v>
      </c>
      <c r="G1609" t="s">
        <v>2364</v>
      </c>
      <c r="H1609" t="s">
        <v>2365</v>
      </c>
      <c r="I1609" t="s">
        <v>2365</v>
      </c>
      <c r="J1609" t="s">
        <v>2365</v>
      </c>
      <c r="K1609" t="s">
        <v>2365</v>
      </c>
      <c r="L1609">
        <v>1200</v>
      </c>
      <c r="M1609" t="s">
        <v>1480</v>
      </c>
      <c r="N1609">
        <v>1201</v>
      </c>
      <c r="O1609" t="s">
        <v>1486</v>
      </c>
      <c r="P1609" t="s">
        <v>1846</v>
      </c>
      <c r="Q1609">
        <v>2080</v>
      </c>
      <c r="R1609" t="s">
        <v>579</v>
      </c>
      <c r="S1609" t="s">
        <v>552</v>
      </c>
      <c r="T1609" t="s">
        <v>2175</v>
      </c>
      <c r="U1609">
        <v>240</v>
      </c>
      <c r="V1609" t="s">
        <v>2389</v>
      </c>
      <c r="W1609">
        <v>240</v>
      </c>
      <c r="X1609" t="s">
        <v>701</v>
      </c>
      <c r="Y1609" t="s">
        <v>2365</v>
      </c>
      <c r="Z1609" t="s">
        <v>2365</v>
      </c>
      <c r="AA1609" t="s">
        <v>2365</v>
      </c>
      <c r="AB1609" t="s">
        <v>2365</v>
      </c>
      <c r="AC1609" s="813" t="s">
        <v>2365</v>
      </c>
      <c r="AD1609" s="813" t="s">
        <v>2365</v>
      </c>
      <c r="AE1609" s="813" t="s">
        <v>2365</v>
      </c>
      <c r="AF1609" t="s">
        <v>2365</v>
      </c>
      <c r="AG1609">
        <v>1490</v>
      </c>
      <c r="AH1609" t="s">
        <v>1675</v>
      </c>
      <c r="AI1609">
        <v>1490</v>
      </c>
      <c r="AJ1609" t="s">
        <v>1675</v>
      </c>
      <c r="AK1609">
        <v>241</v>
      </c>
      <c r="AL1609" t="s">
        <v>1203</v>
      </c>
      <c r="AM1609">
        <v>241</v>
      </c>
      <c r="AN1609" t="s">
        <v>1203</v>
      </c>
      <c r="AR1609">
        <v>1490</v>
      </c>
      <c r="AS1609" t="s">
        <v>1675</v>
      </c>
      <c r="AT1609">
        <v>1490</v>
      </c>
      <c r="AU1609" t="s">
        <v>1675</v>
      </c>
      <c r="AV1609" t="s">
        <v>2365</v>
      </c>
      <c r="AW1609" t="s">
        <v>2365</v>
      </c>
      <c r="AX1609" t="s">
        <v>2365</v>
      </c>
      <c r="AY1609" t="s">
        <v>2365</v>
      </c>
      <c r="AZ1609" t="s">
        <v>2365</v>
      </c>
      <c r="BA1609" t="s">
        <v>2365</v>
      </c>
      <c r="BB1609" t="s">
        <v>2365</v>
      </c>
      <c r="BC1609" t="s">
        <v>2365</v>
      </c>
      <c r="BD1609" t="s">
        <v>2366</v>
      </c>
      <c r="BE1609" t="s">
        <v>2365</v>
      </c>
      <c r="BF1609" t="s">
        <v>2365</v>
      </c>
      <c r="BG1609" t="s">
        <v>2365</v>
      </c>
      <c r="BH1609" t="s">
        <v>2365</v>
      </c>
      <c r="BI1609" t="s">
        <v>2366</v>
      </c>
      <c r="BJ1609" t="s">
        <v>2365</v>
      </c>
      <c r="BK1609" t="s">
        <v>2365</v>
      </c>
      <c r="BL1609" t="s">
        <v>2365</v>
      </c>
      <c r="BM1609" t="s">
        <v>2365</v>
      </c>
      <c r="BO1609">
        <v>1</v>
      </c>
      <c r="BP1609">
        <v>14</v>
      </c>
      <c r="BQ1609" t="s">
        <v>2369</v>
      </c>
      <c r="BR1609" t="s">
        <v>1486</v>
      </c>
      <c r="BU1609">
        <v>400000</v>
      </c>
      <c r="BV1609">
        <v>0</v>
      </c>
      <c r="BW1609">
        <v>400000</v>
      </c>
      <c r="BX1609">
        <v>0</v>
      </c>
      <c r="BY1609">
        <v>400000</v>
      </c>
      <c r="BZ1609">
        <v>0</v>
      </c>
      <c r="CA1609">
        <v>1200000</v>
      </c>
      <c r="CB1609">
        <v>0</v>
      </c>
      <c r="CC1609">
        <v>0</v>
      </c>
      <c r="CD1609">
        <v>2800</v>
      </c>
      <c r="CE1609">
        <v>11688</v>
      </c>
      <c r="CF1609">
        <v>61402</v>
      </c>
      <c r="CG1609">
        <v>48895</v>
      </c>
      <c r="CH1609">
        <v>0</v>
      </c>
      <c r="CI1609">
        <v>0</v>
      </c>
      <c r="CJ1609">
        <v>0</v>
      </c>
      <c r="CK1609">
        <v>0</v>
      </c>
      <c r="CL1609">
        <v>0</v>
      </c>
      <c r="CM1609">
        <v>0</v>
      </c>
      <c r="CR1609" t="s">
        <v>2325</v>
      </c>
      <c r="CS1609" s="1369" t="str">
        <f>INDEX([8]Sheet1!$H:$H,MATCH(CR:CR,[8]Sheet1!$AU:$AU,0))</f>
        <v>Asset Management</v>
      </c>
    </row>
    <row r="1610" spans="1:97" x14ac:dyDescent="0.2">
      <c r="A1610" t="s">
        <v>4704</v>
      </c>
      <c r="B1610">
        <v>1700</v>
      </c>
      <c r="C1610" t="s">
        <v>4704</v>
      </c>
      <c r="D1610">
        <v>54698</v>
      </c>
      <c r="E1610" t="s">
        <v>4705</v>
      </c>
      <c r="F1610">
        <v>2000</v>
      </c>
      <c r="G1610" t="s">
        <v>652</v>
      </c>
      <c r="H1610" t="s">
        <v>2472</v>
      </c>
      <c r="I1610" t="s">
        <v>1375</v>
      </c>
      <c r="J1610">
        <v>2002</v>
      </c>
      <c r="K1610" t="s">
        <v>1375</v>
      </c>
      <c r="L1610">
        <v>1100</v>
      </c>
      <c r="M1610" t="s">
        <v>616</v>
      </c>
      <c r="N1610">
        <v>1120</v>
      </c>
      <c r="O1610" t="s">
        <v>1485</v>
      </c>
      <c r="P1610" t="s">
        <v>2366</v>
      </c>
      <c r="Q1610" t="s">
        <v>2364</v>
      </c>
      <c r="R1610" t="s">
        <v>2364</v>
      </c>
      <c r="S1610" t="s">
        <v>1881</v>
      </c>
      <c r="T1610" t="s">
        <v>1812</v>
      </c>
      <c r="U1610" t="s">
        <v>2365</v>
      </c>
      <c r="V1610" t="s">
        <v>2365</v>
      </c>
      <c r="W1610" t="s">
        <v>2365</v>
      </c>
      <c r="X1610" t="s">
        <v>2365</v>
      </c>
      <c r="Y1610" t="s">
        <v>2365</v>
      </c>
      <c r="Z1610" t="s">
        <v>2365</v>
      </c>
      <c r="AA1610" t="s">
        <v>2365</v>
      </c>
      <c r="AB1610" t="s">
        <v>2365</v>
      </c>
      <c r="AC1610" s="813" t="s">
        <v>2365</v>
      </c>
      <c r="AD1610" s="813" t="s">
        <v>2365</v>
      </c>
      <c r="AE1610" s="813" t="s">
        <v>2365</v>
      </c>
      <c r="AF1610" t="s">
        <v>2365</v>
      </c>
      <c r="AG1610" t="s">
        <v>2365</v>
      </c>
      <c r="AH1610" t="s">
        <v>2365</v>
      </c>
      <c r="AI1610" t="s">
        <v>2365</v>
      </c>
      <c r="AJ1610" t="s">
        <v>2365</v>
      </c>
      <c r="AK1610" t="s">
        <v>2365</v>
      </c>
      <c r="AL1610" t="s">
        <v>2365</v>
      </c>
      <c r="AM1610" t="s">
        <v>2365</v>
      </c>
      <c r="AN1610" t="s">
        <v>2365</v>
      </c>
      <c r="AR1610" t="s">
        <v>2365</v>
      </c>
      <c r="AS1610" t="s">
        <v>2365</v>
      </c>
      <c r="AT1610" t="s">
        <v>2365</v>
      </c>
      <c r="AU1610" t="s">
        <v>2365</v>
      </c>
      <c r="AV1610" t="s">
        <v>2365</v>
      </c>
      <c r="AW1610" t="s">
        <v>2365</v>
      </c>
      <c r="AX1610" t="s">
        <v>2365</v>
      </c>
      <c r="AY1610" t="s">
        <v>2365</v>
      </c>
      <c r="AZ1610" t="s">
        <v>2365</v>
      </c>
      <c r="BA1610" t="s">
        <v>2365</v>
      </c>
      <c r="BB1610" t="s">
        <v>2365</v>
      </c>
      <c r="BC1610" t="s">
        <v>2365</v>
      </c>
      <c r="BD1610" t="s">
        <v>2366</v>
      </c>
      <c r="BE1610" t="s">
        <v>2365</v>
      </c>
      <c r="BF1610" t="s">
        <v>2365</v>
      </c>
      <c r="BG1610" t="s">
        <v>2365</v>
      </c>
      <c r="BH1610" t="s">
        <v>2365</v>
      </c>
      <c r="BI1610" t="s">
        <v>2366</v>
      </c>
      <c r="BJ1610" t="s">
        <v>2365</v>
      </c>
      <c r="BK1610" t="s">
        <v>2365</v>
      </c>
      <c r="BL1610" t="s">
        <v>2365</v>
      </c>
      <c r="BM1610" t="s">
        <v>2365</v>
      </c>
      <c r="BN1610" t="s">
        <v>2176</v>
      </c>
      <c r="BO1610">
        <v>3</v>
      </c>
      <c r="BP1610">
        <v>31</v>
      </c>
      <c r="BQ1610" t="s">
        <v>2716</v>
      </c>
      <c r="BR1610" t="s">
        <v>1485</v>
      </c>
      <c r="BU1610">
        <v>10307</v>
      </c>
      <c r="BV1610">
        <v>0</v>
      </c>
      <c r="BW1610">
        <v>10307</v>
      </c>
      <c r="BX1610">
        <v>0</v>
      </c>
      <c r="BY1610">
        <v>10307</v>
      </c>
      <c r="BZ1610">
        <v>10977</v>
      </c>
      <c r="CA1610">
        <v>11691</v>
      </c>
      <c r="CB1610">
        <v>0</v>
      </c>
      <c r="CC1610">
        <v>0</v>
      </c>
      <c r="CD1610">
        <v>0</v>
      </c>
      <c r="CE1610">
        <v>0</v>
      </c>
      <c r="CF1610">
        <v>0</v>
      </c>
      <c r="CG1610">
        <v>0</v>
      </c>
      <c r="CH1610">
        <v>0</v>
      </c>
      <c r="CI1610">
        <v>0</v>
      </c>
      <c r="CJ1610">
        <v>0</v>
      </c>
      <c r="CK1610">
        <v>0</v>
      </c>
      <c r="CL1610">
        <v>0</v>
      </c>
      <c r="CM1610">
        <v>0</v>
      </c>
      <c r="CR1610" t="s">
        <v>2325</v>
      </c>
      <c r="CS1610" s="1369" t="str">
        <f>INDEX([8]Sheet1!$H:$H,MATCH(CR:CR,[8]Sheet1!$AU:$AU,0))</f>
        <v>Asset Management</v>
      </c>
    </row>
    <row r="1611" spans="1:97" x14ac:dyDescent="0.2">
      <c r="A1611" t="s">
        <v>4706</v>
      </c>
      <c r="B1611">
        <v>1701</v>
      </c>
      <c r="C1611" t="s">
        <v>4706</v>
      </c>
      <c r="D1611">
        <v>54699</v>
      </c>
      <c r="E1611" t="s">
        <v>2437</v>
      </c>
      <c r="F1611" t="s">
        <v>2364</v>
      </c>
      <c r="G1611" t="s">
        <v>2364</v>
      </c>
      <c r="H1611" t="s">
        <v>2365</v>
      </c>
      <c r="I1611" t="s">
        <v>2365</v>
      </c>
      <c r="J1611" t="s">
        <v>2365</v>
      </c>
      <c r="K1611" t="s">
        <v>2365</v>
      </c>
      <c r="L1611">
        <v>2100</v>
      </c>
      <c r="M1611" t="s">
        <v>618</v>
      </c>
      <c r="N1611">
        <v>2106</v>
      </c>
      <c r="O1611" t="s">
        <v>1499</v>
      </c>
      <c r="P1611" t="s">
        <v>1846</v>
      </c>
      <c r="Q1611">
        <v>2080</v>
      </c>
      <c r="R1611" t="s">
        <v>579</v>
      </c>
      <c r="S1611" t="s">
        <v>552</v>
      </c>
      <c r="T1611" t="s">
        <v>2175</v>
      </c>
      <c r="U1611">
        <v>240</v>
      </c>
      <c r="V1611" t="s">
        <v>2389</v>
      </c>
      <c r="W1611">
        <v>240</v>
      </c>
      <c r="X1611" t="s">
        <v>701</v>
      </c>
      <c r="Y1611" t="s">
        <v>2365</v>
      </c>
      <c r="Z1611" t="s">
        <v>2365</v>
      </c>
      <c r="AA1611" t="s">
        <v>2365</v>
      </c>
      <c r="AB1611" t="s">
        <v>2365</v>
      </c>
      <c r="AC1611" s="813" t="s">
        <v>2365</v>
      </c>
      <c r="AD1611" s="813" t="s">
        <v>2365</v>
      </c>
      <c r="AE1611" s="813" t="s">
        <v>2365</v>
      </c>
      <c r="AF1611" t="s">
        <v>2365</v>
      </c>
      <c r="AG1611" t="s">
        <v>2365</v>
      </c>
      <c r="AH1611" t="s">
        <v>2365</v>
      </c>
      <c r="AI1611" t="s">
        <v>2365</v>
      </c>
      <c r="AJ1611" t="s">
        <v>2365</v>
      </c>
      <c r="AK1611">
        <v>241</v>
      </c>
      <c r="AL1611" t="s">
        <v>1203</v>
      </c>
      <c r="AM1611">
        <v>241</v>
      </c>
      <c r="AN1611" t="s">
        <v>1203</v>
      </c>
      <c r="AR1611">
        <v>790</v>
      </c>
      <c r="AS1611" t="s">
        <v>1622</v>
      </c>
      <c r="AT1611">
        <v>790</v>
      </c>
      <c r="AU1611" t="s">
        <v>1622</v>
      </c>
      <c r="AV1611" t="s">
        <v>2365</v>
      </c>
      <c r="AW1611" t="s">
        <v>2365</v>
      </c>
      <c r="AX1611" t="s">
        <v>2365</v>
      </c>
      <c r="AY1611" t="s">
        <v>2365</v>
      </c>
      <c r="AZ1611" t="s">
        <v>2365</v>
      </c>
      <c r="BA1611" t="s">
        <v>2365</v>
      </c>
      <c r="BB1611" t="s">
        <v>2365</v>
      </c>
      <c r="BC1611" t="s">
        <v>2365</v>
      </c>
      <c r="BD1611" t="s">
        <v>2366</v>
      </c>
      <c r="BE1611" t="s">
        <v>2365</v>
      </c>
      <c r="BF1611" t="s">
        <v>2365</v>
      </c>
      <c r="BG1611" t="s">
        <v>2365</v>
      </c>
      <c r="BH1611" t="s">
        <v>2365</v>
      </c>
      <c r="BI1611" t="s">
        <v>2366</v>
      </c>
      <c r="BJ1611" t="s">
        <v>2365</v>
      </c>
      <c r="BK1611" t="s">
        <v>2365</v>
      </c>
      <c r="BL1611" t="s">
        <v>2365</v>
      </c>
      <c r="BM1611" t="s">
        <v>2365</v>
      </c>
      <c r="BO1611">
        <v>5</v>
      </c>
      <c r="BP1611">
        <v>53</v>
      </c>
      <c r="BQ1611" t="s">
        <v>2438</v>
      </c>
      <c r="BR1611" t="s">
        <v>1499</v>
      </c>
      <c r="BU1611">
        <v>0</v>
      </c>
      <c r="BV1611">
        <v>0</v>
      </c>
      <c r="BW1611">
        <v>0</v>
      </c>
      <c r="BX1611">
        <v>0</v>
      </c>
      <c r="BY1611">
        <v>0</v>
      </c>
      <c r="BZ1611">
        <v>0</v>
      </c>
      <c r="CA1611">
        <v>0</v>
      </c>
      <c r="CB1611">
        <v>603590.12</v>
      </c>
      <c r="CC1611">
        <v>0</v>
      </c>
      <c r="CD1611">
        <v>0</v>
      </c>
      <c r="CE1611">
        <v>0</v>
      </c>
      <c r="CF1611">
        <v>0</v>
      </c>
      <c r="CG1611">
        <v>0</v>
      </c>
      <c r="CH1611">
        <v>0</v>
      </c>
      <c r="CI1611">
        <v>46199.78</v>
      </c>
      <c r="CJ1611">
        <v>0</v>
      </c>
      <c r="CK1611">
        <v>0</v>
      </c>
      <c r="CL1611">
        <v>0</v>
      </c>
      <c r="CM1611">
        <v>0</v>
      </c>
      <c r="CR1611" t="s">
        <v>2325</v>
      </c>
      <c r="CS1611" s="1369" t="str">
        <f>INDEX([8]Sheet1!$H:$H,MATCH(CR:CR,[8]Sheet1!$AU:$AU,0))</f>
        <v>Asset Management</v>
      </c>
    </row>
    <row r="1612" spans="1:97" x14ac:dyDescent="0.2">
      <c r="A1612" t="s">
        <v>4707</v>
      </c>
      <c r="B1612">
        <v>1702</v>
      </c>
      <c r="C1612" t="s">
        <v>4707</v>
      </c>
      <c r="D1612">
        <v>54700</v>
      </c>
      <c r="E1612" t="s">
        <v>4708</v>
      </c>
      <c r="F1612" t="s">
        <v>2364</v>
      </c>
      <c r="G1612" t="s">
        <v>2364</v>
      </c>
      <c r="H1612" t="s">
        <v>2365</v>
      </c>
      <c r="I1612" t="s">
        <v>2365</v>
      </c>
      <c r="J1612" t="s">
        <v>2365</v>
      </c>
      <c r="K1612" t="s">
        <v>2365</v>
      </c>
      <c r="L1612">
        <v>1200</v>
      </c>
      <c r="M1612" t="s">
        <v>1480</v>
      </c>
      <c r="N1612">
        <v>1206</v>
      </c>
      <c r="O1612" t="s">
        <v>996</v>
      </c>
      <c r="P1612" t="s">
        <v>2366</v>
      </c>
      <c r="Q1612" t="s">
        <v>2364</v>
      </c>
      <c r="R1612" t="s">
        <v>2364</v>
      </c>
      <c r="S1612" t="s">
        <v>553</v>
      </c>
      <c r="T1612" t="s">
        <v>2367</v>
      </c>
      <c r="U1612" t="s">
        <v>2366</v>
      </c>
      <c r="V1612" t="s">
        <v>2366</v>
      </c>
      <c r="W1612" t="s">
        <v>2366</v>
      </c>
      <c r="X1612" t="s">
        <v>2366</v>
      </c>
      <c r="Y1612" t="s">
        <v>2365</v>
      </c>
      <c r="Z1612" t="s">
        <v>2365</v>
      </c>
      <c r="AA1612" t="s">
        <v>2365</v>
      </c>
      <c r="AB1612" t="s">
        <v>2365</v>
      </c>
      <c r="AC1612" s="813" t="s">
        <v>2365</v>
      </c>
      <c r="AD1612" s="813" t="s">
        <v>2365</v>
      </c>
      <c r="AE1612" s="813" t="s">
        <v>2365</v>
      </c>
      <c r="AF1612" t="s">
        <v>2365</v>
      </c>
      <c r="AG1612" t="s">
        <v>2365</v>
      </c>
      <c r="AH1612" t="s">
        <v>2365</v>
      </c>
      <c r="AI1612" t="s">
        <v>2365</v>
      </c>
      <c r="AJ1612" t="s">
        <v>2365</v>
      </c>
      <c r="AK1612" t="s">
        <v>2365</v>
      </c>
      <c r="AL1612" t="s">
        <v>2365</v>
      </c>
      <c r="AM1612" t="s">
        <v>2365</v>
      </c>
      <c r="AN1612" t="s">
        <v>2365</v>
      </c>
      <c r="AR1612" t="s">
        <v>2365</v>
      </c>
      <c r="AS1612" t="s">
        <v>2365</v>
      </c>
      <c r="AT1612" t="s">
        <v>2365</v>
      </c>
      <c r="AU1612" t="s">
        <v>2365</v>
      </c>
      <c r="AV1612" t="s">
        <v>2365</v>
      </c>
      <c r="AW1612" t="s">
        <v>2365</v>
      </c>
      <c r="AX1612" t="s">
        <v>2365</v>
      </c>
      <c r="AY1612" t="s">
        <v>2365</v>
      </c>
      <c r="AZ1612" t="s">
        <v>2365</v>
      </c>
      <c r="BA1612" t="s">
        <v>2365</v>
      </c>
      <c r="BB1612" t="s">
        <v>2365</v>
      </c>
      <c r="BC1612" t="s">
        <v>2365</v>
      </c>
      <c r="BD1612" t="s">
        <v>2366</v>
      </c>
      <c r="BE1612" t="s">
        <v>2365</v>
      </c>
      <c r="BF1612" t="s">
        <v>2365</v>
      </c>
      <c r="BG1612" t="s">
        <v>2365</v>
      </c>
      <c r="BH1612" t="s">
        <v>2365</v>
      </c>
      <c r="BI1612" t="s">
        <v>2366</v>
      </c>
      <c r="BJ1612" t="s">
        <v>2365</v>
      </c>
      <c r="BK1612" t="s">
        <v>2365</v>
      </c>
      <c r="BL1612" t="s">
        <v>2365</v>
      </c>
      <c r="BM1612" t="s">
        <v>2365</v>
      </c>
      <c r="BO1612">
        <v>1</v>
      </c>
      <c r="BP1612">
        <v>15</v>
      </c>
      <c r="BQ1612" t="s">
        <v>2369</v>
      </c>
      <c r="BR1612" t="s">
        <v>996</v>
      </c>
      <c r="BU1612">
        <v>-255000</v>
      </c>
      <c r="BV1612">
        <v>0</v>
      </c>
      <c r="BW1612">
        <v>-255000</v>
      </c>
      <c r="BX1612">
        <v>-255000</v>
      </c>
      <c r="BY1612">
        <v>0</v>
      </c>
      <c r="BZ1612">
        <v>0</v>
      </c>
      <c r="CA1612">
        <v>0</v>
      </c>
      <c r="CB1612">
        <v>0</v>
      </c>
      <c r="CC1612">
        <v>0</v>
      </c>
      <c r="CD1612">
        <v>0</v>
      </c>
      <c r="CE1612">
        <v>0</v>
      </c>
      <c r="CF1612">
        <v>0</v>
      </c>
      <c r="CG1612">
        <v>0</v>
      </c>
      <c r="CH1612">
        <v>0</v>
      </c>
      <c r="CI1612">
        <v>0</v>
      </c>
      <c r="CJ1612">
        <v>0</v>
      </c>
      <c r="CK1612">
        <v>0</v>
      </c>
      <c r="CL1612">
        <v>0</v>
      </c>
      <c r="CM1612">
        <v>0</v>
      </c>
      <c r="CR1612" t="s">
        <v>2352</v>
      </c>
      <c r="CS1612" s="1369" t="str">
        <f>INDEX([8]Sheet1!$H:$H,MATCH(CR:CR,[8]Sheet1!$AU:$AU,0))</f>
        <v>Property Services</v>
      </c>
    </row>
    <row r="1613" spans="1:97" x14ac:dyDescent="0.2">
      <c r="A1613" t="s">
        <v>4709</v>
      </c>
      <c r="B1613">
        <v>1703</v>
      </c>
      <c r="C1613" t="s">
        <v>4709</v>
      </c>
      <c r="D1613">
        <v>54701</v>
      </c>
      <c r="E1613" t="s">
        <v>4710</v>
      </c>
      <c r="F1613" t="s">
        <v>2364</v>
      </c>
      <c r="G1613" t="s">
        <v>2364</v>
      </c>
      <c r="H1613" t="s">
        <v>2365</v>
      </c>
      <c r="I1613" t="s">
        <v>2365</v>
      </c>
      <c r="J1613" t="s">
        <v>2365</v>
      </c>
      <c r="K1613" t="s">
        <v>2365</v>
      </c>
      <c r="L1613">
        <v>1200</v>
      </c>
      <c r="M1613" t="s">
        <v>1480</v>
      </c>
      <c r="N1613">
        <v>1206</v>
      </c>
      <c r="O1613" t="s">
        <v>996</v>
      </c>
      <c r="P1613" t="s">
        <v>2366</v>
      </c>
      <c r="Q1613" t="s">
        <v>2364</v>
      </c>
      <c r="R1613" t="s">
        <v>2364</v>
      </c>
      <c r="S1613" t="s">
        <v>553</v>
      </c>
      <c r="T1613" t="s">
        <v>2367</v>
      </c>
      <c r="U1613" t="s">
        <v>2366</v>
      </c>
      <c r="V1613" t="s">
        <v>2366</v>
      </c>
      <c r="W1613" t="s">
        <v>2366</v>
      </c>
      <c r="X1613" t="s">
        <v>2366</v>
      </c>
      <c r="Y1613" t="s">
        <v>2365</v>
      </c>
      <c r="Z1613" t="s">
        <v>2365</v>
      </c>
      <c r="AA1613" t="s">
        <v>2365</v>
      </c>
      <c r="AB1613" t="s">
        <v>2365</v>
      </c>
      <c r="AC1613" s="813" t="s">
        <v>2365</v>
      </c>
      <c r="AD1613" s="813" t="s">
        <v>2365</v>
      </c>
      <c r="AE1613" s="813" t="s">
        <v>2365</v>
      </c>
      <c r="AF1613" t="s">
        <v>2365</v>
      </c>
      <c r="AG1613" t="s">
        <v>2365</v>
      </c>
      <c r="AH1613" t="s">
        <v>2365</v>
      </c>
      <c r="AI1613" t="s">
        <v>2365</v>
      </c>
      <c r="AJ1613" t="s">
        <v>2365</v>
      </c>
      <c r="AK1613">
        <v>413</v>
      </c>
      <c r="AL1613" t="s">
        <v>632</v>
      </c>
      <c r="AM1613">
        <v>413</v>
      </c>
      <c r="AN1613" t="s">
        <v>632</v>
      </c>
      <c r="AR1613" t="s">
        <v>2365</v>
      </c>
      <c r="AS1613" t="s">
        <v>2365</v>
      </c>
      <c r="AT1613" t="s">
        <v>2365</v>
      </c>
      <c r="AU1613" t="s">
        <v>2365</v>
      </c>
      <c r="AV1613" t="s">
        <v>2365</v>
      </c>
      <c r="AW1613" t="s">
        <v>2365</v>
      </c>
      <c r="AX1613" t="s">
        <v>2365</v>
      </c>
      <c r="AY1613" t="s">
        <v>2365</v>
      </c>
      <c r="AZ1613" t="s">
        <v>2365</v>
      </c>
      <c r="BA1613" t="s">
        <v>2365</v>
      </c>
      <c r="BB1613" t="s">
        <v>2365</v>
      </c>
      <c r="BC1613" t="s">
        <v>2365</v>
      </c>
      <c r="BD1613" t="s">
        <v>2366</v>
      </c>
      <c r="BE1613" t="s">
        <v>2365</v>
      </c>
      <c r="BF1613" t="s">
        <v>2365</v>
      </c>
      <c r="BG1613" t="s">
        <v>2365</v>
      </c>
      <c r="BH1613" t="s">
        <v>2365</v>
      </c>
      <c r="BI1613" t="s">
        <v>2366</v>
      </c>
      <c r="BJ1613" t="s">
        <v>2365</v>
      </c>
      <c r="BK1613" t="s">
        <v>2365</v>
      </c>
      <c r="BL1613" t="s">
        <v>2365</v>
      </c>
      <c r="BM1613" t="s">
        <v>2365</v>
      </c>
      <c r="BO1613">
        <v>1</v>
      </c>
      <c r="BP1613">
        <v>15</v>
      </c>
      <c r="BQ1613" t="s">
        <v>2369</v>
      </c>
      <c r="BR1613" t="s">
        <v>996</v>
      </c>
      <c r="BU1613">
        <v>0</v>
      </c>
      <c r="BV1613">
        <v>0</v>
      </c>
      <c r="BW1613">
        <v>0</v>
      </c>
      <c r="BX1613">
        <v>0</v>
      </c>
      <c r="BY1613">
        <v>0</v>
      </c>
      <c r="BZ1613">
        <v>0</v>
      </c>
      <c r="CA1613">
        <v>0</v>
      </c>
      <c r="CB1613">
        <v>0</v>
      </c>
      <c r="CC1613">
        <v>0</v>
      </c>
      <c r="CD1613">
        <v>0</v>
      </c>
      <c r="CE1613">
        <v>0</v>
      </c>
      <c r="CF1613">
        <v>0</v>
      </c>
      <c r="CG1613">
        <v>0</v>
      </c>
      <c r="CH1613">
        <v>0</v>
      </c>
      <c r="CI1613">
        <v>0</v>
      </c>
      <c r="CJ1613">
        <v>0</v>
      </c>
      <c r="CK1613">
        <v>0</v>
      </c>
      <c r="CL1613">
        <v>0</v>
      </c>
      <c r="CM1613">
        <v>0</v>
      </c>
      <c r="CR1613" t="s">
        <v>2354</v>
      </c>
      <c r="CS1613" s="1369" t="str">
        <f>INDEX([8]Sheet1!$H:$H,MATCH(CR:CR,[8]Sheet1!$AU:$AU,0))</f>
        <v>Taxi Ranks</v>
      </c>
    </row>
    <row r="1614" spans="1:97" x14ac:dyDescent="0.2">
      <c r="A1614" t="s">
        <v>4711</v>
      </c>
      <c r="B1614">
        <v>1704</v>
      </c>
      <c r="C1614" t="s">
        <v>4711</v>
      </c>
      <c r="D1614">
        <v>54702</v>
      </c>
      <c r="E1614" t="s">
        <v>2437</v>
      </c>
      <c r="F1614" t="s">
        <v>2364</v>
      </c>
      <c r="G1614" t="s">
        <v>2364</v>
      </c>
      <c r="H1614" t="s">
        <v>2365</v>
      </c>
      <c r="I1614" t="s">
        <v>2365</v>
      </c>
      <c r="J1614" t="s">
        <v>2365</v>
      </c>
      <c r="K1614" t="s">
        <v>2365</v>
      </c>
      <c r="L1614">
        <v>3200</v>
      </c>
      <c r="M1614" t="s">
        <v>625</v>
      </c>
      <c r="N1614">
        <v>3205</v>
      </c>
      <c r="O1614" t="s">
        <v>1002</v>
      </c>
      <c r="P1614" t="s">
        <v>1846</v>
      </c>
      <c r="Q1614">
        <v>2080</v>
      </c>
      <c r="R1614" t="s">
        <v>579</v>
      </c>
      <c r="S1614" t="s">
        <v>552</v>
      </c>
      <c r="T1614" t="s">
        <v>2175</v>
      </c>
      <c r="U1614">
        <v>240</v>
      </c>
      <c r="V1614" t="s">
        <v>2389</v>
      </c>
      <c r="W1614">
        <v>240</v>
      </c>
      <c r="X1614" t="s">
        <v>701</v>
      </c>
      <c r="Y1614" t="s">
        <v>2365</v>
      </c>
      <c r="Z1614" t="s">
        <v>2365</v>
      </c>
      <c r="AA1614" t="s">
        <v>2365</v>
      </c>
      <c r="AB1614" t="s">
        <v>2365</v>
      </c>
      <c r="AC1614" s="813" t="s">
        <v>2365</v>
      </c>
      <c r="AD1614" s="813" t="s">
        <v>2365</v>
      </c>
      <c r="AE1614" s="813" t="s">
        <v>2365</v>
      </c>
      <c r="AF1614" t="s">
        <v>2365</v>
      </c>
      <c r="AG1614" t="s">
        <v>2365</v>
      </c>
      <c r="AH1614" t="s">
        <v>2365</v>
      </c>
      <c r="AI1614" t="s">
        <v>2365</v>
      </c>
      <c r="AJ1614" t="s">
        <v>2365</v>
      </c>
      <c r="AK1614">
        <v>241</v>
      </c>
      <c r="AL1614" t="s">
        <v>1203</v>
      </c>
      <c r="AM1614">
        <v>241</v>
      </c>
      <c r="AN1614" t="s">
        <v>1203</v>
      </c>
      <c r="AR1614" t="s">
        <v>2365</v>
      </c>
      <c r="AS1614" t="s">
        <v>2365</v>
      </c>
      <c r="AT1614" t="s">
        <v>2365</v>
      </c>
      <c r="AU1614" t="s">
        <v>2365</v>
      </c>
      <c r="AV1614" t="s">
        <v>2365</v>
      </c>
      <c r="AW1614" t="s">
        <v>2365</v>
      </c>
      <c r="AX1614" t="s">
        <v>2365</v>
      </c>
      <c r="AY1614" t="s">
        <v>2365</v>
      </c>
      <c r="AZ1614" t="s">
        <v>2365</v>
      </c>
      <c r="BA1614" t="s">
        <v>2365</v>
      </c>
      <c r="BB1614" t="s">
        <v>2365</v>
      </c>
      <c r="BC1614" t="s">
        <v>2365</v>
      </c>
      <c r="BD1614" t="s">
        <v>2366</v>
      </c>
      <c r="BE1614" t="s">
        <v>2365</v>
      </c>
      <c r="BF1614" t="s">
        <v>2365</v>
      </c>
      <c r="BG1614" t="s">
        <v>2365</v>
      </c>
      <c r="BH1614" t="s">
        <v>2365</v>
      </c>
      <c r="BI1614" t="s">
        <v>2366</v>
      </c>
      <c r="BJ1614">
        <v>120</v>
      </c>
      <c r="BK1614" t="s">
        <v>1002</v>
      </c>
      <c r="BL1614">
        <v>120</v>
      </c>
      <c r="BM1614" t="s">
        <v>1002</v>
      </c>
      <c r="BO1614">
        <v>7</v>
      </c>
      <c r="BP1614">
        <v>71</v>
      </c>
      <c r="BQ1614" t="s">
        <v>2665</v>
      </c>
      <c r="BR1614" t="s">
        <v>1002</v>
      </c>
      <c r="BU1614">
        <v>0</v>
      </c>
      <c r="BV1614">
        <v>0</v>
      </c>
      <c r="BW1614">
        <v>0</v>
      </c>
      <c r="BX1614">
        <v>0</v>
      </c>
      <c r="BY1614">
        <v>0</v>
      </c>
      <c r="BZ1614">
        <v>0</v>
      </c>
      <c r="CA1614">
        <v>0</v>
      </c>
      <c r="CB1614">
        <v>0</v>
      </c>
      <c r="CC1614">
        <v>0</v>
      </c>
      <c r="CD1614">
        <v>0</v>
      </c>
      <c r="CE1614">
        <v>0</v>
      </c>
      <c r="CF1614">
        <v>0</v>
      </c>
      <c r="CG1614">
        <v>0</v>
      </c>
      <c r="CH1614">
        <v>0</v>
      </c>
      <c r="CI1614">
        <v>0</v>
      </c>
      <c r="CJ1614">
        <v>0</v>
      </c>
      <c r="CK1614">
        <v>0</v>
      </c>
      <c r="CL1614">
        <v>0</v>
      </c>
      <c r="CM1614">
        <v>0</v>
      </c>
      <c r="CR1614" t="s">
        <v>2351</v>
      </c>
      <c r="CS1614" s="1369" t="str">
        <f>INDEX([8]Sheet1!$H:$H,MATCH(CR:CR,[8]Sheet1!$AU:$AU,0))</f>
        <v>Fleet Management</v>
      </c>
    </row>
    <row r="1615" spans="1:97" x14ac:dyDescent="0.2">
      <c r="A1615" t="s">
        <v>4712</v>
      </c>
      <c r="B1615">
        <v>1705</v>
      </c>
      <c r="C1615" t="s">
        <v>4712</v>
      </c>
      <c r="D1615">
        <v>54709</v>
      </c>
      <c r="E1615" t="s">
        <v>4713</v>
      </c>
      <c r="F1615" t="s">
        <v>2364</v>
      </c>
      <c r="G1615" t="s">
        <v>2364</v>
      </c>
      <c r="H1615" t="s">
        <v>2365</v>
      </c>
      <c r="I1615" t="s">
        <v>2365</v>
      </c>
      <c r="J1615" t="s">
        <v>2365</v>
      </c>
      <c r="K1615" t="s">
        <v>2365</v>
      </c>
      <c r="L1615">
        <v>1200</v>
      </c>
      <c r="M1615" t="s">
        <v>1480</v>
      </c>
      <c r="N1615">
        <v>1204</v>
      </c>
      <c r="O1615" t="s">
        <v>1487</v>
      </c>
      <c r="P1615" t="s">
        <v>2366</v>
      </c>
      <c r="Q1615" t="s">
        <v>2364</v>
      </c>
      <c r="R1615" t="s">
        <v>2364</v>
      </c>
      <c r="S1615" t="s">
        <v>553</v>
      </c>
      <c r="T1615" t="s">
        <v>2367</v>
      </c>
      <c r="U1615">
        <v>360</v>
      </c>
      <c r="V1615" t="s">
        <v>2368</v>
      </c>
      <c r="W1615">
        <v>360</v>
      </c>
      <c r="X1615" t="s">
        <v>711</v>
      </c>
      <c r="Y1615" t="s">
        <v>2365</v>
      </c>
      <c r="Z1615" t="s">
        <v>2365</v>
      </c>
      <c r="AA1615" t="s">
        <v>2365</v>
      </c>
      <c r="AB1615" t="s">
        <v>2365</v>
      </c>
      <c r="AC1615" s="813" t="s">
        <v>2365</v>
      </c>
      <c r="AD1615" s="813" t="s">
        <v>2365</v>
      </c>
      <c r="AE1615" s="813" t="s">
        <v>2365</v>
      </c>
      <c r="AF1615" t="s">
        <v>2365</v>
      </c>
      <c r="AG1615" t="s">
        <v>2365</v>
      </c>
      <c r="AH1615" t="s">
        <v>2365</v>
      </c>
      <c r="AI1615" t="s">
        <v>2365</v>
      </c>
      <c r="AJ1615" t="s">
        <v>2365</v>
      </c>
      <c r="AK1615">
        <v>361</v>
      </c>
      <c r="AL1615" t="s">
        <v>1804</v>
      </c>
      <c r="AM1615">
        <v>361</v>
      </c>
      <c r="AN1615" t="s">
        <v>1804</v>
      </c>
      <c r="AR1615" t="s">
        <v>2365</v>
      </c>
      <c r="AS1615" t="s">
        <v>2365</v>
      </c>
      <c r="AT1615" t="s">
        <v>2365</v>
      </c>
      <c r="AU1615" t="s">
        <v>2365</v>
      </c>
      <c r="AV1615" t="s">
        <v>2365</v>
      </c>
      <c r="AW1615" t="s">
        <v>2365</v>
      </c>
      <c r="AX1615" t="s">
        <v>2365</v>
      </c>
      <c r="AY1615" t="s">
        <v>2365</v>
      </c>
      <c r="AZ1615" t="s">
        <v>2365</v>
      </c>
      <c r="BA1615" t="s">
        <v>2365</v>
      </c>
      <c r="BB1615" t="s">
        <v>2365</v>
      </c>
      <c r="BC1615" t="s">
        <v>2365</v>
      </c>
      <c r="BD1615" t="s">
        <v>2366</v>
      </c>
      <c r="BE1615" t="s">
        <v>2365</v>
      </c>
      <c r="BF1615" t="s">
        <v>2365</v>
      </c>
      <c r="BG1615" t="s">
        <v>2365</v>
      </c>
      <c r="BH1615" t="s">
        <v>2365</v>
      </c>
      <c r="BI1615" t="s">
        <v>2366</v>
      </c>
      <c r="BJ1615" t="s">
        <v>2365</v>
      </c>
      <c r="BK1615" t="s">
        <v>2365</v>
      </c>
      <c r="BL1615" t="s">
        <v>2365</v>
      </c>
      <c r="BM1615" t="s">
        <v>2365</v>
      </c>
      <c r="BO1615">
        <v>1</v>
      </c>
      <c r="BP1615">
        <v>11</v>
      </c>
      <c r="BQ1615" t="s">
        <v>2369</v>
      </c>
      <c r="BR1615" t="s">
        <v>1487</v>
      </c>
      <c r="BU1615">
        <v>0</v>
      </c>
      <c r="BV1615">
        <v>0</v>
      </c>
      <c r="BW1615">
        <v>0</v>
      </c>
      <c r="BX1615">
        <v>0</v>
      </c>
      <c r="BY1615">
        <v>0</v>
      </c>
      <c r="BZ1615">
        <v>0</v>
      </c>
      <c r="CA1615">
        <v>0</v>
      </c>
      <c r="CB1615">
        <v>0</v>
      </c>
      <c r="CC1615">
        <v>0</v>
      </c>
      <c r="CD1615">
        <v>0</v>
      </c>
      <c r="CE1615">
        <v>0</v>
      </c>
      <c r="CF1615">
        <v>0</v>
      </c>
      <c r="CG1615">
        <v>0</v>
      </c>
      <c r="CH1615">
        <v>0</v>
      </c>
      <c r="CI1615">
        <v>0</v>
      </c>
      <c r="CJ1615">
        <v>0</v>
      </c>
      <c r="CK1615">
        <v>0</v>
      </c>
      <c r="CL1615">
        <v>0</v>
      </c>
      <c r="CM1615">
        <v>0</v>
      </c>
      <c r="CR1615" t="s">
        <v>2323</v>
      </c>
      <c r="CS1615" s="1369" t="str">
        <f>INDEX([8]Sheet1!$H:$H,MATCH(CR:CR,[8]Sheet1!$AU:$AU,0))</f>
        <v>Information Technology</v>
      </c>
    </row>
    <row r="1616" spans="1:97" x14ac:dyDescent="0.2">
      <c r="A1616" t="s">
        <v>4714</v>
      </c>
      <c r="B1616">
        <v>1706</v>
      </c>
      <c r="C1616" t="s">
        <v>4714</v>
      </c>
      <c r="D1616">
        <v>54710</v>
      </c>
      <c r="E1616" t="s">
        <v>4715</v>
      </c>
      <c r="F1616" t="s">
        <v>2364</v>
      </c>
      <c r="G1616" t="s">
        <v>2364</v>
      </c>
      <c r="H1616" t="s">
        <v>2365</v>
      </c>
      <c r="I1616" t="s">
        <v>2365</v>
      </c>
      <c r="J1616" t="s">
        <v>2365</v>
      </c>
      <c r="K1616" t="s">
        <v>2365</v>
      </c>
      <c r="L1616">
        <v>1200</v>
      </c>
      <c r="M1616" t="s">
        <v>1480</v>
      </c>
      <c r="N1616">
        <v>1204</v>
      </c>
      <c r="O1616" t="s">
        <v>1487</v>
      </c>
      <c r="P1616" t="s">
        <v>2366</v>
      </c>
      <c r="Q1616" t="s">
        <v>2364</v>
      </c>
      <c r="R1616" t="s">
        <v>2364</v>
      </c>
      <c r="S1616" t="s">
        <v>553</v>
      </c>
      <c r="T1616" t="s">
        <v>2367</v>
      </c>
      <c r="U1616">
        <v>360</v>
      </c>
      <c r="V1616" t="s">
        <v>2368</v>
      </c>
      <c r="W1616">
        <v>360</v>
      </c>
      <c r="X1616" t="s">
        <v>711</v>
      </c>
      <c r="Y1616" t="s">
        <v>2365</v>
      </c>
      <c r="Z1616" t="s">
        <v>2365</v>
      </c>
      <c r="AA1616" t="s">
        <v>2365</v>
      </c>
      <c r="AB1616" t="s">
        <v>2365</v>
      </c>
      <c r="AC1616" s="813" t="s">
        <v>2365</v>
      </c>
      <c r="AD1616" s="813" t="s">
        <v>2365</v>
      </c>
      <c r="AE1616" s="813" t="s">
        <v>2365</v>
      </c>
      <c r="AF1616" t="s">
        <v>2365</v>
      </c>
      <c r="AG1616" t="s">
        <v>2365</v>
      </c>
      <c r="AH1616" t="s">
        <v>2365</v>
      </c>
      <c r="AI1616" t="s">
        <v>2365</v>
      </c>
      <c r="AJ1616" t="s">
        <v>2365</v>
      </c>
      <c r="AK1616" s="1373">
        <v>361</v>
      </c>
      <c r="AL1616" t="s">
        <v>1804</v>
      </c>
      <c r="AM1616">
        <v>361</v>
      </c>
      <c r="AN1616" t="s">
        <v>1804</v>
      </c>
      <c r="AR1616" t="s">
        <v>2365</v>
      </c>
      <c r="AS1616" t="s">
        <v>2365</v>
      </c>
      <c r="AT1616" t="s">
        <v>2365</v>
      </c>
      <c r="AU1616" t="s">
        <v>2365</v>
      </c>
      <c r="AV1616" t="s">
        <v>2365</v>
      </c>
      <c r="AW1616" t="s">
        <v>2365</v>
      </c>
      <c r="AX1616" t="s">
        <v>2365</v>
      </c>
      <c r="AY1616" t="s">
        <v>2365</v>
      </c>
      <c r="AZ1616" t="s">
        <v>2365</v>
      </c>
      <c r="BA1616" t="s">
        <v>2365</v>
      </c>
      <c r="BB1616" t="s">
        <v>2365</v>
      </c>
      <c r="BC1616" t="s">
        <v>2365</v>
      </c>
      <c r="BD1616" t="s">
        <v>2366</v>
      </c>
      <c r="BE1616" t="s">
        <v>2365</v>
      </c>
      <c r="BF1616" t="s">
        <v>2365</v>
      </c>
      <c r="BG1616" t="s">
        <v>2365</v>
      </c>
      <c r="BH1616" t="s">
        <v>2365</v>
      </c>
      <c r="BI1616" t="s">
        <v>2366</v>
      </c>
      <c r="BJ1616" t="s">
        <v>2365</v>
      </c>
      <c r="BK1616" t="s">
        <v>2365</v>
      </c>
      <c r="BL1616" t="s">
        <v>2365</v>
      </c>
      <c r="BM1616" t="s">
        <v>2365</v>
      </c>
      <c r="BO1616">
        <v>1</v>
      </c>
      <c r="BP1616">
        <v>11</v>
      </c>
      <c r="BQ1616" t="s">
        <v>2369</v>
      </c>
      <c r="BR1616" t="s">
        <v>1487</v>
      </c>
      <c r="BU1616">
        <v>0</v>
      </c>
      <c r="BV1616">
        <v>0</v>
      </c>
      <c r="BW1616">
        <v>0</v>
      </c>
      <c r="BX1616">
        <v>0</v>
      </c>
      <c r="BY1616">
        <v>0</v>
      </c>
      <c r="BZ1616">
        <v>0</v>
      </c>
      <c r="CA1616">
        <v>0</v>
      </c>
      <c r="CB1616">
        <v>0</v>
      </c>
      <c r="CC1616">
        <v>0</v>
      </c>
      <c r="CD1616">
        <v>0</v>
      </c>
      <c r="CE1616">
        <v>0</v>
      </c>
      <c r="CF1616">
        <v>0</v>
      </c>
      <c r="CG1616">
        <v>0</v>
      </c>
      <c r="CH1616">
        <v>0</v>
      </c>
      <c r="CI1616">
        <v>0</v>
      </c>
      <c r="CJ1616">
        <v>0</v>
      </c>
      <c r="CK1616">
        <v>0</v>
      </c>
      <c r="CL1616">
        <v>0</v>
      </c>
      <c r="CM1616">
        <v>0</v>
      </c>
      <c r="CR1616" t="s">
        <v>2328</v>
      </c>
      <c r="CS1616" s="1369" t="str">
        <f>INDEX([8]Sheet1!$H:$H,MATCH(CR:CR,[8]Sheet1!$AU:$AU,0))</f>
        <v>Water Distribution</v>
      </c>
    </row>
    <row r="1617" spans="1:97" x14ac:dyDescent="0.2">
      <c r="A1617" t="s">
        <v>4716</v>
      </c>
      <c r="B1617">
        <v>1707</v>
      </c>
      <c r="C1617" t="s">
        <v>4716</v>
      </c>
      <c r="D1617">
        <v>54711</v>
      </c>
      <c r="E1617" t="s">
        <v>4717</v>
      </c>
      <c r="F1617" t="s">
        <v>2364</v>
      </c>
      <c r="G1617" t="s">
        <v>2364</v>
      </c>
      <c r="H1617" t="s">
        <v>2365</v>
      </c>
      <c r="I1617" t="s">
        <v>2365</v>
      </c>
      <c r="J1617" t="s">
        <v>2365</v>
      </c>
      <c r="K1617" t="s">
        <v>2365</v>
      </c>
      <c r="L1617">
        <v>1200</v>
      </c>
      <c r="M1617" t="s">
        <v>1480</v>
      </c>
      <c r="N1617">
        <v>1204</v>
      </c>
      <c r="O1617" t="s">
        <v>1487</v>
      </c>
      <c r="P1617" t="s">
        <v>2366</v>
      </c>
      <c r="Q1617" t="s">
        <v>2364</v>
      </c>
      <c r="R1617" t="s">
        <v>2364</v>
      </c>
      <c r="S1617" t="s">
        <v>553</v>
      </c>
      <c r="T1617" t="s">
        <v>2367</v>
      </c>
      <c r="U1617">
        <v>360</v>
      </c>
      <c r="V1617" t="s">
        <v>2368</v>
      </c>
      <c r="W1617">
        <v>360</v>
      </c>
      <c r="X1617" t="s">
        <v>711</v>
      </c>
      <c r="Y1617" t="s">
        <v>2365</v>
      </c>
      <c r="Z1617" t="s">
        <v>2365</v>
      </c>
      <c r="AA1617" t="s">
        <v>2365</v>
      </c>
      <c r="AB1617" t="s">
        <v>2365</v>
      </c>
      <c r="AC1617" s="813" t="s">
        <v>2365</v>
      </c>
      <c r="AD1617" s="813" t="s">
        <v>2365</v>
      </c>
      <c r="AE1617" s="813" t="s">
        <v>2365</v>
      </c>
      <c r="AF1617" t="s">
        <v>2365</v>
      </c>
      <c r="AG1617" t="s">
        <v>2365</v>
      </c>
      <c r="AH1617" t="s">
        <v>2365</v>
      </c>
      <c r="AI1617" t="s">
        <v>2365</v>
      </c>
      <c r="AJ1617" t="s">
        <v>2365</v>
      </c>
      <c r="AK1617" s="1373">
        <v>361</v>
      </c>
      <c r="AL1617" t="s">
        <v>1804</v>
      </c>
      <c r="AM1617">
        <v>361</v>
      </c>
      <c r="AN1617" t="s">
        <v>1804</v>
      </c>
      <c r="AR1617" t="s">
        <v>2365</v>
      </c>
      <c r="AS1617" t="s">
        <v>2365</v>
      </c>
      <c r="AT1617" t="s">
        <v>2365</v>
      </c>
      <c r="AU1617" t="s">
        <v>2365</v>
      </c>
      <c r="AV1617" t="s">
        <v>2365</v>
      </c>
      <c r="AW1617" t="s">
        <v>2365</v>
      </c>
      <c r="AX1617" t="s">
        <v>2365</v>
      </c>
      <c r="AY1617" t="s">
        <v>2365</v>
      </c>
      <c r="AZ1617" t="s">
        <v>2365</v>
      </c>
      <c r="BA1617" t="s">
        <v>2365</v>
      </c>
      <c r="BB1617" t="s">
        <v>2365</v>
      </c>
      <c r="BC1617" t="s">
        <v>2365</v>
      </c>
      <c r="BD1617" t="s">
        <v>2366</v>
      </c>
      <c r="BE1617" t="s">
        <v>2365</v>
      </c>
      <c r="BF1617" t="s">
        <v>2365</v>
      </c>
      <c r="BG1617" t="s">
        <v>2365</v>
      </c>
      <c r="BH1617" t="s">
        <v>2365</v>
      </c>
      <c r="BI1617" t="s">
        <v>2366</v>
      </c>
      <c r="BJ1617" t="s">
        <v>2365</v>
      </c>
      <c r="BK1617" t="s">
        <v>2365</v>
      </c>
      <c r="BL1617" t="s">
        <v>2365</v>
      </c>
      <c r="BM1617" t="s">
        <v>2365</v>
      </c>
      <c r="BO1617">
        <v>1</v>
      </c>
      <c r="BP1617">
        <v>11</v>
      </c>
      <c r="BQ1617" t="s">
        <v>2369</v>
      </c>
      <c r="BR1617" t="s">
        <v>1487</v>
      </c>
      <c r="BU1617">
        <v>0</v>
      </c>
      <c r="BV1617">
        <v>0</v>
      </c>
      <c r="BW1617">
        <v>0</v>
      </c>
      <c r="BX1617">
        <v>0</v>
      </c>
      <c r="BY1617">
        <v>0</v>
      </c>
      <c r="BZ1617">
        <v>0</v>
      </c>
      <c r="CA1617">
        <v>0</v>
      </c>
      <c r="CB1617">
        <v>0</v>
      </c>
      <c r="CC1617">
        <v>0</v>
      </c>
      <c r="CD1617">
        <v>0</v>
      </c>
      <c r="CE1617">
        <v>0</v>
      </c>
      <c r="CF1617">
        <v>0</v>
      </c>
      <c r="CG1617">
        <v>0</v>
      </c>
      <c r="CH1617">
        <v>0</v>
      </c>
      <c r="CI1617">
        <v>0</v>
      </c>
      <c r="CJ1617">
        <v>0</v>
      </c>
      <c r="CK1617">
        <v>0</v>
      </c>
      <c r="CL1617">
        <v>0</v>
      </c>
      <c r="CM1617">
        <v>0</v>
      </c>
      <c r="CR1617" t="s">
        <v>2332</v>
      </c>
      <c r="CS1617" s="1369" t="str">
        <f>INDEX([8]Sheet1!$H:$H,MATCH(CR:CR,[8]Sheet1!$AU:$AU,0))</f>
        <v>Water Storage</v>
      </c>
    </row>
    <row r="1618" spans="1:97" x14ac:dyDescent="0.2">
      <c r="A1618" t="s">
        <v>4718</v>
      </c>
      <c r="B1618">
        <v>1708</v>
      </c>
      <c r="C1618" t="s">
        <v>4718</v>
      </c>
      <c r="D1618">
        <v>54712</v>
      </c>
      <c r="E1618" t="s">
        <v>4719</v>
      </c>
      <c r="F1618" t="s">
        <v>2364</v>
      </c>
      <c r="G1618" t="s">
        <v>2364</v>
      </c>
      <c r="H1618" t="s">
        <v>2365</v>
      </c>
      <c r="I1618" t="s">
        <v>2365</v>
      </c>
      <c r="J1618" t="s">
        <v>2365</v>
      </c>
      <c r="K1618" t="s">
        <v>2365</v>
      </c>
      <c r="L1618">
        <v>1200</v>
      </c>
      <c r="M1618" t="s">
        <v>1480</v>
      </c>
      <c r="N1618">
        <v>1204</v>
      </c>
      <c r="O1618" t="s">
        <v>1487</v>
      </c>
      <c r="P1618" t="s">
        <v>2366</v>
      </c>
      <c r="Q1618" t="s">
        <v>2364</v>
      </c>
      <c r="R1618" t="s">
        <v>2364</v>
      </c>
      <c r="S1618" t="s">
        <v>553</v>
      </c>
      <c r="T1618" t="s">
        <v>2175</v>
      </c>
      <c r="U1618">
        <v>150</v>
      </c>
      <c r="V1618" t="s">
        <v>694</v>
      </c>
      <c r="W1618">
        <v>150</v>
      </c>
      <c r="X1618" t="s">
        <v>694</v>
      </c>
      <c r="Y1618" t="s">
        <v>2365</v>
      </c>
      <c r="Z1618" t="s">
        <v>2365</v>
      </c>
      <c r="AA1618" t="s">
        <v>2365</v>
      </c>
      <c r="AB1618" t="s">
        <v>2365</v>
      </c>
      <c r="AC1618" s="813" t="s">
        <v>2365</v>
      </c>
      <c r="AD1618" s="813" t="s">
        <v>2365</v>
      </c>
      <c r="AE1618" s="813" t="s">
        <v>2365</v>
      </c>
      <c r="AF1618" t="s">
        <v>2365</v>
      </c>
      <c r="AG1618" t="s">
        <v>2365</v>
      </c>
      <c r="AH1618" t="s">
        <v>2365</v>
      </c>
      <c r="AI1618" t="s">
        <v>2365</v>
      </c>
      <c r="AJ1618" t="s">
        <v>2365</v>
      </c>
      <c r="AK1618" t="s">
        <v>2365</v>
      </c>
      <c r="AL1618" t="s">
        <v>2365</v>
      </c>
      <c r="AM1618" t="s">
        <v>2365</v>
      </c>
      <c r="AN1618" t="s">
        <v>2365</v>
      </c>
      <c r="AR1618" t="s">
        <v>2365</v>
      </c>
      <c r="AS1618" t="s">
        <v>2365</v>
      </c>
      <c r="AT1618" t="s">
        <v>2365</v>
      </c>
      <c r="AU1618" t="s">
        <v>2365</v>
      </c>
      <c r="AV1618" t="s">
        <v>2365</v>
      </c>
      <c r="AW1618" t="s">
        <v>2365</v>
      </c>
      <c r="AX1618" t="s">
        <v>2365</v>
      </c>
      <c r="AY1618" t="s">
        <v>2365</v>
      </c>
      <c r="AZ1618" t="s">
        <v>2365</v>
      </c>
      <c r="BA1618" t="s">
        <v>2365</v>
      </c>
      <c r="BB1618" t="s">
        <v>2365</v>
      </c>
      <c r="BC1618" t="s">
        <v>2365</v>
      </c>
      <c r="BD1618" t="s">
        <v>2366</v>
      </c>
      <c r="BE1618" t="s">
        <v>2365</v>
      </c>
      <c r="BF1618" t="s">
        <v>2365</v>
      </c>
      <c r="BG1618" t="s">
        <v>2365</v>
      </c>
      <c r="BH1618" t="s">
        <v>2365</v>
      </c>
      <c r="BI1618" t="s">
        <v>2366</v>
      </c>
      <c r="BJ1618" t="s">
        <v>2365</v>
      </c>
      <c r="BK1618" t="s">
        <v>2365</v>
      </c>
      <c r="BL1618" t="s">
        <v>2365</v>
      </c>
      <c r="BM1618" t="s">
        <v>2365</v>
      </c>
      <c r="BO1618">
        <v>1</v>
      </c>
      <c r="BP1618">
        <v>11</v>
      </c>
      <c r="BQ1618" t="s">
        <v>2369</v>
      </c>
      <c r="BR1618" t="s">
        <v>1487</v>
      </c>
      <c r="BU1618">
        <v>0</v>
      </c>
      <c r="BV1618">
        <v>0</v>
      </c>
      <c r="BW1618">
        <v>0</v>
      </c>
      <c r="BX1618">
        <v>0</v>
      </c>
      <c r="BY1618">
        <v>0</v>
      </c>
      <c r="BZ1618">
        <v>0</v>
      </c>
      <c r="CA1618">
        <v>0</v>
      </c>
      <c r="CB1618">
        <v>0</v>
      </c>
      <c r="CC1618">
        <v>0</v>
      </c>
      <c r="CD1618">
        <v>0</v>
      </c>
      <c r="CE1618">
        <v>0</v>
      </c>
      <c r="CF1618">
        <v>0</v>
      </c>
      <c r="CG1618">
        <v>0</v>
      </c>
      <c r="CH1618">
        <v>0</v>
      </c>
      <c r="CI1618">
        <v>0</v>
      </c>
      <c r="CJ1618">
        <v>0</v>
      </c>
      <c r="CK1618">
        <v>0</v>
      </c>
      <c r="CL1618">
        <v>0</v>
      </c>
      <c r="CM1618">
        <v>0</v>
      </c>
      <c r="CR1618" t="s">
        <v>2328</v>
      </c>
      <c r="CS1618" s="1369" t="str">
        <f>INDEX([8]Sheet1!$H:$H,MATCH(CR:CR,[8]Sheet1!$AU:$AU,0))</f>
        <v>Water Distribution</v>
      </c>
    </row>
    <row r="1619" spans="1:97" x14ac:dyDescent="0.2">
      <c r="A1619" t="s">
        <v>4720</v>
      </c>
      <c r="B1619">
        <v>1709</v>
      </c>
      <c r="C1619" t="s">
        <v>4720</v>
      </c>
      <c r="D1619">
        <v>54713</v>
      </c>
      <c r="E1619" t="s">
        <v>4721</v>
      </c>
      <c r="F1619" t="s">
        <v>2364</v>
      </c>
      <c r="G1619" t="s">
        <v>2364</v>
      </c>
      <c r="H1619" t="s">
        <v>2365</v>
      </c>
      <c r="I1619" t="s">
        <v>2365</v>
      </c>
      <c r="J1619" t="s">
        <v>2365</v>
      </c>
      <c r="K1619" t="s">
        <v>2365</v>
      </c>
      <c r="L1619">
        <v>1200</v>
      </c>
      <c r="M1619" t="s">
        <v>1480</v>
      </c>
      <c r="N1619">
        <v>1204</v>
      </c>
      <c r="O1619" t="s">
        <v>1487</v>
      </c>
      <c r="P1619" t="s">
        <v>2366</v>
      </c>
      <c r="Q1619" t="s">
        <v>2364</v>
      </c>
      <c r="R1619" t="s">
        <v>2364</v>
      </c>
      <c r="S1619" t="s">
        <v>553</v>
      </c>
      <c r="T1619" t="s">
        <v>2175</v>
      </c>
      <c r="U1619">
        <v>150</v>
      </c>
      <c r="V1619" t="s">
        <v>694</v>
      </c>
      <c r="W1619">
        <v>150</v>
      </c>
      <c r="X1619" t="s">
        <v>694</v>
      </c>
      <c r="Y1619" t="s">
        <v>2365</v>
      </c>
      <c r="Z1619" t="s">
        <v>2365</v>
      </c>
      <c r="AA1619" t="s">
        <v>2365</v>
      </c>
      <c r="AB1619" t="s">
        <v>2365</v>
      </c>
      <c r="AC1619" s="813" t="s">
        <v>2365</v>
      </c>
      <c r="AD1619" s="813" t="s">
        <v>2365</v>
      </c>
      <c r="AE1619" s="813" t="s">
        <v>2365</v>
      </c>
      <c r="AF1619" t="s">
        <v>2365</v>
      </c>
      <c r="AG1619" t="s">
        <v>2365</v>
      </c>
      <c r="AH1619" t="s">
        <v>2365</v>
      </c>
      <c r="AI1619" t="s">
        <v>2365</v>
      </c>
      <c r="AJ1619" t="s">
        <v>2365</v>
      </c>
      <c r="AK1619" t="s">
        <v>2365</v>
      </c>
      <c r="AL1619" t="s">
        <v>2365</v>
      </c>
      <c r="AM1619" t="s">
        <v>2365</v>
      </c>
      <c r="AN1619" t="s">
        <v>2365</v>
      </c>
      <c r="AR1619" t="s">
        <v>2365</v>
      </c>
      <c r="AS1619" t="s">
        <v>2365</v>
      </c>
      <c r="AT1619" t="s">
        <v>2365</v>
      </c>
      <c r="AU1619" t="s">
        <v>2365</v>
      </c>
      <c r="AV1619" t="s">
        <v>2365</v>
      </c>
      <c r="AW1619" t="s">
        <v>2365</v>
      </c>
      <c r="AX1619" t="s">
        <v>2365</v>
      </c>
      <c r="AY1619" t="s">
        <v>2365</v>
      </c>
      <c r="AZ1619" t="s">
        <v>2365</v>
      </c>
      <c r="BA1619" t="s">
        <v>2365</v>
      </c>
      <c r="BB1619" t="s">
        <v>2365</v>
      </c>
      <c r="BC1619" t="s">
        <v>2365</v>
      </c>
      <c r="BD1619" t="s">
        <v>2366</v>
      </c>
      <c r="BE1619" t="s">
        <v>2365</v>
      </c>
      <c r="BF1619" t="s">
        <v>2365</v>
      </c>
      <c r="BG1619" t="s">
        <v>2365</v>
      </c>
      <c r="BH1619" t="s">
        <v>2365</v>
      </c>
      <c r="BI1619" t="s">
        <v>2366</v>
      </c>
      <c r="BJ1619" t="s">
        <v>2365</v>
      </c>
      <c r="BK1619" t="s">
        <v>2365</v>
      </c>
      <c r="BL1619" t="s">
        <v>2365</v>
      </c>
      <c r="BM1619" t="s">
        <v>2365</v>
      </c>
      <c r="BO1619">
        <v>1</v>
      </c>
      <c r="BP1619">
        <v>11</v>
      </c>
      <c r="BQ1619" t="s">
        <v>2369</v>
      </c>
      <c r="BR1619" t="s">
        <v>1487</v>
      </c>
      <c r="BU1619">
        <v>0</v>
      </c>
      <c r="BV1619">
        <v>0</v>
      </c>
      <c r="BW1619">
        <v>0</v>
      </c>
      <c r="BX1619">
        <v>0</v>
      </c>
      <c r="BY1619">
        <v>0</v>
      </c>
      <c r="BZ1619">
        <v>0</v>
      </c>
      <c r="CA1619">
        <v>0</v>
      </c>
      <c r="CB1619">
        <v>0</v>
      </c>
      <c r="CC1619">
        <v>0</v>
      </c>
      <c r="CD1619">
        <v>0</v>
      </c>
      <c r="CE1619">
        <v>0</v>
      </c>
      <c r="CF1619">
        <v>0</v>
      </c>
      <c r="CG1619">
        <v>0</v>
      </c>
      <c r="CH1619">
        <v>0</v>
      </c>
      <c r="CI1619">
        <v>0</v>
      </c>
      <c r="CJ1619">
        <v>0</v>
      </c>
      <c r="CK1619">
        <v>0</v>
      </c>
      <c r="CL1619">
        <v>0</v>
      </c>
      <c r="CM1619">
        <v>0</v>
      </c>
      <c r="CR1619" t="s">
        <v>2324</v>
      </c>
      <c r="CS1619" s="1369" t="str">
        <f>INDEX([8]Sheet1!$H:$H,MATCH(CR:CR,[8]Sheet1!$AU:$AU,0))</f>
        <v>Finance</v>
      </c>
    </row>
    <row r="1620" spans="1:97" x14ac:dyDescent="0.2">
      <c r="A1620" t="s">
        <v>4722</v>
      </c>
      <c r="B1620">
        <v>1710</v>
      </c>
      <c r="C1620" t="s">
        <v>4722</v>
      </c>
      <c r="D1620">
        <v>54714</v>
      </c>
      <c r="E1620" t="s">
        <v>4723</v>
      </c>
      <c r="F1620" t="s">
        <v>2364</v>
      </c>
      <c r="G1620" t="s">
        <v>2364</v>
      </c>
      <c r="H1620" s="1373" t="s">
        <v>2365</v>
      </c>
      <c r="I1620" t="s">
        <v>2365</v>
      </c>
      <c r="J1620" t="s">
        <v>2365</v>
      </c>
      <c r="K1620" t="s">
        <v>2365</v>
      </c>
      <c r="L1620" s="1373">
        <v>1200</v>
      </c>
      <c r="M1620" t="s">
        <v>1480</v>
      </c>
      <c r="N1620">
        <v>1204</v>
      </c>
      <c r="O1620" t="s">
        <v>1487</v>
      </c>
      <c r="P1620" t="s">
        <v>2366</v>
      </c>
      <c r="Q1620" t="s">
        <v>2364</v>
      </c>
      <c r="R1620" t="s">
        <v>2364</v>
      </c>
      <c r="S1620" t="s">
        <v>553</v>
      </c>
      <c r="T1620" t="s">
        <v>2175</v>
      </c>
      <c r="U1620">
        <v>150</v>
      </c>
      <c r="V1620" t="s">
        <v>694</v>
      </c>
      <c r="W1620">
        <v>150</v>
      </c>
      <c r="X1620" t="s">
        <v>694</v>
      </c>
      <c r="Y1620" t="s">
        <v>2365</v>
      </c>
      <c r="Z1620" t="s">
        <v>2365</v>
      </c>
      <c r="AA1620" t="s">
        <v>2365</v>
      </c>
      <c r="AB1620" t="s">
        <v>2365</v>
      </c>
      <c r="AC1620" s="813" t="s">
        <v>2365</v>
      </c>
      <c r="AD1620" s="813" t="s">
        <v>2365</v>
      </c>
      <c r="AE1620" s="813" t="s">
        <v>2365</v>
      </c>
      <c r="AF1620" t="s">
        <v>2365</v>
      </c>
      <c r="AG1620" t="s">
        <v>2365</v>
      </c>
      <c r="AH1620" t="s">
        <v>2365</v>
      </c>
      <c r="AI1620" t="s">
        <v>2365</v>
      </c>
      <c r="AJ1620" t="s">
        <v>2365</v>
      </c>
      <c r="AK1620" s="1373" t="s">
        <v>2365</v>
      </c>
      <c r="AL1620" t="s">
        <v>2365</v>
      </c>
      <c r="AM1620" t="s">
        <v>2365</v>
      </c>
      <c r="AN1620" t="s">
        <v>2365</v>
      </c>
      <c r="AR1620" t="s">
        <v>2365</v>
      </c>
      <c r="AS1620" t="s">
        <v>2365</v>
      </c>
      <c r="AT1620" t="s">
        <v>2365</v>
      </c>
      <c r="AU1620" t="s">
        <v>2365</v>
      </c>
      <c r="AV1620" t="s">
        <v>2365</v>
      </c>
      <c r="AW1620" t="s">
        <v>2365</v>
      </c>
      <c r="AX1620" t="s">
        <v>2365</v>
      </c>
      <c r="AY1620" t="s">
        <v>2365</v>
      </c>
      <c r="AZ1620" t="s">
        <v>2365</v>
      </c>
      <c r="BA1620" t="s">
        <v>2365</v>
      </c>
      <c r="BB1620" t="s">
        <v>2365</v>
      </c>
      <c r="BC1620" t="s">
        <v>2365</v>
      </c>
      <c r="BD1620" t="s">
        <v>2366</v>
      </c>
      <c r="BE1620" t="s">
        <v>2365</v>
      </c>
      <c r="BF1620" t="s">
        <v>2365</v>
      </c>
      <c r="BG1620" t="s">
        <v>2365</v>
      </c>
      <c r="BH1620" t="s">
        <v>2365</v>
      </c>
      <c r="BI1620" t="s">
        <v>2366</v>
      </c>
      <c r="BJ1620" t="s">
        <v>2365</v>
      </c>
      <c r="BK1620" t="s">
        <v>2365</v>
      </c>
      <c r="BL1620" t="s">
        <v>2365</v>
      </c>
      <c r="BM1620" t="s">
        <v>2365</v>
      </c>
      <c r="BO1620">
        <v>1</v>
      </c>
      <c r="BP1620">
        <v>11</v>
      </c>
      <c r="BQ1620" t="s">
        <v>2369</v>
      </c>
      <c r="BR1620" t="s">
        <v>1487</v>
      </c>
      <c r="BU1620" s="1371">
        <v>543000</v>
      </c>
      <c r="BV1620" s="1371">
        <v>0</v>
      </c>
      <c r="BW1620" s="1371">
        <v>543000</v>
      </c>
      <c r="BX1620" s="1371">
        <v>-543000</v>
      </c>
      <c r="BY1620" s="1371">
        <v>0</v>
      </c>
      <c r="BZ1620">
        <v>0</v>
      </c>
      <c r="CA1620">
        <v>0</v>
      </c>
      <c r="CB1620">
        <v>0</v>
      </c>
      <c r="CC1620">
        <v>0</v>
      </c>
      <c r="CD1620">
        <v>0</v>
      </c>
      <c r="CE1620">
        <v>0</v>
      </c>
      <c r="CF1620">
        <v>0</v>
      </c>
      <c r="CG1620">
        <v>0</v>
      </c>
      <c r="CH1620">
        <v>0</v>
      </c>
      <c r="CI1620">
        <v>0</v>
      </c>
      <c r="CJ1620">
        <v>0</v>
      </c>
      <c r="CK1620">
        <v>0</v>
      </c>
      <c r="CL1620">
        <v>0</v>
      </c>
      <c r="CM1620">
        <v>0</v>
      </c>
      <c r="CR1620" t="s">
        <v>2324</v>
      </c>
      <c r="CS1620" s="1369" t="str">
        <f>INDEX([8]Sheet1!$H:$H,MATCH(CR:CR,[8]Sheet1!$AU:$AU,0))</f>
        <v>Finance</v>
      </c>
    </row>
    <row r="1621" spans="1:97" x14ac:dyDescent="0.2">
      <c r="A1621" t="s">
        <v>4724</v>
      </c>
      <c r="B1621">
        <v>1711</v>
      </c>
      <c r="C1621" t="s">
        <v>4724</v>
      </c>
      <c r="D1621">
        <v>54707</v>
      </c>
      <c r="E1621" t="s">
        <v>2600</v>
      </c>
      <c r="F1621">
        <v>2900</v>
      </c>
      <c r="G1621" t="s">
        <v>569</v>
      </c>
      <c r="H1621" t="s">
        <v>2366</v>
      </c>
      <c r="I1621" t="s">
        <v>2366</v>
      </c>
      <c r="J1621">
        <v>2904</v>
      </c>
      <c r="K1621" t="s">
        <v>1432</v>
      </c>
      <c r="L1621">
        <v>2200</v>
      </c>
      <c r="M1621" t="s">
        <v>619</v>
      </c>
      <c r="N1621">
        <v>2205</v>
      </c>
      <c r="O1621" t="s">
        <v>1517</v>
      </c>
      <c r="P1621" t="s">
        <v>2366</v>
      </c>
      <c r="Q1621" t="s">
        <v>2364</v>
      </c>
      <c r="R1621" t="s">
        <v>2364</v>
      </c>
      <c r="S1621" t="s">
        <v>1881</v>
      </c>
      <c r="T1621" t="s">
        <v>1812</v>
      </c>
      <c r="U1621" t="s">
        <v>2365</v>
      </c>
      <c r="V1621" t="s">
        <v>2365</v>
      </c>
      <c r="W1621" t="s">
        <v>2365</v>
      </c>
      <c r="X1621" t="s">
        <v>2365</v>
      </c>
      <c r="Y1621" t="s">
        <v>2365</v>
      </c>
      <c r="Z1621" t="s">
        <v>2365</v>
      </c>
      <c r="AA1621" t="s">
        <v>2365</v>
      </c>
      <c r="AB1621" t="s">
        <v>2365</v>
      </c>
      <c r="AC1621" s="813" t="s">
        <v>2365</v>
      </c>
      <c r="AD1621" s="813" t="s">
        <v>2365</v>
      </c>
      <c r="AE1621" s="813" t="s">
        <v>2365</v>
      </c>
      <c r="AF1621" t="s">
        <v>2365</v>
      </c>
      <c r="AG1621" t="s">
        <v>2365</v>
      </c>
      <c r="AH1621" t="s">
        <v>2365</v>
      </c>
      <c r="AI1621" t="s">
        <v>2365</v>
      </c>
      <c r="AJ1621" t="s">
        <v>2365</v>
      </c>
      <c r="AK1621" t="s">
        <v>2365</v>
      </c>
      <c r="AL1621" t="s">
        <v>2365</v>
      </c>
      <c r="AM1621" t="s">
        <v>2365</v>
      </c>
      <c r="AN1621" t="s">
        <v>2365</v>
      </c>
      <c r="AR1621" t="s">
        <v>2365</v>
      </c>
      <c r="AS1621" t="s">
        <v>2365</v>
      </c>
      <c r="AT1621" t="s">
        <v>2365</v>
      </c>
      <c r="AU1621" t="s">
        <v>2365</v>
      </c>
      <c r="AV1621" t="s">
        <v>2365</v>
      </c>
      <c r="AW1621" t="s">
        <v>2365</v>
      </c>
      <c r="AX1621" t="s">
        <v>2365</v>
      </c>
      <c r="AY1621" t="s">
        <v>2365</v>
      </c>
      <c r="AZ1621" t="s">
        <v>2365</v>
      </c>
      <c r="BA1621" t="s">
        <v>2365</v>
      </c>
      <c r="BB1621" t="s">
        <v>2365</v>
      </c>
      <c r="BC1621" t="s">
        <v>2365</v>
      </c>
      <c r="BD1621" t="s">
        <v>2366</v>
      </c>
      <c r="BE1621" t="s">
        <v>2365</v>
      </c>
      <c r="BF1621" t="s">
        <v>2365</v>
      </c>
      <c r="BG1621" t="s">
        <v>2365</v>
      </c>
      <c r="BH1621" t="s">
        <v>2365</v>
      </c>
      <c r="BI1621" t="s">
        <v>2366</v>
      </c>
      <c r="BJ1621" t="s">
        <v>2365</v>
      </c>
      <c r="BK1621" t="s">
        <v>2365</v>
      </c>
      <c r="BL1621" t="s">
        <v>2365</v>
      </c>
      <c r="BM1621" t="s">
        <v>2365</v>
      </c>
      <c r="BO1621">
        <v>9</v>
      </c>
      <c r="BP1621">
        <v>91</v>
      </c>
      <c r="BQ1621" t="s">
        <v>265</v>
      </c>
      <c r="BR1621" t="s">
        <v>1517</v>
      </c>
      <c r="BU1621">
        <v>40000</v>
      </c>
      <c r="BV1621">
        <v>0</v>
      </c>
      <c r="BW1621">
        <v>40000</v>
      </c>
      <c r="BX1621">
        <v>0</v>
      </c>
      <c r="BY1621">
        <v>40000</v>
      </c>
      <c r="BZ1621">
        <v>42400</v>
      </c>
      <c r="CA1621">
        <v>44944</v>
      </c>
      <c r="CB1621">
        <v>0</v>
      </c>
      <c r="CC1621">
        <v>0</v>
      </c>
      <c r="CD1621">
        <v>0</v>
      </c>
      <c r="CE1621">
        <v>0</v>
      </c>
      <c r="CF1621">
        <v>0</v>
      </c>
      <c r="CG1621">
        <v>0</v>
      </c>
      <c r="CH1621">
        <v>0</v>
      </c>
      <c r="CI1621">
        <v>0</v>
      </c>
      <c r="CJ1621">
        <v>0</v>
      </c>
      <c r="CK1621">
        <v>0</v>
      </c>
      <c r="CL1621">
        <v>0</v>
      </c>
      <c r="CM1621">
        <v>0</v>
      </c>
      <c r="CR1621" t="s">
        <v>2324</v>
      </c>
      <c r="CS1621" s="1369" t="str">
        <f>INDEX([8]Sheet1!$H:$H,MATCH(CR:CR,[8]Sheet1!$AU:$AU,0))</f>
        <v>Finance</v>
      </c>
    </row>
    <row r="1622" spans="1:97" x14ac:dyDescent="0.2">
      <c r="A1622" t="s">
        <v>4725</v>
      </c>
      <c r="B1622">
        <v>1712</v>
      </c>
      <c r="C1622" t="s">
        <v>4725</v>
      </c>
      <c r="D1622">
        <v>54708</v>
      </c>
      <c r="E1622" t="s">
        <v>4726</v>
      </c>
      <c r="F1622">
        <v>2700</v>
      </c>
      <c r="G1622" t="s">
        <v>656</v>
      </c>
      <c r="H1622" t="s">
        <v>2478</v>
      </c>
      <c r="I1622" t="s">
        <v>1802</v>
      </c>
      <c r="J1622">
        <v>2703</v>
      </c>
      <c r="K1622" t="s">
        <v>1802</v>
      </c>
      <c r="L1622">
        <v>4100</v>
      </c>
      <c r="M1622" t="s">
        <v>1482</v>
      </c>
      <c r="N1622">
        <v>4101</v>
      </c>
      <c r="O1622" t="s">
        <v>1550</v>
      </c>
      <c r="P1622" t="s">
        <v>2366</v>
      </c>
      <c r="Q1622" t="s">
        <v>2364</v>
      </c>
      <c r="R1622" t="s">
        <v>2364</v>
      </c>
      <c r="S1622" t="s">
        <v>1881</v>
      </c>
      <c r="T1622" t="s">
        <v>1812</v>
      </c>
      <c r="U1622" t="s">
        <v>2365</v>
      </c>
      <c r="V1622" t="s">
        <v>2365</v>
      </c>
      <c r="W1622" t="s">
        <v>2365</v>
      </c>
      <c r="X1622" t="s">
        <v>2365</v>
      </c>
      <c r="Y1622" t="s">
        <v>2365</v>
      </c>
      <c r="Z1622" t="s">
        <v>2365</v>
      </c>
      <c r="AA1622" t="s">
        <v>2365</v>
      </c>
      <c r="AB1622" t="s">
        <v>2365</v>
      </c>
      <c r="AC1622" s="813" t="s">
        <v>2365</v>
      </c>
      <c r="AD1622" s="813" t="s">
        <v>2365</v>
      </c>
      <c r="AE1622" s="813" t="s">
        <v>2365</v>
      </c>
      <c r="AF1622" t="s">
        <v>2365</v>
      </c>
      <c r="AG1622" t="s">
        <v>2365</v>
      </c>
      <c r="AH1622" t="s">
        <v>2365</v>
      </c>
      <c r="AI1622" t="s">
        <v>2365</v>
      </c>
      <c r="AJ1622" t="s">
        <v>2365</v>
      </c>
      <c r="AK1622" t="s">
        <v>2365</v>
      </c>
      <c r="AL1622" t="s">
        <v>2365</v>
      </c>
      <c r="AM1622" t="s">
        <v>2365</v>
      </c>
      <c r="AN1622" t="s">
        <v>2365</v>
      </c>
      <c r="AR1622" t="s">
        <v>2365</v>
      </c>
      <c r="AS1622" t="s">
        <v>2365</v>
      </c>
      <c r="AT1622" t="s">
        <v>2365</v>
      </c>
      <c r="AU1622" t="s">
        <v>2365</v>
      </c>
      <c r="AV1622" t="s">
        <v>2365</v>
      </c>
      <c r="AW1622" t="s">
        <v>2365</v>
      </c>
      <c r="AX1622" t="s">
        <v>2365</v>
      </c>
      <c r="AY1622" t="s">
        <v>2365</v>
      </c>
      <c r="AZ1622" t="s">
        <v>2365</v>
      </c>
      <c r="BA1622" t="s">
        <v>2365</v>
      </c>
      <c r="BB1622" t="s">
        <v>2365</v>
      </c>
      <c r="BC1622" t="s">
        <v>2365</v>
      </c>
      <c r="BD1622" t="s">
        <v>2366</v>
      </c>
      <c r="BE1622" t="s">
        <v>2365</v>
      </c>
      <c r="BF1622" t="s">
        <v>2365</v>
      </c>
      <c r="BG1622" t="s">
        <v>2365</v>
      </c>
      <c r="BH1622" t="s">
        <v>2365</v>
      </c>
      <c r="BI1622" t="s">
        <v>2366</v>
      </c>
      <c r="BJ1622" t="s">
        <v>2365</v>
      </c>
      <c r="BK1622" t="s">
        <v>2365</v>
      </c>
      <c r="BL1622" t="s">
        <v>2365</v>
      </c>
      <c r="BM1622" t="s">
        <v>2365</v>
      </c>
      <c r="BO1622">
        <v>6</v>
      </c>
      <c r="BP1622">
        <v>61</v>
      </c>
      <c r="BQ1622" t="s">
        <v>2445</v>
      </c>
      <c r="BR1622" t="s">
        <v>628</v>
      </c>
      <c r="BU1622">
        <v>0</v>
      </c>
      <c r="BV1622">
        <v>0</v>
      </c>
      <c r="BW1622">
        <v>0</v>
      </c>
      <c r="BX1622">
        <v>0</v>
      </c>
      <c r="BY1622">
        <v>0</v>
      </c>
      <c r="BZ1622">
        <v>0</v>
      </c>
      <c r="CA1622">
        <v>0</v>
      </c>
      <c r="CB1622">
        <v>359541.75</v>
      </c>
      <c r="CC1622">
        <v>0</v>
      </c>
      <c r="CD1622">
        <v>238433.08</v>
      </c>
      <c r="CE1622">
        <v>0</v>
      </c>
      <c r="CF1622">
        <v>0</v>
      </c>
      <c r="CG1622">
        <v>-597974.82999999996</v>
      </c>
      <c r="CH1622">
        <v>0</v>
      </c>
      <c r="CI1622">
        <v>200000</v>
      </c>
      <c r="CJ1622">
        <v>0</v>
      </c>
      <c r="CK1622">
        <v>0</v>
      </c>
      <c r="CL1622">
        <v>0</v>
      </c>
      <c r="CM1622">
        <v>0</v>
      </c>
      <c r="CR1622" t="s">
        <v>2324</v>
      </c>
      <c r="CS1622" s="1369" t="str">
        <f>INDEX([8]Sheet1!$H:$H,MATCH(CR:CR,[8]Sheet1!$AU:$AU,0))</f>
        <v>Finance</v>
      </c>
    </row>
    <row r="1623" spans="1:97" x14ac:dyDescent="0.2">
      <c r="A1623" t="s">
        <v>4727</v>
      </c>
      <c r="B1623">
        <v>1713</v>
      </c>
      <c r="C1623" t="s">
        <v>4727</v>
      </c>
      <c r="D1623">
        <v>54715</v>
      </c>
      <c r="E1623" t="s">
        <v>4719</v>
      </c>
      <c r="F1623" t="s">
        <v>2364</v>
      </c>
      <c r="G1623" t="s">
        <v>2364</v>
      </c>
      <c r="H1623" s="1373" t="s">
        <v>2365</v>
      </c>
      <c r="I1623" t="s">
        <v>2365</v>
      </c>
      <c r="J1623" t="s">
        <v>2365</v>
      </c>
      <c r="K1623" t="s">
        <v>2365</v>
      </c>
      <c r="L1623" s="1373">
        <v>1200</v>
      </c>
      <c r="M1623" t="s">
        <v>1480</v>
      </c>
      <c r="N1623">
        <v>1204</v>
      </c>
      <c r="O1623" t="s">
        <v>1487</v>
      </c>
      <c r="P1623" t="s">
        <v>2366</v>
      </c>
      <c r="Q1623" t="s">
        <v>2364</v>
      </c>
      <c r="R1623" t="s">
        <v>2364</v>
      </c>
      <c r="S1623" t="s">
        <v>553</v>
      </c>
      <c r="T1623" t="s">
        <v>2175</v>
      </c>
      <c r="U1623">
        <v>150</v>
      </c>
      <c r="V1623" t="s">
        <v>694</v>
      </c>
      <c r="W1623">
        <v>150</v>
      </c>
      <c r="X1623" t="s">
        <v>694</v>
      </c>
      <c r="Y1623" t="s">
        <v>2365</v>
      </c>
      <c r="Z1623" t="s">
        <v>2365</v>
      </c>
      <c r="AA1623" t="s">
        <v>2365</v>
      </c>
      <c r="AB1623" t="s">
        <v>2365</v>
      </c>
      <c r="AC1623" s="813" t="s">
        <v>2365</v>
      </c>
      <c r="AD1623" s="813" t="s">
        <v>2365</v>
      </c>
      <c r="AE1623" s="813" t="s">
        <v>2365</v>
      </c>
      <c r="AF1623" t="s">
        <v>2365</v>
      </c>
      <c r="AG1623" t="s">
        <v>2365</v>
      </c>
      <c r="AH1623" t="s">
        <v>2365</v>
      </c>
      <c r="AI1623" t="s">
        <v>2365</v>
      </c>
      <c r="AJ1623" t="s">
        <v>2365</v>
      </c>
      <c r="AK1623" t="s">
        <v>2365</v>
      </c>
      <c r="AL1623" t="s">
        <v>2365</v>
      </c>
      <c r="AM1623" t="s">
        <v>2365</v>
      </c>
      <c r="AN1623" t="s">
        <v>2365</v>
      </c>
      <c r="AR1623" t="s">
        <v>2365</v>
      </c>
      <c r="AS1623" t="s">
        <v>2365</v>
      </c>
      <c r="AT1623" t="s">
        <v>2365</v>
      </c>
      <c r="AU1623" t="s">
        <v>2365</v>
      </c>
      <c r="AV1623" t="s">
        <v>2365</v>
      </c>
      <c r="AW1623" t="s">
        <v>2365</v>
      </c>
      <c r="AX1623" t="s">
        <v>2365</v>
      </c>
      <c r="AY1623" t="s">
        <v>2365</v>
      </c>
      <c r="AZ1623" t="s">
        <v>2365</v>
      </c>
      <c r="BA1623" t="s">
        <v>2365</v>
      </c>
      <c r="BB1623" t="s">
        <v>2365</v>
      </c>
      <c r="BC1623" t="s">
        <v>2365</v>
      </c>
      <c r="BD1623" t="s">
        <v>2366</v>
      </c>
      <c r="BE1623" t="s">
        <v>2365</v>
      </c>
      <c r="BF1623" t="s">
        <v>2365</v>
      </c>
      <c r="BG1623" t="s">
        <v>2365</v>
      </c>
      <c r="BH1623" t="s">
        <v>2365</v>
      </c>
      <c r="BI1623" t="s">
        <v>2366</v>
      </c>
      <c r="BJ1623" t="s">
        <v>2365</v>
      </c>
      <c r="BK1623" t="s">
        <v>2365</v>
      </c>
      <c r="BL1623" t="s">
        <v>2365</v>
      </c>
      <c r="BM1623" t="s">
        <v>2365</v>
      </c>
      <c r="BO1623">
        <v>1</v>
      </c>
      <c r="BP1623">
        <v>11</v>
      </c>
      <c r="BQ1623" t="s">
        <v>2369</v>
      </c>
      <c r="BR1623" t="s">
        <v>1487</v>
      </c>
      <c r="BU1623" s="1371">
        <v>0</v>
      </c>
      <c r="BV1623" s="1371">
        <v>0</v>
      </c>
      <c r="BW1623" s="1371">
        <v>0</v>
      </c>
      <c r="BX1623" s="1371">
        <v>0</v>
      </c>
      <c r="BY1623" s="1371">
        <v>0</v>
      </c>
      <c r="BZ1623">
        <v>0</v>
      </c>
      <c r="CA1623">
        <v>0</v>
      </c>
      <c r="CB1623">
        <v>0</v>
      </c>
      <c r="CC1623">
        <v>0</v>
      </c>
      <c r="CD1623">
        <v>0</v>
      </c>
      <c r="CE1623">
        <v>0</v>
      </c>
      <c r="CF1623">
        <v>0</v>
      </c>
      <c r="CG1623">
        <v>0</v>
      </c>
      <c r="CH1623">
        <v>0</v>
      </c>
      <c r="CI1623">
        <v>0</v>
      </c>
      <c r="CJ1623">
        <v>0</v>
      </c>
      <c r="CK1623">
        <v>0</v>
      </c>
      <c r="CL1623">
        <v>0</v>
      </c>
      <c r="CM1623">
        <v>0</v>
      </c>
      <c r="CR1623" t="s">
        <v>2324</v>
      </c>
      <c r="CS1623" s="1369" t="str">
        <f>INDEX([8]Sheet1!$H:$H,MATCH(CR:CR,[8]Sheet1!$AU:$AU,0))</f>
        <v>Finance</v>
      </c>
    </row>
    <row r="1624" spans="1:97" x14ac:dyDescent="0.2">
      <c r="A1624" t="s">
        <v>4728</v>
      </c>
      <c r="B1624">
        <v>1714</v>
      </c>
      <c r="C1624" t="s">
        <v>4728</v>
      </c>
      <c r="D1624">
        <v>54716</v>
      </c>
      <c r="E1624" t="s">
        <v>4717</v>
      </c>
      <c r="F1624" t="s">
        <v>2364</v>
      </c>
      <c r="G1624" t="s">
        <v>2364</v>
      </c>
      <c r="H1624" s="1373" t="s">
        <v>2365</v>
      </c>
      <c r="I1624" t="s">
        <v>2365</v>
      </c>
      <c r="J1624" t="s">
        <v>2365</v>
      </c>
      <c r="K1624" t="s">
        <v>2365</v>
      </c>
      <c r="L1624" s="1373">
        <v>1200</v>
      </c>
      <c r="M1624" t="s">
        <v>1480</v>
      </c>
      <c r="N1624">
        <v>1204</v>
      </c>
      <c r="O1624" t="s">
        <v>1487</v>
      </c>
      <c r="P1624" t="s">
        <v>2366</v>
      </c>
      <c r="Q1624" t="s">
        <v>2364</v>
      </c>
      <c r="R1624" t="s">
        <v>2364</v>
      </c>
      <c r="S1624" t="s">
        <v>553</v>
      </c>
      <c r="T1624" t="s">
        <v>2367</v>
      </c>
      <c r="U1624">
        <v>360</v>
      </c>
      <c r="V1624" t="s">
        <v>2368</v>
      </c>
      <c r="W1624">
        <v>360</v>
      </c>
      <c r="X1624" t="s">
        <v>711</v>
      </c>
      <c r="Y1624" t="s">
        <v>2365</v>
      </c>
      <c r="Z1624" t="s">
        <v>2365</v>
      </c>
      <c r="AA1624" t="s">
        <v>2365</v>
      </c>
      <c r="AB1624" t="s">
        <v>2365</v>
      </c>
      <c r="AC1624" s="813" t="s">
        <v>2365</v>
      </c>
      <c r="AD1624" s="813" t="s">
        <v>2365</v>
      </c>
      <c r="AE1624" s="813" t="s">
        <v>2365</v>
      </c>
      <c r="AF1624" t="s">
        <v>2365</v>
      </c>
      <c r="AG1624" t="s">
        <v>2365</v>
      </c>
      <c r="AH1624" t="s">
        <v>2365</v>
      </c>
      <c r="AI1624" t="s">
        <v>2365</v>
      </c>
      <c r="AJ1624" t="s">
        <v>2365</v>
      </c>
      <c r="AK1624">
        <v>361</v>
      </c>
      <c r="AL1624" t="s">
        <v>1804</v>
      </c>
      <c r="AM1624">
        <v>361</v>
      </c>
      <c r="AN1624" t="s">
        <v>1804</v>
      </c>
      <c r="AR1624" t="s">
        <v>2365</v>
      </c>
      <c r="AS1624" t="s">
        <v>2365</v>
      </c>
      <c r="AT1624" t="s">
        <v>2365</v>
      </c>
      <c r="AU1624" t="s">
        <v>2365</v>
      </c>
      <c r="AV1624" t="s">
        <v>2365</v>
      </c>
      <c r="AW1624" t="s">
        <v>2365</v>
      </c>
      <c r="AX1624" t="s">
        <v>2365</v>
      </c>
      <c r="AY1624" t="s">
        <v>2365</v>
      </c>
      <c r="AZ1624" t="s">
        <v>2365</v>
      </c>
      <c r="BA1624" t="s">
        <v>2365</v>
      </c>
      <c r="BB1624" t="s">
        <v>2365</v>
      </c>
      <c r="BC1624" t="s">
        <v>2365</v>
      </c>
      <c r="BD1624" t="s">
        <v>2366</v>
      </c>
      <c r="BE1624" t="s">
        <v>2365</v>
      </c>
      <c r="BF1624" t="s">
        <v>2365</v>
      </c>
      <c r="BG1624" t="s">
        <v>2365</v>
      </c>
      <c r="BH1624" t="s">
        <v>2365</v>
      </c>
      <c r="BI1624" t="s">
        <v>2366</v>
      </c>
      <c r="BJ1624" t="s">
        <v>2365</v>
      </c>
      <c r="BK1624" t="s">
        <v>2365</v>
      </c>
      <c r="BL1624" t="s">
        <v>2365</v>
      </c>
      <c r="BM1624" t="s">
        <v>2365</v>
      </c>
      <c r="BO1624">
        <v>1</v>
      </c>
      <c r="BP1624">
        <v>11</v>
      </c>
      <c r="BQ1624" t="s">
        <v>2369</v>
      </c>
      <c r="BR1624" t="s">
        <v>1487</v>
      </c>
      <c r="BU1624" s="1371">
        <v>0</v>
      </c>
      <c r="BV1624" s="1371">
        <v>0</v>
      </c>
      <c r="BW1624" s="1371">
        <v>0</v>
      </c>
      <c r="BX1624" s="1371">
        <v>0</v>
      </c>
      <c r="BY1624" s="1371">
        <v>0</v>
      </c>
      <c r="BZ1624">
        <v>0</v>
      </c>
      <c r="CA1624">
        <v>0</v>
      </c>
      <c r="CB1624">
        <v>0</v>
      </c>
      <c r="CC1624">
        <v>0</v>
      </c>
      <c r="CD1624">
        <v>0</v>
      </c>
      <c r="CE1624">
        <v>0</v>
      </c>
      <c r="CF1624">
        <v>0</v>
      </c>
      <c r="CG1624">
        <v>0</v>
      </c>
      <c r="CH1624">
        <v>0</v>
      </c>
      <c r="CI1624">
        <v>0</v>
      </c>
      <c r="CJ1624">
        <v>0</v>
      </c>
      <c r="CK1624">
        <v>0</v>
      </c>
      <c r="CL1624">
        <v>0</v>
      </c>
      <c r="CM1624">
        <v>0</v>
      </c>
      <c r="CR1624" t="s">
        <v>2324</v>
      </c>
      <c r="CS1624" s="1369" t="str">
        <f>INDEX([8]Sheet1!$H:$H,MATCH(CR:CR,[8]Sheet1!$AU:$AU,0))</f>
        <v>Finance</v>
      </c>
    </row>
    <row r="1625" spans="1:97" x14ac:dyDescent="0.2">
      <c r="A1625" t="s">
        <v>4729</v>
      </c>
      <c r="B1625">
        <v>1715</v>
      </c>
      <c r="C1625" t="s">
        <v>4729</v>
      </c>
      <c r="D1625">
        <v>54717</v>
      </c>
      <c r="E1625" t="s">
        <v>2471</v>
      </c>
      <c r="F1625">
        <v>2000</v>
      </c>
      <c r="G1625" t="s">
        <v>652</v>
      </c>
      <c r="H1625" t="s">
        <v>2472</v>
      </c>
      <c r="I1625" t="s">
        <v>1375</v>
      </c>
      <c r="J1625">
        <v>2002</v>
      </c>
      <c r="K1625" t="s">
        <v>1375</v>
      </c>
      <c r="L1625">
        <v>2100</v>
      </c>
      <c r="M1625" t="s">
        <v>618</v>
      </c>
      <c r="N1625">
        <v>2106</v>
      </c>
      <c r="O1625" t="s">
        <v>1499</v>
      </c>
      <c r="P1625" t="s">
        <v>2366</v>
      </c>
      <c r="Q1625" t="s">
        <v>2364</v>
      </c>
      <c r="R1625" t="s">
        <v>2364</v>
      </c>
      <c r="S1625" t="s">
        <v>1881</v>
      </c>
      <c r="T1625" t="s">
        <v>1812</v>
      </c>
      <c r="U1625" t="s">
        <v>2365</v>
      </c>
      <c r="V1625" t="s">
        <v>2365</v>
      </c>
      <c r="W1625" t="s">
        <v>2365</v>
      </c>
      <c r="X1625" t="s">
        <v>2365</v>
      </c>
      <c r="Y1625" t="s">
        <v>2365</v>
      </c>
      <c r="Z1625" t="s">
        <v>2365</v>
      </c>
      <c r="AA1625" t="s">
        <v>2365</v>
      </c>
      <c r="AB1625" t="s">
        <v>2365</v>
      </c>
      <c r="AC1625" s="813" t="s">
        <v>2365</v>
      </c>
      <c r="AD1625" s="813" t="s">
        <v>2365</v>
      </c>
      <c r="AE1625" s="813" t="s">
        <v>2365</v>
      </c>
      <c r="AF1625" t="s">
        <v>2365</v>
      </c>
      <c r="AG1625" t="s">
        <v>2365</v>
      </c>
      <c r="AH1625" t="s">
        <v>2365</v>
      </c>
      <c r="AI1625" t="s">
        <v>2365</v>
      </c>
      <c r="AJ1625" t="s">
        <v>2365</v>
      </c>
      <c r="AK1625" t="s">
        <v>2365</v>
      </c>
      <c r="AL1625" t="s">
        <v>2365</v>
      </c>
      <c r="AM1625" t="s">
        <v>2365</v>
      </c>
      <c r="AN1625" t="s">
        <v>2365</v>
      </c>
      <c r="AR1625" t="s">
        <v>2365</v>
      </c>
      <c r="AS1625" t="s">
        <v>2365</v>
      </c>
      <c r="AT1625" t="s">
        <v>2365</v>
      </c>
      <c r="AU1625" t="s">
        <v>2365</v>
      </c>
      <c r="AV1625" t="s">
        <v>2365</v>
      </c>
      <c r="AW1625" t="s">
        <v>2365</v>
      </c>
      <c r="AX1625" t="s">
        <v>2365</v>
      </c>
      <c r="AY1625" t="s">
        <v>2365</v>
      </c>
      <c r="AZ1625" t="s">
        <v>2365</v>
      </c>
      <c r="BA1625" t="s">
        <v>2365</v>
      </c>
      <c r="BB1625" t="s">
        <v>2365</v>
      </c>
      <c r="BC1625" t="s">
        <v>2365</v>
      </c>
      <c r="BD1625" t="s">
        <v>2366</v>
      </c>
      <c r="BE1625" t="s">
        <v>2365</v>
      </c>
      <c r="BF1625" t="s">
        <v>2365</v>
      </c>
      <c r="BG1625" t="s">
        <v>2365</v>
      </c>
      <c r="BH1625" t="s">
        <v>2365</v>
      </c>
      <c r="BI1625" t="s">
        <v>2366</v>
      </c>
      <c r="BJ1625" t="s">
        <v>2365</v>
      </c>
      <c r="BK1625" t="s">
        <v>2365</v>
      </c>
      <c r="BL1625" t="s">
        <v>2365</v>
      </c>
      <c r="BM1625" t="s">
        <v>2365</v>
      </c>
      <c r="BN1625" t="s">
        <v>2177</v>
      </c>
      <c r="BO1625">
        <v>5</v>
      </c>
      <c r="BP1625">
        <v>53</v>
      </c>
      <c r="BQ1625" t="s">
        <v>2438</v>
      </c>
      <c r="BR1625" t="s">
        <v>1499</v>
      </c>
      <c r="BU1625">
        <v>0</v>
      </c>
      <c r="BV1625">
        <v>0</v>
      </c>
      <c r="BW1625">
        <v>0</v>
      </c>
      <c r="BX1625">
        <v>0</v>
      </c>
      <c r="BY1625">
        <v>0</v>
      </c>
      <c r="BZ1625">
        <v>0</v>
      </c>
      <c r="CA1625">
        <v>0</v>
      </c>
      <c r="CB1625">
        <v>0</v>
      </c>
      <c r="CC1625">
        <v>0</v>
      </c>
      <c r="CD1625">
        <v>0</v>
      </c>
      <c r="CE1625">
        <v>0</v>
      </c>
      <c r="CF1625">
        <v>0</v>
      </c>
      <c r="CG1625">
        <v>0</v>
      </c>
      <c r="CH1625">
        <v>0</v>
      </c>
      <c r="CI1625">
        <v>0</v>
      </c>
      <c r="CJ1625">
        <v>0</v>
      </c>
      <c r="CK1625">
        <v>0</v>
      </c>
      <c r="CL1625">
        <v>0</v>
      </c>
      <c r="CM1625">
        <v>0</v>
      </c>
      <c r="CR1625" t="s">
        <v>2327</v>
      </c>
      <c r="CS1625" s="1369" t="str">
        <f>INDEX([8]Sheet1!$H:$H,MATCH(CR:CR,[8]Sheet1!$AU:$AU,0))</f>
        <v>Education</v>
      </c>
    </row>
    <row r="1626" spans="1:97" x14ac:dyDescent="0.2">
      <c r="A1626" t="s">
        <v>4730</v>
      </c>
      <c r="B1626">
        <v>1716</v>
      </c>
      <c r="C1626" t="s">
        <v>4730</v>
      </c>
      <c r="D1626">
        <v>54718</v>
      </c>
      <c r="E1626" t="s">
        <v>2530</v>
      </c>
      <c r="F1626">
        <v>2000</v>
      </c>
      <c r="G1626" t="s">
        <v>652</v>
      </c>
      <c r="H1626" s="1373" t="s">
        <v>2531</v>
      </c>
      <c r="I1626" t="s">
        <v>1185</v>
      </c>
      <c r="J1626">
        <v>2009</v>
      </c>
      <c r="K1626" t="s">
        <v>1185</v>
      </c>
      <c r="L1626" s="1373">
        <v>2100</v>
      </c>
      <c r="M1626" t="s">
        <v>618</v>
      </c>
      <c r="N1626">
        <v>2106</v>
      </c>
      <c r="O1626" t="s">
        <v>1499</v>
      </c>
      <c r="P1626" t="s">
        <v>2366</v>
      </c>
      <c r="Q1626" t="s">
        <v>2364</v>
      </c>
      <c r="R1626" t="s">
        <v>2364</v>
      </c>
      <c r="S1626" t="s">
        <v>1881</v>
      </c>
      <c r="T1626" t="s">
        <v>1812</v>
      </c>
      <c r="U1626" t="s">
        <v>2365</v>
      </c>
      <c r="V1626" t="s">
        <v>2365</v>
      </c>
      <c r="W1626" t="s">
        <v>2365</v>
      </c>
      <c r="X1626" t="s">
        <v>2365</v>
      </c>
      <c r="Y1626" t="s">
        <v>2365</v>
      </c>
      <c r="Z1626" t="s">
        <v>2365</v>
      </c>
      <c r="AA1626" t="s">
        <v>2365</v>
      </c>
      <c r="AB1626" t="s">
        <v>2365</v>
      </c>
      <c r="AC1626" s="813" t="s">
        <v>2365</v>
      </c>
      <c r="AD1626" s="813" t="s">
        <v>2365</v>
      </c>
      <c r="AE1626" s="813" t="s">
        <v>2365</v>
      </c>
      <c r="AF1626" t="s">
        <v>2365</v>
      </c>
      <c r="AG1626" t="s">
        <v>2365</v>
      </c>
      <c r="AH1626" t="s">
        <v>2365</v>
      </c>
      <c r="AI1626" t="s">
        <v>2365</v>
      </c>
      <c r="AJ1626" t="s">
        <v>2365</v>
      </c>
      <c r="AK1626" t="s">
        <v>2365</v>
      </c>
      <c r="AL1626" t="s">
        <v>2365</v>
      </c>
      <c r="AM1626" t="s">
        <v>2365</v>
      </c>
      <c r="AN1626" t="s">
        <v>2365</v>
      </c>
      <c r="AR1626" t="s">
        <v>2365</v>
      </c>
      <c r="AS1626" t="s">
        <v>2365</v>
      </c>
      <c r="AT1626" t="s">
        <v>2365</v>
      </c>
      <c r="AU1626" t="s">
        <v>2365</v>
      </c>
      <c r="AV1626" t="s">
        <v>2365</v>
      </c>
      <c r="AW1626" t="s">
        <v>2365</v>
      </c>
      <c r="AX1626" t="s">
        <v>2365</v>
      </c>
      <c r="AY1626" t="s">
        <v>2365</v>
      </c>
      <c r="AZ1626" t="s">
        <v>2365</v>
      </c>
      <c r="BA1626" t="s">
        <v>2365</v>
      </c>
      <c r="BB1626" t="s">
        <v>2365</v>
      </c>
      <c r="BC1626" t="s">
        <v>2365</v>
      </c>
      <c r="BD1626" t="s">
        <v>2366</v>
      </c>
      <c r="BE1626" t="s">
        <v>2365</v>
      </c>
      <c r="BF1626" t="s">
        <v>2365</v>
      </c>
      <c r="BG1626" t="s">
        <v>2365</v>
      </c>
      <c r="BH1626" t="s">
        <v>2365</v>
      </c>
      <c r="BI1626" t="s">
        <v>2366</v>
      </c>
      <c r="BJ1626" t="s">
        <v>2365</v>
      </c>
      <c r="BK1626" t="s">
        <v>2365</v>
      </c>
      <c r="BL1626" t="s">
        <v>2365</v>
      </c>
      <c r="BM1626" t="s">
        <v>2365</v>
      </c>
      <c r="BN1626" t="s">
        <v>2177</v>
      </c>
      <c r="BO1626">
        <v>5</v>
      </c>
      <c r="BP1626">
        <v>53</v>
      </c>
      <c r="BQ1626" t="s">
        <v>2438</v>
      </c>
      <c r="BR1626" t="s">
        <v>1499</v>
      </c>
      <c r="BU1626" s="1371">
        <v>0</v>
      </c>
      <c r="BV1626" s="1371">
        <v>0</v>
      </c>
      <c r="BW1626" s="1371">
        <v>0</v>
      </c>
      <c r="BX1626" s="1371">
        <v>0</v>
      </c>
      <c r="BY1626" s="1371">
        <v>0</v>
      </c>
      <c r="BZ1626">
        <v>0</v>
      </c>
      <c r="CA1626">
        <v>0</v>
      </c>
      <c r="CB1626">
        <v>0</v>
      </c>
      <c r="CC1626">
        <v>0</v>
      </c>
      <c r="CD1626">
        <v>0</v>
      </c>
      <c r="CE1626">
        <v>0</v>
      </c>
      <c r="CF1626">
        <v>0</v>
      </c>
      <c r="CG1626">
        <v>0</v>
      </c>
      <c r="CH1626">
        <v>0</v>
      </c>
      <c r="CI1626">
        <v>0</v>
      </c>
      <c r="CJ1626">
        <v>0</v>
      </c>
      <c r="CK1626">
        <v>0</v>
      </c>
      <c r="CL1626">
        <v>0</v>
      </c>
      <c r="CM1626">
        <v>0</v>
      </c>
      <c r="CR1626" t="s">
        <v>2332</v>
      </c>
      <c r="CS1626" s="1369" t="str">
        <f>INDEX([8]Sheet1!$H:$H,MATCH(CR:CR,[8]Sheet1!$AU:$AU,0))</f>
        <v>Water Storage</v>
      </c>
    </row>
    <row r="1627" spans="1:97" x14ac:dyDescent="0.2">
      <c r="A1627" t="s">
        <v>4731</v>
      </c>
      <c r="B1627">
        <v>1717</v>
      </c>
      <c r="C1627" t="s">
        <v>4731</v>
      </c>
      <c r="D1627">
        <v>54719</v>
      </c>
      <c r="E1627" t="s">
        <v>2528</v>
      </c>
      <c r="F1627">
        <v>2900</v>
      </c>
      <c r="G1627" t="s">
        <v>569</v>
      </c>
      <c r="H1627" s="1373" t="s">
        <v>2366</v>
      </c>
      <c r="I1627" t="s">
        <v>2366</v>
      </c>
      <c r="J1627">
        <v>2904</v>
      </c>
      <c r="K1627" t="s">
        <v>1432</v>
      </c>
      <c r="L1627" s="1373">
        <v>2100</v>
      </c>
      <c r="M1627" t="s">
        <v>618</v>
      </c>
      <c r="N1627">
        <v>2106</v>
      </c>
      <c r="O1627" t="s">
        <v>1499</v>
      </c>
      <c r="P1627" t="s">
        <v>2366</v>
      </c>
      <c r="Q1627" t="s">
        <v>2364</v>
      </c>
      <c r="R1627" t="s">
        <v>2364</v>
      </c>
      <c r="S1627" t="s">
        <v>1881</v>
      </c>
      <c r="T1627" t="s">
        <v>1812</v>
      </c>
      <c r="U1627" t="s">
        <v>2365</v>
      </c>
      <c r="V1627" t="s">
        <v>2365</v>
      </c>
      <c r="W1627" t="s">
        <v>2365</v>
      </c>
      <c r="X1627" t="s">
        <v>2365</v>
      </c>
      <c r="Y1627" t="s">
        <v>2365</v>
      </c>
      <c r="Z1627" t="s">
        <v>2365</v>
      </c>
      <c r="AA1627" t="s">
        <v>2365</v>
      </c>
      <c r="AB1627" t="s">
        <v>2365</v>
      </c>
      <c r="AC1627" s="813" t="s">
        <v>2365</v>
      </c>
      <c r="AD1627" s="813" t="s">
        <v>2365</v>
      </c>
      <c r="AE1627" s="813" t="s">
        <v>2365</v>
      </c>
      <c r="AF1627" t="s">
        <v>2365</v>
      </c>
      <c r="AG1627" t="s">
        <v>2365</v>
      </c>
      <c r="AH1627" t="s">
        <v>2365</v>
      </c>
      <c r="AI1627" t="s">
        <v>2365</v>
      </c>
      <c r="AJ1627" t="s">
        <v>2365</v>
      </c>
      <c r="AK1627" t="s">
        <v>2365</v>
      </c>
      <c r="AL1627" t="s">
        <v>2365</v>
      </c>
      <c r="AM1627" t="s">
        <v>2365</v>
      </c>
      <c r="AN1627" t="s">
        <v>2365</v>
      </c>
      <c r="AR1627" t="s">
        <v>2365</v>
      </c>
      <c r="AS1627" t="s">
        <v>2365</v>
      </c>
      <c r="AT1627" t="s">
        <v>2365</v>
      </c>
      <c r="AU1627" t="s">
        <v>2365</v>
      </c>
      <c r="AV1627" t="s">
        <v>2365</v>
      </c>
      <c r="AW1627" t="s">
        <v>2365</v>
      </c>
      <c r="AX1627" t="s">
        <v>2365</v>
      </c>
      <c r="AY1627" t="s">
        <v>2365</v>
      </c>
      <c r="AZ1627" t="s">
        <v>2365</v>
      </c>
      <c r="BA1627" t="s">
        <v>2365</v>
      </c>
      <c r="BB1627" t="s">
        <v>2365</v>
      </c>
      <c r="BC1627" t="s">
        <v>2365</v>
      </c>
      <c r="BD1627" t="s">
        <v>2366</v>
      </c>
      <c r="BE1627" t="s">
        <v>2365</v>
      </c>
      <c r="BF1627" t="s">
        <v>2365</v>
      </c>
      <c r="BG1627" t="s">
        <v>2365</v>
      </c>
      <c r="BH1627" t="s">
        <v>2365</v>
      </c>
      <c r="BI1627" t="s">
        <v>2366</v>
      </c>
      <c r="BJ1627" t="s">
        <v>2365</v>
      </c>
      <c r="BK1627" t="s">
        <v>2365</v>
      </c>
      <c r="BL1627" t="s">
        <v>2365</v>
      </c>
      <c r="BM1627" t="s">
        <v>2365</v>
      </c>
      <c r="BO1627">
        <v>5</v>
      </c>
      <c r="BP1627">
        <v>53</v>
      </c>
      <c r="BQ1627" t="s">
        <v>2438</v>
      </c>
      <c r="BR1627" t="s">
        <v>1499</v>
      </c>
      <c r="BU1627" s="1371">
        <v>0</v>
      </c>
      <c r="BV1627" s="1371">
        <v>0</v>
      </c>
      <c r="BW1627" s="1371">
        <v>0</v>
      </c>
      <c r="BX1627" s="1371">
        <v>0</v>
      </c>
      <c r="BY1627" s="1371">
        <v>0</v>
      </c>
      <c r="BZ1627">
        <v>0</v>
      </c>
      <c r="CA1627">
        <v>0</v>
      </c>
      <c r="CB1627">
        <v>0</v>
      </c>
      <c r="CC1627">
        <v>0</v>
      </c>
      <c r="CD1627">
        <v>0</v>
      </c>
      <c r="CE1627">
        <v>0</v>
      </c>
      <c r="CF1627">
        <v>0</v>
      </c>
      <c r="CG1627">
        <v>0</v>
      </c>
      <c r="CH1627">
        <v>0</v>
      </c>
      <c r="CI1627">
        <v>0</v>
      </c>
      <c r="CJ1627">
        <v>0</v>
      </c>
      <c r="CK1627">
        <v>0</v>
      </c>
      <c r="CL1627">
        <v>0</v>
      </c>
      <c r="CM1627">
        <v>0</v>
      </c>
      <c r="CR1627" t="s">
        <v>2332</v>
      </c>
      <c r="CS1627" s="1369" t="str">
        <f>INDEX([8]Sheet1!$H:$H,MATCH(CR:CR,[8]Sheet1!$AU:$AU,0))</f>
        <v>Water Storage</v>
      </c>
    </row>
    <row r="1628" spans="1:97" x14ac:dyDescent="0.2">
      <c r="A1628" t="s">
        <v>4732</v>
      </c>
      <c r="B1628">
        <v>1718</v>
      </c>
      <c r="C1628" t="s">
        <v>4732</v>
      </c>
      <c r="D1628">
        <v>54720</v>
      </c>
      <c r="E1628" t="s">
        <v>4733</v>
      </c>
      <c r="F1628">
        <v>2900</v>
      </c>
      <c r="G1628" t="s">
        <v>569</v>
      </c>
      <c r="H1628" t="s">
        <v>2366</v>
      </c>
      <c r="I1628" t="s">
        <v>2366</v>
      </c>
      <c r="J1628">
        <v>2904</v>
      </c>
      <c r="K1628" t="s">
        <v>1432</v>
      </c>
      <c r="L1628">
        <v>2100</v>
      </c>
      <c r="M1628" t="s">
        <v>618</v>
      </c>
      <c r="N1628">
        <v>2106</v>
      </c>
      <c r="O1628" t="s">
        <v>1499</v>
      </c>
      <c r="P1628" t="s">
        <v>2366</v>
      </c>
      <c r="Q1628" t="s">
        <v>2364</v>
      </c>
      <c r="R1628" t="s">
        <v>2364</v>
      </c>
      <c r="S1628" t="s">
        <v>1881</v>
      </c>
      <c r="T1628" t="s">
        <v>1812</v>
      </c>
      <c r="U1628" t="s">
        <v>2365</v>
      </c>
      <c r="V1628" t="s">
        <v>2365</v>
      </c>
      <c r="W1628" t="s">
        <v>2365</v>
      </c>
      <c r="X1628" t="s">
        <v>2365</v>
      </c>
      <c r="Y1628" t="s">
        <v>2365</v>
      </c>
      <c r="Z1628" t="s">
        <v>2365</v>
      </c>
      <c r="AA1628" t="s">
        <v>2365</v>
      </c>
      <c r="AB1628" t="s">
        <v>2365</v>
      </c>
      <c r="AC1628" s="813" t="s">
        <v>2365</v>
      </c>
      <c r="AD1628" s="813" t="s">
        <v>2365</v>
      </c>
      <c r="AE1628" s="813" t="s">
        <v>2365</v>
      </c>
      <c r="AF1628" t="s">
        <v>2365</v>
      </c>
      <c r="AG1628" t="s">
        <v>2365</v>
      </c>
      <c r="AH1628" t="s">
        <v>2365</v>
      </c>
      <c r="AI1628" t="s">
        <v>2365</v>
      </c>
      <c r="AJ1628" t="s">
        <v>2365</v>
      </c>
      <c r="AK1628" t="s">
        <v>2365</v>
      </c>
      <c r="AL1628" t="s">
        <v>2365</v>
      </c>
      <c r="AM1628" t="s">
        <v>2365</v>
      </c>
      <c r="AN1628" t="s">
        <v>2365</v>
      </c>
      <c r="AR1628" t="s">
        <v>2365</v>
      </c>
      <c r="AS1628" t="s">
        <v>2365</v>
      </c>
      <c r="AT1628" t="s">
        <v>2365</v>
      </c>
      <c r="AU1628" t="s">
        <v>2365</v>
      </c>
      <c r="AV1628" t="s">
        <v>2365</v>
      </c>
      <c r="AW1628" t="s">
        <v>2365</v>
      </c>
      <c r="AX1628" t="s">
        <v>2365</v>
      </c>
      <c r="AY1628" t="s">
        <v>2365</v>
      </c>
      <c r="AZ1628" t="s">
        <v>2365</v>
      </c>
      <c r="BA1628" t="s">
        <v>2365</v>
      </c>
      <c r="BB1628" t="s">
        <v>2365</v>
      </c>
      <c r="BC1628" t="s">
        <v>2365</v>
      </c>
      <c r="BD1628" t="s">
        <v>2366</v>
      </c>
      <c r="BE1628" t="s">
        <v>2365</v>
      </c>
      <c r="BF1628" t="s">
        <v>2365</v>
      </c>
      <c r="BG1628" t="s">
        <v>2365</v>
      </c>
      <c r="BH1628" t="s">
        <v>2365</v>
      </c>
      <c r="BI1628" t="s">
        <v>2366</v>
      </c>
      <c r="BJ1628" t="s">
        <v>2365</v>
      </c>
      <c r="BK1628" t="s">
        <v>2365</v>
      </c>
      <c r="BL1628" t="s">
        <v>2365</v>
      </c>
      <c r="BM1628" t="s">
        <v>2365</v>
      </c>
      <c r="BO1628">
        <v>5</v>
      </c>
      <c r="BP1628">
        <v>53</v>
      </c>
      <c r="BQ1628" t="s">
        <v>2438</v>
      </c>
      <c r="BR1628" t="s">
        <v>1499</v>
      </c>
      <c r="BU1628">
        <v>0</v>
      </c>
      <c r="BV1628">
        <v>0</v>
      </c>
      <c r="BW1628">
        <v>0</v>
      </c>
      <c r="BX1628">
        <v>0</v>
      </c>
      <c r="BY1628">
        <v>0</v>
      </c>
      <c r="BZ1628">
        <v>0</v>
      </c>
      <c r="CA1628">
        <v>0</v>
      </c>
      <c r="CB1628">
        <v>0</v>
      </c>
      <c r="CC1628">
        <v>0</v>
      </c>
      <c r="CD1628">
        <v>0</v>
      </c>
      <c r="CE1628">
        <v>0</v>
      </c>
      <c r="CF1628">
        <v>0</v>
      </c>
      <c r="CG1628">
        <v>0</v>
      </c>
      <c r="CH1628">
        <v>0</v>
      </c>
      <c r="CI1628">
        <v>0</v>
      </c>
      <c r="CJ1628">
        <v>0</v>
      </c>
      <c r="CK1628">
        <v>0</v>
      </c>
      <c r="CL1628">
        <v>0</v>
      </c>
      <c r="CM1628">
        <v>0</v>
      </c>
      <c r="CR1628" t="s">
        <v>2332</v>
      </c>
      <c r="CS1628" s="1369" t="str">
        <f>INDEX([8]Sheet1!$H:$H,MATCH(CR:CR,[8]Sheet1!$AU:$AU,0))</f>
        <v>Water Storage</v>
      </c>
    </row>
    <row r="1629" spans="1:97" x14ac:dyDescent="0.2">
      <c r="A1629" t="s">
        <v>4734</v>
      </c>
      <c r="B1629">
        <v>1719</v>
      </c>
      <c r="C1629" t="s">
        <v>4734</v>
      </c>
      <c r="D1629">
        <v>54726</v>
      </c>
      <c r="E1629" t="s">
        <v>3010</v>
      </c>
      <c r="F1629">
        <v>2700</v>
      </c>
      <c r="G1629" t="s">
        <v>656</v>
      </c>
      <c r="H1629" t="s">
        <v>2428</v>
      </c>
      <c r="I1629" t="s">
        <v>1800</v>
      </c>
      <c r="J1629">
        <v>2701</v>
      </c>
      <c r="K1629" t="s">
        <v>1800</v>
      </c>
      <c r="L1629">
        <v>3100</v>
      </c>
      <c r="M1629" t="s">
        <v>624</v>
      </c>
      <c r="N1629">
        <v>3105</v>
      </c>
      <c r="O1629" t="s">
        <v>1534</v>
      </c>
      <c r="P1629" t="s">
        <v>2366</v>
      </c>
      <c r="Q1629" t="s">
        <v>2364</v>
      </c>
      <c r="R1629" t="s">
        <v>2364</v>
      </c>
      <c r="S1629" t="s">
        <v>1881</v>
      </c>
      <c r="T1629" t="s">
        <v>1812</v>
      </c>
      <c r="U1629" t="s">
        <v>2365</v>
      </c>
      <c r="V1629" t="s">
        <v>2365</v>
      </c>
      <c r="W1629" t="s">
        <v>2365</v>
      </c>
      <c r="X1629" t="s">
        <v>2365</v>
      </c>
      <c r="Y1629" t="s">
        <v>2365</v>
      </c>
      <c r="Z1629" t="s">
        <v>2365</v>
      </c>
      <c r="AA1629" t="s">
        <v>2365</v>
      </c>
      <c r="AB1629" t="s">
        <v>2365</v>
      </c>
      <c r="AC1629" s="813" t="s">
        <v>2365</v>
      </c>
      <c r="AD1629" s="813" t="s">
        <v>2365</v>
      </c>
      <c r="AE1629" s="813" t="s">
        <v>2365</v>
      </c>
      <c r="AF1629" t="s">
        <v>2365</v>
      </c>
      <c r="AG1629" t="s">
        <v>2365</v>
      </c>
      <c r="AH1629" t="s">
        <v>2365</v>
      </c>
      <c r="AI1629" t="s">
        <v>2365</v>
      </c>
      <c r="AJ1629" t="s">
        <v>2365</v>
      </c>
      <c r="AK1629" t="s">
        <v>2365</v>
      </c>
      <c r="AL1629" t="s">
        <v>2365</v>
      </c>
      <c r="AM1629" t="s">
        <v>2365</v>
      </c>
      <c r="AN1629" t="s">
        <v>2365</v>
      </c>
      <c r="AR1629" t="s">
        <v>2365</v>
      </c>
      <c r="AS1629" t="s">
        <v>2365</v>
      </c>
      <c r="AT1629" t="s">
        <v>2365</v>
      </c>
      <c r="AU1629" t="s">
        <v>2365</v>
      </c>
      <c r="AV1629" t="s">
        <v>2365</v>
      </c>
      <c r="AW1629" t="s">
        <v>2365</v>
      </c>
      <c r="AX1629" t="s">
        <v>2365</v>
      </c>
      <c r="AY1629" t="s">
        <v>2365</v>
      </c>
      <c r="AZ1629" t="s">
        <v>2365</v>
      </c>
      <c r="BA1629" t="s">
        <v>2365</v>
      </c>
      <c r="BB1629" t="s">
        <v>2365</v>
      </c>
      <c r="BC1629" t="s">
        <v>2365</v>
      </c>
      <c r="BD1629" t="s">
        <v>2366</v>
      </c>
      <c r="BE1629" t="s">
        <v>2365</v>
      </c>
      <c r="BF1629" t="s">
        <v>2365</v>
      </c>
      <c r="BG1629" t="s">
        <v>2365</v>
      </c>
      <c r="BH1629" t="s">
        <v>2365</v>
      </c>
      <c r="BI1629" t="s">
        <v>2366</v>
      </c>
      <c r="BJ1629" t="s">
        <v>2365</v>
      </c>
      <c r="BK1629" t="s">
        <v>2365</v>
      </c>
      <c r="BL1629" t="s">
        <v>2365</v>
      </c>
      <c r="BM1629" t="s">
        <v>2365</v>
      </c>
      <c r="BO1629">
        <v>8</v>
      </c>
      <c r="BP1629">
        <v>83</v>
      </c>
      <c r="BQ1629" t="s">
        <v>2442</v>
      </c>
      <c r="BR1629" t="s">
        <v>1534</v>
      </c>
      <c r="BU1629">
        <v>0</v>
      </c>
      <c r="BV1629">
        <v>0</v>
      </c>
      <c r="BW1629">
        <v>0</v>
      </c>
      <c r="BX1629">
        <v>0</v>
      </c>
      <c r="BY1629">
        <v>0</v>
      </c>
      <c r="BZ1629">
        <v>0</v>
      </c>
      <c r="CA1629">
        <v>0</v>
      </c>
      <c r="CB1629">
        <v>0</v>
      </c>
      <c r="CC1629">
        <v>0</v>
      </c>
      <c r="CD1629">
        <v>0</v>
      </c>
      <c r="CE1629">
        <v>0</v>
      </c>
      <c r="CF1629">
        <v>0</v>
      </c>
      <c r="CG1629">
        <v>0</v>
      </c>
      <c r="CH1629">
        <v>0</v>
      </c>
      <c r="CI1629">
        <v>0</v>
      </c>
      <c r="CJ1629">
        <v>0</v>
      </c>
      <c r="CK1629">
        <v>0</v>
      </c>
      <c r="CL1629">
        <v>0</v>
      </c>
      <c r="CM1629">
        <v>0</v>
      </c>
      <c r="CR1629" t="s">
        <v>2332</v>
      </c>
      <c r="CS1629" s="1369" t="str">
        <f>INDEX([8]Sheet1!$H:$H,MATCH(CR:CR,[8]Sheet1!$AU:$AU,0))</f>
        <v>Water Storage</v>
      </c>
    </row>
    <row r="1630" spans="1:97" x14ac:dyDescent="0.2">
      <c r="A1630" t="s">
        <v>4735</v>
      </c>
      <c r="B1630">
        <v>1720</v>
      </c>
      <c r="C1630" t="s">
        <v>4735</v>
      </c>
      <c r="D1630">
        <v>54721</v>
      </c>
      <c r="E1630" t="s">
        <v>2437</v>
      </c>
      <c r="F1630" t="s">
        <v>2364</v>
      </c>
      <c r="G1630" t="s">
        <v>2364</v>
      </c>
      <c r="H1630" t="s">
        <v>2365</v>
      </c>
      <c r="I1630" t="s">
        <v>2365</v>
      </c>
      <c r="J1630" t="s">
        <v>2365</v>
      </c>
      <c r="K1630" t="s">
        <v>2365</v>
      </c>
      <c r="L1630">
        <v>2100</v>
      </c>
      <c r="M1630" t="s">
        <v>618</v>
      </c>
      <c r="N1630">
        <v>2106</v>
      </c>
      <c r="O1630" t="s">
        <v>1499</v>
      </c>
      <c r="P1630" t="s">
        <v>1846</v>
      </c>
      <c r="Q1630">
        <v>2080</v>
      </c>
      <c r="R1630" t="s">
        <v>579</v>
      </c>
      <c r="S1630" t="s">
        <v>552</v>
      </c>
      <c r="T1630" t="s">
        <v>2175</v>
      </c>
      <c r="U1630">
        <v>240</v>
      </c>
      <c r="V1630" t="s">
        <v>2389</v>
      </c>
      <c r="W1630">
        <v>240</v>
      </c>
      <c r="X1630" t="s">
        <v>701</v>
      </c>
      <c r="Y1630" t="s">
        <v>2365</v>
      </c>
      <c r="Z1630" t="s">
        <v>2365</v>
      </c>
      <c r="AA1630" t="s">
        <v>2365</v>
      </c>
      <c r="AB1630" t="s">
        <v>2365</v>
      </c>
      <c r="AC1630" s="813" t="s">
        <v>2365</v>
      </c>
      <c r="AD1630" s="813" t="s">
        <v>2365</v>
      </c>
      <c r="AE1630" s="813" t="s">
        <v>2365</v>
      </c>
      <c r="AF1630" t="s">
        <v>2365</v>
      </c>
      <c r="AG1630" t="s">
        <v>2365</v>
      </c>
      <c r="AH1630" t="s">
        <v>2365</v>
      </c>
      <c r="AI1630" t="s">
        <v>2365</v>
      </c>
      <c r="AJ1630" t="s">
        <v>2365</v>
      </c>
      <c r="AK1630">
        <v>241</v>
      </c>
      <c r="AL1630" t="s">
        <v>1203</v>
      </c>
      <c r="AM1630">
        <v>241</v>
      </c>
      <c r="AN1630" t="s">
        <v>1203</v>
      </c>
      <c r="AR1630">
        <v>790</v>
      </c>
      <c r="AS1630" t="s">
        <v>1622</v>
      </c>
      <c r="AT1630">
        <v>790</v>
      </c>
      <c r="AU1630" t="s">
        <v>1622</v>
      </c>
      <c r="AV1630" t="s">
        <v>2365</v>
      </c>
      <c r="AW1630" t="s">
        <v>2365</v>
      </c>
      <c r="AX1630" t="s">
        <v>2365</v>
      </c>
      <c r="AY1630" t="s">
        <v>2365</v>
      </c>
      <c r="AZ1630" t="s">
        <v>2365</v>
      </c>
      <c r="BA1630" t="s">
        <v>2365</v>
      </c>
      <c r="BB1630" t="s">
        <v>2365</v>
      </c>
      <c r="BC1630" t="s">
        <v>2365</v>
      </c>
      <c r="BD1630" t="s">
        <v>2366</v>
      </c>
      <c r="BE1630" t="s">
        <v>2365</v>
      </c>
      <c r="BF1630" t="s">
        <v>2365</v>
      </c>
      <c r="BG1630" t="s">
        <v>2365</v>
      </c>
      <c r="BH1630" t="s">
        <v>2365</v>
      </c>
      <c r="BI1630" t="s">
        <v>2366</v>
      </c>
      <c r="BJ1630" t="s">
        <v>2365</v>
      </c>
      <c r="BK1630" t="s">
        <v>2365</v>
      </c>
      <c r="BL1630" t="s">
        <v>2365</v>
      </c>
      <c r="BM1630" t="s">
        <v>2365</v>
      </c>
      <c r="BO1630">
        <v>5</v>
      </c>
      <c r="BP1630">
        <v>53</v>
      </c>
      <c r="BQ1630" t="s">
        <v>2438</v>
      </c>
      <c r="BR1630" t="s">
        <v>1499</v>
      </c>
      <c r="BU1630">
        <v>3000000</v>
      </c>
      <c r="BV1630">
        <v>0</v>
      </c>
      <c r="BW1630">
        <v>3000000</v>
      </c>
      <c r="BX1630">
        <v>2132585</v>
      </c>
      <c r="BY1630">
        <v>5132585</v>
      </c>
      <c r="BZ1630">
        <v>0</v>
      </c>
      <c r="CA1630">
        <v>0</v>
      </c>
      <c r="CB1630">
        <v>0</v>
      </c>
      <c r="CC1630">
        <v>0</v>
      </c>
      <c r="CD1630">
        <v>0</v>
      </c>
      <c r="CE1630">
        <v>0</v>
      </c>
      <c r="CF1630">
        <v>167887.37</v>
      </c>
      <c r="CG1630">
        <v>0</v>
      </c>
      <c r="CH1630">
        <v>0</v>
      </c>
      <c r="CI1630">
        <v>0</v>
      </c>
      <c r="CJ1630">
        <v>529988.21</v>
      </c>
      <c r="CK1630">
        <v>0</v>
      </c>
      <c r="CL1630">
        <v>0</v>
      </c>
      <c r="CM1630">
        <v>0</v>
      </c>
      <c r="CR1630" t="s">
        <v>2330</v>
      </c>
      <c r="CS1630" s="1369" t="str">
        <f>INDEX([8]Sheet1!$H:$H,MATCH(CR:CR,[8]Sheet1!$AU:$AU,0))</f>
        <v>Water Treatment</v>
      </c>
    </row>
    <row r="1631" spans="1:97" x14ac:dyDescent="0.2">
      <c r="A1631" t="s">
        <v>4736</v>
      </c>
      <c r="B1631">
        <v>1721</v>
      </c>
      <c r="C1631" t="s">
        <v>4736</v>
      </c>
      <c r="D1631">
        <v>54722</v>
      </c>
      <c r="E1631" t="s">
        <v>2437</v>
      </c>
      <c r="F1631" t="s">
        <v>2364</v>
      </c>
      <c r="G1631" t="s">
        <v>2364</v>
      </c>
      <c r="H1631" t="s">
        <v>2365</v>
      </c>
      <c r="I1631" t="s">
        <v>2365</v>
      </c>
      <c r="J1631" t="s">
        <v>2365</v>
      </c>
      <c r="K1631" t="s">
        <v>2365</v>
      </c>
      <c r="L1631">
        <v>2100</v>
      </c>
      <c r="M1631" t="s">
        <v>618</v>
      </c>
      <c r="N1631">
        <v>2106</v>
      </c>
      <c r="O1631" t="s">
        <v>1499</v>
      </c>
      <c r="P1631" t="s">
        <v>1846</v>
      </c>
      <c r="Q1631">
        <v>2080</v>
      </c>
      <c r="R1631" t="s">
        <v>579</v>
      </c>
      <c r="S1631" t="s">
        <v>552</v>
      </c>
      <c r="T1631" t="s">
        <v>2175</v>
      </c>
      <c r="U1631">
        <v>240</v>
      </c>
      <c r="V1631" t="s">
        <v>2389</v>
      </c>
      <c r="W1631">
        <v>240</v>
      </c>
      <c r="X1631" t="s">
        <v>701</v>
      </c>
      <c r="Y1631" t="s">
        <v>2365</v>
      </c>
      <c r="Z1631" t="s">
        <v>2365</v>
      </c>
      <c r="AA1631" t="s">
        <v>2365</v>
      </c>
      <c r="AB1631" t="s">
        <v>2365</v>
      </c>
      <c r="AC1631" s="813" t="s">
        <v>2365</v>
      </c>
      <c r="AD1631" s="813" t="s">
        <v>2365</v>
      </c>
      <c r="AE1631" s="813" t="s">
        <v>2365</v>
      </c>
      <c r="AF1631" t="s">
        <v>2365</v>
      </c>
      <c r="AG1631" t="s">
        <v>2365</v>
      </c>
      <c r="AH1631" t="s">
        <v>2365</v>
      </c>
      <c r="AI1631" t="s">
        <v>2365</v>
      </c>
      <c r="AJ1631" t="s">
        <v>2365</v>
      </c>
      <c r="AK1631">
        <v>241</v>
      </c>
      <c r="AL1631" t="s">
        <v>1203</v>
      </c>
      <c r="AM1631">
        <v>241</v>
      </c>
      <c r="AN1631" t="s">
        <v>1203</v>
      </c>
      <c r="AR1631">
        <v>790</v>
      </c>
      <c r="AS1631" t="s">
        <v>1622</v>
      </c>
      <c r="AT1631">
        <v>790</v>
      </c>
      <c r="AU1631" t="s">
        <v>1622</v>
      </c>
      <c r="AV1631" t="s">
        <v>2365</v>
      </c>
      <c r="AW1631" t="s">
        <v>2365</v>
      </c>
      <c r="AX1631" t="s">
        <v>2365</v>
      </c>
      <c r="AY1631" t="s">
        <v>2365</v>
      </c>
      <c r="AZ1631" t="s">
        <v>2365</v>
      </c>
      <c r="BA1631" t="s">
        <v>2365</v>
      </c>
      <c r="BB1631" t="s">
        <v>2365</v>
      </c>
      <c r="BC1631" t="s">
        <v>2365</v>
      </c>
      <c r="BD1631" t="s">
        <v>2366</v>
      </c>
      <c r="BE1631" t="s">
        <v>2365</v>
      </c>
      <c r="BF1631" t="s">
        <v>2365</v>
      </c>
      <c r="BG1631" t="s">
        <v>2365</v>
      </c>
      <c r="BH1631" t="s">
        <v>2365</v>
      </c>
      <c r="BI1631" t="s">
        <v>2366</v>
      </c>
      <c r="BJ1631" t="s">
        <v>2365</v>
      </c>
      <c r="BK1631" t="s">
        <v>2365</v>
      </c>
      <c r="BL1631" t="s">
        <v>2365</v>
      </c>
      <c r="BM1631" t="s">
        <v>2365</v>
      </c>
      <c r="BO1631">
        <v>5</v>
      </c>
      <c r="BP1631">
        <v>53</v>
      </c>
      <c r="BQ1631" t="s">
        <v>2438</v>
      </c>
      <c r="BR1631" t="s">
        <v>1499</v>
      </c>
      <c r="BU1631">
        <v>0</v>
      </c>
      <c r="BV1631">
        <v>0</v>
      </c>
      <c r="BW1631">
        <v>0</v>
      </c>
      <c r="BX1631">
        <v>0</v>
      </c>
      <c r="BY1631">
        <v>0</v>
      </c>
      <c r="BZ1631">
        <v>0</v>
      </c>
      <c r="CA1631">
        <v>0</v>
      </c>
      <c r="CB1631">
        <v>0</v>
      </c>
      <c r="CC1631">
        <v>0</v>
      </c>
      <c r="CD1631">
        <v>0</v>
      </c>
      <c r="CE1631">
        <v>0</v>
      </c>
      <c r="CF1631">
        <v>0</v>
      </c>
      <c r="CG1631">
        <v>0</v>
      </c>
      <c r="CH1631">
        <v>0</v>
      </c>
      <c r="CI1631">
        <v>0</v>
      </c>
      <c r="CJ1631">
        <v>0</v>
      </c>
      <c r="CK1631">
        <v>0</v>
      </c>
      <c r="CL1631">
        <v>0</v>
      </c>
      <c r="CM1631">
        <v>0</v>
      </c>
      <c r="CR1631" t="s">
        <v>2332</v>
      </c>
      <c r="CS1631" s="1369" t="str">
        <f>INDEX([8]Sheet1!$H:$H,MATCH(CR:CR,[8]Sheet1!$AU:$AU,0))</f>
        <v>Water Storage</v>
      </c>
    </row>
    <row r="1632" spans="1:97" x14ac:dyDescent="0.2">
      <c r="A1632" t="s">
        <v>4737</v>
      </c>
      <c r="B1632">
        <v>1722</v>
      </c>
      <c r="C1632" t="s">
        <v>4737</v>
      </c>
      <c r="D1632">
        <v>54723</v>
      </c>
      <c r="E1632" t="s">
        <v>2437</v>
      </c>
      <c r="F1632" t="s">
        <v>2364</v>
      </c>
      <c r="G1632" t="s">
        <v>2364</v>
      </c>
      <c r="H1632" t="s">
        <v>2365</v>
      </c>
      <c r="I1632" t="s">
        <v>2365</v>
      </c>
      <c r="J1632" t="s">
        <v>2365</v>
      </c>
      <c r="K1632" t="s">
        <v>2365</v>
      </c>
      <c r="L1632">
        <v>3200</v>
      </c>
      <c r="M1632" t="s">
        <v>625</v>
      </c>
      <c r="N1632">
        <v>3205</v>
      </c>
      <c r="O1632" t="s">
        <v>1002</v>
      </c>
      <c r="P1632" t="s">
        <v>1846</v>
      </c>
      <c r="Q1632">
        <v>2080</v>
      </c>
      <c r="R1632" t="s">
        <v>579</v>
      </c>
      <c r="S1632" t="s">
        <v>552</v>
      </c>
      <c r="T1632" t="s">
        <v>2175</v>
      </c>
      <c r="U1632">
        <v>240</v>
      </c>
      <c r="V1632" t="s">
        <v>2389</v>
      </c>
      <c r="W1632">
        <v>240</v>
      </c>
      <c r="X1632" t="s">
        <v>701</v>
      </c>
      <c r="Y1632" t="s">
        <v>2365</v>
      </c>
      <c r="Z1632" t="s">
        <v>2365</v>
      </c>
      <c r="AA1632" t="s">
        <v>2365</v>
      </c>
      <c r="AB1632" t="s">
        <v>2365</v>
      </c>
      <c r="AC1632" s="813" t="s">
        <v>2365</v>
      </c>
      <c r="AD1632" s="813" t="s">
        <v>2365</v>
      </c>
      <c r="AE1632" s="813" t="s">
        <v>2365</v>
      </c>
      <c r="AF1632" t="s">
        <v>2365</v>
      </c>
      <c r="AG1632" t="s">
        <v>2365</v>
      </c>
      <c r="AH1632" t="s">
        <v>2365</v>
      </c>
      <c r="AI1632" t="s">
        <v>2365</v>
      </c>
      <c r="AJ1632" t="s">
        <v>2365</v>
      </c>
      <c r="AK1632">
        <v>241</v>
      </c>
      <c r="AL1632" t="s">
        <v>1203</v>
      </c>
      <c r="AM1632">
        <v>241</v>
      </c>
      <c r="AN1632" t="s">
        <v>1203</v>
      </c>
      <c r="AR1632" t="s">
        <v>2365</v>
      </c>
      <c r="AS1632" t="s">
        <v>2365</v>
      </c>
      <c r="AT1632" t="s">
        <v>2365</v>
      </c>
      <c r="AU1632" t="s">
        <v>2365</v>
      </c>
      <c r="AV1632" t="s">
        <v>2365</v>
      </c>
      <c r="AW1632" t="s">
        <v>2365</v>
      </c>
      <c r="AX1632" t="s">
        <v>2365</v>
      </c>
      <c r="AY1632" t="s">
        <v>2365</v>
      </c>
      <c r="AZ1632" t="s">
        <v>2365</v>
      </c>
      <c r="BA1632" t="s">
        <v>2365</v>
      </c>
      <c r="BB1632" t="s">
        <v>2365</v>
      </c>
      <c r="BC1632" t="s">
        <v>2365</v>
      </c>
      <c r="BD1632" t="s">
        <v>2366</v>
      </c>
      <c r="BE1632" t="s">
        <v>2365</v>
      </c>
      <c r="BF1632" t="s">
        <v>2365</v>
      </c>
      <c r="BG1632" t="s">
        <v>2365</v>
      </c>
      <c r="BH1632" t="s">
        <v>2365</v>
      </c>
      <c r="BI1632" t="s">
        <v>2366</v>
      </c>
      <c r="BJ1632">
        <v>120</v>
      </c>
      <c r="BK1632" t="s">
        <v>1002</v>
      </c>
      <c r="BL1632">
        <v>120</v>
      </c>
      <c r="BM1632" t="s">
        <v>1002</v>
      </c>
      <c r="BO1632">
        <v>7</v>
      </c>
      <c r="BP1632">
        <v>71</v>
      </c>
      <c r="BQ1632" t="s">
        <v>2665</v>
      </c>
      <c r="BR1632" t="s">
        <v>1002</v>
      </c>
      <c r="BU1632">
        <v>0</v>
      </c>
      <c r="BV1632">
        <v>0</v>
      </c>
      <c r="BW1632">
        <v>0</v>
      </c>
      <c r="BX1632">
        <v>0</v>
      </c>
      <c r="BY1632">
        <v>0</v>
      </c>
      <c r="BZ1632">
        <v>0</v>
      </c>
      <c r="CA1632">
        <v>0</v>
      </c>
      <c r="CB1632">
        <v>482508.95</v>
      </c>
      <c r="CC1632">
        <v>0</v>
      </c>
      <c r="CD1632">
        <v>0</v>
      </c>
      <c r="CE1632">
        <v>0</v>
      </c>
      <c r="CF1632">
        <v>0</v>
      </c>
      <c r="CG1632">
        <v>0</v>
      </c>
      <c r="CH1632">
        <v>0</v>
      </c>
      <c r="CI1632">
        <v>0</v>
      </c>
      <c r="CJ1632">
        <v>0</v>
      </c>
      <c r="CK1632">
        <v>0</v>
      </c>
      <c r="CL1632">
        <v>0</v>
      </c>
      <c r="CM1632">
        <v>0</v>
      </c>
      <c r="CR1632" t="s">
        <v>2332</v>
      </c>
      <c r="CS1632" s="1369" t="str">
        <f>INDEX([8]Sheet1!$H:$H,MATCH(CR:CR,[8]Sheet1!$AU:$AU,0))</f>
        <v>Water Storage</v>
      </c>
    </row>
    <row r="1633" spans="1:97" x14ac:dyDescent="0.2">
      <c r="A1633" t="s">
        <v>4738</v>
      </c>
      <c r="B1633">
        <v>1723</v>
      </c>
      <c r="C1633" t="s">
        <v>4738</v>
      </c>
      <c r="D1633">
        <v>54724</v>
      </c>
      <c r="E1633" t="s">
        <v>2437</v>
      </c>
      <c r="F1633" t="s">
        <v>2364</v>
      </c>
      <c r="G1633" t="s">
        <v>2364</v>
      </c>
      <c r="H1633" t="s">
        <v>2365</v>
      </c>
      <c r="I1633" t="s">
        <v>2365</v>
      </c>
      <c r="J1633" t="s">
        <v>2365</v>
      </c>
      <c r="K1633" t="s">
        <v>2365</v>
      </c>
      <c r="L1633">
        <v>2100</v>
      </c>
      <c r="M1633" t="s">
        <v>618</v>
      </c>
      <c r="N1633">
        <v>2106</v>
      </c>
      <c r="O1633" t="s">
        <v>1499</v>
      </c>
      <c r="P1633" t="s">
        <v>1846</v>
      </c>
      <c r="Q1633">
        <v>2080</v>
      </c>
      <c r="R1633" t="s">
        <v>579</v>
      </c>
      <c r="S1633" t="s">
        <v>552</v>
      </c>
      <c r="T1633" t="s">
        <v>2175</v>
      </c>
      <c r="U1633">
        <v>240</v>
      </c>
      <c r="V1633" t="s">
        <v>2389</v>
      </c>
      <c r="W1633">
        <v>240</v>
      </c>
      <c r="X1633" t="s">
        <v>701</v>
      </c>
      <c r="Y1633" t="s">
        <v>2365</v>
      </c>
      <c r="Z1633" t="s">
        <v>2365</v>
      </c>
      <c r="AA1633" t="s">
        <v>2365</v>
      </c>
      <c r="AB1633" t="s">
        <v>2365</v>
      </c>
      <c r="AC1633" s="813" t="s">
        <v>2365</v>
      </c>
      <c r="AD1633" s="813" t="s">
        <v>2365</v>
      </c>
      <c r="AE1633" s="813" t="s">
        <v>2365</v>
      </c>
      <c r="AF1633" t="s">
        <v>2365</v>
      </c>
      <c r="AG1633" t="s">
        <v>2365</v>
      </c>
      <c r="AH1633" t="s">
        <v>2365</v>
      </c>
      <c r="AI1633" t="s">
        <v>2365</v>
      </c>
      <c r="AJ1633" t="s">
        <v>2365</v>
      </c>
      <c r="AK1633">
        <v>241</v>
      </c>
      <c r="AL1633" t="s">
        <v>1203</v>
      </c>
      <c r="AM1633">
        <v>241</v>
      </c>
      <c r="AN1633" t="s">
        <v>1203</v>
      </c>
      <c r="AR1633">
        <v>790</v>
      </c>
      <c r="AS1633" t="s">
        <v>1622</v>
      </c>
      <c r="AT1633">
        <v>790</v>
      </c>
      <c r="AU1633" t="s">
        <v>1622</v>
      </c>
      <c r="AV1633" t="s">
        <v>2365</v>
      </c>
      <c r="AW1633" t="s">
        <v>2365</v>
      </c>
      <c r="AX1633" t="s">
        <v>2365</v>
      </c>
      <c r="AY1633" t="s">
        <v>2365</v>
      </c>
      <c r="AZ1633" t="s">
        <v>2365</v>
      </c>
      <c r="BA1633" t="s">
        <v>2365</v>
      </c>
      <c r="BB1633" t="s">
        <v>2365</v>
      </c>
      <c r="BC1633" t="s">
        <v>2365</v>
      </c>
      <c r="BD1633" t="s">
        <v>2366</v>
      </c>
      <c r="BE1633" t="s">
        <v>2365</v>
      </c>
      <c r="BF1633" t="s">
        <v>2365</v>
      </c>
      <c r="BG1633" t="s">
        <v>2365</v>
      </c>
      <c r="BH1633" t="s">
        <v>2365</v>
      </c>
      <c r="BI1633" t="s">
        <v>2366</v>
      </c>
      <c r="BJ1633" t="s">
        <v>2365</v>
      </c>
      <c r="BK1633" t="s">
        <v>2365</v>
      </c>
      <c r="BL1633" t="s">
        <v>2365</v>
      </c>
      <c r="BM1633" t="s">
        <v>2365</v>
      </c>
      <c r="BO1633">
        <v>5</v>
      </c>
      <c r="BP1633">
        <v>53</v>
      </c>
      <c r="BQ1633" t="s">
        <v>2438</v>
      </c>
      <c r="BR1633" t="s">
        <v>1499</v>
      </c>
      <c r="BU1633">
        <v>0</v>
      </c>
      <c r="BV1633">
        <v>0</v>
      </c>
      <c r="BW1633">
        <v>0</v>
      </c>
      <c r="BX1633">
        <v>0</v>
      </c>
      <c r="BY1633">
        <v>0</v>
      </c>
      <c r="BZ1633">
        <v>0</v>
      </c>
      <c r="CA1633">
        <v>0</v>
      </c>
      <c r="CB1633">
        <v>0</v>
      </c>
      <c r="CC1633">
        <v>0</v>
      </c>
      <c r="CD1633">
        <v>0</v>
      </c>
      <c r="CE1633">
        <v>0</v>
      </c>
      <c r="CF1633">
        <v>0</v>
      </c>
      <c r="CG1633">
        <v>0</v>
      </c>
      <c r="CH1633">
        <v>0</v>
      </c>
      <c r="CI1633">
        <v>0</v>
      </c>
      <c r="CJ1633">
        <v>0</v>
      </c>
      <c r="CK1633">
        <v>0</v>
      </c>
      <c r="CL1633">
        <v>0</v>
      </c>
      <c r="CM1633">
        <v>0</v>
      </c>
      <c r="CR1633" t="s">
        <v>2331</v>
      </c>
      <c r="CS1633" s="1369" t="str">
        <f>INDEX([8]Sheet1!$H:$H,MATCH(CR:CR,[8]Sheet1!$AU:$AU,0))</f>
        <v>Waste Water Treatment</v>
      </c>
    </row>
    <row r="1634" spans="1:97" x14ac:dyDescent="0.2">
      <c r="A1634" t="s">
        <v>4739</v>
      </c>
      <c r="B1634">
        <v>1724</v>
      </c>
      <c r="C1634" t="s">
        <v>4739</v>
      </c>
      <c r="D1634">
        <v>54725</v>
      </c>
      <c r="E1634" t="s">
        <v>4740</v>
      </c>
      <c r="F1634">
        <v>1500</v>
      </c>
      <c r="G1634" t="s">
        <v>1477</v>
      </c>
      <c r="H1634">
        <v>1500</v>
      </c>
      <c r="I1634" t="s">
        <v>1477</v>
      </c>
      <c r="J1634" t="s">
        <v>2365</v>
      </c>
      <c r="K1634" t="s">
        <v>2365</v>
      </c>
      <c r="L1634">
        <v>2200</v>
      </c>
      <c r="M1634" t="s">
        <v>619</v>
      </c>
      <c r="N1634">
        <v>2205</v>
      </c>
      <c r="O1634" t="s">
        <v>1517</v>
      </c>
      <c r="P1634" t="s">
        <v>2366</v>
      </c>
      <c r="Q1634" t="s">
        <v>2364</v>
      </c>
      <c r="R1634" t="s">
        <v>2364</v>
      </c>
      <c r="S1634" t="s">
        <v>1881</v>
      </c>
      <c r="T1634" t="s">
        <v>1811</v>
      </c>
      <c r="U1634" t="s">
        <v>2365</v>
      </c>
      <c r="V1634" t="s">
        <v>2365</v>
      </c>
      <c r="W1634" t="s">
        <v>2365</v>
      </c>
      <c r="X1634" t="s">
        <v>2365</v>
      </c>
      <c r="Y1634" t="s">
        <v>2365</v>
      </c>
      <c r="Z1634" t="s">
        <v>2365</v>
      </c>
      <c r="AA1634" t="s">
        <v>2365</v>
      </c>
      <c r="AB1634" t="s">
        <v>2365</v>
      </c>
      <c r="AC1634" s="813" t="s">
        <v>2365</v>
      </c>
      <c r="AD1634" s="813" t="s">
        <v>2365</v>
      </c>
      <c r="AE1634" s="813" t="s">
        <v>2365</v>
      </c>
      <c r="AF1634" t="s">
        <v>2365</v>
      </c>
      <c r="AG1634" t="s">
        <v>2365</v>
      </c>
      <c r="AH1634" t="s">
        <v>2365</v>
      </c>
      <c r="AI1634" t="s">
        <v>2365</v>
      </c>
      <c r="AJ1634" t="s">
        <v>2365</v>
      </c>
      <c r="AK1634" s="1373" t="s">
        <v>2365</v>
      </c>
      <c r="AL1634" t="s">
        <v>2365</v>
      </c>
      <c r="AM1634" t="s">
        <v>2365</v>
      </c>
      <c r="AN1634" t="s">
        <v>2365</v>
      </c>
      <c r="AR1634" t="s">
        <v>2365</v>
      </c>
      <c r="AS1634" t="s">
        <v>2365</v>
      </c>
      <c r="AT1634" t="s">
        <v>2365</v>
      </c>
      <c r="AU1634" t="s">
        <v>2365</v>
      </c>
      <c r="AV1634" t="s">
        <v>2365</v>
      </c>
      <c r="AW1634" t="s">
        <v>2365</v>
      </c>
      <c r="AX1634" t="s">
        <v>2365</v>
      </c>
      <c r="AY1634" t="s">
        <v>2365</v>
      </c>
      <c r="AZ1634">
        <v>1030</v>
      </c>
      <c r="BA1634" t="s">
        <v>1641</v>
      </c>
      <c r="BB1634">
        <v>1030</v>
      </c>
      <c r="BC1634" t="s">
        <v>1641</v>
      </c>
      <c r="BD1634" t="s">
        <v>2366</v>
      </c>
      <c r="BE1634" t="s">
        <v>2365</v>
      </c>
      <c r="BF1634" t="s">
        <v>2365</v>
      </c>
      <c r="BG1634" t="s">
        <v>2365</v>
      </c>
      <c r="BH1634" t="s">
        <v>2365</v>
      </c>
      <c r="BI1634" t="s">
        <v>2366</v>
      </c>
      <c r="BJ1634" t="s">
        <v>2365</v>
      </c>
      <c r="BK1634" t="s">
        <v>2365</v>
      </c>
      <c r="BL1634" t="s">
        <v>2365</v>
      </c>
      <c r="BM1634" t="s">
        <v>2365</v>
      </c>
      <c r="BO1634">
        <v>9</v>
      </c>
      <c r="BP1634">
        <v>91</v>
      </c>
      <c r="BQ1634" t="s">
        <v>265</v>
      </c>
      <c r="BR1634" t="s">
        <v>1517</v>
      </c>
      <c r="BU1634">
        <v>0</v>
      </c>
      <c r="BV1634">
        <v>0</v>
      </c>
      <c r="BW1634">
        <v>0</v>
      </c>
      <c r="BX1634">
        <v>0</v>
      </c>
      <c r="BY1634">
        <v>0</v>
      </c>
      <c r="BZ1634">
        <v>0</v>
      </c>
      <c r="CA1634">
        <v>0</v>
      </c>
      <c r="CB1634">
        <v>0</v>
      </c>
      <c r="CC1634">
        <v>0</v>
      </c>
      <c r="CD1634">
        <v>0</v>
      </c>
      <c r="CE1634">
        <v>0</v>
      </c>
      <c r="CF1634">
        <v>0</v>
      </c>
      <c r="CG1634">
        <v>0</v>
      </c>
      <c r="CH1634">
        <v>0</v>
      </c>
      <c r="CI1634">
        <v>0</v>
      </c>
      <c r="CJ1634">
        <v>0</v>
      </c>
      <c r="CK1634">
        <v>0</v>
      </c>
      <c r="CL1634">
        <v>0</v>
      </c>
      <c r="CM1634">
        <v>0</v>
      </c>
      <c r="CR1634" t="s">
        <v>2329</v>
      </c>
      <c r="CS1634" s="1369" t="str">
        <f>INDEX([8]Sheet1!$H:$H,MATCH(CR:CR,[8]Sheet1!$AU:$AU,0))</f>
        <v>Sewerage</v>
      </c>
    </row>
    <row r="1635" spans="1:97" x14ac:dyDescent="0.2">
      <c r="A1635" t="s">
        <v>4741</v>
      </c>
      <c r="B1635">
        <v>1725</v>
      </c>
      <c r="C1635" t="s">
        <v>4741</v>
      </c>
      <c r="D1635">
        <v>54727</v>
      </c>
      <c r="E1635" t="s">
        <v>2461</v>
      </c>
      <c r="F1635">
        <v>2000</v>
      </c>
      <c r="G1635" t="s">
        <v>652</v>
      </c>
      <c r="H1635" s="1373" t="s">
        <v>2462</v>
      </c>
      <c r="I1635" t="s">
        <v>203</v>
      </c>
      <c r="J1635">
        <v>2001</v>
      </c>
      <c r="K1635" t="s">
        <v>203</v>
      </c>
      <c r="L1635" s="1373">
        <v>4400</v>
      </c>
      <c r="M1635" t="s">
        <v>631</v>
      </c>
      <c r="N1635">
        <v>4403</v>
      </c>
      <c r="O1635" t="s">
        <v>1557</v>
      </c>
      <c r="P1635" t="s">
        <v>2366</v>
      </c>
      <c r="Q1635" t="s">
        <v>2364</v>
      </c>
      <c r="R1635" t="s">
        <v>2364</v>
      </c>
      <c r="S1635" t="s">
        <v>1881</v>
      </c>
      <c r="T1635" t="s">
        <v>1812</v>
      </c>
      <c r="U1635" t="s">
        <v>2365</v>
      </c>
      <c r="V1635" t="s">
        <v>2365</v>
      </c>
      <c r="W1635" t="s">
        <v>2365</v>
      </c>
      <c r="X1635" t="s">
        <v>2365</v>
      </c>
      <c r="Y1635" t="s">
        <v>2365</v>
      </c>
      <c r="Z1635" t="s">
        <v>2365</v>
      </c>
      <c r="AA1635" t="s">
        <v>2365</v>
      </c>
      <c r="AB1635" t="s">
        <v>2365</v>
      </c>
      <c r="AC1635" s="813" t="s">
        <v>2365</v>
      </c>
      <c r="AD1635" s="813" t="s">
        <v>2365</v>
      </c>
      <c r="AE1635" s="813" t="s">
        <v>2365</v>
      </c>
      <c r="AF1635" t="s">
        <v>2365</v>
      </c>
      <c r="AG1635" t="s">
        <v>2365</v>
      </c>
      <c r="AH1635" t="s">
        <v>2365</v>
      </c>
      <c r="AI1635" t="s">
        <v>2365</v>
      </c>
      <c r="AJ1635" t="s">
        <v>2365</v>
      </c>
      <c r="AK1635" t="s">
        <v>2365</v>
      </c>
      <c r="AL1635" t="s">
        <v>2365</v>
      </c>
      <c r="AM1635" t="s">
        <v>2365</v>
      </c>
      <c r="AN1635" t="s">
        <v>2365</v>
      </c>
      <c r="AR1635" t="s">
        <v>2365</v>
      </c>
      <c r="AS1635" t="s">
        <v>2365</v>
      </c>
      <c r="AT1635" t="s">
        <v>2365</v>
      </c>
      <c r="AU1635" t="s">
        <v>2365</v>
      </c>
      <c r="AV1635" t="s">
        <v>2365</v>
      </c>
      <c r="AW1635" t="s">
        <v>2365</v>
      </c>
      <c r="AX1635" t="s">
        <v>2365</v>
      </c>
      <c r="AY1635" t="s">
        <v>2365</v>
      </c>
      <c r="AZ1635" t="s">
        <v>2365</v>
      </c>
      <c r="BA1635" t="s">
        <v>2365</v>
      </c>
      <c r="BB1635" t="s">
        <v>2365</v>
      </c>
      <c r="BC1635" t="s">
        <v>2365</v>
      </c>
      <c r="BD1635" t="s">
        <v>2366</v>
      </c>
      <c r="BE1635" t="s">
        <v>2365</v>
      </c>
      <c r="BF1635" t="s">
        <v>2365</v>
      </c>
      <c r="BG1635" t="s">
        <v>2365</v>
      </c>
      <c r="BH1635" t="s">
        <v>2365</v>
      </c>
      <c r="BI1635" t="s">
        <v>2366</v>
      </c>
      <c r="BJ1635" t="s">
        <v>2365</v>
      </c>
      <c r="BK1635" t="s">
        <v>2365</v>
      </c>
      <c r="BL1635" t="s">
        <v>2365</v>
      </c>
      <c r="BM1635" t="s">
        <v>2365</v>
      </c>
      <c r="BN1635" t="s">
        <v>2177</v>
      </c>
      <c r="BO1635">
        <v>12</v>
      </c>
      <c r="BP1635">
        <v>121</v>
      </c>
      <c r="BQ1635" t="s">
        <v>1369</v>
      </c>
      <c r="BR1635" t="s">
        <v>1557</v>
      </c>
      <c r="BU1635" s="1371">
        <v>800000</v>
      </c>
      <c r="BV1635" s="1371">
        <v>0</v>
      </c>
      <c r="BW1635" s="1371">
        <v>800000</v>
      </c>
      <c r="BX1635" s="1371">
        <v>-800000</v>
      </c>
      <c r="BY1635" s="1371">
        <v>0</v>
      </c>
      <c r="BZ1635">
        <v>848000</v>
      </c>
      <c r="CA1635">
        <v>898880</v>
      </c>
      <c r="CB1635">
        <v>0</v>
      </c>
      <c r="CC1635">
        <v>0</v>
      </c>
      <c r="CD1635">
        <v>0</v>
      </c>
      <c r="CE1635">
        <v>0</v>
      </c>
      <c r="CF1635">
        <v>0</v>
      </c>
      <c r="CG1635">
        <v>0</v>
      </c>
      <c r="CH1635">
        <v>0</v>
      </c>
      <c r="CI1635">
        <v>0</v>
      </c>
      <c r="CJ1635">
        <v>0</v>
      </c>
      <c r="CK1635">
        <v>0</v>
      </c>
      <c r="CL1635">
        <v>0</v>
      </c>
      <c r="CM1635">
        <v>0</v>
      </c>
      <c r="CR1635" t="s">
        <v>2337</v>
      </c>
      <c r="CS1635" s="1369" t="str">
        <f>INDEX([8]Sheet1!$H:$H,MATCH(CR:CR,[8]Sheet1!$AU:$AU,0))</f>
        <v>Corporate Wide Strategic Planning (IDPs, LEDs)</v>
      </c>
    </row>
    <row r="1636" spans="1:97" x14ac:dyDescent="0.2">
      <c r="A1636" t="s">
        <v>4742</v>
      </c>
      <c r="B1636">
        <v>1726</v>
      </c>
      <c r="C1636" t="s">
        <v>4742</v>
      </c>
      <c r="D1636">
        <v>54728</v>
      </c>
      <c r="E1636" t="s">
        <v>2432</v>
      </c>
      <c r="F1636">
        <v>2600</v>
      </c>
      <c r="G1636" t="s">
        <v>655</v>
      </c>
      <c r="H1636">
        <v>2600</v>
      </c>
      <c r="I1636" t="s">
        <v>655</v>
      </c>
      <c r="J1636" t="s">
        <v>2365</v>
      </c>
      <c r="K1636" t="s">
        <v>2365</v>
      </c>
      <c r="L1636">
        <v>1100</v>
      </c>
      <c r="M1636" t="s">
        <v>616</v>
      </c>
      <c r="N1636">
        <v>1110</v>
      </c>
      <c r="O1636" t="s">
        <v>995</v>
      </c>
      <c r="P1636" t="s">
        <v>2366</v>
      </c>
      <c r="Q1636" t="s">
        <v>2364</v>
      </c>
      <c r="R1636" t="s">
        <v>2364</v>
      </c>
      <c r="S1636" t="s">
        <v>1881</v>
      </c>
      <c r="T1636" t="s">
        <v>1812</v>
      </c>
      <c r="U1636" t="s">
        <v>2365</v>
      </c>
      <c r="V1636" t="s">
        <v>2365</v>
      </c>
      <c r="W1636" t="s">
        <v>2365</v>
      </c>
      <c r="X1636" t="s">
        <v>2365</v>
      </c>
      <c r="Y1636" t="s">
        <v>2365</v>
      </c>
      <c r="Z1636" t="s">
        <v>2365</v>
      </c>
      <c r="AA1636" t="s">
        <v>2365</v>
      </c>
      <c r="AB1636" t="s">
        <v>2365</v>
      </c>
      <c r="AC1636" s="813" t="s">
        <v>2365</v>
      </c>
      <c r="AD1636" s="813" t="s">
        <v>2365</v>
      </c>
      <c r="AE1636" s="813" t="s">
        <v>2365</v>
      </c>
      <c r="AF1636" t="s">
        <v>2365</v>
      </c>
      <c r="AG1636" t="s">
        <v>2365</v>
      </c>
      <c r="AH1636" t="s">
        <v>2365</v>
      </c>
      <c r="AI1636" t="s">
        <v>2365</v>
      </c>
      <c r="AJ1636" t="s">
        <v>2365</v>
      </c>
      <c r="AK1636" t="s">
        <v>2365</v>
      </c>
      <c r="AL1636" t="s">
        <v>2365</v>
      </c>
      <c r="AM1636" t="s">
        <v>2365</v>
      </c>
      <c r="AN1636" t="s">
        <v>2365</v>
      </c>
      <c r="AR1636" t="s">
        <v>2365</v>
      </c>
      <c r="AS1636" t="s">
        <v>2365</v>
      </c>
      <c r="AT1636" t="s">
        <v>2365</v>
      </c>
      <c r="AU1636" t="s">
        <v>2365</v>
      </c>
      <c r="AV1636" t="s">
        <v>2365</v>
      </c>
      <c r="AW1636" t="s">
        <v>2365</v>
      </c>
      <c r="AX1636" t="s">
        <v>2365</v>
      </c>
      <c r="AY1636" t="s">
        <v>2365</v>
      </c>
      <c r="AZ1636" t="s">
        <v>2365</v>
      </c>
      <c r="BA1636" t="s">
        <v>2365</v>
      </c>
      <c r="BB1636" t="s">
        <v>2365</v>
      </c>
      <c r="BC1636" t="s">
        <v>2365</v>
      </c>
      <c r="BD1636" t="s">
        <v>2366</v>
      </c>
      <c r="BE1636" t="s">
        <v>2365</v>
      </c>
      <c r="BF1636" t="s">
        <v>2365</v>
      </c>
      <c r="BG1636" t="s">
        <v>2365</v>
      </c>
      <c r="BH1636" t="s">
        <v>2365</v>
      </c>
      <c r="BI1636" t="s">
        <v>2366</v>
      </c>
      <c r="BJ1636" t="s">
        <v>2365</v>
      </c>
      <c r="BK1636" t="s">
        <v>2365</v>
      </c>
      <c r="BL1636" t="s">
        <v>2365</v>
      </c>
      <c r="BM1636" t="s">
        <v>2365</v>
      </c>
      <c r="BO1636">
        <v>3</v>
      </c>
      <c r="BP1636">
        <v>32</v>
      </c>
      <c r="BQ1636" t="s">
        <v>2716</v>
      </c>
      <c r="BR1636" t="s">
        <v>995</v>
      </c>
      <c r="BU1636">
        <v>500000</v>
      </c>
      <c r="BV1636">
        <v>0</v>
      </c>
      <c r="BW1636">
        <v>500000</v>
      </c>
      <c r="BX1636">
        <v>300000</v>
      </c>
      <c r="BY1636">
        <v>800000</v>
      </c>
      <c r="BZ1636">
        <v>500000</v>
      </c>
      <c r="CA1636">
        <v>600000</v>
      </c>
      <c r="CB1636">
        <v>0</v>
      </c>
      <c r="CC1636">
        <v>195354.5</v>
      </c>
      <c r="CD1636">
        <v>0</v>
      </c>
      <c r="CE1636">
        <v>48620</v>
      </c>
      <c r="CF1636">
        <v>126480</v>
      </c>
      <c r="CG1636">
        <v>57000</v>
      </c>
      <c r="CH1636">
        <v>0</v>
      </c>
      <c r="CI1636">
        <v>152618.16</v>
      </c>
      <c r="CJ1636">
        <v>0</v>
      </c>
      <c r="CK1636">
        <v>0</v>
      </c>
      <c r="CL1636">
        <v>0</v>
      </c>
      <c r="CM1636">
        <v>0</v>
      </c>
      <c r="CR1636" t="s">
        <v>2337</v>
      </c>
      <c r="CS1636" s="1369" t="str">
        <f>INDEX([8]Sheet1!$H:$H,MATCH(CR:CR,[8]Sheet1!$AU:$AU,0))</f>
        <v>Corporate Wide Strategic Planning (IDPs, LEDs)</v>
      </c>
    </row>
    <row r="1637" spans="1:97" x14ac:dyDescent="0.2">
      <c r="A1637" t="s">
        <v>4743</v>
      </c>
      <c r="B1637">
        <v>1727</v>
      </c>
      <c r="C1637" t="s">
        <v>4743</v>
      </c>
      <c r="D1637">
        <v>54729</v>
      </c>
      <c r="E1637" t="s">
        <v>2600</v>
      </c>
      <c r="F1637">
        <v>2900</v>
      </c>
      <c r="G1637" t="s">
        <v>569</v>
      </c>
      <c r="H1637" t="s">
        <v>2366</v>
      </c>
      <c r="I1637" t="s">
        <v>2366</v>
      </c>
      <c r="J1637">
        <v>2904</v>
      </c>
      <c r="K1637" t="s">
        <v>1432</v>
      </c>
      <c r="L1637">
        <v>2500</v>
      </c>
      <c r="M1637" t="s">
        <v>622</v>
      </c>
      <c r="N1637">
        <v>2502</v>
      </c>
      <c r="O1637" t="s">
        <v>1524</v>
      </c>
      <c r="P1637" t="s">
        <v>2366</v>
      </c>
      <c r="Q1637" t="s">
        <v>2364</v>
      </c>
      <c r="R1637" t="s">
        <v>2364</v>
      </c>
      <c r="S1637" t="s">
        <v>1881</v>
      </c>
      <c r="T1637" t="s">
        <v>1812</v>
      </c>
      <c r="U1637" t="s">
        <v>2365</v>
      </c>
      <c r="V1637" t="s">
        <v>2365</v>
      </c>
      <c r="W1637" t="s">
        <v>2365</v>
      </c>
      <c r="X1637" t="s">
        <v>2365</v>
      </c>
      <c r="Y1637" t="s">
        <v>2365</v>
      </c>
      <c r="Z1637" t="s">
        <v>2365</v>
      </c>
      <c r="AA1637" t="s">
        <v>2365</v>
      </c>
      <c r="AB1637" t="s">
        <v>2365</v>
      </c>
      <c r="AC1637" s="813" t="s">
        <v>2365</v>
      </c>
      <c r="AD1637" s="813" t="s">
        <v>2365</v>
      </c>
      <c r="AE1637" s="813" t="s">
        <v>2365</v>
      </c>
      <c r="AF1637" t="s">
        <v>2365</v>
      </c>
      <c r="AG1637" t="s">
        <v>2365</v>
      </c>
      <c r="AH1637" t="s">
        <v>2365</v>
      </c>
      <c r="AI1637" t="s">
        <v>2365</v>
      </c>
      <c r="AJ1637" t="s">
        <v>2365</v>
      </c>
      <c r="AK1637" t="s">
        <v>2365</v>
      </c>
      <c r="AL1637" t="s">
        <v>2365</v>
      </c>
      <c r="AM1637" t="s">
        <v>2365</v>
      </c>
      <c r="AN1637" t="s">
        <v>2365</v>
      </c>
      <c r="AR1637" t="s">
        <v>2365</v>
      </c>
      <c r="AS1637" t="s">
        <v>2365</v>
      </c>
      <c r="AT1637" t="s">
        <v>2365</v>
      </c>
      <c r="AU1637" t="s">
        <v>2365</v>
      </c>
      <c r="AV1637" t="s">
        <v>2365</v>
      </c>
      <c r="AW1637" t="s">
        <v>2365</v>
      </c>
      <c r="AX1637" t="s">
        <v>2365</v>
      </c>
      <c r="AY1637" t="s">
        <v>2365</v>
      </c>
      <c r="AZ1637" t="s">
        <v>2365</v>
      </c>
      <c r="BA1637" t="s">
        <v>2365</v>
      </c>
      <c r="BB1637" t="s">
        <v>2365</v>
      </c>
      <c r="BC1637" t="s">
        <v>2365</v>
      </c>
      <c r="BD1637" t="s">
        <v>2366</v>
      </c>
      <c r="BE1637" t="s">
        <v>2365</v>
      </c>
      <c r="BF1637" t="s">
        <v>2365</v>
      </c>
      <c r="BG1637" t="s">
        <v>2365</v>
      </c>
      <c r="BH1637" t="s">
        <v>2365</v>
      </c>
      <c r="BI1637" t="s">
        <v>2366</v>
      </c>
      <c r="BJ1637" t="s">
        <v>2365</v>
      </c>
      <c r="BK1637" t="s">
        <v>2365</v>
      </c>
      <c r="BL1637" t="s">
        <v>2365</v>
      </c>
      <c r="BM1637" t="s">
        <v>2365</v>
      </c>
      <c r="BO1637">
        <v>15</v>
      </c>
      <c r="BP1637">
        <v>151</v>
      </c>
      <c r="BQ1637" t="s">
        <v>622</v>
      </c>
      <c r="BR1637" t="s">
        <v>1524</v>
      </c>
      <c r="BU1637">
        <v>70000</v>
      </c>
      <c r="BV1637">
        <v>0</v>
      </c>
      <c r="BW1637">
        <v>70000</v>
      </c>
      <c r="BX1637">
        <v>-12595</v>
      </c>
      <c r="BY1637">
        <v>57405</v>
      </c>
      <c r="BZ1637">
        <v>74200</v>
      </c>
      <c r="CA1637">
        <v>78652</v>
      </c>
      <c r="CB1637">
        <v>0</v>
      </c>
      <c r="CC1637">
        <v>0</v>
      </c>
      <c r="CD1637">
        <v>0</v>
      </c>
      <c r="CE1637">
        <v>0</v>
      </c>
      <c r="CF1637">
        <v>0</v>
      </c>
      <c r="CG1637">
        <v>0</v>
      </c>
      <c r="CH1637">
        <v>95</v>
      </c>
      <c r="CI1637">
        <v>0</v>
      </c>
      <c r="CJ1637">
        <v>0</v>
      </c>
      <c r="CK1637">
        <v>0</v>
      </c>
      <c r="CL1637">
        <v>0</v>
      </c>
      <c r="CM1637">
        <v>0</v>
      </c>
      <c r="CR1637" t="s">
        <v>2337</v>
      </c>
      <c r="CS1637" s="1369" t="str">
        <f>INDEX([8]Sheet1!$H:$H,MATCH(CR:CR,[8]Sheet1!$AU:$AU,0))</f>
        <v>Corporate Wide Strategic Planning (IDPs, LEDs)</v>
      </c>
    </row>
    <row r="1638" spans="1:97" x14ac:dyDescent="0.2">
      <c r="A1638" t="s">
        <v>4744</v>
      </c>
      <c r="B1638">
        <v>1728</v>
      </c>
      <c r="C1638" t="s">
        <v>4744</v>
      </c>
      <c r="D1638">
        <v>54730</v>
      </c>
      <c r="E1638" t="s">
        <v>2427</v>
      </c>
      <c r="F1638">
        <v>2700</v>
      </c>
      <c r="G1638" t="s">
        <v>656</v>
      </c>
      <c r="H1638" t="s">
        <v>2428</v>
      </c>
      <c r="I1638" t="s">
        <v>1800</v>
      </c>
      <c r="J1638">
        <v>2701</v>
      </c>
      <c r="K1638" t="s">
        <v>1800</v>
      </c>
      <c r="L1638">
        <v>2200</v>
      </c>
      <c r="M1638" t="s">
        <v>619</v>
      </c>
      <c r="N1638">
        <v>2205</v>
      </c>
      <c r="O1638" t="s">
        <v>1517</v>
      </c>
      <c r="P1638" t="s">
        <v>2366</v>
      </c>
      <c r="Q1638" t="s">
        <v>2364</v>
      </c>
      <c r="R1638" t="s">
        <v>2364</v>
      </c>
      <c r="S1638" t="s">
        <v>1881</v>
      </c>
      <c r="T1638" t="s">
        <v>1812</v>
      </c>
      <c r="U1638" t="s">
        <v>2365</v>
      </c>
      <c r="V1638" t="s">
        <v>2365</v>
      </c>
      <c r="W1638" t="s">
        <v>2365</v>
      </c>
      <c r="X1638" t="s">
        <v>2365</v>
      </c>
      <c r="Y1638" t="s">
        <v>2365</v>
      </c>
      <c r="Z1638" t="s">
        <v>2365</v>
      </c>
      <c r="AA1638" t="s">
        <v>2365</v>
      </c>
      <c r="AB1638" t="s">
        <v>2365</v>
      </c>
      <c r="AC1638" s="813" t="s">
        <v>2365</v>
      </c>
      <c r="AD1638" s="813" t="s">
        <v>2365</v>
      </c>
      <c r="AE1638" s="813" t="s">
        <v>2365</v>
      </c>
      <c r="AF1638" t="s">
        <v>2365</v>
      </c>
      <c r="AG1638" t="s">
        <v>2365</v>
      </c>
      <c r="AH1638" t="s">
        <v>2365</v>
      </c>
      <c r="AI1638" t="s">
        <v>2365</v>
      </c>
      <c r="AJ1638" t="s">
        <v>2365</v>
      </c>
      <c r="AK1638" t="s">
        <v>2365</v>
      </c>
      <c r="AL1638" t="s">
        <v>2365</v>
      </c>
      <c r="AM1638" t="s">
        <v>2365</v>
      </c>
      <c r="AN1638" t="s">
        <v>2365</v>
      </c>
      <c r="AR1638" t="s">
        <v>2365</v>
      </c>
      <c r="AS1638" t="s">
        <v>2365</v>
      </c>
      <c r="AT1638" t="s">
        <v>2365</v>
      </c>
      <c r="AU1638" t="s">
        <v>2365</v>
      </c>
      <c r="AV1638" t="s">
        <v>2365</v>
      </c>
      <c r="AW1638" t="s">
        <v>2365</v>
      </c>
      <c r="AX1638" t="s">
        <v>2365</v>
      </c>
      <c r="AY1638" t="s">
        <v>2365</v>
      </c>
      <c r="AZ1638" t="s">
        <v>2365</v>
      </c>
      <c r="BA1638" t="s">
        <v>2365</v>
      </c>
      <c r="BB1638" t="s">
        <v>2365</v>
      </c>
      <c r="BC1638" t="s">
        <v>2365</v>
      </c>
      <c r="BD1638" t="s">
        <v>2366</v>
      </c>
      <c r="BE1638" t="s">
        <v>2365</v>
      </c>
      <c r="BF1638" t="s">
        <v>2365</v>
      </c>
      <c r="BG1638" t="s">
        <v>2365</v>
      </c>
      <c r="BH1638" t="s">
        <v>2365</v>
      </c>
      <c r="BI1638" t="s">
        <v>2366</v>
      </c>
      <c r="BJ1638" t="s">
        <v>2365</v>
      </c>
      <c r="BK1638" t="s">
        <v>2365</v>
      </c>
      <c r="BL1638" t="s">
        <v>2365</v>
      </c>
      <c r="BM1638" t="s">
        <v>2365</v>
      </c>
      <c r="BO1638">
        <v>9</v>
      </c>
      <c r="BP1638">
        <v>91</v>
      </c>
      <c r="BQ1638" t="s">
        <v>265</v>
      </c>
      <c r="BR1638" t="s">
        <v>1517</v>
      </c>
      <c r="BU1638">
        <v>10000</v>
      </c>
      <c r="BV1638">
        <v>0</v>
      </c>
      <c r="BW1638">
        <v>10000</v>
      </c>
      <c r="BX1638">
        <v>20270</v>
      </c>
      <c r="BY1638">
        <v>30270</v>
      </c>
      <c r="BZ1638">
        <v>10600</v>
      </c>
      <c r="CA1638">
        <v>11236</v>
      </c>
      <c r="CB1638">
        <v>0</v>
      </c>
      <c r="CC1638">
        <v>0</v>
      </c>
      <c r="CD1638">
        <v>0</v>
      </c>
      <c r="CE1638">
        <v>1800</v>
      </c>
      <c r="CF1638">
        <v>0</v>
      </c>
      <c r="CG1638">
        <v>0</v>
      </c>
      <c r="CH1638">
        <v>0</v>
      </c>
      <c r="CI1638">
        <v>0</v>
      </c>
      <c r="CJ1638">
        <v>0</v>
      </c>
      <c r="CK1638">
        <v>0</v>
      </c>
      <c r="CL1638">
        <v>0</v>
      </c>
      <c r="CM1638">
        <v>0</v>
      </c>
      <c r="CR1638" t="s">
        <v>2337</v>
      </c>
      <c r="CS1638" s="1369" t="str">
        <f>INDEX([8]Sheet1!$H:$H,MATCH(CR:CR,[8]Sheet1!$AU:$AU,0))</f>
        <v>Corporate Wide Strategic Planning (IDPs, LEDs)</v>
      </c>
    </row>
    <row r="1639" spans="1:97" x14ac:dyDescent="0.2">
      <c r="A1639" t="s">
        <v>4745</v>
      </c>
      <c r="B1639">
        <v>1729</v>
      </c>
      <c r="C1639" t="s">
        <v>4745</v>
      </c>
      <c r="D1639">
        <v>54731</v>
      </c>
      <c r="E1639" t="s">
        <v>3010</v>
      </c>
      <c r="F1639">
        <v>2700</v>
      </c>
      <c r="G1639" t="s">
        <v>656</v>
      </c>
      <c r="H1639" s="1373" t="s">
        <v>2428</v>
      </c>
      <c r="I1639" t="s">
        <v>1800</v>
      </c>
      <c r="J1639">
        <v>2701</v>
      </c>
      <c r="K1639" t="s">
        <v>1800</v>
      </c>
      <c r="L1639" s="1373">
        <v>2200</v>
      </c>
      <c r="M1639" t="s">
        <v>619</v>
      </c>
      <c r="N1639">
        <v>2205</v>
      </c>
      <c r="O1639" t="s">
        <v>1517</v>
      </c>
      <c r="P1639" t="s">
        <v>2366</v>
      </c>
      <c r="Q1639" t="s">
        <v>2364</v>
      </c>
      <c r="R1639" t="s">
        <v>2364</v>
      </c>
      <c r="S1639" t="s">
        <v>1881</v>
      </c>
      <c r="T1639" t="s">
        <v>1812</v>
      </c>
      <c r="U1639" t="s">
        <v>2365</v>
      </c>
      <c r="V1639" t="s">
        <v>2365</v>
      </c>
      <c r="W1639" t="s">
        <v>2365</v>
      </c>
      <c r="X1639" t="s">
        <v>2365</v>
      </c>
      <c r="Y1639" t="s">
        <v>2365</v>
      </c>
      <c r="Z1639" t="s">
        <v>2365</v>
      </c>
      <c r="AA1639" t="s">
        <v>2365</v>
      </c>
      <c r="AB1639" t="s">
        <v>2365</v>
      </c>
      <c r="AC1639" s="813" t="s">
        <v>2365</v>
      </c>
      <c r="AD1639" s="813" t="s">
        <v>2365</v>
      </c>
      <c r="AE1639" s="813" t="s">
        <v>2365</v>
      </c>
      <c r="AF1639" t="s">
        <v>2365</v>
      </c>
      <c r="AG1639" t="s">
        <v>2365</v>
      </c>
      <c r="AH1639" t="s">
        <v>2365</v>
      </c>
      <c r="AI1639" t="s">
        <v>2365</v>
      </c>
      <c r="AJ1639" t="s">
        <v>2365</v>
      </c>
      <c r="AK1639" t="s">
        <v>2365</v>
      </c>
      <c r="AL1639" t="s">
        <v>2365</v>
      </c>
      <c r="AM1639" t="s">
        <v>2365</v>
      </c>
      <c r="AN1639" t="s">
        <v>2365</v>
      </c>
      <c r="AR1639" t="s">
        <v>2365</v>
      </c>
      <c r="AS1639" t="s">
        <v>2365</v>
      </c>
      <c r="AT1639" t="s">
        <v>2365</v>
      </c>
      <c r="AU1639" t="s">
        <v>2365</v>
      </c>
      <c r="AV1639" t="s">
        <v>2365</v>
      </c>
      <c r="AW1639" t="s">
        <v>2365</v>
      </c>
      <c r="AX1639" t="s">
        <v>2365</v>
      </c>
      <c r="AY1639" t="s">
        <v>2365</v>
      </c>
      <c r="AZ1639" t="s">
        <v>2365</v>
      </c>
      <c r="BA1639" t="s">
        <v>2365</v>
      </c>
      <c r="BB1639" t="s">
        <v>2365</v>
      </c>
      <c r="BC1639" t="s">
        <v>2365</v>
      </c>
      <c r="BD1639" t="s">
        <v>2366</v>
      </c>
      <c r="BE1639" t="s">
        <v>2365</v>
      </c>
      <c r="BF1639" t="s">
        <v>2365</v>
      </c>
      <c r="BG1639" t="s">
        <v>2365</v>
      </c>
      <c r="BH1639" t="s">
        <v>2365</v>
      </c>
      <c r="BI1639" t="s">
        <v>2366</v>
      </c>
      <c r="BJ1639" t="s">
        <v>2365</v>
      </c>
      <c r="BK1639" t="s">
        <v>2365</v>
      </c>
      <c r="BL1639" t="s">
        <v>2365</v>
      </c>
      <c r="BM1639" t="s">
        <v>2365</v>
      </c>
      <c r="BO1639">
        <v>9</v>
      </c>
      <c r="BP1639">
        <v>91</v>
      </c>
      <c r="BQ1639" t="s">
        <v>265</v>
      </c>
      <c r="BR1639" t="s">
        <v>1517</v>
      </c>
      <c r="BU1639" s="1371">
        <v>30000</v>
      </c>
      <c r="BV1639" s="1371">
        <v>0</v>
      </c>
      <c r="BW1639" s="1371">
        <v>30000</v>
      </c>
      <c r="BX1639" s="1371">
        <v>-12070</v>
      </c>
      <c r="BY1639" s="1371">
        <v>17930</v>
      </c>
      <c r="BZ1639">
        <v>31800</v>
      </c>
      <c r="CA1639">
        <v>33708</v>
      </c>
      <c r="CB1639">
        <v>0</v>
      </c>
      <c r="CC1639">
        <v>0</v>
      </c>
      <c r="CD1639">
        <v>0</v>
      </c>
      <c r="CE1639">
        <v>0</v>
      </c>
      <c r="CF1639">
        <v>0</v>
      </c>
      <c r="CG1639">
        <v>2070</v>
      </c>
      <c r="CH1639">
        <v>0</v>
      </c>
      <c r="CI1639">
        <v>0</v>
      </c>
      <c r="CJ1639">
        <v>0</v>
      </c>
      <c r="CK1639">
        <v>0</v>
      </c>
      <c r="CL1639">
        <v>0</v>
      </c>
      <c r="CM1639">
        <v>0</v>
      </c>
      <c r="CR1639" t="s">
        <v>2337</v>
      </c>
      <c r="CS1639" s="1369" t="str">
        <f>INDEX([8]Sheet1!$H:$H,MATCH(CR:CR,[8]Sheet1!$AU:$AU,0))</f>
        <v>Corporate Wide Strategic Planning (IDPs, LEDs)</v>
      </c>
    </row>
    <row r="1640" spans="1:97" x14ac:dyDescent="0.2">
      <c r="A1640" t="s">
        <v>4746</v>
      </c>
      <c r="B1640">
        <v>1730</v>
      </c>
      <c r="C1640" t="s">
        <v>4746</v>
      </c>
      <c r="D1640">
        <v>54732</v>
      </c>
      <c r="E1640" t="s">
        <v>2425</v>
      </c>
      <c r="F1640">
        <v>2900</v>
      </c>
      <c r="G1640" t="s">
        <v>569</v>
      </c>
      <c r="H1640" s="1373" t="s">
        <v>2366</v>
      </c>
      <c r="I1640" t="s">
        <v>2366</v>
      </c>
      <c r="J1640">
        <v>2904</v>
      </c>
      <c r="K1640" t="s">
        <v>1432</v>
      </c>
      <c r="L1640" s="1373">
        <v>2200</v>
      </c>
      <c r="M1640" t="s">
        <v>619</v>
      </c>
      <c r="N1640">
        <v>2205</v>
      </c>
      <c r="O1640" t="s">
        <v>1517</v>
      </c>
      <c r="P1640" t="s">
        <v>2366</v>
      </c>
      <c r="Q1640" t="s">
        <v>2364</v>
      </c>
      <c r="R1640" t="s">
        <v>2364</v>
      </c>
      <c r="S1640" t="s">
        <v>1881</v>
      </c>
      <c r="T1640" t="s">
        <v>1812</v>
      </c>
      <c r="U1640" t="s">
        <v>2365</v>
      </c>
      <c r="V1640" t="s">
        <v>2365</v>
      </c>
      <c r="W1640" t="s">
        <v>2365</v>
      </c>
      <c r="X1640" t="s">
        <v>2365</v>
      </c>
      <c r="Y1640" t="s">
        <v>2365</v>
      </c>
      <c r="Z1640" t="s">
        <v>2365</v>
      </c>
      <c r="AA1640" t="s">
        <v>2365</v>
      </c>
      <c r="AB1640" t="s">
        <v>2365</v>
      </c>
      <c r="AC1640" s="813" t="s">
        <v>2365</v>
      </c>
      <c r="AD1640" s="813" t="s">
        <v>2365</v>
      </c>
      <c r="AE1640" s="813" t="s">
        <v>2365</v>
      </c>
      <c r="AF1640" t="s">
        <v>2365</v>
      </c>
      <c r="AG1640" t="s">
        <v>2365</v>
      </c>
      <c r="AH1640" t="s">
        <v>2365</v>
      </c>
      <c r="AI1640" t="s">
        <v>2365</v>
      </c>
      <c r="AJ1640" t="s">
        <v>2365</v>
      </c>
      <c r="AK1640" t="s">
        <v>2365</v>
      </c>
      <c r="AL1640" t="s">
        <v>2365</v>
      </c>
      <c r="AM1640" t="s">
        <v>2365</v>
      </c>
      <c r="AN1640" t="s">
        <v>2365</v>
      </c>
      <c r="AR1640" t="s">
        <v>2365</v>
      </c>
      <c r="AS1640" t="s">
        <v>2365</v>
      </c>
      <c r="AT1640" t="s">
        <v>2365</v>
      </c>
      <c r="AU1640" t="s">
        <v>2365</v>
      </c>
      <c r="AV1640" t="s">
        <v>2365</v>
      </c>
      <c r="AW1640" t="s">
        <v>2365</v>
      </c>
      <c r="AX1640" t="s">
        <v>2365</v>
      </c>
      <c r="AY1640" t="s">
        <v>2365</v>
      </c>
      <c r="AZ1640" t="s">
        <v>2365</v>
      </c>
      <c r="BA1640" t="s">
        <v>2365</v>
      </c>
      <c r="BB1640" t="s">
        <v>2365</v>
      </c>
      <c r="BC1640" t="s">
        <v>2365</v>
      </c>
      <c r="BD1640" t="s">
        <v>2366</v>
      </c>
      <c r="BE1640" t="s">
        <v>2365</v>
      </c>
      <c r="BF1640" t="s">
        <v>2365</v>
      </c>
      <c r="BG1640" t="s">
        <v>2365</v>
      </c>
      <c r="BH1640" t="s">
        <v>2365</v>
      </c>
      <c r="BI1640" t="s">
        <v>2366</v>
      </c>
      <c r="BJ1640" t="s">
        <v>2365</v>
      </c>
      <c r="BK1640" t="s">
        <v>2365</v>
      </c>
      <c r="BL1640" t="s">
        <v>2365</v>
      </c>
      <c r="BM1640" t="s">
        <v>2365</v>
      </c>
      <c r="BO1640">
        <v>9</v>
      </c>
      <c r="BP1640">
        <v>91</v>
      </c>
      <c r="BQ1640" t="s">
        <v>265</v>
      </c>
      <c r="BR1640" t="s">
        <v>1517</v>
      </c>
      <c r="BU1640" s="1371">
        <v>35000</v>
      </c>
      <c r="BV1640" s="1371">
        <v>0</v>
      </c>
      <c r="BW1640" s="1371">
        <v>35000</v>
      </c>
      <c r="BX1640" s="1371">
        <v>50000</v>
      </c>
      <c r="BY1640" s="1371">
        <v>85000</v>
      </c>
      <c r="BZ1640">
        <v>37100</v>
      </c>
      <c r="CA1640">
        <v>39326</v>
      </c>
      <c r="CB1640">
        <v>0</v>
      </c>
      <c r="CC1640">
        <v>0</v>
      </c>
      <c r="CD1640">
        <v>0</v>
      </c>
      <c r="CE1640">
        <v>0</v>
      </c>
      <c r="CF1640">
        <v>0</v>
      </c>
      <c r="CG1640">
        <v>0</v>
      </c>
      <c r="CH1640">
        <v>0</v>
      </c>
      <c r="CI1640">
        <v>0</v>
      </c>
      <c r="CJ1640">
        <v>0</v>
      </c>
      <c r="CK1640">
        <v>0</v>
      </c>
      <c r="CL1640">
        <v>0</v>
      </c>
      <c r="CM1640">
        <v>0</v>
      </c>
      <c r="CR1640" t="s">
        <v>2337</v>
      </c>
      <c r="CS1640" s="1369" t="str">
        <f>INDEX([8]Sheet1!$H:$H,MATCH(CR:CR,[8]Sheet1!$AU:$AU,0))</f>
        <v>Corporate Wide Strategic Planning (IDPs, LEDs)</v>
      </c>
    </row>
    <row r="1641" spans="1:97" x14ac:dyDescent="0.2">
      <c r="A1641" t="s">
        <v>4747</v>
      </c>
      <c r="B1641">
        <v>1731</v>
      </c>
      <c r="C1641" t="s">
        <v>4747</v>
      </c>
      <c r="D1641">
        <v>54733</v>
      </c>
      <c r="E1641" t="s">
        <v>2493</v>
      </c>
      <c r="F1641">
        <v>2900</v>
      </c>
      <c r="G1641" t="s">
        <v>569</v>
      </c>
      <c r="H1641" t="s">
        <v>2366</v>
      </c>
      <c r="I1641" t="s">
        <v>2366</v>
      </c>
      <c r="J1641">
        <v>2904</v>
      </c>
      <c r="K1641" t="s">
        <v>1432</v>
      </c>
      <c r="L1641">
        <v>2100</v>
      </c>
      <c r="M1641" t="s">
        <v>618</v>
      </c>
      <c r="N1641">
        <v>2118</v>
      </c>
      <c r="O1641" t="s">
        <v>1509</v>
      </c>
      <c r="P1641" t="s">
        <v>2366</v>
      </c>
      <c r="Q1641" t="s">
        <v>2364</v>
      </c>
      <c r="R1641" t="s">
        <v>2364</v>
      </c>
      <c r="S1641" t="s">
        <v>1881</v>
      </c>
      <c r="T1641" t="s">
        <v>1812</v>
      </c>
      <c r="U1641" t="s">
        <v>2365</v>
      </c>
      <c r="V1641" t="s">
        <v>2365</v>
      </c>
      <c r="W1641" t="s">
        <v>2365</v>
      </c>
      <c r="X1641" t="s">
        <v>2365</v>
      </c>
      <c r="Y1641" t="s">
        <v>2365</v>
      </c>
      <c r="Z1641" t="s">
        <v>2365</v>
      </c>
      <c r="AA1641" t="s">
        <v>2365</v>
      </c>
      <c r="AB1641" t="s">
        <v>2365</v>
      </c>
      <c r="AC1641" s="813" t="s">
        <v>2365</v>
      </c>
      <c r="AD1641" s="813" t="s">
        <v>2365</v>
      </c>
      <c r="AE1641" s="813" t="s">
        <v>2365</v>
      </c>
      <c r="AF1641" t="s">
        <v>2365</v>
      </c>
      <c r="AG1641" t="s">
        <v>2365</v>
      </c>
      <c r="AH1641" t="s">
        <v>2365</v>
      </c>
      <c r="AI1641" t="s">
        <v>2365</v>
      </c>
      <c r="AJ1641" t="s">
        <v>2365</v>
      </c>
      <c r="AK1641" t="s">
        <v>2365</v>
      </c>
      <c r="AL1641" t="s">
        <v>2365</v>
      </c>
      <c r="AM1641" t="s">
        <v>2365</v>
      </c>
      <c r="AN1641" t="s">
        <v>2365</v>
      </c>
      <c r="AR1641" t="s">
        <v>2365</v>
      </c>
      <c r="AS1641" t="s">
        <v>2365</v>
      </c>
      <c r="AT1641" t="s">
        <v>2365</v>
      </c>
      <c r="AU1641" t="s">
        <v>2365</v>
      </c>
      <c r="AV1641" t="s">
        <v>2365</v>
      </c>
      <c r="AW1641" t="s">
        <v>2365</v>
      </c>
      <c r="AX1641" t="s">
        <v>2365</v>
      </c>
      <c r="AY1641" t="s">
        <v>2365</v>
      </c>
      <c r="AZ1641" t="s">
        <v>2365</v>
      </c>
      <c r="BA1641" t="s">
        <v>2365</v>
      </c>
      <c r="BB1641" t="s">
        <v>2365</v>
      </c>
      <c r="BC1641" t="s">
        <v>2365</v>
      </c>
      <c r="BD1641" t="s">
        <v>2366</v>
      </c>
      <c r="BE1641" t="s">
        <v>2365</v>
      </c>
      <c r="BF1641" t="s">
        <v>2365</v>
      </c>
      <c r="BG1641" t="s">
        <v>2365</v>
      </c>
      <c r="BH1641" t="s">
        <v>2365</v>
      </c>
      <c r="BI1641" t="s">
        <v>2366</v>
      </c>
      <c r="BJ1641" t="s">
        <v>2365</v>
      </c>
      <c r="BK1641" t="s">
        <v>2365</v>
      </c>
      <c r="BL1641" t="s">
        <v>2365</v>
      </c>
      <c r="BM1641" t="s">
        <v>2365</v>
      </c>
      <c r="BO1641">
        <v>4</v>
      </c>
      <c r="BP1641">
        <v>43</v>
      </c>
      <c r="BQ1641" t="s">
        <v>2433</v>
      </c>
      <c r="BR1641" t="s">
        <v>1509</v>
      </c>
      <c r="BU1641">
        <v>30000</v>
      </c>
      <c r="BV1641">
        <v>0</v>
      </c>
      <c r="BW1641">
        <v>30000</v>
      </c>
      <c r="BX1641">
        <v>0</v>
      </c>
      <c r="BY1641">
        <v>30000</v>
      </c>
      <c r="BZ1641">
        <v>31800</v>
      </c>
      <c r="CA1641">
        <v>33708</v>
      </c>
      <c r="CB1641">
        <v>0</v>
      </c>
      <c r="CC1641">
        <v>0</v>
      </c>
      <c r="CD1641">
        <v>0</v>
      </c>
      <c r="CE1641">
        <v>0</v>
      </c>
      <c r="CF1641">
        <v>0</v>
      </c>
      <c r="CG1641">
        <v>0</v>
      </c>
      <c r="CH1641">
        <v>0</v>
      </c>
      <c r="CI1641">
        <v>0</v>
      </c>
      <c r="CJ1641">
        <v>0</v>
      </c>
      <c r="CK1641">
        <v>0</v>
      </c>
      <c r="CL1641">
        <v>0</v>
      </c>
      <c r="CM1641">
        <v>0</v>
      </c>
      <c r="CR1641" t="s">
        <v>2337</v>
      </c>
      <c r="CS1641" s="1369" t="str">
        <f>INDEX([8]Sheet1!$H:$H,MATCH(CR:CR,[8]Sheet1!$AU:$AU,0))</f>
        <v>Corporate Wide Strategic Planning (IDPs, LEDs)</v>
      </c>
    </row>
    <row r="1642" spans="1:97" x14ac:dyDescent="0.2">
      <c r="A1642" t="s">
        <v>4748</v>
      </c>
      <c r="B1642">
        <v>1732</v>
      </c>
      <c r="C1642" t="s">
        <v>4748</v>
      </c>
      <c r="D1642">
        <v>54734</v>
      </c>
      <c r="E1642" t="s">
        <v>2508</v>
      </c>
      <c r="F1642">
        <v>2900</v>
      </c>
      <c r="G1642" t="s">
        <v>569</v>
      </c>
      <c r="H1642" s="1373" t="s">
        <v>2366</v>
      </c>
      <c r="I1642" t="s">
        <v>2366</v>
      </c>
      <c r="J1642">
        <v>2904</v>
      </c>
      <c r="K1642" t="s">
        <v>1432</v>
      </c>
      <c r="L1642" s="1373">
        <v>2100</v>
      </c>
      <c r="M1642" t="s">
        <v>618</v>
      </c>
      <c r="N1642">
        <v>2118</v>
      </c>
      <c r="O1642" t="s">
        <v>1509</v>
      </c>
      <c r="P1642" t="s">
        <v>2366</v>
      </c>
      <c r="Q1642" t="s">
        <v>2364</v>
      </c>
      <c r="R1642" t="s">
        <v>2364</v>
      </c>
      <c r="S1642" t="s">
        <v>1881</v>
      </c>
      <c r="T1642" t="s">
        <v>1812</v>
      </c>
      <c r="U1642" t="s">
        <v>2365</v>
      </c>
      <c r="V1642" t="s">
        <v>2365</v>
      </c>
      <c r="W1642" t="s">
        <v>2365</v>
      </c>
      <c r="X1642" t="s">
        <v>2365</v>
      </c>
      <c r="Y1642" t="s">
        <v>2365</v>
      </c>
      <c r="Z1642" t="s">
        <v>2365</v>
      </c>
      <c r="AA1642" t="s">
        <v>2365</v>
      </c>
      <c r="AB1642" t="s">
        <v>2365</v>
      </c>
      <c r="AC1642" s="813" t="s">
        <v>2365</v>
      </c>
      <c r="AD1642" s="813" t="s">
        <v>2365</v>
      </c>
      <c r="AE1642" s="813" t="s">
        <v>2365</v>
      </c>
      <c r="AF1642" t="s">
        <v>2365</v>
      </c>
      <c r="AG1642" t="s">
        <v>2365</v>
      </c>
      <c r="AH1642" t="s">
        <v>2365</v>
      </c>
      <c r="AI1642" t="s">
        <v>2365</v>
      </c>
      <c r="AJ1642" t="s">
        <v>2365</v>
      </c>
      <c r="AK1642" t="s">
        <v>2365</v>
      </c>
      <c r="AL1642" t="s">
        <v>2365</v>
      </c>
      <c r="AM1642" t="s">
        <v>2365</v>
      </c>
      <c r="AN1642" t="s">
        <v>2365</v>
      </c>
      <c r="AR1642" t="s">
        <v>2365</v>
      </c>
      <c r="AS1642" t="s">
        <v>2365</v>
      </c>
      <c r="AT1642" t="s">
        <v>2365</v>
      </c>
      <c r="AU1642" t="s">
        <v>2365</v>
      </c>
      <c r="AV1642" t="s">
        <v>2365</v>
      </c>
      <c r="AW1642" t="s">
        <v>2365</v>
      </c>
      <c r="AX1642" t="s">
        <v>2365</v>
      </c>
      <c r="AY1642" t="s">
        <v>2365</v>
      </c>
      <c r="AZ1642" t="s">
        <v>2365</v>
      </c>
      <c r="BA1642" t="s">
        <v>2365</v>
      </c>
      <c r="BB1642" t="s">
        <v>2365</v>
      </c>
      <c r="BC1642" t="s">
        <v>2365</v>
      </c>
      <c r="BD1642" t="s">
        <v>2366</v>
      </c>
      <c r="BE1642" t="s">
        <v>2365</v>
      </c>
      <c r="BF1642" t="s">
        <v>2365</v>
      </c>
      <c r="BG1642" t="s">
        <v>2365</v>
      </c>
      <c r="BH1642" t="s">
        <v>2365</v>
      </c>
      <c r="BI1642" t="s">
        <v>2366</v>
      </c>
      <c r="BJ1642" t="s">
        <v>2365</v>
      </c>
      <c r="BK1642" t="s">
        <v>2365</v>
      </c>
      <c r="BL1642" t="s">
        <v>2365</v>
      </c>
      <c r="BM1642" t="s">
        <v>2365</v>
      </c>
      <c r="BO1642">
        <v>4</v>
      </c>
      <c r="BP1642">
        <v>43</v>
      </c>
      <c r="BQ1642" t="s">
        <v>2433</v>
      </c>
      <c r="BR1642" t="s">
        <v>1509</v>
      </c>
      <c r="BU1642" s="1371">
        <v>20000</v>
      </c>
      <c r="BV1642" s="1371">
        <v>0</v>
      </c>
      <c r="BW1642" s="1371">
        <v>20000</v>
      </c>
      <c r="BX1642" s="1371">
        <v>80000</v>
      </c>
      <c r="BY1642" s="1371">
        <v>100000</v>
      </c>
      <c r="BZ1642">
        <v>21200</v>
      </c>
      <c r="CA1642">
        <v>22472</v>
      </c>
      <c r="CB1642">
        <v>0</v>
      </c>
      <c r="CC1642">
        <v>0</v>
      </c>
      <c r="CD1642">
        <v>0</v>
      </c>
      <c r="CE1642">
        <v>0</v>
      </c>
      <c r="CF1642">
        <v>0</v>
      </c>
      <c r="CG1642">
        <v>0</v>
      </c>
      <c r="CH1642">
        <v>0</v>
      </c>
      <c r="CI1642">
        <v>0</v>
      </c>
      <c r="CJ1642">
        <v>0</v>
      </c>
      <c r="CK1642">
        <v>0</v>
      </c>
      <c r="CL1642">
        <v>0</v>
      </c>
      <c r="CM1642">
        <v>0</v>
      </c>
      <c r="CR1642" t="s">
        <v>2337</v>
      </c>
      <c r="CS1642" s="1369" t="str">
        <f>INDEX([8]Sheet1!$H:$H,MATCH(CR:CR,[8]Sheet1!$AU:$AU,0))</f>
        <v>Corporate Wide Strategic Planning (IDPs, LEDs)</v>
      </c>
    </row>
    <row r="1643" spans="1:97" x14ac:dyDescent="0.2">
      <c r="A1643" t="s">
        <v>4749</v>
      </c>
      <c r="B1643">
        <v>1733</v>
      </c>
      <c r="C1643" t="s">
        <v>4749</v>
      </c>
      <c r="D1643">
        <v>54735</v>
      </c>
      <c r="E1643" t="s">
        <v>3010</v>
      </c>
      <c r="F1643">
        <v>2700</v>
      </c>
      <c r="G1643" t="s">
        <v>656</v>
      </c>
      <c r="H1643" s="1373" t="s">
        <v>2428</v>
      </c>
      <c r="I1643" t="s">
        <v>1800</v>
      </c>
      <c r="J1643">
        <v>2701</v>
      </c>
      <c r="K1643" t="s">
        <v>1800</v>
      </c>
      <c r="L1643" s="1373">
        <v>2100</v>
      </c>
      <c r="M1643" t="s">
        <v>618</v>
      </c>
      <c r="N1643">
        <v>2118</v>
      </c>
      <c r="O1643" t="s">
        <v>1509</v>
      </c>
      <c r="P1643" t="s">
        <v>2366</v>
      </c>
      <c r="Q1643" t="s">
        <v>2364</v>
      </c>
      <c r="R1643" t="s">
        <v>2364</v>
      </c>
      <c r="S1643" t="s">
        <v>1881</v>
      </c>
      <c r="T1643" t="s">
        <v>1812</v>
      </c>
      <c r="U1643" t="s">
        <v>2365</v>
      </c>
      <c r="V1643" t="s">
        <v>2365</v>
      </c>
      <c r="W1643" t="s">
        <v>2365</v>
      </c>
      <c r="X1643" t="s">
        <v>2365</v>
      </c>
      <c r="Y1643" t="s">
        <v>2365</v>
      </c>
      <c r="Z1643" t="s">
        <v>2365</v>
      </c>
      <c r="AA1643" t="s">
        <v>2365</v>
      </c>
      <c r="AB1643" t="s">
        <v>2365</v>
      </c>
      <c r="AC1643" s="813" t="s">
        <v>2365</v>
      </c>
      <c r="AD1643" s="813" t="s">
        <v>2365</v>
      </c>
      <c r="AE1643" s="813" t="s">
        <v>2365</v>
      </c>
      <c r="AF1643" t="s">
        <v>2365</v>
      </c>
      <c r="AG1643" t="s">
        <v>2365</v>
      </c>
      <c r="AH1643" t="s">
        <v>2365</v>
      </c>
      <c r="AI1643" t="s">
        <v>2365</v>
      </c>
      <c r="AJ1643" t="s">
        <v>2365</v>
      </c>
      <c r="AK1643" t="s">
        <v>2365</v>
      </c>
      <c r="AL1643" t="s">
        <v>2365</v>
      </c>
      <c r="AM1643" t="s">
        <v>2365</v>
      </c>
      <c r="AN1643" t="s">
        <v>2365</v>
      </c>
      <c r="AR1643" t="s">
        <v>2365</v>
      </c>
      <c r="AS1643" t="s">
        <v>2365</v>
      </c>
      <c r="AT1643" t="s">
        <v>2365</v>
      </c>
      <c r="AU1643" t="s">
        <v>2365</v>
      </c>
      <c r="AV1643" t="s">
        <v>2365</v>
      </c>
      <c r="AW1643" t="s">
        <v>2365</v>
      </c>
      <c r="AX1643" t="s">
        <v>2365</v>
      </c>
      <c r="AY1643" t="s">
        <v>2365</v>
      </c>
      <c r="AZ1643" t="s">
        <v>2365</v>
      </c>
      <c r="BA1643" t="s">
        <v>2365</v>
      </c>
      <c r="BB1643" t="s">
        <v>2365</v>
      </c>
      <c r="BC1643" t="s">
        <v>2365</v>
      </c>
      <c r="BD1643" t="s">
        <v>2366</v>
      </c>
      <c r="BE1643" t="s">
        <v>2365</v>
      </c>
      <c r="BF1643" t="s">
        <v>2365</v>
      </c>
      <c r="BG1643" t="s">
        <v>2365</v>
      </c>
      <c r="BH1643" t="s">
        <v>2365</v>
      </c>
      <c r="BI1643" t="s">
        <v>2366</v>
      </c>
      <c r="BJ1643" t="s">
        <v>2365</v>
      </c>
      <c r="BK1643" t="s">
        <v>2365</v>
      </c>
      <c r="BL1643" t="s">
        <v>2365</v>
      </c>
      <c r="BM1643" t="s">
        <v>2365</v>
      </c>
      <c r="BO1643">
        <v>4</v>
      </c>
      <c r="BP1643">
        <v>43</v>
      </c>
      <c r="BQ1643" t="s">
        <v>2433</v>
      </c>
      <c r="BR1643" t="s">
        <v>1509</v>
      </c>
      <c r="BU1643" s="1371">
        <v>30000</v>
      </c>
      <c r="BV1643" s="1371">
        <v>0</v>
      </c>
      <c r="BW1643" s="1371">
        <v>30000</v>
      </c>
      <c r="BX1643" s="1371">
        <v>40000</v>
      </c>
      <c r="BY1643" s="1371">
        <v>70000</v>
      </c>
      <c r="BZ1643">
        <v>31800</v>
      </c>
      <c r="CA1643">
        <v>33708</v>
      </c>
      <c r="CB1643">
        <v>0</v>
      </c>
      <c r="CC1643">
        <v>0</v>
      </c>
      <c r="CD1643">
        <v>0</v>
      </c>
      <c r="CE1643">
        <v>0</v>
      </c>
      <c r="CF1643">
        <v>0</v>
      </c>
      <c r="CG1643">
        <v>0</v>
      </c>
      <c r="CH1643">
        <v>0</v>
      </c>
      <c r="CI1643">
        <v>0</v>
      </c>
      <c r="CJ1643">
        <v>0</v>
      </c>
      <c r="CK1643">
        <v>0</v>
      </c>
      <c r="CL1643">
        <v>0</v>
      </c>
      <c r="CM1643">
        <v>0</v>
      </c>
      <c r="CR1643" t="s">
        <v>2337</v>
      </c>
      <c r="CS1643" s="1369" t="str">
        <f>INDEX([8]Sheet1!$H:$H,MATCH(CR:CR,[8]Sheet1!$AU:$AU,0))</f>
        <v>Corporate Wide Strategic Planning (IDPs, LEDs)</v>
      </c>
    </row>
    <row r="1644" spans="1:97" x14ac:dyDescent="0.2">
      <c r="A1644" t="s">
        <v>4750</v>
      </c>
      <c r="B1644">
        <v>1734</v>
      </c>
      <c r="C1644" t="s">
        <v>4750</v>
      </c>
      <c r="D1644">
        <v>54736</v>
      </c>
      <c r="E1644" t="s">
        <v>2432</v>
      </c>
      <c r="F1644">
        <v>2600</v>
      </c>
      <c r="G1644" t="s">
        <v>655</v>
      </c>
      <c r="H1644">
        <v>2600</v>
      </c>
      <c r="I1644" t="s">
        <v>655</v>
      </c>
      <c r="J1644" t="s">
        <v>2365</v>
      </c>
      <c r="K1644" t="s">
        <v>2365</v>
      </c>
      <c r="L1644">
        <v>2100</v>
      </c>
      <c r="M1644" t="s">
        <v>618</v>
      </c>
      <c r="N1644">
        <v>2118</v>
      </c>
      <c r="O1644" t="s">
        <v>1509</v>
      </c>
      <c r="P1644" t="s">
        <v>2366</v>
      </c>
      <c r="Q1644" t="s">
        <v>2364</v>
      </c>
      <c r="R1644" t="s">
        <v>2364</v>
      </c>
      <c r="S1644" t="s">
        <v>1881</v>
      </c>
      <c r="T1644" t="s">
        <v>1812</v>
      </c>
      <c r="U1644" t="s">
        <v>2365</v>
      </c>
      <c r="V1644" t="s">
        <v>2365</v>
      </c>
      <c r="W1644" t="s">
        <v>2365</v>
      </c>
      <c r="X1644" t="s">
        <v>2365</v>
      </c>
      <c r="Y1644" t="s">
        <v>2365</v>
      </c>
      <c r="Z1644" t="s">
        <v>2365</v>
      </c>
      <c r="AA1644" t="s">
        <v>2365</v>
      </c>
      <c r="AB1644" t="s">
        <v>2365</v>
      </c>
      <c r="AC1644" s="813" t="s">
        <v>2365</v>
      </c>
      <c r="AD1644" s="813" t="s">
        <v>2365</v>
      </c>
      <c r="AE1644" s="813" t="s">
        <v>2365</v>
      </c>
      <c r="AF1644" t="s">
        <v>2365</v>
      </c>
      <c r="AG1644" t="s">
        <v>2365</v>
      </c>
      <c r="AH1644" t="s">
        <v>2365</v>
      </c>
      <c r="AI1644" t="s">
        <v>2365</v>
      </c>
      <c r="AJ1644" t="s">
        <v>2365</v>
      </c>
      <c r="AK1644" s="1373" t="s">
        <v>2365</v>
      </c>
      <c r="AL1644" t="s">
        <v>2365</v>
      </c>
      <c r="AM1644" t="s">
        <v>2365</v>
      </c>
      <c r="AN1644" t="s">
        <v>2365</v>
      </c>
      <c r="AR1644" t="s">
        <v>2365</v>
      </c>
      <c r="AS1644" t="s">
        <v>2365</v>
      </c>
      <c r="AT1644" t="s">
        <v>2365</v>
      </c>
      <c r="AU1644" t="s">
        <v>2365</v>
      </c>
      <c r="AV1644" t="s">
        <v>2365</v>
      </c>
      <c r="AW1644" t="s">
        <v>2365</v>
      </c>
      <c r="AX1644" t="s">
        <v>2365</v>
      </c>
      <c r="AY1644" t="s">
        <v>2365</v>
      </c>
      <c r="AZ1644" t="s">
        <v>2365</v>
      </c>
      <c r="BA1644" t="s">
        <v>2365</v>
      </c>
      <c r="BB1644" t="s">
        <v>2365</v>
      </c>
      <c r="BC1644" t="s">
        <v>2365</v>
      </c>
      <c r="BD1644" t="s">
        <v>2366</v>
      </c>
      <c r="BE1644" t="s">
        <v>2365</v>
      </c>
      <c r="BF1644" t="s">
        <v>2365</v>
      </c>
      <c r="BG1644" t="s">
        <v>2365</v>
      </c>
      <c r="BH1644" t="s">
        <v>2365</v>
      </c>
      <c r="BI1644" t="s">
        <v>2366</v>
      </c>
      <c r="BJ1644" t="s">
        <v>2365</v>
      </c>
      <c r="BK1644" t="s">
        <v>2365</v>
      </c>
      <c r="BL1644" t="s">
        <v>2365</v>
      </c>
      <c r="BM1644" t="s">
        <v>2365</v>
      </c>
      <c r="BO1644">
        <v>4</v>
      </c>
      <c r="BP1644">
        <v>43</v>
      </c>
      <c r="BQ1644" t="s">
        <v>2433</v>
      </c>
      <c r="BR1644" t="s">
        <v>1509</v>
      </c>
      <c r="BU1644">
        <v>20000</v>
      </c>
      <c r="BV1644">
        <v>0</v>
      </c>
      <c r="BW1644">
        <v>20000</v>
      </c>
      <c r="BX1644">
        <v>50000</v>
      </c>
      <c r="BY1644">
        <v>70000</v>
      </c>
      <c r="BZ1644">
        <v>21200</v>
      </c>
      <c r="CA1644">
        <v>22472</v>
      </c>
      <c r="CB1644">
        <v>0</v>
      </c>
      <c r="CC1644">
        <v>0</v>
      </c>
      <c r="CD1644">
        <v>0</v>
      </c>
      <c r="CE1644">
        <v>216</v>
      </c>
      <c r="CF1644">
        <v>0</v>
      </c>
      <c r="CG1644">
        <v>0</v>
      </c>
      <c r="CH1644">
        <v>0</v>
      </c>
      <c r="CI1644">
        <v>0</v>
      </c>
      <c r="CJ1644">
        <v>0</v>
      </c>
      <c r="CK1644">
        <v>0</v>
      </c>
      <c r="CL1644">
        <v>0</v>
      </c>
      <c r="CM1644">
        <v>0</v>
      </c>
      <c r="CR1644" t="s">
        <v>2322</v>
      </c>
      <c r="CS1644" s="1369" t="str">
        <f>INDEX([8]Sheet1!$H:$H,MATCH(CR:CR,[8]Sheet1!$AU:$AU,0))</f>
        <v>Human Resources</v>
      </c>
    </row>
    <row r="1645" spans="1:97" x14ac:dyDescent="0.2">
      <c r="A1645" t="s">
        <v>4751</v>
      </c>
      <c r="B1645">
        <v>1735</v>
      </c>
      <c r="C1645" t="s">
        <v>4751</v>
      </c>
      <c r="D1645">
        <v>54737</v>
      </c>
      <c r="E1645" t="s">
        <v>2430</v>
      </c>
      <c r="F1645">
        <v>2700</v>
      </c>
      <c r="G1645" t="s">
        <v>656</v>
      </c>
      <c r="H1645" t="s">
        <v>2428</v>
      </c>
      <c r="I1645" t="s">
        <v>1800</v>
      </c>
      <c r="J1645">
        <v>2701</v>
      </c>
      <c r="K1645" t="s">
        <v>1800</v>
      </c>
      <c r="L1645">
        <v>2100</v>
      </c>
      <c r="M1645" t="s">
        <v>618</v>
      </c>
      <c r="N1645">
        <v>2115</v>
      </c>
      <c r="O1645" t="s">
        <v>1506</v>
      </c>
      <c r="P1645" t="s">
        <v>2366</v>
      </c>
      <c r="Q1645" t="s">
        <v>2364</v>
      </c>
      <c r="R1645" t="s">
        <v>2364</v>
      </c>
      <c r="S1645" t="s">
        <v>1881</v>
      </c>
      <c r="T1645" t="s">
        <v>1812</v>
      </c>
      <c r="U1645" t="s">
        <v>2365</v>
      </c>
      <c r="V1645" t="s">
        <v>2365</v>
      </c>
      <c r="W1645" t="s">
        <v>2365</v>
      </c>
      <c r="X1645" t="s">
        <v>2365</v>
      </c>
      <c r="Y1645" t="s">
        <v>2365</v>
      </c>
      <c r="Z1645" t="s">
        <v>2365</v>
      </c>
      <c r="AA1645" t="s">
        <v>2365</v>
      </c>
      <c r="AB1645" t="s">
        <v>2365</v>
      </c>
      <c r="AC1645" s="813" t="s">
        <v>2365</v>
      </c>
      <c r="AD1645" s="813" t="s">
        <v>2365</v>
      </c>
      <c r="AE1645" s="813" t="s">
        <v>2365</v>
      </c>
      <c r="AF1645" t="s">
        <v>2365</v>
      </c>
      <c r="AG1645" t="s">
        <v>2365</v>
      </c>
      <c r="AH1645" t="s">
        <v>2365</v>
      </c>
      <c r="AI1645" t="s">
        <v>2365</v>
      </c>
      <c r="AJ1645" t="s">
        <v>2365</v>
      </c>
      <c r="AK1645" t="s">
        <v>2365</v>
      </c>
      <c r="AL1645" t="s">
        <v>2365</v>
      </c>
      <c r="AM1645" t="s">
        <v>2365</v>
      </c>
      <c r="AN1645" t="s">
        <v>2365</v>
      </c>
      <c r="AR1645" t="s">
        <v>2365</v>
      </c>
      <c r="AS1645" t="s">
        <v>2365</v>
      </c>
      <c r="AT1645" t="s">
        <v>2365</v>
      </c>
      <c r="AU1645" t="s">
        <v>2365</v>
      </c>
      <c r="AV1645" t="s">
        <v>2365</v>
      </c>
      <c r="AW1645" t="s">
        <v>2365</v>
      </c>
      <c r="AX1645" t="s">
        <v>2365</v>
      </c>
      <c r="AY1645" t="s">
        <v>2365</v>
      </c>
      <c r="AZ1645" t="s">
        <v>2365</v>
      </c>
      <c r="BA1645" t="s">
        <v>2365</v>
      </c>
      <c r="BB1645" t="s">
        <v>2365</v>
      </c>
      <c r="BC1645" t="s">
        <v>2365</v>
      </c>
      <c r="BD1645" t="s">
        <v>2366</v>
      </c>
      <c r="BE1645" t="s">
        <v>2365</v>
      </c>
      <c r="BF1645" t="s">
        <v>2365</v>
      </c>
      <c r="BG1645" t="s">
        <v>2365</v>
      </c>
      <c r="BH1645" t="s">
        <v>2365</v>
      </c>
      <c r="BI1645" t="s">
        <v>2366</v>
      </c>
      <c r="BJ1645" t="s">
        <v>2365</v>
      </c>
      <c r="BK1645" t="s">
        <v>2365</v>
      </c>
      <c r="BL1645" t="s">
        <v>2365</v>
      </c>
      <c r="BM1645" t="s">
        <v>2365</v>
      </c>
      <c r="BO1645">
        <v>5</v>
      </c>
      <c r="BP1645">
        <v>51</v>
      </c>
      <c r="BQ1645" t="s">
        <v>2438</v>
      </c>
      <c r="BR1645" t="s">
        <v>1506</v>
      </c>
      <c r="BU1645">
        <v>30000</v>
      </c>
      <c r="BV1645">
        <v>0</v>
      </c>
      <c r="BW1645">
        <v>30000</v>
      </c>
      <c r="BX1645">
        <v>-10000</v>
      </c>
      <c r="BY1645">
        <v>20000</v>
      </c>
      <c r="BZ1645">
        <v>31800</v>
      </c>
      <c r="CA1645">
        <v>33708</v>
      </c>
      <c r="CB1645">
        <v>0</v>
      </c>
      <c r="CC1645">
        <v>0</v>
      </c>
      <c r="CD1645">
        <v>0</v>
      </c>
      <c r="CE1645">
        <v>0</v>
      </c>
      <c r="CF1645">
        <v>0</v>
      </c>
      <c r="CG1645">
        <v>0</v>
      </c>
      <c r="CH1645">
        <v>0</v>
      </c>
      <c r="CI1645">
        <v>0</v>
      </c>
      <c r="CJ1645">
        <v>0</v>
      </c>
      <c r="CK1645">
        <v>0</v>
      </c>
      <c r="CL1645">
        <v>0</v>
      </c>
      <c r="CM1645">
        <v>0</v>
      </c>
      <c r="CR1645" t="s">
        <v>2319</v>
      </c>
      <c r="CS1645" s="1369" t="str">
        <f>INDEX([8]Sheet1!$H:$H,MATCH(CR:CR,[8]Sheet1!$AU:$AU,0))</f>
        <v>Mayor and Council</v>
      </c>
    </row>
    <row r="1646" spans="1:97" x14ac:dyDescent="0.2">
      <c r="A1646" t="s">
        <v>4752</v>
      </c>
      <c r="B1646">
        <v>1736</v>
      </c>
      <c r="C1646" t="s">
        <v>4752</v>
      </c>
      <c r="D1646">
        <v>54738</v>
      </c>
      <c r="E1646" t="s">
        <v>2427</v>
      </c>
      <c r="F1646">
        <v>2700</v>
      </c>
      <c r="G1646" t="s">
        <v>656</v>
      </c>
      <c r="H1646" t="s">
        <v>2428</v>
      </c>
      <c r="I1646" t="s">
        <v>1800</v>
      </c>
      <c r="J1646">
        <v>2701</v>
      </c>
      <c r="K1646" t="s">
        <v>1800</v>
      </c>
      <c r="L1646">
        <v>2100</v>
      </c>
      <c r="M1646" t="s">
        <v>618</v>
      </c>
      <c r="N1646">
        <v>2115</v>
      </c>
      <c r="O1646" t="s">
        <v>1506</v>
      </c>
      <c r="P1646" t="s">
        <v>2366</v>
      </c>
      <c r="Q1646" t="s">
        <v>2364</v>
      </c>
      <c r="R1646" t="s">
        <v>2364</v>
      </c>
      <c r="S1646" t="s">
        <v>1881</v>
      </c>
      <c r="T1646" t="s">
        <v>1812</v>
      </c>
      <c r="U1646" t="s">
        <v>2365</v>
      </c>
      <c r="V1646" t="s">
        <v>2365</v>
      </c>
      <c r="W1646" t="s">
        <v>2365</v>
      </c>
      <c r="X1646" t="s">
        <v>2365</v>
      </c>
      <c r="Y1646" t="s">
        <v>2365</v>
      </c>
      <c r="Z1646" t="s">
        <v>2365</v>
      </c>
      <c r="AA1646" t="s">
        <v>2365</v>
      </c>
      <c r="AB1646" t="s">
        <v>2365</v>
      </c>
      <c r="AC1646" s="813" t="s">
        <v>2365</v>
      </c>
      <c r="AD1646" s="813" t="s">
        <v>2365</v>
      </c>
      <c r="AE1646" s="813" t="s">
        <v>2365</v>
      </c>
      <c r="AF1646" t="s">
        <v>2365</v>
      </c>
      <c r="AG1646" t="s">
        <v>2365</v>
      </c>
      <c r="AH1646" t="s">
        <v>2365</v>
      </c>
      <c r="AI1646" t="s">
        <v>2365</v>
      </c>
      <c r="AJ1646" t="s">
        <v>2365</v>
      </c>
      <c r="AK1646" s="1373" t="s">
        <v>2365</v>
      </c>
      <c r="AL1646" t="s">
        <v>2365</v>
      </c>
      <c r="AM1646" t="s">
        <v>2365</v>
      </c>
      <c r="AN1646" t="s">
        <v>2365</v>
      </c>
      <c r="AR1646" t="s">
        <v>2365</v>
      </c>
      <c r="AS1646" t="s">
        <v>2365</v>
      </c>
      <c r="AT1646" t="s">
        <v>2365</v>
      </c>
      <c r="AU1646" t="s">
        <v>2365</v>
      </c>
      <c r="AV1646" t="s">
        <v>2365</v>
      </c>
      <c r="AW1646" t="s">
        <v>2365</v>
      </c>
      <c r="AX1646" t="s">
        <v>2365</v>
      </c>
      <c r="AY1646" t="s">
        <v>2365</v>
      </c>
      <c r="AZ1646" t="s">
        <v>2365</v>
      </c>
      <c r="BA1646" t="s">
        <v>2365</v>
      </c>
      <c r="BB1646" t="s">
        <v>2365</v>
      </c>
      <c r="BC1646" t="s">
        <v>2365</v>
      </c>
      <c r="BD1646" t="s">
        <v>2366</v>
      </c>
      <c r="BE1646" t="s">
        <v>2365</v>
      </c>
      <c r="BF1646" t="s">
        <v>2365</v>
      </c>
      <c r="BG1646" t="s">
        <v>2365</v>
      </c>
      <c r="BH1646" t="s">
        <v>2365</v>
      </c>
      <c r="BI1646" t="s">
        <v>2366</v>
      </c>
      <c r="BJ1646" t="s">
        <v>2365</v>
      </c>
      <c r="BK1646" t="s">
        <v>2365</v>
      </c>
      <c r="BL1646" t="s">
        <v>2365</v>
      </c>
      <c r="BM1646" t="s">
        <v>2365</v>
      </c>
      <c r="BO1646">
        <v>5</v>
      </c>
      <c r="BP1646">
        <v>51</v>
      </c>
      <c r="BQ1646" t="s">
        <v>2438</v>
      </c>
      <c r="BR1646" t="s">
        <v>1506</v>
      </c>
      <c r="BU1646">
        <v>120000</v>
      </c>
      <c r="BV1646">
        <v>0</v>
      </c>
      <c r="BW1646">
        <v>120000</v>
      </c>
      <c r="BX1646">
        <v>-20000</v>
      </c>
      <c r="BY1646">
        <v>100000</v>
      </c>
      <c r="BZ1646">
        <v>127200</v>
      </c>
      <c r="CA1646">
        <v>134832</v>
      </c>
      <c r="CB1646">
        <v>0</v>
      </c>
      <c r="CC1646">
        <v>0</v>
      </c>
      <c r="CD1646">
        <v>0</v>
      </c>
      <c r="CE1646">
        <v>0</v>
      </c>
      <c r="CF1646">
        <v>0</v>
      </c>
      <c r="CG1646">
        <v>0</v>
      </c>
      <c r="CH1646">
        <v>0</v>
      </c>
      <c r="CI1646">
        <v>0</v>
      </c>
      <c r="CJ1646">
        <v>0</v>
      </c>
      <c r="CK1646">
        <v>0</v>
      </c>
      <c r="CL1646">
        <v>0</v>
      </c>
      <c r="CM1646">
        <v>0</v>
      </c>
      <c r="CR1646" t="s">
        <v>2319</v>
      </c>
      <c r="CS1646" s="1369" t="str">
        <f>INDEX([8]Sheet1!$H:$H,MATCH(CR:CR,[8]Sheet1!$AU:$AU,0))</f>
        <v>Mayor and Council</v>
      </c>
    </row>
    <row r="1647" spans="1:97" x14ac:dyDescent="0.2">
      <c r="A1647" t="s">
        <v>4753</v>
      </c>
      <c r="B1647">
        <v>1737</v>
      </c>
      <c r="C1647" t="s">
        <v>4753</v>
      </c>
      <c r="D1647">
        <v>54739</v>
      </c>
      <c r="E1647" t="s">
        <v>3010</v>
      </c>
      <c r="F1647">
        <v>2700</v>
      </c>
      <c r="G1647" t="s">
        <v>656</v>
      </c>
      <c r="H1647" t="s">
        <v>2428</v>
      </c>
      <c r="I1647" t="s">
        <v>1800</v>
      </c>
      <c r="J1647">
        <v>2701</v>
      </c>
      <c r="K1647" t="s">
        <v>1800</v>
      </c>
      <c r="L1647">
        <v>2100</v>
      </c>
      <c r="M1647" t="s">
        <v>618</v>
      </c>
      <c r="N1647">
        <v>2115</v>
      </c>
      <c r="O1647" t="s">
        <v>1506</v>
      </c>
      <c r="P1647" t="s">
        <v>2366</v>
      </c>
      <c r="Q1647" t="s">
        <v>2364</v>
      </c>
      <c r="R1647" t="s">
        <v>2364</v>
      </c>
      <c r="S1647" t="s">
        <v>1881</v>
      </c>
      <c r="T1647" t="s">
        <v>1812</v>
      </c>
      <c r="U1647" t="s">
        <v>2365</v>
      </c>
      <c r="V1647" t="s">
        <v>2365</v>
      </c>
      <c r="W1647" t="s">
        <v>2365</v>
      </c>
      <c r="X1647" t="s">
        <v>2365</v>
      </c>
      <c r="Y1647" t="s">
        <v>2365</v>
      </c>
      <c r="Z1647" t="s">
        <v>2365</v>
      </c>
      <c r="AA1647" t="s">
        <v>2365</v>
      </c>
      <c r="AB1647" t="s">
        <v>2365</v>
      </c>
      <c r="AC1647" s="813" t="s">
        <v>2365</v>
      </c>
      <c r="AD1647" s="813" t="s">
        <v>2365</v>
      </c>
      <c r="AE1647" s="813" t="s">
        <v>2365</v>
      </c>
      <c r="AF1647" t="s">
        <v>2365</v>
      </c>
      <c r="AG1647" t="s">
        <v>2365</v>
      </c>
      <c r="AH1647" t="s">
        <v>2365</v>
      </c>
      <c r="AI1647" t="s">
        <v>2365</v>
      </c>
      <c r="AJ1647" t="s">
        <v>2365</v>
      </c>
      <c r="AK1647" t="s">
        <v>2365</v>
      </c>
      <c r="AL1647" t="s">
        <v>2365</v>
      </c>
      <c r="AM1647" t="s">
        <v>2365</v>
      </c>
      <c r="AN1647" t="s">
        <v>2365</v>
      </c>
      <c r="AR1647" t="s">
        <v>2365</v>
      </c>
      <c r="AS1647" t="s">
        <v>2365</v>
      </c>
      <c r="AT1647" t="s">
        <v>2365</v>
      </c>
      <c r="AU1647" t="s">
        <v>2365</v>
      </c>
      <c r="AV1647" t="s">
        <v>2365</v>
      </c>
      <c r="AW1647" t="s">
        <v>2365</v>
      </c>
      <c r="AX1647" t="s">
        <v>2365</v>
      </c>
      <c r="AY1647" t="s">
        <v>2365</v>
      </c>
      <c r="AZ1647" t="s">
        <v>2365</v>
      </c>
      <c r="BA1647" t="s">
        <v>2365</v>
      </c>
      <c r="BB1647" t="s">
        <v>2365</v>
      </c>
      <c r="BC1647" t="s">
        <v>2365</v>
      </c>
      <c r="BD1647" t="s">
        <v>2366</v>
      </c>
      <c r="BE1647" t="s">
        <v>2365</v>
      </c>
      <c r="BF1647" t="s">
        <v>2365</v>
      </c>
      <c r="BG1647" t="s">
        <v>2365</v>
      </c>
      <c r="BH1647" t="s">
        <v>2365</v>
      </c>
      <c r="BI1647" t="s">
        <v>2366</v>
      </c>
      <c r="BJ1647" t="s">
        <v>2365</v>
      </c>
      <c r="BK1647" t="s">
        <v>2365</v>
      </c>
      <c r="BL1647" t="s">
        <v>2365</v>
      </c>
      <c r="BM1647" t="s">
        <v>2365</v>
      </c>
      <c r="BO1647">
        <v>5</v>
      </c>
      <c r="BP1647">
        <v>51</v>
      </c>
      <c r="BQ1647" t="s">
        <v>2438</v>
      </c>
      <c r="BR1647" t="s">
        <v>1506</v>
      </c>
      <c r="BU1647">
        <v>80000</v>
      </c>
      <c r="BV1647">
        <v>0</v>
      </c>
      <c r="BW1647">
        <v>80000</v>
      </c>
      <c r="BX1647">
        <v>20000</v>
      </c>
      <c r="BY1647">
        <v>100000</v>
      </c>
      <c r="BZ1647">
        <v>84800</v>
      </c>
      <c r="CA1647">
        <v>89888</v>
      </c>
      <c r="CB1647">
        <v>0</v>
      </c>
      <c r="CC1647">
        <v>0</v>
      </c>
      <c r="CD1647">
        <v>0</v>
      </c>
      <c r="CE1647">
        <v>0</v>
      </c>
      <c r="CF1647">
        <v>0</v>
      </c>
      <c r="CG1647">
        <v>0</v>
      </c>
      <c r="CH1647">
        <v>0</v>
      </c>
      <c r="CI1647">
        <v>0</v>
      </c>
      <c r="CJ1647">
        <v>0</v>
      </c>
      <c r="CK1647">
        <v>0</v>
      </c>
      <c r="CL1647">
        <v>0</v>
      </c>
      <c r="CM1647">
        <v>0</v>
      </c>
      <c r="CR1647" t="s">
        <v>2327</v>
      </c>
      <c r="CS1647" s="1369" t="str">
        <f>INDEX([8]Sheet1!$H:$H,MATCH(CR:CR,[8]Sheet1!$AU:$AU,0))</f>
        <v>Education</v>
      </c>
    </row>
    <row r="1648" spans="1:97" x14ac:dyDescent="0.2">
      <c r="A1648" t="s">
        <v>4754</v>
      </c>
      <c r="B1648">
        <v>1738</v>
      </c>
      <c r="C1648" t="s">
        <v>4754</v>
      </c>
      <c r="D1648">
        <v>54740</v>
      </c>
      <c r="E1648" t="s">
        <v>2499</v>
      </c>
      <c r="F1648">
        <v>2900</v>
      </c>
      <c r="G1648" t="s">
        <v>569</v>
      </c>
      <c r="H1648" t="s">
        <v>2366</v>
      </c>
      <c r="I1648" t="s">
        <v>2366</v>
      </c>
      <c r="J1648">
        <v>2904</v>
      </c>
      <c r="K1648" t="s">
        <v>1432</v>
      </c>
      <c r="L1648">
        <v>2100</v>
      </c>
      <c r="M1648" t="s">
        <v>618</v>
      </c>
      <c r="N1648">
        <v>2115</v>
      </c>
      <c r="O1648" t="s">
        <v>1506</v>
      </c>
      <c r="P1648" t="s">
        <v>2366</v>
      </c>
      <c r="Q1648" t="s">
        <v>2364</v>
      </c>
      <c r="R1648" t="s">
        <v>2364</v>
      </c>
      <c r="S1648" t="s">
        <v>1881</v>
      </c>
      <c r="T1648" t="s">
        <v>1812</v>
      </c>
      <c r="U1648" t="s">
        <v>2365</v>
      </c>
      <c r="V1648" t="s">
        <v>2365</v>
      </c>
      <c r="W1648" t="s">
        <v>2365</v>
      </c>
      <c r="X1648" t="s">
        <v>2365</v>
      </c>
      <c r="Y1648" t="s">
        <v>2365</v>
      </c>
      <c r="Z1648" t="s">
        <v>2365</v>
      </c>
      <c r="AA1648" t="s">
        <v>2365</v>
      </c>
      <c r="AB1648" t="s">
        <v>2365</v>
      </c>
      <c r="AC1648" s="813" t="s">
        <v>2365</v>
      </c>
      <c r="AD1648" s="813" t="s">
        <v>2365</v>
      </c>
      <c r="AE1648" s="813" t="s">
        <v>2365</v>
      </c>
      <c r="AF1648" t="s">
        <v>2365</v>
      </c>
      <c r="AG1648" t="s">
        <v>2365</v>
      </c>
      <c r="AH1648" t="s">
        <v>2365</v>
      </c>
      <c r="AI1648" t="s">
        <v>2365</v>
      </c>
      <c r="AJ1648" t="s">
        <v>2365</v>
      </c>
      <c r="AK1648" t="s">
        <v>2365</v>
      </c>
      <c r="AL1648" t="s">
        <v>2365</v>
      </c>
      <c r="AM1648" t="s">
        <v>2365</v>
      </c>
      <c r="AN1648" t="s">
        <v>2365</v>
      </c>
      <c r="AR1648" t="s">
        <v>2365</v>
      </c>
      <c r="AS1648" t="s">
        <v>2365</v>
      </c>
      <c r="AT1648" t="s">
        <v>2365</v>
      </c>
      <c r="AU1648" t="s">
        <v>2365</v>
      </c>
      <c r="AV1648" t="s">
        <v>2365</v>
      </c>
      <c r="AW1648" t="s">
        <v>2365</v>
      </c>
      <c r="AX1648" t="s">
        <v>2365</v>
      </c>
      <c r="AY1648" t="s">
        <v>2365</v>
      </c>
      <c r="AZ1648" t="s">
        <v>2365</v>
      </c>
      <c r="BA1648" t="s">
        <v>2365</v>
      </c>
      <c r="BB1648" t="s">
        <v>2365</v>
      </c>
      <c r="BC1648" t="s">
        <v>2365</v>
      </c>
      <c r="BD1648" t="s">
        <v>2366</v>
      </c>
      <c r="BE1648" t="s">
        <v>2365</v>
      </c>
      <c r="BF1648" t="s">
        <v>2365</v>
      </c>
      <c r="BG1648" t="s">
        <v>2365</v>
      </c>
      <c r="BH1648" t="s">
        <v>2365</v>
      </c>
      <c r="BI1648" t="s">
        <v>2366</v>
      </c>
      <c r="BJ1648" t="s">
        <v>2365</v>
      </c>
      <c r="BK1648" t="s">
        <v>2365</v>
      </c>
      <c r="BL1648" t="s">
        <v>2365</v>
      </c>
      <c r="BM1648" t="s">
        <v>2365</v>
      </c>
      <c r="BO1648">
        <v>5</v>
      </c>
      <c r="BP1648">
        <v>51</v>
      </c>
      <c r="BQ1648" t="s">
        <v>2438</v>
      </c>
      <c r="BR1648" t="s">
        <v>1506</v>
      </c>
      <c r="BU1648">
        <v>70000</v>
      </c>
      <c r="BV1648">
        <v>0</v>
      </c>
      <c r="BW1648">
        <v>70000</v>
      </c>
      <c r="BX1648">
        <v>-20000</v>
      </c>
      <c r="BY1648">
        <v>50000</v>
      </c>
      <c r="BZ1648">
        <v>74200</v>
      </c>
      <c r="CA1648">
        <v>78652</v>
      </c>
      <c r="CB1648">
        <v>0</v>
      </c>
      <c r="CC1648">
        <v>0</v>
      </c>
      <c r="CD1648">
        <v>0</v>
      </c>
      <c r="CE1648">
        <v>0</v>
      </c>
      <c r="CF1648">
        <v>0</v>
      </c>
      <c r="CG1648">
        <v>0</v>
      </c>
      <c r="CH1648">
        <v>0</v>
      </c>
      <c r="CI1648">
        <v>0</v>
      </c>
      <c r="CJ1648">
        <v>0</v>
      </c>
      <c r="CK1648">
        <v>0</v>
      </c>
      <c r="CL1648">
        <v>0</v>
      </c>
      <c r="CM1648">
        <v>0</v>
      </c>
      <c r="CR1648" t="s">
        <v>2327</v>
      </c>
      <c r="CS1648" s="1369" t="str">
        <f>INDEX([8]Sheet1!$H:$H,MATCH(CR:CR,[8]Sheet1!$AU:$AU,0))</f>
        <v>Education</v>
      </c>
    </row>
    <row r="1649" spans="1:97" x14ac:dyDescent="0.2">
      <c r="A1649" t="s">
        <v>4755</v>
      </c>
      <c r="B1649">
        <v>1739</v>
      </c>
      <c r="C1649" t="s">
        <v>4755</v>
      </c>
      <c r="D1649">
        <v>54741</v>
      </c>
      <c r="E1649" t="s">
        <v>2661</v>
      </c>
      <c r="F1649">
        <v>2900</v>
      </c>
      <c r="G1649" t="s">
        <v>569</v>
      </c>
      <c r="H1649" t="s">
        <v>2366</v>
      </c>
      <c r="I1649" t="s">
        <v>2366</v>
      </c>
      <c r="J1649">
        <v>2904</v>
      </c>
      <c r="K1649" t="s">
        <v>1432</v>
      </c>
      <c r="L1649">
        <v>2200</v>
      </c>
      <c r="M1649" t="s">
        <v>619</v>
      </c>
      <c r="N1649">
        <v>2205</v>
      </c>
      <c r="O1649" t="s">
        <v>1517</v>
      </c>
      <c r="P1649" t="s">
        <v>2366</v>
      </c>
      <c r="Q1649" t="s">
        <v>2364</v>
      </c>
      <c r="R1649" t="s">
        <v>2364</v>
      </c>
      <c r="S1649" t="s">
        <v>1881</v>
      </c>
      <c r="T1649" t="s">
        <v>1812</v>
      </c>
      <c r="U1649" t="s">
        <v>2365</v>
      </c>
      <c r="V1649" t="s">
        <v>2365</v>
      </c>
      <c r="W1649" t="s">
        <v>2365</v>
      </c>
      <c r="X1649" t="s">
        <v>2365</v>
      </c>
      <c r="Y1649" t="s">
        <v>2365</v>
      </c>
      <c r="Z1649" t="s">
        <v>2365</v>
      </c>
      <c r="AA1649" t="s">
        <v>2365</v>
      </c>
      <c r="AB1649" t="s">
        <v>2365</v>
      </c>
      <c r="AC1649" s="813" t="s">
        <v>2365</v>
      </c>
      <c r="AD1649" s="813" t="s">
        <v>2365</v>
      </c>
      <c r="AE1649" s="813" t="s">
        <v>2365</v>
      </c>
      <c r="AF1649" t="s">
        <v>2365</v>
      </c>
      <c r="AG1649" t="s">
        <v>2365</v>
      </c>
      <c r="AH1649" t="s">
        <v>2365</v>
      </c>
      <c r="AI1649" t="s">
        <v>2365</v>
      </c>
      <c r="AJ1649" t="s">
        <v>2365</v>
      </c>
      <c r="AK1649" s="1373" t="s">
        <v>2365</v>
      </c>
      <c r="AL1649" t="s">
        <v>2365</v>
      </c>
      <c r="AM1649" t="s">
        <v>2365</v>
      </c>
      <c r="AN1649" t="s">
        <v>2365</v>
      </c>
      <c r="AR1649" t="s">
        <v>2365</v>
      </c>
      <c r="AS1649" t="s">
        <v>2365</v>
      </c>
      <c r="AT1649" t="s">
        <v>2365</v>
      </c>
      <c r="AU1649" t="s">
        <v>2365</v>
      </c>
      <c r="AV1649" t="s">
        <v>2365</v>
      </c>
      <c r="AW1649" t="s">
        <v>2365</v>
      </c>
      <c r="AX1649" t="s">
        <v>2365</v>
      </c>
      <c r="AY1649" t="s">
        <v>2365</v>
      </c>
      <c r="AZ1649" t="s">
        <v>2365</v>
      </c>
      <c r="BA1649" t="s">
        <v>2365</v>
      </c>
      <c r="BB1649" t="s">
        <v>2365</v>
      </c>
      <c r="BC1649" t="s">
        <v>2365</v>
      </c>
      <c r="BD1649" t="s">
        <v>2366</v>
      </c>
      <c r="BE1649" t="s">
        <v>2365</v>
      </c>
      <c r="BF1649" t="s">
        <v>2365</v>
      </c>
      <c r="BG1649" t="s">
        <v>2365</v>
      </c>
      <c r="BH1649" t="s">
        <v>2365</v>
      </c>
      <c r="BI1649" t="s">
        <v>2366</v>
      </c>
      <c r="BJ1649" t="s">
        <v>2365</v>
      </c>
      <c r="BK1649" t="s">
        <v>2365</v>
      </c>
      <c r="BL1649" t="s">
        <v>2365</v>
      </c>
      <c r="BM1649" t="s">
        <v>2365</v>
      </c>
      <c r="BO1649">
        <v>9</v>
      </c>
      <c r="BP1649">
        <v>91</v>
      </c>
      <c r="BQ1649" t="s">
        <v>265</v>
      </c>
      <c r="BR1649" t="s">
        <v>1517</v>
      </c>
      <c r="BU1649">
        <v>20000</v>
      </c>
      <c r="BV1649">
        <v>0</v>
      </c>
      <c r="BW1649">
        <v>20000</v>
      </c>
      <c r="BX1649">
        <v>-20000</v>
      </c>
      <c r="BY1649">
        <v>0</v>
      </c>
      <c r="BZ1649">
        <v>21200</v>
      </c>
      <c r="CA1649">
        <v>22472</v>
      </c>
      <c r="CB1649">
        <v>0</v>
      </c>
      <c r="CC1649">
        <v>0</v>
      </c>
      <c r="CD1649">
        <v>0</v>
      </c>
      <c r="CE1649">
        <v>0</v>
      </c>
      <c r="CF1649">
        <v>0</v>
      </c>
      <c r="CG1649">
        <v>0</v>
      </c>
      <c r="CH1649">
        <v>0</v>
      </c>
      <c r="CI1649">
        <v>0</v>
      </c>
      <c r="CJ1649">
        <v>0</v>
      </c>
      <c r="CK1649">
        <v>0</v>
      </c>
      <c r="CL1649">
        <v>0</v>
      </c>
      <c r="CM1649">
        <v>0</v>
      </c>
      <c r="CR1649" t="s">
        <v>2337</v>
      </c>
      <c r="CS1649" s="1369" t="str">
        <f>INDEX([8]Sheet1!$H:$H,MATCH(CR:CR,[8]Sheet1!$AU:$AU,0))</f>
        <v>Corporate Wide Strategic Planning (IDPs, LEDs)</v>
      </c>
    </row>
    <row r="1650" spans="1:97" x14ac:dyDescent="0.2">
      <c r="A1650" t="s">
        <v>4756</v>
      </c>
      <c r="B1650">
        <v>1740</v>
      </c>
      <c r="C1650" t="s">
        <v>4756</v>
      </c>
      <c r="D1650">
        <v>54742</v>
      </c>
      <c r="E1650" t="s">
        <v>2512</v>
      </c>
      <c r="F1650">
        <v>2900</v>
      </c>
      <c r="G1650" t="s">
        <v>569</v>
      </c>
      <c r="H1650" t="s">
        <v>2366</v>
      </c>
      <c r="I1650" t="s">
        <v>2366</v>
      </c>
      <c r="J1650">
        <v>2904</v>
      </c>
      <c r="K1650" t="s">
        <v>1432</v>
      </c>
      <c r="L1650">
        <v>2200</v>
      </c>
      <c r="M1650" t="s">
        <v>619</v>
      </c>
      <c r="N1650">
        <v>2205</v>
      </c>
      <c r="O1650" t="s">
        <v>1517</v>
      </c>
      <c r="P1650" t="s">
        <v>2366</v>
      </c>
      <c r="Q1650" t="s">
        <v>2364</v>
      </c>
      <c r="R1650" t="s">
        <v>2364</v>
      </c>
      <c r="S1650" t="s">
        <v>1881</v>
      </c>
      <c r="T1650" t="s">
        <v>1812</v>
      </c>
      <c r="U1650" t="s">
        <v>2365</v>
      </c>
      <c r="V1650" t="s">
        <v>2365</v>
      </c>
      <c r="W1650" t="s">
        <v>2365</v>
      </c>
      <c r="X1650" t="s">
        <v>2365</v>
      </c>
      <c r="Y1650" t="s">
        <v>2365</v>
      </c>
      <c r="Z1650" t="s">
        <v>2365</v>
      </c>
      <c r="AA1650" t="s">
        <v>2365</v>
      </c>
      <c r="AB1650" t="s">
        <v>2365</v>
      </c>
      <c r="AC1650" s="813" t="s">
        <v>2365</v>
      </c>
      <c r="AD1650" s="813" t="s">
        <v>2365</v>
      </c>
      <c r="AE1650" s="813" t="s">
        <v>2365</v>
      </c>
      <c r="AF1650" t="s">
        <v>2365</v>
      </c>
      <c r="AG1650" t="s">
        <v>2365</v>
      </c>
      <c r="AH1650" t="s">
        <v>2365</v>
      </c>
      <c r="AI1650" t="s">
        <v>2365</v>
      </c>
      <c r="AJ1650" t="s">
        <v>2365</v>
      </c>
      <c r="AK1650" t="s">
        <v>2365</v>
      </c>
      <c r="AL1650" t="s">
        <v>2365</v>
      </c>
      <c r="AM1650" t="s">
        <v>2365</v>
      </c>
      <c r="AN1650" t="s">
        <v>2365</v>
      </c>
      <c r="AR1650" t="s">
        <v>2365</v>
      </c>
      <c r="AS1650" t="s">
        <v>2365</v>
      </c>
      <c r="AT1650" t="s">
        <v>2365</v>
      </c>
      <c r="AU1650" t="s">
        <v>2365</v>
      </c>
      <c r="AV1650" t="s">
        <v>2365</v>
      </c>
      <c r="AW1650" t="s">
        <v>2365</v>
      </c>
      <c r="AX1650" t="s">
        <v>2365</v>
      </c>
      <c r="AY1650" t="s">
        <v>2365</v>
      </c>
      <c r="AZ1650" t="s">
        <v>2365</v>
      </c>
      <c r="BA1650" t="s">
        <v>2365</v>
      </c>
      <c r="BB1650" t="s">
        <v>2365</v>
      </c>
      <c r="BC1650" t="s">
        <v>2365</v>
      </c>
      <c r="BD1650" t="s">
        <v>2366</v>
      </c>
      <c r="BE1650" t="s">
        <v>2365</v>
      </c>
      <c r="BF1650" t="s">
        <v>2365</v>
      </c>
      <c r="BG1650" t="s">
        <v>2365</v>
      </c>
      <c r="BH1650" t="s">
        <v>2365</v>
      </c>
      <c r="BI1650" t="s">
        <v>2366</v>
      </c>
      <c r="BJ1650" t="s">
        <v>2365</v>
      </c>
      <c r="BK1650" t="s">
        <v>2365</v>
      </c>
      <c r="BL1650" t="s">
        <v>2365</v>
      </c>
      <c r="BM1650" t="s">
        <v>2365</v>
      </c>
      <c r="BO1650">
        <v>9</v>
      </c>
      <c r="BP1650">
        <v>91</v>
      </c>
      <c r="BQ1650" t="s">
        <v>265</v>
      </c>
      <c r="BR1650" t="s">
        <v>1517</v>
      </c>
      <c r="BU1650">
        <v>5000</v>
      </c>
      <c r="BV1650">
        <v>0</v>
      </c>
      <c r="BW1650">
        <v>5000</v>
      </c>
      <c r="BX1650">
        <v>-5000</v>
      </c>
      <c r="BY1650">
        <v>0</v>
      </c>
      <c r="BZ1650">
        <v>5300</v>
      </c>
      <c r="CA1650">
        <v>5618</v>
      </c>
      <c r="CB1650">
        <v>0</v>
      </c>
      <c r="CC1650">
        <v>0</v>
      </c>
      <c r="CD1650">
        <v>0</v>
      </c>
      <c r="CE1650">
        <v>0</v>
      </c>
      <c r="CF1650">
        <v>0</v>
      </c>
      <c r="CG1650">
        <v>0</v>
      </c>
      <c r="CH1650">
        <v>0</v>
      </c>
      <c r="CI1650">
        <v>0</v>
      </c>
      <c r="CJ1650">
        <v>0</v>
      </c>
      <c r="CK1650">
        <v>0</v>
      </c>
      <c r="CL1650">
        <v>0</v>
      </c>
      <c r="CM1650">
        <v>0</v>
      </c>
      <c r="CR1650" t="s">
        <v>2328</v>
      </c>
      <c r="CS1650" s="1369" t="str">
        <f>INDEX([8]Sheet1!$H:$H,MATCH(CR:CR,[8]Sheet1!$AU:$AU,0))</f>
        <v>Water Distribution</v>
      </c>
    </row>
    <row r="1651" spans="1:97" x14ac:dyDescent="0.2">
      <c r="A1651" t="s">
        <v>4757</v>
      </c>
      <c r="B1651">
        <v>1741</v>
      </c>
      <c r="C1651" t="s">
        <v>4757</v>
      </c>
      <c r="D1651">
        <v>54743</v>
      </c>
      <c r="E1651" t="s">
        <v>2432</v>
      </c>
      <c r="F1651">
        <v>2600</v>
      </c>
      <c r="G1651" t="s">
        <v>655</v>
      </c>
      <c r="H1651">
        <v>2600</v>
      </c>
      <c r="I1651" t="s">
        <v>655</v>
      </c>
      <c r="J1651" t="s">
        <v>2365</v>
      </c>
      <c r="K1651" t="s">
        <v>2365</v>
      </c>
      <c r="L1651">
        <v>2100</v>
      </c>
      <c r="M1651" t="s">
        <v>618</v>
      </c>
      <c r="N1651">
        <v>2101</v>
      </c>
      <c r="O1651" t="s">
        <v>1000</v>
      </c>
      <c r="P1651" t="s">
        <v>2366</v>
      </c>
      <c r="Q1651" t="s">
        <v>2364</v>
      </c>
      <c r="R1651" t="s">
        <v>2364</v>
      </c>
      <c r="S1651" t="s">
        <v>1881</v>
      </c>
      <c r="T1651" t="s">
        <v>1812</v>
      </c>
      <c r="U1651" t="s">
        <v>2365</v>
      </c>
      <c r="V1651" t="s">
        <v>2365</v>
      </c>
      <c r="W1651" t="s">
        <v>2365</v>
      </c>
      <c r="X1651" t="s">
        <v>2365</v>
      </c>
      <c r="Y1651" t="s">
        <v>2365</v>
      </c>
      <c r="Z1651" t="s">
        <v>2365</v>
      </c>
      <c r="AA1651" t="s">
        <v>2365</v>
      </c>
      <c r="AB1651" t="s">
        <v>2365</v>
      </c>
      <c r="AC1651" s="813" t="s">
        <v>2365</v>
      </c>
      <c r="AD1651" s="813" t="s">
        <v>2365</v>
      </c>
      <c r="AE1651" s="813" t="s">
        <v>2365</v>
      </c>
      <c r="AF1651" t="s">
        <v>2365</v>
      </c>
      <c r="AG1651" t="s">
        <v>2365</v>
      </c>
      <c r="AH1651" t="s">
        <v>2365</v>
      </c>
      <c r="AI1651" t="s">
        <v>2365</v>
      </c>
      <c r="AJ1651" t="s">
        <v>2365</v>
      </c>
      <c r="AK1651" t="s">
        <v>2365</v>
      </c>
      <c r="AL1651" t="s">
        <v>2365</v>
      </c>
      <c r="AM1651" t="s">
        <v>2365</v>
      </c>
      <c r="AN1651" t="s">
        <v>2365</v>
      </c>
      <c r="AR1651" t="s">
        <v>2365</v>
      </c>
      <c r="AS1651" t="s">
        <v>2365</v>
      </c>
      <c r="AT1651" t="s">
        <v>2365</v>
      </c>
      <c r="AU1651" t="s">
        <v>2365</v>
      </c>
      <c r="AV1651" t="s">
        <v>2365</v>
      </c>
      <c r="AW1651" t="s">
        <v>2365</v>
      </c>
      <c r="AX1651" t="s">
        <v>2365</v>
      </c>
      <c r="AY1651" t="s">
        <v>2365</v>
      </c>
      <c r="AZ1651" t="s">
        <v>2365</v>
      </c>
      <c r="BA1651" t="s">
        <v>2365</v>
      </c>
      <c r="BB1651" t="s">
        <v>2365</v>
      </c>
      <c r="BC1651" t="s">
        <v>2365</v>
      </c>
      <c r="BD1651" t="s">
        <v>2366</v>
      </c>
      <c r="BE1651" t="s">
        <v>2365</v>
      </c>
      <c r="BF1651" t="s">
        <v>2365</v>
      </c>
      <c r="BG1651" t="s">
        <v>2365</v>
      </c>
      <c r="BH1651" t="s">
        <v>2365</v>
      </c>
      <c r="BI1651" t="s">
        <v>2366</v>
      </c>
      <c r="BJ1651" t="s">
        <v>2365</v>
      </c>
      <c r="BK1651" t="s">
        <v>2365</v>
      </c>
      <c r="BL1651" t="s">
        <v>2365</v>
      </c>
      <c r="BM1651" t="s">
        <v>2365</v>
      </c>
      <c r="BO1651">
        <v>4</v>
      </c>
      <c r="BP1651">
        <v>48</v>
      </c>
      <c r="BQ1651" t="s">
        <v>2433</v>
      </c>
      <c r="BR1651" t="s">
        <v>1000</v>
      </c>
      <c r="BU1651">
        <v>30000</v>
      </c>
      <c r="BV1651">
        <v>0</v>
      </c>
      <c r="BW1651">
        <v>30000</v>
      </c>
      <c r="BX1651">
        <v>0</v>
      </c>
      <c r="BY1651">
        <v>30000</v>
      </c>
      <c r="BZ1651">
        <v>31800</v>
      </c>
      <c r="CA1651">
        <v>33708</v>
      </c>
      <c r="CB1651">
        <v>0</v>
      </c>
      <c r="CC1651">
        <v>0</v>
      </c>
      <c r="CD1651">
        <v>0</v>
      </c>
      <c r="CE1651">
        <v>0</v>
      </c>
      <c r="CF1651">
        <v>0</v>
      </c>
      <c r="CG1651">
        <v>0</v>
      </c>
      <c r="CH1651">
        <v>0</v>
      </c>
      <c r="CI1651">
        <v>0</v>
      </c>
      <c r="CJ1651">
        <v>0</v>
      </c>
      <c r="CK1651">
        <v>0</v>
      </c>
      <c r="CL1651">
        <v>0</v>
      </c>
      <c r="CM1651">
        <v>0</v>
      </c>
      <c r="CR1651" t="s">
        <v>2324</v>
      </c>
      <c r="CS1651" s="1369" t="str">
        <f>INDEX([8]Sheet1!$H:$H,MATCH(CR:CR,[8]Sheet1!$AU:$AU,0))</f>
        <v>Finance</v>
      </c>
    </row>
    <row r="1652" spans="1:97" x14ac:dyDescent="0.2">
      <c r="A1652" t="s">
        <v>4758</v>
      </c>
      <c r="B1652">
        <v>1742</v>
      </c>
      <c r="C1652" t="s">
        <v>4758</v>
      </c>
      <c r="D1652">
        <v>54744</v>
      </c>
      <c r="E1652" t="s">
        <v>2427</v>
      </c>
      <c r="F1652">
        <v>2700</v>
      </c>
      <c r="G1652" t="s">
        <v>656</v>
      </c>
      <c r="H1652" t="s">
        <v>2428</v>
      </c>
      <c r="I1652" t="s">
        <v>1800</v>
      </c>
      <c r="J1652">
        <v>2701</v>
      </c>
      <c r="K1652" t="s">
        <v>1800</v>
      </c>
      <c r="L1652">
        <v>2100</v>
      </c>
      <c r="M1652" t="s">
        <v>618</v>
      </c>
      <c r="N1652">
        <v>2118</v>
      </c>
      <c r="O1652" t="s">
        <v>1509</v>
      </c>
      <c r="P1652" t="s">
        <v>2366</v>
      </c>
      <c r="Q1652" t="s">
        <v>2364</v>
      </c>
      <c r="R1652" t="s">
        <v>2364</v>
      </c>
      <c r="S1652" t="s">
        <v>1881</v>
      </c>
      <c r="T1652" t="s">
        <v>1812</v>
      </c>
      <c r="U1652" t="s">
        <v>2365</v>
      </c>
      <c r="V1652" t="s">
        <v>2365</v>
      </c>
      <c r="W1652" t="s">
        <v>2365</v>
      </c>
      <c r="X1652" t="s">
        <v>2365</v>
      </c>
      <c r="Y1652" t="s">
        <v>2365</v>
      </c>
      <c r="Z1652" t="s">
        <v>2365</v>
      </c>
      <c r="AA1652" t="s">
        <v>2365</v>
      </c>
      <c r="AB1652" t="s">
        <v>2365</v>
      </c>
      <c r="AC1652" s="813" t="s">
        <v>2365</v>
      </c>
      <c r="AD1652" s="813" t="s">
        <v>2365</v>
      </c>
      <c r="AE1652" s="813" t="s">
        <v>2365</v>
      </c>
      <c r="AF1652" t="s">
        <v>2365</v>
      </c>
      <c r="AG1652" t="s">
        <v>2365</v>
      </c>
      <c r="AH1652" t="s">
        <v>2365</v>
      </c>
      <c r="AI1652" t="s">
        <v>2365</v>
      </c>
      <c r="AJ1652" t="s">
        <v>2365</v>
      </c>
      <c r="AK1652" t="s">
        <v>2365</v>
      </c>
      <c r="AL1652" t="s">
        <v>2365</v>
      </c>
      <c r="AM1652" t="s">
        <v>2365</v>
      </c>
      <c r="AN1652" t="s">
        <v>2365</v>
      </c>
      <c r="AR1652" t="s">
        <v>2365</v>
      </c>
      <c r="AS1652" t="s">
        <v>2365</v>
      </c>
      <c r="AT1652" t="s">
        <v>2365</v>
      </c>
      <c r="AU1652" t="s">
        <v>2365</v>
      </c>
      <c r="AV1652" t="s">
        <v>2365</v>
      </c>
      <c r="AW1652" t="s">
        <v>2365</v>
      </c>
      <c r="AX1652" t="s">
        <v>2365</v>
      </c>
      <c r="AY1652" t="s">
        <v>2365</v>
      </c>
      <c r="AZ1652" t="s">
        <v>2365</v>
      </c>
      <c r="BA1652" t="s">
        <v>2365</v>
      </c>
      <c r="BB1652" t="s">
        <v>2365</v>
      </c>
      <c r="BC1652" t="s">
        <v>2365</v>
      </c>
      <c r="BD1652" t="s">
        <v>2366</v>
      </c>
      <c r="BE1652" t="s">
        <v>2365</v>
      </c>
      <c r="BF1652" t="s">
        <v>2365</v>
      </c>
      <c r="BG1652" t="s">
        <v>2365</v>
      </c>
      <c r="BH1652" t="s">
        <v>2365</v>
      </c>
      <c r="BI1652" t="s">
        <v>2366</v>
      </c>
      <c r="BJ1652" t="s">
        <v>2365</v>
      </c>
      <c r="BK1652" t="s">
        <v>2365</v>
      </c>
      <c r="BL1652" t="s">
        <v>2365</v>
      </c>
      <c r="BM1652" t="s">
        <v>2365</v>
      </c>
      <c r="BO1652">
        <v>4</v>
      </c>
      <c r="BP1652">
        <v>43</v>
      </c>
      <c r="BQ1652" t="s">
        <v>2433</v>
      </c>
      <c r="BR1652" t="s">
        <v>1509</v>
      </c>
      <c r="BU1652">
        <v>30000</v>
      </c>
      <c r="BV1652">
        <v>0</v>
      </c>
      <c r="BW1652">
        <v>30000</v>
      </c>
      <c r="BX1652">
        <v>17750</v>
      </c>
      <c r="BY1652">
        <v>47750</v>
      </c>
      <c r="BZ1652">
        <v>31800</v>
      </c>
      <c r="CA1652">
        <v>33708</v>
      </c>
      <c r="CB1652">
        <v>0</v>
      </c>
      <c r="CC1652">
        <v>0</v>
      </c>
      <c r="CD1652">
        <v>0</v>
      </c>
      <c r="CE1652">
        <v>0</v>
      </c>
      <c r="CF1652">
        <v>23250</v>
      </c>
      <c r="CG1652">
        <v>0</v>
      </c>
      <c r="CH1652">
        <v>600</v>
      </c>
      <c r="CI1652">
        <v>0</v>
      </c>
      <c r="CJ1652">
        <v>0</v>
      </c>
      <c r="CK1652">
        <v>0</v>
      </c>
      <c r="CL1652">
        <v>0</v>
      </c>
      <c r="CM1652">
        <v>0</v>
      </c>
      <c r="CR1652" t="s">
        <v>2324</v>
      </c>
      <c r="CS1652" s="1369" t="str">
        <f>INDEX([8]Sheet1!$H:$H,MATCH(CR:CR,[8]Sheet1!$AU:$AU,0))</f>
        <v>Finance</v>
      </c>
    </row>
    <row r="1653" spans="1:97" x14ac:dyDescent="0.2">
      <c r="A1653" t="s">
        <v>4759</v>
      </c>
      <c r="B1653">
        <v>1743</v>
      </c>
      <c r="C1653" t="s">
        <v>4759</v>
      </c>
      <c r="D1653">
        <v>54745</v>
      </c>
      <c r="E1653" t="s">
        <v>2432</v>
      </c>
      <c r="F1653">
        <v>2600</v>
      </c>
      <c r="G1653" t="s">
        <v>655</v>
      </c>
      <c r="H1653">
        <v>2600</v>
      </c>
      <c r="I1653" t="s">
        <v>655</v>
      </c>
      <c r="J1653" t="s">
        <v>2365</v>
      </c>
      <c r="K1653" t="s">
        <v>2365</v>
      </c>
      <c r="L1653">
        <v>2100</v>
      </c>
      <c r="M1653" t="s">
        <v>618</v>
      </c>
      <c r="N1653">
        <v>2118</v>
      </c>
      <c r="O1653" t="s">
        <v>1509</v>
      </c>
      <c r="P1653" t="s">
        <v>2366</v>
      </c>
      <c r="Q1653" t="s">
        <v>2364</v>
      </c>
      <c r="R1653" t="s">
        <v>2364</v>
      </c>
      <c r="S1653" t="s">
        <v>1881</v>
      </c>
      <c r="T1653" t="s">
        <v>1812</v>
      </c>
      <c r="U1653" t="s">
        <v>2365</v>
      </c>
      <c r="V1653" t="s">
        <v>2365</v>
      </c>
      <c r="W1653" t="s">
        <v>2365</v>
      </c>
      <c r="X1653" t="s">
        <v>2365</v>
      </c>
      <c r="Y1653" t="s">
        <v>2365</v>
      </c>
      <c r="Z1653" t="s">
        <v>2365</v>
      </c>
      <c r="AA1653" t="s">
        <v>2365</v>
      </c>
      <c r="AB1653" t="s">
        <v>2365</v>
      </c>
      <c r="AC1653" s="813" t="s">
        <v>2365</v>
      </c>
      <c r="AD1653" s="813" t="s">
        <v>2365</v>
      </c>
      <c r="AE1653" s="813" t="s">
        <v>2365</v>
      </c>
      <c r="AF1653" t="s">
        <v>2365</v>
      </c>
      <c r="AG1653" t="s">
        <v>2365</v>
      </c>
      <c r="AH1653" t="s">
        <v>2365</v>
      </c>
      <c r="AI1653" t="s">
        <v>2365</v>
      </c>
      <c r="AJ1653" t="s">
        <v>2365</v>
      </c>
      <c r="AK1653" t="s">
        <v>2365</v>
      </c>
      <c r="AL1653" t="s">
        <v>2365</v>
      </c>
      <c r="AM1653" t="s">
        <v>2365</v>
      </c>
      <c r="AN1653" t="s">
        <v>2365</v>
      </c>
      <c r="AR1653" t="s">
        <v>2365</v>
      </c>
      <c r="AS1653" t="s">
        <v>2365</v>
      </c>
      <c r="AT1653" t="s">
        <v>2365</v>
      </c>
      <c r="AU1653" t="s">
        <v>2365</v>
      </c>
      <c r="AV1653" t="s">
        <v>2365</v>
      </c>
      <c r="AW1653" t="s">
        <v>2365</v>
      </c>
      <c r="AX1653" t="s">
        <v>2365</v>
      </c>
      <c r="AY1653" t="s">
        <v>2365</v>
      </c>
      <c r="AZ1653" t="s">
        <v>2365</v>
      </c>
      <c r="BA1653" t="s">
        <v>2365</v>
      </c>
      <c r="BB1653" t="s">
        <v>2365</v>
      </c>
      <c r="BC1653" t="s">
        <v>2365</v>
      </c>
      <c r="BD1653" t="s">
        <v>2366</v>
      </c>
      <c r="BE1653" t="s">
        <v>2365</v>
      </c>
      <c r="BF1653" t="s">
        <v>2365</v>
      </c>
      <c r="BG1653" t="s">
        <v>2365</v>
      </c>
      <c r="BH1653" t="s">
        <v>2365</v>
      </c>
      <c r="BI1653" t="s">
        <v>2366</v>
      </c>
      <c r="BJ1653" t="s">
        <v>2365</v>
      </c>
      <c r="BK1653" t="s">
        <v>2365</v>
      </c>
      <c r="BL1653" t="s">
        <v>2365</v>
      </c>
      <c r="BM1653" t="s">
        <v>2365</v>
      </c>
      <c r="BO1653">
        <v>4</v>
      </c>
      <c r="BP1653">
        <v>43</v>
      </c>
      <c r="BQ1653" t="s">
        <v>2433</v>
      </c>
      <c r="BR1653" t="s">
        <v>1509</v>
      </c>
      <c r="BU1653">
        <v>20000</v>
      </c>
      <c r="BV1653">
        <v>0</v>
      </c>
      <c r="BW1653">
        <v>20000</v>
      </c>
      <c r="BX1653">
        <v>6500</v>
      </c>
      <c r="BY1653">
        <v>26500</v>
      </c>
      <c r="BZ1653">
        <v>21200</v>
      </c>
      <c r="CA1653">
        <v>22472</v>
      </c>
      <c r="CB1653">
        <v>0</v>
      </c>
      <c r="CC1653">
        <v>0</v>
      </c>
      <c r="CD1653">
        <v>0</v>
      </c>
      <c r="CE1653">
        <v>0</v>
      </c>
      <c r="CF1653">
        <v>0</v>
      </c>
      <c r="CG1653">
        <v>0</v>
      </c>
      <c r="CH1653">
        <v>3500</v>
      </c>
      <c r="CI1653">
        <v>0</v>
      </c>
      <c r="CJ1653">
        <v>0</v>
      </c>
      <c r="CK1653">
        <v>0</v>
      </c>
      <c r="CL1653">
        <v>0</v>
      </c>
      <c r="CM1653">
        <v>0</v>
      </c>
      <c r="CR1653" t="s">
        <v>2324</v>
      </c>
      <c r="CS1653" s="1369" t="str">
        <f>INDEX([8]Sheet1!$H:$H,MATCH(CR:CR,[8]Sheet1!$AU:$AU,0))</f>
        <v>Finance</v>
      </c>
    </row>
    <row r="1654" spans="1:97" x14ac:dyDescent="0.2">
      <c r="A1654" t="s">
        <v>4760</v>
      </c>
      <c r="B1654">
        <v>1744</v>
      </c>
      <c r="C1654" t="s">
        <v>4760</v>
      </c>
      <c r="D1654">
        <v>54746</v>
      </c>
      <c r="E1654" t="s">
        <v>2427</v>
      </c>
      <c r="F1654">
        <v>2700</v>
      </c>
      <c r="G1654" t="s">
        <v>656</v>
      </c>
      <c r="H1654" t="s">
        <v>2428</v>
      </c>
      <c r="I1654" t="s">
        <v>1800</v>
      </c>
      <c r="J1654">
        <v>2701</v>
      </c>
      <c r="K1654" t="s">
        <v>1800</v>
      </c>
      <c r="L1654">
        <v>2100</v>
      </c>
      <c r="M1654" t="s">
        <v>618</v>
      </c>
      <c r="N1654">
        <v>2118</v>
      </c>
      <c r="O1654" t="s">
        <v>1509</v>
      </c>
      <c r="P1654" t="s">
        <v>2366</v>
      </c>
      <c r="Q1654" t="s">
        <v>2364</v>
      </c>
      <c r="R1654" t="s">
        <v>2364</v>
      </c>
      <c r="S1654" t="s">
        <v>1881</v>
      </c>
      <c r="T1654" t="s">
        <v>1812</v>
      </c>
      <c r="U1654" t="s">
        <v>2365</v>
      </c>
      <c r="V1654" t="s">
        <v>2365</v>
      </c>
      <c r="W1654" t="s">
        <v>2365</v>
      </c>
      <c r="X1654" t="s">
        <v>2365</v>
      </c>
      <c r="Y1654" t="s">
        <v>2365</v>
      </c>
      <c r="Z1654" t="s">
        <v>2365</v>
      </c>
      <c r="AA1654" t="s">
        <v>2365</v>
      </c>
      <c r="AB1654" t="s">
        <v>2365</v>
      </c>
      <c r="AC1654" s="813" t="s">
        <v>2365</v>
      </c>
      <c r="AD1654" s="813" t="s">
        <v>2365</v>
      </c>
      <c r="AE1654" s="813" t="s">
        <v>2365</v>
      </c>
      <c r="AF1654" t="s">
        <v>2365</v>
      </c>
      <c r="AG1654" t="s">
        <v>2365</v>
      </c>
      <c r="AH1654" t="s">
        <v>2365</v>
      </c>
      <c r="AI1654" t="s">
        <v>2365</v>
      </c>
      <c r="AJ1654" t="s">
        <v>2365</v>
      </c>
      <c r="AK1654" t="s">
        <v>2365</v>
      </c>
      <c r="AL1654" t="s">
        <v>2365</v>
      </c>
      <c r="AM1654" t="s">
        <v>2365</v>
      </c>
      <c r="AN1654" t="s">
        <v>2365</v>
      </c>
      <c r="AR1654" t="s">
        <v>2365</v>
      </c>
      <c r="AS1654" t="s">
        <v>2365</v>
      </c>
      <c r="AT1654" t="s">
        <v>2365</v>
      </c>
      <c r="AU1654" t="s">
        <v>2365</v>
      </c>
      <c r="AV1654" t="s">
        <v>2365</v>
      </c>
      <c r="AW1654" t="s">
        <v>2365</v>
      </c>
      <c r="AX1654" t="s">
        <v>2365</v>
      </c>
      <c r="AY1654" t="s">
        <v>2365</v>
      </c>
      <c r="AZ1654" t="s">
        <v>2365</v>
      </c>
      <c r="BA1654" t="s">
        <v>2365</v>
      </c>
      <c r="BB1654" t="s">
        <v>2365</v>
      </c>
      <c r="BC1654" t="s">
        <v>2365</v>
      </c>
      <c r="BD1654" t="s">
        <v>2366</v>
      </c>
      <c r="BE1654" t="s">
        <v>2365</v>
      </c>
      <c r="BF1654" t="s">
        <v>2365</v>
      </c>
      <c r="BG1654" t="s">
        <v>2365</v>
      </c>
      <c r="BH1654" t="s">
        <v>2365</v>
      </c>
      <c r="BI1654" t="s">
        <v>2366</v>
      </c>
      <c r="BJ1654" t="s">
        <v>2365</v>
      </c>
      <c r="BK1654" t="s">
        <v>2365</v>
      </c>
      <c r="BL1654" t="s">
        <v>2365</v>
      </c>
      <c r="BM1654" t="s">
        <v>2365</v>
      </c>
      <c r="BO1654">
        <v>4</v>
      </c>
      <c r="BP1654">
        <v>43</v>
      </c>
      <c r="BQ1654" t="s">
        <v>2433</v>
      </c>
      <c r="BR1654" t="s">
        <v>1509</v>
      </c>
      <c r="BU1654">
        <v>50000</v>
      </c>
      <c r="BV1654">
        <v>0</v>
      </c>
      <c r="BW1654">
        <v>50000</v>
      </c>
      <c r="BX1654">
        <v>0</v>
      </c>
      <c r="BY1654">
        <v>50000</v>
      </c>
      <c r="BZ1654">
        <v>53000</v>
      </c>
      <c r="CA1654">
        <v>56180</v>
      </c>
      <c r="CB1654">
        <v>0</v>
      </c>
      <c r="CC1654">
        <v>0</v>
      </c>
      <c r="CD1654">
        <v>0</v>
      </c>
      <c r="CE1654">
        <v>0</v>
      </c>
      <c r="CF1654">
        <v>0</v>
      </c>
      <c r="CG1654">
        <v>0</v>
      </c>
      <c r="CH1654">
        <v>0</v>
      </c>
      <c r="CI1654">
        <v>0</v>
      </c>
      <c r="CJ1654">
        <v>0</v>
      </c>
      <c r="CK1654">
        <v>0</v>
      </c>
      <c r="CL1654">
        <v>0</v>
      </c>
      <c r="CM1654">
        <v>0</v>
      </c>
      <c r="CR1654" t="s">
        <v>2324</v>
      </c>
      <c r="CS1654" s="1369" t="str">
        <f>INDEX([8]Sheet1!$H:$H,MATCH(CR:CR,[8]Sheet1!$AU:$AU,0))</f>
        <v>Finance</v>
      </c>
    </row>
    <row r="1655" spans="1:97" x14ac:dyDescent="0.2">
      <c r="A1655" t="s">
        <v>4761</v>
      </c>
      <c r="B1655">
        <v>1745</v>
      </c>
      <c r="C1655" t="s">
        <v>4761</v>
      </c>
      <c r="D1655">
        <v>54747</v>
      </c>
      <c r="E1655" t="s">
        <v>3010</v>
      </c>
      <c r="F1655">
        <v>2700</v>
      </c>
      <c r="G1655" t="s">
        <v>656</v>
      </c>
      <c r="H1655" t="s">
        <v>2428</v>
      </c>
      <c r="I1655" t="s">
        <v>1800</v>
      </c>
      <c r="J1655">
        <v>2701</v>
      </c>
      <c r="K1655" t="s">
        <v>1800</v>
      </c>
      <c r="L1655">
        <v>2100</v>
      </c>
      <c r="M1655" t="s">
        <v>618</v>
      </c>
      <c r="N1655">
        <v>2118</v>
      </c>
      <c r="O1655" t="s">
        <v>1509</v>
      </c>
      <c r="P1655" t="s">
        <v>2366</v>
      </c>
      <c r="Q1655" t="s">
        <v>2364</v>
      </c>
      <c r="R1655" t="s">
        <v>2364</v>
      </c>
      <c r="S1655" t="s">
        <v>1881</v>
      </c>
      <c r="T1655" t="s">
        <v>1812</v>
      </c>
      <c r="U1655" t="s">
        <v>2365</v>
      </c>
      <c r="V1655" t="s">
        <v>2365</v>
      </c>
      <c r="W1655" t="s">
        <v>2365</v>
      </c>
      <c r="X1655" t="s">
        <v>2365</v>
      </c>
      <c r="Y1655" t="s">
        <v>2365</v>
      </c>
      <c r="Z1655" t="s">
        <v>2365</v>
      </c>
      <c r="AA1655" t="s">
        <v>2365</v>
      </c>
      <c r="AB1655" t="s">
        <v>2365</v>
      </c>
      <c r="AC1655" s="813" t="s">
        <v>2365</v>
      </c>
      <c r="AD1655" s="813" t="s">
        <v>2365</v>
      </c>
      <c r="AE1655" s="813" t="s">
        <v>2365</v>
      </c>
      <c r="AF1655" t="s">
        <v>2365</v>
      </c>
      <c r="AG1655" t="s">
        <v>2365</v>
      </c>
      <c r="AH1655" t="s">
        <v>2365</v>
      </c>
      <c r="AI1655" t="s">
        <v>2365</v>
      </c>
      <c r="AJ1655" t="s">
        <v>2365</v>
      </c>
      <c r="AK1655" t="s">
        <v>2365</v>
      </c>
      <c r="AL1655" t="s">
        <v>2365</v>
      </c>
      <c r="AM1655" t="s">
        <v>2365</v>
      </c>
      <c r="AN1655" t="s">
        <v>2365</v>
      </c>
      <c r="AR1655" t="s">
        <v>2365</v>
      </c>
      <c r="AS1655" t="s">
        <v>2365</v>
      </c>
      <c r="AT1655" t="s">
        <v>2365</v>
      </c>
      <c r="AU1655" t="s">
        <v>2365</v>
      </c>
      <c r="AV1655" t="s">
        <v>2365</v>
      </c>
      <c r="AW1655" t="s">
        <v>2365</v>
      </c>
      <c r="AX1655" t="s">
        <v>2365</v>
      </c>
      <c r="AY1655" t="s">
        <v>2365</v>
      </c>
      <c r="AZ1655" t="s">
        <v>2365</v>
      </c>
      <c r="BA1655" t="s">
        <v>2365</v>
      </c>
      <c r="BB1655" t="s">
        <v>2365</v>
      </c>
      <c r="BC1655" t="s">
        <v>2365</v>
      </c>
      <c r="BD1655" t="s">
        <v>2366</v>
      </c>
      <c r="BE1655" t="s">
        <v>2365</v>
      </c>
      <c r="BF1655" t="s">
        <v>2365</v>
      </c>
      <c r="BG1655" t="s">
        <v>2365</v>
      </c>
      <c r="BH1655" t="s">
        <v>2365</v>
      </c>
      <c r="BI1655" t="s">
        <v>2366</v>
      </c>
      <c r="BJ1655" t="s">
        <v>2365</v>
      </c>
      <c r="BK1655" t="s">
        <v>2365</v>
      </c>
      <c r="BL1655" t="s">
        <v>2365</v>
      </c>
      <c r="BM1655" t="s">
        <v>2365</v>
      </c>
      <c r="BO1655">
        <v>4</v>
      </c>
      <c r="BP1655">
        <v>43</v>
      </c>
      <c r="BQ1655" t="s">
        <v>2433</v>
      </c>
      <c r="BR1655" t="s">
        <v>1509</v>
      </c>
      <c r="BU1655">
        <v>30000</v>
      </c>
      <c r="BV1655">
        <v>0</v>
      </c>
      <c r="BW1655">
        <v>30000</v>
      </c>
      <c r="BX1655">
        <v>0</v>
      </c>
      <c r="BY1655">
        <v>30000</v>
      </c>
      <c r="BZ1655">
        <v>31800</v>
      </c>
      <c r="CA1655">
        <v>33708</v>
      </c>
      <c r="CB1655">
        <v>0</v>
      </c>
      <c r="CC1655">
        <v>0</v>
      </c>
      <c r="CD1655">
        <v>0</v>
      </c>
      <c r="CE1655">
        <v>0</v>
      </c>
      <c r="CF1655">
        <v>0</v>
      </c>
      <c r="CG1655">
        <v>0</v>
      </c>
      <c r="CH1655">
        <v>0</v>
      </c>
      <c r="CI1655">
        <v>0</v>
      </c>
      <c r="CJ1655">
        <v>0</v>
      </c>
      <c r="CK1655">
        <v>0</v>
      </c>
      <c r="CL1655">
        <v>0</v>
      </c>
      <c r="CM1655">
        <v>0</v>
      </c>
      <c r="CR1655" t="s">
        <v>2324</v>
      </c>
      <c r="CS1655" s="1369" t="str">
        <f>INDEX([8]Sheet1!$H:$H,MATCH(CR:CR,[8]Sheet1!$AU:$AU,0))</f>
        <v>Finance</v>
      </c>
    </row>
    <row r="1656" spans="1:97" x14ac:dyDescent="0.2">
      <c r="A1656" t="s">
        <v>4762</v>
      </c>
      <c r="B1656">
        <v>1746</v>
      </c>
      <c r="C1656" t="s">
        <v>4762</v>
      </c>
      <c r="D1656">
        <v>54748</v>
      </c>
      <c r="E1656" t="s">
        <v>2427</v>
      </c>
      <c r="F1656">
        <v>2700</v>
      </c>
      <c r="G1656" t="s">
        <v>656</v>
      </c>
      <c r="H1656" t="s">
        <v>2428</v>
      </c>
      <c r="I1656" t="s">
        <v>1800</v>
      </c>
      <c r="J1656">
        <v>2701</v>
      </c>
      <c r="K1656" t="s">
        <v>1800</v>
      </c>
      <c r="L1656">
        <v>2100</v>
      </c>
      <c r="M1656" t="s">
        <v>618</v>
      </c>
      <c r="N1656">
        <v>2118</v>
      </c>
      <c r="O1656" t="s">
        <v>1509</v>
      </c>
      <c r="P1656" t="s">
        <v>2366</v>
      </c>
      <c r="Q1656" t="s">
        <v>2364</v>
      </c>
      <c r="R1656" t="s">
        <v>2364</v>
      </c>
      <c r="S1656" t="s">
        <v>1881</v>
      </c>
      <c r="T1656" t="s">
        <v>1812</v>
      </c>
      <c r="U1656" t="s">
        <v>2365</v>
      </c>
      <c r="V1656" t="s">
        <v>2365</v>
      </c>
      <c r="W1656" t="s">
        <v>2365</v>
      </c>
      <c r="X1656" t="s">
        <v>2365</v>
      </c>
      <c r="Y1656" t="s">
        <v>2365</v>
      </c>
      <c r="Z1656" t="s">
        <v>2365</v>
      </c>
      <c r="AA1656" t="s">
        <v>2365</v>
      </c>
      <c r="AB1656" t="s">
        <v>2365</v>
      </c>
      <c r="AC1656" s="813" t="s">
        <v>2365</v>
      </c>
      <c r="AD1656" s="813" t="s">
        <v>2365</v>
      </c>
      <c r="AE1656" s="813" t="s">
        <v>2365</v>
      </c>
      <c r="AF1656" t="s">
        <v>2365</v>
      </c>
      <c r="AG1656" t="s">
        <v>2365</v>
      </c>
      <c r="AH1656" t="s">
        <v>2365</v>
      </c>
      <c r="AI1656" t="s">
        <v>2365</v>
      </c>
      <c r="AJ1656" t="s">
        <v>2365</v>
      </c>
      <c r="AK1656" t="s">
        <v>2365</v>
      </c>
      <c r="AL1656" t="s">
        <v>2365</v>
      </c>
      <c r="AM1656" t="s">
        <v>2365</v>
      </c>
      <c r="AN1656" t="s">
        <v>2365</v>
      </c>
      <c r="AR1656" t="s">
        <v>2365</v>
      </c>
      <c r="AS1656" t="s">
        <v>2365</v>
      </c>
      <c r="AT1656" t="s">
        <v>2365</v>
      </c>
      <c r="AU1656" t="s">
        <v>2365</v>
      </c>
      <c r="AV1656" t="s">
        <v>2365</v>
      </c>
      <c r="AW1656" t="s">
        <v>2365</v>
      </c>
      <c r="AX1656" t="s">
        <v>2365</v>
      </c>
      <c r="AY1656" t="s">
        <v>2365</v>
      </c>
      <c r="AZ1656" t="s">
        <v>2365</v>
      </c>
      <c r="BA1656" t="s">
        <v>2365</v>
      </c>
      <c r="BB1656" t="s">
        <v>2365</v>
      </c>
      <c r="BC1656" t="s">
        <v>2365</v>
      </c>
      <c r="BD1656" t="s">
        <v>2366</v>
      </c>
      <c r="BE1656" t="s">
        <v>2365</v>
      </c>
      <c r="BF1656" t="s">
        <v>2365</v>
      </c>
      <c r="BG1656" t="s">
        <v>2365</v>
      </c>
      <c r="BH1656" t="s">
        <v>2365</v>
      </c>
      <c r="BI1656" t="s">
        <v>2366</v>
      </c>
      <c r="BJ1656" t="s">
        <v>2365</v>
      </c>
      <c r="BK1656" t="s">
        <v>2365</v>
      </c>
      <c r="BL1656" t="s">
        <v>2365</v>
      </c>
      <c r="BM1656" t="s">
        <v>2365</v>
      </c>
      <c r="BO1656">
        <v>4</v>
      </c>
      <c r="BP1656">
        <v>43</v>
      </c>
      <c r="BQ1656" t="s">
        <v>2433</v>
      </c>
      <c r="BR1656" t="s">
        <v>1509</v>
      </c>
      <c r="BU1656">
        <v>0</v>
      </c>
      <c r="BV1656">
        <v>0</v>
      </c>
      <c r="BW1656">
        <v>0</v>
      </c>
      <c r="BX1656">
        <v>0</v>
      </c>
      <c r="BY1656">
        <v>0</v>
      </c>
      <c r="BZ1656">
        <v>0</v>
      </c>
      <c r="CA1656">
        <v>0</v>
      </c>
      <c r="CB1656">
        <v>0</v>
      </c>
      <c r="CC1656">
        <v>0</v>
      </c>
      <c r="CD1656">
        <v>0</v>
      </c>
      <c r="CE1656">
        <v>0</v>
      </c>
      <c r="CF1656">
        <v>0</v>
      </c>
      <c r="CG1656">
        <v>0</v>
      </c>
      <c r="CH1656">
        <v>0</v>
      </c>
      <c r="CI1656">
        <v>0</v>
      </c>
      <c r="CJ1656">
        <v>0</v>
      </c>
      <c r="CK1656">
        <v>0</v>
      </c>
      <c r="CL1656">
        <v>0</v>
      </c>
      <c r="CM1656">
        <v>0</v>
      </c>
      <c r="CR1656" t="s">
        <v>2324</v>
      </c>
      <c r="CS1656" s="1369" t="str">
        <f>INDEX([8]Sheet1!$H:$H,MATCH(CR:CR,[8]Sheet1!$AU:$AU,0))</f>
        <v>Finance</v>
      </c>
    </row>
    <row r="1657" spans="1:97" x14ac:dyDescent="0.2">
      <c r="A1657" t="s">
        <v>4763</v>
      </c>
      <c r="B1657">
        <v>1747</v>
      </c>
      <c r="C1657" t="s">
        <v>4763</v>
      </c>
      <c r="D1657">
        <v>54749</v>
      </c>
      <c r="E1657" t="s">
        <v>2430</v>
      </c>
      <c r="F1657">
        <v>2700</v>
      </c>
      <c r="G1657" t="s">
        <v>656</v>
      </c>
      <c r="H1657" t="s">
        <v>2428</v>
      </c>
      <c r="I1657" t="s">
        <v>1800</v>
      </c>
      <c r="J1657">
        <v>2701</v>
      </c>
      <c r="K1657" t="s">
        <v>1800</v>
      </c>
      <c r="L1657">
        <v>2100</v>
      </c>
      <c r="M1657" t="s">
        <v>618</v>
      </c>
      <c r="N1657">
        <v>2111</v>
      </c>
      <c r="O1657" t="s">
        <v>1503</v>
      </c>
      <c r="P1657" t="s">
        <v>2366</v>
      </c>
      <c r="Q1657" t="s">
        <v>2364</v>
      </c>
      <c r="R1657" t="s">
        <v>2364</v>
      </c>
      <c r="S1657" t="s">
        <v>1881</v>
      </c>
      <c r="T1657" t="s">
        <v>1812</v>
      </c>
      <c r="U1657" t="s">
        <v>2365</v>
      </c>
      <c r="V1657" t="s">
        <v>2365</v>
      </c>
      <c r="W1657" t="s">
        <v>2365</v>
      </c>
      <c r="X1657" t="s">
        <v>2365</v>
      </c>
      <c r="Y1657" t="s">
        <v>2365</v>
      </c>
      <c r="Z1657" t="s">
        <v>2365</v>
      </c>
      <c r="AA1657" t="s">
        <v>2365</v>
      </c>
      <c r="AB1657" t="s">
        <v>2365</v>
      </c>
      <c r="AC1657" s="813" t="s">
        <v>2365</v>
      </c>
      <c r="AD1657" s="813" t="s">
        <v>2365</v>
      </c>
      <c r="AE1657" s="813" t="s">
        <v>2365</v>
      </c>
      <c r="AF1657" t="s">
        <v>2365</v>
      </c>
      <c r="AG1657" t="s">
        <v>2365</v>
      </c>
      <c r="AH1657" t="s">
        <v>2365</v>
      </c>
      <c r="AI1657" t="s">
        <v>2365</v>
      </c>
      <c r="AJ1657" t="s">
        <v>2365</v>
      </c>
      <c r="AK1657" s="1373" t="s">
        <v>2365</v>
      </c>
      <c r="AL1657" t="s">
        <v>2365</v>
      </c>
      <c r="AM1657" t="s">
        <v>2365</v>
      </c>
      <c r="AN1657" t="s">
        <v>2365</v>
      </c>
      <c r="AR1657" t="s">
        <v>2365</v>
      </c>
      <c r="AS1657" t="s">
        <v>2365</v>
      </c>
      <c r="AT1657" t="s">
        <v>2365</v>
      </c>
      <c r="AU1657" t="s">
        <v>2365</v>
      </c>
      <c r="AV1657" t="s">
        <v>2365</v>
      </c>
      <c r="AW1657" t="s">
        <v>2365</v>
      </c>
      <c r="AX1657" t="s">
        <v>2365</v>
      </c>
      <c r="AY1657" t="s">
        <v>2365</v>
      </c>
      <c r="AZ1657" t="s">
        <v>2365</v>
      </c>
      <c r="BA1657" t="s">
        <v>2365</v>
      </c>
      <c r="BB1657" t="s">
        <v>2365</v>
      </c>
      <c r="BC1657" t="s">
        <v>2365</v>
      </c>
      <c r="BD1657" t="s">
        <v>2366</v>
      </c>
      <c r="BE1657" t="s">
        <v>2365</v>
      </c>
      <c r="BF1657" t="s">
        <v>2365</v>
      </c>
      <c r="BG1657" t="s">
        <v>2365</v>
      </c>
      <c r="BH1657" t="s">
        <v>2365</v>
      </c>
      <c r="BI1657" t="s">
        <v>2366</v>
      </c>
      <c r="BJ1657" t="s">
        <v>2365</v>
      </c>
      <c r="BK1657" t="s">
        <v>2365</v>
      </c>
      <c r="BL1657" t="s">
        <v>2365</v>
      </c>
      <c r="BM1657" t="s">
        <v>2365</v>
      </c>
      <c r="BO1657">
        <v>4</v>
      </c>
      <c r="BP1657">
        <v>45</v>
      </c>
      <c r="BQ1657" t="s">
        <v>2433</v>
      </c>
      <c r="BR1657" t="s">
        <v>1503</v>
      </c>
      <c r="BU1657">
        <v>40000</v>
      </c>
      <c r="BV1657">
        <v>0</v>
      </c>
      <c r="BW1657">
        <v>40000</v>
      </c>
      <c r="BX1657">
        <v>0</v>
      </c>
      <c r="BY1657">
        <v>40000</v>
      </c>
      <c r="BZ1657">
        <v>42400</v>
      </c>
      <c r="CA1657">
        <v>44944</v>
      </c>
      <c r="CB1657">
        <v>0</v>
      </c>
      <c r="CC1657">
        <v>0</v>
      </c>
      <c r="CD1657">
        <v>0</v>
      </c>
      <c r="CE1657">
        <v>0</v>
      </c>
      <c r="CF1657">
        <v>0</v>
      </c>
      <c r="CG1657">
        <v>0</v>
      </c>
      <c r="CH1657">
        <v>0</v>
      </c>
      <c r="CI1657">
        <v>0</v>
      </c>
      <c r="CJ1657">
        <v>0</v>
      </c>
      <c r="CK1657">
        <v>0</v>
      </c>
      <c r="CL1657">
        <v>0</v>
      </c>
      <c r="CM1657">
        <v>0</v>
      </c>
      <c r="CR1657" t="s">
        <v>2324</v>
      </c>
      <c r="CS1657" s="1369" t="str">
        <f>INDEX([8]Sheet1!$H:$H,MATCH(CR:CR,[8]Sheet1!$AU:$AU,0))</f>
        <v>Finance</v>
      </c>
    </row>
    <row r="1658" spans="1:97" x14ac:dyDescent="0.2">
      <c r="A1658" t="s">
        <v>4764</v>
      </c>
      <c r="B1658">
        <v>1748</v>
      </c>
      <c r="C1658" t="s">
        <v>4764</v>
      </c>
      <c r="D1658">
        <v>54750</v>
      </c>
      <c r="E1658" t="s">
        <v>2508</v>
      </c>
      <c r="F1658">
        <v>2900</v>
      </c>
      <c r="G1658" t="s">
        <v>569</v>
      </c>
      <c r="H1658" t="s">
        <v>2366</v>
      </c>
      <c r="I1658" t="s">
        <v>2366</v>
      </c>
      <c r="J1658">
        <v>2904</v>
      </c>
      <c r="K1658" t="s">
        <v>1432</v>
      </c>
      <c r="L1658">
        <v>2100</v>
      </c>
      <c r="M1658" t="s">
        <v>618</v>
      </c>
      <c r="N1658">
        <v>2111</v>
      </c>
      <c r="O1658" t="s">
        <v>1503</v>
      </c>
      <c r="P1658" t="s">
        <v>2366</v>
      </c>
      <c r="Q1658" t="s">
        <v>2364</v>
      </c>
      <c r="R1658" t="s">
        <v>2364</v>
      </c>
      <c r="S1658" t="s">
        <v>1881</v>
      </c>
      <c r="T1658" t="s">
        <v>1812</v>
      </c>
      <c r="U1658" t="s">
        <v>2365</v>
      </c>
      <c r="V1658" t="s">
        <v>2365</v>
      </c>
      <c r="W1658" t="s">
        <v>2365</v>
      </c>
      <c r="X1658" t="s">
        <v>2365</v>
      </c>
      <c r="Y1658" t="s">
        <v>2365</v>
      </c>
      <c r="Z1658" t="s">
        <v>2365</v>
      </c>
      <c r="AA1658" t="s">
        <v>2365</v>
      </c>
      <c r="AB1658" t="s">
        <v>2365</v>
      </c>
      <c r="AC1658" s="813" t="s">
        <v>2365</v>
      </c>
      <c r="AD1658" s="813" t="s">
        <v>2365</v>
      </c>
      <c r="AE1658" s="813" t="s">
        <v>2365</v>
      </c>
      <c r="AF1658" t="s">
        <v>2365</v>
      </c>
      <c r="AG1658" t="s">
        <v>2365</v>
      </c>
      <c r="AH1658" t="s">
        <v>2365</v>
      </c>
      <c r="AI1658" t="s">
        <v>2365</v>
      </c>
      <c r="AJ1658" t="s">
        <v>2365</v>
      </c>
      <c r="AK1658" t="s">
        <v>2365</v>
      </c>
      <c r="AL1658" t="s">
        <v>2365</v>
      </c>
      <c r="AM1658" t="s">
        <v>2365</v>
      </c>
      <c r="AN1658" t="s">
        <v>2365</v>
      </c>
      <c r="AR1658" t="s">
        <v>2365</v>
      </c>
      <c r="AS1658" t="s">
        <v>2365</v>
      </c>
      <c r="AT1658" t="s">
        <v>2365</v>
      </c>
      <c r="AU1658" t="s">
        <v>2365</v>
      </c>
      <c r="AV1658" t="s">
        <v>2365</v>
      </c>
      <c r="AW1658" t="s">
        <v>2365</v>
      </c>
      <c r="AX1658" t="s">
        <v>2365</v>
      </c>
      <c r="AY1658" t="s">
        <v>2365</v>
      </c>
      <c r="AZ1658" t="s">
        <v>2365</v>
      </c>
      <c r="BA1658" t="s">
        <v>2365</v>
      </c>
      <c r="BB1658" t="s">
        <v>2365</v>
      </c>
      <c r="BC1658" t="s">
        <v>2365</v>
      </c>
      <c r="BD1658" t="s">
        <v>2366</v>
      </c>
      <c r="BE1658" t="s">
        <v>2365</v>
      </c>
      <c r="BF1658" t="s">
        <v>2365</v>
      </c>
      <c r="BG1658" t="s">
        <v>2365</v>
      </c>
      <c r="BH1658" t="s">
        <v>2365</v>
      </c>
      <c r="BI1658" t="s">
        <v>2366</v>
      </c>
      <c r="BJ1658" t="s">
        <v>2365</v>
      </c>
      <c r="BK1658" t="s">
        <v>2365</v>
      </c>
      <c r="BL1658" t="s">
        <v>2365</v>
      </c>
      <c r="BM1658" t="s">
        <v>2365</v>
      </c>
      <c r="BO1658">
        <v>4</v>
      </c>
      <c r="BP1658">
        <v>45</v>
      </c>
      <c r="BQ1658" t="s">
        <v>2433</v>
      </c>
      <c r="BR1658" t="s">
        <v>1503</v>
      </c>
      <c r="BU1658">
        <v>0</v>
      </c>
      <c r="BV1658">
        <v>0</v>
      </c>
      <c r="BW1658">
        <v>0</v>
      </c>
      <c r="BX1658">
        <v>0</v>
      </c>
      <c r="BY1658">
        <v>0</v>
      </c>
      <c r="BZ1658">
        <v>0</v>
      </c>
      <c r="CA1658">
        <v>0</v>
      </c>
      <c r="CB1658">
        <v>0</v>
      </c>
      <c r="CC1658">
        <v>0</v>
      </c>
      <c r="CD1658">
        <v>0</v>
      </c>
      <c r="CE1658">
        <v>0</v>
      </c>
      <c r="CF1658">
        <v>0</v>
      </c>
      <c r="CG1658">
        <v>0</v>
      </c>
      <c r="CH1658">
        <v>0</v>
      </c>
      <c r="CI1658">
        <v>0</v>
      </c>
      <c r="CJ1658">
        <v>0</v>
      </c>
      <c r="CK1658">
        <v>0</v>
      </c>
      <c r="CL1658">
        <v>0</v>
      </c>
      <c r="CM1658">
        <v>0</v>
      </c>
      <c r="CR1658" t="s">
        <v>2324</v>
      </c>
      <c r="CS1658" s="1369" t="str">
        <f>INDEX([8]Sheet1!$H:$H,MATCH(CR:CR,[8]Sheet1!$AU:$AU,0))</f>
        <v>Finance</v>
      </c>
    </row>
    <row r="1659" spans="1:97" x14ac:dyDescent="0.2">
      <c r="A1659" t="s">
        <v>4765</v>
      </c>
      <c r="B1659">
        <v>1749</v>
      </c>
      <c r="C1659" t="s">
        <v>4765</v>
      </c>
      <c r="D1659">
        <v>54751</v>
      </c>
      <c r="E1659" t="s">
        <v>2432</v>
      </c>
      <c r="F1659">
        <v>2600</v>
      </c>
      <c r="G1659" t="s">
        <v>655</v>
      </c>
      <c r="H1659">
        <v>2600</v>
      </c>
      <c r="I1659" t="s">
        <v>655</v>
      </c>
      <c r="J1659" t="s">
        <v>2365</v>
      </c>
      <c r="K1659" t="s">
        <v>2365</v>
      </c>
      <c r="L1659">
        <v>2100</v>
      </c>
      <c r="M1659" t="s">
        <v>618</v>
      </c>
      <c r="N1659">
        <v>2108</v>
      </c>
      <c r="O1659" t="s">
        <v>1501</v>
      </c>
      <c r="P1659" t="s">
        <v>2366</v>
      </c>
      <c r="Q1659" t="s">
        <v>2364</v>
      </c>
      <c r="R1659" t="s">
        <v>2364</v>
      </c>
      <c r="S1659" t="s">
        <v>1881</v>
      </c>
      <c r="T1659" t="s">
        <v>1812</v>
      </c>
      <c r="U1659" t="s">
        <v>2365</v>
      </c>
      <c r="V1659" t="s">
        <v>2365</v>
      </c>
      <c r="W1659" t="s">
        <v>2365</v>
      </c>
      <c r="X1659" t="s">
        <v>2365</v>
      </c>
      <c r="Y1659" t="s">
        <v>2365</v>
      </c>
      <c r="Z1659" t="s">
        <v>2365</v>
      </c>
      <c r="AA1659" t="s">
        <v>2365</v>
      </c>
      <c r="AB1659" t="s">
        <v>2365</v>
      </c>
      <c r="AC1659" s="813" t="s">
        <v>2365</v>
      </c>
      <c r="AD1659" s="813" t="s">
        <v>2365</v>
      </c>
      <c r="AE1659" s="813" t="s">
        <v>2365</v>
      </c>
      <c r="AF1659" t="s">
        <v>2365</v>
      </c>
      <c r="AG1659" t="s">
        <v>2365</v>
      </c>
      <c r="AH1659" t="s">
        <v>2365</v>
      </c>
      <c r="AI1659" t="s">
        <v>2365</v>
      </c>
      <c r="AJ1659" t="s">
        <v>2365</v>
      </c>
      <c r="AK1659" t="s">
        <v>2365</v>
      </c>
      <c r="AL1659" t="s">
        <v>2365</v>
      </c>
      <c r="AM1659" t="s">
        <v>2365</v>
      </c>
      <c r="AN1659" t="s">
        <v>2365</v>
      </c>
      <c r="AR1659" t="s">
        <v>2365</v>
      </c>
      <c r="AS1659" t="s">
        <v>2365</v>
      </c>
      <c r="AT1659" t="s">
        <v>2365</v>
      </c>
      <c r="AU1659" t="s">
        <v>2365</v>
      </c>
      <c r="AV1659" t="s">
        <v>2365</v>
      </c>
      <c r="AW1659" t="s">
        <v>2365</v>
      </c>
      <c r="AX1659" t="s">
        <v>2365</v>
      </c>
      <c r="AY1659" t="s">
        <v>2365</v>
      </c>
      <c r="AZ1659" t="s">
        <v>2365</v>
      </c>
      <c r="BA1659" t="s">
        <v>2365</v>
      </c>
      <c r="BB1659" t="s">
        <v>2365</v>
      </c>
      <c r="BC1659" t="s">
        <v>2365</v>
      </c>
      <c r="BD1659" t="s">
        <v>2366</v>
      </c>
      <c r="BE1659" t="s">
        <v>2365</v>
      </c>
      <c r="BF1659" t="s">
        <v>2365</v>
      </c>
      <c r="BG1659" t="s">
        <v>2365</v>
      </c>
      <c r="BH1659" t="s">
        <v>2365</v>
      </c>
      <c r="BI1659" t="s">
        <v>2366</v>
      </c>
      <c r="BJ1659" t="s">
        <v>2365</v>
      </c>
      <c r="BK1659" t="s">
        <v>2365</v>
      </c>
      <c r="BL1659" t="s">
        <v>2365</v>
      </c>
      <c r="BM1659" t="s">
        <v>2365</v>
      </c>
      <c r="BO1659">
        <v>4</v>
      </c>
      <c r="BP1659">
        <v>44</v>
      </c>
      <c r="BQ1659" t="s">
        <v>2433</v>
      </c>
      <c r="BR1659" t="s">
        <v>1501</v>
      </c>
      <c r="BU1659">
        <v>30000</v>
      </c>
      <c r="BV1659">
        <v>0</v>
      </c>
      <c r="BW1659">
        <v>30000</v>
      </c>
      <c r="BX1659">
        <v>2000</v>
      </c>
      <c r="BY1659">
        <v>32000</v>
      </c>
      <c r="BZ1659">
        <v>31800</v>
      </c>
      <c r="CA1659">
        <v>33708</v>
      </c>
      <c r="CB1659">
        <v>0</v>
      </c>
      <c r="CC1659">
        <v>0</v>
      </c>
      <c r="CD1659">
        <v>0</v>
      </c>
      <c r="CE1659">
        <v>0</v>
      </c>
      <c r="CF1659">
        <v>0</v>
      </c>
      <c r="CG1659">
        <v>0</v>
      </c>
      <c r="CH1659">
        <v>0</v>
      </c>
      <c r="CI1659">
        <v>0</v>
      </c>
      <c r="CJ1659">
        <v>0</v>
      </c>
      <c r="CK1659">
        <v>0</v>
      </c>
      <c r="CL1659">
        <v>0</v>
      </c>
      <c r="CM1659">
        <v>0</v>
      </c>
      <c r="CR1659" t="s">
        <v>2324</v>
      </c>
      <c r="CS1659" s="1369" t="str">
        <f>INDEX([8]Sheet1!$H:$H,MATCH(CR:CR,[8]Sheet1!$AU:$AU,0))</f>
        <v>Finance</v>
      </c>
    </row>
    <row r="1660" spans="1:97" x14ac:dyDescent="0.2">
      <c r="A1660" t="s">
        <v>4766</v>
      </c>
      <c r="B1660">
        <v>1750</v>
      </c>
      <c r="C1660" t="s">
        <v>4766</v>
      </c>
      <c r="D1660">
        <v>54752</v>
      </c>
      <c r="E1660" t="s">
        <v>2432</v>
      </c>
      <c r="F1660">
        <v>2600</v>
      </c>
      <c r="G1660" t="s">
        <v>655</v>
      </c>
      <c r="H1660">
        <v>2600</v>
      </c>
      <c r="I1660" t="s">
        <v>655</v>
      </c>
      <c r="J1660" t="s">
        <v>2365</v>
      </c>
      <c r="K1660" t="s">
        <v>2365</v>
      </c>
      <c r="L1660">
        <v>3100</v>
      </c>
      <c r="M1660" t="s">
        <v>624</v>
      </c>
      <c r="N1660">
        <v>3105</v>
      </c>
      <c r="O1660" t="s">
        <v>1534</v>
      </c>
      <c r="P1660" t="s">
        <v>2366</v>
      </c>
      <c r="Q1660" t="s">
        <v>2364</v>
      </c>
      <c r="R1660" t="s">
        <v>2364</v>
      </c>
      <c r="S1660" t="s">
        <v>1881</v>
      </c>
      <c r="T1660" t="s">
        <v>1812</v>
      </c>
      <c r="U1660" t="s">
        <v>2365</v>
      </c>
      <c r="V1660" t="s">
        <v>2365</v>
      </c>
      <c r="W1660" t="s">
        <v>2365</v>
      </c>
      <c r="X1660" t="s">
        <v>2365</v>
      </c>
      <c r="Y1660" t="s">
        <v>2365</v>
      </c>
      <c r="Z1660" t="s">
        <v>2365</v>
      </c>
      <c r="AA1660" t="s">
        <v>2365</v>
      </c>
      <c r="AB1660" t="s">
        <v>2365</v>
      </c>
      <c r="AC1660" s="813" t="s">
        <v>2365</v>
      </c>
      <c r="AD1660" s="813" t="s">
        <v>2365</v>
      </c>
      <c r="AE1660" s="813" t="s">
        <v>2365</v>
      </c>
      <c r="AF1660" t="s">
        <v>2365</v>
      </c>
      <c r="AG1660" t="s">
        <v>2365</v>
      </c>
      <c r="AH1660" t="s">
        <v>2365</v>
      </c>
      <c r="AI1660" t="s">
        <v>2365</v>
      </c>
      <c r="AJ1660" t="s">
        <v>2365</v>
      </c>
      <c r="AK1660" t="s">
        <v>2365</v>
      </c>
      <c r="AL1660" t="s">
        <v>2365</v>
      </c>
      <c r="AM1660" t="s">
        <v>2365</v>
      </c>
      <c r="AN1660" t="s">
        <v>2365</v>
      </c>
      <c r="AR1660" t="s">
        <v>2365</v>
      </c>
      <c r="AS1660" t="s">
        <v>2365</v>
      </c>
      <c r="AT1660" t="s">
        <v>2365</v>
      </c>
      <c r="AU1660" t="s">
        <v>2365</v>
      </c>
      <c r="AV1660" t="s">
        <v>2365</v>
      </c>
      <c r="AW1660" t="s">
        <v>2365</v>
      </c>
      <c r="AX1660" t="s">
        <v>2365</v>
      </c>
      <c r="AY1660" t="s">
        <v>2365</v>
      </c>
      <c r="AZ1660" t="s">
        <v>2365</v>
      </c>
      <c r="BA1660" t="s">
        <v>2365</v>
      </c>
      <c r="BB1660" t="s">
        <v>2365</v>
      </c>
      <c r="BC1660" t="s">
        <v>2365</v>
      </c>
      <c r="BD1660" t="s">
        <v>2366</v>
      </c>
      <c r="BE1660" t="s">
        <v>2365</v>
      </c>
      <c r="BF1660" t="s">
        <v>2365</v>
      </c>
      <c r="BG1660" t="s">
        <v>2365</v>
      </c>
      <c r="BH1660" t="s">
        <v>2365</v>
      </c>
      <c r="BI1660" t="s">
        <v>2366</v>
      </c>
      <c r="BJ1660" t="s">
        <v>2365</v>
      </c>
      <c r="BK1660" t="s">
        <v>2365</v>
      </c>
      <c r="BL1660" t="s">
        <v>2365</v>
      </c>
      <c r="BM1660" t="s">
        <v>2365</v>
      </c>
      <c r="BO1660">
        <v>8</v>
      </c>
      <c r="BP1660">
        <v>83</v>
      </c>
      <c r="BQ1660" t="s">
        <v>2442</v>
      </c>
      <c r="BR1660" t="s">
        <v>1534</v>
      </c>
      <c r="BU1660">
        <v>30000</v>
      </c>
      <c r="BV1660">
        <v>0</v>
      </c>
      <c r="BW1660">
        <v>30000</v>
      </c>
      <c r="BX1660">
        <v>0</v>
      </c>
      <c r="BY1660">
        <v>30000</v>
      </c>
      <c r="BZ1660">
        <v>31800</v>
      </c>
      <c r="CA1660">
        <v>33708</v>
      </c>
      <c r="CB1660">
        <v>0</v>
      </c>
      <c r="CC1660">
        <v>0</v>
      </c>
      <c r="CD1660">
        <v>0</v>
      </c>
      <c r="CE1660">
        <v>0</v>
      </c>
      <c r="CF1660">
        <v>0</v>
      </c>
      <c r="CG1660">
        <v>0</v>
      </c>
      <c r="CH1660">
        <v>0</v>
      </c>
      <c r="CI1660">
        <v>0</v>
      </c>
      <c r="CJ1660">
        <v>0</v>
      </c>
      <c r="CK1660">
        <v>0</v>
      </c>
      <c r="CL1660">
        <v>0</v>
      </c>
      <c r="CM1660">
        <v>0</v>
      </c>
      <c r="CR1660" t="s">
        <v>2324</v>
      </c>
      <c r="CS1660" s="1369" t="str">
        <f>INDEX([8]Sheet1!$H:$H,MATCH(CR:CR,[8]Sheet1!$AU:$AU,0))</f>
        <v>Finance</v>
      </c>
    </row>
    <row r="1661" spans="1:97" x14ac:dyDescent="0.2">
      <c r="A1661" t="s">
        <v>4767</v>
      </c>
      <c r="B1661">
        <v>1751</v>
      </c>
      <c r="C1661" t="s">
        <v>4767</v>
      </c>
      <c r="D1661">
        <v>54753</v>
      </c>
      <c r="E1661" t="s">
        <v>3010</v>
      </c>
      <c r="F1661">
        <v>2700</v>
      </c>
      <c r="G1661" t="s">
        <v>656</v>
      </c>
      <c r="H1661" t="s">
        <v>2428</v>
      </c>
      <c r="I1661" t="s">
        <v>1800</v>
      </c>
      <c r="J1661">
        <v>2701</v>
      </c>
      <c r="K1661" t="s">
        <v>1800</v>
      </c>
      <c r="L1661">
        <v>2100</v>
      </c>
      <c r="M1661" t="s">
        <v>618</v>
      </c>
      <c r="N1661">
        <v>2118</v>
      </c>
      <c r="O1661" t="s">
        <v>1509</v>
      </c>
      <c r="P1661" t="s">
        <v>2366</v>
      </c>
      <c r="Q1661" t="s">
        <v>2364</v>
      </c>
      <c r="R1661" t="s">
        <v>2364</v>
      </c>
      <c r="S1661" t="s">
        <v>1881</v>
      </c>
      <c r="T1661" t="s">
        <v>1812</v>
      </c>
      <c r="U1661" t="s">
        <v>2365</v>
      </c>
      <c r="V1661" t="s">
        <v>2365</v>
      </c>
      <c r="W1661" t="s">
        <v>2365</v>
      </c>
      <c r="X1661" t="s">
        <v>2365</v>
      </c>
      <c r="Y1661" t="s">
        <v>2365</v>
      </c>
      <c r="Z1661" t="s">
        <v>2365</v>
      </c>
      <c r="AA1661" t="s">
        <v>2365</v>
      </c>
      <c r="AB1661" t="s">
        <v>2365</v>
      </c>
      <c r="AC1661" s="813" t="s">
        <v>2365</v>
      </c>
      <c r="AD1661" s="813" t="s">
        <v>2365</v>
      </c>
      <c r="AE1661" s="813" t="s">
        <v>2365</v>
      </c>
      <c r="AF1661" t="s">
        <v>2365</v>
      </c>
      <c r="AG1661" t="s">
        <v>2365</v>
      </c>
      <c r="AH1661" t="s">
        <v>2365</v>
      </c>
      <c r="AI1661" t="s">
        <v>2365</v>
      </c>
      <c r="AJ1661" t="s">
        <v>2365</v>
      </c>
      <c r="AK1661" s="1373" t="s">
        <v>2365</v>
      </c>
      <c r="AL1661" t="s">
        <v>2365</v>
      </c>
      <c r="AM1661" t="s">
        <v>2365</v>
      </c>
      <c r="AN1661" t="s">
        <v>2365</v>
      </c>
      <c r="AR1661" t="s">
        <v>2365</v>
      </c>
      <c r="AS1661" t="s">
        <v>2365</v>
      </c>
      <c r="AT1661" t="s">
        <v>2365</v>
      </c>
      <c r="AU1661" t="s">
        <v>2365</v>
      </c>
      <c r="AV1661" t="s">
        <v>2365</v>
      </c>
      <c r="AW1661" t="s">
        <v>2365</v>
      </c>
      <c r="AX1661" t="s">
        <v>2365</v>
      </c>
      <c r="AY1661" t="s">
        <v>2365</v>
      </c>
      <c r="AZ1661" t="s">
        <v>2365</v>
      </c>
      <c r="BA1661" t="s">
        <v>2365</v>
      </c>
      <c r="BB1661" t="s">
        <v>2365</v>
      </c>
      <c r="BC1661" t="s">
        <v>2365</v>
      </c>
      <c r="BD1661" t="s">
        <v>2366</v>
      </c>
      <c r="BE1661" t="s">
        <v>2365</v>
      </c>
      <c r="BF1661" t="s">
        <v>2365</v>
      </c>
      <c r="BG1661" t="s">
        <v>2365</v>
      </c>
      <c r="BH1661" t="s">
        <v>2365</v>
      </c>
      <c r="BI1661" t="s">
        <v>2366</v>
      </c>
      <c r="BJ1661" t="s">
        <v>2365</v>
      </c>
      <c r="BK1661" t="s">
        <v>2365</v>
      </c>
      <c r="BL1661" t="s">
        <v>2365</v>
      </c>
      <c r="BM1661" t="s">
        <v>2365</v>
      </c>
      <c r="BO1661">
        <v>4</v>
      </c>
      <c r="BP1661">
        <v>43</v>
      </c>
      <c r="BQ1661" t="s">
        <v>2433</v>
      </c>
      <c r="BR1661" t="s">
        <v>1509</v>
      </c>
      <c r="BU1661">
        <v>150000</v>
      </c>
      <c r="BV1661">
        <v>0</v>
      </c>
      <c r="BW1661">
        <v>150000</v>
      </c>
      <c r="BX1661">
        <v>0</v>
      </c>
      <c r="BY1661">
        <v>150000</v>
      </c>
      <c r="BZ1661">
        <v>159000</v>
      </c>
      <c r="CA1661">
        <v>168540</v>
      </c>
      <c r="CB1661">
        <v>0</v>
      </c>
      <c r="CC1661">
        <v>0</v>
      </c>
      <c r="CD1661">
        <v>0</v>
      </c>
      <c r="CE1661">
        <v>0</v>
      </c>
      <c r="CF1661">
        <v>0</v>
      </c>
      <c r="CG1661">
        <v>0</v>
      </c>
      <c r="CH1661">
        <v>0</v>
      </c>
      <c r="CI1661">
        <v>0</v>
      </c>
      <c r="CJ1661">
        <v>0</v>
      </c>
      <c r="CK1661">
        <v>0</v>
      </c>
      <c r="CL1661">
        <v>0</v>
      </c>
      <c r="CM1661">
        <v>0</v>
      </c>
      <c r="CR1661" t="s">
        <v>2324</v>
      </c>
      <c r="CS1661" s="1369" t="str">
        <f>INDEX([8]Sheet1!$H:$H,MATCH(CR:CR,[8]Sheet1!$AU:$AU,0))</f>
        <v>Finance</v>
      </c>
    </row>
    <row r="1662" spans="1:97" x14ac:dyDescent="0.2">
      <c r="A1662" t="s">
        <v>4768</v>
      </c>
      <c r="B1662">
        <v>1752</v>
      </c>
      <c r="C1662" t="s">
        <v>4768</v>
      </c>
      <c r="D1662">
        <v>54754</v>
      </c>
      <c r="E1662" t="s">
        <v>2430</v>
      </c>
      <c r="F1662">
        <v>2700</v>
      </c>
      <c r="G1662" t="s">
        <v>656</v>
      </c>
      <c r="H1662" t="s">
        <v>2428</v>
      </c>
      <c r="I1662" t="s">
        <v>1800</v>
      </c>
      <c r="J1662">
        <v>2701</v>
      </c>
      <c r="K1662" t="s">
        <v>1800</v>
      </c>
      <c r="L1662">
        <v>2100</v>
      </c>
      <c r="M1662" t="s">
        <v>618</v>
      </c>
      <c r="N1662">
        <v>2118</v>
      </c>
      <c r="O1662" t="s">
        <v>1509</v>
      </c>
      <c r="P1662" t="s">
        <v>2366</v>
      </c>
      <c r="Q1662" t="s">
        <v>2364</v>
      </c>
      <c r="R1662" t="s">
        <v>2364</v>
      </c>
      <c r="S1662" t="s">
        <v>1881</v>
      </c>
      <c r="T1662" t="s">
        <v>1812</v>
      </c>
      <c r="U1662" t="s">
        <v>2365</v>
      </c>
      <c r="V1662" t="s">
        <v>2365</v>
      </c>
      <c r="W1662" t="s">
        <v>2365</v>
      </c>
      <c r="X1662" t="s">
        <v>2365</v>
      </c>
      <c r="Y1662" t="s">
        <v>2365</v>
      </c>
      <c r="Z1662" t="s">
        <v>2365</v>
      </c>
      <c r="AA1662" t="s">
        <v>2365</v>
      </c>
      <c r="AB1662" t="s">
        <v>2365</v>
      </c>
      <c r="AC1662" s="813" t="s">
        <v>2365</v>
      </c>
      <c r="AD1662" s="813" t="s">
        <v>2365</v>
      </c>
      <c r="AE1662" s="813" t="s">
        <v>2365</v>
      </c>
      <c r="AF1662" t="s">
        <v>2365</v>
      </c>
      <c r="AG1662" t="s">
        <v>2365</v>
      </c>
      <c r="AH1662" t="s">
        <v>2365</v>
      </c>
      <c r="AI1662" t="s">
        <v>2365</v>
      </c>
      <c r="AJ1662" t="s">
        <v>2365</v>
      </c>
      <c r="AK1662" t="s">
        <v>2365</v>
      </c>
      <c r="AL1662" t="s">
        <v>2365</v>
      </c>
      <c r="AM1662" t="s">
        <v>2365</v>
      </c>
      <c r="AN1662" t="s">
        <v>2365</v>
      </c>
      <c r="AR1662" t="s">
        <v>2365</v>
      </c>
      <c r="AS1662" t="s">
        <v>2365</v>
      </c>
      <c r="AT1662" t="s">
        <v>2365</v>
      </c>
      <c r="AU1662" t="s">
        <v>2365</v>
      </c>
      <c r="AV1662" t="s">
        <v>2365</v>
      </c>
      <c r="AW1662" t="s">
        <v>2365</v>
      </c>
      <c r="AX1662" t="s">
        <v>2365</v>
      </c>
      <c r="AY1662" t="s">
        <v>2365</v>
      </c>
      <c r="AZ1662" t="s">
        <v>2365</v>
      </c>
      <c r="BA1662" t="s">
        <v>2365</v>
      </c>
      <c r="BB1662" t="s">
        <v>2365</v>
      </c>
      <c r="BC1662" t="s">
        <v>2365</v>
      </c>
      <c r="BD1662" t="s">
        <v>2366</v>
      </c>
      <c r="BE1662" t="s">
        <v>2365</v>
      </c>
      <c r="BF1662" t="s">
        <v>2365</v>
      </c>
      <c r="BG1662" t="s">
        <v>2365</v>
      </c>
      <c r="BH1662" t="s">
        <v>2365</v>
      </c>
      <c r="BI1662" t="s">
        <v>2366</v>
      </c>
      <c r="BJ1662" t="s">
        <v>2365</v>
      </c>
      <c r="BK1662" t="s">
        <v>2365</v>
      </c>
      <c r="BL1662" t="s">
        <v>2365</v>
      </c>
      <c r="BM1662" t="s">
        <v>2365</v>
      </c>
      <c r="BO1662">
        <v>4</v>
      </c>
      <c r="BP1662">
        <v>43</v>
      </c>
      <c r="BQ1662" t="s">
        <v>2433</v>
      </c>
      <c r="BR1662" t="s">
        <v>1509</v>
      </c>
      <c r="BU1662">
        <v>30000</v>
      </c>
      <c r="BV1662">
        <v>0</v>
      </c>
      <c r="BW1662">
        <v>30000</v>
      </c>
      <c r="BX1662">
        <v>0</v>
      </c>
      <c r="BY1662">
        <v>30000</v>
      </c>
      <c r="BZ1662">
        <v>31800</v>
      </c>
      <c r="CA1662">
        <v>33708</v>
      </c>
      <c r="CB1662">
        <v>0</v>
      </c>
      <c r="CC1662">
        <v>0</v>
      </c>
      <c r="CD1662">
        <v>0</v>
      </c>
      <c r="CE1662">
        <v>0</v>
      </c>
      <c r="CF1662">
        <v>0</v>
      </c>
      <c r="CG1662">
        <v>0</v>
      </c>
      <c r="CH1662">
        <v>0</v>
      </c>
      <c r="CI1662">
        <v>0</v>
      </c>
      <c r="CJ1662">
        <v>0</v>
      </c>
      <c r="CK1662">
        <v>0</v>
      </c>
      <c r="CL1662">
        <v>0</v>
      </c>
      <c r="CM1662">
        <v>0</v>
      </c>
      <c r="CR1662" t="s">
        <v>2324</v>
      </c>
      <c r="CS1662" s="1369" t="str">
        <f>INDEX([8]Sheet1!$H:$H,MATCH(CR:CR,[8]Sheet1!$AU:$AU,0))</f>
        <v>Finance</v>
      </c>
    </row>
    <row r="1663" spans="1:97" x14ac:dyDescent="0.2">
      <c r="A1663" t="s">
        <v>4769</v>
      </c>
      <c r="B1663">
        <v>1753</v>
      </c>
      <c r="C1663" t="s">
        <v>4769</v>
      </c>
      <c r="D1663">
        <v>54755</v>
      </c>
      <c r="E1663" t="s">
        <v>2427</v>
      </c>
      <c r="F1663">
        <v>2700</v>
      </c>
      <c r="G1663" t="s">
        <v>656</v>
      </c>
      <c r="H1663" t="s">
        <v>2428</v>
      </c>
      <c r="I1663" t="s">
        <v>1800</v>
      </c>
      <c r="J1663">
        <v>2701</v>
      </c>
      <c r="K1663" t="s">
        <v>1800</v>
      </c>
      <c r="L1663">
        <v>2100</v>
      </c>
      <c r="M1663" t="s">
        <v>618</v>
      </c>
      <c r="N1663">
        <v>2118</v>
      </c>
      <c r="O1663" t="s">
        <v>1509</v>
      </c>
      <c r="P1663" t="s">
        <v>2366</v>
      </c>
      <c r="Q1663" t="s">
        <v>2364</v>
      </c>
      <c r="R1663" t="s">
        <v>2364</v>
      </c>
      <c r="S1663" t="s">
        <v>1881</v>
      </c>
      <c r="T1663" t="s">
        <v>1812</v>
      </c>
      <c r="U1663" t="s">
        <v>2365</v>
      </c>
      <c r="V1663" t="s">
        <v>2365</v>
      </c>
      <c r="W1663" t="s">
        <v>2365</v>
      </c>
      <c r="X1663" t="s">
        <v>2365</v>
      </c>
      <c r="Y1663" t="s">
        <v>2365</v>
      </c>
      <c r="Z1663" t="s">
        <v>2365</v>
      </c>
      <c r="AA1663" t="s">
        <v>2365</v>
      </c>
      <c r="AB1663" t="s">
        <v>2365</v>
      </c>
      <c r="AC1663" s="813" t="s">
        <v>2365</v>
      </c>
      <c r="AD1663" s="813" t="s">
        <v>2365</v>
      </c>
      <c r="AE1663" s="813" t="s">
        <v>2365</v>
      </c>
      <c r="AF1663" t="s">
        <v>2365</v>
      </c>
      <c r="AG1663" t="s">
        <v>2365</v>
      </c>
      <c r="AH1663" t="s">
        <v>2365</v>
      </c>
      <c r="AI1663" t="s">
        <v>2365</v>
      </c>
      <c r="AJ1663" t="s">
        <v>2365</v>
      </c>
      <c r="AK1663" t="s">
        <v>2365</v>
      </c>
      <c r="AL1663" t="s">
        <v>2365</v>
      </c>
      <c r="AM1663" t="s">
        <v>2365</v>
      </c>
      <c r="AN1663" t="s">
        <v>2365</v>
      </c>
      <c r="AR1663" t="s">
        <v>2365</v>
      </c>
      <c r="AS1663" t="s">
        <v>2365</v>
      </c>
      <c r="AT1663" t="s">
        <v>2365</v>
      </c>
      <c r="AU1663" t="s">
        <v>2365</v>
      </c>
      <c r="AV1663" t="s">
        <v>2365</v>
      </c>
      <c r="AW1663" t="s">
        <v>2365</v>
      </c>
      <c r="AX1663" t="s">
        <v>2365</v>
      </c>
      <c r="AY1663" t="s">
        <v>2365</v>
      </c>
      <c r="AZ1663" t="s">
        <v>2365</v>
      </c>
      <c r="BA1663" t="s">
        <v>2365</v>
      </c>
      <c r="BB1663" t="s">
        <v>2365</v>
      </c>
      <c r="BC1663" t="s">
        <v>2365</v>
      </c>
      <c r="BD1663" t="s">
        <v>2366</v>
      </c>
      <c r="BE1663" t="s">
        <v>2365</v>
      </c>
      <c r="BF1663" t="s">
        <v>2365</v>
      </c>
      <c r="BG1663" t="s">
        <v>2365</v>
      </c>
      <c r="BH1663" t="s">
        <v>2365</v>
      </c>
      <c r="BI1663" t="s">
        <v>2366</v>
      </c>
      <c r="BJ1663" t="s">
        <v>2365</v>
      </c>
      <c r="BK1663" t="s">
        <v>2365</v>
      </c>
      <c r="BL1663" t="s">
        <v>2365</v>
      </c>
      <c r="BM1663" t="s">
        <v>2365</v>
      </c>
      <c r="BO1663">
        <v>4</v>
      </c>
      <c r="BP1663">
        <v>43</v>
      </c>
      <c r="BQ1663" t="s">
        <v>2433</v>
      </c>
      <c r="BR1663" t="s">
        <v>1509</v>
      </c>
      <c r="BU1663">
        <v>30000</v>
      </c>
      <c r="BV1663">
        <v>0</v>
      </c>
      <c r="BW1663">
        <v>30000</v>
      </c>
      <c r="BX1663">
        <v>-1065</v>
      </c>
      <c r="BY1663">
        <v>28935</v>
      </c>
      <c r="BZ1663">
        <v>31800</v>
      </c>
      <c r="CA1663">
        <v>33708</v>
      </c>
      <c r="CB1663">
        <v>0</v>
      </c>
      <c r="CC1663">
        <v>0</v>
      </c>
      <c r="CD1663">
        <v>0</v>
      </c>
      <c r="CE1663">
        <v>0</v>
      </c>
      <c r="CF1663">
        <v>0</v>
      </c>
      <c r="CG1663">
        <v>1065.18</v>
      </c>
      <c r="CH1663">
        <v>0</v>
      </c>
      <c r="CI1663">
        <v>0</v>
      </c>
      <c r="CJ1663">
        <v>0</v>
      </c>
      <c r="CK1663">
        <v>0</v>
      </c>
      <c r="CL1663">
        <v>0</v>
      </c>
      <c r="CM1663">
        <v>0</v>
      </c>
      <c r="CR1663" t="s">
        <v>2324</v>
      </c>
      <c r="CS1663" s="1369" t="str">
        <f>INDEX([8]Sheet1!$H:$H,MATCH(CR:CR,[8]Sheet1!$AU:$AU,0))</f>
        <v>Finance</v>
      </c>
    </row>
    <row r="1664" spans="1:97" x14ac:dyDescent="0.2">
      <c r="A1664" t="s">
        <v>4770</v>
      </c>
      <c r="B1664">
        <v>1754</v>
      </c>
      <c r="C1664" t="s">
        <v>4770</v>
      </c>
      <c r="D1664">
        <v>54756</v>
      </c>
      <c r="E1664" t="s">
        <v>2432</v>
      </c>
      <c r="F1664">
        <v>2600</v>
      </c>
      <c r="G1664" t="s">
        <v>655</v>
      </c>
      <c r="H1664">
        <v>2600</v>
      </c>
      <c r="I1664" t="s">
        <v>655</v>
      </c>
      <c r="J1664" t="s">
        <v>2365</v>
      </c>
      <c r="K1664" t="s">
        <v>2365</v>
      </c>
      <c r="L1664">
        <v>2100</v>
      </c>
      <c r="M1664" t="s">
        <v>618</v>
      </c>
      <c r="N1664">
        <v>2118</v>
      </c>
      <c r="O1664" t="s">
        <v>1509</v>
      </c>
      <c r="P1664" t="s">
        <v>2366</v>
      </c>
      <c r="Q1664" t="s">
        <v>2364</v>
      </c>
      <c r="R1664" t="s">
        <v>2364</v>
      </c>
      <c r="S1664" t="s">
        <v>1881</v>
      </c>
      <c r="T1664" t="s">
        <v>1812</v>
      </c>
      <c r="U1664" t="s">
        <v>2365</v>
      </c>
      <c r="V1664" t="s">
        <v>2365</v>
      </c>
      <c r="W1664" t="s">
        <v>2365</v>
      </c>
      <c r="X1664" t="s">
        <v>2365</v>
      </c>
      <c r="Y1664" t="s">
        <v>2365</v>
      </c>
      <c r="Z1664" t="s">
        <v>2365</v>
      </c>
      <c r="AA1664" t="s">
        <v>2365</v>
      </c>
      <c r="AB1664" t="s">
        <v>2365</v>
      </c>
      <c r="AC1664" s="813" t="s">
        <v>2365</v>
      </c>
      <c r="AD1664" s="813" t="s">
        <v>2365</v>
      </c>
      <c r="AE1664" s="813" t="s">
        <v>2365</v>
      </c>
      <c r="AF1664" t="s">
        <v>2365</v>
      </c>
      <c r="AG1664" t="s">
        <v>2365</v>
      </c>
      <c r="AH1664" t="s">
        <v>2365</v>
      </c>
      <c r="AI1664" t="s">
        <v>2365</v>
      </c>
      <c r="AJ1664" t="s">
        <v>2365</v>
      </c>
      <c r="AK1664" t="s">
        <v>2365</v>
      </c>
      <c r="AL1664" t="s">
        <v>2365</v>
      </c>
      <c r="AM1664" t="s">
        <v>2365</v>
      </c>
      <c r="AN1664" t="s">
        <v>2365</v>
      </c>
      <c r="AR1664" t="s">
        <v>2365</v>
      </c>
      <c r="AS1664" t="s">
        <v>2365</v>
      </c>
      <c r="AT1664" t="s">
        <v>2365</v>
      </c>
      <c r="AU1664" t="s">
        <v>2365</v>
      </c>
      <c r="AV1664" t="s">
        <v>2365</v>
      </c>
      <c r="AW1664" t="s">
        <v>2365</v>
      </c>
      <c r="AX1664" t="s">
        <v>2365</v>
      </c>
      <c r="AY1664" t="s">
        <v>2365</v>
      </c>
      <c r="AZ1664" t="s">
        <v>2365</v>
      </c>
      <c r="BA1664" t="s">
        <v>2365</v>
      </c>
      <c r="BB1664" t="s">
        <v>2365</v>
      </c>
      <c r="BC1664" t="s">
        <v>2365</v>
      </c>
      <c r="BD1664" t="s">
        <v>2366</v>
      </c>
      <c r="BE1664" t="s">
        <v>2365</v>
      </c>
      <c r="BF1664" t="s">
        <v>2365</v>
      </c>
      <c r="BG1664" t="s">
        <v>2365</v>
      </c>
      <c r="BH1664" t="s">
        <v>2365</v>
      </c>
      <c r="BI1664" t="s">
        <v>2366</v>
      </c>
      <c r="BJ1664" t="s">
        <v>2365</v>
      </c>
      <c r="BK1664" t="s">
        <v>2365</v>
      </c>
      <c r="BL1664" t="s">
        <v>2365</v>
      </c>
      <c r="BM1664" t="s">
        <v>2365</v>
      </c>
      <c r="BO1664">
        <v>4</v>
      </c>
      <c r="BP1664">
        <v>43</v>
      </c>
      <c r="BQ1664" t="s">
        <v>2433</v>
      </c>
      <c r="BR1664" t="s">
        <v>1509</v>
      </c>
      <c r="BU1664">
        <v>80000</v>
      </c>
      <c r="BV1664">
        <v>0</v>
      </c>
      <c r="BW1664">
        <v>80000</v>
      </c>
      <c r="BX1664">
        <v>0</v>
      </c>
      <c r="BY1664">
        <v>80000</v>
      </c>
      <c r="BZ1664">
        <v>84800</v>
      </c>
      <c r="CA1664">
        <v>89888</v>
      </c>
      <c r="CB1664">
        <v>0</v>
      </c>
      <c r="CC1664">
        <v>0</v>
      </c>
      <c r="CD1664">
        <v>0</v>
      </c>
      <c r="CE1664">
        <v>0</v>
      </c>
      <c r="CF1664">
        <v>0</v>
      </c>
      <c r="CG1664">
        <v>0</v>
      </c>
      <c r="CH1664">
        <v>0</v>
      </c>
      <c r="CI1664">
        <v>0</v>
      </c>
      <c r="CJ1664">
        <v>0</v>
      </c>
      <c r="CK1664">
        <v>0</v>
      </c>
      <c r="CL1664">
        <v>0</v>
      </c>
      <c r="CM1664">
        <v>0</v>
      </c>
      <c r="CR1664" t="s">
        <v>2324</v>
      </c>
      <c r="CS1664" s="1369" t="str">
        <f>INDEX([8]Sheet1!$H:$H,MATCH(CR:CR,[8]Sheet1!$AU:$AU,0))</f>
        <v>Finance</v>
      </c>
    </row>
    <row r="1665" spans="1:97" x14ac:dyDescent="0.2">
      <c r="A1665" t="s">
        <v>4771</v>
      </c>
      <c r="B1665">
        <v>1755</v>
      </c>
      <c r="C1665" t="s">
        <v>4771</v>
      </c>
      <c r="D1665">
        <v>54757</v>
      </c>
      <c r="E1665" t="s">
        <v>2508</v>
      </c>
      <c r="F1665">
        <v>2900</v>
      </c>
      <c r="G1665" t="s">
        <v>569</v>
      </c>
      <c r="H1665" t="s">
        <v>2366</v>
      </c>
      <c r="I1665" t="s">
        <v>2366</v>
      </c>
      <c r="J1665">
        <v>2904</v>
      </c>
      <c r="K1665" t="s">
        <v>1432</v>
      </c>
      <c r="L1665">
        <v>2100</v>
      </c>
      <c r="M1665" t="s">
        <v>618</v>
      </c>
      <c r="N1665">
        <v>2118</v>
      </c>
      <c r="O1665" t="s">
        <v>1509</v>
      </c>
      <c r="P1665" t="s">
        <v>2366</v>
      </c>
      <c r="Q1665" t="s">
        <v>2364</v>
      </c>
      <c r="R1665" t="s">
        <v>2364</v>
      </c>
      <c r="S1665" t="s">
        <v>1881</v>
      </c>
      <c r="T1665" t="s">
        <v>1812</v>
      </c>
      <c r="U1665" t="s">
        <v>2365</v>
      </c>
      <c r="V1665" t="s">
        <v>2365</v>
      </c>
      <c r="W1665" t="s">
        <v>2365</v>
      </c>
      <c r="X1665" t="s">
        <v>2365</v>
      </c>
      <c r="Y1665" t="s">
        <v>2365</v>
      </c>
      <c r="Z1665" t="s">
        <v>2365</v>
      </c>
      <c r="AA1665" t="s">
        <v>2365</v>
      </c>
      <c r="AB1665" t="s">
        <v>2365</v>
      </c>
      <c r="AC1665" s="813" t="s">
        <v>2365</v>
      </c>
      <c r="AD1665" s="813" t="s">
        <v>2365</v>
      </c>
      <c r="AE1665" s="813" t="s">
        <v>2365</v>
      </c>
      <c r="AF1665" t="s">
        <v>2365</v>
      </c>
      <c r="AG1665" t="s">
        <v>2365</v>
      </c>
      <c r="AH1665" t="s">
        <v>2365</v>
      </c>
      <c r="AI1665" t="s">
        <v>2365</v>
      </c>
      <c r="AJ1665" t="s">
        <v>2365</v>
      </c>
      <c r="AK1665" t="s">
        <v>2365</v>
      </c>
      <c r="AL1665" t="s">
        <v>2365</v>
      </c>
      <c r="AM1665" t="s">
        <v>2365</v>
      </c>
      <c r="AN1665" t="s">
        <v>2365</v>
      </c>
      <c r="AR1665" t="s">
        <v>2365</v>
      </c>
      <c r="AS1665" t="s">
        <v>2365</v>
      </c>
      <c r="AT1665" t="s">
        <v>2365</v>
      </c>
      <c r="AU1665" t="s">
        <v>2365</v>
      </c>
      <c r="AV1665" t="s">
        <v>2365</v>
      </c>
      <c r="AW1665" t="s">
        <v>2365</v>
      </c>
      <c r="AX1665" t="s">
        <v>2365</v>
      </c>
      <c r="AY1665" t="s">
        <v>2365</v>
      </c>
      <c r="AZ1665" t="s">
        <v>2365</v>
      </c>
      <c r="BA1665" t="s">
        <v>2365</v>
      </c>
      <c r="BB1665" t="s">
        <v>2365</v>
      </c>
      <c r="BC1665" t="s">
        <v>2365</v>
      </c>
      <c r="BD1665" t="s">
        <v>2366</v>
      </c>
      <c r="BE1665" t="s">
        <v>2365</v>
      </c>
      <c r="BF1665" t="s">
        <v>2365</v>
      </c>
      <c r="BG1665" t="s">
        <v>2365</v>
      </c>
      <c r="BH1665" t="s">
        <v>2365</v>
      </c>
      <c r="BI1665" t="s">
        <v>2366</v>
      </c>
      <c r="BJ1665" t="s">
        <v>2365</v>
      </c>
      <c r="BK1665" t="s">
        <v>2365</v>
      </c>
      <c r="BL1665" t="s">
        <v>2365</v>
      </c>
      <c r="BM1665" t="s">
        <v>2365</v>
      </c>
      <c r="BO1665">
        <v>4</v>
      </c>
      <c r="BP1665">
        <v>43</v>
      </c>
      <c r="BQ1665" t="s">
        <v>2433</v>
      </c>
      <c r="BR1665" t="s">
        <v>1509</v>
      </c>
      <c r="BU1665">
        <v>50000</v>
      </c>
      <c r="BV1665">
        <v>0</v>
      </c>
      <c r="BW1665">
        <v>50000</v>
      </c>
      <c r="BX1665">
        <v>-4247</v>
      </c>
      <c r="BY1665">
        <v>45753</v>
      </c>
      <c r="BZ1665">
        <v>53000</v>
      </c>
      <c r="CA1665">
        <v>56180</v>
      </c>
      <c r="CB1665">
        <v>0</v>
      </c>
      <c r="CC1665">
        <v>0</v>
      </c>
      <c r="CD1665">
        <v>0</v>
      </c>
      <c r="CE1665">
        <v>0</v>
      </c>
      <c r="CF1665">
        <v>0</v>
      </c>
      <c r="CG1665">
        <v>4246.96</v>
      </c>
      <c r="CH1665">
        <v>0</v>
      </c>
      <c r="CI1665">
        <v>0</v>
      </c>
      <c r="CJ1665">
        <v>0</v>
      </c>
      <c r="CK1665">
        <v>0</v>
      </c>
      <c r="CL1665">
        <v>0</v>
      </c>
      <c r="CM1665">
        <v>0</v>
      </c>
      <c r="CR1665" t="s">
        <v>2324</v>
      </c>
      <c r="CS1665" s="1369" t="str">
        <f>INDEX([8]Sheet1!$H:$H,MATCH(CR:CR,[8]Sheet1!$AU:$AU,0))</f>
        <v>Finance</v>
      </c>
    </row>
    <row r="1666" spans="1:97" x14ac:dyDescent="0.2">
      <c r="A1666" t="s">
        <v>4772</v>
      </c>
      <c r="B1666">
        <v>1756</v>
      </c>
      <c r="C1666" t="s">
        <v>4772</v>
      </c>
      <c r="D1666">
        <v>54758</v>
      </c>
      <c r="E1666" t="s">
        <v>2432</v>
      </c>
      <c r="F1666">
        <v>2600</v>
      </c>
      <c r="G1666" t="s">
        <v>655</v>
      </c>
      <c r="H1666">
        <v>2600</v>
      </c>
      <c r="I1666" t="s">
        <v>655</v>
      </c>
      <c r="J1666" t="s">
        <v>2365</v>
      </c>
      <c r="K1666" t="s">
        <v>2365</v>
      </c>
      <c r="L1666">
        <v>2100</v>
      </c>
      <c r="M1666" t="s">
        <v>618</v>
      </c>
      <c r="N1666">
        <v>2118</v>
      </c>
      <c r="O1666" t="s">
        <v>1509</v>
      </c>
      <c r="P1666" t="s">
        <v>2366</v>
      </c>
      <c r="Q1666" t="s">
        <v>2364</v>
      </c>
      <c r="R1666" t="s">
        <v>2364</v>
      </c>
      <c r="S1666" t="s">
        <v>1881</v>
      </c>
      <c r="T1666" t="s">
        <v>1812</v>
      </c>
      <c r="U1666" t="s">
        <v>2365</v>
      </c>
      <c r="V1666" t="s">
        <v>2365</v>
      </c>
      <c r="W1666" t="s">
        <v>2365</v>
      </c>
      <c r="X1666" t="s">
        <v>2365</v>
      </c>
      <c r="Y1666" t="s">
        <v>2365</v>
      </c>
      <c r="Z1666" t="s">
        <v>2365</v>
      </c>
      <c r="AA1666" t="s">
        <v>2365</v>
      </c>
      <c r="AB1666" t="s">
        <v>2365</v>
      </c>
      <c r="AC1666" s="813" t="s">
        <v>2365</v>
      </c>
      <c r="AD1666" s="813" t="s">
        <v>2365</v>
      </c>
      <c r="AE1666" s="813" t="s">
        <v>2365</v>
      </c>
      <c r="AF1666" t="s">
        <v>2365</v>
      </c>
      <c r="AG1666" t="s">
        <v>2365</v>
      </c>
      <c r="AH1666" t="s">
        <v>2365</v>
      </c>
      <c r="AI1666" t="s">
        <v>2365</v>
      </c>
      <c r="AJ1666" t="s">
        <v>2365</v>
      </c>
      <c r="AK1666" t="s">
        <v>2365</v>
      </c>
      <c r="AL1666" t="s">
        <v>2365</v>
      </c>
      <c r="AM1666" t="s">
        <v>2365</v>
      </c>
      <c r="AN1666" t="s">
        <v>2365</v>
      </c>
      <c r="AR1666" t="s">
        <v>2365</v>
      </c>
      <c r="AS1666" t="s">
        <v>2365</v>
      </c>
      <c r="AT1666" t="s">
        <v>2365</v>
      </c>
      <c r="AU1666" t="s">
        <v>2365</v>
      </c>
      <c r="AV1666" t="s">
        <v>2365</v>
      </c>
      <c r="AW1666" t="s">
        <v>2365</v>
      </c>
      <c r="AX1666" t="s">
        <v>2365</v>
      </c>
      <c r="AY1666" t="s">
        <v>2365</v>
      </c>
      <c r="AZ1666" t="s">
        <v>2365</v>
      </c>
      <c r="BA1666" t="s">
        <v>2365</v>
      </c>
      <c r="BB1666" t="s">
        <v>2365</v>
      </c>
      <c r="BC1666" t="s">
        <v>2365</v>
      </c>
      <c r="BD1666" t="s">
        <v>2366</v>
      </c>
      <c r="BE1666" t="s">
        <v>2365</v>
      </c>
      <c r="BF1666" t="s">
        <v>2365</v>
      </c>
      <c r="BG1666" t="s">
        <v>2365</v>
      </c>
      <c r="BH1666" t="s">
        <v>2365</v>
      </c>
      <c r="BI1666" t="s">
        <v>2366</v>
      </c>
      <c r="BJ1666" t="s">
        <v>2365</v>
      </c>
      <c r="BK1666" t="s">
        <v>2365</v>
      </c>
      <c r="BL1666" t="s">
        <v>2365</v>
      </c>
      <c r="BM1666" t="s">
        <v>2365</v>
      </c>
      <c r="BO1666">
        <v>4</v>
      </c>
      <c r="BP1666">
        <v>43</v>
      </c>
      <c r="BQ1666" t="s">
        <v>2433</v>
      </c>
      <c r="BR1666" t="s">
        <v>1509</v>
      </c>
      <c r="BU1666">
        <v>0</v>
      </c>
      <c r="BV1666">
        <v>0</v>
      </c>
      <c r="BW1666">
        <v>0</v>
      </c>
      <c r="BX1666">
        <v>0</v>
      </c>
      <c r="BY1666">
        <v>0</v>
      </c>
      <c r="BZ1666">
        <v>0</v>
      </c>
      <c r="CA1666">
        <v>0</v>
      </c>
      <c r="CB1666">
        <v>0</v>
      </c>
      <c r="CC1666">
        <v>0</v>
      </c>
      <c r="CD1666">
        <v>0</v>
      </c>
      <c r="CE1666">
        <v>0</v>
      </c>
      <c r="CF1666">
        <v>0</v>
      </c>
      <c r="CG1666">
        <v>0</v>
      </c>
      <c r="CH1666">
        <v>0</v>
      </c>
      <c r="CI1666">
        <v>0</v>
      </c>
      <c r="CJ1666">
        <v>0</v>
      </c>
      <c r="CK1666">
        <v>0</v>
      </c>
      <c r="CL1666">
        <v>0</v>
      </c>
      <c r="CM1666">
        <v>0</v>
      </c>
      <c r="CR1666" t="s">
        <v>2324</v>
      </c>
      <c r="CS1666" s="1369" t="str">
        <f>INDEX([8]Sheet1!$H:$H,MATCH(CR:CR,[8]Sheet1!$AU:$AU,0))</f>
        <v>Finance</v>
      </c>
    </row>
    <row r="1667" spans="1:97" x14ac:dyDescent="0.2">
      <c r="A1667" t="s">
        <v>4773</v>
      </c>
      <c r="B1667">
        <v>1757</v>
      </c>
      <c r="C1667" t="s">
        <v>4773</v>
      </c>
      <c r="D1667">
        <v>54759</v>
      </c>
      <c r="E1667" t="s">
        <v>3264</v>
      </c>
      <c r="F1667">
        <v>2900</v>
      </c>
      <c r="G1667" t="s">
        <v>569</v>
      </c>
      <c r="H1667" t="s">
        <v>2366</v>
      </c>
      <c r="I1667" t="s">
        <v>2366</v>
      </c>
      <c r="J1667">
        <v>2904</v>
      </c>
      <c r="K1667" t="s">
        <v>1432</v>
      </c>
      <c r="L1667">
        <v>5000</v>
      </c>
      <c r="M1667" t="s">
        <v>632</v>
      </c>
      <c r="N1667">
        <v>5004</v>
      </c>
      <c r="O1667" t="s">
        <v>1560</v>
      </c>
      <c r="P1667" t="s">
        <v>2366</v>
      </c>
      <c r="Q1667" t="s">
        <v>2364</v>
      </c>
      <c r="R1667" t="s">
        <v>2364</v>
      </c>
      <c r="S1667" t="s">
        <v>1881</v>
      </c>
      <c r="T1667" t="s">
        <v>1812</v>
      </c>
      <c r="U1667" t="s">
        <v>2365</v>
      </c>
      <c r="V1667" t="s">
        <v>2365</v>
      </c>
      <c r="W1667" t="s">
        <v>2365</v>
      </c>
      <c r="X1667" t="s">
        <v>2365</v>
      </c>
      <c r="Y1667" t="s">
        <v>2365</v>
      </c>
      <c r="Z1667" t="s">
        <v>2365</v>
      </c>
      <c r="AA1667" t="s">
        <v>2365</v>
      </c>
      <c r="AB1667" t="s">
        <v>2365</v>
      </c>
      <c r="AC1667" s="813" t="s">
        <v>2365</v>
      </c>
      <c r="AD1667" s="813" t="s">
        <v>2365</v>
      </c>
      <c r="AE1667" s="813" t="s">
        <v>2365</v>
      </c>
      <c r="AF1667" t="s">
        <v>2365</v>
      </c>
      <c r="AG1667" t="s">
        <v>2365</v>
      </c>
      <c r="AH1667" t="s">
        <v>2365</v>
      </c>
      <c r="AI1667" t="s">
        <v>2365</v>
      </c>
      <c r="AJ1667" t="s">
        <v>2365</v>
      </c>
      <c r="AK1667" t="s">
        <v>2365</v>
      </c>
      <c r="AL1667" t="s">
        <v>2365</v>
      </c>
      <c r="AM1667" t="s">
        <v>2365</v>
      </c>
      <c r="AN1667" t="s">
        <v>2365</v>
      </c>
      <c r="AR1667" t="s">
        <v>2365</v>
      </c>
      <c r="AS1667" t="s">
        <v>2365</v>
      </c>
      <c r="AT1667" t="s">
        <v>2365</v>
      </c>
      <c r="AU1667" t="s">
        <v>2365</v>
      </c>
      <c r="AV1667" t="s">
        <v>2365</v>
      </c>
      <c r="AW1667" t="s">
        <v>2365</v>
      </c>
      <c r="AX1667" t="s">
        <v>2365</v>
      </c>
      <c r="AY1667" t="s">
        <v>2365</v>
      </c>
      <c r="AZ1667" t="s">
        <v>2365</v>
      </c>
      <c r="BA1667" t="s">
        <v>2365</v>
      </c>
      <c r="BB1667" t="s">
        <v>2365</v>
      </c>
      <c r="BC1667" t="s">
        <v>2365</v>
      </c>
      <c r="BD1667" t="s">
        <v>2366</v>
      </c>
      <c r="BE1667" t="s">
        <v>2365</v>
      </c>
      <c r="BF1667" t="s">
        <v>2365</v>
      </c>
      <c r="BG1667" t="s">
        <v>2365</v>
      </c>
      <c r="BH1667" t="s">
        <v>2365</v>
      </c>
      <c r="BI1667" t="s">
        <v>2366</v>
      </c>
      <c r="BJ1667" t="s">
        <v>2365</v>
      </c>
      <c r="BK1667" t="s">
        <v>2365</v>
      </c>
      <c r="BL1667" t="s">
        <v>2365</v>
      </c>
      <c r="BM1667" t="s">
        <v>2365</v>
      </c>
      <c r="BO1667">
        <v>11</v>
      </c>
      <c r="BP1667">
        <v>111</v>
      </c>
      <c r="BQ1667" t="s">
        <v>632</v>
      </c>
      <c r="BR1667" t="s">
        <v>1560</v>
      </c>
      <c r="BU1667">
        <v>62316</v>
      </c>
      <c r="BV1667">
        <v>0</v>
      </c>
      <c r="BW1667">
        <v>62316</v>
      </c>
      <c r="BX1667">
        <v>0</v>
      </c>
      <c r="BY1667">
        <v>62316</v>
      </c>
      <c r="BZ1667">
        <v>64809</v>
      </c>
      <c r="CA1667">
        <v>67401</v>
      </c>
      <c r="CB1667">
        <v>0</v>
      </c>
      <c r="CC1667">
        <v>0</v>
      </c>
      <c r="CD1667">
        <v>0</v>
      </c>
      <c r="CE1667">
        <v>0</v>
      </c>
      <c r="CF1667">
        <v>0</v>
      </c>
      <c r="CG1667">
        <v>0</v>
      </c>
      <c r="CH1667">
        <v>0</v>
      </c>
      <c r="CI1667">
        <v>0</v>
      </c>
      <c r="CJ1667">
        <v>0</v>
      </c>
      <c r="CK1667">
        <v>0</v>
      </c>
      <c r="CL1667">
        <v>0</v>
      </c>
      <c r="CM1667">
        <v>0</v>
      </c>
      <c r="CR1667" t="s">
        <v>2324</v>
      </c>
      <c r="CS1667" s="1369" t="str">
        <f>INDEX([8]Sheet1!$H:$H,MATCH(CR:CR,[8]Sheet1!$AU:$AU,0))</f>
        <v>Finance</v>
      </c>
    </row>
    <row r="1668" spans="1:97" x14ac:dyDescent="0.2">
      <c r="A1668" t="s">
        <v>4774</v>
      </c>
      <c r="B1668">
        <v>1758</v>
      </c>
      <c r="C1668" t="s">
        <v>4774</v>
      </c>
      <c r="D1668">
        <v>54760</v>
      </c>
      <c r="E1668" t="s">
        <v>2437</v>
      </c>
      <c r="F1668" t="s">
        <v>2364</v>
      </c>
      <c r="G1668" t="s">
        <v>2364</v>
      </c>
      <c r="H1668" t="s">
        <v>2365</v>
      </c>
      <c r="I1668" t="s">
        <v>2365</v>
      </c>
      <c r="J1668" t="s">
        <v>2365</v>
      </c>
      <c r="K1668" t="s">
        <v>2365</v>
      </c>
      <c r="L1668">
        <v>2100</v>
      </c>
      <c r="M1668" t="s">
        <v>618</v>
      </c>
      <c r="N1668">
        <v>2106</v>
      </c>
      <c r="O1668" t="s">
        <v>1499</v>
      </c>
      <c r="P1668" t="s">
        <v>1846</v>
      </c>
      <c r="Q1668">
        <v>2010</v>
      </c>
      <c r="R1668" t="s">
        <v>668</v>
      </c>
      <c r="S1668" t="s">
        <v>552</v>
      </c>
      <c r="T1668" t="s">
        <v>2175</v>
      </c>
      <c r="U1668">
        <v>240</v>
      </c>
      <c r="V1668" t="s">
        <v>2389</v>
      </c>
      <c r="W1668">
        <v>240</v>
      </c>
      <c r="X1668" t="s">
        <v>701</v>
      </c>
      <c r="Y1668" t="s">
        <v>2365</v>
      </c>
      <c r="Z1668" t="s">
        <v>2365</v>
      </c>
      <c r="AA1668" t="s">
        <v>2365</v>
      </c>
      <c r="AB1668" t="s">
        <v>2365</v>
      </c>
      <c r="AC1668" s="813" t="s">
        <v>2365</v>
      </c>
      <c r="AD1668" s="813" t="s">
        <v>2365</v>
      </c>
      <c r="AE1668" s="813" t="s">
        <v>2365</v>
      </c>
      <c r="AF1668" t="s">
        <v>2365</v>
      </c>
      <c r="AG1668" t="s">
        <v>2365</v>
      </c>
      <c r="AH1668" t="s">
        <v>2365</v>
      </c>
      <c r="AI1668" t="s">
        <v>2365</v>
      </c>
      <c r="AJ1668" t="s">
        <v>2365</v>
      </c>
      <c r="AK1668">
        <v>241</v>
      </c>
      <c r="AL1668" t="s">
        <v>1203</v>
      </c>
      <c r="AM1668">
        <v>241</v>
      </c>
      <c r="AN1668" t="s">
        <v>1203</v>
      </c>
      <c r="AR1668">
        <v>790</v>
      </c>
      <c r="AS1668" t="s">
        <v>1622</v>
      </c>
      <c r="AT1668">
        <v>790</v>
      </c>
      <c r="AU1668" t="s">
        <v>1622</v>
      </c>
      <c r="AV1668" t="s">
        <v>2365</v>
      </c>
      <c r="AW1668" t="s">
        <v>2365</v>
      </c>
      <c r="AX1668" t="s">
        <v>2365</v>
      </c>
      <c r="AY1668" t="s">
        <v>2365</v>
      </c>
      <c r="AZ1668" t="s">
        <v>2365</v>
      </c>
      <c r="BA1668" t="s">
        <v>2365</v>
      </c>
      <c r="BB1668" t="s">
        <v>2365</v>
      </c>
      <c r="BC1668" t="s">
        <v>2365</v>
      </c>
      <c r="BD1668" t="s">
        <v>2366</v>
      </c>
      <c r="BE1668" t="s">
        <v>2365</v>
      </c>
      <c r="BF1668" t="s">
        <v>2365</v>
      </c>
      <c r="BG1668" t="s">
        <v>2365</v>
      </c>
      <c r="BH1668" t="s">
        <v>2365</v>
      </c>
      <c r="BI1668" t="s">
        <v>2366</v>
      </c>
      <c r="BJ1668" t="s">
        <v>2365</v>
      </c>
      <c r="BK1668" t="s">
        <v>2365</v>
      </c>
      <c r="BL1668" t="s">
        <v>2365</v>
      </c>
      <c r="BM1668" t="s">
        <v>2365</v>
      </c>
      <c r="BO1668">
        <v>5</v>
      </c>
      <c r="BP1668">
        <v>53</v>
      </c>
      <c r="BQ1668" t="s">
        <v>2438</v>
      </c>
      <c r="BR1668" t="s">
        <v>1499</v>
      </c>
      <c r="BU1668">
        <v>1529393</v>
      </c>
      <c r="BV1668">
        <v>0</v>
      </c>
      <c r="BW1668">
        <v>1529393</v>
      </c>
      <c r="BX1668">
        <v>0</v>
      </c>
      <c r="BY1668">
        <v>1529393</v>
      </c>
      <c r="BZ1668">
        <v>0</v>
      </c>
      <c r="CA1668">
        <v>0</v>
      </c>
      <c r="CB1668">
        <v>497208.83</v>
      </c>
      <c r="CC1668">
        <v>362661.84</v>
      </c>
      <c r="CD1668">
        <v>0</v>
      </c>
      <c r="CE1668">
        <v>0</v>
      </c>
      <c r="CF1668">
        <v>169452</v>
      </c>
      <c r="CG1668">
        <v>289654.73</v>
      </c>
      <c r="CH1668">
        <v>0</v>
      </c>
      <c r="CI1668">
        <v>0</v>
      </c>
      <c r="CJ1668">
        <v>0</v>
      </c>
      <c r="CK1668">
        <v>0</v>
      </c>
      <c r="CL1668">
        <v>0</v>
      </c>
      <c r="CM1668">
        <v>0</v>
      </c>
      <c r="CR1668" t="s">
        <v>2324</v>
      </c>
      <c r="CS1668" s="1369" t="str">
        <f>INDEX([8]Sheet1!$H:$H,MATCH(CR:CR,[8]Sheet1!$AU:$AU,0))</f>
        <v>Finance</v>
      </c>
    </row>
    <row r="1669" spans="1:97" x14ac:dyDescent="0.2">
      <c r="A1669" t="s">
        <v>4775</v>
      </c>
      <c r="B1669">
        <v>1759</v>
      </c>
      <c r="C1669" t="s">
        <v>4775</v>
      </c>
      <c r="D1669">
        <v>54761</v>
      </c>
      <c r="E1669" t="s">
        <v>2432</v>
      </c>
      <c r="F1669">
        <v>2600</v>
      </c>
      <c r="G1669" t="s">
        <v>655</v>
      </c>
      <c r="H1669" s="1373">
        <v>2600</v>
      </c>
      <c r="I1669" t="s">
        <v>655</v>
      </c>
      <c r="J1669" t="s">
        <v>2365</v>
      </c>
      <c r="K1669" t="s">
        <v>2365</v>
      </c>
      <c r="L1669" s="1373">
        <v>2100</v>
      </c>
      <c r="M1669" t="s">
        <v>618</v>
      </c>
      <c r="N1669">
        <v>2118</v>
      </c>
      <c r="O1669" t="s">
        <v>1509</v>
      </c>
      <c r="P1669" t="s">
        <v>2366</v>
      </c>
      <c r="Q1669" t="s">
        <v>2364</v>
      </c>
      <c r="R1669" t="s">
        <v>2364</v>
      </c>
      <c r="S1669" t="s">
        <v>1881</v>
      </c>
      <c r="T1669" t="s">
        <v>1812</v>
      </c>
      <c r="U1669" t="s">
        <v>2365</v>
      </c>
      <c r="V1669" t="s">
        <v>2365</v>
      </c>
      <c r="W1669" t="s">
        <v>2365</v>
      </c>
      <c r="X1669" t="s">
        <v>2365</v>
      </c>
      <c r="Y1669" t="s">
        <v>2365</v>
      </c>
      <c r="Z1669" t="s">
        <v>2365</v>
      </c>
      <c r="AA1669" t="s">
        <v>2365</v>
      </c>
      <c r="AB1669" t="s">
        <v>2365</v>
      </c>
      <c r="AC1669" s="813" t="s">
        <v>2365</v>
      </c>
      <c r="AD1669" s="813" t="s">
        <v>2365</v>
      </c>
      <c r="AE1669" s="813" t="s">
        <v>2365</v>
      </c>
      <c r="AF1669" t="s">
        <v>2365</v>
      </c>
      <c r="AG1669" t="s">
        <v>2365</v>
      </c>
      <c r="AH1669" t="s">
        <v>2365</v>
      </c>
      <c r="AI1669" t="s">
        <v>2365</v>
      </c>
      <c r="AJ1669" t="s">
        <v>2365</v>
      </c>
      <c r="AK1669" s="1373" t="s">
        <v>2365</v>
      </c>
      <c r="AL1669" t="s">
        <v>2365</v>
      </c>
      <c r="AM1669" t="s">
        <v>2365</v>
      </c>
      <c r="AN1669" t="s">
        <v>2365</v>
      </c>
      <c r="AR1669" t="s">
        <v>2365</v>
      </c>
      <c r="AS1669" t="s">
        <v>2365</v>
      </c>
      <c r="AT1669" t="s">
        <v>2365</v>
      </c>
      <c r="AU1669" t="s">
        <v>2365</v>
      </c>
      <c r="AV1669" t="s">
        <v>2365</v>
      </c>
      <c r="AW1669" t="s">
        <v>2365</v>
      </c>
      <c r="AX1669" t="s">
        <v>2365</v>
      </c>
      <c r="AY1669" t="s">
        <v>2365</v>
      </c>
      <c r="AZ1669" t="s">
        <v>2365</v>
      </c>
      <c r="BA1669" t="s">
        <v>2365</v>
      </c>
      <c r="BB1669" t="s">
        <v>2365</v>
      </c>
      <c r="BC1669" t="s">
        <v>2365</v>
      </c>
      <c r="BD1669" t="s">
        <v>2366</v>
      </c>
      <c r="BE1669" t="s">
        <v>2365</v>
      </c>
      <c r="BF1669" t="s">
        <v>2365</v>
      </c>
      <c r="BG1669" t="s">
        <v>2365</v>
      </c>
      <c r="BH1669" t="s">
        <v>2365</v>
      </c>
      <c r="BI1669" t="s">
        <v>2366</v>
      </c>
      <c r="BJ1669" t="s">
        <v>2365</v>
      </c>
      <c r="BK1669" t="s">
        <v>2365</v>
      </c>
      <c r="BL1669" t="s">
        <v>2365</v>
      </c>
      <c r="BM1669" t="s">
        <v>2365</v>
      </c>
      <c r="BO1669">
        <v>4</v>
      </c>
      <c r="BP1669">
        <v>43</v>
      </c>
      <c r="BQ1669" t="s">
        <v>2433</v>
      </c>
      <c r="BR1669" t="s">
        <v>1509</v>
      </c>
      <c r="BU1669" s="1371">
        <v>20000</v>
      </c>
      <c r="BV1669" s="1371">
        <v>0</v>
      </c>
      <c r="BW1669" s="1371">
        <v>20000</v>
      </c>
      <c r="BX1669" s="1371">
        <v>-20000</v>
      </c>
      <c r="BY1669" s="1371">
        <v>0</v>
      </c>
      <c r="BZ1669">
        <v>21200</v>
      </c>
      <c r="CA1669">
        <v>22472</v>
      </c>
      <c r="CB1669">
        <v>0</v>
      </c>
      <c r="CC1669">
        <v>0</v>
      </c>
      <c r="CD1669">
        <v>0</v>
      </c>
      <c r="CE1669">
        <v>0</v>
      </c>
      <c r="CF1669">
        <v>0</v>
      </c>
      <c r="CG1669">
        <v>0</v>
      </c>
      <c r="CH1669">
        <v>0</v>
      </c>
      <c r="CI1669">
        <v>0</v>
      </c>
      <c r="CJ1669">
        <v>0</v>
      </c>
      <c r="CK1669">
        <v>0</v>
      </c>
      <c r="CL1669">
        <v>0</v>
      </c>
      <c r="CM1669">
        <v>0</v>
      </c>
      <c r="CR1669" t="s">
        <v>2324</v>
      </c>
      <c r="CS1669" s="1369" t="str">
        <f>INDEX([8]Sheet1!$H:$H,MATCH(CR:CR,[8]Sheet1!$AU:$AU,0))</f>
        <v>Finance</v>
      </c>
    </row>
    <row r="1670" spans="1:97" x14ac:dyDescent="0.2">
      <c r="A1670" t="s">
        <v>4776</v>
      </c>
      <c r="B1670">
        <v>1760</v>
      </c>
      <c r="C1670" t="s">
        <v>4776</v>
      </c>
      <c r="D1670">
        <v>54762</v>
      </c>
      <c r="E1670" t="s">
        <v>3398</v>
      </c>
      <c r="F1670">
        <v>1500</v>
      </c>
      <c r="G1670" t="s">
        <v>1477</v>
      </c>
      <c r="H1670">
        <v>1500</v>
      </c>
      <c r="I1670" t="s">
        <v>1477</v>
      </c>
      <c r="J1670" t="s">
        <v>2365</v>
      </c>
      <c r="K1670" t="s">
        <v>2365</v>
      </c>
      <c r="L1670">
        <v>3100</v>
      </c>
      <c r="M1670" t="s">
        <v>624</v>
      </c>
      <c r="N1670">
        <v>3106</v>
      </c>
      <c r="O1670" t="s">
        <v>1535</v>
      </c>
      <c r="P1670" t="s">
        <v>2366</v>
      </c>
      <c r="Q1670" t="s">
        <v>2364</v>
      </c>
      <c r="R1670" t="s">
        <v>2364</v>
      </c>
      <c r="S1670" t="s">
        <v>553</v>
      </c>
      <c r="T1670" t="s">
        <v>1811</v>
      </c>
      <c r="U1670" t="s">
        <v>2365</v>
      </c>
      <c r="V1670" t="s">
        <v>2365</v>
      </c>
      <c r="W1670" t="s">
        <v>2365</v>
      </c>
      <c r="X1670" t="s">
        <v>2365</v>
      </c>
      <c r="Y1670" t="s">
        <v>2365</v>
      </c>
      <c r="Z1670" t="s">
        <v>2365</v>
      </c>
      <c r="AA1670" t="s">
        <v>2365</v>
      </c>
      <c r="AB1670" t="s">
        <v>2365</v>
      </c>
      <c r="AC1670" s="813" t="s">
        <v>2365</v>
      </c>
      <c r="AD1670" s="813" t="s">
        <v>2365</v>
      </c>
      <c r="AE1670" s="813" t="s">
        <v>2365</v>
      </c>
      <c r="AF1670" t="s">
        <v>2365</v>
      </c>
      <c r="AG1670" t="s">
        <v>2365</v>
      </c>
      <c r="AH1670" t="s">
        <v>2365</v>
      </c>
      <c r="AI1670" t="s">
        <v>2365</v>
      </c>
      <c r="AJ1670" t="s">
        <v>2365</v>
      </c>
      <c r="AK1670" t="s">
        <v>2365</v>
      </c>
      <c r="AL1670" t="s">
        <v>2365</v>
      </c>
      <c r="AM1670" t="s">
        <v>2365</v>
      </c>
      <c r="AN1670" t="s">
        <v>2365</v>
      </c>
      <c r="AR1670" t="s">
        <v>2365</v>
      </c>
      <c r="AS1670" t="s">
        <v>2365</v>
      </c>
      <c r="AT1670" t="s">
        <v>2365</v>
      </c>
      <c r="AU1670" t="s">
        <v>2365</v>
      </c>
      <c r="AV1670" t="s">
        <v>2365</v>
      </c>
      <c r="AW1670" t="s">
        <v>2365</v>
      </c>
      <c r="AX1670" t="s">
        <v>2365</v>
      </c>
      <c r="AY1670" t="s">
        <v>2365</v>
      </c>
      <c r="AZ1670" t="s">
        <v>2365</v>
      </c>
      <c r="BA1670" t="s">
        <v>2365</v>
      </c>
      <c r="BB1670" t="s">
        <v>2365</v>
      </c>
      <c r="BC1670" t="s">
        <v>2365</v>
      </c>
      <c r="BD1670" t="s">
        <v>2366</v>
      </c>
      <c r="BE1670" t="s">
        <v>2365</v>
      </c>
      <c r="BF1670" t="s">
        <v>2365</v>
      </c>
      <c r="BG1670" t="s">
        <v>2365</v>
      </c>
      <c r="BH1670" t="s">
        <v>2365</v>
      </c>
      <c r="BI1670" t="s">
        <v>2366</v>
      </c>
      <c r="BJ1670" t="s">
        <v>2365</v>
      </c>
      <c r="BK1670" t="s">
        <v>2365</v>
      </c>
      <c r="BL1670" t="s">
        <v>2365</v>
      </c>
      <c r="BM1670" t="s">
        <v>2365</v>
      </c>
      <c r="BO1670">
        <v>8</v>
      </c>
      <c r="BP1670">
        <v>84</v>
      </c>
      <c r="BQ1670" t="s">
        <v>2442</v>
      </c>
      <c r="BR1670" t="s">
        <v>1535</v>
      </c>
      <c r="BU1670">
        <v>0</v>
      </c>
      <c r="BV1670">
        <v>0</v>
      </c>
      <c r="BW1670">
        <v>0</v>
      </c>
      <c r="BX1670">
        <v>0</v>
      </c>
      <c r="BY1670">
        <v>0</v>
      </c>
      <c r="BZ1670">
        <v>0</v>
      </c>
      <c r="CA1670">
        <v>0</v>
      </c>
      <c r="CB1670">
        <v>0</v>
      </c>
      <c r="CC1670">
        <v>0</v>
      </c>
      <c r="CD1670">
        <v>0</v>
      </c>
      <c r="CE1670">
        <v>0</v>
      </c>
      <c r="CF1670">
        <v>0</v>
      </c>
      <c r="CG1670">
        <v>0</v>
      </c>
      <c r="CH1670">
        <v>0</v>
      </c>
      <c r="CI1670">
        <v>0</v>
      </c>
      <c r="CJ1670">
        <v>0</v>
      </c>
      <c r="CK1670">
        <v>0</v>
      </c>
      <c r="CL1670">
        <v>0</v>
      </c>
      <c r="CM1670">
        <v>0</v>
      </c>
      <c r="CR1670" t="s">
        <v>2324</v>
      </c>
      <c r="CS1670" s="1369" t="str">
        <f>INDEX([8]Sheet1!$H:$H,MATCH(CR:CR,[8]Sheet1!$AU:$AU,0))</f>
        <v>Finance</v>
      </c>
    </row>
    <row r="1671" spans="1:97" x14ac:dyDescent="0.2">
      <c r="A1671" t="s">
        <v>4777</v>
      </c>
      <c r="B1671">
        <v>1761</v>
      </c>
      <c r="C1671" t="s">
        <v>4777</v>
      </c>
      <c r="D1671">
        <v>54763</v>
      </c>
      <c r="E1671" t="s">
        <v>4778</v>
      </c>
      <c r="F1671">
        <v>2900</v>
      </c>
      <c r="G1671" t="s">
        <v>569</v>
      </c>
      <c r="H1671" t="s">
        <v>2366</v>
      </c>
      <c r="I1671" t="s">
        <v>2366</v>
      </c>
      <c r="J1671">
        <v>2904</v>
      </c>
      <c r="K1671" t="s">
        <v>1432</v>
      </c>
      <c r="L1671">
        <v>5000</v>
      </c>
      <c r="M1671" t="s">
        <v>632</v>
      </c>
      <c r="N1671">
        <v>5004</v>
      </c>
      <c r="O1671" t="s">
        <v>1560</v>
      </c>
      <c r="P1671" t="s">
        <v>2366</v>
      </c>
      <c r="Q1671" t="s">
        <v>2364</v>
      </c>
      <c r="R1671" t="s">
        <v>2364</v>
      </c>
      <c r="S1671" t="s">
        <v>1881</v>
      </c>
      <c r="T1671" t="s">
        <v>1812</v>
      </c>
      <c r="U1671" t="s">
        <v>2365</v>
      </c>
      <c r="V1671" t="s">
        <v>2365</v>
      </c>
      <c r="W1671" t="s">
        <v>2365</v>
      </c>
      <c r="X1671" t="s">
        <v>2365</v>
      </c>
      <c r="Y1671" t="s">
        <v>2365</v>
      </c>
      <c r="Z1671" t="s">
        <v>2365</v>
      </c>
      <c r="AA1671" t="s">
        <v>2365</v>
      </c>
      <c r="AB1671" t="s">
        <v>2365</v>
      </c>
      <c r="AC1671" s="813" t="s">
        <v>2365</v>
      </c>
      <c r="AD1671" s="813" t="s">
        <v>2365</v>
      </c>
      <c r="AE1671" s="813" t="s">
        <v>2365</v>
      </c>
      <c r="AF1671" t="s">
        <v>2365</v>
      </c>
      <c r="AG1671" t="s">
        <v>2365</v>
      </c>
      <c r="AH1671" t="s">
        <v>2365</v>
      </c>
      <c r="AI1671" t="s">
        <v>2365</v>
      </c>
      <c r="AJ1671" t="s">
        <v>2365</v>
      </c>
      <c r="AK1671" s="1373" t="s">
        <v>2365</v>
      </c>
      <c r="AL1671" t="s">
        <v>2365</v>
      </c>
      <c r="AM1671" t="s">
        <v>2365</v>
      </c>
      <c r="AN1671" t="s">
        <v>2365</v>
      </c>
      <c r="AR1671" t="s">
        <v>2365</v>
      </c>
      <c r="AS1671" t="s">
        <v>2365</v>
      </c>
      <c r="AT1671" t="s">
        <v>2365</v>
      </c>
      <c r="AU1671" t="s">
        <v>2365</v>
      </c>
      <c r="AV1671" t="s">
        <v>2365</v>
      </c>
      <c r="AW1671" t="s">
        <v>2365</v>
      </c>
      <c r="AX1671" t="s">
        <v>2365</v>
      </c>
      <c r="AY1671" t="s">
        <v>2365</v>
      </c>
      <c r="AZ1671" t="s">
        <v>2365</v>
      </c>
      <c r="BA1671" t="s">
        <v>2365</v>
      </c>
      <c r="BB1671" t="s">
        <v>2365</v>
      </c>
      <c r="BC1671" t="s">
        <v>2365</v>
      </c>
      <c r="BD1671" t="s">
        <v>2366</v>
      </c>
      <c r="BE1671" t="s">
        <v>2365</v>
      </c>
      <c r="BF1671" t="s">
        <v>2365</v>
      </c>
      <c r="BG1671" t="s">
        <v>2365</v>
      </c>
      <c r="BH1671" t="s">
        <v>2365</v>
      </c>
      <c r="BI1671" t="s">
        <v>2366</v>
      </c>
      <c r="BJ1671" t="s">
        <v>2365</v>
      </c>
      <c r="BK1671" t="s">
        <v>2365</v>
      </c>
      <c r="BL1671" t="s">
        <v>2365</v>
      </c>
      <c r="BM1671" t="s">
        <v>2365</v>
      </c>
      <c r="BO1671">
        <v>11</v>
      </c>
      <c r="BP1671">
        <v>111</v>
      </c>
      <c r="BQ1671" t="s">
        <v>632</v>
      </c>
      <c r="BR1671" t="s">
        <v>1560</v>
      </c>
      <c r="BU1671">
        <v>400000</v>
      </c>
      <c r="BV1671">
        <v>0</v>
      </c>
      <c r="BW1671">
        <v>400000</v>
      </c>
      <c r="BX1671">
        <v>0</v>
      </c>
      <c r="BY1671">
        <v>400000</v>
      </c>
      <c r="BZ1671">
        <v>416000</v>
      </c>
      <c r="CA1671">
        <v>432640</v>
      </c>
      <c r="CB1671">
        <v>0</v>
      </c>
      <c r="CC1671">
        <v>0</v>
      </c>
      <c r="CD1671">
        <v>0</v>
      </c>
      <c r="CE1671">
        <v>0</v>
      </c>
      <c r="CF1671">
        <v>0</v>
      </c>
      <c r="CG1671">
        <v>0</v>
      </c>
      <c r="CH1671">
        <v>0</v>
      </c>
      <c r="CI1671">
        <v>0</v>
      </c>
      <c r="CJ1671">
        <v>0</v>
      </c>
      <c r="CK1671">
        <v>0</v>
      </c>
      <c r="CL1671">
        <v>0</v>
      </c>
      <c r="CM1671">
        <v>0</v>
      </c>
      <c r="CR1671" t="s">
        <v>2324</v>
      </c>
      <c r="CS1671" s="1369" t="str">
        <f>INDEX([8]Sheet1!$H:$H,MATCH(CR:CR,[8]Sheet1!$AU:$AU,0))</f>
        <v>Finance</v>
      </c>
    </row>
    <row r="1672" spans="1:97" x14ac:dyDescent="0.2">
      <c r="A1672" t="s">
        <v>4779</v>
      </c>
      <c r="B1672">
        <v>1762</v>
      </c>
      <c r="C1672" t="s">
        <v>4779</v>
      </c>
      <c r="D1672">
        <v>54764</v>
      </c>
      <c r="E1672" t="s">
        <v>4780</v>
      </c>
      <c r="F1672" t="s">
        <v>2364</v>
      </c>
      <c r="G1672" t="s">
        <v>2364</v>
      </c>
      <c r="H1672" t="s">
        <v>2365</v>
      </c>
      <c r="I1672" t="s">
        <v>2365</v>
      </c>
      <c r="J1672" t="s">
        <v>2365</v>
      </c>
      <c r="K1672" t="s">
        <v>2365</v>
      </c>
      <c r="L1672">
        <v>1200</v>
      </c>
      <c r="M1672" t="s">
        <v>1480</v>
      </c>
      <c r="N1672">
        <v>1202</v>
      </c>
      <c r="O1672" t="s">
        <v>595</v>
      </c>
      <c r="P1672" t="s">
        <v>1846</v>
      </c>
      <c r="Q1672" t="s">
        <v>2364</v>
      </c>
      <c r="R1672" t="s">
        <v>2364</v>
      </c>
      <c r="S1672" t="s">
        <v>552</v>
      </c>
      <c r="T1672" t="s">
        <v>2175</v>
      </c>
      <c r="U1672">
        <v>280</v>
      </c>
      <c r="V1672" t="s">
        <v>4781</v>
      </c>
      <c r="W1672">
        <v>280</v>
      </c>
      <c r="X1672" t="s">
        <v>4782</v>
      </c>
      <c r="Y1672" t="s">
        <v>2365</v>
      </c>
      <c r="Z1672" t="s">
        <v>2365</v>
      </c>
      <c r="AA1672" t="s">
        <v>2365</v>
      </c>
      <c r="AB1672" t="s">
        <v>2365</v>
      </c>
      <c r="AC1672" s="813" t="s">
        <v>2365</v>
      </c>
      <c r="AD1672" s="813" t="s">
        <v>2365</v>
      </c>
      <c r="AE1672" s="813" t="s">
        <v>2365</v>
      </c>
      <c r="AF1672" t="s">
        <v>2365</v>
      </c>
      <c r="AG1672">
        <v>1050</v>
      </c>
      <c r="AH1672" t="s">
        <v>1367</v>
      </c>
      <c r="AI1672">
        <v>1050</v>
      </c>
      <c r="AJ1672" t="s">
        <v>1367</v>
      </c>
      <c r="AK1672" s="1373" t="s">
        <v>2365</v>
      </c>
      <c r="AL1672" t="s">
        <v>2365</v>
      </c>
      <c r="AM1672" t="s">
        <v>2365</v>
      </c>
      <c r="AN1672" t="s">
        <v>2365</v>
      </c>
      <c r="AR1672">
        <v>1360</v>
      </c>
      <c r="AS1672" t="s">
        <v>1664</v>
      </c>
      <c r="AT1672">
        <v>1360</v>
      </c>
      <c r="AU1672" t="s">
        <v>1664</v>
      </c>
      <c r="AV1672" t="s">
        <v>2365</v>
      </c>
      <c r="AW1672" t="s">
        <v>2365</v>
      </c>
      <c r="AX1672" t="s">
        <v>2365</v>
      </c>
      <c r="AY1672" t="s">
        <v>2365</v>
      </c>
      <c r="AZ1672" t="s">
        <v>2365</v>
      </c>
      <c r="BA1672" t="s">
        <v>2365</v>
      </c>
      <c r="BB1672" t="s">
        <v>2365</v>
      </c>
      <c r="BC1672" t="s">
        <v>2365</v>
      </c>
      <c r="BD1672" t="s">
        <v>2366</v>
      </c>
      <c r="BE1672" t="s">
        <v>2365</v>
      </c>
      <c r="BF1672" t="s">
        <v>2365</v>
      </c>
      <c r="BG1672" t="s">
        <v>2365</v>
      </c>
      <c r="BH1672" t="s">
        <v>2365</v>
      </c>
      <c r="BI1672" t="s">
        <v>2366</v>
      </c>
      <c r="BJ1672" t="s">
        <v>2365</v>
      </c>
      <c r="BK1672" t="s">
        <v>2365</v>
      </c>
      <c r="BL1672" t="s">
        <v>2365</v>
      </c>
      <c r="BM1672" t="s">
        <v>2365</v>
      </c>
      <c r="BO1672">
        <v>1</v>
      </c>
      <c r="BP1672">
        <v>13</v>
      </c>
      <c r="BQ1672" t="s">
        <v>2369</v>
      </c>
      <c r="BR1672" t="s">
        <v>595</v>
      </c>
      <c r="BU1672">
        <v>0</v>
      </c>
      <c r="BV1672">
        <v>0</v>
      </c>
      <c r="BW1672">
        <v>0</v>
      </c>
      <c r="BX1672">
        <v>0</v>
      </c>
      <c r="BY1672">
        <v>0</v>
      </c>
      <c r="BZ1672">
        <v>0</v>
      </c>
      <c r="CA1672">
        <v>0</v>
      </c>
      <c r="CB1672">
        <v>0</v>
      </c>
      <c r="CC1672">
        <v>0</v>
      </c>
      <c r="CD1672">
        <v>0</v>
      </c>
      <c r="CE1672">
        <v>0</v>
      </c>
      <c r="CF1672">
        <v>0</v>
      </c>
      <c r="CG1672">
        <v>0</v>
      </c>
      <c r="CH1672">
        <v>0</v>
      </c>
      <c r="CI1672">
        <v>0</v>
      </c>
      <c r="CJ1672">
        <v>0</v>
      </c>
      <c r="CK1672">
        <v>0</v>
      </c>
      <c r="CL1672">
        <v>0</v>
      </c>
      <c r="CM1672">
        <v>0</v>
      </c>
      <c r="CR1672" t="s">
        <v>2324</v>
      </c>
      <c r="CS1672" s="1369" t="str">
        <f>INDEX([8]Sheet1!$H:$H,MATCH(CR:CR,[8]Sheet1!$AU:$AU,0))</f>
        <v>Finance</v>
      </c>
    </row>
    <row r="1673" spans="1:97" x14ac:dyDescent="0.2">
      <c r="A1673" t="s">
        <v>4783</v>
      </c>
      <c r="B1673">
        <v>1763</v>
      </c>
      <c r="C1673" t="s">
        <v>4783</v>
      </c>
      <c r="D1673">
        <v>54765</v>
      </c>
      <c r="E1673" t="s">
        <v>4784</v>
      </c>
      <c r="F1673" t="s">
        <v>2364</v>
      </c>
      <c r="G1673" t="s">
        <v>2364</v>
      </c>
      <c r="H1673" t="s">
        <v>2365</v>
      </c>
      <c r="I1673" t="s">
        <v>2365</v>
      </c>
      <c r="J1673" t="s">
        <v>2365</v>
      </c>
      <c r="K1673" t="s">
        <v>2365</v>
      </c>
      <c r="L1673">
        <v>1200</v>
      </c>
      <c r="M1673" t="s">
        <v>1480</v>
      </c>
      <c r="N1673">
        <v>1202</v>
      </c>
      <c r="O1673" t="s">
        <v>595</v>
      </c>
      <c r="P1673" t="s">
        <v>1846</v>
      </c>
      <c r="Q1673" t="s">
        <v>2364</v>
      </c>
      <c r="R1673" t="s">
        <v>2364</v>
      </c>
      <c r="S1673" t="s">
        <v>552</v>
      </c>
      <c r="T1673" t="s">
        <v>2175</v>
      </c>
      <c r="U1673">
        <v>260</v>
      </c>
      <c r="V1673" t="s">
        <v>4785</v>
      </c>
      <c r="W1673">
        <v>260</v>
      </c>
      <c r="X1673" t="s">
        <v>703</v>
      </c>
      <c r="Y1673" t="s">
        <v>2365</v>
      </c>
      <c r="Z1673" t="s">
        <v>2365</v>
      </c>
      <c r="AA1673" t="s">
        <v>2365</v>
      </c>
      <c r="AB1673" t="s">
        <v>2365</v>
      </c>
      <c r="AC1673" s="813" t="s">
        <v>2365</v>
      </c>
      <c r="AD1673" s="813" t="s">
        <v>2365</v>
      </c>
      <c r="AE1673" s="813" t="s">
        <v>2365</v>
      </c>
      <c r="AF1673" t="s">
        <v>2365</v>
      </c>
      <c r="AG1673">
        <v>1360</v>
      </c>
      <c r="AH1673" t="s">
        <v>1664</v>
      </c>
      <c r="AI1673">
        <v>1360</v>
      </c>
      <c r="AJ1673" t="s">
        <v>1664</v>
      </c>
      <c r="AK1673" t="s">
        <v>2365</v>
      </c>
      <c r="AL1673" t="s">
        <v>2365</v>
      </c>
      <c r="AM1673" t="s">
        <v>2365</v>
      </c>
      <c r="AN1673" t="s">
        <v>2365</v>
      </c>
      <c r="AR1673">
        <v>1360</v>
      </c>
      <c r="AS1673" t="s">
        <v>1664</v>
      </c>
      <c r="AT1673">
        <v>1360</v>
      </c>
      <c r="AU1673" t="s">
        <v>1664</v>
      </c>
      <c r="AV1673" t="s">
        <v>2365</v>
      </c>
      <c r="AW1673" t="s">
        <v>2365</v>
      </c>
      <c r="AX1673" t="s">
        <v>2365</v>
      </c>
      <c r="AY1673" t="s">
        <v>2365</v>
      </c>
      <c r="AZ1673" t="s">
        <v>2365</v>
      </c>
      <c r="BA1673" t="s">
        <v>2365</v>
      </c>
      <c r="BB1673" t="s">
        <v>2365</v>
      </c>
      <c r="BC1673" t="s">
        <v>2365</v>
      </c>
      <c r="BD1673" t="s">
        <v>2366</v>
      </c>
      <c r="BE1673" t="s">
        <v>2365</v>
      </c>
      <c r="BF1673" t="s">
        <v>2365</v>
      </c>
      <c r="BG1673" t="s">
        <v>2365</v>
      </c>
      <c r="BH1673" t="s">
        <v>2365</v>
      </c>
      <c r="BI1673" t="s">
        <v>2366</v>
      </c>
      <c r="BJ1673" t="s">
        <v>2365</v>
      </c>
      <c r="BK1673" t="s">
        <v>2365</v>
      </c>
      <c r="BL1673" t="s">
        <v>2365</v>
      </c>
      <c r="BM1673" t="s">
        <v>2365</v>
      </c>
      <c r="BO1673">
        <v>1</v>
      </c>
      <c r="BP1673">
        <v>13</v>
      </c>
      <c r="BQ1673" t="s">
        <v>2369</v>
      </c>
      <c r="BR1673" t="s">
        <v>595</v>
      </c>
      <c r="BU1673">
        <v>0</v>
      </c>
      <c r="BV1673">
        <v>0</v>
      </c>
      <c r="BW1673">
        <v>0</v>
      </c>
      <c r="BX1673">
        <v>0</v>
      </c>
      <c r="BY1673">
        <v>0</v>
      </c>
      <c r="BZ1673">
        <v>0</v>
      </c>
      <c r="CA1673">
        <v>0</v>
      </c>
      <c r="CB1673">
        <v>0</v>
      </c>
      <c r="CC1673">
        <v>0</v>
      </c>
      <c r="CD1673">
        <v>0</v>
      </c>
      <c r="CE1673">
        <v>0</v>
      </c>
      <c r="CF1673">
        <v>0</v>
      </c>
      <c r="CG1673">
        <v>0</v>
      </c>
      <c r="CH1673">
        <v>0</v>
      </c>
      <c r="CI1673">
        <v>0</v>
      </c>
      <c r="CJ1673">
        <v>0</v>
      </c>
      <c r="CK1673">
        <v>0</v>
      </c>
      <c r="CL1673">
        <v>0</v>
      </c>
      <c r="CM1673">
        <v>0</v>
      </c>
      <c r="CR1673" t="s">
        <v>2324</v>
      </c>
      <c r="CS1673" s="1369" t="str">
        <f>INDEX([8]Sheet1!$H:$H,MATCH(CR:CR,[8]Sheet1!$AU:$AU,0))</f>
        <v>Finance</v>
      </c>
    </row>
    <row r="1674" spans="1:97" x14ac:dyDescent="0.2">
      <c r="A1674" t="s">
        <v>4786</v>
      </c>
      <c r="B1674">
        <v>1764</v>
      </c>
      <c r="C1674" t="s">
        <v>4786</v>
      </c>
      <c r="D1674">
        <v>54766</v>
      </c>
      <c r="E1674" t="s">
        <v>2617</v>
      </c>
      <c r="F1674">
        <v>2700</v>
      </c>
      <c r="G1674" t="s">
        <v>656</v>
      </c>
      <c r="H1674" t="s">
        <v>2478</v>
      </c>
      <c r="I1674" t="s">
        <v>1802</v>
      </c>
      <c r="J1674">
        <v>2703</v>
      </c>
      <c r="K1674" t="s">
        <v>1802</v>
      </c>
      <c r="L1674">
        <v>3100</v>
      </c>
      <c r="M1674" t="s">
        <v>624</v>
      </c>
      <c r="N1674">
        <v>3108</v>
      </c>
      <c r="O1674" t="s">
        <v>1537</v>
      </c>
      <c r="P1674" t="s">
        <v>2366</v>
      </c>
      <c r="Q1674" t="s">
        <v>2364</v>
      </c>
      <c r="R1674" t="s">
        <v>2364</v>
      </c>
      <c r="S1674" t="s">
        <v>1881</v>
      </c>
      <c r="T1674" t="s">
        <v>1812</v>
      </c>
      <c r="U1674" t="s">
        <v>2365</v>
      </c>
      <c r="V1674" t="s">
        <v>2365</v>
      </c>
      <c r="W1674" t="s">
        <v>2365</v>
      </c>
      <c r="X1674" t="s">
        <v>2365</v>
      </c>
      <c r="Y1674" t="s">
        <v>2365</v>
      </c>
      <c r="Z1674" t="s">
        <v>2365</v>
      </c>
      <c r="AA1674" t="s">
        <v>2365</v>
      </c>
      <c r="AB1674" t="s">
        <v>2365</v>
      </c>
      <c r="AC1674" s="813" t="s">
        <v>2365</v>
      </c>
      <c r="AD1674" s="813" t="s">
        <v>2365</v>
      </c>
      <c r="AE1674" s="813" t="s">
        <v>2365</v>
      </c>
      <c r="AF1674" t="s">
        <v>2365</v>
      </c>
      <c r="AG1674" t="s">
        <v>2365</v>
      </c>
      <c r="AH1674" t="s">
        <v>2365</v>
      </c>
      <c r="AI1674" t="s">
        <v>2365</v>
      </c>
      <c r="AJ1674" t="s">
        <v>2365</v>
      </c>
      <c r="AK1674" t="s">
        <v>2365</v>
      </c>
      <c r="AL1674" t="s">
        <v>2365</v>
      </c>
      <c r="AM1674" t="s">
        <v>2365</v>
      </c>
      <c r="AN1674" t="s">
        <v>2365</v>
      </c>
      <c r="AR1674" t="s">
        <v>2365</v>
      </c>
      <c r="AS1674" t="s">
        <v>2365</v>
      </c>
      <c r="AT1674" t="s">
        <v>2365</v>
      </c>
      <c r="AU1674" t="s">
        <v>2365</v>
      </c>
      <c r="AV1674" t="s">
        <v>2365</v>
      </c>
      <c r="AW1674" t="s">
        <v>2365</v>
      </c>
      <c r="AX1674" t="s">
        <v>2365</v>
      </c>
      <c r="AY1674" t="s">
        <v>2365</v>
      </c>
      <c r="AZ1674">
        <v>1030</v>
      </c>
      <c r="BA1674" t="s">
        <v>1641</v>
      </c>
      <c r="BB1674">
        <v>1030</v>
      </c>
      <c r="BC1674" t="s">
        <v>1641</v>
      </c>
      <c r="BD1674" t="s">
        <v>2366</v>
      </c>
      <c r="BE1674" t="s">
        <v>2365</v>
      </c>
      <c r="BF1674" t="s">
        <v>2365</v>
      </c>
      <c r="BG1674" t="s">
        <v>2365</v>
      </c>
      <c r="BH1674" t="s">
        <v>2365</v>
      </c>
      <c r="BI1674" t="s">
        <v>2366</v>
      </c>
      <c r="BJ1674" t="s">
        <v>2365</v>
      </c>
      <c r="BK1674" t="s">
        <v>2365</v>
      </c>
      <c r="BL1674" t="s">
        <v>2365</v>
      </c>
      <c r="BM1674" t="s">
        <v>2365</v>
      </c>
      <c r="BO1674">
        <v>8</v>
      </c>
      <c r="BP1674">
        <v>86</v>
      </c>
      <c r="BQ1674" t="s">
        <v>2442</v>
      </c>
      <c r="BR1674" t="s">
        <v>1537</v>
      </c>
      <c r="BU1674">
        <v>0</v>
      </c>
      <c r="BV1674">
        <v>0</v>
      </c>
      <c r="BW1674">
        <v>0</v>
      </c>
      <c r="BX1674">
        <v>0</v>
      </c>
      <c r="BY1674">
        <v>0</v>
      </c>
      <c r="BZ1674">
        <v>0</v>
      </c>
      <c r="CA1674">
        <v>0</v>
      </c>
      <c r="CB1674">
        <v>0</v>
      </c>
      <c r="CC1674">
        <v>0</v>
      </c>
      <c r="CD1674">
        <v>0</v>
      </c>
      <c r="CE1674">
        <v>0</v>
      </c>
      <c r="CF1674">
        <v>0</v>
      </c>
      <c r="CG1674">
        <v>0</v>
      </c>
      <c r="CH1674">
        <v>0</v>
      </c>
      <c r="CI1674">
        <v>0</v>
      </c>
      <c r="CJ1674">
        <v>0</v>
      </c>
      <c r="CK1674">
        <v>0</v>
      </c>
      <c r="CL1674">
        <v>0</v>
      </c>
      <c r="CM1674">
        <v>0</v>
      </c>
      <c r="CR1674" t="s">
        <v>2324</v>
      </c>
      <c r="CS1674" s="1369" t="str">
        <f>INDEX([8]Sheet1!$H:$H,MATCH(CR:CR,[8]Sheet1!$AU:$AU,0))</f>
        <v>Finance</v>
      </c>
    </row>
    <row r="1675" spans="1:97" x14ac:dyDescent="0.2">
      <c r="A1675" t="s">
        <v>4787</v>
      </c>
      <c r="B1675">
        <v>1765</v>
      </c>
      <c r="C1675" t="s">
        <v>4787</v>
      </c>
      <c r="D1675">
        <v>54767</v>
      </c>
      <c r="E1675" t="s">
        <v>2461</v>
      </c>
      <c r="F1675">
        <v>2000</v>
      </c>
      <c r="G1675" t="s">
        <v>652</v>
      </c>
      <c r="H1675" t="s">
        <v>2462</v>
      </c>
      <c r="I1675" t="s">
        <v>203</v>
      </c>
      <c r="J1675">
        <v>2001</v>
      </c>
      <c r="K1675" t="s">
        <v>203</v>
      </c>
      <c r="L1675">
        <v>1200</v>
      </c>
      <c r="M1675" t="s">
        <v>1480</v>
      </c>
      <c r="N1675">
        <v>1201</v>
      </c>
      <c r="O1675" t="s">
        <v>1486</v>
      </c>
      <c r="P1675" t="s">
        <v>2366</v>
      </c>
      <c r="Q1675" t="s">
        <v>2364</v>
      </c>
      <c r="R1675" t="s">
        <v>2364</v>
      </c>
      <c r="S1675" t="s">
        <v>1881</v>
      </c>
      <c r="T1675" t="s">
        <v>1812</v>
      </c>
      <c r="U1675" t="s">
        <v>2365</v>
      </c>
      <c r="V1675" t="s">
        <v>2365</v>
      </c>
      <c r="W1675" t="s">
        <v>2365</v>
      </c>
      <c r="X1675" t="s">
        <v>2365</v>
      </c>
      <c r="Y1675" t="s">
        <v>2365</v>
      </c>
      <c r="Z1675" t="s">
        <v>2365</v>
      </c>
      <c r="AA1675" t="s">
        <v>2365</v>
      </c>
      <c r="AB1675" t="s">
        <v>2365</v>
      </c>
      <c r="AC1675" s="813" t="s">
        <v>2365</v>
      </c>
      <c r="AD1675" s="813" t="s">
        <v>2365</v>
      </c>
      <c r="AE1675" s="813" t="s">
        <v>2365</v>
      </c>
      <c r="AF1675" t="s">
        <v>2365</v>
      </c>
      <c r="AG1675" t="s">
        <v>2365</v>
      </c>
      <c r="AH1675" t="s">
        <v>2365</v>
      </c>
      <c r="AI1675" t="s">
        <v>2365</v>
      </c>
      <c r="AJ1675" t="s">
        <v>2365</v>
      </c>
      <c r="AK1675" s="1373" t="s">
        <v>2365</v>
      </c>
      <c r="AL1675" t="s">
        <v>2365</v>
      </c>
      <c r="AM1675" t="s">
        <v>2365</v>
      </c>
      <c r="AN1675" t="s">
        <v>2365</v>
      </c>
      <c r="AR1675" t="s">
        <v>2365</v>
      </c>
      <c r="AS1675" t="s">
        <v>2365</v>
      </c>
      <c r="AT1675" t="s">
        <v>2365</v>
      </c>
      <c r="AU1675" t="s">
        <v>2365</v>
      </c>
      <c r="AV1675" t="s">
        <v>2365</v>
      </c>
      <c r="AW1675" t="s">
        <v>2365</v>
      </c>
      <c r="AX1675" t="s">
        <v>2365</v>
      </c>
      <c r="AY1675" t="s">
        <v>2365</v>
      </c>
      <c r="AZ1675" t="s">
        <v>2365</v>
      </c>
      <c r="BA1675" t="s">
        <v>2365</v>
      </c>
      <c r="BB1675" t="s">
        <v>2365</v>
      </c>
      <c r="BC1675" t="s">
        <v>2365</v>
      </c>
      <c r="BD1675" t="s">
        <v>2366</v>
      </c>
      <c r="BE1675" t="s">
        <v>2365</v>
      </c>
      <c r="BF1675" t="s">
        <v>2365</v>
      </c>
      <c r="BG1675" t="s">
        <v>2365</v>
      </c>
      <c r="BH1675" t="s">
        <v>2365</v>
      </c>
      <c r="BI1675" t="s">
        <v>2366</v>
      </c>
      <c r="BJ1675" t="s">
        <v>2365</v>
      </c>
      <c r="BK1675" t="s">
        <v>2365</v>
      </c>
      <c r="BL1675" t="s">
        <v>2365</v>
      </c>
      <c r="BM1675" t="s">
        <v>2365</v>
      </c>
      <c r="BN1675" t="s">
        <v>2177</v>
      </c>
      <c r="BO1675">
        <v>1</v>
      </c>
      <c r="BP1675">
        <v>14</v>
      </c>
      <c r="BQ1675" t="s">
        <v>2369</v>
      </c>
      <c r="BR1675" t="s">
        <v>1486</v>
      </c>
      <c r="BU1675">
        <v>0</v>
      </c>
      <c r="BV1675">
        <v>0</v>
      </c>
      <c r="BW1675">
        <v>0</v>
      </c>
      <c r="BX1675">
        <v>0</v>
      </c>
      <c r="BY1675">
        <v>0</v>
      </c>
      <c r="BZ1675">
        <v>0</v>
      </c>
      <c r="CA1675">
        <v>0</v>
      </c>
      <c r="CB1675">
        <v>0</v>
      </c>
      <c r="CC1675">
        <v>0</v>
      </c>
      <c r="CD1675">
        <v>0</v>
      </c>
      <c r="CE1675">
        <v>0</v>
      </c>
      <c r="CF1675">
        <v>0</v>
      </c>
      <c r="CG1675">
        <v>0</v>
      </c>
      <c r="CH1675">
        <v>0</v>
      </c>
      <c r="CI1675">
        <v>0</v>
      </c>
      <c r="CJ1675">
        <v>0</v>
      </c>
      <c r="CK1675">
        <v>0</v>
      </c>
      <c r="CL1675">
        <v>0</v>
      </c>
      <c r="CM1675">
        <v>0</v>
      </c>
      <c r="CR1675" t="s">
        <v>2335</v>
      </c>
      <c r="CS1675" s="1369" t="str">
        <f>INDEX([8]Sheet1!$H:$H,MATCH(CR:CR,[8]Sheet1!$AU:$AU,0))</f>
        <v>Economic Development/Planning</v>
      </c>
    </row>
    <row r="1676" spans="1:97" x14ac:dyDescent="0.2">
      <c r="A1676" t="s">
        <v>4788</v>
      </c>
      <c r="B1676">
        <v>1766</v>
      </c>
      <c r="C1676" t="s">
        <v>4788</v>
      </c>
      <c r="D1676">
        <v>54768</v>
      </c>
      <c r="E1676" t="s">
        <v>4789</v>
      </c>
      <c r="F1676" t="s">
        <v>2364</v>
      </c>
      <c r="G1676" t="s">
        <v>2364</v>
      </c>
      <c r="H1676" t="s">
        <v>2365</v>
      </c>
      <c r="I1676" t="s">
        <v>2365</v>
      </c>
      <c r="J1676" t="s">
        <v>2365</v>
      </c>
      <c r="K1676" t="s">
        <v>2365</v>
      </c>
      <c r="L1676">
        <v>1200</v>
      </c>
      <c r="M1676" t="s">
        <v>1480</v>
      </c>
      <c r="N1676">
        <v>1202</v>
      </c>
      <c r="O1676" t="s">
        <v>595</v>
      </c>
      <c r="P1676" t="s">
        <v>2366</v>
      </c>
      <c r="Q1676" t="s">
        <v>2364</v>
      </c>
      <c r="R1676" t="s">
        <v>2364</v>
      </c>
      <c r="S1676" t="s">
        <v>553</v>
      </c>
      <c r="T1676" t="s">
        <v>2175</v>
      </c>
      <c r="U1676">
        <v>240</v>
      </c>
      <c r="V1676" t="s">
        <v>2389</v>
      </c>
      <c r="W1676">
        <v>240</v>
      </c>
      <c r="X1676" t="s">
        <v>701</v>
      </c>
      <c r="Y1676" t="s">
        <v>2365</v>
      </c>
      <c r="Z1676" t="s">
        <v>2365</v>
      </c>
      <c r="AA1676" t="s">
        <v>2365</v>
      </c>
      <c r="AB1676" t="s">
        <v>2365</v>
      </c>
      <c r="AC1676" s="813" t="s">
        <v>2365</v>
      </c>
      <c r="AD1676" s="813" t="s">
        <v>2365</v>
      </c>
      <c r="AE1676" s="813" t="s">
        <v>2365</v>
      </c>
      <c r="AF1676" t="s">
        <v>2365</v>
      </c>
      <c r="AG1676">
        <v>1510</v>
      </c>
      <c r="AH1676" t="s">
        <v>1676</v>
      </c>
      <c r="AI1676">
        <v>1510</v>
      </c>
      <c r="AJ1676" t="s">
        <v>1676</v>
      </c>
      <c r="AK1676">
        <v>241</v>
      </c>
      <c r="AL1676" t="s">
        <v>1203</v>
      </c>
      <c r="AM1676">
        <v>241</v>
      </c>
      <c r="AN1676" t="s">
        <v>1203</v>
      </c>
      <c r="AR1676" t="s">
        <v>2365</v>
      </c>
      <c r="AS1676" t="s">
        <v>2365</v>
      </c>
      <c r="AT1676" t="s">
        <v>2365</v>
      </c>
      <c r="AU1676" t="s">
        <v>2365</v>
      </c>
      <c r="AV1676" t="s">
        <v>2365</v>
      </c>
      <c r="AW1676" t="s">
        <v>2365</v>
      </c>
      <c r="AX1676" t="s">
        <v>2365</v>
      </c>
      <c r="AY1676" t="s">
        <v>2365</v>
      </c>
      <c r="AZ1676" t="s">
        <v>2365</v>
      </c>
      <c r="BA1676" t="s">
        <v>2365</v>
      </c>
      <c r="BB1676" t="s">
        <v>2365</v>
      </c>
      <c r="BC1676" t="s">
        <v>2365</v>
      </c>
      <c r="BD1676" t="s">
        <v>2366</v>
      </c>
      <c r="BE1676" t="s">
        <v>2365</v>
      </c>
      <c r="BF1676" t="s">
        <v>2365</v>
      </c>
      <c r="BG1676" t="s">
        <v>2365</v>
      </c>
      <c r="BH1676" t="s">
        <v>2365</v>
      </c>
      <c r="BI1676" t="s">
        <v>2366</v>
      </c>
      <c r="BJ1676" t="s">
        <v>2365</v>
      </c>
      <c r="BK1676" t="s">
        <v>2365</v>
      </c>
      <c r="BL1676" t="s">
        <v>2365</v>
      </c>
      <c r="BM1676" t="s">
        <v>2365</v>
      </c>
      <c r="BO1676">
        <v>1</v>
      </c>
      <c r="BP1676">
        <v>13</v>
      </c>
      <c r="BQ1676" t="s">
        <v>2369</v>
      </c>
      <c r="BR1676" t="s">
        <v>595</v>
      </c>
      <c r="BU1676">
        <v>100226</v>
      </c>
      <c r="BV1676">
        <v>0</v>
      </c>
      <c r="BW1676">
        <v>100226</v>
      </c>
      <c r="BX1676">
        <v>-100226</v>
      </c>
      <c r="BY1676">
        <v>0</v>
      </c>
      <c r="BZ1676">
        <v>0</v>
      </c>
      <c r="CA1676">
        <v>0</v>
      </c>
      <c r="CB1676">
        <v>0</v>
      </c>
      <c r="CC1676">
        <v>0</v>
      </c>
      <c r="CD1676">
        <v>0</v>
      </c>
      <c r="CE1676">
        <v>0</v>
      </c>
      <c r="CF1676">
        <v>0</v>
      </c>
      <c r="CG1676">
        <v>0</v>
      </c>
      <c r="CH1676">
        <v>0</v>
      </c>
      <c r="CI1676">
        <v>0</v>
      </c>
      <c r="CJ1676">
        <v>0</v>
      </c>
      <c r="CK1676">
        <v>0</v>
      </c>
      <c r="CL1676">
        <v>0</v>
      </c>
      <c r="CM1676">
        <v>0</v>
      </c>
      <c r="CR1676" t="s">
        <v>2333</v>
      </c>
      <c r="CS1676" s="1369" t="str">
        <f>INDEX([8]Sheet1!$H:$H,MATCH(CR:CR,[8]Sheet1!$AU:$AU,0))</f>
        <v>Municipal Manager, Town Secretary and Chief Executive</v>
      </c>
    </row>
    <row r="1677" spans="1:97" x14ac:dyDescent="0.2">
      <c r="A1677" t="s">
        <v>4790</v>
      </c>
      <c r="B1677">
        <v>1767</v>
      </c>
      <c r="C1677" t="s">
        <v>4790</v>
      </c>
      <c r="D1677">
        <v>54769</v>
      </c>
      <c r="E1677" t="s">
        <v>4791</v>
      </c>
      <c r="F1677" t="s">
        <v>2364</v>
      </c>
      <c r="G1677" t="s">
        <v>2364</v>
      </c>
      <c r="H1677" t="s">
        <v>2365</v>
      </c>
      <c r="I1677" t="s">
        <v>2365</v>
      </c>
      <c r="J1677" t="s">
        <v>2365</v>
      </c>
      <c r="K1677" t="s">
        <v>2365</v>
      </c>
      <c r="L1677">
        <v>1200</v>
      </c>
      <c r="M1677" t="s">
        <v>1480</v>
      </c>
      <c r="N1677">
        <v>1202</v>
      </c>
      <c r="O1677" t="s">
        <v>595</v>
      </c>
      <c r="P1677" t="s">
        <v>2366</v>
      </c>
      <c r="Q1677" t="s">
        <v>2364</v>
      </c>
      <c r="R1677" t="s">
        <v>2364</v>
      </c>
      <c r="S1677" t="s">
        <v>553</v>
      </c>
      <c r="T1677" t="s">
        <v>2175</v>
      </c>
      <c r="U1677">
        <v>240</v>
      </c>
      <c r="V1677" t="s">
        <v>2389</v>
      </c>
      <c r="W1677">
        <v>240</v>
      </c>
      <c r="X1677" t="s">
        <v>701</v>
      </c>
      <c r="Y1677" t="s">
        <v>2365</v>
      </c>
      <c r="Z1677" t="s">
        <v>2365</v>
      </c>
      <c r="AA1677" t="s">
        <v>2365</v>
      </c>
      <c r="AB1677" t="s">
        <v>2365</v>
      </c>
      <c r="AC1677" s="813" t="s">
        <v>2365</v>
      </c>
      <c r="AD1677" s="813" t="s">
        <v>2365</v>
      </c>
      <c r="AE1677" s="813" t="s">
        <v>2365</v>
      </c>
      <c r="AF1677" t="s">
        <v>2365</v>
      </c>
      <c r="AG1677">
        <v>1510</v>
      </c>
      <c r="AH1677" t="s">
        <v>1676</v>
      </c>
      <c r="AI1677">
        <v>1510</v>
      </c>
      <c r="AJ1677" t="s">
        <v>1676</v>
      </c>
      <c r="AK1677">
        <v>243</v>
      </c>
      <c r="AL1677" t="s">
        <v>1205</v>
      </c>
      <c r="AM1677">
        <v>243</v>
      </c>
      <c r="AN1677" t="s">
        <v>1205</v>
      </c>
      <c r="AR1677" t="s">
        <v>2365</v>
      </c>
      <c r="AS1677" t="s">
        <v>2365</v>
      </c>
      <c r="AT1677" t="s">
        <v>2365</v>
      </c>
      <c r="AU1677" t="s">
        <v>2365</v>
      </c>
      <c r="AV1677" t="s">
        <v>2365</v>
      </c>
      <c r="AW1677" t="s">
        <v>2365</v>
      </c>
      <c r="AX1677" t="s">
        <v>2365</v>
      </c>
      <c r="AY1677" t="s">
        <v>2365</v>
      </c>
      <c r="AZ1677" t="s">
        <v>2365</v>
      </c>
      <c r="BA1677" t="s">
        <v>2365</v>
      </c>
      <c r="BB1677" t="s">
        <v>2365</v>
      </c>
      <c r="BC1677" t="s">
        <v>2365</v>
      </c>
      <c r="BD1677" t="s">
        <v>2366</v>
      </c>
      <c r="BE1677" t="s">
        <v>2365</v>
      </c>
      <c r="BF1677" t="s">
        <v>2365</v>
      </c>
      <c r="BG1677" t="s">
        <v>2365</v>
      </c>
      <c r="BH1677" t="s">
        <v>2365</v>
      </c>
      <c r="BI1677" t="s">
        <v>2366</v>
      </c>
      <c r="BJ1677" t="s">
        <v>2365</v>
      </c>
      <c r="BK1677" t="s">
        <v>2365</v>
      </c>
      <c r="BL1677" t="s">
        <v>2365</v>
      </c>
      <c r="BM1677" t="s">
        <v>2365</v>
      </c>
      <c r="BO1677">
        <v>1</v>
      </c>
      <c r="BP1677">
        <v>13</v>
      </c>
      <c r="BQ1677" t="s">
        <v>2369</v>
      </c>
      <c r="BR1677" t="s">
        <v>595</v>
      </c>
      <c r="BU1677">
        <v>0</v>
      </c>
      <c r="BV1677">
        <v>0</v>
      </c>
      <c r="BW1677">
        <v>0</v>
      </c>
      <c r="BX1677">
        <v>0</v>
      </c>
      <c r="BY1677">
        <v>0</v>
      </c>
      <c r="BZ1677">
        <v>0</v>
      </c>
      <c r="CA1677">
        <v>0</v>
      </c>
      <c r="CB1677">
        <v>0</v>
      </c>
      <c r="CC1677">
        <v>0</v>
      </c>
      <c r="CD1677">
        <v>0</v>
      </c>
      <c r="CE1677">
        <v>0</v>
      </c>
      <c r="CF1677">
        <v>0</v>
      </c>
      <c r="CG1677">
        <v>0</v>
      </c>
      <c r="CH1677">
        <v>0</v>
      </c>
      <c r="CI1677">
        <v>0</v>
      </c>
      <c r="CJ1677">
        <v>0</v>
      </c>
      <c r="CK1677">
        <v>0</v>
      </c>
      <c r="CL1677">
        <v>0</v>
      </c>
      <c r="CM1677">
        <v>0</v>
      </c>
      <c r="CR1677" t="s">
        <v>2327</v>
      </c>
      <c r="CS1677" s="1369" t="str">
        <f>INDEX([8]Sheet1!$H:$H,MATCH(CR:CR,[8]Sheet1!$AU:$AU,0))</f>
        <v>Education</v>
      </c>
    </row>
    <row r="1678" spans="1:97" x14ac:dyDescent="0.2">
      <c r="A1678" t="s">
        <v>4792</v>
      </c>
      <c r="B1678">
        <v>1768</v>
      </c>
      <c r="C1678" t="s">
        <v>4792</v>
      </c>
      <c r="D1678">
        <v>54770</v>
      </c>
      <c r="E1678" t="s">
        <v>4793</v>
      </c>
      <c r="F1678" t="s">
        <v>2364</v>
      </c>
      <c r="G1678" t="s">
        <v>2364</v>
      </c>
      <c r="H1678" t="s">
        <v>2365</v>
      </c>
      <c r="I1678" t="s">
        <v>2365</v>
      </c>
      <c r="J1678" t="s">
        <v>2365</v>
      </c>
      <c r="K1678" t="s">
        <v>2365</v>
      </c>
      <c r="L1678">
        <v>1200</v>
      </c>
      <c r="M1678" t="s">
        <v>1480</v>
      </c>
      <c r="N1678">
        <v>1202</v>
      </c>
      <c r="O1678" t="s">
        <v>595</v>
      </c>
      <c r="P1678" t="s">
        <v>2366</v>
      </c>
      <c r="Q1678" t="s">
        <v>2364</v>
      </c>
      <c r="R1678" t="s">
        <v>2364</v>
      </c>
      <c r="S1678" t="s">
        <v>553</v>
      </c>
      <c r="T1678" t="s">
        <v>2175</v>
      </c>
      <c r="U1678">
        <v>240</v>
      </c>
      <c r="V1678" t="s">
        <v>2389</v>
      </c>
      <c r="W1678">
        <v>240</v>
      </c>
      <c r="X1678" t="s">
        <v>701</v>
      </c>
      <c r="Y1678" t="s">
        <v>2365</v>
      </c>
      <c r="Z1678" t="s">
        <v>2365</v>
      </c>
      <c r="AA1678" t="s">
        <v>2365</v>
      </c>
      <c r="AB1678" t="s">
        <v>2365</v>
      </c>
      <c r="AC1678" s="813" t="s">
        <v>2365</v>
      </c>
      <c r="AD1678" s="813" t="s">
        <v>2365</v>
      </c>
      <c r="AE1678" s="813" t="s">
        <v>2365</v>
      </c>
      <c r="AF1678" t="s">
        <v>2365</v>
      </c>
      <c r="AG1678">
        <v>1490</v>
      </c>
      <c r="AH1678" t="s">
        <v>1675</v>
      </c>
      <c r="AI1678">
        <v>1490</v>
      </c>
      <c r="AJ1678" t="s">
        <v>1675</v>
      </c>
      <c r="AK1678">
        <v>243</v>
      </c>
      <c r="AL1678" t="s">
        <v>1205</v>
      </c>
      <c r="AM1678">
        <v>243</v>
      </c>
      <c r="AN1678" t="s">
        <v>1205</v>
      </c>
      <c r="AR1678" t="s">
        <v>2365</v>
      </c>
      <c r="AS1678" t="s">
        <v>2365</v>
      </c>
      <c r="AT1678" t="s">
        <v>2365</v>
      </c>
      <c r="AU1678" t="s">
        <v>2365</v>
      </c>
      <c r="AV1678" t="s">
        <v>2365</v>
      </c>
      <c r="AW1678" t="s">
        <v>2365</v>
      </c>
      <c r="AX1678" t="s">
        <v>2365</v>
      </c>
      <c r="AY1678" t="s">
        <v>2365</v>
      </c>
      <c r="AZ1678" t="s">
        <v>2365</v>
      </c>
      <c r="BA1678" t="s">
        <v>2365</v>
      </c>
      <c r="BB1678" t="s">
        <v>2365</v>
      </c>
      <c r="BC1678" t="s">
        <v>2365</v>
      </c>
      <c r="BD1678" t="s">
        <v>2366</v>
      </c>
      <c r="BE1678" t="s">
        <v>2365</v>
      </c>
      <c r="BF1678" t="s">
        <v>2365</v>
      </c>
      <c r="BG1678" t="s">
        <v>2365</v>
      </c>
      <c r="BH1678" t="s">
        <v>2365</v>
      </c>
      <c r="BI1678" t="s">
        <v>2366</v>
      </c>
      <c r="BJ1678" t="s">
        <v>2365</v>
      </c>
      <c r="BK1678" t="s">
        <v>2365</v>
      </c>
      <c r="BL1678" t="s">
        <v>2365</v>
      </c>
      <c r="BM1678" t="s">
        <v>2365</v>
      </c>
      <c r="BO1678">
        <v>1</v>
      </c>
      <c r="BP1678">
        <v>13</v>
      </c>
      <c r="BQ1678" t="s">
        <v>2369</v>
      </c>
      <c r="BR1678" t="s">
        <v>595</v>
      </c>
      <c r="BU1678">
        <v>-4590199</v>
      </c>
      <c r="BV1678">
        <v>0</v>
      </c>
      <c r="BW1678">
        <v>-4590199</v>
      </c>
      <c r="BX1678">
        <v>4590199</v>
      </c>
      <c r="BY1678">
        <v>0</v>
      </c>
      <c r="BZ1678">
        <v>0</v>
      </c>
      <c r="CA1678">
        <v>0</v>
      </c>
      <c r="CB1678">
        <v>0</v>
      </c>
      <c r="CC1678">
        <v>0</v>
      </c>
      <c r="CD1678">
        <v>0</v>
      </c>
      <c r="CE1678">
        <v>0</v>
      </c>
      <c r="CF1678">
        <v>0</v>
      </c>
      <c r="CG1678">
        <v>0</v>
      </c>
      <c r="CH1678">
        <v>0</v>
      </c>
      <c r="CI1678">
        <v>0</v>
      </c>
      <c r="CJ1678">
        <v>0</v>
      </c>
      <c r="CK1678">
        <v>0</v>
      </c>
      <c r="CL1678">
        <v>0</v>
      </c>
      <c r="CM1678">
        <v>0</v>
      </c>
      <c r="CR1678" t="s">
        <v>2322</v>
      </c>
      <c r="CS1678" s="1369" t="str">
        <f>INDEX([8]Sheet1!$H:$H,MATCH(CR:CR,[8]Sheet1!$AU:$AU,0))</f>
        <v>Human Resources</v>
      </c>
    </row>
    <row r="1679" spans="1:97" x14ac:dyDescent="0.2">
      <c r="A1679" t="s">
        <v>4794</v>
      </c>
      <c r="B1679">
        <v>1769</v>
      </c>
      <c r="C1679" t="s">
        <v>4794</v>
      </c>
      <c r="D1679">
        <v>54771</v>
      </c>
      <c r="E1679" t="s">
        <v>4795</v>
      </c>
      <c r="F1679" t="s">
        <v>2364</v>
      </c>
      <c r="G1679" t="s">
        <v>2364</v>
      </c>
      <c r="H1679" t="s">
        <v>2365</v>
      </c>
      <c r="I1679" t="s">
        <v>2365</v>
      </c>
      <c r="J1679" t="s">
        <v>2365</v>
      </c>
      <c r="K1679" t="s">
        <v>2365</v>
      </c>
      <c r="L1679">
        <v>1200</v>
      </c>
      <c r="M1679" t="s">
        <v>1480</v>
      </c>
      <c r="N1679">
        <v>1202</v>
      </c>
      <c r="O1679" t="s">
        <v>595</v>
      </c>
      <c r="P1679" t="s">
        <v>2366</v>
      </c>
      <c r="Q1679" t="s">
        <v>2364</v>
      </c>
      <c r="R1679" t="s">
        <v>2364</v>
      </c>
      <c r="S1679" t="s">
        <v>552</v>
      </c>
      <c r="T1679" t="s">
        <v>2175</v>
      </c>
      <c r="U1679">
        <v>240</v>
      </c>
      <c r="V1679" t="s">
        <v>2389</v>
      </c>
      <c r="W1679">
        <v>240</v>
      </c>
      <c r="X1679" t="s">
        <v>701</v>
      </c>
      <c r="Y1679" t="s">
        <v>2365</v>
      </c>
      <c r="Z1679" t="s">
        <v>2365</v>
      </c>
      <c r="AA1679" t="s">
        <v>2365</v>
      </c>
      <c r="AB1679" t="s">
        <v>2365</v>
      </c>
      <c r="AC1679" s="813" t="s">
        <v>2365</v>
      </c>
      <c r="AD1679" s="813" t="s">
        <v>2365</v>
      </c>
      <c r="AE1679" s="813" t="s">
        <v>2365</v>
      </c>
      <c r="AF1679" t="s">
        <v>2365</v>
      </c>
      <c r="AG1679">
        <v>1530</v>
      </c>
      <c r="AH1679" t="s">
        <v>1677</v>
      </c>
      <c r="AI1679">
        <v>1530</v>
      </c>
      <c r="AJ1679" t="s">
        <v>1677</v>
      </c>
      <c r="AK1679">
        <v>241</v>
      </c>
      <c r="AL1679" t="s">
        <v>1203</v>
      </c>
      <c r="AM1679">
        <v>241</v>
      </c>
      <c r="AN1679" t="s">
        <v>1203</v>
      </c>
      <c r="AR1679" t="s">
        <v>2365</v>
      </c>
      <c r="AS1679" t="s">
        <v>2365</v>
      </c>
      <c r="AT1679" t="s">
        <v>2365</v>
      </c>
      <c r="AU1679" t="s">
        <v>2365</v>
      </c>
      <c r="AV1679">
        <v>1530</v>
      </c>
      <c r="AW1679" t="s">
        <v>1677</v>
      </c>
      <c r="AX1679">
        <v>1530</v>
      </c>
      <c r="AY1679" t="s">
        <v>1677</v>
      </c>
      <c r="AZ1679" t="s">
        <v>2365</v>
      </c>
      <c r="BA1679" t="s">
        <v>2365</v>
      </c>
      <c r="BB1679" t="s">
        <v>2365</v>
      </c>
      <c r="BC1679" t="s">
        <v>2365</v>
      </c>
      <c r="BD1679" t="s">
        <v>2366</v>
      </c>
      <c r="BE1679" t="s">
        <v>2365</v>
      </c>
      <c r="BF1679" t="s">
        <v>2365</v>
      </c>
      <c r="BG1679" t="s">
        <v>2365</v>
      </c>
      <c r="BH1679" t="s">
        <v>2365</v>
      </c>
      <c r="BI1679" t="s">
        <v>2366</v>
      </c>
      <c r="BJ1679" t="s">
        <v>2365</v>
      </c>
      <c r="BK1679" t="s">
        <v>2365</v>
      </c>
      <c r="BL1679" t="s">
        <v>2365</v>
      </c>
      <c r="BM1679" t="s">
        <v>2365</v>
      </c>
      <c r="BO1679">
        <v>1</v>
      </c>
      <c r="BP1679">
        <v>13</v>
      </c>
      <c r="BQ1679" t="s">
        <v>2369</v>
      </c>
      <c r="BR1679" t="s">
        <v>595</v>
      </c>
      <c r="BU1679">
        <v>4604463</v>
      </c>
      <c r="BV1679">
        <v>0</v>
      </c>
      <c r="BW1679">
        <v>4604463</v>
      </c>
      <c r="BX1679">
        <v>-4604463</v>
      </c>
      <c r="BY1679">
        <v>0</v>
      </c>
      <c r="BZ1679">
        <v>0</v>
      </c>
      <c r="CA1679">
        <v>0</v>
      </c>
      <c r="CB1679">
        <v>0</v>
      </c>
      <c r="CC1679">
        <v>0</v>
      </c>
      <c r="CD1679">
        <v>0</v>
      </c>
      <c r="CE1679">
        <v>0</v>
      </c>
      <c r="CF1679">
        <v>0</v>
      </c>
      <c r="CG1679">
        <v>0</v>
      </c>
      <c r="CH1679">
        <v>0</v>
      </c>
      <c r="CI1679">
        <v>0</v>
      </c>
      <c r="CJ1679">
        <v>0</v>
      </c>
      <c r="CK1679">
        <v>0</v>
      </c>
      <c r="CL1679">
        <v>0</v>
      </c>
      <c r="CM1679">
        <v>0</v>
      </c>
      <c r="CR1679" t="s">
        <v>2322</v>
      </c>
      <c r="CS1679" s="1369" t="str">
        <f>INDEX([8]Sheet1!$H:$H,MATCH(CR:CR,[8]Sheet1!$AU:$AU,0))</f>
        <v>Human Resources</v>
      </c>
    </row>
    <row r="1680" spans="1:97" x14ac:dyDescent="0.2">
      <c r="A1680" t="s">
        <v>4796</v>
      </c>
      <c r="B1680">
        <v>1770</v>
      </c>
      <c r="C1680" t="s">
        <v>4796</v>
      </c>
      <c r="D1680">
        <v>54772</v>
      </c>
      <c r="E1680" t="s">
        <v>4797</v>
      </c>
      <c r="F1680" t="s">
        <v>2364</v>
      </c>
      <c r="G1680" t="s">
        <v>2364</v>
      </c>
      <c r="H1680" t="s">
        <v>2365</v>
      </c>
      <c r="I1680" t="s">
        <v>2365</v>
      </c>
      <c r="J1680" t="s">
        <v>2365</v>
      </c>
      <c r="K1680" t="s">
        <v>2365</v>
      </c>
      <c r="L1680">
        <v>1200</v>
      </c>
      <c r="M1680" t="s">
        <v>1480</v>
      </c>
      <c r="N1680">
        <v>1202</v>
      </c>
      <c r="O1680" t="s">
        <v>595</v>
      </c>
      <c r="P1680" t="s">
        <v>2366</v>
      </c>
      <c r="Q1680" t="s">
        <v>2364</v>
      </c>
      <c r="R1680" t="s">
        <v>2364</v>
      </c>
      <c r="S1680" t="s">
        <v>552</v>
      </c>
      <c r="T1680" t="s">
        <v>2175</v>
      </c>
      <c r="U1680">
        <v>240</v>
      </c>
      <c r="V1680" t="s">
        <v>2389</v>
      </c>
      <c r="W1680">
        <v>240</v>
      </c>
      <c r="X1680" t="s">
        <v>701</v>
      </c>
      <c r="Y1680" t="s">
        <v>2365</v>
      </c>
      <c r="Z1680" t="s">
        <v>2365</v>
      </c>
      <c r="AA1680" t="s">
        <v>2365</v>
      </c>
      <c r="AB1680" t="s">
        <v>2365</v>
      </c>
      <c r="AC1680" s="813" t="s">
        <v>2365</v>
      </c>
      <c r="AD1680" s="813" t="s">
        <v>2365</v>
      </c>
      <c r="AE1680" s="813" t="s">
        <v>2365</v>
      </c>
      <c r="AF1680" t="s">
        <v>2365</v>
      </c>
      <c r="AG1680">
        <v>1490</v>
      </c>
      <c r="AH1680" t="s">
        <v>1675</v>
      </c>
      <c r="AI1680">
        <v>1490</v>
      </c>
      <c r="AJ1680" t="s">
        <v>1675</v>
      </c>
      <c r="AK1680" s="1373">
        <v>241</v>
      </c>
      <c r="AL1680" t="s">
        <v>1203</v>
      </c>
      <c r="AM1680">
        <v>241</v>
      </c>
      <c r="AN1680" t="s">
        <v>1203</v>
      </c>
      <c r="AR1680" t="s">
        <v>2365</v>
      </c>
      <c r="AS1680" t="s">
        <v>2365</v>
      </c>
      <c r="AT1680" t="s">
        <v>2365</v>
      </c>
      <c r="AU1680" t="s">
        <v>2365</v>
      </c>
      <c r="AV1680">
        <v>1490</v>
      </c>
      <c r="AW1680" t="s">
        <v>1675</v>
      </c>
      <c r="AX1680">
        <v>1490</v>
      </c>
      <c r="AY1680" t="s">
        <v>1675</v>
      </c>
      <c r="AZ1680" t="s">
        <v>2365</v>
      </c>
      <c r="BA1680" t="s">
        <v>2365</v>
      </c>
      <c r="BB1680" t="s">
        <v>2365</v>
      </c>
      <c r="BC1680" t="s">
        <v>2365</v>
      </c>
      <c r="BD1680" t="s">
        <v>2366</v>
      </c>
      <c r="BE1680" t="s">
        <v>2365</v>
      </c>
      <c r="BF1680" t="s">
        <v>2365</v>
      </c>
      <c r="BG1680" t="s">
        <v>2365</v>
      </c>
      <c r="BH1680" t="s">
        <v>2365</v>
      </c>
      <c r="BI1680" t="s">
        <v>2366</v>
      </c>
      <c r="BJ1680" t="s">
        <v>2365</v>
      </c>
      <c r="BK1680" t="s">
        <v>2365</v>
      </c>
      <c r="BL1680" t="s">
        <v>2365</v>
      </c>
      <c r="BM1680" t="s">
        <v>2365</v>
      </c>
      <c r="BO1680">
        <v>1</v>
      </c>
      <c r="BP1680">
        <v>13</v>
      </c>
      <c r="BQ1680" t="s">
        <v>2369</v>
      </c>
      <c r="BR1680" t="s">
        <v>595</v>
      </c>
      <c r="BU1680">
        <v>5039208</v>
      </c>
      <c r="BV1680">
        <v>0</v>
      </c>
      <c r="BW1680">
        <v>5039208</v>
      </c>
      <c r="BX1680">
        <v>-5039208</v>
      </c>
      <c r="BY1680">
        <v>0</v>
      </c>
      <c r="BZ1680">
        <v>0</v>
      </c>
      <c r="CA1680">
        <v>0</v>
      </c>
      <c r="CB1680">
        <v>0</v>
      </c>
      <c r="CC1680">
        <v>0</v>
      </c>
      <c r="CD1680">
        <v>0</v>
      </c>
      <c r="CE1680">
        <v>0</v>
      </c>
      <c r="CF1680">
        <v>0</v>
      </c>
      <c r="CG1680">
        <v>0</v>
      </c>
      <c r="CH1680">
        <v>0</v>
      </c>
      <c r="CI1680">
        <v>0</v>
      </c>
      <c r="CJ1680">
        <v>0</v>
      </c>
      <c r="CK1680">
        <v>0</v>
      </c>
      <c r="CL1680">
        <v>0</v>
      </c>
      <c r="CM1680">
        <v>0</v>
      </c>
      <c r="CR1680" t="s">
        <v>2320</v>
      </c>
      <c r="CS1680" s="1369" t="str">
        <f>INDEX([8]Sheet1!$H:$H,MATCH(CR:CR,[8]Sheet1!$AU:$AU,0))</f>
        <v>Administrative and Corporate Support</v>
      </c>
    </row>
    <row r="1681" spans="1:97" x14ac:dyDescent="0.2">
      <c r="A1681" t="s">
        <v>4798</v>
      </c>
      <c r="B1681">
        <v>1771</v>
      </c>
      <c r="C1681" t="s">
        <v>4798</v>
      </c>
      <c r="D1681">
        <v>54773</v>
      </c>
      <c r="E1681" t="s">
        <v>4799</v>
      </c>
      <c r="F1681" t="s">
        <v>2364</v>
      </c>
      <c r="G1681" t="s">
        <v>2364</v>
      </c>
      <c r="H1681" t="s">
        <v>2365</v>
      </c>
      <c r="I1681" t="s">
        <v>2365</v>
      </c>
      <c r="J1681" t="s">
        <v>2365</v>
      </c>
      <c r="K1681" t="s">
        <v>2365</v>
      </c>
      <c r="L1681">
        <v>1200</v>
      </c>
      <c r="M1681" t="s">
        <v>1480</v>
      </c>
      <c r="N1681">
        <v>1202</v>
      </c>
      <c r="O1681" t="s">
        <v>595</v>
      </c>
      <c r="P1681" t="s">
        <v>2366</v>
      </c>
      <c r="Q1681" t="s">
        <v>2364</v>
      </c>
      <c r="R1681" t="s">
        <v>2364</v>
      </c>
      <c r="S1681" t="s">
        <v>553</v>
      </c>
      <c r="T1681" t="s">
        <v>2175</v>
      </c>
      <c r="U1681">
        <v>240</v>
      </c>
      <c r="V1681" t="s">
        <v>2389</v>
      </c>
      <c r="W1681">
        <v>240</v>
      </c>
      <c r="X1681" t="s">
        <v>701</v>
      </c>
      <c r="Y1681" t="s">
        <v>2365</v>
      </c>
      <c r="Z1681" t="s">
        <v>2365</v>
      </c>
      <c r="AA1681" t="s">
        <v>2365</v>
      </c>
      <c r="AB1681" t="s">
        <v>2365</v>
      </c>
      <c r="AC1681" s="813" t="s">
        <v>2365</v>
      </c>
      <c r="AD1681" s="813" t="s">
        <v>2365</v>
      </c>
      <c r="AE1681" s="813" t="s">
        <v>2365</v>
      </c>
      <c r="AF1681" t="s">
        <v>2365</v>
      </c>
      <c r="AG1681">
        <v>1530</v>
      </c>
      <c r="AH1681" t="s">
        <v>1677</v>
      </c>
      <c r="AI1681">
        <v>1530</v>
      </c>
      <c r="AJ1681" t="s">
        <v>1677</v>
      </c>
      <c r="AK1681">
        <v>243</v>
      </c>
      <c r="AL1681" t="s">
        <v>1205</v>
      </c>
      <c r="AM1681">
        <v>243</v>
      </c>
      <c r="AN1681" t="s">
        <v>1205</v>
      </c>
      <c r="AR1681" t="s">
        <v>2365</v>
      </c>
      <c r="AS1681" t="s">
        <v>2365</v>
      </c>
      <c r="AT1681" t="s">
        <v>2365</v>
      </c>
      <c r="AU1681" t="s">
        <v>2365</v>
      </c>
      <c r="AV1681" t="s">
        <v>2365</v>
      </c>
      <c r="AW1681" t="s">
        <v>2365</v>
      </c>
      <c r="AX1681" t="s">
        <v>2365</v>
      </c>
      <c r="AY1681" t="s">
        <v>2365</v>
      </c>
      <c r="AZ1681" t="s">
        <v>2365</v>
      </c>
      <c r="BA1681" t="s">
        <v>2365</v>
      </c>
      <c r="BB1681" t="s">
        <v>2365</v>
      </c>
      <c r="BC1681" t="s">
        <v>2365</v>
      </c>
      <c r="BD1681" t="s">
        <v>2366</v>
      </c>
      <c r="BE1681" t="s">
        <v>2365</v>
      </c>
      <c r="BF1681" t="s">
        <v>2365</v>
      </c>
      <c r="BG1681" t="s">
        <v>2365</v>
      </c>
      <c r="BH1681" t="s">
        <v>2365</v>
      </c>
      <c r="BI1681" t="s">
        <v>2366</v>
      </c>
      <c r="BJ1681" t="s">
        <v>2365</v>
      </c>
      <c r="BK1681" t="s">
        <v>2365</v>
      </c>
      <c r="BL1681" t="s">
        <v>2365</v>
      </c>
      <c r="BM1681" t="s">
        <v>2365</v>
      </c>
      <c r="BO1681">
        <v>1</v>
      </c>
      <c r="BP1681">
        <v>13</v>
      </c>
      <c r="BQ1681" t="s">
        <v>2369</v>
      </c>
      <c r="BR1681" t="s">
        <v>595</v>
      </c>
      <c r="BU1681">
        <v>0</v>
      </c>
      <c r="BV1681">
        <v>0</v>
      </c>
      <c r="BW1681">
        <v>0</v>
      </c>
      <c r="BX1681">
        <v>0</v>
      </c>
      <c r="BY1681">
        <v>0</v>
      </c>
      <c r="BZ1681">
        <v>0</v>
      </c>
      <c r="CA1681">
        <v>0</v>
      </c>
      <c r="CB1681">
        <v>0</v>
      </c>
      <c r="CC1681">
        <v>0</v>
      </c>
      <c r="CD1681">
        <v>0</v>
      </c>
      <c r="CE1681">
        <v>0</v>
      </c>
      <c r="CF1681">
        <v>0</v>
      </c>
      <c r="CG1681">
        <v>0</v>
      </c>
      <c r="CH1681">
        <v>0</v>
      </c>
      <c r="CI1681">
        <v>0</v>
      </c>
      <c r="CJ1681">
        <v>0</v>
      </c>
      <c r="CK1681">
        <v>0</v>
      </c>
      <c r="CL1681">
        <v>0</v>
      </c>
      <c r="CM1681">
        <v>0</v>
      </c>
      <c r="CR1681" t="s">
        <v>2337</v>
      </c>
      <c r="CS1681" s="1369" t="str">
        <f>INDEX([8]Sheet1!$H:$H,MATCH(CR:CR,[8]Sheet1!$AU:$AU,0))</f>
        <v>Corporate Wide Strategic Planning (IDPs, LEDs)</v>
      </c>
    </row>
    <row r="1682" spans="1:97" x14ac:dyDescent="0.2">
      <c r="A1682" t="s">
        <v>4800</v>
      </c>
      <c r="B1682">
        <v>1772</v>
      </c>
      <c r="C1682" t="s">
        <v>4800</v>
      </c>
      <c r="D1682">
        <v>54774</v>
      </c>
      <c r="E1682" t="s">
        <v>4801</v>
      </c>
      <c r="F1682" t="s">
        <v>2364</v>
      </c>
      <c r="G1682" t="s">
        <v>2364</v>
      </c>
      <c r="H1682" t="s">
        <v>2365</v>
      </c>
      <c r="I1682" t="s">
        <v>2365</v>
      </c>
      <c r="J1682" t="s">
        <v>2365</v>
      </c>
      <c r="K1682" t="s">
        <v>2365</v>
      </c>
      <c r="L1682">
        <v>1200</v>
      </c>
      <c r="M1682" t="s">
        <v>1480</v>
      </c>
      <c r="N1682">
        <v>1202</v>
      </c>
      <c r="O1682" t="s">
        <v>595</v>
      </c>
      <c r="P1682" t="s">
        <v>2366</v>
      </c>
      <c r="Q1682" t="s">
        <v>2364</v>
      </c>
      <c r="R1682" t="s">
        <v>2364</v>
      </c>
      <c r="S1682" t="s">
        <v>553</v>
      </c>
      <c r="T1682" t="s">
        <v>2175</v>
      </c>
      <c r="U1682">
        <v>240</v>
      </c>
      <c r="V1682" t="s">
        <v>2389</v>
      </c>
      <c r="W1682">
        <v>240</v>
      </c>
      <c r="X1682" t="s">
        <v>701</v>
      </c>
      <c r="Y1682" t="s">
        <v>2365</v>
      </c>
      <c r="Z1682" t="s">
        <v>2365</v>
      </c>
      <c r="AA1682" t="s">
        <v>2365</v>
      </c>
      <c r="AB1682" t="s">
        <v>2365</v>
      </c>
      <c r="AC1682" s="813" t="s">
        <v>2365</v>
      </c>
      <c r="AD1682" s="813" t="s">
        <v>2365</v>
      </c>
      <c r="AE1682" s="813" t="s">
        <v>2365</v>
      </c>
      <c r="AF1682" t="s">
        <v>2365</v>
      </c>
      <c r="AG1682">
        <v>110</v>
      </c>
      <c r="AH1682" t="s">
        <v>1568</v>
      </c>
      <c r="AI1682">
        <v>110</v>
      </c>
      <c r="AJ1682" t="s">
        <v>1568</v>
      </c>
      <c r="AK1682">
        <v>243</v>
      </c>
      <c r="AL1682" t="s">
        <v>1205</v>
      </c>
      <c r="AM1682">
        <v>243</v>
      </c>
      <c r="AN1682" t="s">
        <v>1205</v>
      </c>
      <c r="AR1682" t="s">
        <v>2365</v>
      </c>
      <c r="AS1682" t="s">
        <v>2365</v>
      </c>
      <c r="AT1682" t="s">
        <v>2365</v>
      </c>
      <c r="AU1682" t="s">
        <v>2365</v>
      </c>
      <c r="AV1682" t="s">
        <v>2365</v>
      </c>
      <c r="AW1682" t="s">
        <v>2365</v>
      </c>
      <c r="AX1682" t="s">
        <v>2365</v>
      </c>
      <c r="AY1682" t="s">
        <v>2365</v>
      </c>
      <c r="AZ1682" t="s">
        <v>2365</v>
      </c>
      <c r="BA1682" t="s">
        <v>2365</v>
      </c>
      <c r="BB1682" t="s">
        <v>2365</v>
      </c>
      <c r="BC1682" t="s">
        <v>2365</v>
      </c>
      <c r="BD1682" t="s">
        <v>2366</v>
      </c>
      <c r="BE1682" t="s">
        <v>2365</v>
      </c>
      <c r="BF1682" t="s">
        <v>2365</v>
      </c>
      <c r="BG1682" t="s">
        <v>2365</v>
      </c>
      <c r="BH1682" t="s">
        <v>2365</v>
      </c>
      <c r="BI1682" t="s">
        <v>2366</v>
      </c>
      <c r="BJ1682" t="s">
        <v>2365</v>
      </c>
      <c r="BK1682" t="s">
        <v>2365</v>
      </c>
      <c r="BL1682" t="s">
        <v>2365</v>
      </c>
      <c r="BM1682" t="s">
        <v>2365</v>
      </c>
      <c r="BO1682">
        <v>1</v>
      </c>
      <c r="BP1682">
        <v>13</v>
      </c>
      <c r="BQ1682" t="s">
        <v>2369</v>
      </c>
      <c r="BR1682" t="s">
        <v>595</v>
      </c>
      <c r="BU1682">
        <v>-17674602</v>
      </c>
      <c r="BV1682">
        <v>0</v>
      </c>
      <c r="BW1682">
        <v>-17674602</v>
      </c>
      <c r="BX1682">
        <v>17674602</v>
      </c>
      <c r="BY1682">
        <v>0</v>
      </c>
      <c r="BZ1682">
        <v>0</v>
      </c>
      <c r="CA1682">
        <v>0</v>
      </c>
      <c r="CB1682">
        <v>0</v>
      </c>
      <c r="CC1682">
        <v>0</v>
      </c>
      <c r="CD1682">
        <v>0</v>
      </c>
      <c r="CE1682">
        <v>0</v>
      </c>
      <c r="CF1682">
        <v>0</v>
      </c>
      <c r="CG1682">
        <v>0</v>
      </c>
      <c r="CH1682">
        <v>0</v>
      </c>
      <c r="CI1682">
        <v>0</v>
      </c>
      <c r="CJ1682">
        <v>0</v>
      </c>
      <c r="CK1682">
        <v>0</v>
      </c>
      <c r="CL1682">
        <v>0</v>
      </c>
      <c r="CM1682">
        <v>0</v>
      </c>
      <c r="CR1682" t="s">
        <v>2330</v>
      </c>
      <c r="CS1682" s="1369" t="str">
        <f>INDEX([8]Sheet1!$H:$H,MATCH(CR:CR,[8]Sheet1!$AU:$AU,0))</f>
        <v>Water Treatment</v>
      </c>
    </row>
    <row r="1683" spans="1:97" x14ac:dyDescent="0.2">
      <c r="A1683" t="s">
        <v>4802</v>
      </c>
      <c r="B1683">
        <v>1773</v>
      </c>
      <c r="C1683" t="s">
        <v>4802</v>
      </c>
      <c r="D1683">
        <v>54775</v>
      </c>
      <c r="E1683" t="s">
        <v>4803</v>
      </c>
      <c r="F1683" t="s">
        <v>2364</v>
      </c>
      <c r="G1683" t="s">
        <v>2364</v>
      </c>
      <c r="H1683" t="s">
        <v>2365</v>
      </c>
      <c r="I1683" t="s">
        <v>2365</v>
      </c>
      <c r="J1683" t="s">
        <v>2365</v>
      </c>
      <c r="K1683" t="s">
        <v>2365</v>
      </c>
      <c r="L1683">
        <v>1200</v>
      </c>
      <c r="M1683" t="s">
        <v>1480</v>
      </c>
      <c r="N1683">
        <v>1202</v>
      </c>
      <c r="O1683" t="s">
        <v>595</v>
      </c>
      <c r="P1683" t="s">
        <v>2366</v>
      </c>
      <c r="Q1683" t="s">
        <v>2364</v>
      </c>
      <c r="R1683" t="s">
        <v>2364</v>
      </c>
      <c r="S1683" t="s">
        <v>552</v>
      </c>
      <c r="T1683" t="s">
        <v>2175</v>
      </c>
      <c r="U1683">
        <v>240</v>
      </c>
      <c r="V1683" t="s">
        <v>2389</v>
      </c>
      <c r="W1683">
        <v>240</v>
      </c>
      <c r="X1683" t="s">
        <v>701</v>
      </c>
      <c r="Y1683" t="s">
        <v>2365</v>
      </c>
      <c r="Z1683" t="s">
        <v>2365</v>
      </c>
      <c r="AA1683" t="s">
        <v>2365</v>
      </c>
      <c r="AB1683" t="s">
        <v>2365</v>
      </c>
      <c r="AC1683" s="813" t="s">
        <v>2365</v>
      </c>
      <c r="AD1683" s="813" t="s">
        <v>2365</v>
      </c>
      <c r="AE1683" s="813" t="s">
        <v>2365</v>
      </c>
      <c r="AF1683" t="s">
        <v>2365</v>
      </c>
      <c r="AG1683">
        <v>110</v>
      </c>
      <c r="AH1683" t="s">
        <v>1568</v>
      </c>
      <c r="AI1683">
        <v>110</v>
      </c>
      <c r="AJ1683" t="s">
        <v>1568</v>
      </c>
      <c r="AK1683" s="1373">
        <v>241</v>
      </c>
      <c r="AL1683" t="s">
        <v>1203</v>
      </c>
      <c r="AM1683">
        <v>241</v>
      </c>
      <c r="AN1683" t="s">
        <v>1203</v>
      </c>
      <c r="AR1683" t="s">
        <v>2365</v>
      </c>
      <c r="AS1683" t="s">
        <v>2365</v>
      </c>
      <c r="AT1683" t="s">
        <v>2365</v>
      </c>
      <c r="AU1683" t="s">
        <v>2365</v>
      </c>
      <c r="AV1683">
        <v>120</v>
      </c>
      <c r="AW1683" t="s">
        <v>1002</v>
      </c>
      <c r="AX1683">
        <v>120</v>
      </c>
      <c r="AY1683" t="s">
        <v>1002</v>
      </c>
      <c r="AZ1683" t="s">
        <v>2365</v>
      </c>
      <c r="BA1683" t="s">
        <v>2365</v>
      </c>
      <c r="BB1683" t="s">
        <v>2365</v>
      </c>
      <c r="BC1683" t="s">
        <v>2365</v>
      </c>
      <c r="BD1683" t="s">
        <v>2366</v>
      </c>
      <c r="BE1683" t="s">
        <v>2365</v>
      </c>
      <c r="BF1683" t="s">
        <v>2365</v>
      </c>
      <c r="BG1683" t="s">
        <v>2365</v>
      </c>
      <c r="BH1683" t="s">
        <v>2365</v>
      </c>
      <c r="BI1683" t="s">
        <v>2366</v>
      </c>
      <c r="BJ1683" t="s">
        <v>2365</v>
      </c>
      <c r="BK1683" t="s">
        <v>2365</v>
      </c>
      <c r="BL1683" t="s">
        <v>2365</v>
      </c>
      <c r="BM1683" t="s">
        <v>2365</v>
      </c>
      <c r="BO1683">
        <v>1</v>
      </c>
      <c r="BP1683">
        <v>13</v>
      </c>
      <c r="BQ1683" t="s">
        <v>2369</v>
      </c>
      <c r="BR1683" t="s">
        <v>595</v>
      </c>
      <c r="BU1683">
        <v>62146626</v>
      </c>
      <c r="BV1683">
        <v>0</v>
      </c>
      <c r="BW1683">
        <v>62146626</v>
      </c>
      <c r="BX1683">
        <v>-62146626</v>
      </c>
      <c r="BY1683">
        <v>0</v>
      </c>
      <c r="BZ1683">
        <v>0</v>
      </c>
      <c r="CA1683">
        <v>0</v>
      </c>
      <c r="CB1683">
        <v>0</v>
      </c>
      <c r="CC1683">
        <v>0</v>
      </c>
      <c r="CD1683">
        <v>0</v>
      </c>
      <c r="CE1683">
        <v>0</v>
      </c>
      <c r="CF1683">
        <v>0</v>
      </c>
      <c r="CG1683">
        <v>0</v>
      </c>
      <c r="CH1683">
        <v>0</v>
      </c>
      <c r="CI1683">
        <v>0</v>
      </c>
      <c r="CJ1683">
        <v>0</v>
      </c>
      <c r="CK1683">
        <v>0</v>
      </c>
      <c r="CL1683">
        <v>0</v>
      </c>
      <c r="CM1683">
        <v>0</v>
      </c>
      <c r="CR1683" t="s">
        <v>2330</v>
      </c>
      <c r="CS1683" s="1369" t="str">
        <f>INDEX([8]Sheet1!$H:$H,MATCH(CR:CR,[8]Sheet1!$AU:$AU,0))</f>
        <v>Water Treatment</v>
      </c>
    </row>
    <row r="1684" spans="1:97" x14ac:dyDescent="0.2">
      <c r="A1684" t="s">
        <v>4804</v>
      </c>
      <c r="B1684">
        <v>1774</v>
      </c>
      <c r="C1684" t="s">
        <v>4804</v>
      </c>
      <c r="D1684">
        <v>54776</v>
      </c>
      <c r="E1684" t="s">
        <v>4805</v>
      </c>
      <c r="F1684" t="s">
        <v>2364</v>
      </c>
      <c r="G1684" t="s">
        <v>2364</v>
      </c>
      <c r="H1684" t="s">
        <v>2365</v>
      </c>
      <c r="I1684" t="s">
        <v>2365</v>
      </c>
      <c r="J1684" t="s">
        <v>2365</v>
      </c>
      <c r="K1684" t="s">
        <v>2365</v>
      </c>
      <c r="L1684">
        <v>1200</v>
      </c>
      <c r="M1684" t="s">
        <v>1480</v>
      </c>
      <c r="N1684">
        <v>1202</v>
      </c>
      <c r="O1684" t="s">
        <v>595</v>
      </c>
      <c r="P1684" t="s">
        <v>2366</v>
      </c>
      <c r="Q1684" t="s">
        <v>2364</v>
      </c>
      <c r="R1684" t="s">
        <v>2364</v>
      </c>
      <c r="S1684" t="s">
        <v>552</v>
      </c>
      <c r="T1684" t="s">
        <v>2175</v>
      </c>
      <c r="U1684">
        <v>240</v>
      </c>
      <c r="V1684" t="s">
        <v>2389</v>
      </c>
      <c r="W1684">
        <v>240</v>
      </c>
      <c r="X1684" t="s">
        <v>701</v>
      </c>
      <c r="Y1684" t="s">
        <v>2365</v>
      </c>
      <c r="Z1684" t="s">
        <v>2365</v>
      </c>
      <c r="AA1684" t="s">
        <v>2365</v>
      </c>
      <c r="AB1684" t="s">
        <v>2365</v>
      </c>
      <c r="AC1684" s="813" t="s">
        <v>2365</v>
      </c>
      <c r="AD1684" s="813" t="s">
        <v>2365</v>
      </c>
      <c r="AE1684" s="813" t="s">
        <v>2365</v>
      </c>
      <c r="AF1684" t="s">
        <v>2365</v>
      </c>
      <c r="AG1684">
        <v>1470</v>
      </c>
      <c r="AH1684" t="s">
        <v>1674</v>
      </c>
      <c r="AI1684">
        <v>1470</v>
      </c>
      <c r="AJ1684" t="s">
        <v>1674</v>
      </c>
      <c r="AK1684">
        <v>241</v>
      </c>
      <c r="AL1684" t="s">
        <v>1203</v>
      </c>
      <c r="AM1684">
        <v>241</v>
      </c>
      <c r="AN1684" t="s">
        <v>1203</v>
      </c>
      <c r="AR1684" t="s">
        <v>2365</v>
      </c>
      <c r="AS1684" t="s">
        <v>2365</v>
      </c>
      <c r="AT1684" t="s">
        <v>2365</v>
      </c>
      <c r="AU1684" t="s">
        <v>2365</v>
      </c>
      <c r="AV1684">
        <v>1470</v>
      </c>
      <c r="AW1684" t="s">
        <v>1674</v>
      </c>
      <c r="AX1684">
        <v>1470</v>
      </c>
      <c r="AY1684" t="s">
        <v>1674</v>
      </c>
      <c r="AZ1684" t="s">
        <v>2365</v>
      </c>
      <c r="BA1684" t="s">
        <v>2365</v>
      </c>
      <c r="BB1684" t="s">
        <v>2365</v>
      </c>
      <c r="BC1684" t="s">
        <v>2365</v>
      </c>
      <c r="BD1684" t="s">
        <v>2366</v>
      </c>
      <c r="BE1684" t="s">
        <v>2365</v>
      </c>
      <c r="BF1684" t="s">
        <v>2365</v>
      </c>
      <c r="BG1684" t="s">
        <v>2365</v>
      </c>
      <c r="BH1684" t="s">
        <v>2365</v>
      </c>
      <c r="BI1684" t="s">
        <v>2366</v>
      </c>
      <c r="BJ1684" t="s">
        <v>2365</v>
      </c>
      <c r="BK1684" t="s">
        <v>2365</v>
      </c>
      <c r="BL1684" t="s">
        <v>2365</v>
      </c>
      <c r="BM1684" t="s">
        <v>2365</v>
      </c>
      <c r="BO1684">
        <v>1</v>
      </c>
      <c r="BP1684">
        <v>13</v>
      </c>
      <c r="BQ1684" t="s">
        <v>2369</v>
      </c>
      <c r="BR1684" t="s">
        <v>595</v>
      </c>
      <c r="BU1684">
        <v>570234</v>
      </c>
      <c r="BV1684">
        <v>0</v>
      </c>
      <c r="BW1684">
        <v>570234</v>
      </c>
      <c r="BX1684">
        <v>-570234</v>
      </c>
      <c r="BY1684">
        <v>0</v>
      </c>
      <c r="BZ1684">
        <v>0</v>
      </c>
      <c r="CA1684">
        <v>0</v>
      </c>
      <c r="CB1684">
        <v>0</v>
      </c>
      <c r="CC1684">
        <v>0</v>
      </c>
      <c r="CD1684">
        <v>0</v>
      </c>
      <c r="CE1684">
        <v>0</v>
      </c>
      <c r="CF1684">
        <v>0</v>
      </c>
      <c r="CG1684">
        <v>0</v>
      </c>
      <c r="CH1684">
        <v>0</v>
      </c>
      <c r="CI1684">
        <v>0</v>
      </c>
      <c r="CJ1684">
        <v>0</v>
      </c>
      <c r="CK1684">
        <v>0</v>
      </c>
      <c r="CL1684">
        <v>0</v>
      </c>
      <c r="CM1684">
        <v>0</v>
      </c>
      <c r="CR1684" t="s">
        <v>2319</v>
      </c>
      <c r="CS1684" s="1369" t="str">
        <f>INDEX([8]Sheet1!$H:$H,MATCH(CR:CR,[8]Sheet1!$AU:$AU,0))</f>
        <v>Mayor and Council</v>
      </c>
    </row>
    <row r="1685" spans="1:97" x14ac:dyDescent="0.2">
      <c r="A1685" t="s">
        <v>4806</v>
      </c>
      <c r="B1685">
        <v>1775</v>
      </c>
      <c r="C1685" t="s">
        <v>4806</v>
      </c>
      <c r="D1685">
        <v>54777</v>
      </c>
      <c r="E1685" t="s">
        <v>4807</v>
      </c>
      <c r="F1685" t="s">
        <v>2364</v>
      </c>
      <c r="G1685" t="s">
        <v>2364</v>
      </c>
      <c r="H1685" t="s">
        <v>2365</v>
      </c>
      <c r="I1685" t="s">
        <v>2365</v>
      </c>
      <c r="J1685" t="s">
        <v>2365</v>
      </c>
      <c r="K1685" t="s">
        <v>2365</v>
      </c>
      <c r="L1685">
        <v>1200</v>
      </c>
      <c r="M1685" t="s">
        <v>1480</v>
      </c>
      <c r="N1685">
        <v>1202</v>
      </c>
      <c r="O1685" t="s">
        <v>595</v>
      </c>
      <c r="P1685" t="s">
        <v>2366</v>
      </c>
      <c r="Q1685" t="s">
        <v>2364</v>
      </c>
      <c r="R1685" t="s">
        <v>2364</v>
      </c>
      <c r="S1685" t="s">
        <v>553</v>
      </c>
      <c r="T1685" t="s">
        <v>2175</v>
      </c>
      <c r="U1685">
        <v>240</v>
      </c>
      <c r="V1685" t="s">
        <v>2389</v>
      </c>
      <c r="W1685">
        <v>240</v>
      </c>
      <c r="X1685" t="s">
        <v>701</v>
      </c>
      <c r="Y1685" t="s">
        <v>2365</v>
      </c>
      <c r="Z1685" t="s">
        <v>2365</v>
      </c>
      <c r="AA1685" t="s">
        <v>2365</v>
      </c>
      <c r="AB1685" t="s">
        <v>2365</v>
      </c>
      <c r="AC1685" s="813" t="s">
        <v>2365</v>
      </c>
      <c r="AD1685" s="813" t="s">
        <v>2365</v>
      </c>
      <c r="AE1685" s="813" t="s">
        <v>2365</v>
      </c>
      <c r="AF1685" t="s">
        <v>2365</v>
      </c>
      <c r="AG1685">
        <v>1470</v>
      </c>
      <c r="AH1685" t="s">
        <v>1674</v>
      </c>
      <c r="AI1685">
        <v>1470</v>
      </c>
      <c r="AJ1685" t="s">
        <v>1674</v>
      </c>
      <c r="AK1685">
        <v>243</v>
      </c>
      <c r="AL1685" t="s">
        <v>1205</v>
      </c>
      <c r="AM1685">
        <v>243</v>
      </c>
      <c r="AN1685" t="s">
        <v>1205</v>
      </c>
      <c r="AR1685" t="s">
        <v>2365</v>
      </c>
      <c r="AS1685" t="s">
        <v>2365</v>
      </c>
      <c r="AT1685" t="s">
        <v>2365</v>
      </c>
      <c r="AU1685" t="s">
        <v>2365</v>
      </c>
      <c r="AV1685" t="s">
        <v>2365</v>
      </c>
      <c r="AW1685" t="s">
        <v>2365</v>
      </c>
      <c r="AX1685" t="s">
        <v>2365</v>
      </c>
      <c r="AY1685" t="s">
        <v>2365</v>
      </c>
      <c r="AZ1685" t="s">
        <v>2365</v>
      </c>
      <c r="BA1685" t="s">
        <v>2365</v>
      </c>
      <c r="BB1685" t="s">
        <v>2365</v>
      </c>
      <c r="BC1685" t="s">
        <v>2365</v>
      </c>
      <c r="BD1685" t="s">
        <v>2366</v>
      </c>
      <c r="BE1685" t="s">
        <v>2365</v>
      </c>
      <c r="BF1685" t="s">
        <v>2365</v>
      </c>
      <c r="BG1685" t="s">
        <v>2365</v>
      </c>
      <c r="BH1685" t="s">
        <v>2365</v>
      </c>
      <c r="BI1685" t="s">
        <v>2366</v>
      </c>
      <c r="BJ1685" t="s">
        <v>2365</v>
      </c>
      <c r="BK1685" t="s">
        <v>2365</v>
      </c>
      <c r="BL1685" t="s">
        <v>2365</v>
      </c>
      <c r="BM1685" t="s">
        <v>2365</v>
      </c>
      <c r="BO1685">
        <v>1</v>
      </c>
      <c r="BP1685">
        <v>13</v>
      </c>
      <c r="BQ1685" t="s">
        <v>2369</v>
      </c>
      <c r="BR1685" t="s">
        <v>595</v>
      </c>
      <c r="BU1685">
        <v>-1964</v>
      </c>
      <c r="BV1685">
        <v>0</v>
      </c>
      <c r="BW1685">
        <v>-1964</v>
      </c>
      <c r="BX1685">
        <v>1964</v>
      </c>
      <c r="BY1685">
        <v>0</v>
      </c>
      <c r="BZ1685">
        <v>0</v>
      </c>
      <c r="CA1685">
        <v>0</v>
      </c>
      <c r="CB1685">
        <v>0</v>
      </c>
      <c r="CC1685">
        <v>0</v>
      </c>
      <c r="CD1685">
        <v>0</v>
      </c>
      <c r="CE1685">
        <v>0</v>
      </c>
      <c r="CF1685">
        <v>0</v>
      </c>
      <c r="CG1685">
        <v>0</v>
      </c>
      <c r="CH1685">
        <v>0</v>
      </c>
      <c r="CI1685">
        <v>0</v>
      </c>
      <c r="CJ1685">
        <v>0</v>
      </c>
      <c r="CK1685">
        <v>0</v>
      </c>
      <c r="CL1685">
        <v>0</v>
      </c>
      <c r="CM1685">
        <v>0</v>
      </c>
      <c r="CR1685" t="s">
        <v>2319</v>
      </c>
      <c r="CS1685" s="1369" t="str">
        <f>INDEX([8]Sheet1!$H:$H,MATCH(CR:CR,[8]Sheet1!$AU:$AU,0))</f>
        <v>Mayor and Council</v>
      </c>
    </row>
    <row r="1686" spans="1:97" x14ac:dyDescent="0.2">
      <c r="A1686" t="s">
        <v>4808</v>
      </c>
      <c r="B1686">
        <v>1776</v>
      </c>
      <c r="C1686" t="s">
        <v>4808</v>
      </c>
      <c r="D1686">
        <v>54778</v>
      </c>
      <c r="E1686" t="s">
        <v>4809</v>
      </c>
      <c r="F1686" t="s">
        <v>2364</v>
      </c>
      <c r="G1686" t="s">
        <v>2364</v>
      </c>
      <c r="H1686" t="s">
        <v>2365</v>
      </c>
      <c r="I1686" t="s">
        <v>2365</v>
      </c>
      <c r="J1686" t="s">
        <v>2365</v>
      </c>
      <c r="K1686" t="s">
        <v>2365</v>
      </c>
      <c r="L1686">
        <v>1200</v>
      </c>
      <c r="M1686" t="s">
        <v>1480</v>
      </c>
      <c r="N1686">
        <v>1202</v>
      </c>
      <c r="O1686" t="s">
        <v>595</v>
      </c>
      <c r="P1686" t="s">
        <v>2366</v>
      </c>
      <c r="Q1686" t="s">
        <v>2364</v>
      </c>
      <c r="R1686" t="s">
        <v>2364</v>
      </c>
      <c r="S1686" t="s">
        <v>552</v>
      </c>
      <c r="T1686" t="s">
        <v>2175</v>
      </c>
      <c r="U1686">
        <v>240</v>
      </c>
      <c r="V1686" t="s">
        <v>2389</v>
      </c>
      <c r="W1686">
        <v>240</v>
      </c>
      <c r="X1686" t="s">
        <v>701</v>
      </c>
      <c r="Y1686" t="s">
        <v>2365</v>
      </c>
      <c r="Z1686" t="s">
        <v>2365</v>
      </c>
      <c r="AA1686" t="s">
        <v>2365</v>
      </c>
      <c r="AB1686" t="s">
        <v>2365</v>
      </c>
      <c r="AC1686" s="813" t="s">
        <v>2365</v>
      </c>
      <c r="AD1686" s="813" t="s">
        <v>2365</v>
      </c>
      <c r="AE1686" s="813" t="s">
        <v>2365</v>
      </c>
      <c r="AF1686" t="s">
        <v>2365</v>
      </c>
      <c r="AG1686">
        <v>770</v>
      </c>
      <c r="AH1686" t="s">
        <v>1620</v>
      </c>
      <c r="AI1686">
        <v>770</v>
      </c>
      <c r="AJ1686" t="s">
        <v>1620</v>
      </c>
      <c r="AK1686">
        <v>241</v>
      </c>
      <c r="AL1686" t="s">
        <v>1203</v>
      </c>
      <c r="AM1686">
        <v>241</v>
      </c>
      <c r="AN1686" t="s">
        <v>1203</v>
      </c>
      <c r="AR1686" t="s">
        <v>2365</v>
      </c>
      <c r="AS1686" t="s">
        <v>2365</v>
      </c>
      <c r="AT1686" t="s">
        <v>2365</v>
      </c>
      <c r="AU1686" t="s">
        <v>2365</v>
      </c>
      <c r="AV1686">
        <v>790</v>
      </c>
      <c r="AW1686" t="s">
        <v>1622</v>
      </c>
      <c r="AX1686">
        <v>790</v>
      </c>
      <c r="AY1686" t="s">
        <v>1622</v>
      </c>
      <c r="AZ1686" t="s">
        <v>2365</v>
      </c>
      <c r="BA1686" t="s">
        <v>2365</v>
      </c>
      <c r="BB1686" t="s">
        <v>2365</v>
      </c>
      <c r="BC1686" t="s">
        <v>2365</v>
      </c>
      <c r="BD1686" t="s">
        <v>2366</v>
      </c>
      <c r="BE1686" t="s">
        <v>2365</v>
      </c>
      <c r="BF1686" t="s">
        <v>2365</v>
      </c>
      <c r="BG1686" t="s">
        <v>2365</v>
      </c>
      <c r="BH1686" t="s">
        <v>2365</v>
      </c>
      <c r="BI1686" t="s">
        <v>2366</v>
      </c>
      <c r="BJ1686" t="s">
        <v>2365</v>
      </c>
      <c r="BK1686" t="s">
        <v>2365</v>
      </c>
      <c r="BL1686" t="s">
        <v>2365</v>
      </c>
      <c r="BM1686" t="s">
        <v>2365</v>
      </c>
      <c r="BO1686">
        <v>1</v>
      </c>
      <c r="BP1686">
        <v>13</v>
      </c>
      <c r="BQ1686" t="s">
        <v>2369</v>
      </c>
      <c r="BR1686" t="s">
        <v>595</v>
      </c>
      <c r="BU1686">
        <v>90719296</v>
      </c>
      <c r="BV1686">
        <v>0</v>
      </c>
      <c r="BW1686">
        <v>90719296</v>
      </c>
      <c r="BX1686">
        <v>-90719296</v>
      </c>
      <c r="BY1686">
        <v>0</v>
      </c>
      <c r="BZ1686">
        <v>0</v>
      </c>
      <c r="CA1686">
        <v>0</v>
      </c>
      <c r="CB1686">
        <v>0</v>
      </c>
      <c r="CC1686">
        <v>0</v>
      </c>
      <c r="CD1686">
        <v>0</v>
      </c>
      <c r="CE1686">
        <v>0</v>
      </c>
      <c r="CF1686">
        <v>0</v>
      </c>
      <c r="CG1686">
        <v>0</v>
      </c>
      <c r="CH1686">
        <v>0</v>
      </c>
      <c r="CI1686">
        <v>0</v>
      </c>
      <c r="CJ1686">
        <v>0</v>
      </c>
      <c r="CK1686">
        <v>0</v>
      </c>
      <c r="CL1686">
        <v>0</v>
      </c>
      <c r="CM1686">
        <v>0</v>
      </c>
      <c r="CR1686" t="s">
        <v>2337</v>
      </c>
      <c r="CS1686" s="1369" t="str">
        <f>INDEX([8]Sheet1!$H:$H,MATCH(CR:CR,[8]Sheet1!$AU:$AU,0))</f>
        <v>Corporate Wide Strategic Planning (IDPs, LEDs)</v>
      </c>
    </row>
    <row r="1687" spans="1:97" x14ac:dyDescent="0.2">
      <c r="A1687" t="s">
        <v>4810</v>
      </c>
      <c r="B1687">
        <v>1777</v>
      </c>
      <c r="C1687" t="s">
        <v>4810</v>
      </c>
      <c r="D1687">
        <v>54779</v>
      </c>
      <c r="E1687" t="s">
        <v>4811</v>
      </c>
      <c r="F1687" t="s">
        <v>2364</v>
      </c>
      <c r="G1687" t="s">
        <v>2364</v>
      </c>
      <c r="H1687" t="s">
        <v>2365</v>
      </c>
      <c r="I1687" t="s">
        <v>2365</v>
      </c>
      <c r="J1687" t="s">
        <v>2365</v>
      </c>
      <c r="K1687" t="s">
        <v>2365</v>
      </c>
      <c r="L1687">
        <v>1200</v>
      </c>
      <c r="M1687" t="s">
        <v>1480</v>
      </c>
      <c r="N1687">
        <v>1202</v>
      </c>
      <c r="O1687" t="s">
        <v>595</v>
      </c>
      <c r="P1687" t="s">
        <v>2366</v>
      </c>
      <c r="Q1687" t="s">
        <v>2364</v>
      </c>
      <c r="R1687" t="s">
        <v>2364</v>
      </c>
      <c r="S1687" t="s">
        <v>553</v>
      </c>
      <c r="T1687" t="s">
        <v>2175</v>
      </c>
      <c r="U1687">
        <v>240</v>
      </c>
      <c r="V1687" t="s">
        <v>2389</v>
      </c>
      <c r="W1687">
        <v>240</v>
      </c>
      <c r="X1687" t="s">
        <v>701</v>
      </c>
      <c r="Y1687" t="s">
        <v>2365</v>
      </c>
      <c r="Z1687" t="s">
        <v>2365</v>
      </c>
      <c r="AA1687" t="s">
        <v>2365</v>
      </c>
      <c r="AB1687" t="s">
        <v>2365</v>
      </c>
      <c r="AC1687" s="813" t="s">
        <v>2365</v>
      </c>
      <c r="AD1687" s="813" t="s">
        <v>2365</v>
      </c>
      <c r="AE1687" s="813" t="s">
        <v>2365</v>
      </c>
      <c r="AF1687" t="s">
        <v>2365</v>
      </c>
      <c r="AG1687">
        <v>770</v>
      </c>
      <c r="AH1687" t="s">
        <v>1620</v>
      </c>
      <c r="AI1687">
        <v>770</v>
      </c>
      <c r="AJ1687" t="s">
        <v>1620</v>
      </c>
      <c r="AK1687">
        <v>243</v>
      </c>
      <c r="AL1687" t="s">
        <v>1205</v>
      </c>
      <c r="AM1687">
        <v>243</v>
      </c>
      <c r="AN1687" t="s">
        <v>1205</v>
      </c>
      <c r="AR1687" t="s">
        <v>2365</v>
      </c>
      <c r="AS1687" t="s">
        <v>2365</v>
      </c>
      <c r="AT1687" t="s">
        <v>2365</v>
      </c>
      <c r="AU1687" t="s">
        <v>2365</v>
      </c>
      <c r="AV1687" t="s">
        <v>2365</v>
      </c>
      <c r="AW1687" t="s">
        <v>2365</v>
      </c>
      <c r="AX1687" t="s">
        <v>2365</v>
      </c>
      <c r="AY1687" t="s">
        <v>2365</v>
      </c>
      <c r="AZ1687" t="s">
        <v>2365</v>
      </c>
      <c r="BA1687" t="s">
        <v>2365</v>
      </c>
      <c r="BB1687" t="s">
        <v>2365</v>
      </c>
      <c r="BC1687" t="s">
        <v>2365</v>
      </c>
      <c r="BD1687" t="s">
        <v>2366</v>
      </c>
      <c r="BE1687" t="s">
        <v>2365</v>
      </c>
      <c r="BF1687" t="s">
        <v>2365</v>
      </c>
      <c r="BG1687" t="s">
        <v>2365</v>
      </c>
      <c r="BH1687" t="s">
        <v>2365</v>
      </c>
      <c r="BI1687" t="s">
        <v>2366</v>
      </c>
      <c r="BJ1687" t="s">
        <v>2365</v>
      </c>
      <c r="BK1687" t="s">
        <v>2365</v>
      </c>
      <c r="BL1687" t="s">
        <v>2365</v>
      </c>
      <c r="BM1687" t="s">
        <v>2365</v>
      </c>
      <c r="BO1687">
        <v>1</v>
      </c>
      <c r="BP1687">
        <v>13</v>
      </c>
      <c r="BQ1687" t="s">
        <v>2369</v>
      </c>
      <c r="BR1687" t="s">
        <v>595</v>
      </c>
      <c r="BU1687">
        <v>-23030718</v>
      </c>
      <c r="BV1687">
        <v>0</v>
      </c>
      <c r="BW1687">
        <v>-23030718</v>
      </c>
      <c r="BX1687">
        <v>23030718</v>
      </c>
      <c r="BY1687">
        <v>0</v>
      </c>
      <c r="BZ1687">
        <v>0</v>
      </c>
      <c r="CA1687">
        <v>0</v>
      </c>
      <c r="CB1687">
        <v>0</v>
      </c>
      <c r="CC1687">
        <v>0</v>
      </c>
      <c r="CD1687">
        <v>0</v>
      </c>
      <c r="CE1687">
        <v>0</v>
      </c>
      <c r="CF1687">
        <v>0</v>
      </c>
      <c r="CG1687">
        <v>0</v>
      </c>
      <c r="CH1687">
        <v>0</v>
      </c>
      <c r="CI1687">
        <v>0</v>
      </c>
      <c r="CJ1687">
        <v>0</v>
      </c>
      <c r="CK1687">
        <v>0</v>
      </c>
      <c r="CL1687">
        <v>0</v>
      </c>
      <c r="CM1687">
        <v>0</v>
      </c>
      <c r="CR1687" t="s">
        <v>2337</v>
      </c>
      <c r="CS1687" s="1369" t="str">
        <f>INDEX([8]Sheet1!$H:$H,MATCH(CR:CR,[8]Sheet1!$AU:$AU,0))</f>
        <v>Corporate Wide Strategic Planning (IDPs, LEDs)</v>
      </c>
    </row>
    <row r="1688" spans="1:97" x14ac:dyDescent="0.2">
      <c r="A1688" t="s">
        <v>4812</v>
      </c>
      <c r="B1688">
        <v>1778</v>
      </c>
      <c r="C1688" t="s">
        <v>4812</v>
      </c>
      <c r="D1688">
        <v>54780</v>
      </c>
      <c r="E1688" t="s">
        <v>4813</v>
      </c>
      <c r="F1688" t="s">
        <v>2364</v>
      </c>
      <c r="G1688" t="s">
        <v>2364</v>
      </c>
      <c r="H1688" t="s">
        <v>2365</v>
      </c>
      <c r="I1688" t="s">
        <v>2365</v>
      </c>
      <c r="J1688" t="s">
        <v>2365</v>
      </c>
      <c r="K1688" t="s">
        <v>2365</v>
      </c>
      <c r="L1688">
        <v>1200</v>
      </c>
      <c r="M1688" t="s">
        <v>1480</v>
      </c>
      <c r="N1688">
        <v>1202</v>
      </c>
      <c r="O1688" t="s">
        <v>595</v>
      </c>
      <c r="P1688" t="s">
        <v>2366</v>
      </c>
      <c r="Q1688" t="s">
        <v>2364</v>
      </c>
      <c r="R1688" t="s">
        <v>2364</v>
      </c>
      <c r="S1688" t="s">
        <v>552</v>
      </c>
      <c r="T1688" t="s">
        <v>2175</v>
      </c>
      <c r="U1688">
        <v>240</v>
      </c>
      <c r="V1688" t="s">
        <v>2389</v>
      </c>
      <c r="W1688">
        <v>240</v>
      </c>
      <c r="X1688" t="s">
        <v>701</v>
      </c>
      <c r="Y1688" t="s">
        <v>2365</v>
      </c>
      <c r="Z1688" t="s">
        <v>2365</v>
      </c>
      <c r="AA1688" t="s">
        <v>2365</v>
      </c>
      <c r="AB1688" t="s">
        <v>2365</v>
      </c>
      <c r="AC1688" s="813" t="s">
        <v>2365</v>
      </c>
      <c r="AD1688" s="813" t="s">
        <v>2365</v>
      </c>
      <c r="AE1688" s="813" t="s">
        <v>2365</v>
      </c>
      <c r="AF1688" t="s">
        <v>2365</v>
      </c>
      <c r="AG1688">
        <v>1180</v>
      </c>
      <c r="AH1688" t="s">
        <v>1368</v>
      </c>
      <c r="AI1688">
        <v>1180</v>
      </c>
      <c r="AJ1688" t="s">
        <v>1368</v>
      </c>
      <c r="AK1688">
        <v>241</v>
      </c>
      <c r="AL1688" t="s">
        <v>1203</v>
      </c>
      <c r="AM1688">
        <v>241</v>
      </c>
      <c r="AN1688" t="s">
        <v>1203</v>
      </c>
      <c r="AR1688" t="s">
        <v>2365</v>
      </c>
      <c r="AS1688" t="s">
        <v>2365</v>
      </c>
      <c r="AT1688" t="s">
        <v>2365</v>
      </c>
      <c r="AU1688" t="s">
        <v>2365</v>
      </c>
      <c r="AV1688">
        <v>1200</v>
      </c>
      <c r="AW1688" t="s">
        <v>1652</v>
      </c>
      <c r="AX1688">
        <v>1200</v>
      </c>
      <c r="AY1688" t="s">
        <v>1652</v>
      </c>
      <c r="AZ1688" t="s">
        <v>2365</v>
      </c>
      <c r="BA1688" t="s">
        <v>2365</v>
      </c>
      <c r="BB1688" t="s">
        <v>2365</v>
      </c>
      <c r="BC1688" t="s">
        <v>2365</v>
      </c>
      <c r="BD1688" t="s">
        <v>2366</v>
      </c>
      <c r="BE1688" t="s">
        <v>2365</v>
      </c>
      <c r="BF1688" t="s">
        <v>2365</v>
      </c>
      <c r="BG1688" t="s">
        <v>2365</v>
      </c>
      <c r="BH1688" t="s">
        <v>2365</v>
      </c>
      <c r="BI1688" t="s">
        <v>2366</v>
      </c>
      <c r="BJ1688" t="s">
        <v>2365</v>
      </c>
      <c r="BK1688" t="s">
        <v>2365</v>
      </c>
      <c r="BL1688" t="s">
        <v>2365</v>
      </c>
      <c r="BM1688" t="s">
        <v>2365</v>
      </c>
      <c r="BO1688">
        <v>1</v>
      </c>
      <c r="BP1688">
        <v>13</v>
      </c>
      <c r="BQ1688" t="s">
        <v>2369</v>
      </c>
      <c r="BR1688" t="s">
        <v>595</v>
      </c>
      <c r="BU1688">
        <v>12980672</v>
      </c>
      <c r="BV1688">
        <v>0</v>
      </c>
      <c r="BW1688">
        <v>12980672</v>
      </c>
      <c r="BX1688">
        <v>-12980672</v>
      </c>
      <c r="BY1688">
        <v>0</v>
      </c>
      <c r="BZ1688">
        <v>0</v>
      </c>
      <c r="CA1688">
        <v>0</v>
      </c>
      <c r="CB1688">
        <v>0</v>
      </c>
      <c r="CC1688">
        <v>0</v>
      </c>
      <c r="CD1688">
        <v>0</v>
      </c>
      <c r="CE1688">
        <v>0</v>
      </c>
      <c r="CF1688">
        <v>0</v>
      </c>
      <c r="CG1688">
        <v>0</v>
      </c>
      <c r="CH1688">
        <v>0</v>
      </c>
      <c r="CI1688">
        <v>0</v>
      </c>
      <c r="CJ1688">
        <v>0</v>
      </c>
      <c r="CK1688">
        <v>0</v>
      </c>
      <c r="CL1688">
        <v>0</v>
      </c>
      <c r="CM1688">
        <v>0</v>
      </c>
      <c r="CR1688" t="s">
        <v>2337</v>
      </c>
      <c r="CS1688" s="1369" t="str">
        <f>INDEX([8]Sheet1!$H:$H,MATCH(CR:CR,[8]Sheet1!$AU:$AU,0))</f>
        <v>Corporate Wide Strategic Planning (IDPs, LEDs)</v>
      </c>
    </row>
    <row r="1689" spans="1:97" x14ac:dyDescent="0.2">
      <c r="A1689" t="s">
        <v>4814</v>
      </c>
      <c r="B1689">
        <v>1779</v>
      </c>
      <c r="C1689" t="s">
        <v>4814</v>
      </c>
      <c r="D1689">
        <v>54781</v>
      </c>
      <c r="E1689" t="s">
        <v>4815</v>
      </c>
      <c r="F1689" t="s">
        <v>2364</v>
      </c>
      <c r="G1689" t="s">
        <v>2364</v>
      </c>
      <c r="H1689" t="s">
        <v>2365</v>
      </c>
      <c r="I1689" t="s">
        <v>2365</v>
      </c>
      <c r="J1689" t="s">
        <v>2365</v>
      </c>
      <c r="K1689" t="s">
        <v>2365</v>
      </c>
      <c r="L1689">
        <v>1200</v>
      </c>
      <c r="M1689" t="s">
        <v>1480</v>
      </c>
      <c r="N1689">
        <v>1202</v>
      </c>
      <c r="O1689" t="s">
        <v>595</v>
      </c>
      <c r="P1689" t="s">
        <v>2366</v>
      </c>
      <c r="Q1689" t="s">
        <v>2364</v>
      </c>
      <c r="R1689" t="s">
        <v>2364</v>
      </c>
      <c r="S1689" t="s">
        <v>553</v>
      </c>
      <c r="T1689" t="s">
        <v>2175</v>
      </c>
      <c r="U1689">
        <v>240</v>
      </c>
      <c r="V1689" t="s">
        <v>2389</v>
      </c>
      <c r="W1689">
        <v>240</v>
      </c>
      <c r="X1689" t="s">
        <v>701</v>
      </c>
      <c r="Y1689" t="s">
        <v>2365</v>
      </c>
      <c r="Z1689" t="s">
        <v>2365</v>
      </c>
      <c r="AA1689" t="s">
        <v>2365</v>
      </c>
      <c r="AB1689" t="s">
        <v>2365</v>
      </c>
      <c r="AC1689" s="813" t="s">
        <v>2365</v>
      </c>
      <c r="AD1689" s="813" t="s">
        <v>2365</v>
      </c>
      <c r="AE1689" s="813" t="s">
        <v>2365</v>
      </c>
      <c r="AF1689" t="s">
        <v>2365</v>
      </c>
      <c r="AG1689">
        <v>1180</v>
      </c>
      <c r="AH1689" t="s">
        <v>1368</v>
      </c>
      <c r="AI1689">
        <v>1180</v>
      </c>
      <c r="AJ1689" t="s">
        <v>1368</v>
      </c>
      <c r="AK1689">
        <v>243</v>
      </c>
      <c r="AL1689" t="s">
        <v>1205</v>
      </c>
      <c r="AM1689">
        <v>243</v>
      </c>
      <c r="AN1689" t="s">
        <v>1205</v>
      </c>
      <c r="AR1689" t="s">
        <v>2365</v>
      </c>
      <c r="AS1689" t="s">
        <v>2365</v>
      </c>
      <c r="AT1689" t="s">
        <v>2365</v>
      </c>
      <c r="AU1689" t="s">
        <v>2365</v>
      </c>
      <c r="AV1689" t="s">
        <v>2365</v>
      </c>
      <c r="AW1689" t="s">
        <v>2365</v>
      </c>
      <c r="AX1689" t="s">
        <v>2365</v>
      </c>
      <c r="AY1689" t="s">
        <v>2365</v>
      </c>
      <c r="AZ1689" t="s">
        <v>2365</v>
      </c>
      <c r="BA1689" t="s">
        <v>2365</v>
      </c>
      <c r="BB1689" t="s">
        <v>2365</v>
      </c>
      <c r="BC1689" t="s">
        <v>2365</v>
      </c>
      <c r="BD1689" t="s">
        <v>2366</v>
      </c>
      <c r="BE1689" t="s">
        <v>2365</v>
      </c>
      <c r="BF1689" t="s">
        <v>2365</v>
      </c>
      <c r="BG1689" t="s">
        <v>2365</v>
      </c>
      <c r="BH1689" t="s">
        <v>2365</v>
      </c>
      <c r="BI1689" t="s">
        <v>2366</v>
      </c>
      <c r="BJ1689" t="s">
        <v>2365</v>
      </c>
      <c r="BK1689" t="s">
        <v>2365</v>
      </c>
      <c r="BL1689" t="s">
        <v>2365</v>
      </c>
      <c r="BM1689" t="s">
        <v>2365</v>
      </c>
      <c r="BO1689">
        <v>1</v>
      </c>
      <c r="BP1689">
        <v>13</v>
      </c>
      <c r="BQ1689" t="s">
        <v>2369</v>
      </c>
      <c r="BR1689" t="s">
        <v>595</v>
      </c>
      <c r="BU1689">
        <v>0</v>
      </c>
      <c r="BV1689">
        <v>0</v>
      </c>
      <c r="BW1689">
        <v>0</v>
      </c>
      <c r="BX1689">
        <v>0</v>
      </c>
      <c r="BY1689">
        <v>0</v>
      </c>
      <c r="BZ1689">
        <v>0</v>
      </c>
      <c r="CA1689">
        <v>0</v>
      </c>
      <c r="CB1689">
        <v>0</v>
      </c>
      <c r="CC1689">
        <v>0</v>
      </c>
      <c r="CD1689">
        <v>0</v>
      </c>
      <c r="CE1689">
        <v>0</v>
      </c>
      <c r="CF1689">
        <v>0</v>
      </c>
      <c r="CG1689">
        <v>0</v>
      </c>
      <c r="CH1689">
        <v>0</v>
      </c>
      <c r="CI1689">
        <v>0</v>
      </c>
      <c r="CJ1689">
        <v>0</v>
      </c>
      <c r="CK1689">
        <v>0</v>
      </c>
      <c r="CL1689">
        <v>0</v>
      </c>
      <c r="CM1689">
        <v>0</v>
      </c>
      <c r="CR1689" t="s">
        <v>2337</v>
      </c>
      <c r="CS1689" s="1369" t="str">
        <f>INDEX([8]Sheet1!$H:$H,MATCH(CR:CR,[8]Sheet1!$AU:$AU,0))</f>
        <v>Corporate Wide Strategic Planning (IDPs, LEDs)</v>
      </c>
    </row>
    <row r="1690" spans="1:97" x14ac:dyDescent="0.2">
      <c r="A1690" t="s">
        <v>4816</v>
      </c>
      <c r="B1690">
        <v>1780</v>
      </c>
      <c r="C1690" t="s">
        <v>4816</v>
      </c>
      <c r="D1690">
        <v>54782</v>
      </c>
      <c r="E1690" t="s">
        <v>4817</v>
      </c>
      <c r="F1690" t="s">
        <v>2364</v>
      </c>
      <c r="G1690" t="s">
        <v>2364</v>
      </c>
      <c r="H1690" t="s">
        <v>2365</v>
      </c>
      <c r="I1690" t="s">
        <v>2365</v>
      </c>
      <c r="J1690" t="s">
        <v>2365</v>
      </c>
      <c r="K1690" t="s">
        <v>2365</v>
      </c>
      <c r="L1690">
        <v>1200</v>
      </c>
      <c r="M1690" t="s">
        <v>1480</v>
      </c>
      <c r="N1690">
        <v>1202</v>
      </c>
      <c r="O1690" t="s">
        <v>595</v>
      </c>
      <c r="P1690" t="s">
        <v>2366</v>
      </c>
      <c r="Q1690" t="s">
        <v>2364</v>
      </c>
      <c r="R1690" t="s">
        <v>2364</v>
      </c>
      <c r="S1690" t="s">
        <v>552</v>
      </c>
      <c r="T1690" t="s">
        <v>2175</v>
      </c>
      <c r="U1690">
        <v>220</v>
      </c>
      <c r="V1690" t="s">
        <v>4476</v>
      </c>
      <c r="W1690">
        <v>220</v>
      </c>
      <c r="X1690" t="s">
        <v>700</v>
      </c>
      <c r="Y1690" t="s">
        <v>2365</v>
      </c>
      <c r="Z1690" t="s">
        <v>2365</v>
      </c>
      <c r="AA1690" t="s">
        <v>2365</v>
      </c>
      <c r="AB1690" t="s">
        <v>2365</v>
      </c>
      <c r="AC1690" s="813" t="s">
        <v>2365</v>
      </c>
      <c r="AD1690" s="813" t="s">
        <v>2365</v>
      </c>
      <c r="AE1690" s="813" t="s">
        <v>2365</v>
      </c>
      <c r="AF1690" t="s">
        <v>2365</v>
      </c>
      <c r="AG1690">
        <v>1110</v>
      </c>
      <c r="AH1690" t="s">
        <v>768</v>
      </c>
      <c r="AI1690">
        <v>1110</v>
      </c>
      <c r="AJ1690" t="s">
        <v>768</v>
      </c>
      <c r="AK1690" t="s">
        <v>2365</v>
      </c>
      <c r="AL1690" t="s">
        <v>2365</v>
      </c>
      <c r="AM1690" t="s">
        <v>2365</v>
      </c>
      <c r="AN1690" t="s">
        <v>2365</v>
      </c>
      <c r="AR1690" t="s">
        <v>2365</v>
      </c>
      <c r="AS1690" t="s">
        <v>2365</v>
      </c>
      <c r="AT1690" t="s">
        <v>2365</v>
      </c>
      <c r="AU1690" t="s">
        <v>2365</v>
      </c>
      <c r="AV1690">
        <v>1160</v>
      </c>
      <c r="AW1690" t="s">
        <v>1648</v>
      </c>
      <c r="AX1690">
        <v>1160</v>
      </c>
      <c r="AY1690" t="s">
        <v>1648</v>
      </c>
      <c r="AZ1690" t="s">
        <v>2365</v>
      </c>
      <c r="BA1690" t="s">
        <v>2365</v>
      </c>
      <c r="BB1690" t="s">
        <v>2365</v>
      </c>
      <c r="BC1690" t="s">
        <v>2365</v>
      </c>
      <c r="BD1690" t="s">
        <v>2366</v>
      </c>
      <c r="BE1690" t="s">
        <v>2365</v>
      </c>
      <c r="BF1690" t="s">
        <v>2365</v>
      </c>
      <c r="BG1690" t="s">
        <v>2365</v>
      </c>
      <c r="BH1690" t="s">
        <v>2365</v>
      </c>
      <c r="BI1690" t="s">
        <v>2366</v>
      </c>
      <c r="BJ1690" t="s">
        <v>2365</v>
      </c>
      <c r="BK1690" t="s">
        <v>2365</v>
      </c>
      <c r="BL1690" t="s">
        <v>2365</v>
      </c>
      <c r="BM1690" t="s">
        <v>2365</v>
      </c>
      <c r="BO1690">
        <v>1</v>
      </c>
      <c r="BP1690">
        <v>13</v>
      </c>
      <c r="BQ1690" t="s">
        <v>2369</v>
      </c>
      <c r="BR1690" t="s">
        <v>595</v>
      </c>
      <c r="BU1690">
        <v>4523600</v>
      </c>
      <c r="BV1690">
        <v>0</v>
      </c>
      <c r="BW1690">
        <v>4523600</v>
      </c>
      <c r="BX1690">
        <v>-4523600</v>
      </c>
      <c r="BY1690">
        <v>0</v>
      </c>
      <c r="BZ1690">
        <v>0</v>
      </c>
      <c r="CA1690">
        <v>0</v>
      </c>
      <c r="CB1690">
        <v>0</v>
      </c>
      <c r="CC1690">
        <v>0</v>
      </c>
      <c r="CD1690">
        <v>0</v>
      </c>
      <c r="CE1690">
        <v>0</v>
      </c>
      <c r="CF1690">
        <v>0</v>
      </c>
      <c r="CG1690">
        <v>0</v>
      </c>
      <c r="CH1690">
        <v>0</v>
      </c>
      <c r="CI1690">
        <v>0</v>
      </c>
      <c r="CJ1690">
        <v>0</v>
      </c>
      <c r="CK1690">
        <v>0</v>
      </c>
      <c r="CL1690">
        <v>0</v>
      </c>
      <c r="CM1690">
        <v>0</v>
      </c>
      <c r="CR1690" t="s">
        <v>2337</v>
      </c>
      <c r="CS1690" s="1369" t="str">
        <f>INDEX([8]Sheet1!$H:$H,MATCH(CR:CR,[8]Sheet1!$AU:$AU,0))</f>
        <v>Corporate Wide Strategic Planning (IDPs, LEDs)</v>
      </c>
    </row>
    <row r="1691" spans="1:97" x14ac:dyDescent="0.2">
      <c r="A1691" t="s">
        <v>4818</v>
      </c>
      <c r="B1691">
        <v>1781</v>
      </c>
      <c r="C1691" t="s">
        <v>4818</v>
      </c>
      <c r="D1691">
        <v>54783</v>
      </c>
      <c r="E1691" t="s">
        <v>4819</v>
      </c>
      <c r="F1691" t="s">
        <v>2364</v>
      </c>
      <c r="G1691" t="s">
        <v>2364</v>
      </c>
      <c r="H1691" t="s">
        <v>2365</v>
      </c>
      <c r="I1691" t="s">
        <v>2365</v>
      </c>
      <c r="J1691" t="s">
        <v>2365</v>
      </c>
      <c r="K1691" t="s">
        <v>2365</v>
      </c>
      <c r="L1691">
        <v>1200</v>
      </c>
      <c r="M1691" t="s">
        <v>1480</v>
      </c>
      <c r="N1691">
        <v>1202</v>
      </c>
      <c r="O1691" t="s">
        <v>595</v>
      </c>
      <c r="P1691" t="s">
        <v>2366</v>
      </c>
      <c r="Q1691" t="s">
        <v>2364</v>
      </c>
      <c r="R1691" t="s">
        <v>2364</v>
      </c>
      <c r="S1691" t="s">
        <v>553</v>
      </c>
      <c r="T1691" t="s">
        <v>2175</v>
      </c>
      <c r="U1691">
        <v>240</v>
      </c>
      <c r="V1691" t="s">
        <v>2389</v>
      </c>
      <c r="W1691">
        <v>240</v>
      </c>
      <c r="X1691" t="s">
        <v>701</v>
      </c>
      <c r="Y1691" t="s">
        <v>2365</v>
      </c>
      <c r="Z1691" t="s">
        <v>2365</v>
      </c>
      <c r="AA1691" t="s">
        <v>2365</v>
      </c>
      <c r="AB1691" t="s">
        <v>2365</v>
      </c>
      <c r="AC1691" s="813" t="s">
        <v>2365</v>
      </c>
      <c r="AD1691" s="813" t="s">
        <v>2365</v>
      </c>
      <c r="AE1691" s="813" t="s">
        <v>2365</v>
      </c>
      <c r="AF1691" t="s">
        <v>2365</v>
      </c>
      <c r="AG1691" t="s">
        <v>2365</v>
      </c>
      <c r="AH1691" t="s">
        <v>2365</v>
      </c>
      <c r="AI1691" t="s">
        <v>2365</v>
      </c>
      <c r="AJ1691" t="s">
        <v>2365</v>
      </c>
      <c r="AK1691">
        <v>241</v>
      </c>
      <c r="AL1691" t="s">
        <v>1203</v>
      </c>
      <c r="AM1691">
        <v>241</v>
      </c>
      <c r="AN1691" t="s">
        <v>1203</v>
      </c>
      <c r="AR1691" t="s">
        <v>2365</v>
      </c>
      <c r="AS1691" t="s">
        <v>2365</v>
      </c>
      <c r="AT1691" t="s">
        <v>2365</v>
      </c>
      <c r="AU1691" t="s">
        <v>2365</v>
      </c>
      <c r="AV1691" t="s">
        <v>2365</v>
      </c>
      <c r="AW1691" t="s">
        <v>2365</v>
      </c>
      <c r="AX1691" t="s">
        <v>2365</v>
      </c>
      <c r="AY1691" t="s">
        <v>2365</v>
      </c>
      <c r="AZ1691" t="s">
        <v>2365</v>
      </c>
      <c r="BA1691" t="s">
        <v>2365</v>
      </c>
      <c r="BB1691" t="s">
        <v>2365</v>
      </c>
      <c r="BC1691" t="s">
        <v>2365</v>
      </c>
      <c r="BD1691" t="s">
        <v>2366</v>
      </c>
      <c r="BE1691" t="s">
        <v>2365</v>
      </c>
      <c r="BF1691" t="s">
        <v>2365</v>
      </c>
      <c r="BG1691" t="s">
        <v>2365</v>
      </c>
      <c r="BH1691" t="s">
        <v>2365</v>
      </c>
      <c r="BI1691" t="s">
        <v>2366</v>
      </c>
      <c r="BJ1691" t="s">
        <v>2365</v>
      </c>
      <c r="BK1691" t="s">
        <v>2365</v>
      </c>
      <c r="BL1691" t="s">
        <v>2365</v>
      </c>
      <c r="BM1691" t="s">
        <v>2365</v>
      </c>
      <c r="BO1691">
        <v>1</v>
      </c>
      <c r="BP1691">
        <v>13</v>
      </c>
      <c r="BQ1691" t="s">
        <v>2369</v>
      </c>
      <c r="BR1691" t="s">
        <v>595</v>
      </c>
      <c r="BU1691">
        <v>8834279</v>
      </c>
      <c r="BV1691">
        <v>0</v>
      </c>
      <c r="BW1691">
        <v>8834279</v>
      </c>
      <c r="BX1691">
        <v>-8834279</v>
      </c>
      <c r="BY1691">
        <v>0</v>
      </c>
      <c r="BZ1691">
        <v>0</v>
      </c>
      <c r="CA1691">
        <v>0</v>
      </c>
      <c r="CB1691">
        <v>0</v>
      </c>
      <c r="CC1691">
        <v>0</v>
      </c>
      <c r="CD1691">
        <v>0</v>
      </c>
      <c r="CE1691">
        <v>0</v>
      </c>
      <c r="CF1691">
        <v>0</v>
      </c>
      <c r="CG1691">
        <v>0</v>
      </c>
      <c r="CH1691">
        <v>0</v>
      </c>
      <c r="CI1691">
        <v>0</v>
      </c>
      <c r="CJ1691">
        <v>0</v>
      </c>
      <c r="CK1691">
        <v>0</v>
      </c>
      <c r="CL1691">
        <v>0</v>
      </c>
      <c r="CM1691">
        <v>0</v>
      </c>
      <c r="CR1691" t="s">
        <v>2337</v>
      </c>
      <c r="CS1691" s="1369" t="str">
        <f>INDEX([8]Sheet1!$H:$H,MATCH(CR:CR,[8]Sheet1!$AU:$AU,0))</f>
        <v>Corporate Wide Strategic Planning (IDPs, LEDs)</v>
      </c>
    </row>
    <row r="1692" spans="1:97" x14ac:dyDescent="0.2">
      <c r="A1692" t="s">
        <v>4820</v>
      </c>
      <c r="B1692">
        <v>1782</v>
      </c>
      <c r="C1692" t="s">
        <v>4820</v>
      </c>
      <c r="D1692">
        <v>54784</v>
      </c>
      <c r="E1692" t="s">
        <v>4821</v>
      </c>
      <c r="F1692" t="s">
        <v>2364</v>
      </c>
      <c r="G1692" t="s">
        <v>2364</v>
      </c>
      <c r="H1692" t="s">
        <v>2365</v>
      </c>
      <c r="I1692" t="s">
        <v>2365</v>
      </c>
      <c r="J1692" t="s">
        <v>2365</v>
      </c>
      <c r="K1692" t="s">
        <v>2365</v>
      </c>
      <c r="L1692">
        <v>1200</v>
      </c>
      <c r="M1692" t="s">
        <v>1480</v>
      </c>
      <c r="N1692">
        <v>1202</v>
      </c>
      <c r="O1692" t="s">
        <v>595</v>
      </c>
      <c r="P1692" t="s">
        <v>2366</v>
      </c>
      <c r="Q1692" t="s">
        <v>2364</v>
      </c>
      <c r="R1692" t="s">
        <v>2364</v>
      </c>
      <c r="S1692" t="s">
        <v>552</v>
      </c>
      <c r="T1692" t="s">
        <v>2175</v>
      </c>
      <c r="U1692">
        <v>240</v>
      </c>
      <c r="V1692" t="s">
        <v>2389</v>
      </c>
      <c r="W1692">
        <v>240</v>
      </c>
      <c r="X1692" t="s">
        <v>701</v>
      </c>
      <c r="Y1692" t="s">
        <v>2365</v>
      </c>
      <c r="Z1692" t="s">
        <v>2365</v>
      </c>
      <c r="AA1692" t="s">
        <v>2365</v>
      </c>
      <c r="AB1692" t="s">
        <v>2365</v>
      </c>
      <c r="AC1692" s="813" t="s">
        <v>2365</v>
      </c>
      <c r="AD1692" s="813" t="s">
        <v>2365</v>
      </c>
      <c r="AE1692" s="813" t="s">
        <v>2365</v>
      </c>
      <c r="AF1692" t="s">
        <v>2365</v>
      </c>
      <c r="AG1692">
        <v>1550</v>
      </c>
      <c r="AH1692" t="s">
        <v>1734</v>
      </c>
      <c r="AI1692">
        <v>1550</v>
      </c>
      <c r="AJ1692" t="s">
        <v>1734</v>
      </c>
      <c r="AK1692">
        <v>241</v>
      </c>
      <c r="AL1692" t="s">
        <v>1203</v>
      </c>
      <c r="AM1692">
        <v>241</v>
      </c>
      <c r="AN1692" t="s">
        <v>1203</v>
      </c>
      <c r="AR1692">
        <v>1550</v>
      </c>
      <c r="AS1692" t="s">
        <v>1734</v>
      </c>
      <c r="AT1692">
        <v>1550</v>
      </c>
      <c r="AU1692" t="s">
        <v>1734</v>
      </c>
      <c r="AV1692" t="s">
        <v>2365</v>
      </c>
      <c r="AW1692" t="s">
        <v>2365</v>
      </c>
      <c r="AX1692" t="s">
        <v>2365</v>
      </c>
      <c r="AY1692" t="s">
        <v>2365</v>
      </c>
      <c r="AZ1692" t="s">
        <v>2365</v>
      </c>
      <c r="BA1692" t="s">
        <v>2365</v>
      </c>
      <c r="BB1692" t="s">
        <v>2365</v>
      </c>
      <c r="BC1692" t="s">
        <v>2365</v>
      </c>
      <c r="BD1692" t="s">
        <v>2366</v>
      </c>
      <c r="BE1692" t="s">
        <v>2365</v>
      </c>
      <c r="BF1692" t="s">
        <v>2365</v>
      </c>
      <c r="BG1692" t="s">
        <v>2365</v>
      </c>
      <c r="BH1692" t="s">
        <v>2365</v>
      </c>
      <c r="BI1692" t="s">
        <v>2366</v>
      </c>
      <c r="BJ1692" t="s">
        <v>2365</v>
      </c>
      <c r="BK1692" t="s">
        <v>2365</v>
      </c>
      <c r="BL1692" t="s">
        <v>2365</v>
      </c>
      <c r="BM1692" t="s">
        <v>2365</v>
      </c>
      <c r="BO1692">
        <v>1</v>
      </c>
      <c r="BP1692">
        <v>13</v>
      </c>
      <c r="BQ1692" t="s">
        <v>2369</v>
      </c>
      <c r="BR1692" t="s">
        <v>595</v>
      </c>
      <c r="BU1692">
        <v>728000</v>
      </c>
      <c r="BV1692">
        <v>0</v>
      </c>
      <c r="BW1692">
        <v>728000</v>
      </c>
      <c r="BX1692">
        <v>-728000</v>
      </c>
      <c r="BY1692">
        <v>0</v>
      </c>
      <c r="BZ1692">
        <v>0</v>
      </c>
      <c r="CA1692">
        <v>0</v>
      </c>
      <c r="CB1692">
        <v>0</v>
      </c>
      <c r="CC1692">
        <v>0</v>
      </c>
      <c r="CD1692">
        <v>0</v>
      </c>
      <c r="CE1692">
        <v>0</v>
      </c>
      <c r="CF1692">
        <v>0</v>
      </c>
      <c r="CG1692">
        <v>0</v>
      </c>
      <c r="CH1692">
        <v>0</v>
      </c>
      <c r="CI1692">
        <v>0</v>
      </c>
      <c r="CJ1692">
        <v>0</v>
      </c>
      <c r="CK1692">
        <v>0</v>
      </c>
      <c r="CL1692">
        <v>0</v>
      </c>
      <c r="CM1692">
        <v>0</v>
      </c>
      <c r="CR1692" t="s">
        <v>2337</v>
      </c>
      <c r="CS1692" s="1369" t="str">
        <f>INDEX([8]Sheet1!$H:$H,MATCH(CR:CR,[8]Sheet1!$AU:$AU,0))</f>
        <v>Corporate Wide Strategic Planning (IDPs, LEDs)</v>
      </c>
    </row>
    <row r="1693" spans="1:97" x14ac:dyDescent="0.2">
      <c r="A1693" t="s">
        <v>4822</v>
      </c>
      <c r="B1693">
        <v>1783</v>
      </c>
      <c r="C1693" t="s">
        <v>4822</v>
      </c>
      <c r="D1693">
        <v>54785</v>
      </c>
      <c r="E1693" t="s">
        <v>2437</v>
      </c>
      <c r="F1693" t="s">
        <v>2364</v>
      </c>
      <c r="G1693" t="s">
        <v>2364</v>
      </c>
      <c r="H1693" t="s">
        <v>2365</v>
      </c>
      <c r="I1693" t="s">
        <v>2365</v>
      </c>
      <c r="J1693" t="s">
        <v>2365</v>
      </c>
      <c r="K1693" t="s">
        <v>2365</v>
      </c>
      <c r="L1693">
        <v>2100</v>
      </c>
      <c r="M1693" t="s">
        <v>618</v>
      </c>
      <c r="N1693">
        <v>2106</v>
      </c>
      <c r="O1693" t="s">
        <v>1499</v>
      </c>
      <c r="P1693" t="s">
        <v>1846</v>
      </c>
      <c r="Q1693">
        <v>2010</v>
      </c>
      <c r="R1693" t="s">
        <v>668</v>
      </c>
      <c r="S1693" t="s">
        <v>552</v>
      </c>
      <c r="T1693" t="s">
        <v>2175</v>
      </c>
      <c r="U1693">
        <v>240</v>
      </c>
      <c r="V1693" t="s">
        <v>2389</v>
      </c>
      <c r="W1693">
        <v>240</v>
      </c>
      <c r="X1693" t="s">
        <v>701</v>
      </c>
      <c r="Y1693" t="s">
        <v>2365</v>
      </c>
      <c r="Z1693" t="s">
        <v>2365</v>
      </c>
      <c r="AA1693" t="s">
        <v>2365</v>
      </c>
      <c r="AB1693" t="s">
        <v>2365</v>
      </c>
      <c r="AC1693" s="813" t="s">
        <v>2365</v>
      </c>
      <c r="AD1693" s="813" t="s">
        <v>2365</v>
      </c>
      <c r="AE1693" s="813" t="s">
        <v>2365</v>
      </c>
      <c r="AF1693" t="s">
        <v>2365</v>
      </c>
      <c r="AG1693" t="s">
        <v>2365</v>
      </c>
      <c r="AH1693" t="s">
        <v>2365</v>
      </c>
      <c r="AI1693" t="s">
        <v>2365</v>
      </c>
      <c r="AJ1693" t="s">
        <v>2365</v>
      </c>
      <c r="AK1693">
        <v>241</v>
      </c>
      <c r="AL1693" t="s">
        <v>1203</v>
      </c>
      <c r="AM1693">
        <v>241</v>
      </c>
      <c r="AN1693" t="s">
        <v>1203</v>
      </c>
      <c r="AR1693">
        <v>790</v>
      </c>
      <c r="AS1693" t="s">
        <v>1622</v>
      </c>
      <c r="AT1693">
        <v>790</v>
      </c>
      <c r="AU1693" t="s">
        <v>1622</v>
      </c>
      <c r="AV1693" t="s">
        <v>2365</v>
      </c>
      <c r="AW1693" t="s">
        <v>2365</v>
      </c>
      <c r="AX1693" t="s">
        <v>2365</v>
      </c>
      <c r="AY1693" t="s">
        <v>2365</v>
      </c>
      <c r="AZ1693" t="s">
        <v>2365</v>
      </c>
      <c r="BA1693" t="s">
        <v>2365</v>
      </c>
      <c r="BB1693" t="s">
        <v>2365</v>
      </c>
      <c r="BC1693" t="s">
        <v>2365</v>
      </c>
      <c r="BD1693" t="s">
        <v>2366</v>
      </c>
      <c r="BE1693" t="s">
        <v>2365</v>
      </c>
      <c r="BF1693" t="s">
        <v>2365</v>
      </c>
      <c r="BG1693" t="s">
        <v>2365</v>
      </c>
      <c r="BH1693" t="s">
        <v>2365</v>
      </c>
      <c r="BI1693" t="s">
        <v>2366</v>
      </c>
      <c r="BJ1693" t="s">
        <v>2365</v>
      </c>
      <c r="BK1693" t="s">
        <v>2365</v>
      </c>
      <c r="BL1693" t="s">
        <v>2365</v>
      </c>
      <c r="BM1693" t="s">
        <v>2365</v>
      </c>
      <c r="BO1693">
        <v>5</v>
      </c>
      <c r="BP1693">
        <v>53</v>
      </c>
      <c r="BQ1693" t="s">
        <v>2438</v>
      </c>
      <c r="BR1693" t="s">
        <v>1499</v>
      </c>
      <c r="BU1693">
        <v>507082</v>
      </c>
      <c r="BV1693">
        <v>0</v>
      </c>
      <c r="BW1693">
        <v>507082</v>
      </c>
      <c r="BX1693">
        <v>-507082</v>
      </c>
      <c r="BY1693">
        <v>0</v>
      </c>
      <c r="BZ1693">
        <v>0</v>
      </c>
      <c r="CA1693">
        <v>0</v>
      </c>
      <c r="CB1693">
        <v>0</v>
      </c>
      <c r="CC1693">
        <v>0</v>
      </c>
      <c r="CD1693">
        <v>331712.01</v>
      </c>
      <c r="CE1693">
        <v>0</v>
      </c>
      <c r="CF1693">
        <v>0</v>
      </c>
      <c r="CG1693">
        <v>0</v>
      </c>
      <c r="CH1693">
        <v>0</v>
      </c>
      <c r="CI1693">
        <v>0</v>
      </c>
      <c r="CJ1693">
        <v>0</v>
      </c>
      <c r="CK1693">
        <v>0</v>
      </c>
      <c r="CL1693">
        <v>0</v>
      </c>
      <c r="CM1693">
        <v>0</v>
      </c>
      <c r="CR1693" t="s">
        <v>2328</v>
      </c>
      <c r="CS1693" s="1369" t="str">
        <f>INDEX([8]Sheet1!$H:$H,MATCH(CR:CR,[8]Sheet1!$AU:$AU,0))</f>
        <v>Water Distribution</v>
      </c>
    </row>
    <row r="1694" spans="1:97" x14ac:dyDescent="0.2">
      <c r="A1694" t="s">
        <v>4823</v>
      </c>
      <c r="B1694">
        <v>1784</v>
      </c>
      <c r="C1694" t="s">
        <v>4823</v>
      </c>
      <c r="D1694">
        <v>54786</v>
      </c>
      <c r="E1694" t="s">
        <v>2701</v>
      </c>
      <c r="F1694" t="s">
        <v>2364</v>
      </c>
      <c r="G1694" t="s">
        <v>2364</v>
      </c>
      <c r="H1694" t="s">
        <v>2365</v>
      </c>
      <c r="I1694" t="s">
        <v>2365</v>
      </c>
      <c r="J1694" t="s">
        <v>2365</v>
      </c>
      <c r="K1694" t="s">
        <v>2365</v>
      </c>
      <c r="L1694">
        <v>3200</v>
      </c>
      <c r="M1694" t="s">
        <v>625</v>
      </c>
      <c r="N1694">
        <v>3205</v>
      </c>
      <c r="O1694" t="s">
        <v>1002</v>
      </c>
      <c r="P1694" t="s">
        <v>1846</v>
      </c>
      <c r="Q1694">
        <v>2080</v>
      </c>
      <c r="R1694" t="s">
        <v>579</v>
      </c>
      <c r="S1694" t="s">
        <v>552</v>
      </c>
      <c r="T1694" t="s">
        <v>2175</v>
      </c>
      <c r="U1694">
        <v>240</v>
      </c>
      <c r="V1694" t="s">
        <v>2389</v>
      </c>
      <c r="W1694">
        <v>240</v>
      </c>
      <c r="X1694" t="s">
        <v>701</v>
      </c>
      <c r="Y1694" t="s">
        <v>2365</v>
      </c>
      <c r="Z1694" t="s">
        <v>2365</v>
      </c>
      <c r="AA1694" t="s">
        <v>2365</v>
      </c>
      <c r="AB1694" t="s">
        <v>2365</v>
      </c>
      <c r="AC1694" s="813" t="s">
        <v>2365</v>
      </c>
      <c r="AD1694" s="813" t="s">
        <v>2365</v>
      </c>
      <c r="AE1694" s="813" t="s">
        <v>2365</v>
      </c>
      <c r="AF1694" t="s">
        <v>2365</v>
      </c>
      <c r="AG1694">
        <v>1530</v>
      </c>
      <c r="AH1694" t="s">
        <v>1677</v>
      </c>
      <c r="AI1694">
        <v>1530</v>
      </c>
      <c r="AJ1694" t="s">
        <v>1677</v>
      </c>
      <c r="AK1694">
        <v>241</v>
      </c>
      <c r="AL1694" t="s">
        <v>1203</v>
      </c>
      <c r="AM1694">
        <v>241</v>
      </c>
      <c r="AN1694" t="s">
        <v>1203</v>
      </c>
      <c r="AR1694">
        <v>1530</v>
      </c>
      <c r="AS1694" t="s">
        <v>1677</v>
      </c>
      <c r="AT1694">
        <v>1530</v>
      </c>
      <c r="AU1694" t="s">
        <v>1677</v>
      </c>
      <c r="AV1694" t="s">
        <v>2365</v>
      </c>
      <c r="AW1694" t="s">
        <v>2365</v>
      </c>
      <c r="AX1694" t="s">
        <v>2365</v>
      </c>
      <c r="AY1694" t="s">
        <v>2365</v>
      </c>
      <c r="AZ1694" t="s">
        <v>2365</v>
      </c>
      <c r="BA1694" t="s">
        <v>2365</v>
      </c>
      <c r="BB1694" t="s">
        <v>2365</v>
      </c>
      <c r="BC1694" t="s">
        <v>2365</v>
      </c>
      <c r="BD1694" t="s">
        <v>2366</v>
      </c>
      <c r="BE1694" t="s">
        <v>2365</v>
      </c>
      <c r="BF1694" t="s">
        <v>2365</v>
      </c>
      <c r="BG1694" t="s">
        <v>2365</v>
      </c>
      <c r="BH1694" t="s">
        <v>2365</v>
      </c>
      <c r="BI1694" t="s">
        <v>2366</v>
      </c>
      <c r="BJ1694" t="s">
        <v>2365</v>
      </c>
      <c r="BK1694" t="s">
        <v>2365</v>
      </c>
      <c r="BL1694" t="s">
        <v>2365</v>
      </c>
      <c r="BM1694" t="s">
        <v>2365</v>
      </c>
      <c r="BO1694">
        <v>7</v>
      </c>
      <c r="BP1694">
        <v>71</v>
      </c>
      <c r="BQ1694" t="s">
        <v>2665</v>
      </c>
      <c r="BR1694" t="s">
        <v>1002</v>
      </c>
      <c r="BU1694">
        <v>0</v>
      </c>
      <c r="BV1694">
        <v>0</v>
      </c>
      <c r="BW1694">
        <v>0</v>
      </c>
      <c r="BX1694">
        <v>0</v>
      </c>
      <c r="BY1694">
        <v>0</v>
      </c>
      <c r="BZ1694">
        <v>0</v>
      </c>
      <c r="CA1694">
        <v>0</v>
      </c>
      <c r="CB1694">
        <v>0</v>
      </c>
      <c r="CC1694">
        <v>0</v>
      </c>
      <c r="CD1694">
        <v>0</v>
      </c>
      <c r="CE1694">
        <v>0</v>
      </c>
      <c r="CF1694">
        <v>0</v>
      </c>
      <c r="CG1694">
        <v>0</v>
      </c>
      <c r="CH1694">
        <v>0</v>
      </c>
      <c r="CI1694">
        <v>0</v>
      </c>
      <c r="CJ1694">
        <v>0</v>
      </c>
      <c r="CK1694">
        <v>0</v>
      </c>
      <c r="CL1694">
        <v>0</v>
      </c>
      <c r="CM1694">
        <v>0</v>
      </c>
      <c r="CR1694" t="s">
        <v>2328</v>
      </c>
      <c r="CS1694" s="1369" t="str">
        <f>INDEX([8]Sheet1!$H:$H,MATCH(CR:CR,[8]Sheet1!$AU:$AU,0))</f>
        <v>Water Distribution</v>
      </c>
    </row>
    <row r="1695" spans="1:97" x14ac:dyDescent="0.2">
      <c r="A1695" t="s">
        <v>4824</v>
      </c>
      <c r="B1695">
        <v>1785</v>
      </c>
      <c r="C1695" t="s">
        <v>4824</v>
      </c>
      <c r="D1695">
        <v>54787</v>
      </c>
      <c r="E1695" t="s">
        <v>2636</v>
      </c>
      <c r="F1695" t="s">
        <v>2364</v>
      </c>
      <c r="G1695" t="s">
        <v>2364</v>
      </c>
      <c r="H1695" t="s">
        <v>2365</v>
      </c>
      <c r="I1695" t="s">
        <v>2365</v>
      </c>
      <c r="J1695" t="s">
        <v>2365</v>
      </c>
      <c r="K1695" t="s">
        <v>2365</v>
      </c>
      <c r="L1695">
        <v>3200</v>
      </c>
      <c r="M1695" t="s">
        <v>625</v>
      </c>
      <c r="N1695">
        <v>3205</v>
      </c>
      <c r="O1695" t="s">
        <v>1002</v>
      </c>
      <c r="P1695" t="s">
        <v>1846</v>
      </c>
      <c r="Q1695">
        <v>2080</v>
      </c>
      <c r="R1695" t="s">
        <v>579</v>
      </c>
      <c r="S1695" t="s">
        <v>552</v>
      </c>
      <c r="T1695" t="s">
        <v>2175</v>
      </c>
      <c r="U1695">
        <v>240</v>
      </c>
      <c r="V1695" t="s">
        <v>2389</v>
      </c>
      <c r="W1695">
        <v>240</v>
      </c>
      <c r="X1695" t="s">
        <v>701</v>
      </c>
      <c r="Y1695" t="s">
        <v>2365</v>
      </c>
      <c r="Z1695" t="s">
        <v>2365</v>
      </c>
      <c r="AA1695" t="s">
        <v>2365</v>
      </c>
      <c r="AB1695" t="s">
        <v>2365</v>
      </c>
      <c r="AC1695" s="813" t="s">
        <v>2365</v>
      </c>
      <c r="AD1695" s="813" t="s">
        <v>2365</v>
      </c>
      <c r="AE1695" s="813" t="s">
        <v>2365</v>
      </c>
      <c r="AF1695" t="s">
        <v>2365</v>
      </c>
      <c r="AG1695">
        <v>1510</v>
      </c>
      <c r="AH1695" t="s">
        <v>1676</v>
      </c>
      <c r="AI1695">
        <v>1510</v>
      </c>
      <c r="AJ1695" t="s">
        <v>1676</v>
      </c>
      <c r="AK1695">
        <v>241</v>
      </c>
      <c r="AL1695" t="s">
        <v>1203</v>
      </c>
      <c r="AM1695">
        <v>241</v>
      </c>
      <c r="AN1695" t="s">
        <v>1203</v>
      </c>
      <c r="AR1695">
        <v>1510</v>
      </c>
      <c r="AS1695" t="s">
        <v>1676</v>
      </c>
      <c r="AT1695">
        <v>1510</v>
      </c>
      <c r="AU1695" t="s">
        <v>1676</v>
      </c>
      <c r="AV1695" t="s">
        <v>2365</v>
      </c>
      <c r="AW1695" t="s">
        <v>2365</v>
      </c>
      <c r="AX1695" t="s">
        <v>2365</v>
      </c>
      <c r="AY1695" t="s">
        <v>2365</v>
      </c>
      <c r="AZ1695" t="s">
        <v>2365</v>
      </c>
      <c r="BA1695" t="s">
        <v>2365</v>
      </c>
      <c r="BB1695" t="s">
        <v>2365</v>
      </c>
      <c r="BC1695" t="s">
        <v>2365</v>
      </c>
      <c r="BD1695" t="s">
        <v>2366</v>
      </c>
      <c r="BE1695" t="s">
        <v>2365</v>
      </c>
      <c r="BF1695" t="s">
        <v>2365</v>
      </c>
      <c r="BG1695" t="s">
        <v>2365</v>
      </c>
      <c r="BH1695" t="s">
        <v>2365</v>
      </c>
      <c r="BI1695" t="s">
        <v>2366</v>
      </c>
      <c r="BJ1695" t="s">
        <v>2365</v>
      </c>
      <c r="BK1695" t="s">
        <v>2365</v>
      </c>
      <c r="BL1695" t="s">
        <v>2365</v>
      </c>
      <c r="BM1695" t="s">
        <v>2365</v>
      </c>
      <c r="BO1695">
        <v>7</v>
      </c>
      <c r="BP1695">
        <v>71</v>
      </c>
      <c r="BQ1695" t="s">
        <v>2665</v>
      </c>
      <c r="BR1695" t="s">
        <v>1002</v>
      </c>
      <c r="BU1695">
        <v>0</v>
      </c>
      <c r="BV1695">
        <v>0</v>
      </c>
      <c r="BW1695">
        <v>0</v>
      </c>
      <c r="BX1695">
        <v>0</v>
      </c>
      <c r="BY1695">
        <v>0</v>
      </c>
      <c r="BZ1695">
        <v>0</v>
      </c>
      <c r="CA1695">
        <v>0</v>
      </c>
      <c r="CB1695">
        <v>0</v>
      </c>
      <c r="CC1695">
        <v>0</v>
      </c>
      <c r="CD1695">
        <v>0</v>
      </c>
      <c r="CE1695">
        <v>0</v>
      </c>
      <c r="CF1695">
        <v>0</v>
      </c>
      <c r="CG1695">
        <v>0</v>
      </c>
      <c r="CH1695">
        <v>0</v>
      </c>
      <c r="CI1695">
        <v>0</v>
      </c>
      <c r="CJ1695">
        <v>0</v>
      </c>
      <c r="CK1695">
        <v>0</v>
      </c>
      <c r="CL1695">
        <v>0</v>
      </c>
      <c r="CM1695">
        <v>0</v>
      </c>
      <c r="CR1695" t="s">
        <v>2328</v>
      </c>
      <c r="CS1695" s="1369" t="str">
        <f>INDEX([8]Sheet1!$H:$H,MATCH(CR:CR,[8]Sheet1!$AU:$AU,0))</f>
        <v>Water Distribution</v>
      </c>
    </row>
    <row r="1696" spans="1:97" x14ac:dyDescent="0.2">
      <c r="A1696" t="s">
        <v>4825</v>
      </c>
      <c r="B1696">
        <v>1790</v>
      </c>
      <c r="C1696" t="s">
        <v>4825</v>
      </c>
      <c r="D1696">
        <v>54788</v>
      </c>
      <c r="E1696" t="s">
        <v>4419</v>
      </c>
      <c r="F1696" t="s">
        <v>2364</v>
      </c>
      <c r="G1696" t="s">
        <v>2364</v>
      </c>
      <c r="H1696" t="s">
        <v>2365</v>
      </c>
      <c r="I1696" t="s">
        <v>2365</v>
      </c>
      <c r="J1696" t="s">
        <v>2365</v>
      </c>
      <c r="K1696" t="s">
        <v>2365</v>
      </c>
      <c r="L1696">
        <v>2200</v>
      </c>
      <c r="M1696" t="s">
        <v>619</v>
      </c>
      <c r="N1696">
        <v>2205</v>
      </c>
      <c r="O1696" t="s">
        <v>1517</v>
      </c>
      <c r="P1696" t="s">
        <v>2366</v>
      </c>
      <c r="Q1696" t="s">
        <v>2364</v>
      </c>
      <c r="R1696" t="s">
        <v>2364</v>
      </c>
      <c r="S1696" t="s">
        <v>553</v>
      </c>
      <c r="T1696" t="s">
        <v>2367</v>
      </c>
      <c r="U1696">
        <v>360</v>
      </c>
      <c r="V1696" t="s">
        <v>2368</v>
      </c>
      <c r="W1696">
        <v>360</v>
      </c>
      <c r="X1696" t="s">
        <v>711</v>
      </c>
      <c r="Y1696" t="s">
        <v>2365</v>
      </c>
      <c r="Z1696" t="s">
        <v>2365</v>
      </c>
      <c r="AA1696" t="s">
        <v>2365</v>
      </c>
      <c r="AB1696" t="s">
        <v>2365</v>
      </c>
      <c r="AC1696" s="813" t="s">
        <v>2365</v>
      </c>
      <c r="AD1696" s="813" t="s">
        <v>2365</v>
      </c>
      <c r="AE1696" s="813" t="s">
        <v>2365</v>
      </c>
      <c r="AF1696" t="s">
        <v>2365</v>
      </c>
      <c r="AG1696" t="s">
        <v>2365</v>
      </c>
      <c r="AH1696" t="s">
        <v>2365</v>
      </c>
      <c r="AI1696" t="s">
        <v>2365</v>
      </c>
      <c r="AJ1696" t="s">
        <v>2365</v>
      </c>
      <c r="AK1696">
        <v>363</v>
      </c>
      <c r="AL1696" t="s">
        <v>748</v>
      </c>
      <c r="AM1696">
        <v>363</v>
      </c>
      <c r="AN1696" t="s">
        <v>748</v>
      </c>
      <c r="AR1696" t="s">
        <v>2365</v>
      </c>
      <c r="AS1696" t="s">
        <v>2365</v>
      </c>
      <c r="AT1696" t="s">
        <v>2365</v>
      </c>
      <c r="AU1696" t="s">
        <v>2365</v>
      </c>
      <c r="AV1696" t="s">
        <v>2365</v>
      </c>
      <c r="AW1696" t="s">
        <v>2365</v>
      </c>
      <c r="AX1696" t="s">
        <v>2365</v>
      </c>
      <c r="AY1696" t="s">
        <v>2365</v>
      </c>
      <c r="AZ1696" t="s">
        <v>2365</v>
      </c>
      <c r="BA1696" t="s">
        <v>2365</v>
      </c>
      <c r="BB1696" t="s">
        <v>2365</v>
      </c>
      <c r="BC1696" t="s">
        <v>2365</v>
      </c>
      <c r="BD1696" t="s">
        <v>2366</v>
      </c>
      <c r="BE1696" t="s">
        <v>2365</v>
      </c>
      <c r="BF1696" t="s">
        <v>2365</v>
      </c>
      <c r="BG1696" t="s">
        <v>2365</v>
      </c>
      <c r="BH1696" t="s">
        <v>2365</v>
      </c>
      <c r="BI1696" t="s">
        <v>2366</v>
      </c>
      <c r="BJ1696" t="s">
        <v>2365</v>
      </c>
      <c r="BK1696" t="s">
        <v>2365</v>
      </c>
      <c r="BL1696" t="s">
        <v>2365</v>
      </c>
      <c r="BM1696" t="s">
        <v>2365</v>
      </c>
      <c r="BO1696">
        <v>9</v>
      </c>
      <c r="BP1696">
        <v>91</v>
      </c>
      <c r="BQ1696" t="s">
        <v>265</v>
      </c>
      <c r="BR1696" t="s">
        <v>1517</v>
      </c>
      <c r="BU1696">
        <v>0</v>
      </c>
      <c r="BV1696">
        <v>0</v>
      </c>
      <c r="BW1696">
        <v>0</v>
      </c>
      <c r="BX1696">
        <v>0</v>
      </c>
      <c r="BY1696">
        <v>0</v>
      </c>
      <c r="BZ1696">
        <v>0</v>
      </c>
      <c r="CA1696">
        <v>0</v>
      </c>
      <c r="CB1696">
        <v>0</v>
      </c>
      <c r="CC1696">
        <v>0</v>
      </c>
      <c r="CD1696">
        <v>0</v>
      </c>
      <c r="CE1696">
        <v>0</v>
      </c>
      <c r="CF1696">
        <v>0</v>
      </c>
      <c r="CG1696">
        <v>0</v>
      </c>
      <c r="CH1696">
        <v>0</v>
      </c>
      <c r="CI1696">
        <v>0</v>
      </c>
      <c r="CJ1696">
        <v>0</v>
      </c>
      <c r="CK1696">
        <v>0</v>
      </c>
      <c r="CL1696">
        <v>0</v>
      </c>
      <c r="CM1696">
        <v>0</v>
      </c>
      <c r="CR1696" t="s">
        <v>2328</v>
      </c>
      <c r="CS1696" s="1369" t="str">
        <f>INDEX([8]Sheet1!$H:$H,MATCH(CR:CR,[8]Sheet1!$AU:$AU,0))</f>
        <v>Water Distribution</v>
      </c>
    </row>
    <row r="1697" spans="1:97" x14ac:dyDescent="0.2">
      <c r="A1697" t="s">
        <v>4826</v>
      </c>
      <c r="B1697">
        <v>1791</v>
      </c>
      <c r="C1697" t="s">
        <v>4826</v>
      </c>
      <c r="D1697">
        <v>54789</v>
      </c>
      <c r="E1697" t="s">
        <v>4406</v>
      </c>
      <c r="F1697" t="s">
        <v>2364</v>
      </c>
      <c r="G1697" t="s">
        <v>2364</v>
      </c>
      <c r="H1697" t="s">
        <v>2365</v>
      </c>
      <c r="I1697" t="s">
        <v>2365</v>
      </c>
      <c r="J1697" t="s">
        <v>2365</v>
      </c>
      <c r="K1697" t="s">
        <v>2365</v>
      </c>
      <c r="L1697">
        <v>2200</v>
      </c>
      <c r="M1697" t="s">
        <v>619</v>
      </c>
      <c r="N1697">
        <v>2205</v>
      </c>
      <c r="O1697" t="s">
        <v>1517</v>
      </c>
      <c r="P1697" t="s">
        <v>2366</v>
      </c>
      <c r="Q1697" t="s">
        <v>2364</v>
      </c>
      <c r="R1697" t="s">
        <v>2364</v>
      </c>
      <c r="S1697" t="s">
        <v>553</v>
      </c>
      <c r="T1697" t="s">
        <v>2367</v>
      </c>
      <c r="U1697">
        <v>360</v>
      </c>
      <c r="V1697" t="s">
        <v>2368</v>
      </c>
      <c r="W1697">
        <v>360</v>
      </c>
      <c r="X1697" t="s">
        <v>711</v>
      </c>
      <c r="Y1697" t="s">
        <v>2365</v>
      </c>
      <c r="Z1697" t="s">
        <v>2365</v>
      </c>
      <c r="AA1697" t="s">
        <v>2365</v>
      </c>
      <c r="AB1697" t="s">
        <v>2365</v>
      </c>
      <c r="AC1697" s="813" t="s">
        <v>2365</v>
      </c>
      <c r="AD1697" s="813" t="s">
        <v>2365</v>
      </c>
      <c r="AE1697" s="813" t="s">
        <v>2365</v>
      </c>
      <c r="AF1697" t="s">
        <v>2365</v>
      </c>
      <c r="AG1697" t="s">
        <v>2365</v>
      </c>
      <c r="AH1697" t="s">
        <v>2365</v>
      </c>
      <c r="AI1697" t="s">
        <v>2365</v>
      </c>
      <c r="AJ1697" t="s">
        <v>2365</v>
      </c>
      <c r="AK1697">
        <v>363</v>
      </c>
      <c r="AL1697" t="s">
        <v>748</v>
      </c>
      <c r="AM1697">
        <v>363</v>
      </c>
      <c r="AN1697" t="s">
        <v>748</v>
      </c>
      <c r="AR1697" t="s">
        <v>2365</v>
      </c>
      <c r="AS1697" t="s">
        <v>2365</v>
      </c>
      <c r="AT1697" t="s">
        <v>2365</v>
      </c>
      <c r="AU1697" t="s">
        <v>2365</v>
      </c>
      <c r="AV1697" t="s">
        <v>2365</v>
      </c>
      <c r="AW1697" t="s">
        <v>2365</v>
      </c>
      <c r="AX1697" t="s">
        <v>2365</v>
      </c>
      <c r="AY1697" t="s">
        <v>2365</v>
      </c>
      <c r="AZ1697" t="s">
        <v>2365</v>
      </c>
      <c r="BA1697" t="s">
        <v>2365</v>
      </c>
      <c r="BB1697" t="s">
        <v>2365</v>
      </c>
      <c r="BC1697" t="s">
        <v>2365</v>
      </c>
      <c r="BD1697" t="s">
        <v>2366</v>
      </c>
      <c r="BE1697" t="s">
        <v>2365</v>
      </c>
      <c r="BF1697" t="s">
        <v>2365</v>
      </c>
      <c r="BG1697" t="s">
        <v>2365</v>
      </c>
      <c r="BH1697" t="s">
        <v>2365</v>
      </c>
      <c r="BI1697" t="s">
        <v>2366</v>
      </c>
      <c r="BJ1697" t="s">
        <v>2365</v>
      </c>
      <c r="BK1697" t="s">
        <v>2365</v>
      </c>
      <c r="BL1697" t="s">
        <v>2365</v>
      </c>
      <c r="BM1697" t="s">
        <v>2365</v>
      </c>
      <c r="BO1697">
        <v>9</v>
      </c>
      <c r="BP1697">
        <v>91</v>
      </c>
      <c r="BQ1697" t="s">
        <v>265</v>
      </c>
      <c r="BR1697" t="s">
        <v>1517</v>
      </c>
      <c r="BU1697">
        <v>0</v>
      </c>
      <c r="BV1697">
        <v>0</v>
      </c>
      <c r="BW1697">
        <v>0</v>
      </c>
      <c r="BX1697">
        <v>0</v>
      </c>
      <c r="BY1697">
        <v>0</v>
      </c>
      <c r="BZ1697">
        <v>0</v>
      </c>
      <c r="CA1697">
        <v>0</v>
      </c>
      <c r="CB1697">
        <v>0</v>
      </c>
      <c r="CC1697">
        <v>0</v>
      </c>
      <c r="CD1697">
        <v>0</v>
      </c>
      <c r="CE1697">
        <v>0</v>
      </c>
      <c r="CF1697">
        <v>0</v>
      </c>
      <c r="CG1697">
        <v>0</v>
      </c>
      <c r="CH1697">
        <v>0</v>
      </c>
      <c r="CI1697">
        <v>0</v>
      </c>
      <c r="CJ1697">
        <v>0</v>
      </c>
      <c r="CK1697">
        <v>0</v>
      </c>
      <c r="CL1697">
        <v>0</v>
      </c>
      <c r="CM1697">
        <v>0</v>
      </c>
      <c r="CR1697" t="s">
        <v>2324</v>
      </c>
      <c r="CS1697" s="1369" t="str">
        <f>INDEX([8]Sheet1!$H:$H,MATCH(CR:CR,[8]Sheet1!$AU:$AU,0))</f>
        <v>Finance</v>
      </c>
    </row>
    <row r="1698" spans="1:97" x14ac:dyDescent="0.2">
      <c r="A1698" t="s">
        <v>4827</v>
      </c>
      <c r="B1698">
        <v>1792</v>
      </c>
      <c r="C1698" t="s">
        <v>4827</v>
      </c>
      <c r="D1698">
        <v>54790</v>
      </c>
      <c r="E1698" t="s">
        <v>4442</v>
      </c>
      <c r="F1698" t="s">
        <v>2364</v>
      </c>
      <c r="G1698" t="s">
        <v>2364</v>
      </c>
      <c r="H1698" t="s">
        <v>2365</v>
      </c>
      <c r="I1698" t="s">
        <v>2365</v>
      </c>
      <c r="J1698" t="s">
        <v>2365</v>
      </c>
      <c r="K1698" t="s">
        <v>2365</v>
      </c>
      <c r="L1698">
        <v>2200</v>
      </c>
      <c r="M1698" t="s">
        <v>619</v>
      </c>
      <c r="N1698">
        <v>2205</v>
      </c>
      <c r="O1698" t="s">
        <v>1517</v>
      </c>
      <c r="P1698" t="s">
        <v>2366</v>
      </c>
      <c r="Q1698" t="s">
        <v>2364</v>
      </c>
      <c r="R1698" t="s">
        <v>2364</v>
      </c>
      <c r="S1698" t="s">
        <v>553</v>
      </c>
      <c r="T1698" t="s">
        <v>2367</v>
      </c>
      <c r="U1698">
        <v>360</v>
      </c>
      <c r="V1698" t="s">
        <v>2368</v>
      </c>
      <c r="W1698">
        <v>360</v>
      </c>
      <c r="X1698" t="s">
        <v>711</v>
      </c>
      <c r="Y1698" t="s">
        <v>2365</v>
      </c>
      <c r="Z1698" t="s">
        <v>2365</v>
      </c>
      <c r="AA1698" t="s">
        <v>2365</v>
      </c>
      <c r="AB1698" t="s">
        <v>2365</v>
      </c>
      <c r="AC1698" s="813">
        <v>200</v>
      </c>
      <c r="AD1698" s="813" t="s">
        <v>4443</v>
      </c>
      <c r="AE1698" s="813">
        <v>480</v>
      </c>
      <c r="AF1698" t="s">
        <v>569</v>
      </c>
      <c r="AG1698" t="s">
        <v>2365</v>
      </c>
      <c r="AH1698" t="s">
        <v>2365</v>
      </c>
      <c r="AI1698" t="s">
        <v>2365</v>
      </c>
      <c r="AJ1698" t="s">
        <v>2365</v>
      </c>
      <c r="AK1698">
        <v>363</v>
      </c>
      <c r="AL1698" t="s">
        <v>748</v>
      </c>
      <c r="AM1698">
        <v>363</v>
      </c>
      <c r="AN1698" t="s">
        <v>748</v>
      </c>
      <c r="AR1698" t="s">
        <v>2365</v>
      </c>
      <c r="AS1698" t="s">
        <v>2365</v>
      </c>
      <c r="AT1698" t="s">
        <v>2365</v>
      </c>
      <c r="AU1698" t="s">
        <v>2365</v>
      </c>
      <c r="AV1698" t="s">
        <v>2365</v>
      </c>
      <c r="AW1698" t="s">
        <v>2365</v>
      </c>
      <c r="AX1698" t="s">
        <v>2365</v>
      </c>
      <c r="AY1698" t="s">
        <v>2365</v>
      </c>
      <c r="AZ1698" t="s">
        <v>2365</v>
      </c>
      <c r="BA1698" t="s">
        <v>2365</v>
      </c>
      <c r="BB1698" t="s">
        <v>2365</v>
      </c>
      <c r="BC1698" t="s">
        <v>2365</v>
      </c>
      <c r="BD1698" t="s">
        <v>2366</v>
      </c>
      <c r="BE1698" t="s">
        <v>2365</v>
      </c>
      <c r="BF1698" t="s">
        <v>2365</v>
      </c>
      <c r="BG1698" t="s">
        <v>2365</v>
      </c>
      <c r="BH1698" t="s">
        <v>2365</v>
      </c>
      <c r="BI1698" t="s">
        <v>2366</v>
      </c>
      <c r="BJ1698" t="s">
        <v>2365</v>
      </c>
      <c r="BK1698" t="s">
        <v>2365</v>
      </c>
      <c r="BL1698" t="s">
        <v>2365</v>
      </c>
      <c r="BM1698" t="s">
        <v>2365</v>
      </c>
      <c r="BO1698">
        <v>9</v>
      </c>
      <c r="BP1698">
        <v>91</v>
      </c>
      <c r="BQ1698" t="s">
        <v>265</v>
      </c>
      <c r="BR1698" t="s">
        <v>1517</v>
      </c>
      <c r="BU1698">
        <v>0</v>
      </c>
      <c r="BV1698">
        <v>0</v>
      </c>
      <c r="BW1698">
        <v>0</v>
      </c>
      <c r="BX1698">
        <v>0</v>
      </c>
      <c r="BY1698">
        <v>0</v>
      </c>
      <c r="BZ1698">
        <v>0</v>
      </c>
      <c r="CA1698">
        <v>0</v>
      </c>
      <c r="CB1698">
        <v>0</v>
      </c>
      <c r="CC1698">
        <v>0</v>
      </c>
      <c r="CD1698">
        <v>0</v>
      </c>
      <c r="CE1698">
        <v>0</v>
      </c>
      <c r="CF1698">
        <v>0</v>
      </c>
      <c r="CG1698">
        <v>0</v>
      </c>
      <c r="CH1698">
        <v>0</v>
      </c>
      <c r="CI1698">
        <v>0</v>
      </c>
      <c r="CJ1698">
        <v>0</v>
      </c>
      <c r="CK1698">
        <v>0</v>
      </c>
      <c r="CL1698">
        <v>0</v>
      </c>
      <c r="CM1698">
        <v>0</v>
      </c>
      <c r="CR1698" t="s">
        <v>2324</v>
      </c>
      <c r="CS1698" s="1369" t="str">
        <f>INDEX([8]Sheet1!$H:$H,MATCH(CR:CR,[8]Sheet1!$AU:$AU,0))</f>
        <v>Finance</v>
      </c>
    </row>
    <row r="1699" spans="1:97" x14ac:dyDescent="0.2">
      <c r="A1699" t="s">
        <v>4828</v>
      </c>
      <c r="B1699">
        <v>1793</v>
      </c>
      <c r="C1699" t="s">
        <v>4828</v>
      </c>
      <c r="D1699">
        <v>54791</v>
      </c>
      <c r="E1699" t="s">
        <v>4829</v>
      </c>
      <c r="F1699" t="s">
        <v>2364</v>
      </c>
      <c r="G1699" t="s">
        <v>2364</v>
      </c>
      <c r="H1699" t="s">
        <v>2365</v>
      </c>
      <c r="I1699" t="s">
        <v>2365</v>
      </c>
      <c r="J1699" t="s">
        <v>2365</v>
      </c>
      <c r="K1699" t="s">
        <v>2365</v>
      </c>
      <c r="L1699">
        <v>2200</v>
      </c>
      <c r="M1699" t="s">
        <v>619</v>
      </c>
      <c r="N1699">
        <v>2205</v>
      </c>
      <c r="O1699" t="s">
        <v>1517</v>
      </c>
      <c r="P1699" t="s">
        <v>2366</v>
      </c>
      <c r="Q1699" t="s">
        <v>2364</v>
      </c>
      <c r="R1699" t="s">
        <v>2364</v>
      </c>
      <c r="S1699" t="s">
        <v>553</v>
      </c>
      <c r="T1699" t="s">
        <v>2367</v>
      </c>
      <c r="U1699">
        <v>360</v>
      </c>
      <c r="V1699" t="s">
        <v>2368</v>
      </c>
      <c r="W1699">
        <v>360</v>
      </c>
      <c r="X1699" t="s">
        <v>711</v>
      </c>
      <c r="Y1699" t="s">
        <v>2365</v>
      </c>
      <c r="Z1699" t="s">
        <v>2365</v>
      </c>
      <c r="AA1699" t="s">
        <v>2365</v>
      </c>
      <c r="AB1699" t="s">
        <v>2365</v>
      </c>
      <c r="AC1699" s="813" t="s">
        <v>2365</v>
      </c>
      <c r="AD1699" s="813" t="s">
        <v>2365</v>
      </c>
      <c r="AE1699" s="813" t="s">
        <v>2365</v>
      </c>
      <c r="AF1699" t="s">
        <v>2365</v>
      </c>
      <c r="AG1699" t="s">
        <v>2365</v>
      </c>
      <c r="AH1699" t="s">
        <v>2365</v>
      </c>
      <c r="AI1699" t="s">
        <v>2365</v>
      </c>
      <c r="AJ1699" t="s">
        <v>2365</v>
      </c>
      <c r="AK1699" s="1373">
        <v>363</v>
      </c>
      <c r="AL1699" t="s">
        <v>748</v>
      </c>
      <c r="AM1699">
        <v>363</v>
      </c>
      <c r="AN1699" t="s">
        <v>748</v>
      </c>
      <c r="AR1699" t="s">
        <v>2365</v>
      </c>
      <c r="AS1699" t="s">
        <v>2365</v>
      </c>
      <c r="AT1699" t="s">
        <v>2365</v>
      </c>
      <c r="AU1699" t="s">
        <v>2365</v>
      </c>
      <c r="AV1699" t="s">
        <v>2365</v>
      </c>
      <c r="AW1699" t="s">
        <v>2365</v>
      </c>
      <c r="AX1699" t="s">
        <v>2365</v>
      </c>
      <c r="AY1699" t="s">
        <v>2365</v>
      </c>
      <c r="AZ1699" t="s">
        <v>2365</v>
      </c>
      <c r="BA1699" t="s">
        <v>2365</v>
      </c>
      <c r="BB1699" t="s">
        <v>2365</v>
      </c>
      <c r="BC1699" t="s">
        <v>2365</v>
      </c>
      <c r="BD1699" t="s">
        <v>2366</v>
      </c>
      <c r="BE1699" t="s">
        <v>2365</v>
      </c>
      <c r="BF1699" t="s">
        <v>2365</v>
      </c>
      <c r="BG1699" t="s">
        <v>2365</v>
      </c>
      <c r="BH1699" t="s">
        <v>2365</v>
      </c>
      <c r="BI1699" t="s">
        <v>2366</v>
      </c>
      <c r="BJ1699" t="s">
        <v>2365</v>
      </c>
      <c r="BK1699" t="s">
        <v>2365</v>
      </c>
      <c r="BL1699" t="s">
        <v>2365</v>
      </c>
      <c r="BM1699" t="s">
        <v>2365</v>
      </c>
      <c r="BO1699">
        <v>9</v>
      </c>
      <c r="BP1699">
        <v>91</v>
      </c>
      <c r="BQ1699" t="s">
        <v>265</v>
      </c>
      <c r="BR1699" t="s">
        <v>1517</v>
      </c>
      <c r="BU1699">
        <v>0</v>
      </c>
      <c r="BV1699">
        <v>0</v>
      </c>
      <c r="BW1699">
        <v>0</v>
      </c>
      <c r="BX1699">
        <v>0</v>
      </c>
      <c r="BY1699">
        <v>0</v>
      </c>
      <c r="BZ1699">
        <v>0</v>
      </c>
      <c r="CA1699">
        <v>0</v>
      </c>
      <c r="CB1699">
        <v>0</v>
      </c>
      <c r="CC1699">
        <v>0</v>
      </c>
      <c r="CD1699">
        <v>0</v>
      </c>
      <c r="CE1699">
        <v>0</v>
      </c>
      <c r="CF1699">
        <v>0</v>
      </c>
      <c r="CG1699">
        <v>0</v>
      </c>
      <c r="CH1699">
        <v>0</v>
      </c>
      <c r="CI1699">
        <v>0</v>
      </c>
      <c r="CJ1699">
        <v>0</v>
      </c>
      <c r="CK1699">
        <v>0</v>
      </c>
      <c r="CL1699">
        <v>0</v>
      </c>
      <c r="CM1699">
        <v>0</v>
      </c>
      <c r="CR1699" t="s">
        <v>2324</v>
      </c>
      <c r="CS1699" s="1369" t="str">
        <f>INDEX([8]Sheet1!$H:$H,MATCH(CR:CR,[8]Sheet1!$AU:$AU,0))</f>
        <v>Finance</v>
      </c>
    </row>
    <row r="1700" spans="1:97" x14ac:dyDescent="0.2">
      <c r="A1700" t="s">
        <v>4830</v>
      </c>
      <c r="B1700">
        <v>1794</v>
      </c>
      <c r="C1700" t="s">
        <v>4830</v>
      </c>
      <c r="D1700">
        <v>54792</v>
      </c>
      <c r="E1700" t="s">
        <v>4740</v>
      </c>
      <c r="F1700">
        <v>1500</v>
      </c>
      <c r="G1700" t="s">
        <v>1477</v>
      </c>
      <c r="H1700">
        <v>1500</v>
      </c>
      <c r="I1700" t="s">
        <v>1477</v>
      </c>
      <c r="J1700" t="s">
        <v>2365</v>
      </c>
      <c r="K1700" t="s">
        <v>2365</v>
      </c>
      <c r="L1700">
        <v>2200</v>
      </c>
      <c r="M1700" t="s">
        <v>619</v>
      </c>
      <c r="N1700">
        <v>2205</v>
      </c>
      <c r="O1700" t="s">
        <v>1517</v>
      </c>
      <c r="P1700" t="s">
        <v>2366</v>
      </c>
      <c r="Q1700" t="s">
        <v>2364</v>
      </c>
      <c r="R1700" t="s">
        <v>2364</v>
      </c>
      <c r="S1700" t="s">
        <v>553</v>
      </c>
      <c r="T1700" t="s">
        <v>1811</v>
      </c>
      <c r="U1700" t="s">
        <v>2365</v>
      </c>
      <c r="V1700" t="s">
        <v>2365</v>
      </c>
      <c r="W1700" t="s">
        <v>2365</v>
      </c>
      <c r="X1700" t="s">
        <v>2365</v>
      </c>
      <c r="Y1700" t="s">
        <v>2365</v>
      </c>
      <c r="Z1700" t="s">
        <v>2365</v>
      </c>
      <c r="AA1700" t="s">
        <v>2365</v>
      </c>
      <c r="AB1700" t="s">
        <v>2365</v>
      </c>
      <c r="AC1700" s="813" t="s">
        <v>2365</v>
      </c>
      <c r="AD1700" s="813" t="s">
        <v>2365</v>
      </c>
      <c r="AE1700" s="813" t="s">
        <v>2365</v>
      </c>
      <c r="AF1700" t="s">
        <v>2365</v>
      </c>
      <c r="AG1700" t="s">
        <v>2365</v>
      </c>
      <c r="AH1700" t="s">
        <v>2365</v>
      </c>
      <c r="AI1700" t="s">
        <v>2365</v>
      </c>
      <c r="AJ1700" t="s">
        <v>2365</v>
      </c>
      <c r="AK1700" s="1373" t="s">
        <v>2365</v>
      </c>
      <c r="AL1700" t="s">
        <v>2365</v>
      </c>
      <c r="AM1700" t="s">
        <v>2365</v>
      </c>
      <c r="AN1700" t="s">
        <v>2365</v>
      </c>
      <c r="AR1700" t="s">
        <v>2365</v>
      </c>
      <c r="AS1700" t="s">
        <v>2365</v>
      </c>
      <c r="AT1700" t="s">
        <v>2365</v>
      </c>
      <c r="AU1700" t="s">
        <v>2365</v>
      </c>
      <c r="AV1700" t="s">
        <v>2365</v>
      </c>
      <c r="AW1700" t="s">
        <v>2365</v>
      </c>
      <c r="AX1700" t="s">
        <v>2365</v>
      </c>
      <c r="AY1700" t="s">
        <v>2365</v>
      </c>
      <c r="AZ1700" t="s">
        <v>2365</v>
      </c>
      <c r="BA1700" t="s">
        <v>2365</v>
      </c>
      <c r="BB1700" t="s">
        <v>2365</v>
      </c>
      <c r="BC1700" t="s">
        <v>2365</v>
      </c>
      <c r="BD1700" t="s">
        <v>2366</v>
      </c>
      <c r="BE1700" t="s">
        <v>2365</v>
      </c>
      <c r="BF1700" t="s">
        <v>2365</v>
      </c>
      <c r="BG1700" t="s">
        <v>2365</v>
      </c>
      <c r="BH1700" t="s">
        <v>2365</v>
      </c>
      <c r="BI1700" t="s">
        <v>2366</v>
      </c>
      <c r="BJ1700" t="s">
        <v>2365</v>
      </c>
      <c r="BK1700" t="s">
        <v>2365</v>
      </c>
      <c r="BL1700" t="s">
        <v>2365</v>
      </c>
      <c r="BM1700" t="s">
        <v>2365</v>
      </c>
      <c r="BO1700">
        <v>9</v>
      </c>
      <c r="BP1700">
        <v>91</v>
      </c>
      <c r="BQ1700" t="s">
        <v>265</v>
      </c>
      <c r="BR1700" t="s">
        <v>1517</v>
      </c>
      <c r="BU1700">
        <v>0</v>
      </c>
      <c r="BV1700">
        <v>0</v>
      </c>
      <c r="BW1700">
        <v>0</v>
      </c>
      <c r="BX1700">
        <v>0</v>
      </c>
      <c r="BY1700">
        <v>0</v>
      </c>
      <c r="BZ1700">
        <v>0</v>
      </c>
      <c r="CA1700">
        <v>0</v>
      </c>
      <c r="CB1700">
        <v>0</v>
      </c>
      <c r="CC1700">
        <v>0</v>
      </c>
      <c r="CD1700">
        <v>0</v>
      </c>
      <c r="CE1700">
        <v>0</v>
      </c>
      <c r="CF1700">
        <v>0</v>
      </c>
      <c r="CG1700">
        <v>0</v>
      </c>
      <c r="CH1700">
        <v>0</v>
      </c>
      <c r="CI1700">
        <v>0</v>
      </c>
      <c r="CJ1700">
        <v>0</v>
      </c>
      <c r="CK1700">
        <v>0</v>
      </c>
      <c r="CL1700">
        <v>0</v>
      </c>
      <c r="CM1700">
        <v>0</v>
      </c>
      <c r="CR1700" t="s">
        <v>2324</v>
      </c>
      <c r="CS1700" s="1369" t="str">
        <f>INDEX([8]Sheet1!$H:$H,MATCH(CR:CR,[8]Sheet1!$AU:$AU,0))</f>
        <v>Finance</v>
      </c>
    </row>
    <row r="1701" spans="1:97" x14ac:dyDescent="0.2">
      <c r="A1701" t="s">
        <v>4831</v>
      </c>
      <c r="B1701">
        <v>1795</v>
      </c>
      <c r="C1701" t="s">
        <v>4831</v>
      </c>
      <c r="D1701">
        <v>54793</v>
      </c>
      <c r="E1701" t="s">
        <v>4832</v>
      </c>
      <c r="F1701">
        <v>1600</v>
      </c>
      <c r="G1701" t="s">
        <v>650</v>
      </c>
      <c r="H1701">
        <v>1616</v>
      </c>
      <c r="I1701" t="s">
        <v>2200</v>
      </c>
      <c r="J1701" t="s">
        <v>2365</v>
      </c>
      <c r="K1701" t="s">
        <v>2365</v>
      </c>
      <c r="L1701">
        <v>1200</v>
      </c>
      <c r="M1701" t="s">
        <v>1480</v>
      </c>
      <c r="N1701">
        <v>1204</v>
      </c>
      <c r="O1701" t="s">
        <v>1487</v>
      </c>
      <c r="P1701" t="s">
        <v>2366</v>
      </c>
      <c r="Q1701" t="s">
        <v>2364</v>
      </c>
      <c r="R1701" t="s">
        <v>2364</v>
      </c>
      <c r="S1701" t="s">
        <v>553</v>
      </c>
      <c r="T1701" t="s">
        <v>1811</v>
      </c>
      <c r="U1701" t="s">
        <v>2365</v>
      </c>
      <c r="V1701" t="s">
        <v>2365</v>
      </c>
      <c r="W1701" t="s">
        <v>2365</v>
      </c>
      <c r="X1701" t="s">
        <v>2365</v>
      </c>
      <c r="Y1701" t="s">
        <v>2365</v>
      </c>
      <c r="Z1701" t="s">
        <v>2365</v>
      </c>
      <c r="AA1701" t="s">
        <v>2365</v>
      </c>
      <c r="AB1701" t="s">
        <v>2365</v>
      </c>
      <c r="AC1701" s="813" t="s">
        <v>2365</v>
      </c>
      <c r="AD1701" s="813" t="s">
        <v>2365</v>
      </c>
      <c r="AE1701" s="813" t="s">
        <v>2365</v>
      </c>
      <c r="AF1701" t="s">
        <v>2365</v>
      </c>
      <c r="AG1701" t="s">
        <v>2365</v>
      </c>
      <c r="AH1701" t="s">
        <v>2365</v>
      </c>
      <c r="AI1701" t="s">
        <v>2365</v>
      </c>
      <c r="AJ1701" t="s">
        <v>2365</v>
      </c>
      <c r="AK1701" t="s">
        <v>2365</v>
      </c>
      <c r="AL1701" t="s">
        <v>2365</v>
      </c>
      <c r="AM1701" t="s">
        <v>2365</v>
      </c>
      <c r="AN1701" t="s">
        <v>2365</v>
      </c>
      <c r="AR1701" t="s">
        <v>2365</v>
      </c>
      <c r="AS1701" t="s">
        <v>2365</v>
      </c>
      <c r="AT1701" t="s">
        <v>2365</v>
      </c>
      <c r="AU1701" t="s">
        <v>2365</v>
      </c>
      <c r="AV1701" t="s">
        <v>2365</v>
      </c>
      <c r="AW1701" t="s">
        <v>2365</v>
      </c>
      <c r="AX1701" t="s">
        <v>2365</v>
      </c>
      <c r="AY1701" t="s">
        <v>2365</v>
      </c>
      <c r="AZ1701" t="s">
        <v>2365</v>
      </c>
      <c r="BA1701" t="s">
        <v>2365</v>
      </c>
      <c r="BB1701" t="s">
        <v>2365</v>
      </c>
      <c r="BC1701" t="s">
        <v>2365</v>
      </c>
      <c r="BD1701" t="s">
        <v>2366</v>
      </c>
      <c r="BE1701" t="s">
        <v>2365</v>
      </c>
      <c r="BF1701" t="s">
        <v>2365</v>
      </c>
      <c r="BG1701" t="s">
        <v>2365</v>
      </c>
      <c r="BH1701" t="s">
        <v>2365</v>
      </c>
      <c r="BI1701" t="s">
        <v>2366</v>
      </c>
      <c r="BJ1701" t="s">
        <v>2365</v>
      </c>
      <c r="BK1701" t="s">
        <v>2365</v>
      </c>
      <c r="BL1701" t="s">
        <v>2365</v>
      </c>
      <c r="BM1701" t="s">
        <v>2365</v>
      </c>
      <c r="BO1701">
        <v>1</v>
      </c>
      <c r="BP1701">
        <v>11</v>
      </c>
      <c r="BQ1701" t="s">
        <v>2369</v>
      </c>
      <c r="BR1701" t="s">
        <v>1487</v>
      </c>
      <c r="BU1701">
        <v>0</v>
      </c>
      <c r="BV1701">
        <v>0</v>
      </c>
      <c r="BW1701">
        <v>0</v>
      </c>
      <c r="BX1701">
        <v>0</v>
      </c>
      <c r="BY1701">
        <v>0</v>
      </c>
      <c r="BZ1701">
        <v>0</v>
      </c>
      <c r="CA1701">
        <v>0</v>
      </c>
      <c r="CB1701">
        <v>0</v>
      </c>
      <c r="CC1701">
        <v>0</v>
      </c>
      <c r="CD1701">
        <v>0</v>
      </c>
      <c r="CE1701">
        <v>0</v>
      </c>
      <c r="CF1701">
        <v>0</v>
      </c>
      <c r="CG1701">
        <v>0</v>
      </c>
      <c r="CH1701">
        <v>0</v>
      </c>
      <c r="CI1701">
        <v>0</v>
      </c>
      <c r="CJ1701">
        <v>0</v>
      </c>
      <c r="CK1701">
        <v>0</v>
      </c>
      <c r="CL1701">
        <v>0</v>
      </c>
      <c r="CM1701">
        <v>0</v>
      </c>
      <c r="CR1701" t="s">
        <v>2324</v>
      </c>
      <c r="CS1701" s="1369" t="str">
        <f>INDEX([8]Sheet1!$H:$H,MATCH(CR:CR,[8]Sheet1!$AU:$AU,0))</f>
        <v>Finance</v>
      </c>
    </row>
    <row r="1702" spans="1:97" x14ac:dyDescent="0.2">
      <c r="A1702" t="s">
        <v>4833</v>
      </c>
      <c r="B1702">
        <v>1796</v>
      </c>
      <c r="C1702" t="s">
        <v>4833</v>
      </c>
      <c r="D1702">
        <v>54794</v>
      </c>
      <c r="E1702" t="s">
        <v>4834</v>
      </c>
      <c r="F1702" t="s">
        <v>2364</v>
      </c>
      <c r="G1702" t="s">
        <v>2364</v>
      </c>
      <c r="H1702" t="s">
        <v>2365</v>
      </c>
      <c r="I1702" t="s">
        <v>2365</v>
      </c>
      <c r="J1702" t="s">
        <v>2365</v>
      </c>
      <c r="K1702" t="s">
        <v>2365</v>
      </c>
      <c r="L1702">
        <v>1200</v>
      </c>
      <c r="M1702" t="s">
        <v>1480</v>
      </c>
      <c r="N1702">
        <v>1204</v>
      </c>
      <c r="O1702" t="s">
        <v>1487</v>
      </c>
      <c r="P1702" t="s">
        <v>2366</v>
      </c>
      <c r="Q1702" t="s">
        <v>2364</v>
      </c>
      <c r="R1702" t="s">
        <v>2364</v>
      </c>
      <c r="S1702" t="s">
        <v>553</v>
      </c>
      <c r="T1702" t="s">
        <v>2367</v>
      </c>
      <c r="U1702">
        <v>360</v>
      </c>
      <c r="V1702" t="s">
        <v>2368</v>
      </c>
      <c r="W1702">
        <v>360</v>
      </c>
      <c r="X1702" t="s">
        <v>711</v>
      </c>
      <c r="Y1702" t="s">
        <v>2365</v>
      </c>
      <c r="Z1702" t="s">
        <v>2365</v>
      </c>
      <c r="AA1702" t="s">
        <v>2365</v>
      </c>
      <c r="AB1702" t="s">
        <v>2365</v>
      </c>
      <c r="AC1702" s="813" t="s">
        <v>2365</v>
      </c>
      <c r="AD1702" s="813" t="s">
        <v>2365</v>
      </c>
      <c r="AE1702" s="813" t="s">
        <v>2365</v>
      </c>
      <c r="AF1702" t="s">
        <v>2365</v>
      </c>
      <c r="AG1702" t="s">
        <v>2365</v>
      </c>
      <c r="AH1702" t="s">
        <v>2365</v>
      </c>
      <c r="AI1702" t="s">
        <v>2365</v>
      </c>
      <c r="AJ1702" t="s">
        <v>2365</v>
      </c>
      <c r="AK1702">
        <v>361</v>
      </c>
      <c r="AL1702" t="s">
        <v>1804</v>
      </c>
      <c r="AM1702">
        <v>361</v>
      </c>
      <c r="AN1702" t="s">
        <v>1804</v>
      </c>
      <c r="AR1702" t="s">
        <v>2365</v>
      </c>
      <c r="AS1702" t="s">
        <v>2365</v>
      </c>
      <c r="AT1702" t="s">
        <v>2365</v>
      </c>
      <c r="AU1702" t="s">
        <v>2365</v>
      </c>
      <c r="AV1702" t="s">
        <v>2365</v>
      </c>
      <c r="AW1702" t="s">
        <v>2365</v>
      </c>
      <c r="AX1702" t="s">
        <v>2365</v>
      </c>
      <c r="AY1702" t="s">
        <v>2365</v>
      </c>
      <c r="AZ1702" t="s">
        <v>2365</v>
      </c>
      <c r="BA1702" t="s">
        <v>2365</v>
      </c>
      <c r="BB1702" t="s">
        <v>2365</v>
      </c>
      <c r="BC1702" t="s">
        <v>2365</v>
      </c>
      <c r="BD1702" t="s">
        <v>2366</v>
      </c>
      <c r="BE1702" t="s">
        <v>2365</v>
      </c>
      <c r="BF1702" t="s">
        <v>2365</v>
      </c>
      <c r="BG1702" t="s">
        <v>2365</v>
      </c>
      <c r="BH1702" t="s">
        <v>2365</v>
      </c>
      <c r="BI1702" t="s">
        <v>2366</v>
      </c>
      <c r="BJ1702" t="s">
        <v>2365</v>
      </c>
      <c r="BK1702" t="s">
        <v>2365</v>
      </c>
      <c r="BL1702" t="s">
        <v>2365</v>
      </c>
      <c r="BM1702" t="s">
        <v>2365</v>
      </c>
      <c r="BO1702">
        <v>1</v>
      </c>
      <c r="BP1702">
        <v>11</v>
      </c>
      <c r="BQ1702" t="s">
        <v>2369</v>
      </c>
      <c r="BR1702" t="s">
        <v>1487</v>
      </c>
      <c r="BU1702">
        <v>0</v>
      </c>
      <c r="BV1702">
        <v>0</v>
      </c>
      <c r="BW1702">
        <v>0</v>
      </c>
      <c r="BX1702">
        <v>0</v>
      </c>
      <c r="BY1702">
        <v>0</v>
      </c>
      <c r="BZ1702">
        <v>0</v>
      </c>
      <c r="CA1702">
        <v>0</v>
      </c>
      <c r="CB1702">
        <v>0</v>
      </c>
      <c r="CC1702">
        <v>0</v>
      </c>
      <c r="CD1702">
        <v>0</v>
      </c>
      <c r="CE1702">
        <v>0</v>
      </c>
      <c r="CF1702">
        <v>0</v>
      </c>
      <c r="CG1702">
        <v>0</v>
      </c>
      <c r="CH1702">
        <v>0</v>
      </c>
      <c r="CI1702">
        <v>0</v>
      </c>
      <c r="CJ1702">
        <v>0</v>
      </c>
      <c r="CK1702">
        <v>0</v>
      </c>
      <c r="CL1702">
        <v>0</v>
      </c>
      <c r="CM1702">
        <v>0</v>
      </c>
      <c r="CR1702" t="s">
        <v>2324</v>
      </c>
      <c r="CS1702" s="1369" t="str">
        <f>INDEX([8]Sheet1!$H:$H,MATCH(CR:CR,[8]Sheet1!$AU:$AU,0))</f>
        <v>Finance</v>
      </c>
    </row>
    <row r="1703" spans="1:97" x14ac:dyDescent="0.2">
      <c r="A1703" t="s">
        <v>4835</v>
      </c>
      <c r="B1703">
        <v>1797</v>
      </c>
      <c r="C1703" t="s">
        <v>4835</v>
      </c>
      <c r="D1703">
        <v>54795</v>
      </c>
      <c r="E1703" t="s">
        <v>4836</v>
      </c>
      <c r="F1703" t="s">
        <v>2364</v>
      </c>
      <c r="G1703" t="s">
        <v>2364</v>
      </c>
      <c r="H1703" t="s">
        <v>2365</v>
      </c>
      <c r="I1703" t="s">
        <v>2365</v>
      </c>
      <c r="J1703" t="s">
        <v>2365</v>
      </c>
      <c r="K1703" t="s">
        <v>2365</v>
      </c>
      <c r="L1703">
        <v>1200</v>
      </c>
      <c r="M1703" t="s">
        <v>1480</v>
      </c>
      <c r="N1703">
        <v>1204</v>
      </c>
      <c r="O1703" t="s">
        <v>1487</v>
      </c>
      <c r="P1703" t="s">
        <v>2366</v>
      </c>
      <c r="Q1703" t="s">
        <v>2364</v>
      </c>
      <c r="R1703" t="s">
        <v>2364</v>
      </c>
      <c r="S1703" t="s">
        <v>553</v>
      </c>
      <c r="T1703" t="s">
        <v>2367</v>
      </c>
      <c r="U1703">
        <v>360</v>
      </c>
      <c r="V1703" t="s">
        <v>2368</v>
      </c>
      <c r="W1703">
        <v>360</v>
      </c>
      <c r="X1703" t="s">
        <v>711</v>
      </c>
      <c r="Y1703" t="s">
        <v>2365</v>
      </c>
      <c r="Z1703" t="s">
        <v>2365</v>
      </c>
      <c r="AA1703" t="s">
        <v>2365</v>
      </c>
      <c r="AB1703" t="s">
        <v>2365</v>
      </c>
      <c r="AC1703" s="813" t="s">
        <v>2365</v>
      </c>
      <c r="AD1703" s="813" t="s">
        <v>2365</v>
      </c>
      <c r="AE1703" s="813" t="s">
        <v>2365</v>
      </c>
      <c r="AF1703" t="s">
        <v>2365</v>
      </c>
      <c r="AG1703" t="s">
        <v>2365</v>
      </c>
      <c r="AH1703" t="s">
        <v>2365</v>
      </c>
      <c r="AI1703" t="s">
        <v>2365</v>
      </c>
      <c r="AJ1703" t="s">
        <v>2365</v>
      </c>
      <c r="AK1703">
        <v>361</v>
      </c>
      <c r="AL1703" t="s">
        <v>1804</v>
      </c>
      <c r="AM1703">
        <v>361</v>
      </c>
      <c r="AN1703" t="s">
        <v>1804</v>
      </c>
      <c r="AR1703" t="s">
        <v>2365</v>
      </c>
      <c r="AS1703" t="s">
        <v>2365</v>
      </c>
      <c r="AT1703" t="s">
        <v>2365</v>
      </c>
      <c r="AU1703" t="s">
        <v>2365</v>
      </c>
      <c r="AV1703" t="s">
        <v>2365</v>
      </c>
      <c r="AW1703" t="s">
        <v>2365</v>
      </c>
      <c r="AX1703" t="s">
        <v>2365</v>
      </c>
      <c r="AY1703" t="s">
        <v>2365</v>
      </c>
      <c r="AZ1703" t="s">
        <v>2365</v>
      </c>
      <c r="BA1703" t="s">
        <v>2365</v>
      </c>
      <c r="BB1703" t="s">
        <v>2365</v>
      </c>
      <c r="BC1703" t="s">
        <v>2365</v>
      </c>
      <c r="BD1703" t="s">
        <v>2366</v>
      </c>
      <c r="BE1703" t="s">
        <v>2365</v>
      </c>
      <c r="BF1703" t="s">
        <v>2365</v>
      </c>
      <c r="BG1703" t="s">
        <v>2365</v>
      </c>
      <c r="BH1703" t="s">
        <v>2365</v>
      </c>
      <c r="BI1703" t="s">
        <v>2366</v>
      </c>
      <c r="BJ1703" t="s">
        <v>2365</v>
      </c>
      <c r="BK1703" t="s">
        <v>2365</v>
      </c>
      <c r="BL1703" t="s">
        <v>2365</v>
      </c>
      <c r="BM1703" t="s">
        <v>2365</v>
      </c>
      <c r="BO1703">
        <v>1</v>
      </c>
      <c r="BP1703">
        <v>11</v>
      </c>
      <c r="BQ1703" t="s">
        <v>2369</v>
      </c>
      <c r="BR1703" t="s">
        <v>1487</v>
      </c>
      <c r="BU1703">
        <v>0</v>
      </c>
      <c r="BV1703">
        <v>0</v>
      </c>
      <c r="BW1703">
        <v>0</v>
      </c>
      <c r="BX1703">
        <v>0</v>
      </c>
      <c r="BY1703">
        <v>0</v>
      </c>
      <c r="BZ1703">
        <v>0</v>
      </c>
      <c r="CA1703">
        <v>0</v>
      </c>
      <c r="CB1703">
        <v>0</v>
      </c>
      <c r="CC1703">
        <v>0</v>
      </c>
      <c r="CD1703">
        <v>0</v>
      </c>
      <c r="CE1703">
        <v>0</v>
      </c>
      <c r="CF1703">
        <v>0</v>
      </c>
      <c r="CG1703">
        <v>0</v>
      </c>
      <c r="CH1703">
        <v>0</v>
      </c>
      <c r="CI1703">
        <v>0</v>
      </c>
      <c r="CJ1703">
        <v>0</v>
      </c>
      <c r="CK1703">
        <v>0</v>
      </c>
      <c r="CL1703">
        <v>0</v>
      </c>
      <c r="CM1703">
        <v>0</v>
      </c>
      <c r="CR1703" t="s">
        <v>2328</v>
      </c>
      <c r="CS1703" s="1369" t="str">
        <f>INDEX([8]Sheet1!$H:$H,MATCH(CR:CR,[8]Sheet1!$AU:$AU,0))</f>
        <v>Water Distribution</v>
      </c>
    </row>
    <row r="1704" spans="1:97" x14ac:dyDescent="0.2">
      <c r="A1704" t="s">
        <v>4837</v>
      </c>
      <c r="B1704">
        <v>1798</v>
      </c>
      <c r="C1704" t="s">
        <v>4837</v>
      </c>
      <c r="D1704">
        <v>54796</v>
      </c>
      <c r="E1704" t="s">
        <v>4838</v>
      </c>
      <c r="F1704" t="s">
        <v>2364</v>
      </c>
      <c r="G1704" t="s">
        <v>2364</v>
      </c>
      <c r="H1704" s="1373" t="s">
        <v>2365</v>
      </c>
      <c r="I1704" t="s">
        <v>2365</v>
      </c>
      <c r="J1704" t="s">
        <v>2365</v>
      </c>
      <c r="K1704" t="s">
        <v>2365</v>
      </c>
      <c r="L1704" s="1373">
        <v>1200</v>
      </c>
      <c r="M1704" t="s">
        <v>1480</v>
      </c>
      <c r="N1704">
        <v>1204</v>
      </c>
      <c r="O1704" t="s">
        <v>1487</v>
      </c>
      <c r="P1704" t="s">
        <v>2366</v>
      </c>
      <c r="Q1704" t="s">
        <v>2364</v>
      </c>
      <c r="R1704" t="s">
        <v>2364</v>
      </c>
      <c r="S1704" t="s">
        <v>553</v>
      </c>
      <c r="T1704" t="s">
        <v>2367</v>
      </c>
      <c r="U1704">
        <v>360</v>
      </c>
      <c r="V1704" t="s">
        <v>2368</v>
      </c>
      <c r="W1704">
        <v>360</v>
      </c>
      <c r="X1704" t="s">
        <v>711</v>
      </c>
      <c r="Y1704" t="s">
        <v>2365</v>
      </c>
      <c r="Z1704" t="s">
        <v>2365</v>
      </c>
      <c r="AA1704" t="s">
        <v>2365</v>
      </c>
      <c r="AB1704" t="s">
        <v>2365</v>
      </c>
      <c r="AC1704" s="813" t="s">
        <v>2365</v>
      </c>
      <c r="AD1704" s="813" t="s">
        <v>2365</v>
      </c>
      <c r="AE1704" s="813" t="s">
        <v>2365</v>
      </c>
      <c r="AF1704" t="s">
        <v>2365</v>
      </c>
      <c r="AG1704" t="s">
        <v>2365</v>
      </c>
      <c r="AH1704" t="s">
        <v>2365</v>
      </c>
      <c r="AI1704" t="s">
        <v>2365</v>
      </c>
      <c r="AJ1704" t="s">
        <v>2365</v>
      </c>
      <c r="AK1704">
        <v>361</v>
      </c>
      <c r="AL1704" t="s">
        <v>1804</v>
      </c>
      <c r="AM1704">
        <v>361</v>
      </c>
      <c r="AN1704" t="s">
        <v>1804</v>
      </c>
      <c r="AR1704" t="s">
        <v>2365</v>
      </c>
      <c r="AS1704" t="s">
        <v>2365</v>
      </c>
      <c r="AT1704" t="s">
        <v>2365</v>
      </c>
      <c r="AU1704" t="s">
        <v>2365</v>
      </c>
      <c r="AV1704" t="s">
        <v>2365</v>
      </c>
      <c r="AW1704" t="s">
        <v>2365</v>
      </c>
      <c r="AX1704" t="s">
        <v>2365</v>
      </c>
      <c r="AY1704" t="s">
        <v>2365</v>
      </c>
      <c r="AZ1704" t="s">
        <v>2365</v>
      </c>
      <c r="BA1704" t="s">
        <v>2365</v>
      </c>
      <c r="BB1704" t="s">
        <v>2365</v>
      </c>
      <c r="BC1704" t="s">
        <v>2365</v>
      </c>
      <c r="BD1704" t="s">
        <v>2366</v>
      </c>
      <c r="BE1704" t="s">
        <v>2365</v>
      </c>
      <c r="BF1704" t="s">
        <v>2365</v>
      </c>
      <c r="BG1704" t="s">
        <v>2365</v>
      </c>
      <c r="BH1704" t="s">
        <v>2365</v>
      </c>
      <c r="BI1704" t="s">
        <v>2366</v>
      </c>
      <c r="BJ1704" t="s">
        <v>2365</v>
      </c>
      <c r="BK1704" t="s">
        <v>2365</v>
      </c>
      <c r="BL1704" t="s">
        <v>2365</v>
      </c>
      <c r="BM1704" t="s">
        <v>2365</v>
      </c>
      <c r="BO1704">
        <v>1</v>
      </c>
      <c r="BP1704">
        <v>11</v>
      </c>
      <c r="BQ1704" t="s">
        <v>2369</v>
      </c>
      <c r="BR1704" t="s">
        <v>1487</v>
      </c>
      <c r="BU1704" s="1371">
        <v>0</v>
      </c>
      <c r="BV1704" s="1371">
        <v>0</v>
      </c>
      <c r="BW1704" s="1371">
        <v>0</v>
      </c>
      <c r="BX1704" s="1371">
        <v>0</v>
      </c>
      <c r="BY1704" s="1371">
        <v>0</v>
      </c>
      <c r="BZ1704">
        <v>0</v>
      </c>
      <c r="CA1704">
        <v>0</v>
      </c>
      <c r="CB1704">
        <v>0</v>
      </c>
      <c r="CC1704">
        <v>0</v>
      </c>
      <c r="CD1704">
        <v>0</v>
      </c>
      <c r="CE1704">
        <v>0</v>
      </c>
      <c r="CF1704">
        <v>0</v>
      </c>
      <c r="CG1704">
        <v>0</v>
      </c>
      <c r="CH1704">
        <v>0</v>
      </c>
      <c r="CI1704">
        <v>0</v>
      </c>
      <c r="CJ1704">
        <v>0</v>
      </c>
      <c r="CK1704">
        <v>0</v>
      </c>
      <c r="CL1704">
        <v>0</v>
      </c>
      <c r="CM1704">
        <v>0</v>
      </c>
      <c r="CR1704" t="s">
        <v>2324</v>
      </c>
      <c r="CS1704" s="1369" t="str">
        <f>INDEX([8]Sheet1!$H:$H,MATCH(CR:CR,[8]Sheet1!$AU:$AU,0))</f>
        <v>Finance</v>
      </c>
    </row>
    <row r="1705" spans="1:97" x14ac:dyDescent="0.2">
      <c r="A1705" t="s">
        <v>4839</v>
      </c>
      <c r="B1705">
        <v>1799</v>
      </c>
      <c r="C1705" t="s">
        <v>4839</v>
      </c>
      <c r="D1705">
        <v>54798</v>
      </c>
      <c r="E1705" t="s">
        <v>4840</v>
      </c>
      <c r="F1705">
        <v>2900</v>
      </c>
      <c r="G1705" t="s">
        <v>569</v>
      </c>
      <c r="H1705" s="1373" t="s">
        <v>2366</v>
      </c>
      <c r="I1705" t="s">
        <v>2366</v>
      </c>
      <c r="J1705">
        <v>2904</v>
      </c>
      <c r="K1705" t="s">
        <v>1432</v>
      </c>
      <c r="L1705" s="1373">
        <v>4100</v>
      </c>
      <c r="M1705" t="s">
        <v>1482</v>
      </c>
      <c r="N1705">
        <v>4101</v>
      </c>
      <c r="O1705" t="s">
        <v>1550</v>
      </c>
      <c r="P1705" t="s">
        <v>2366</v>
      </c>
      <c r="Q1705" t="s">
        <v>2364</v>
      </c>
      <c r="R1705" t="s">
        <v>2364</v>
      </c>
      <c r="S1705" t="s">
        <v>1881</v>
      </c>
      <c r="T1705" t="s">
        <v>1812</v>
      </c>
      <c r="U1705" t="s">
        <v>2365</v>
      </c>
      <c r="V1705" t="s">
        <v>2365</v>
      </c>
      <c r="W1705" t="s">
        <v>2365</v>
      </c>
      <c r="X1705" t="s">
        <v>2365</v>
      </c>
      <c r="Y1705" t="s">
        <v>2365</v>
      </c>
      <c r="Z1705" t="s">
        <v>2365</v>
      </c>
      <c r="AA1705" t="s">
        <v>2365</v>
      </c>
      <c r="AB1705" t="s">
        <v>2365</v>
      </c>
      <c r="AC1705" s="813" t="s">
        <v>2365</v>
      </c>
      <c r="AD1705" s="813" t="s">
        <v>2365</v>
      </c>
      <c r="AE1705" s="813" t="s">
        <v>2365</v>
      </c>
      <c r="AF1705" t="s">
        <v>2365</v>
      </c>
      <c r="AG1705" t="s">
        <v>2365</v>
      </c>
      <c r="AH1705" t="s">
        <v>2365</v>
      </c>
      <c r="AI1705" t="s">
        <v>2365</v>
      </c>
      <c r="AJ1705" t="s">
        <v>2365</v>
      </c>
      <c r="AK1705" t="s">
        <v>2365</v>
      </c>
      <c r="AL1705" t="s">
        <v>2365</v>
      </c>
      <c r="AM1705" t="s">
        <v>2365</v>
      </c>
      <c r="AN1705" t="s">
        <v>2365</v>
      </c>
      <c r="AR1705" t="s">
        <v>2365</v>
      </c>
      <c r="AS1705" t="s">
        <v>2365</v>
      </c>
      <c r="AT1705" t="s">
        <v>2365</v>
      </c>
      <c r="AU1705" t="s">
        <v>2365</v>
      </c>
      <c r="AV1705" t="s">
        <v>2365</v>
      </c>
      <c r="AW1705" t="s">
        <v>2365</v>
      </c>
      <c r="AX1705" t="s">
        <v>2365</v>
      </c>
      <c r="AY1705" t="s">
        <v>2365</v>
      </c>
      <c r="AZ1705" t="s">
        <v>2365</v>
      </c>
      <c r="BA1705" t="s">
        <v>2365</v>
      </c>
      <c r="BB1705" t="s">
        <v>2365</v>
      </c>
      <c r="BC1705" t="s">
        <v>2365</v>
      </c>
      <c r="BD1705" t="s">
        <v>2366</v>
      </c>
      <c r="BE1705" t="s">
        <v>2365</v>
      </c>
      <c r="BF1705" t="s">
        <v>2365</v>
      </c>
      <c r="BG1705" t="s">
        <v>2365</v>
      </c>
      <c r="BH1705" t="s">
        <v>2365</v>
      </c>
      <c r="BI1705" t="s">
        <v>2366</v>
      </c>
      <c r="BJ1705" t="s">
        <v>2365</v>
      </c>
      <c r="BK1705" t="s">
        <v>2365</v>
      </c>
      <c r="BL1705" t="s">
        <v>2365</v>
      </c>
      <c r="BM1705" t="s">
        <v>2365</v>
      </c>
      <c r="BO1705">
        <v>6</v>
      </c>
      <c r="BP1705">
        <v>61</v>
      </c>
      <c r="BQ1705" t="s">
        <v>2445</v>
      </c>
      <c r="BR1705" t="s">
        <v>628</v>
      </c>
      <c r="BU1705" s="1371">
        <v>0</v>
      </c>
      <c r="BV1705" s="1371">
        <v>0</v>
      </c>
      <c r="BW1705" s="1371">
        <v>0</v>
      </c>
      <c r="BX1705" s="1371">
        <v>6381606</v>
      </c>
      <c r="BY1705" s="1371">
        <v>6381606</v>
      </c>
      <c r="BZ1705">
        <v>0</v>
      </c>
      <c r="CA1705">
        <v>0</v>
      </c>
      <c r="CB1705">
        <v>0</v>
      </c>
      <c r="CC1705">
        <v>562832.9</v>
      </c>
      <c r="CD1705">
        <v>0</v>
      </c>
      <c r="CE1705">
        <v>0</v>
      </c>
      <c r="CF1705">
        <v>0</v>
      </c>
      <c r="CG1705">
        <v>2417958.09</v>
      </c>
      <c r="CH1705">
        <v>987430.2</v>
      </c>
      <c r="CI1705">
        <v>0</v>
      </c>
      <c r="CJ1705">
        <v>0</v>
      </c>
      <c r="CK1705">
        <v>0</v>
      </c>
      <c r="CL1705">
        <v>0</v>
      </c>
      <c r="CM1705">
        <v>0</v>
      </c>
      <c r="CR1705" t="s">
        <v>2324</v>
      </c>
      <c r="CS1705" s="1369" t="str">
        <f>INDEX([8]Sheet1!$H:$H,MATCH(CR:CR,[8]Sheet1!$AU:$AU,0))</f>
        <v>Finance</v>
      </c>
    </row>
    <row r="1706" spans="1:97" x14ac:dyDescent="0.2">
      <c r="A1706" t="s">
        <v>4841</v>
      </c>
      <c r="B1706">
        <v>1800</v>
      </c>
      <c r="C1706" t="s">
        <v>4841</v>
      </c>
      <c r="D1706">
        <v>54799</v>
      </c>
      <c r="E1706" t="s">
        <v>3010</v>
      </c>
      <c r="F1706">
        <v>2700</v>
      </c>
      <c r="G1706" t="s">
        <v>656</v>
      </c>
      <c r="H1706" s="1373" t="s">
        <v>2428</v>
      </c>
      <c r="I1706" t="s">
        <v>1800</v>
      </c>
      <c r="J1706">
        <v>2701</v>
      </c>
      <c r="K1706" t="s">
        <v>1800</v>
      </c>
      <c r="L1706" s="1373">
        <v>1100</v>
      </c>
      <c r="M1706" t="s">
        <v>616</v>
      </c>
      <c r="N1706">
        <v>1110</v>
      </c>
      <c r="O1706" t="s">
        <v>995</v>
      </c>
      <c r="P1706" t="s">
        <v>2366</v>
      </c>
      <c r="Q1706" t="s">
        <v>2364</v>
      </c>
      <c r="R1706" t="s">
        <v>2364</v>
      </c>
      <c r="S1706" t="s">
        <v>1881</v>
      </c>
      <c r="T1706" t="s">
        <v>1812</v>
      </c>
      <c r="U1706" t="s">
        <v>2365</v>
      </c>
      <c r="V1706" t="s">
        <v>2365</v>
      </c>
      <c r="W1706" t="s">
        <v>2365</v>
      </c>
      <c r="X1706" t="s">
        <v>2365</v>
      </c>
      <c r="Y1706" t="s">
        <v>2365</v>
      </c>
      <c r="Z1706" t="s">
        <v>2365</v>
      </c>
      <c r="AA1706" t="s">
        <v>2365</v>
      </c>
      <c r="AB1706" t="s">
        <v>2365</v>
      </c>
      <c r="AC1706" s="813" t="s">
        <v>2365</v>
      </c>
      <c r="AD1706" s="813" t="s">
        <v>2365</v>
      </c>
      <c r="AE1706" s="813" t="s">
        <v>2365</v>
      </c>
      <c r="AF1706" t="s">
        <v>2365</v>
      </c>
      <c r="AG1706" t="s">
        <v>2365</v>
      </c>
      <c r="AH1706" t="s">
        <v>2365</v>
      </c>
      <c r="AI1706" t="s">
        <v>2365</v>
      </c>
      <c r="AJ1706" t="s">
        <v>2365</v>
      </c>
      <c r="AK1706" t="s">
        <v>2365</v>
      </c>
      <c r="AL1706" t="s">
        <v>2365</v>
      </c>
      <c r="AM1706" t="s">
        <v>2365</v>
      </c>
      <c r="AN1706" t="s">
        <v>2365</v>
      </c>
      <c r="AR1706" t="s">
        <v>2365</v>
      </c>
      <c r="AS1706" t="s">
        <v>2365</v>
      </c>
      <c r="AT1706" t="s">
        <v>2365</v>
      </c>
      <c r="AU1706" t="s">
        <v>2365</v>
      </c>
      <c r="AV1706" t="s">
        <v>2365</v>
      </c>
      <c r="AW1706" t="s">
        <v>2365</v>
      </c>
      <c r="AX1706" t="s">
        <v>2365</v>
      </c>
      <c r="AY1706" t="s">
        <v>2365</v>
      </c>
      <c r="AZ1706" t="s">
        <v>2365</v>
      </c>
      <c r="BA1706" t="s">
        <v>2365</v>
      </c>
      <c r="BB1706" t="s">
        <v>2365</v>
      </c>
      <c r="BC1706" t="s">
        <v>2365</v>
      </c>
      <c r="BD1706" t="s">
        <v>2366</v>
      </c>
      <c r="BE1706" t="s">
        <v>2365</v>
      </c>
      <c r="BF1706" t="s">
        <v>2365</v>
      </c>
      <c r="BG1706" t="s">
        <v>2365</v>
      </c>
      <c r="BH1706" t="s">
        <v>2365</v>
      </c>
      <c r="BI1706" t="s">
        <v>2366</v>
      </c>
      <c r="BJ1706" t="s">
        <v>2365</v>
      </c>
      <c r="BK1706" t="s">
        <v>2365</v>
      </c>
      <c r="BL1706" t="s">
        <v>2365</v>
      </c>
      <c r="BM1706" t="s">
        <v>2365</v>
      </c>
      <c r="BO1706">
        <v>3</v>
      </c>
      <c r="BP1706">
        <v>32</v>
      </c>
      <c r="BQ1706" t="s">
        <v>2716</v>
      </c>
      <c r="BR1706" t="s">
        <v>995</v>
      </c>
      <c r="BU1706" s="1371">
        <v>300000</v>
      </c>
      <c r="BV1706" s="1371">
        <v>0</v>
      </c>
      <c r="BW1706" s="1371">
        <v>300000</v>
      </c>
      <c r="BX1706" s="1371">
        <v>0</v>
      </c>
      <c r="BY1706" s="1371">
        <v>300000</v>
      </c>
      <c r="BZ1706">
        <v>312000</v>
      </c>
      <c r="CA1706">
        <v>324480</v>
      </c>
      <c r="CB1706">
        <v>0</v>
      </c>
      <c r="CC1706">
        <v>0</v>
      </c>
      <c r="CD1706">
        <v>0</v>
      </c>
      <c r="CE1706">
        <v>0</v>
      </c>
      <c r="CF1706">
        <v>0</v>
      </c>
      <c r="CG1706">
        <v>0</v>
      </c>
      <c r="CH1706">
        <v>0</v>
      </c>
      <c r="CI1706">
        <v>0</v>
      </c>
      <c r="CJ1706">
        <v>0</v>
      </c>
      <c r="CK1706">
        <v>0</v>
      </c>
      <c r="CL1706">
        <v>0</v>
      </c>
      <c r="CM1706">
        <v>0</v>
      </c>
      <c r="CR1706" t="s">
        <v>2323</v>
      </c>
      <c r="CS1706" s="1369" t="str">
        <f>INDEX([8]Sheet1!$H:$H,MATCH(CR:CR,[8]Sheet1!$AU:$AU,0))</f>
        <v>Information Technology</v>
      </c>
    </row>
    <row r="1707" spans="1:97" x14ac:dyDescent="0.2">
      <c r="A1707" t="s">
        <v>4842</v>
      </c>
      <c r="B1707">
        <v>1801</v>
      </c>
      <c r="C1707" t="s">
        <v>4842</v>
      </c>
      <c r="D1707">
        <v>54800</v>
      </c>
      <c r="E1707" t="s">
        <v>4281</v>
      </c>
      <c r="F1707" t="s">
        <v>2364</v>
      </c>
      <c r="G1707" t="s">
        <v>2364</v>
      </c>
      <c r="H1707" t="s">
        <v>2365</v>
      </c>
      <c r="I1707" t="s">
        <v>2365</v>
      </c>
      <c r="J1707" t="s">
        <v>2365</v>
      </c>
      <c r="K1707" t="s">
        <v>2365</v>
      </c>
      <c r="L1707">
        <v>1200</v>
      </c>
      <c r="M1707" t="s">
        <v>1480</v>
      </c>
      <c r="N1707">
        <v>1204</v>
      </c>
      <c r="O1707" t="s">
        <v>1487</v>
      </c>
      <c r="P1707" t="s">
        <v>1846</v>
      </c>
      <c r="Q1707">
        <v>2080</v>
      </c>
      <c r="R1707" t="s">
        <v>579</v>
      </c>
      <c r="S1707" t="s">
        <v>552</v>
      </c>
      <c r="T1707" t="s">
        <v>2175</v>
      </c>
      <c r="U1707">
        <v>240</v>
      </c>
      <c r="V1707" t="s">
        <v>2389</v>
      </c>
      <c r="W1707">
        <v>240</v>
      </c>
      <c r="X1707" t="s">
        <v>701</v>
      </c>
      <c r="Y1707" t="s">
        <v>2365</v>
      </c>
      <c r="Z1707" t="s">
        <v>2365</v>
      </c>
      <c r="AA1707" t="s">
        <v>2365</v>
      </c>
      <c r="AB1707" t="s">
        <v>2365</v>
      </c>
      <c r="AC1707" s="813" t="s">
        <v>2365</v>
      </c>
      <c r="AD1707" s="813" t="s">
        <v>2365</v>
      </c>
      <c r="AE1707" s="813" t="s">
        <v>2365</v>
      </c>
      <c r="AF1707" t="s">
        <v>2365</v>
      </c>
      <c r="AG1707">
        <v>1180</v>
      </c>
      <c r="AH1707" t="s">
        <v>1368</v>
      </c>
      <c r="AI1707">
        <v>1180</v>
      </c>
      <c r="AJ1707" t="s">
        <v>1368</v>
      </c>
      <c r="AK1707">
        <v>241</v>
      </c>
      <c r="AL1707" t="s">
        <v>1203</v>
      </c>
      <c r="AM1707">
        <v>241</v>
      </c>
      <c r="AN1707" t="s">
        <v>1203</v>
      </c>
      <c r="AR1707">
        <v>1200</v>
      </c>
      <c r="AS1707" t="s">
        <v>1652</v>
      </c>
      <c r="AT1707">
        <v>1200</v>
      </c>
      <c r="AU1707" t="s">
        <v>1652</v>
      </c>
      <c r="AV1707" t="s">
        <v>2365</v>
      </c>
      <c r="AW1707" t="s">
        <v>2365</v>
      </c>
      <c r="AX1707" t="s">
        <v>2365</v>
      </c>
      <c r="AY1707" t="s">
        <v>2365</v>
      </c>
      <c r="AZ1707" t="s">
        <v>2365</v>
      </c>
      <c r="BA1707" t="s">
        <v>2365</v>
      </c>
      <c r="BB1707" t="s">
        <v>2365</v>
      </c>
      <c r="BC1707" t="s">
        <v>2365</v>
      </c>
      <c r="BD1707" t="s">
        <v>2366</v>
      </c>
      <c r="BE1707" t="s">
        <v>2365</v>
      </c>
      <c r="BF1707" t="s">
        <v>2365</v>
      </c>
      <c r="BG1707" t="s">
        <v>2365</v>
      </c>
      <c r="BH1707" t="s">
        <v>2365</v>
      </c>
      <c r="BI1707" t="s">
        <v>2366</v>
      </c>
      <c r="BJ1707" t="s">
        <v>2365</v>
      </c>
      <c r="BK1707" t="s">
        <v>2365</v>
      </c>
      <c r="BL1707" t="s">
        <v>2365</v>
      </c>
      <c r="BM1707" t="s">
        <v>2365</v>
      </c>
      <c r="BO1707">
        <v>1</v>
      </c>
      <c r="BP1707">
        <v>11</v>
      </c>
      <c r="BQ1707" t="s">
        <v>2369</v>
      </c>
      <c r="BR1707" t="s">
        <v>1487</v>
      </c>
      <c r="BU1707">
        <v>5000000</v>
      </c>
      <c r="BV1707">
        <v>0</v>
      </c>
      <c r="BW1707">
        <v>5000000</v>
      </c>
      <c r="BX1707">
        <v>-3478049</v>
      </c>
      <c r="BY1707">
        <v>1521951</v>
      </c>
      <c r="BZ1707">
        <v>14000000</v>
      </c>
      <c r="CA1707">
        <v>5000000</v>
      </c>
      <c r="CB1707">
        <v>0</v>
      </c>
      <c r="CC1707">
        <v>0</v>
      </c>
      <c r="CD1707">
        <v>0</v>
      </c>
      <c r="CE1707">
        <v>0</v>
      </c>
      <c r="CF1707">
        <v>0</v>
      </c>
      <c r="CG1707">
        <v>1022301</v>
      </c>
      <c r="CH1707">
        <v>0</v>
      </c>
      <c r="CI1707">
        <v>-1022301</v>
      </c>
      <c r="CJ1707">
        <v>0</v>
      </c>
      <c r="CK1707">
        <v>0</v>
      </c>
      <c r="CL1707">
        <v>0</v>
      </c>
      <c r="CM1707">
        <v>0</v>
      </c>
      <c r="CR1707" t="s">
        <v>2323</v>
      </c>
      <c r="CS1707" s="1369" t="str">
        <f>INDEX([8]Sheet1!$H:$H,MATCH(CR:CR,[8]Sheet1!$AU:$AU,0))</f>
        <v>Information Technology</v>
      </c>
    </row>
    <row r="1708" spans="1:97" x14ac:dyDescent="0.2">
      <c r="A1708" t="s">
        <v>4843</v>
      </c>
      <c r="B1708">
        <v>1802</v>
      </c>
      <c r="C1708" t="s">
        <v>4843</v>
      </c>
      <c r="D1708">
        <v>54801</v>
      </c>
      <c r="E1708" t="s">
        <v>2405</v>
      </c>
      <c r="F1708" t="s">
        <v>2364</v>
      </c>
      <c r="G1708" t="s">
        <v>2364</v>
      </c>
      <c r="H1708" t="s">
        <v>2365</v>
      </c>
      <c r="I1708" t="s">
        <v>2365</v>
      </c>
      <c r="J1708" t="s">
        <v>2365</v>
      </c>
      <c r="K1708" t="s">
        <v>2365</v>
      </c>
      <c r="L1708">
        <v>1200</v>
      </c>
      <c r="M1708" t="s">
        <v>1480</v>
      </c>
      <c r="N1708">
        <v>1204</v>
      </c>
      <c r="O1708" t="s">
        <v>1487</v>
      </c>
      <c r="P1708" t="s">
        <v>2366</v>
      </c>
      <c r="Q1708" t="s">
        <v>2364</v>
      </c>
      <c r="R1708" t="s">
        <v>2364</v>
      </c>
      <c r="S1708" t="s">
        <v>553</v>
      </c>
      <c r="T1708" t="s">
        <v>2175</v>
      </c>
      <c r="U1708">
        <v>120</v>
      </c>
      <c r="V1708" t="s">
        <v>691</v>
      </c>
      <c r="W1708">
        <v>120</v>
      </c>
      <c r="X1708" t="s">
        <v>691</v>
      </c>
      <c r="Y1708" t="s">
        <v>2365</v>
      </c>
      <c r="Z1708" t="s">
        <v>2365</v>
      </c>
      <c r="AA1708" t="s">
        <v>2365</v>
      </c>
      <c r="AB1708" t="s">
        <v>2365</v>
      </c>
      <c r="AC1708" s="813" t="s">
        <v>2365</v>
      </c>
      <c r="AD1708" s="813" t="s">
        <v>2365</v>
      </c>
      <c r="AE1708" s="813" t="s">
        <v>2365</v>
      </c>
      <c r="AF1708" t="s">
        <v>2365</v>
      </c>
      <c r="AG1708" t="s">
        <v>2365</v>
      </c>
      <c r="AH1708" t="s">
        <v>2365</v>
      </c>
      <c r="AI1708" t="s">
        <v>2365</v>
      </c>
      <c r="AJ1708" t="s">
        <v>2365</v>
      </c>
      <c r="AK1708" t="s">
        <v>2365</v>
      </c>
      <c r="AL1708" t="s">
        <v>2365</v>
      </c>
      <c r="AM1708" t="s">
        <v>2365</v>
      </c>
      <c r="AN1708" t="s">
        <v>2365</v>
      </c>
      <c r="AQ1708" t="s">
        <v>553</v>
      </c>
      <c r="AR1708" t="s">
        <v>2365</v>
      </c>
      <c r="AS1708" t="s">
        <v>2365</v>
      </c>
      <c r="AT1708" t="s">
        <v>2365</v>
      </c>
      <c r="AU1708" t="s">
        <v>2365</v>
      </c>
      <c r="AV1708" t="s">
        <v>2365</v>
      </c>
      <c r="AW1708" t="s">
        <v>2365</v>
      </c>
      <c r="AX1708" t="s">
        <v>2365</v>
      </c>
      <c r="AY1708" t="s">
        <v>2365</v>
      </c>
      <c r="AZ1708" t="s">
        <v>2365</v>
      </c>
      <c r="BA1708" t="s">
        <v>2365</v>
      </c>
      <c r="BB1708" t="s">
        <v>2365</v>
      </c>
      <c r="BC1708" t="s">
        <v>2365</v>
      </c>
      <c r="BD1708" t="s">
        <v>2366</v>
      </c>
      <c r="BE1708" t="s">
        <v>2365</v>
      </c>
      <c r="BF1708" t="s">
        <v>2365</v>
      </c>
      <c r="BG1708" t="s">
        <v>2365</v>
      </c>
      <c r="BH1708" t="s">
        <v>2365</v>
      </c>
      <c r="BI1708" t="s">
        <v>2366</v>
      </c>
      <c r="BJ1708" t="s">
        <v>2365</v>
      </c>
      <c r="BK1708" t="s">
        <v>2365</v>
      </c>
      <c r="BL1708" t="s">
        <v>2365</v>
      </c>
      <c r="BM1708" t="s">
        <v>2365</v>
      </c>
      <c r="BO1708">
        <v>1</v>
      </c>
      <c r="BP1708">
        <v>11</v>
      </c>
      <c r="BQ1708" t="s">
        <v>2369</v>
      </c>
      <c r="BR1708" t="s">
        <v>1487</v>
      </c>
      <c r="BU1708">
        <v>0</v>
      </c>
      <c r="BV1708">
        <v>0</v>
      </c>
      <c r="BW1708">
        <v>0</v>
      </c>
      <c r="BX1708">
        <v>0</v>
      </c>
      <c r="BY1708">
        <v>0</v>
      </c>
      <c r="BZ1708">
        <v>0</v>
      </c>
      <c r="CA1708">
        <v>0</v>
      </c>
      <c r="CB1708">
        <v>23225938.479999997</v>
      </c>
      <c r="CC1708">
        <v>-32424127.599999983</v>
      </c>
      <c r="CD1708">
        <v>-5885064.0900000008</v>
      </c>
      <c r="CE1708">
        <v>1223858.1299999952</v>
      </c>
      <c r="CF1708">
        <v>-1063719.5099999979</v>
      </c>
      <c r="CG1708">
        <v>4394329.7000000924</v>
      </c>
      <c r="CH1708">
        <v>-8265006.3399999849</v>
      </c>
      <c r="CI1708">
        <v>1462945.3800000381</v>
      </c>
      <c r="CJ1708">
        <v>-3992288.46</v>
      </c>
      <c r="CK1708">
        <v>0</v>
      </c>
      <c r="CL1708">
        <v>0</v>
      </c>
      <c r="CM1708">
        <v>0</v>
      </c>
      <c r="CR1708" t="s">
        <v>2323</v>
      </c>
      <c r="CS1708" s="1369" t="str">
        <f>INDEX([8]Sheet1!$H:$H,MATCH(CR:CR,[8]Sheet1!$AU:$AU,0))</f>
        <v>Information Technology</v>
      </c>
    </row>
    <row r="1709" spans="1:97" x14ac:dyDescent="0.2">
      <c r="A1709" t="s">
        <v>4844</v>
      </c>
      <c r="B1709">
        <v>1803</v>
      </c>
      <c r="C1709" t="s">
        <v>4844</v>
      </c>
      <c r="D1709">
        <v>54802</v>
      </c>
      <c r="E1709" t="s">
        <v>2405</v>
      </c>
      <c r="F1709" t="s">
        <v>2364</v>
      </c>
      <c r="G1709" t="s">
        <v>2364</v>
      </c>
      <c r="H1709" t="s">
        <v>2365</v>
      </c>
      <c r="I1709" t="s">
        <v>2365</v>
      </c>
      <c r="J1709" t="s">
        <v>2365</v>
      </c>
      <c r="K1709" t="s">
        <v>2365</v>
      </c>
      <c r="L1709">
        <v>1200</v>
      </c>
      <c r="M1709" t="s">
        <v>1480</v>
      </c>
      <c r="N1709">
        <v>1204</v>
      </c>
      <c r="O1709" t="s">
        <v>1487</v>
      </c>
      <c r="P1709" t="s">
        <v>2366</v>
      </c>
      <c r="Q1709" t="s">
        <v>2364</v>
      </c>
      <c r="R1709" t="s">
        <v>2364</v>
      </c>
      <c r="S1709" t="s">
        <v>553</v>
      </c>
      <c r="T1709" t="s">
        <v>2175</v>
      </c>
      <c r="U1709">
        <v>120</v>
      </c>
      <c r="V1709" t="s">
        <v>691</v>
      </c>
      <c r="W1709">
        <v>120</v>
      </c>
      <c r="X1709" t="s">
        <v>691</v>
      </c>
      <c r="Y1709" t="s">
        <v>2365</v>
      </c>
      <c r="Z1709" t="s">
        <v>2365</v>
      </c>
      <c r="AA1709" t="s">
        <v>2365</v>
      </c>
      <c r="AB1709" t="s">
        <v>2365</v>
      </c>
      <c r="AC1709" s="813" t="s">
        <v>2365</v>
      </c>
      <c r="AD1709" s="813" t="s">
        <v>2365</v>
      </c>
      <c r="AE1709" s="813" t="s">
        <v>2365</v>
      </c>
      <c r="AF1709" t="s">
        <v>2365</v>
      </c>
      <c r="AG1709" t="s">
        <v>2365</v>
      </c>
      <c r="AH1709" t="s">
        <v>2365</v>
      </c>
      <c r="AI1709" t="s">
        <v>2365</v>
      </c>
      <c r="AJ1709" t="s">
        <v>2365</v>
      </c>
      <c r="AK1709" t="s">
        <v>2365</v>
      </c>
      <c r="AL1709" t="s">
        <v>2365</v>
      </c>
      <c r="AM1709" t="s">
        <v>2365</v>
      </c>
      <c r="AN1709" t="s">
        <v>2365</v>
      </c>
      <c r="AQ1709" t="s">
        <v>553</v>
      </c>
      <c r="AR1709" t="s">
        <v>2365</v>
      </c>
      <c r="AS1709" t="s">
        <v>2365</v>
      </c>
      <c r="AT1709" t="s">
        <v>2365</v>
      </c>
      <c r="AU1709" t="s">
        <v>2365</v>
      </c>
      <c r="AV1709" t="s">
        <v>2365</v>
      </c>
      <c r="AW1709" t="s">
        <v>2365</v>
      </c>
      <c r="AX1709" t="s">
        <v>2365</v>
      </c>
      <c r="AY1709" t="s">
        <v>2365</v>
      </c>
      <c r="AZ1709" t="s">
        <v>2365</v>
      </c>
      <c r="BA1709" t="s">
        <v>2365</v>
      </c>
      <c r="BB1709" t="s">
        <v>2365</v>
      </c>
      <c r="BC1709" t="s">
        <v>2365</v>
      </c>
      <c r="BD1709" t="s">
        <v>2366</v>
      </c>
      <c r="BE1709" t="s">
        <v>2365</v>
      </c>
      <c r="BF1709" t="s">
        <v>2365</v>
      </c>
      <c r="BG1709" t="s">
        <v>2365</v>
      </c>
      <c r="BH1709" t="s">
        <v>2365</v>
      </c>
      <c r="BI1709" t="s">
        <v>2366</v>
      </c>
      <c r="BJ1709" t="s">
        <v>2365</v>
      </c>
      <c r="BK1709" t="s">
        <v>2365</v>
      </c>
      <c r="BL1709" t="s">
        <v>2365</v>
      </c>
      <c r="BM1709" t="s">
        <v>2365</v>
      </c>
      <c r="BO1709">
        <v>1</v>
      </c>
      <c r="BP1709">
        <v>11</v>
      </c>
      <c r="BQ1709" t="s">
        <v>2369</v>
      </c>
      <c r="BR1709" t="s">
        <v>1487</v>
      </c>
      <c r="BU1709">
        <v>0</v>
      </c>
      <c r="BV1709">
        <v>0</v>
      </c>
      <c r="BW1709">
        <v>0</v>
      </c>
      <c r="BX1709">
        <v>0</v>
      </c>
      <c r="BY1709">
        <v>0</v>
      </c>
      <c r="BZ1709">
        <v>0</v>
      </c>
      <c r="CA1709">
        <v>0</v>
      </c>
      <c r="CB1709">
        <v>0</v>
      </c>
      <c r="CC1709">
        <v>0</v>
      </c>
      <c r="CD1709">
        <v>0</v>
      </c>
      <c r="CE1709">
        <v>0</v>
      </c>
      <c r="CF1709">
        <v>0</v>
      </c>
      <c r="CG1709">
        <v>0</v>
      </c>
      <c r="CH1709">
        <v>0</v>
      </c>
      <c r="CI1709">
        <v>0</v>
      </c>
      <c r="CJ1709">
        <v>0</v>
      </c>
      <c r="CK1709">
        <v>0</v>
      </c>
      <c r="CL1709">
        <v>0</v>
      </c>
      <c r="CM1709">
        <v>0</v>
      </c>
      <c r="CR1709" t="s">
        <v>2323</v>
      </c>
      <c r="CS1709" s="1369" t="str">
        <f>INDEX([8]Sheet1!$H:$H,MATCH(CR:CR,[8]Sheet1!$AU:$AU,0))</f>
        <v>Information Technology</v>
      </c>
    </row>
    <row r="1710" spans="1:97" x14ac:dyDescent="0.2">
      <c r="A1710" t="s">
        <v>4845</v>
      </c>
      <c r="B1710">
        <v>1804</v>
      </c>
      <c r="C1710" t="s">
        <v>4845</v>
      </c>
      <c r="D1710">
        <v>54803</v>
      </c>
      <c r="E1710" t="s">
        <v>4846</v>
      </c>
      <c r="F1710" t="s">
        <v>2364</v>
      </c>
      <c r="G1710" t="s">
        <v>2364</v>
      </c>
      <c r="H1710" t="s">
        <v>2365</v>
      </c>
      <c r="I1710" t="s">
        <v>2365</v>
      </c>
      <c r="J1710" t="s">
        <v>2365</v>
      </c>
      <c r="K1710" t="s">
        <v>2365</v>
      </c>
      <c r="L1710">
        <v>1200</v>
      </c>
      <c r="M1710" t="s">
        <v>1480</v>
      </c>
      <c r="N1710">
        <v>1204</v>
      </c>
      <c r="O1710" t="s">
        <v>1487</v>
      </c>
      <c r="P1710" t="s">
        <v>2366</v>
      </c>
      <c r="Q1710" t="s">
        <v>2364</v>
      </c>
      <c r="R1710" t="s">
        <v>2364</v>
      </c>
      <c r="S1710" t="s">
        <v>553</v>
      </c>
      <c r="T1710" t="s">
        <v>2175</v>
      </c>
      <c r="U1710">
        <v>130</v>
      </c>
      <c r="V1710" t="s">
        <v>2652</v>
      </c>
      <c r="W1710">
        <v>130</v>
      </c>
      <c r="X1710" t="s">
        <v>2652</v>
      </c>
      <c r="Y1710" t="s">
        <v>2365</v>
      </c>
      <c r="Z1710" t="s">
        <v>2365</v>
      </c>
      <c r="AA1710" t="s">
        <v>2365</v>
      </c>
      <c r="AB1710" t="s">
        <v>2365</v>
      </c>
      <c r="AC1710" s="813" t="s">
        <v>2365</v>
      </c>
      <c r="AD1710" s="813" t="s">
        <v>2365</v>
      </c>
      <c r="AE1710" s="813" t="s">
        <v>2365</v>
      </c>
      <c r="AF1710" t="s">
        <v>2365</v>
      </c>
      <c r="AG1710" t="s">
        <v>2365</v>
      </c>
      <c r="AH1710" t="s">
        <v>2365</v>
      </c>
      <c r="AI1710" t="s">
        <v>2365</v>
      </c>
      <c r="AJ1710" t="s">
        <v>2365</v>
      </c>
      <c r="AK1710" t="s">
        <v>2365</v>
      </c>
      <c r="AL1710" t="s">
        <v>2365</v>
      </c>
      <c r="AM1710" t="s">
        <v>2365</v>
      </c>
      <c r="AN1710" t="s">
        <v>2365</v>
      </c>
      <c r="AQ1710" t="s">
        <v>553</v>
      </c>
      <c r="AR1710" t="s">
        <v>2365</v>
      </c>
      <c r="AS1710" t="s">
        <v>2365</v>
      </c>
      <c r="AT1710" t="s">
        <v>2365</v>
      </c>
      <c r="AU1710" t="s">
        <v>2365</v>
      </c>
      <c r="AV1710" t="s">
        <v>2365</v>
      </c>
      <c r="AW1710" t="s">
        <v>2365</v>
      </c>
      <c r="AX1710" t="s">
        <v>2365</v>
      </c>
      <c r="AY1710" t="s">
        <v>2365</v>
      </c>
      <c r="AZ1710" t="s">
        <v>2365</v>
      </c>
      <c r="BA1710" t="s">
        <v>2365</v>
      </c>
      <c r="BB1710" t="s">
        <v>2365</v>
      </c>
      <c r="BC1710" t="s">
        <v>2365</v>
      </c>
      <c r="BD1710" t="s">
        <v>2366</v>
      </c>
      <c r="BE1710" t="s">
        <v>2365</v>
      </c>
      <c r="BF1710" t="s">
        <v>2365</v>
      </c>
      <c r="BG1710" t="s">
        <v>2365</v>
      </c>
      <c r="BH1710" t="s">
        <v>2365</v>
      </c>
      <c r="BI1710" t="s">
        <v>2366</v>
      </c>
      <c r="BJ1710" t="s">
        <v>2365</v>
      </c>
      <c r="BK1710" t="s">
        <v>2365</v>
      </c>
      <c r="BL1710" t="s">
        <v>2365</v>
      </c>
      <c r="BM1710" t="s">
        <v>2365</v>
      </c>
      <c r="BO1710">
        <v>1</v>
      </c>
      <c r="BP1710">
        <v>11</v>
      </c>
      <c r="BQ1710" t="s">
        <v>2369</v>
      </c>
      <c r="BR1710" t="s">
        <v>1487</v>
      </c>
      <c r="BU1710">
        <v>0</v>
      </c>
      <c r="BV1710">
        <v>0</v>
      </c>
      <c r="BW1710">
        <v>0</v>
      </c>
      <c r="BX1710">
        <v>0</v>
      </c>
      <c r="BY1710">
        <v>0</v>
      </c>
      <c r="BZ1710">
        <v>0</v>
      </c>
      <c r="CA1710">
        <v>0</v>
      </c>
      <c r="CB1710">
        <v>135825.29</v>
      </c>
      <c r="CC1710">
        <v>129085.88</v>
      </c>
      <c r="CD1710">
        <v>125277.24</v>
      </c>
      <c r="CE1710">
        <v>-9884875.3399999999</v>
      </c>
      <c r="CF1710">
        <v>-9905266.3000000007</v>
      </c>
      <c r="CG1710">
        <v>20104689.810000002</v>
      </c>
      <c r="CH1710">
        <v>130704.55</v>
      </c>
      <c r="CI1710">
        <v>-9903635.7899999991</v>
      </c>
      <c r="CJ1710">
        <v>0</v>
      </c>
      <c r="CK1710">
        <v>0</v>
      </c>
      <c r="CL1710">
        <v>0</v>
      </c>
      <c r="CM1710">
        <v>0</v>
      </c>
      <c r="CR1710" t="s">
        <v>2323</v>
      </c>
      <c r="CS1710" s="1369" t="str">
        <f>INDEX([8]Sheet1!$H:$H,MATCH(CR:CR,[8]Sheet1!$AU:$AU,0))</f>
        <v>Information Technology</v>
      </c>
    </row>
    <row r="1711" spans="1:97" x14ac:dyDescent="0.2">
      <c r="A1711" t="s">
        <v>4847</v>
      </c>
      <c r="B1711">
        <v>1805</v>
      </c>
      <c r="C1711" t="s">
        <v>4847</v>
      </c>
      <c r="D1711">
        <v>54804</v>
      </c>
      <c r="E1711" t="s">
        <v>4848</v>
      </c>
      <c r="F1711">
        <v>2300</v>
      </c>
      <c r="G1711" t="s">
        <v>566</v>
      </c>
      <c r="H1711" t="s">
        <v>3312</v>
      </c>
      <c r="I1711" t="s">
        <v>1163</v>
      </c>
      <c r="J1711">
        <v>2301</v>
      </c>
      <c r="K1711" t="s">
        <v>3313</v>
      </c>
      <c r="L1711">
        <v>1200</v>
      </c>
      <c r="M1711" t="s">
        <v>1480</v>
      </c>
      <c r="N1711">
        <v>1202</v>
      </c>
      <c r="O1711" t="s">
        <v>595</v>
      </c>
      <c r="P1711" t="s">
        <v>2366</v>
      </c>
      <c r="Q1711" t="s">
        <v>2364</v>
      </c>
      <c r="R1711" t="s">
        <v>2364</v>
      </c>
      <c r="S1711" t="s">
        <v>1881</v>
      </c>
      <c r="T1711" t="s">
        <v>1812</v>
      </c>
      <c r="U1711" t="s">
        <v>2365</v>
      </c>
      <c r="V1711" t="s">
        <v>2365</v>
      </c>
      <c r="W1711" t="s">
        <v>2365</v>
      </c>
      <c r="X1711" t="s">
        <v>2365</v>
      </c>
      <c r="Y1711" t="s">
        <v>2365</v>
      </c>
      <c r="Z1711" t="s">
        <v>2365</v>
      </c>
      <c r="AA1711" t="s">
        <v>2365</v>
      </c>
      <c r="AB1711" t="s">
        <v>2365</v>
      </c>
      <c r="AC1711" s="813" t="s">
        <v>2365</v>
      </c>
      <c r="AD1711" s="813" t="s">
        <v>2365</v>
      </c>
      <c r="AE1711" s="813" t="s">
        <v>2365</v>
      </c>
      <c r="AF1711" t="s">
        <v>2365</v>
      </c>
      <c r="AG1711" t="s">
        <v>2365</v>
      </c>
      <c r="AH1711" t="s">
        <v>2365</v>
      </c>
      <c r="AI1711" t="s">
        <v>2365</v>
      </c>
      <c r="AJ1711" t="s">
        <v>2365</v>
      </c>
      <c r="AK1711" s="1373" t="s">
        <v>2365</v>
      </c>
      <c r="AL1711" t="s">
        <v>2365</v>
      </c>
      <c r="AM1711" t="s">
        <v>2365</v>
      </c>
      <c r="AN1711" t="s">
        <v>2365</v>
      </c>
      <c r="AR1711" t="s">
        <v>2365</v>
      </c>
      <c r="AS1711" t="s">
        <v>2365</v>
      </c>
      <c r="AT1711" t="s">
        <v>2365</v>
      </c>
      <c r="AU1711" t="s">
        <v>2365</v>
      </c>
      <c r="AV1711" t="s">
        <v>2365</v>
      </c>
      <c r="AW1711" t="s">
        <v>2365</v>
      </c>
      <c r="AX1711" t="s">
        <v>2365</v>
      </c>
      <c r="AY1711" t="s">
        <v>2365</v>
      </c>
      <c r="AZ1711" t="s">
        <v>2365</v>
      </c>
      <c r="BA1711" t="s">
        <v>2365</v>
      </c>
      <c r="BB1711" t="s">
        <v>2365</v>
      </c>
      <c r="BC1711" t="s">
        <v>2365</v>
      </c>
      <c r="BD1711" t="s">
        <v>2366</v>
      </c>
      <c r="BE1711">
        <v>1530</v>
      </c>
      <c r="BF1711" t="s">
        <v>1677</v>
      </c>
      <c r="BG1711">
        <v>1530</v>
      </c>
      <c r="BH1711" t="s">
        <v>1677</v>
      </c>
      <c r="BI1711" t="s">
        <v>1907</v>
      </c>
      <c r="BJ1711" t="s">
        <v>2365</v>
      </c>
      <c r="BK1711" t="s">
        <v>2365</v>
      </c>
      <c r="BL1711" t="s">
        <v>2365</v>
      </c>
      <c r="BM1711" t="s">
        <v>2365</v>
      </c>
      <c r="BO1711">
        <v>1</v>
      </c>
      <c r="BP1711">
        <v>13</v>
      </c>
      <c r="BQ1711" t="s">
        <v>2369</v>
      </c>
      <c r="BR1711" t="s">
        <v>595</v>
      </c>
      <c r="BU1711">
        <v>926926</v>
      </c>
      <c r="BV1711">
        <v>0</v>
      </c>
      <c r="BW1711">
        <v>926926</v>
      </c>
      <c r="BX1711">
        <v>0</v>
      </c>
      <c r="BY1711">
        <v>926926</v>
      </c>
      <c r="BZ1711">
        <v>1019619</v>
      </c>
      <c r="CA1711">
        <v>1121580</v>
      </c>
      <c r="CB1711">
        <v>0</v>
      </c>
      <c r="CC1711">
        <v>0</v>
      </c>
      <c r="CD1711">
        <v>60002.28</v>
      </c>
      <c r="CE1711">
        <v>64968.98</v>
      </c>
      <c r="CF1711">
        <v>62873.2</v>
      </c>
      <c r="CG1711">
        <v>64968.97</v>
      </c>
      <c r="CH1711">
        <v>64968.97</v>
      </c>
      <c r="CI1711">
        <v>58681.65</v>
      </c>
      <c r="CJ1711">
        <v>0</v>
      </c>
      <c r="CK1711">
        <v>0</v>
      </c>
      <c r="CL1711">
        <v>0</v>
      </c>
      <c r="CM1711">
        <v>0</v>
      </c>
      <c r="CR1711" t="s">
        <v>2323</v>
      </c>
      <c r="CS1711" s="1369" t="str">
        <f>INDEX([8]Sheet1!$H:$H,MATCH(CR:CR,[8]Sheet1!$AU:$AU,0))</f>
        <v>Information Technology</v>
      </c>
    </row>
    <row r="1712" spans="1:97" x14ac:dyDescent="0.2">
      <c r="A1712" t="s">
        <v>4849</v>
      </c>
      <c r="B1712">
        <v>1806</v>
      </c>
      <c r="C1712" t="s">
        <v>4849</v>
      </c>
      <c r="D1712">
        <v>54805</v>
      </c>
      <c r="E1712" t="s">
        <v>4850</v>
      </c>
      <c r="F1712">
        <v>2300</v>
      </c>
      <c r="G1712" t="s">
        <v>566</v>
      </c>
      <c r="H1712" t="s">
        <v>3312</v>
      </c>
      <c r="I1712" t="s">
        <v>1163</v>
      </c>
      <c r="J1712">
        <v>2302</v>
      </c>
      <c r="K1712" t="s">
        <v>4851</v>
      </c>
      <c r="L1712">
        <v>1200</v>
      </c>
      <c r="M1712" t="s">
        <v>1480</v>
      </c>
      <c r="N1712">
        <v>1202</v>
      </c>
      <c r="O1712" t="s">
        <v>595</v>
      </c>
      <c r="P1712" t="s">
        <v>2366</v>
      </c>
      <c r="Q1712" t="s">
        <v>2364</v>
      </c>
      <c r="R1712" t="s">
        <v>2364</v>
      </c>
      <c r="S1712" t="s">
        <v>1881</v>
      </c>
      <c r="T1712" t="s">
        <v>1812</v>
      </c>
      <c r="U1712" t="s">
        <v>2365</v>
      </c>
      <c r="V1712" t="s">
        <v>2365</v>
      </c>
      <c r="W1712" t="s">
        <v>2365</v>
      </c>
      <c r="X1712" t="s">
        <v>2365</v>
      </c>
      <c r="Y1712" t="s">
        <v>2365</v>
      </c>
      <c r="Z1712" t="s">
        <v>2365</v>
      </c>
      <c r="AA1712" t="s">
        <v>2365</v>
      </c>
      <c r="AB1712" t="s">
        <v>2365</v>
      </c>
      <c r="AC1712" s="813" t="s">
        <v>2365</v>
      </c>
      <c r="AD1712" s="813" t="s">
        <v>2365</v>
      </c>
      <c r="AE1712" s="813" t="s">
        <v>2365</v>
      </c>
      <c r="AF1712" t="s">
        <v>2365</v>
      </c>
      <c r="AG1712" t="s">
        <v>2365</v>
      </c>
      <c r="AH1712" t="s">
        <v>2365</v>
      </c>
      <c r="AI1712" t="s">
        <v>2365</v>
      </c>
      <c r="AJ1712" t="s">
        <v>2365</v>
      </c>
      <c r="AK1712" t="s">
        <v>2365</v>
      </c>
      <c r="AL1712" t="s">
        <v>2365</v>
      </c>
      <c r="AM1712" t="s">
        <v>2365</v>
      </c>
      <c r="AN1712" t="s">
        <v>2365</v>
      </c>
      <c r="AR1712" t="s">
        <v>2365</v>
      </c>
      <c r="AS1712" t="s">
        <v>2365</v>
      </c>
      <c r="AT1712" t="s">
        <v>2365</v>
      </c>
      <c r="AU1712" t="s">
        <v>2365</v>
      </c>
      <c r="AV1712" t="s">
        <v>2365</v>
      </c>
      <c r="AW1712" t="s">
        <v>2365</v>
      </c>
      <c r="AX1712" t="s">
        <v>2365</v>
      </c>
      <c r="AY1712" t="s">
        <v>2365</v>
      </c>
      <c r="AZ1712" t="s">
        <v>2365</v>
      </c>
      <c r="BA1712" t="s">
        <v>2365</v>
      </c>
      <c r="BB1712" t="s">
        <v>2365</v>
      </c>
      <c r="BC1712" t="s">
        <v>2365</v>
      </c>
      <c r="BD1712" t="s">
        <v>2366</v>
      </c>
      <c r="BE1712">
        <v>1430</v>
      </c>
      <c r="BF1712" t="s">
        <v>1671</v>
      </c>
      <c r="BG1712">
        <v>1430</v>
      </c>
      <c r="BH1712" t="s">
        <v>1671</v>
      </c>
      <c r="BI1712" t="s">
        <v>1907</v>
      </c>
      <c r="BJ1712" t="s">
        <v>2365</v>
      </c>
      <c r="BK1712" t="s">
        <v>2365</v>
      </c>
      <c r="BL1712" t="s">
        <v>2365</v>
      </c>
      <c r="BM1712" t="s">
        <v>2365</v>
      </c>
      <c r="BO1712">
        <v>1</v>
      </c>
      <c r="BP1712">
        <v>13</v>
      </c>
      <c r="BQ1712" t="s">
        <v>2369</v>
      </c>
      <c r="BR1712" t="s">
        <v>595</v>
      </c>
      <c r="BU1712">
        <v>234628</v>
      </c>
      <c r="BV1712">
        <v>0</v>
      </c>
      <c r="BW1712">
        <v>234628</v>
      </c>
      <c r="BX1712">
        <v>0</v>
      </c>
      <c r="BY1712">
        <v>234628</v>
      </c>
      <c r="BZ1712">
        <v>258091</v>
      </c>
      <c r="CA1712">
        <v>283900</v>
      </c>
      <c r="CB1712">
        <v>0</v>
      </c>
      <c r="CC1712">
        <v>0</v>
      </c>
      <c r="CD1712">
        <v>18426.829999999998</v>
      </c>
      <c r="CE1712">
        <v>20616.91</v>
      </c>
      <c r="CF1712">
        <v>19951.849999999999</v>
      </c>
      <c r="CG1712">
        <v>20616.91</v>
      </c>
      <c r="CH1712">
        <v>20616.91</v>
      </c>
      <c r="CI1712">
        <v>18621.72</v>
      </c>
      <c r="CJ1712">
        <v>0</v>
      </c>
      <c r="CK1712">
        <v>0</v>
      </c>
      <c r="CL1712">
        <v>0</v>
      </c>
      <c r="CM1712">
        <v>0</v>
      </c>
      <c r="CR1712" t="s">
        <v>2323</v>
      </c>
      <c r="CS1712" s="1369" t="str">
        <f>INDEX([8]Sheet1!$H:$H,MATCH(CR:CR,[8]Sheet1!$AU:$AU,0))</f>
        <v>Information Technology</v>
      </c>
    </row>
    <row r="1713" spans="1:97" x14ac:dyDescent="0.2">
      <c r="A1713" t="s">
        <v>4852</v>
      </c>
      <c r="B1713">
        <v>1807</v>
      </c>
      <c r="C1713" t="s">
        <v>4852</v>
      </c>
      <c r="D1713">
        <v>54806</v>
      </c>
      <c r="E1713" t="s">
        <v>2403</v>
      </c>
      <c r="F1713" t="s">
        <v>2364</v>
      </c>
      <c r="G1713" t="s">
        <v>2364</v>
      </c>
      <c r="H1713" t="s">
        <v>2365</v>
      </c>
      <c r="I1713" t="s">
        <v>2365</v>
      </c>
      <c r="J1713" t="s">
        <v>2365</v>
      </c>
      <c r="K1713" t="s">
        <v>2365</v>
      </c>
      <c r="L1713">
        <v>1200</v>
      </c>
      <c r="M1713" t="s">
        <v>1480</v>
      </c>
      <c r="N1713">
        <v>1202</v>
      </c>
      <c r="O1713" t="s">
        <v>595</v>
      </c>
      <c r="P1713" t="s">
        <v>2366</v>
      </c>
      <c r="Q1713" t="s">
        <v>2364</v>
      </c>
      <c r="R1713" t="s">
        <v>2364</v>
      </c>
      <c r="S1713" t="s">
        <v>552</v>
      </c>
      <c r="T1713" t="s">
        <v>2175</v>
      </c>
      <c r="U1713">
        <v>240</v>
      </c>
      <c r="V1713" t="s">
        <v>2389</v>
      </c>
      <c r="W1713">
        <v>240</v>
      </c>
      <c r="X1713" t="s">
        <v>701</v>
      </c>
      <c r="Y1713" t="s">
        <v>2365</v>
      </c>
      <c r="Z1713" t="s">
        <v>2365</v>
      </c>
      <c r="AA1713" t="s">
        <v>2365</v>
      </c>
      <c r="AB1713" t="s">
        <v>2365</v>
      </c>
      <c r="AC1713" s="813" t="s">
        <v>2365</v>
      </c>
      <c r="AD1713" s="813" t="s">
        <v>2365</v>
      </c>
      <c r="AE1713" s="813" t="s">
        <v>2365</v>
      </c>
      <c r="AF1713" t="s">
        <v>2365</v>
      </c>
      <c r="AG1713">
        <v>1180</v>
      </c>
      <c r="AH1713" t="s">
        <v>1368</v>
      </c>
      <c r="AI1713">
        <v>1180</v>
      </c>
      <c r="AJ1713" t="s">
        <v>1368</v>
      </c>
      <c r="AK1713">
        <v>243</v>
      </c>
      <c r="AL1713" t="s">
        <v>1205</v>
      </c>
      <c r="AM1713">
        <v>243</v>
      </c>
      <c r="AN1713" t="s">
        <v>1205</v>
      </c>
      <c r="AR1713" t="s">
        <v>2365</v>
      </c>
      <c r="AS1713" t="s">
        <v>2365</v>
      </c>
      <c r="AT1713" t="s">
        <v>2365</v>
      </c>
      <c r="AU1713" t="s">
        <v>2365</v>
      </c>
      <c r="AV1713">
        <v>1430</v>
      </c>
      <c r="AW1713" t="s">
        <v>1671</v>
      </c>
      <c r="AX1713">
        <v>1430</v>
      </c>
      <c r="AY1713" t="s">
        <v>1671</v>
      </c>
      <c r="AZ1713" t="s">
        <v>2365</v>
      </c>
      <c r="BA1713" t="s">
        <v>2365</v>
      </c>
      <c r="BB1713" t="s">
        <v>2365</v>
      </c>
      <c r="BC1713" t="s">
        <v>2365</v>
      </c>
      <c r="BD1713" t="s">
        <v>2366</v>
      </c>
      <c r="BE1713" t="s">
        <v>2365</v>
      </c>
      <c r="BF1713" t="s">
        <v>2365</v>
      </c>
      <c r="BG1713" t="s">
        <v>2365</v>
      </c>
      <c r="BH1713" t="s">
        <v>2365</v>
      </c>
      <c r="BI1713" t="s">
        <v>2366</v>
      </c>
      <c r="BJ1713" t="s">
        <v>2365</v>
      </c>
      <c r="BK1713" t="s">
        <v>2365</v>
      </c>
      <c r="BL1713" t="s">
        <v>2365</v>
      </c>
      <c r="BM1713" t="s">
        <v>2365</v>
      </c>
      <c r="BO1713">
        <v>1</v>
      </c>
      <c r="BP1713">
        <v>13</v>
      </c>
      <c r="BQ1713" t="s">
        <v>2369</v>
      </c>
      <c r="BR1713" t="s">
        <v>595</v>
      </c>
      <c r="BU1713">
        <v>0</v>
      </c>
      <c r="BV1713">
        <v>0</v>
      </c>
      <c r="BW1713">
        <v>0</v>
      </c>
      <c r="BX1713">
        <v>0</v>
      </c>
      <c r="BY1713">
        <v>0</v>
      </c>
      <c r="BZ1713">
        <v>0</v>
      </c>
      <c r="CA1713">
        <v>0</v>
      </c>
      <c r="CB1713">
        <v>0</v>
      </c>
      <c r="CC1713">
        <v>0</v>
      </c>
      <c r="CD1713">
        <v>0</v>
      </c>
      <c r="CE1713">
        <v>0</v>
      </c>
      <c r="CF1713">
        <v>0</v>
      </c>
      <c r="CG1713">
        <v>0</v>
      </c>
      <c r="CH1713">
        <v>0</v>
      </c>
      <c r="CI1713">
        <v>0</v>
      </c>
      <c r="CJ1713">
        <v>0</v>
      </c>
      <c r="CK1713">
        <v>0</v>
      </c>
      <c r="CL1713">
        <v>0</v>
      </c>
      <c r="CM1713">
        <v>0</v>
      </c>
      <c r="CR1713" t="s">
        <v>2325</v>
      </c>
      <c r="CS1713" s="1369" t="str">
        <f>INDEX([8]Sheet1!$H:$H,MATCH(CR:CR,[8]Sheet1!$AU:$AU,0))</f>
        <v>Asset Management</v>
      </c>
    </row>
    <row r="1714" spans="1:97" x14ac:dyDescent="0.2">
      <c r="A1714" t="s">
        <v>4853</v>
      </c>
      <c r="B1714">
        <v>1812</v>
      </c>
      <c r="C1714" t="s">
        <v>4853</v>
      </c>
      <c r="D1714">
        <v>54807</v>
      </c>
      <c r="E1714" t="s">
        <v>2427</v>
      </c>
      <c r="F1714">
        <v>2700</v>
      </c>
      <c r="G1714" t="s">
        <v>656</v>
      </c>
      <c r="H1714" t="s">
        <v>2428</v>
      </c>
      <c r="I1714" t="s">
        <v>1800</v>
      </c>
      <c r="J1714">
        <v>2701</v>
      </c>
      <c r="K1714" t="s">
        <v>1800</v>
      </c>
      <c r="L1714">
        <v>1100</v>
      </c>
      <c r="M1714" t="s">
        <v>616</v>
      </c>
      <c r="N1714">
        <v>1120</v>
      </c>
      <c r="O1714" t="s">
        <v>1485</v>
      </c>
      <c r="P1714" t="s">
        <v>2366</v>
      </c>
      <c r="Q1714" t="s">
        <v>2364</v>
      </c>
      <c r="R1714" t="s">
        <v>2364</v>
      </c>
      <c r="S1714" t="s">
        <v>1881</v>
      </c>
      <c r="T1714" t="s">
        <v>1812</v>
      </c>
      <c r="U1714" t="s">
        <v>2365</v>
      </c>
      <c r="V1714" t="s">
        <v>2365</v>
      </c>
      <c r="W1714" t="s">
        <v>2365</v>
      </c>
      <c r="X1714" t="s">
        <v>2365</v>
      </c>
      <c r="Y1714" t="s">
        <v>2365</v>
      </c>
      <c r="Z1714" t="s">
        <v>2365</v>
      </c>
      <c r="AA1714" t="s">
        <v>2365</v>
      </c>
      <c r="AB1714" t="s">
        <v>2365</v>
      </c>
      <c r="AC1714" s="813" t="s">
        <v>2365</v>
      </c>
      <c r="AD1714" s="813" t="s">
        <v>2365</v>
      </c>
      <c r="AE1714" s="813" t="s">
        <v>2365</v>
      </c>
      <c r="AF1714" t="s">
        <v>2365</v>
      </c>
      <c r="AG1714" t="s">
        <v>2365</v>
      </c>
      <c r="AH1714" t="s">
        <v>2365</v>
      </c>
      <c r="AI1714" t="s">
        <v>2365</v>
      </c>
      <c r="AJ1714" t="s">
        <v>2365</v>
      </c>
      <c r="AK1714" t="s">
        <v>2365</v>
      </c>
      <c r="AL1714" t="s">
        <v>2365</v>
      </c>
      <c r="AM1714" t="s">
        <v>2365</v>
      </c>
      <c r="AN1714" t="s">
        <v>2365</v>
      </c>
      <c r="AR1714" t="s">
        <v>2365</v>
      </c>
      <c r="AS1714" t="s">
        <v>2365</v>
      </c>
      <c r="AT1714" t="s">
        <v>2365</v>
      </c>
      <c r="AU1714" t="s">
        <v>2365</v>
      </c>
      <c r="AV1714" t="s">
        <v>2365</v>
      </c>
      <c r="AW1714" t="s">
        <v>2365</v>
      </c>
      <c r="AX1714" t="s">
        <v>2365</v>
      </c>
      <c r="AY1714" t="s">
        <v>2365</v>
      </c>
      <c r="AZ1714" t="s">
        <v>2365</v>
      </c>
      <c r="BA1714" t="s">
        <v>2365</v>
      </c>
      <c r="BB1714" t="s">
        <v>2365</v>
      </c>
      <c r="BC1714" t="s">
        <v>2365</v>
      </c>
      <c r="BD1714" t="s">
        <v>2366</v>
      </c>
      <c r="BE1714" t="s">
        <v>2365</v>
      </c>
      <c r="BF1714" t="s">
        <v>2365</v>
      </c>
      <c r="BG1714" t="s">
        <v>2365</v>
      </c>
      <c r="BH1714" t="s">
        <v>2365</v>
      </c>
      <c r="BI1714" t="s">
        <v>2366</v>
      </c>
      <c r="BJ1714" t="s">
        <v>2365</v>
      </c>
      <c r="BK1714" t="s">
        <v>2365</v>
      </c>
      <c r="BL1714" t="s">
        <v>2365</v>
      </c>
      <c r="BM1714" t="s">
        <v>2365</v>
      </c>
      <c r="BO1714">
        <v>3</v>
      </c>
      <c r="BP1714">
        <v>31</v>
      </c>
      <c r="BQ1714" t="s">
        <v>2716</v>
      </c>
      <c r="BR1714" t="s">
        <v>1485</v>
      </c>
      <c r="BU1714">
        <v>40000</v>
      </c>
      <c r="BV1714">
        <v>0</v>
      </c>
      <c r="BW1714">
        <v>40000</v>
      </c>
      <c r="BX1714">
        <v>0</v>
      </c>
      <c r="BY1714">
        <v>40000</v>
      </c>
      <c r="BZ1714">
        <v>41600</v>
      </c>
      <c r="CA1714">
        <v>43264</v>
      </c>
      <c r="CB1714">
        <v>0</v>
      </c>
      <c r="CC1714">
        <v>0</v>
      </c>
      <c r="CD1714">
        <v>0</v>
      </c>
      <c r="CE1714">
        <v>0</v>
      </c>
      <c r="CF1714">
        <v>0</v>
      </c>
      <c r="CG1714">
        <v>0</v>
      </c>
      <c r="CH1714">
        <v>0</v>
      </c>
      <c r="CI1714">
        <v>0</v>
      </c>
      <c r="CJ1714">
        <v>0</v>
      </c>
      <c r="CK1714">
        <v>0</v>
      </c>
      <c r="CL1714">
        <v>0</v>
      </c>
      <c r="CM1714">
        <v>0</v>
      </c>
      <c r="CR1714" t="s">
        <v>2325</v>
      </c>
      <c r="CS1714" s="1369" t="str">
        <f>INDEX([8]Sheet1!$H:$H,MATCH(CR:CR,[8]Sheet1!$AU:$AU,0))</f>
        <v>Asset Management</v>
      </c>
    </row>
    <row r="1715" spans="1:97" x14ac:dyDescent="0.2">
      <c r="A1715" t="s">
        <v>4854</v>
      </c>
      <c r="B1715">
        <v>1813</v>
      </c>
      <c r="C1715" t="s">
        <v>4854</v>
      </c>
      <c r="D1715">
        <v>54808</v>
      </c>
      <c r="E1715" t="s">
        <v>4855</v>
      </c>
      <c r="F1715">
        <v>2900</v>
      </c>
      <c r="G1715" t="s">
        <v>569</v>
      </c>
      <c r="H1715" t="s">
        <v>2366</v>
      </c>
      <c r="I1715" t="s">
        <v>2366</v>
      </c>
      <c r="J1715">
        <v>2904</v>
      </c>
      <c r="K1715" t="s">
        <v>1432</v>
      </c>
      <c r="L1715">
        <v>1100</v>
      </c>
      <c r="M1715" t="s">
        <v>616</v>
      </c>
      <c r="N1715">
        <v>1120</v>
      </c>
      <c r="O1715" t="s">
        <v>1485</v>
      </c>
      <c r="P1715" t="s">
        <v>2366</v>
      </c>
      <c r="Q1715" t="s">
        <v>2364</v>
      </c>
      <c r="R1715" t="s">
        <v>2364</v>
      </c>
      <c r="S1715" t="s">
        <v>1881</v>
      </c>
      <c r="T1715" t="s">
        <v>1812</v>
      </c>
      <c r="U1715" t="s">
        <v>2365</v>
      </c>
      <c r="V1715" t="s">
        <v>2365</v>
      </c>
      <c r="W1715" t="s">
        <v>2365</v>
      </c>
      <c r="X1715" t="s">
        <v>2365</v>
      </c>
      <c r="Y1715" t="s">
        <v>2365</v>
      </c>
      <c r="Z1715" t="s">
        <v>2365</v>
      </c>
      <c r="AA1715" t="s">
        <v>2365</v>
      </c>
      <c r="AB1715" t="s">
        <v>2365</v>
      </c>
      <c r="AC1715" s="813" t="s">
        <v>2365</v>
      </c>
      <c r="AD1715" s="813" t="s">
        <v>2365</v>
      </c>
      <c r="AE1715" s="813" t="s">
        <v>2365</v>
      </c>
      <c r="AF1715" t="s">
        <v>2365</v>
      </c>
      <c r="AG1715" t="s">
        <v>2365</v>
      </c>
      <c r="AH1715" t="s">
        <v>2365</v>
      </c>
      <c r="AI1715" t="s">
        <v>2365</v>
      </c>
      <c r="AJ1715" t="s">
        <v>2365</v>
      </c>
      <c r="AK1715" t="s">
        <v>2365</v>
      </c>
      <c r="AL1715" t="s">
        <v>2365</v>
      </c>
      <c r="AM1715" t="s">
        <v>2365</v>
      </c>
      <c r="AN1715" t="s">
        <v>2365</v>
      </c>
      <c r="AR1715" t="s">
        <v>2365</v>
      </c>
      <c r="AS1715" t="s">
        <v>2365</v>
      </c>
      <c r="AT1715" t="s">
        <v>2365</v>
      </c>
      <c r="AU1715" t="s">
        <v>2365</v>
      </c>
      <c r="AV1715" t="s">
        <v>2365</v>
      </c>
      <c r="AW1715" t="s">
        <v>2365</v>
      </c>
      <c r="AX1715" t="s">
        <v>2365</v>
      </c>
      <c r="AY1715" t="s">
        <v>2365</v>
      </c>
      <c r="AZ1715" t="s">
        <v>2365</v>
      </c>
      <c r="BA1715" t="s">
        <v>2365</v>
      </c>
      <c r="BB1715" t="s">
        <v>2365</v>
      </c>
      <c r="BC1715" t="s">
        <v>2365</v>
      </c>
      <c r="BD1715" t="s">
        <v>2366</v>
      </c>
      <c r="BE1715" t="s">
        <v>2365</v>
      </c>
      <c r="BF1715" t="s">
        <v>2365</v>
      </c>
      <c r="BG1715" t="s">
        <v>2365</v>
      </c>
      <c r="BH1715" t="s">
        <v>2365</v>
      </c>
      <c r="BI1715" t="s">
        <v>2366</v>
      </c>
      <c r="BJ1715" t="s">
        <v>2365</v>
      </c>
      <c r="BK1715" t="s">
        <v>2365</v>
      </c>
      <c r="BL1715" t="s">
        <v>2365</v>
      </c>
      <c r="BM1715" t="s">
        <v>2365</v>
      </c>
      <c r="BO1715">
        <v>3</v>
      </c>
      <c r="BP1715">
        <v>31</v>
      </c>
      <c r="BQ1715" t="s">
        <v>2716</v>
      </c>
      <c r="BR1715" t="s">
        <v>1485</v>
      </c>
      <c r="BU1715">
        <v>0</v>
      </c>
      <c r="BV1715">
        <v>0</v>
      </c>
      <c r="BW1715">
        <v>0</v>
      </c>
      <c r="BX1715">
        <v>0</v>
      </c>
      <c r="BY1715">
        <v>0</v>
      </c>
      <c r="BZ1715">
        <v>0</v>
      </c>
      <c r="CA1715">
        <v>0</v>
      </c>
      <c r="CB1715">
        <v>0</v>
      </c>
      <c r="CC1715">
        <v>0</v>
      </c>
      <c r="CD1715">
        <v>0</v>
      </c>
      <c r="CE1715">
        <v>0</v>
      </c>
      <c r="CF1715">
        <v>0</v>
      </c>
      <c r="CG1715">
        <v>0</v>
      </c>
      <c r="CH1715">
        <v>0</v>
      </c>
      <c r="CI1715">
        <v>0</v>
      </c>
      <c r="CJ1715">
        <v>0</v>
      </c>
      <c r="CK1715">
        <v>0</v>
      </c>
      <c r="CL1715">
        <v>0</v>
      </c>
      <c r="CM1715">
        <v>0</v>
      </c>
      <c r="CR1715" t="s">
        <v>2325</v>
      </c>
      <c r="CS1715" s="1369" t="str">
        <f>INDEX([8]Sheet1!$H:$H,MATCH(CR:CR,[8]Sheet1!$AU:$AU,0))</f>
        <v>Asset Management</v>
      </c>
    </row>
    <row r="1716" spans="1:97" x14ac:dyDescent="0.2">
      <c r="A1716" t="s">
        <v>4856</v>
      </c>
      <c r="B1716">
        <v>1814</v>
      </c>
      <c r="C1716" t="s">
        <v>4856</v>
      </c>
      <c r="D1716">
        <v>54809</v>
      </c>
      <c r="E1716" t="s">
        <v>3236</v>
      </c>
      <c r="F1716">
        <v>2900</v>
      </c>
      <c r="G1716" t="s">
        <v>569</v>
      </c>
      <c r="H1716" t="s">
        <v>2366</v>
      </c>
      <c r="I1716" t="s">
        <v>2366</v>
      </c>
      <c r="J1716">
        <v>2904</v>
      </c>
      <c r="K1716" t="s">
        <v>1432</v>
      </c>
      <c r="L1716">
        <v>1200</v>
      </c>
      <c r="M1716" t="s">
        <v>1480</v>
      </c>
      <c r="N1716">
        <v>1207</v>
      </c>
      <c r="O1716" t="s">
        <v>997</v>
      </c>
      <c r="P1716" t="s">
        <v>2366</v>
      </c>
      <c r="Q1716" t="s">
        <v>2364</v>
      </c>
      <c r="R1716" t="s">
        <v>2364</v>
      </c>
      <c r="S1716" t="s">
        <v>1881</v>
      </c>
      <c r="T1716" t="s">
        <v>1812</v>
      </c>
      <c r="U1716" t="s">
        <v>2365</v>
      </c>
      <c r="V1716" t="s">
        <v>2365</v>
      </c>
      <c r="W1716" t="s">
        <v>2365</v>
      </c>
      <c r="X1716" t="s">
        <v>2365</v>
      </c>
      <c r="Y1716" t="s">
        <v>2365</v>
      </c>
      <c r="Z1716" t="s">
        <v>2365</v>
      </c>
      <c r="AA1716" t="s">
        <v>2365</v>
      </c>
      <c r="AB1716" t="s">
        <v>2365</v>
      </c>
      <c r="AC1716" s="813" t="s">
        <v>2365</v>
      </c>
      <c r="AD1716" s="813" t="s">
        <v>2365</v>
      </c>
      <c r="AE1716" s="813" t="s">
        <v>2365</v>
      </c>
      <c r="AF1716" t="s">
        <v>2365</v>
      </c>
      <c r="AG1716" t="s">
        <v>2365</v>
      </c>
      <c r="AH1716" t="s">
        <v>2365</v>
      </c>
      <c r="AI1716" t="s">
        <v>2365</v>
      </c>
      <c r="AJ1716" t="s">
        <v>2365</v>
      </c>
      <c r="AK1716" t="s">
        <v>2365</v>
      </c>
      <c r="AL1716" t="s">
        <v>2365</v>
      </c>
      <c r="AM1716" t="s">
        <v>2365</v>
      </c>
      <c r="AN1716" t="s">
        <v>2365</v>
      </c>
      <c r="AR1716" t="s">
        <v>2365</v>
      </c>
      <c r="AS1716" t="s">
        <v>2365</v>
      </c>
      <c r="AT1716" t="s">
        <v>2365</v>
      </c>
      <c r="AU1716" t="s">
        <v>2365</v>
      </c>
      <c r="AV1716" t="s">
        <v>2365</v>
      </c>
      <c r="AW1716" t="s">
        <v>2365</v>
      </c>
      <c r="AX1716" t="s">
        <v>2365</v>
      </c>
      <c r="AY1716" t="s">
        <v>2365</v>
      </c>
      <c r="AZ1716" t="s">
        <v>2365</v>
      </c>
      <c r="BA1716" t="s">
        <v>2365</v>
      </c>
      <c r="BB1716" t="s">
        <v>2365</v>
      </c>
      <c r="BC1716" t="s">
        <v>2365</v>
      </c>
      <c r="BD1716" t="s">
        <v>2366</v>
      </c>
      <c r="BE1716" t="s">
        <v>2365</v>
      </c>
      <c r="BF1716" t="s">
        <v>2365</v>
      </c>
      <c r="BG1716" t="s">
        <v>2365</v>
      </c>
      <c r="BH1716" t="s">
        <v>2365</v>
      </c>
      <c r="BI1716" t="s">
        <v>2366</v>
      </c>
      <c r="BJ1716" t="s">
        <v>2365</v>
      </c>
      <c r="BK1716" t="s">
        <v>2365</v>
      </c>
      <c r="BL1716" t="s">
        <v>2365</v>
      </c>
      <c r="BM1716" t="s">
        <v>2365</v>
      </c>
      <c r="BO1716">
        <v>1</v>
      </c>
      <c r="BP1716">
        <v>18</v>
      </c>
      <c r="BQ1716" t="s">
        <v>2369</v>
      </c>
      <c r="BR1716" t="s">
        <v>997</v>
      </c>
      <c r="BU1716">
        <v>0</v>
      </c>
      <c r="BV1716">
        <v>0</v>
      </c>
      <c r="BW1716">
        <v>0</v>
      </c>
      <c r="BX1716">
        <v>0</v>
      </c>
      <c r="BY1716">
        <v>0</v>
      </c>
      <c r="BZ1716">
        <v>0</v>
      </c>
      <c r="CA1716">
        <v>0</v>
      </c>
      <c r="CB1716">
        <v>0</v>
      </c>
      <c r="CC1716">
        <v>0</v>
      </c>
      <c r="CD1716">
        <v>0</v>
      </c>
      <c r="CE1716">
        <v>0</v>
      </c>
      <c r="CF1716">
        <v>0</v>
      </c>
      <c r="CG1716">
        <v>0</v>
      </c>
      <c r="CH1716">
        <v>0</v>
      </c>
      <c r="CI1716">
        <v>0</v>
      </c>
      <c r="CJ1716">
        <v>0</v>
      </c>
      <c r="CK1716">
        <v>0</v>
      </c>
      <c r="CL1716">
        <v>0</v>
      </c>
      <c r="CM1716">
        <v>0</v>
      </c>
      <c r="CR1716" t="s">
        <v>2325</v>
      </c>
      <c r="CS1716" s="1369" t="str">
        <f>INDEX([8]Sheet1!$H:$H,MATCH(CR:CR,[8]Sheet1!$AU:$AU,0))</f>
        <v>Asset Management</v>
      </c>
    </row>
    <row r="1717" spans="1:97" x14ac:dyDescent="0.2">
      <c r="A1717" t="s">
        <v>4857</v>
      </c>
      <c r="B1717">
        <v>1815</v>
      </c>
      <c r="C1717" t="s">
        <v>4857</v>
      </c>
      <c r="D1717">
        <v>54810</v>
      </c>
      <c r="E1717" t="s">
        <v>2681</v>
      </c>
      <c r="F1717">
        <v>2700</v>
      </c>
      <c r="G1717" t="s">
        <v>656</v>
      </c>
      <c r="H1717" t="s">
        <v>2478</v>
      </c>
      <c r="I1717" t="s">
        <v>1802</v>
      </c>
      <c r="J1717">
        <v>2703</v>
      </c>
      <c r="K1717" t="s">
        <v>1802</v>
      </c>
      <c r="L1717">
        <v>3200</v>
      </c>
      <c r="M1717" t="s">
        <v>625</v>
      </c>
      <c r="N1717">
        <v>3205</v>
      </c>
      <c r="O1717" t="s">
        <v>1002</v>
      </c>
      <c r="P1717" t="s">
        <v>2366</v>
      </c>
      <c r="Q1717" t="s">
        <v>2364</v>
      </c>
      <c r="R1717" t="s">
        <v>2364</v>
      </c>
      <c r="S1717" t="s">
        <v>1881</v>
      </c>
      <c r="T1717" t="s">
        <v>1812</v>
      </c>
      <c r="U1717" t="s">
        <v>2365</v>
      </c>
      <c r="V1717" t="s">
        <v>2365</v>
      </c>
      <c r="W1717" t="s">
        <v>2365</v>
      </c>
      <c r="X1717" t="s">
        <v>2365</v>
      </c>
      <c r="Y1717" t="s">
        <v>2365</v>
      </c>
      <c r="Z1717" t="s">
        <v>2365</v>
      </c>
      <c r="AA1717" t="s">
        <v>2365</v>
      </c>
      <c r="AB1717" t="s">
        <v>2365</v>
      </c>
      <c r="AC1717" s="813" t="s">
        <v>2365</v>
      </c>
      <c r="AD1717" s="813" t="s">
        <v>2365</v>
      </c>
      <c r="AE1717" s="813" t="s">
        <v>2365</v>
      </c>
      <c r="AF1717" t="s">
        <v>2365</v>
      </c>
      <c r="AG1717" t="s">
        <v>2365</v>
      </c>
      <c r="AH1717" t="s">
        <v>2365</v>
      </c>
      <c r="AI1717" t="s">
        <v>2365</v>
      </c>
      <c r="AJ1717" t="s">
        <v>2365</v>
      </c>
      <c r="AK1717" t="s">
        <v>2365</v>
      </c>
      <c r="AL1717" t="s">
        <v>2365</v>
      </c>
      <c r="AM1717" t="s">
        <v>2365</v>
      </c>
      <c r="AN1717" t="s">
        <v>2365</v>
      </c>
      <c r="AR1717" t="s">
        <v>2365</v>
      </c>
      <c r="AS1717" t="s">
        <v>2365</v>
      </c>
      <c r="AT1717" t="s">
        <v>2365</v>
      </c>
      <c r="AU1717" t="s">
        <v>2365</v>
      </c>
      <c r="AV1717" t="s">
        <v>2365</v>
      </c>
      <c r="AW1717" t="s">
        <v>2365</v>
      </c>
      <c r="AX1717" t="s">
        <v>2365</v>
      </c>
      <c r="AY1717" t="s">
        <v>2365</v>
      </c>
      <c r="AZ1717">
        <v>120</v>
      </c>
      <c r="BA1717" t="s">
        <v>1002</v>
      </c>
      <c r="BB1717">
        <v>120</v>
      </c>
      <c r="BC1717" t="s">
        <v>1002</v>
      </c>
      <c r="BD1717" t="s">
        <v>1906</v>
      </c>
      <c r="BE1717" t="s">
        <v>2365</v>
      </c>
      <c r="BF1717" t="s">
        <v>2365</v>
      </c>
      <c r="BG1717" t="s">
        <v>2365</v>
      </c>
      <c r="BH1717" t="s">
        <v>2365</v>
      </c>
      <c r="BI1717" t="s">
        <v>2366</v>
      </c>
      <c r="BJ1717" t="s">
        <v>2365</v>
      </c>
      <c r="BK1717" t="s">
        <v>2365</v>
      </c>
      <c r="BL1717" t="s">
        <v>2365</v>
      </c>
      <c r="BM1717" t="s">
        <v>2365</v>
      </c>
      <c r="BO1717">
        <v>7</v>
      </c>
      <c r="BP1717">
        <v>71</v>
      </c>
      <c r="BQ1717" t="s">
        <v>2665</v>
      </c>
      <c r="BR1717" t="s">
        <v>1002</v>
      </c>
      <c r="BU1717">
        <v>9000000</v>
      </c>
      <c r="BV1717">
        <v>0</v>
      </c>
      <c r="BW1717">
        <v>9000000</v>
      </c>
      <c r="BX1717">
        <v>3268512</v>
      </c>
      <c r="BY1717">
        <v>12268512</v>
      </c>
      <c r="BZ1717">
        <v>4500000</v>
      </c>
      <c r="CA1717">
        <v>4500000</v>
      </c>
      <c r="CB1717">
        <v>940280</v>
      </c>
      <c r="CC1717">
        <v>1779950</v>
      </c>
      <c r="CD1717">
        <v>4889890</v>
      </c>
      <c r="CE1717">
        <v>1227754.3500000001</v>
      </c>
      <c r="CF1717">
        <v>2430638</v>
      </c>
      <c r="CG1717">
        <v>0</v>
      </c>
      <c r="CH1717">
        <v>0</v>
      </c>
      <c r="CI1717">
        <v>809157</v>
      </c>
      <c r="CJ1717">
        <v>0</v>
      </c>
      <c r="CK1717">
        <v>0</v>
      </c>
      <c r="CL1717">
        <v>0</v>
      </c>
      <c r="CM1717">
        <v>0</v>
      </c>
      <c r="CR1717" t="s">
        <v>2325</v>
      </c>
      <c r="CS1717" s="1369" t="str">
        <f>INDEX([8]Sheet1!$H:$H,MATCH(CR:CR,[8]Sheet1!$AU:$AU,0))</f>
        <v>Asset Management</v>
      </c>
    </row>
    <row r="1718" spans="1:97" x14ac:dyDescent="0.2">
      <c r="A1718" t="s">
        <v>4858</v>
      </c>
      <c r="B1718">
        <v>1816</v>
      </c>
      <c r="C1718" t="s">
        <v>4858</v>
      </c>
      <c r="D1718">
        <v>54811</v>
      </c>
      <c r="E1718" t="s">
        <v>2407</v>
      </c>
      <c r="F1718" t="s">
        <v>2364</v>
      </c>
      <c r="G1718" t="s">
        <v>2364</v>
      </c>
      <c r="H1718" t="s">
        <v>2365</v>
      </c>
      <c r="I1718" t="s">
        <v>2365</v>
      </c>
      <c r="J1718" t="s">
        <v>2365</v>
      </c>
      <c r="K1718" t="s">
        <v>2365</v>
      </c>
      <c r="L1718">
        <v>1200</v>
      </c>
      <c r="M1718" t="s">
        <v>1480</v>
      </c>
      <c r="N1718">
        <v>1204</v>
      </c>
      <c r="O1718" t="s">
        <v>1487</v>
      </c>
      <c r="P1718" t="s">
        <v>2366</v>
      </c>
      <c r="Q1718" t="s">
        <v>2364</v>
      </c>
      <c r="R1718" t="s">
        <v>2364</v>
      </c>
      <c r="S1718" t="s">
        <v>553</v>
      </c>
      <c r="T1718" t="s">
        <v>2175</v>
      </c>
      <c r="U1718">
        <v>150</v>
      </c>
      <c r="V1718" t="s">
        <v>694</v>
      </c>
      <c r="W1718">
        <v>150</v>
      </c>
      <c r="X1718" t="s">
        <v>694</v>
      </c>
      <c r="Y1718" t="s">
        <v>2365</v>
      </c>
      <c r="Z1718" t="s">
        <v>2365</v>
      </c>
      <c r="AA1718" t="s">
        <v>2365</v>
      </c>
      <c r="AB1718" t="s">
        <v>2365</v>
      </c>
      <c r="AC1718" s="813" t="s">
        <v>2365</v>
      </c>
      <c r="AD1718" s="813" t="s">
        <v>2365</v>
      </c>
      <c r="AE1718" s="813" t="s">
        <v>2365</v>
      </c>
      <c r="AF1718" t="s">
        <v>2365</v>
      </c>
      <c r="AG1718" t="s">
        <v>2365</v>
      </c>
      <c r="AH1718" t="s">
        <v>2365</v>
      </c>
      <c r="AI1718" t="s">
        <v>2365</v>
      </c>
      <c r="AJ1718" t="s">
        <v>2365</v>
      </c>
      <c r="AK1718" t="s">
        <v>2365</v>
      </c>
      <c r="AL1718" t="s">
        <v>2365</v>
      </c>
      <c r="AM1718" t="s">
        <v>2365</v>
      </c>
      <c r="AN1718" t="s">
        <v>2365</v>
      </c>
      <c r="AR1718" t="s">
        <v>2365</v>
      </c>
      <c r="AS1718" t="s">
        <v>2365</v>
      </c>
      <c r="AT1718" t="s">
        <v>2365</v>
      </c>
      <c r="AU1718" t="s">
        <v>2365</v>
      </c>
      <c r="AV1718" t="s">
        <v>2365</v>
      </c>
      <c r="AW1718" t="s">
        <v>2365</v>
      </c>
      <c r="AX1718" t="s">
        <v>2365</v>
      </c>
      <c r="AY1718" t="s">
        <v>2365</v>
      </c>
      <c r="AZ1718" t="s">
        <v>2365</v>
      </c>
      <c r="BA1718" t="s">
        <v>2365</v>
      </c>
      <c r="BB1718" t="s">
        <v>2365</v>
      </c>
      <c r="BC1718" t="s">
        <v>2365</v>
      </c>
      <c r="BD1718" t="s">
        <v>2366</v>
      </c>
      <c r="BE1718" t="s">
        <v>2365</v>
      </c>
      <c r="BF1718" t="s">
        <v>2365</v>
      </c>
      <c r="BG1718" t="s">
        <v>2365</v>
      </c>
      <c r="BH1718" t="s">
        <v>2365</v>
      </c>
      <c r="BI1718" t="s">
        <v>2366</v>
      </c>
      <c r="BJ1718" t="s">
        <v>2365</v>
      </c>
      <c r="BK1718" t="s">
        <v>2365</v>
      </c>
      <c r="BL1718" t="s">
        <v>2365</v>
      </c>
      <c r="BM1718" t="s">
        <v>2365</v>
      </c>
      <c r="BO1718">
        <v>1</v>
      </c>
      <c r="BP1718">
        <v>11</v>
      </c>
      <c r="BQ1718" t="s">
        <v>2369</v>
      </c>
      <c r="BR1718" t="s">
        <v>1487</v>
      </c>
      <c r="BU1718">
        <v>0</v>
      </c>
      <c r="BV1718">
        <v>0</v>
      </c>
      <c r="BW1718">
        <v>0</v>
      </c>
      <c r="BX1718">
        <v>0</v>
      </c>
      <c r="BY1718">
        <v>0</v>
      </c>
      <c r="BZ1718">
        <v>0</v>
      </c>
      <c r="CA1718">
        <v>0</v>
      </c>
      <c r="CB1718">
        <v>0</v>
      </c>
      <c r="CC1718">
        <v>0</v>
      </c>
      <c r="CD1718">
        <v>0</v>
      </c>
      <c r="CE1718">
        <v>0</v>
      </c>
      <c r="CF1718">
        <v>0</v>
      </c>
      <c r="CG1718">
        <v>0</v>
      </c>
      <c r="CH1718">
        <v>0</v>
      </c>
      <c r="CI1718">
        <v>0</v>
      </c>
      <c r="CJ1718">
        <v>0</v>
      </c>
      <c r="CK1718">
        <v>0</v>
      </c>
      <c r="CL1718">
        <v>0</v>
      </c>
      <c r="CM1718">
        <v>0</v>
      </c>
      <c r="CR1718" t="s">
        <v>2325</v>
      </c>
      <c r="CS1718" s="1369" t="str">
        <f>INDEX([8]Sheet1!$H:$H,MATCH(CR:CR,[8]Sheet1!$AU:$AU,0))</f>
        <v>Asset Management</v>
      </c>
    </row>
    <row r="1719" spans="1:97" x14ac:dyDescent="0.2">
      <c r="A1719" t="s">
        <v>4859</v>
      </c>
      <c r="B1719">
        <v>1817</v>
      </c>
      <c r="C1719" t="s">
        <v>4859</v>
      </c>
      <c r="D1719">
        <v>54812</v>
      </c>
      <c r="E1719" t="s">
        <v>2407</v>
      </c>
      <c r="F1719" t="s">
        <v>2364</v>
      </c>
      <c r="G1719" t="s">
        <v>2364</v>
      </c>
      <c r="H1719" s="1373" t="s">
        <v>2365</v>
      </c>
      <c r="I1719" t="s">
        <v>2365</v>
      </c>
      <c r="J1719" t="s">
        <v>2365</v>
      </c>
      <c r="K1719" t="s">
        <v>2365</v>
      </c>
      <c r="L1719" s="1373">
        <v>2100</v>
      </c>
      <c r="M1719" t="s">
        <v>618</v>
      </c>
      <c r="N1719">
        <v>2106</v>
      </c>
      <c r="O1719" t="s">
        <v>1499</v>
      </c>
      <c r="P1719" t="s">
        <v>2366</v>
      </c>
      <c r="Q1719" t="s">
        <v>2364</v>
      </c>
      <c r="R1719" t="s">
        <v>2364</v>
      </c>
      <c r="S1719" t="s">
        <v>553</v>
      </c>
      <c r="T1719" t="s">
        <v>2175</v>
      </c>
      <c r="U1719">
        <v>150</v>
      </c>
      <c r="V1719" t="s">
        <v>694</v>
      </c>
      <c r="W1719">
        <v>150</v>
      </c>
      <c r="X1719" t="s">
        <v>694</v>
      </c>
      <c r="Y1719" t="s">
        <v>2365</v>
      </c>
      <c r="Z1719" t="s">
        <v>2365</v>
      </c>
      <c r="AA1719" t="s">
        <v>2365</v>
      </c>
      <c r="AB1719" t="s">
        <v>2365</v>
      </c>
      <c r="AC1719" s="813" t="s">
        <v>2365</v>
      </c>
      <c r="AD1719" s="813" t="s">
        <v>2365</v>
      </c>
      <c r="AE1719" s="813" t="s">
        <v>2365</v>
      </c>
      <c r="AF1719" t="s">
        <v>2365</v>
      </c>
      <c r="AG1719" t="s">
        <v>2365</v>
      </c>
      <c r="AH1719" t="s">
        <v>2365</v>
      </c>
      <c r="AI1719" t="s">
        <v>2365</v>
      </c>
      <c r="AJ1719" t="s">
        <v>2365</v>
      </c>
      <c r="AK1719" t="s">
        <v>2365</v>
      </c>
      <c r="AL1719" t="s">
        <v>2365</v>
      </c>
      <c r="AM1719" t="s">
        <v>2365</v>
      </c>
      <c r="AN1719" t="s">
        <v>2365</v>
      </c>
      <c r="AR1719" t="s">
        <v>2365</v>
      </c>
      <c r="AS1719" t="s">
        <v>2365</v>
      </c>
      <c r="AT1719" t="s">
        <v>2365</v>
      </c>
      <c r="AU1719" t="s">
        <v>2365</v>
      </c>
      <c r="AV1719" t="s">
        <v>2365</v>
      </c>
      <c r="AW1719" t="s">
        <v>2365</v>
      </c>
      <c r="AX1719" t="s">
        <v>2365</v>
      </c>
      <c r="AY1719" t="s">
        <v>2365</v>
      </c>
      <c r="AZ1719" t="s">
        <v>2365</v>
      </c>
      <c r="BA1719" t="s">
        <v>2365</v>
      </c>
      <c r="BB1719" t="s">
        <v>2365</v>
      </c>
      <c r="BC1719" t="s">
        <v>2365</v>
      </c>
      <c r="BD1719" t="s">
        <v>2366</v>
      </c>
      <c r="BE1719" t="s">
        <v>2365</v>
      </c>
      <c r="BF1719" t="s">
        <v>2365</v>
      </c>
      <c r="BG1719" t="s">
        <v>2365</v>
      </c>
      <c r="BH1719" t="s">
        <v>2365</v>
      </c>
      <c r="BI1719" t="s">
        <v>2366</v>
      </c>
      <c r="BJ1719" t="s">
        <v>2365</v>
      </c>
      <c r="BK1719" t="s">
        <v>2365</v>
      </c>
      <c r="BL1719" t="s">
        <v>2365</v>
      </c>
      <c r="BM1719" t="s">
        <v>2365</v>
      </c>
      <c r="BO1719">
        <v>5</v>
      </c>
      <c r="BP1719">
        <v>53</v>
      </c>
      <c r="BQ1719" t="s">
        <v>2438</v>
      </c>
      <c r="BR1719" t="s">
        <v>1499</v>
      </c>
      <c r="BU1719" s="1371">
        <v>0</v>
      </c>
      <c r="BV1719" s="1371">
        <v>0</v>
      </c>
      <c r="BW1719" s="1371">
        <v>0</v>
      </c>
      <c r="BX1719" s="1371">
        <v>0</v>
      </c>
      <c r="BY1719" s="1371">
        <v>0</v>
      </c>
      <c r="BZ1719">
        <v>0</v>
      </c>
      <c r="CA1719">
        <v>0</v>
      </c>
      <c r="CB1719">
        <v>0</v>
      </c>
      <c r="CC1719">
        <v>0</v>
      </c>
      <c r="CD1719">
        <v>0</v>
      </c>
      <c r="CE1719">
        <v>0</v>
      </c>
      <c r="CF1719">
        <v>0</v>
      </c>
      <c r="CG1719">
        <v>0</v>
      </c>
      <c r="CH1719">
        <v>0</v>
      </c>
      <c r="CI1719">
        <v>0</v>
      </c>
      <c r="CJ1719">
        <v>0</v>
      </c>
      <c r="CK1719">
        <v>0</v>
      </c>
      <c r="CL1719">
        <v>0</v>
      </c>
      <c r="CM1719">
        <v>0</v>
      </c>
      <c r="CR1719" t="s">
        <v>2325</v>
      </c>
      <c r="CS1719" s="1369" t="str">
        <f>INDEX([8]Sheet1!$H:$H,MATCH(CR:CR,[8]Sheet1!$AU:$AU,0))</f>
        <v>Asset Management</v>
      </c>
    </row>
    <row r="1720" spans="1:97" x14ac:dyDescent="0.2">
      <c r="A1720" t="s">
        <v>4860</v>
      </c>
      <c r="B1720">
        <v>1818</v>
      </c>
      <c r="C1720" t="s">
        <v>4860</v>
      </c>
      <c r="D1720">
        <v>54813</v>
      </c>
      <c r="E1720" t="s">
        <v>4861</v>
      </c>
      <c r="F1720" t="s">
        <v>2364</v>
      </c>
      <c r="G1720" t="s">
        <v>2364</v>
      </c>
      <c r="H1720" s="1373" t="s">
        <v>2365</v>
      </c>
      <c r="I1720" t="s">
        <v>2365</v>
      </c>
      <c r="J1720" t="s">
        <v>2365</v>
      </c>
      <c r="K1720" t="s">
        <v>2365</v>
      </c>
      <c r="L1720" s="1373">
        <v>1200</v>
      </c>
      <c r="M1720" t="s">
        <v>1480</v>
      </c>
      <c r="N1720">
        <v>1204</v>
      </c>
      <c r="O1720" t="s">
        <v>1487</v>
      </c>
      <c r="P1720" t="s">
        <v>2366</v>
      </c>
      <c r="Q1720" t="s">
        <v>2364</v>
      </c>
      <c r="R1720" t="s">
        <v>2364</v>
      </c>
      <c r="S1720" t="s">
        <v>553</v>
      </c>
      <c r="T1720" t="s">
        <v>2175</v>
      </c>
      <c r="U1720">
        <v>130</v>
      </c>
      <c r="V1720" t="s">
        <v>2652</v>
      </c>
      <c r="W1720">
        <v>130</v>
      </c>
      <c r="X1720" t="s">
        <v>2652</v>
      </c>
      <c r="Y1720" t="s">
        <v>4862</v>
      </c>
      <c r="Z1720" t="s">
        <v>723</v>
      </c>
      <c r="AA1720" t="s">
        <v>4862</v>
      </c>
      <c r="AB1720" t="s">
        <v>723</v>
      </c>
      <c r="AC1720" s="813" t="s">
        <v>2365</v>
      </c>
      <c r="AD1720" s="813" t="s">
        <v>2365</v>
      </c>
      <c r="AE1720" s="813" t="s">
        <v>2365</v>
      </c>
      <c r="AF1720" t="s">
        <v>2365</v>
      </c>
      <c r="AG1720" t="s">
        <v>2365</v>
      </c>
      <c r="AH1720" t="s">
        <v>2365</v>
      </c>
      <c r="AI1720" t="s">
        <v>2365</v>
      </c>
      <c r="AJ1720" t="s">
        <v>2365</v>
      </c>
      <c r="AK1720" t="s">
        <v>2365</v>
      </c>
      <c r="AL1720" t="s">
        <v>2365</v>
      </c>
      <c r="AM1720" t="s">
        <v>2365</v>
      </c>
      <c r="AN1720" t="s">
        <v>2365</v>
      </c>
      <c r="AQ1720" t="s">
        <v>2423</v>
      </c>
      <c r="AR1720" t="s">
        <v>2365</v>
      </c>
      <c r="AS1720" t="s">
        <v>2365</v>
      </c>
      <c r="AT1720" t="s">
        <v>2365</v>
      </c>
      <c r="AU1720" t="s">
        <v>2365</v>
      </c>
      <c r="AV1720" t="s">
        <v>2365</v>
      </c>
      <c r="AW1720" t="s">
        <v>2365</v>
      </c>
      <c r="AX1720" t="s">
        <v>2365</v>
      </c>
      <c r="AY1720" t="s">
        <v>2365</v>
      </c>
      <c r="AZ1720" t="s">
        <v>2365</v>
      </c>
      <c r="BA1720" t="s">
        <v>2365</v>
      </c>
      <c r="BB1720" t="s">
        <v>2365</v>
      </c>
      <c r="BC1720" t="s">
        <v>2365</v>
      </c>
      <c r="BD1720" t="s">
        <v>2366</v>
      </c>
      <c r="BE1720" t="s">
        <v>2365</v>
      </c>
      <c r="BF1720" t="s">
        <v>2365</v>
      </c>
      <c r="BG1720" t="s">
        <v>2365</v>
      </c>
      <c r="BH1720" t="s">
        <v>2365</v>
      </c>
      <c r="BI1720" t="s">
        <v>2366</v>
      </c>
      <c r="BJ1720" t="s">
        <v>2365</v>
      </c>
      <c r="BK1720" t="s">
        <v>2365</v>
      </c>
      <c r="BL1720" t="s">
        <v>2365</v>
      </c>
      <c r="BM1720" t="s">
        <v>2365</v>
      </c>
      <c r="BO1720">
        <v>1</v>
      </c>
      <c r="BP1720">
        <v>11</v>
      </c>
      <c r="BQ1720" t="s">
        <v>2369</v>
      </c>
      <c r="BR1720" t="s">
        <v>1487</v>
      </c>
      <c r="BU1720" s="1371">
        <v>0</v>
      </c>
      <c r="BV1720" s="1371">
        <v>0</v>
      </c>
      <c r="BW1720" s="1371">
        <v>0</v>
      </c>
      <c r="BX1720" s="1371">
        <v>0</v>
      </c>
      <c r="BY1720" s="1371">
        <v>0</v>
      </c>
      <c r="BZ1720">
        <v>0</v>
      </c>
      <c r="CA1720">
        <v>0</v>
      </c>
      <c r="CB1720">
        <v>0</v>
      </c>
      <c r="CC1720">
        <v>0</v>
      </c>
      <c r="CD1720">
        <v>0</v>
      </c>
      <c r="CE1720">
        <v>0</v>
      </c>
      <c r="CF1720">
        <v>0</v>
      </c>
      <c r="CG1720">
        <v>0</v>
      </c>
      <c r="CH1720">
        <v>0</v>
      </c>
      <c r="CI1720">
        <v>0</v>
      </c>
      <c r="CJ1720">
        <v>0</v>
      </c>
      <c r="CK1720">
        <v>0</v>
      </c>
      <c r="CL1720">
        <v>0</v>
      </c>
      <c r="CM1720">
        <v>0</v>
      </c>
      <c r="CR1720" t="s">
        <v>2325</v>
      </c>
      <c r="CS1720" s="1369" t="str">
        <f>INDEX([8]Sheet1!$H:$H,MATCH(CR:CR,[8]Sheet1!$AU:$AU,0))</f>
        <v>Asset Management</v>
      </c>
    </row>
    <row r="1721" spans="1:97" x14ac:dyDescent="0.2">
      <c r="A1721" t="s">
        <v>4863</v>
      </c>
      <c r="B1721">
        <v>1819</v>
      </c>
      <c r="C1721" t="s">
        <v>4863</v>
      </c>
      <c r="D1721">
        <v>54814</v>
      </c>
      <c r="E1721" t="s">
        <v>4864</v>
      </c>
      <c r="F1721" t="s">
        <v>2364</v>
      </c>
      <c r="G1721" t="s">
        <v>2364</v>
      </c>
      <c r="H1721" t="s">
        <v>2365</v>
      </c>
      <c r="I1721" t="s">
        <v>2365</v>
      </c>
      <c r="J1721" t="s">
        <v>2365</v>
      </c>
      <c r="K1721" t="s">
        <v>2365</v>
      </c>
      <c r="L1721">
        <v>1200</v>
      </c>
      <c r="M1721" t="s">
        <v>1480</v>
      </c>
      <c r="N1721">
        <v>1204</v>
      </c>
      <c r="O1721" t="s">
        <v>1487</v>
      </c>
      <c r="P1721" t="s">
        <v>2366</v>
      </c>
      <c r="Q1721" t="s">
        <v>2364</v>
      </c>
      <c r="R1721" t="s">
        <v>2364</v>
      </c>
      <c r="S1721" t="s">
        <v>553</v>
      </c>
      <c r="T1721" t="s">
        <v>2175</v>
      </c>
      <c r="U1721">
        <v>130</v>
      </c>
      <c r="V1721" t="s">
        <v>2652</v>
      </c>
      <c r="W1721">
        <v>130</v>
      </c>
      <c r="X1721" t="s">
        <v>2652</v>
      </c>
      <c r="Y1721" t="s">
        <v>4865</v>
      </c>
      <c r="Z1721" t="s">
        <v>723</v>
      </c>
      <c r="AA1721" t="s">
        <v>4865</v>
      </c>
      <c r="AB1721" t="s">
        <v>723</v>
      </c>
      <c r="AC1721" s="813">
        <v>420</v>
      </c>
      <c r="AD1721" s="813" t="s">
        <v>4866</v>
      </c>
      <c r="AE1721" s="813">
        <v>560</v>
      </c>
      <c r="AF1721" t="s">
        <v>4866</v>
      </c>
      <c r="AG1721" t="s">
        <v>2365</v>
      </c>
      <c r="AH1721" t="s">
        <v>2365</v>
      </c>
      <c r="AI1721" t="s">
        <v>2365</v>
      </c>
      <c r="AJ1721" t="s">
        <v>2365</v>
      </c>
      <c r="AK1721" t="s">
        <v>2365</v>
      </c>
      <c r="AL1721" t="s">
        <v>2365</v>
      </c>
      <c r="AM1721" t="s">
        <v>2365</v>
      </c>
      <c r="AN1721" t="s">
        <v>2365</v>
      </c>
      <c r="AQ1721" t="s">
        <v>553</v>
      </c>
      <c r="AR1721" t="s">
        <v>2365</v>
      </c>
      <c r="AS1721" t="s">
        <v>2365</v>
      </c>
      <c r="AT1721" t="s">
        <v>2365</v>
      </c>
      <c r="AU1721" t="s">
        <v>2365</v>
      </c>
      <c r="AV1721" t="s">
        <v>2365</v>
      </c>
      <c r="AW1721" t="s">
        <v>2365</v>
      </c>
      <c r="AX1721" t="s">
        <v>2365</v>
      </c>
      <c r="AY1721" t="s">
        <v>2365</v>
      </c>
      <c r="AZ1721" t="s">
        <v>2365</v>
      </c>
      <c r="BA1721" t="s">
        <v>2365</v>
      </c>
      <c r="BB1721" t="s">
        <v>2365</v>
      </c>
      <c r="BC1721" t="s">
        <v>2365</v>
      </c>
      <c r="BD1721" t="s">
        <v>2366</v>
      </c>
      <c r="BE1721" t="s">
        <v>2365</v>
      </c>
      <c r="BF1721" t="s">
        <v>2365</v>
      </c>
      <c r="BG1721" t="s">
        <v>2365</v>
      </c>
      <c r="BH1721" t="s">
        <v>2365</v>
      </c>
      <c r="BI1721" t="s">
        <v>2366</v>
      </c>
      <c r="BJ1721" t="s">
        <v>2365</v>
      </c>
      <c r="BK1721" t="s">
        <v>2365</v>
      </c>
      <c r="BL1721" t="s">
        <v>2365</v>
      </c>
      <c r="BM1721" t="s">
        <v>2365</v>
      </c>
      <c r="BO1721">
        <v>1</v>
      </c>
      <c r="BP1721">
        <v>11</v>
      </c>
      <c r="BQ1721" t="s">
        <v>2369</v>
      </c>
      <c r="BR1721" t="s">
        <v>1487</v>
      </c>
      <c r="BU1721">
        <v>0</v>
      </c>
      <c r="BV1721">
        <v>0</v>
      </c>
      <c r="BW1721">
        <v>0</v>
      </c>
      <c r="BX1721">
        <v>0</v>
      </c>
      <c r="BY1721">
        <v>0</v>
      </c>
      <c r="BZ1721">
        <v>0</v>
      </c>
      <c r="CA1721">
        <v>0</v>
      </c>
      <c r="CB1721">
        <v>0</v>
      </c>
      <c r="CC1721">
        <v>0</v>
      </c>
      <c r="CD1721">
        <v>0</v>
      </c>
      <c r="CE1721">
        <v>0</v>
      </c>
      <c r="CF1721">
        <v>0</v>
      </c>
      <c r="CG1721">
        <v>0</v>
      </c>
      <c r="CH1721">
        <v>0</v>
      </c>
      <c r="CI1721">
        <v>0</v>
      </c>
      <c r="CJ1721">
        <v>0</v>
      </c>
      <c r="CK1721">
        <v>0</v>
      </c>
      <c r="CL1721">
        <v>0</v>
      </c>
      <c r="CM1721">
        <v>0</v>
      </c>
      <c r="CR1721" t="s">
        <v>2325</v>
      </c>
      <c r="CS1721" s="1369" t="str">
        <f>INDEX([8]Sheet1!$H:$H,MATCH(CR:CR,[8]Sheet1!$AU:$AU,0))</f>
        <v>Asset Management</v>
      </c>
    </row>
    <row r="1722" spans="1:97" x14ac:dyDescent="0.2">
      <c r="A1722" t="s">
        <v>4867</v>
      </c>
      <c r="B1722">
        <v>1820</v>
      </c>
      <c r="C1722" t="s">
        <v>4867</v>
      </c>
      <c r="D1722">
        <v>54815</v>
      </c>
      <c r="E1722" t="s">
        <v>4459</v>
      </c>
      <c r="F1722" t="s">
        <v>2364</v>
      </c>
      <c r="G1722" t="s">
        <v>2364</v>
      </c>
      <c r="H1722" s="1373" t="s">
        <v>2365</v>
      </c>
      <c r="I1722" t="s">
        <v>2365</v>
      </c>
      <c r="J1722" t="s">
        <v>2365</v>
      </c>
      <c r="K1722" t="s">
        <v>2365</v>
      </c>
      <c r="L1722" s="1373">
        <v>1200</v>
      </c>
      <c r="M1722" t="s">
        <v>1480</v>
      </c>
      <c r="N1722">
        <v>1204</v>
      </c>
      <c r="O1722" t="s">
        <v>1487</v>
      </c>
      <c r="P1722" t="s">
        <v>2366</v>
      </c>
      <c r="Q1722" t="s">
        <v>2364</v>
      </c>
      <c r="R1722" t="s">
        <v>2364</v>
      </c>
      <c r="S1722" t="s">
        <v>553</v>
      </c>
      <c r="T1722" t="s">
        <v>2175</v>
      </c>
      <c r="U1722">
        <v>130</v>
      </c>
      <c r="V1722" t="s">
        <v>2652</v>
      </c>
      <c r="W1722">
        <v>130</v>
      </c>
      <c r="X1722" t="s">
        <v>2652</v>
      </c>
      <c r="Y1722" t="s">
        <v>4865</v>
      </c>
      <c r="Z1722" t="s">
        <v>723</v>
      </c>
      <c r="AA1722" t="s">
        <v>4865</v>
      </c>
      <c r="AB1722" t="s">
        <v>723</v>
      </c>
      <c r="AC1722" s="813" t="s">
        <v>2365</v>
      </c>
      <c r="AD1722" s="813" t="s">
        <v>2365</v>
      </c>
      <c r="AE1722" s="813" t="s">
        <v>2365</v>
      </c>
      <c r="AF1722" t="s">
        <v>2365</v>
      </c>
      <c r="AG1722" t="s">
        <v>2365</v>
      </c>
      <c r="AH1722" t="s">
        <v>2365</v>
      </c>
      <c r="AI1722" t="s">
        <v>2365</v>
      </c>
      <c r="AJ1722" t="s">
        <v>2365</v>
      </c>
      <c r="AK1722" t="s">
        <v>2365</v>
      </c>
      <c r="AL1722" t="s">
        <v>2365</v>
      </c>
      <c r="AM1722" t="s">
        <v>2365</v>
      </c>
      <c r="AN1722" t="s">
        <v>2365</v>
      </c>
      <c r="AQ1722" t="s">
        <v>553</v>
      </c>
      <c r="AR1722" t="s">
        <v>2365</v>
      </c>
      <c r="AS1722" t="s">
        <v>2365</v>
      </c>
      <c r="AT1722" t="s">
        <v>2365</v>
      </c>
      <c r="AU1722" t="s">
        <v>2365</v>
      </c>
      <c r="AV1722" t="s">
        <v>2365</v>
      </c>
      <c r="AW1722" t="s">
        <v>2365</v>
      </c>
      <c r="AX1722" t="s">
        <v>2365</v>
      </c>
      <c r="AY1722" t="s">
        <v>2365</v>
      </c>
      <c r="AZ1722" t="s">
        <v>2365</v>
      </c>
      <c r="BA1722" t="s">
        <v>2365</v>
      </c>
      <c r="BB1722" t="s">
        <v>2365</v>
      </c>
      <c r="BC1722" t="s">
        <v>2365</v>
      </c>
      <c r="BD1722" t="s">
        <v>2366</v>
      </c>
      <c r="BE1722" t="s">
        <v>2365</v>
      </c>
      <c r="BF1722" t="s">
        <v>2365</v>
      </c>
      <c r="BG1722" t="s">
        <v>2365</v>
      </c>
      <c r="BH1722" t="s">
        <v>2365</v>
      </c>
      <c r="BI1722" t="s">
        <v>2366</v>
      </c>
      <c r="BJ1722" t="s">
        <v>2365</v>
      </c>
      <c r="BK1722" t="s">
        <v>2365</v>
      </c>
      <c r="BL1722" t="s">
        <v>2365</v>
      </c>
      <c r="BM1722" t="s">
        <v>2365</v>
      </c>
      <c r="BO1722">
        <v>1</v>
      </c>
      <c r="BP1722">
        <v>11</v>
      </c>
      <c r="BQ1722" t="s">
        <v>2369</v>
      </c>
      <c r="BR1722" t="s">
        <v>1487</v>
      </c>
      <c r="BU1722" s="1371">
        <v>0</v>
      </c>
      <c r="BV1722" s="1371">
        <v>0</v>
      </c>
      <c r="BW1722" s="1371">
        <v>0</v>
      </c>
      <c r="BX1722" s="1371">
        <v>0</v>
      </c>
      <c r="BY1722" s="1371">
        <v>0</v>
      </c>
      <c r="BZ1722">
        <v>0</v>
      </c>
      <c r="CA1722">
        <v>0</v>
      </c>
      <c r="CB1722">
        <v>0</v>
      </c>
      <c r="CC1722">
        <v>0</v>
      </c>
      <c r="CD1722">
        <v>0</v>
      </c>
      <c r="CE1722">
        <v>0</v>
      </c>
      <c r="CF1722">
        <v>0</v>
      </c>
      <c r="CG1722">
        <v>0</v>
      </c>
      <c r="CH1722">
        <v>0</v>
      </c>
      <c r="CI1722">
        <v>0</v>
      </c>
      <c r="CJ1722">
        <v>0</v>
      </c>
      <c r="CK1722">
        <v>0</v>
      </c>
      <c r="CL1722">
        <v>0</v>
      </c>
      <c r="CM1722">
        <v>0</v>
      </c>
      <c r="CR1722" t="s">
        <v>2325</v>
      </c>
      <c r="CS1722" s="1369" t="str">
        <f>INDEX([8]Sheet1!$H:$H,MATCH(CR:CR,[8]Sheet1!$AU:$AU,0))</f>
        <v>Asset Management</v>
      </c>
    </row>
    <row r="1723" spans="1:97" x14ac:dyDescent="0.2">
      <c r="A1723" t="s">
        <v>4868</v>
      </c>
      <c r="B1723">
        <v>1821</v>
      </c>
      <c r="C1723" t="s">
        <v>4868</v>
      </c>
      <c r="D1723">
        <v>54816</v>
      </c>
      <c r="E1723" t="s">
        <v>4869</v>
      </c>
      <c r="F1723" t="s">
        <v>2364</v>
      </c>
      <c r="G1723" t="s">
        <v>2364</v>
      </c>
      <c r="H1723" s="1373" t="s">
        <v>2365</v>
      </c>
      <c r="I1723" t="s">
        <v>2365</v>
      </c>
      <c r="J1723" t="s">
        <v>2365</v>
      </c>
      <c r="K1723" t="s">
        <v>2365</v>
      </c>
      <c r="L1723" s="1373">
        <v>1200</v>
      </c>
      <c r="M1723" t="s">
        <v>1480</v>
      </c>
      <c r="N1723">
        <v>1204</v>
      </c>
      <c r="O1723" t="s">
        <v>1487</v>
      </c>
      <c r="P1723" t="s">
        <v>2366</v>
      </c>
      <c r="Q1723" t="s">
        <v>2364</v>
      </c>
      <c r="R1723" t="s">
        <v>2364</v>
      </c>
      <c r="S1723" t="s">
        <v>553</v>
      </c>
      <c r="T1723" t="s">
        <v>2175</v>
      </c>
      <c r="U1723">
        <v>130</v>
      </c>
      <c r="V1723" t="s">
        <v>2652</v>
      </c>
      <c r="W1723">
        <v>130</v>
      </c>
      <c r="X1723" t="s">
        <v>2652</v>
      </c>
      <c r="Y1723" t="s">
        <v>4865</v>
      </c>
      <c r="Z1723" t="s">
        <v>723</v>
      </c>
      <c r="AA1723" t="s">
        <v>4865</v>
      </c>
      <c r="AB1723" t="s">
        <v>723</v>
      </c>
      <c r="AC1723" s="813">
        <v>200</v>
      </c>
      <c r="AD1723" s="813" t="s">
        <v>4443</v>
      </c>
      <c r="AE1723" s="813">
        <v>480</v>
      </c>
      <c r="AF1723" t="s">
        <v>569</v>
      </c>
      <c r="AG1723" t="s">
        <v>2365</v>
      </c>
      <c r="AH1723" t="s">
        <v>2365</v>
      </c>
      <c r="AI1723" t="s">
        <v>2365</v>
      </c>
      <c r="AJ1723" t="s">
        <v>2365</v>
      </c>
      <c r="AK1723" s="1373" t="s">
        <v>2365</v>
      </c>
      <c r="AL1723" t="s">
        <v>2365</v>
      </c>
      <c r="AM1723" t="s">
        <v>2365</v>
      </c>
      <c r="AN1723" t="s">
        <v>2365</v>
      </c>
      <c r="AQ1723" t="s">
        <v>553</v>
      </c>
      <c r="AR1723" t="s">
        <v>2365</v>
      </c>
      <c r="AS1723" t="s">
        <v>2365</v>
      </c>
      <c r="AT1723" t="s">
        <v>2365</v>
      </c>
      <c r="AU1723" t="s">
        <v>2365</v>
      </c>
      <c r="AV1723" t="s">
        <v>2365</v>
      </c>
      <c r="AW1723" t="s">
        <v>2365</v>
      </c>
      <c r="AX1723" t="s">
        <v>2365</v>
      </c>
      <c r="AY1723" t="s">
        <v>2365</v>
      </c>
      <c r="AZ1723" t="s">
        <v>2365</v>
      </c>
      <c r="BA1723" t="s">
        <v>2365</v>
      </c>
      <c r="BB1723" t="s">
        <v>2365</v>
      </c>
      <c r="BC1723" t="s">
        <v>2365</v>
      </c>
      <c r="BD1723" t="s">
        <v>2366</v>
      </c>
      <c r="BE1723" t="s">
        <v>2365</v>
      </c>
      <c r="BF1723" t="s">
        <v>2365</v>
      </c>
      <c r="BG1723" t="s">
        <v>2365</v>
      </c>
      <c r="BH1723" t="s">
        <v>2365</v>
      </c>
      <c r="BI1723" t="s">
        <v>2366</v>
      </c>
      <c r="BJ1723" t="s">
        <v>2365</v>
      </c>
      <c r="BK1723" t="s">
        <v>2365</v>
      </c>
      <c r="BL1723" t="s">
        <v>2365</v>
      </c>
      <c r="BM1723" t="s">
        <v>2365</v>
      </c>
      <c r="BO1723">
        <v>1</v>
      </c>
      <c r="BP1723">
        <v>11</v>
      </c>
      <c r="BQ1723" t="s">
        <v>2369</v>
      </c>
      <c r="BR1723" t="s">
        <v>1487</v>
      </c>
      <c r="BU1723" s="1371">
        <v>0</v>
      </c>
      <c r="BV1723" s="1371">
        <v>0</v>
      </c>
      <c r="BW1723" s="1371">
        <v>0</v>
      </c>
      <c r="BX1723" s="1371">
        <v>0</v>
      </c>
      <c r="BY1723" s="1371">
        <v>0</v>
      </c>
      <c r="BZ1723">
        <v>0</v>
      </c>
      <c r="CA1723">
        <v>0</v>
      </c>
      <c r="CB1723">
        <v>0</v>
      </c>
      <c r="CC1723">
        <v>0</v>
      </c>
      <c r="CD1723">
        <v>0</v>
      </c>
      <c r="CE1723">
        <v>0</v>
      </c>
      <c r="CF1723">
        <v>0</v>
      </c>
      <c r="CG1723">
        <v>0</v>
      </c>
      <c r="CH1723">
        <v>0</v>
      </c>
      <c r="CI1723">
        <v>0</v>
      </c>
      <c r="CJ1723">
        <v>0</v>
      </c>
      <c r="CK1723">
        <v>0</v>
      </c>
      <c r="CL1723">
        <v>0</v>
      </c>
      <c r="CM1723">
        <v>0</v>
      </c>
      <c r="CR1723" t="s">
        <v>2325</v>
      </c>
      <c r="CS1723" s="1369" t="str">
        <f>INDEX([8]Sheet1!$H:$H,MATCH(CR:CR,[8]Sheet1!$AU:$AU,0))</f>
        <v>Asset Management</v>
      </c>
    </row>
    <row r="1724" spans="1:97" x14ac:dyDescent="0.2">
      <c r="A1724" t="s">
        <v>4870</v>
      </c>
      <c r="B1724">
        <v>1822</v>
      </c>
      <c r="C1724" t="s">
        <v>4870</v>
      </c>
      <c r="D1724">
        <v>54817</v>
      </c>
      <c r="E1724" t="s">
        <v>4871</v>
      </c>
      <c r="F1724" t="s">
        <v>2364</v>
      </c>
      <c r="G1724" t="s">
        <v>2364</v>
      </c>
      <c r="H1724" s="1373" t="s">
        <v>2365</v>
      </c>
      <c r="I1724" t="s">
        <v>2365</v>
      </c>
      <c r="J1724" t="s">
        <v>2365</v>
      </c>
      <c r="K1724" t="s">
        <v>2365</v>
      </c>
      <c r="L1724" s="1373">
        <v>1200</v>
      </c>
      <c r="M1724" t="s">
        <v>1480</v>
      </c>
      <c r="N1724">
        <v>1204</v>
      </c>
      <c r="O1724" t="s">
        <v>1487</v>
      </c>
      <c r="P1724" t="s">
        <v>2366</v>
      </c>
      <c r="Q1724" t="s">
        <v>2364</v>
      </c>
      <c r="R1724" t="s">
        <v>2364</v>
      </c>
      <c r="S1724" t="s">
        <v>553</v>
      </c>
      <c r="T1724" t="s">
        <v>2175</v>
      </c>
      <c r="U1724">
        <v>130</v>
      </c>
      <c r="V1724" t="s">
        <v>2652</v>
      </c>
      <c r="W1724">
        <v>130</v>
      </c>
      <c r="X1724" t="s">
        <v>2652</v>
      </c>
      <c r="Y1724" t="s">
        <v>4865</v>
      </c>
      <c r="Z1724" t="s">
        <v>723</v>
      </c>
      <c r="AA1724" t="s">
        <v>4865</v>
      </c>
      <c r="AB1724" t="s">
        <v>723</v>
      </c>
      <c r="AC1724" s="813" t="s">
        <v>2365</v>
      </c>
      <c r="AD1724" s="813" t="s">
        <v>2365</v>
      </c>
      <c r="AE1724" s="813" t="s">
        <v>2365</v>
      </c>
      <c r="AF1724" t="s">
        <v>2365</v>
      </c>
      <c r="AG1724" t="s">
        <v>2365</v>
      </c>
      <c r="AH1724" t="s">
        <v>2365</v>
      </c>
      <c r="AI1724" t="s">
        <v>2365</v>
      </c>
      <c r="AJ1724" t="s">
        <v>2365</v>
      </c>
      <c r="AK1724" t="s">
        <v>2365</v>
      </c>
      <c r="AL1724" t="s">
        <v>2365</v>
      </c>
      <c r="AM1724" t="s">
        <v>2365</v>
      </c>
      <c r="AN1724" t="s">
        <v>2365</v>
      </c>
      <c r="AQ1724" t="s">
        <v>553</v>
      </c>
      <c r="AR1724" t="s">
        <v>2365</v>
      </c>
      <c r="AS1724" t="s">
        <v>2365</v>
      </c>
      <c r="AT1724" t="s">
        <v>2365</v>
      </c>
      <c r="AU1724" t="s">
        <v>2365</v>
      </c>
      <c r="AV1724" t="s">
        <v>2365</v>
      </c>
      <c r="AW1724" t="s">
        <v>2365</v>
      </c>
      <c r="AX1724" t="s">
        <v>2365</v>
      </c>
      <c r="AY1724" t="s">
        <v>2365</v>
      </c>
      <c r="AZ1724" t="s">
        <v>2365</v>
      </c>
      <c r="BA1724" t="s">
        <v>2365</v>
      </c>
      <c r="BB1724" t="s">
        <v>2365</v>
      </c>
      <c r="BC1724" t="s">
        <v>2365</v>
      </c>
      <c r="BD1724" t="s">
        <v>2366</v>
      </c>
      <c r="BE1724" t="s">
        <v>2365</v>
      </c>
      <c r="BF1724" t="s">
        <v>2365</v>
      </c>
      <c r="BG1724" t="s">
        <v>2365</v>
      </c>
      <c r="BH1724" t="s">
        <v>2365</v>
      </c>
      <c r="BI1724" t="s">
        <v>2366</v>
      </c>
      <c r="BJ1724" t="s">
        <v>2365</v>
      </c>
      <c r="BK1724" t="s">
        <v>2365</v>
      </c>
      <c r="BL1724" t="s">
        <v>2365</v>
      </c>
      <c r="BM1724" t="s">
        <v>2365</v>
      </c>
      <c r="BO1724">
        <v>1</v>
      </c>
      <c r="BP1724">
        <v>11</v>
      </c>
      <c r="BQ1724" t="s">
        <v>2369</v>
      </c>
      <c r="BR1724" t="s">
        <v>1487</v>
      </c>
      <c r="BU1724" s="1371">
        <v>0</v>
      </c>
      <c r="BV1724" s="1371">
        <v>0</v>
      </c>
      <c r="BW1724" s="1371">
        <v>0</v>
      </c>
      <c r="BX1724" s="1371">
        <v>0</v>
      </c>
      <c r="BY1724" s="1371">
        <v>0</v>
      </c>
      <c r="BZ1724">
        <v>0</v>
      </c>
      <c r="CA1724">
        <v>0</v>
      </c>
      <c r="CB1724">
        <v>0</v>
      </c>
      <c r="CC1724">
        <v>0</v>
      </c>
      <c r="CD1724">
        <v>0</v>
      </c>
      <c r="CE1724">
        <v>0</v>
      </c>
      <c r="CF1724">
        <v>0</v>
      </c>
      <c r="CG1724">
        <v>0</v>
      </c>
      <c r="CH1724">
        <v>0</v>
      </c>
      <c r="CI1724">
        <v>0</v>
      </c>
      <c r="CJ1724">
        <v>0</v>
      </c>
      <c r="CK1724">
        <v>0</v>
      </c>
      <c r="CL1724">
        <v>0</v>
      </c>
      <c r="CM1724">
        <v>0</v>
      </c>
      <c r="CR1724" t="s">
        <v>2325</v>
      </c>
      <c r="CS1724" s="1369" t="str">
        <f>INDEX([8]Sheet1!$H:$H,MATCH(CR:CR,[8]Sheet1!$AU:$AU,0))</f>
        <v>Asset Management</v>
      </c>
    </row>
    <row r="1725" spans="1:97" x14ac:dyDescent="0.2">
      <c r="A1725" t="s">
        <v>4872</v>
      </c>
      <c r="B1725">
        <v>1823</v>
      </c>
      <c r="C1725" t="s">
        <v>4872</v>
      </c>
      <c r="D1725">
        <v>54818</v>
      </c>
      <c r="E1725" t="s">
        <v>2405</v>
      </c>
      <c r="F1725" t="s">
        <v>2364</v>
      </c>
      <c r="G1725" t="s">
        <v>2364</v>
      </c>
      <c r="H1725" t="s">
        <v>2365</v>
      </c>
      <c r="I1725" t="s">
        <v>2365</v>
      </c>
      <c r="J1725" t="s">
        <v>2365</v>
      </c>
      <c r="K1725" t="s">
        <v>2365</v>
      </c>
      <c r="L1725">
        <v>1200</v>
      </c>
      <c r="M1725" t="s">
        <v>1480</v>
      </c>
      <c r="N1725">
        <v>1204</v>
      </c>
      <c r="O1725" t="s">
        <v>1487</v>
      </c>
      <c r="P1725" t="s">
        <v>2366</v>
      </c>
      <c r="Q1725" t="s">
        <v>2364</v>
      </c>
      <c r="R1725" t="s">
        <v>2364</v>
      </c>
      <c r="S1725" t="s">
        <v>553</v>
      </c>
      <c r="T1725" t="s">
        <v>2175</v>
      </c>
      <c r="U1725">
        <v>120</v>
      </c>
      <c r="V1725" t="s">
        <v>691</v>
      </c>
      <c r="W1725">
        <v>120</v>
      </c>
      <c r="X1725" t="s">
        <v>691</v>
      </c>
      <c r="Y1725" t="s">
        <v>2178</v>
      </c>
      <c r="Z1725" t="s">
        <v>4467</v>
      </c>
      <c r="AA1725" t="s">
        <v>2178</v>
      </c>
      <c r="AB1725" t="s">
        <v>4467</v>
      </c>
      <c r="AC1725" s="813" t="s">
        <v>2365</v>
      </c>
      <c r="AD1725" s="813" t="s">
        <v>2365</v>
      </c>
      <c r="AE1725" s="813" t="s">
        <v>2365</v>
      </c>
      <c r="AF1725" t="s">
        <v>2365</v>
      </c>
      <c r="AG1725" t="s">
        <v>2365</v>
      </c>
      <c r="AH1725" t="s">
        <v>2365</v>
      </c>
      <c r="AI1725" t="s">
        <v>2365</v>
      </c>
      <c r="AJ1725" t="s">
        <v>2365</v>
      </c>
      <c r="AK1725" t="s">
        <v>2365</v>
      </c>
      <c r="AL1725" t="s">
        <v>2365</v>
      </c>
      <c r="AM1725" t="s">
        <v>2365</v>
      </c>
      <c r="AN1725" t="s">
        <v>2365</v>
      </c>
      <c r="AQ1725" t="s">
        <v>553</v>
      </c>
      <c r="AR1725" t="s">
        <v>2365</v>
      </c>
      <c r="AS1725" t="s">
        <v>2365</v>
      </c>
      <c r="AT1725" t="s">
        <v>2365</v>
      </c>
      <c r="AU1725" t="s">
        <v>2365</v>
      </c>
      <c r="AV1725" t="s">
        <v>2365</v>
      </c>
      <c r="AW1725" t="s">
        <v>2365</v>
      </c>
      <c r="AX1725" t="s">
        <v>2365</v>
      </c>
      <c r="AY1725" t="s">
        <v>2365</v>
      </c>
      <c r="AZ1725" t="s">
        <v>2365</v>
      </c>
      <c r="BA1725" t="s">
        <v>2365</v>
      </c>
      <c r="BB1725" t="s">
        <v>2365</v>
      </c>
      <c r="BC1725" t="s">
        <v>2365</v>
      </c>
      <c r="BD1725" t="s">
        <v>2366</v>
      </c>
      <c r="BE1725" t="s">
        <v>2365</v>
      </c>
      <c r="BF1725" t="s">
        <v>2365</v>
      </c>
      <c r="BG1725" t="s">
        <v>2365</v>
      </c>
      <c r="BH1725" t="s">
        <v>2365</v>
      </c>
      <c r="BI1725" t="s">
        <v>2366</v>
      </c>
      <c r="BJ1725" t="s">
        <v>2365</v>
      </c>
      <c r="BK1725" t="s">
        <v>2365</v>
      </c>
      <c r="BL1725" t="s">
        <v>2365</v>
      </c>
      <c r="BM1725" t="s">
        <v>2365</v>
      </c>
      <c r="BO1725">
        <v>1</v>
      </c>
      <c r="BP1725">
        <v>11</v>
      </c>
      <c r="BQ1725" t="s">
        <v>2369</v>
      </c>
      <c r="BR1725" t="s">
        <v>1487</v>
      </c>
      <c r="BU1725">
        <v>0</v>
      </c>
      <c r="BV1725">
        <v>0</v>
      </c>
      <c r="BW1725">
        <v>0</v>
      </c>
      <c r="BX1725">
        <v>0</v>
      </c>
      <c r="BY1725">
        <v>0</v>
      </c>
      <c r="BZ1725">
        <v>0</v>
      </c>
      <c r="CA1725">
        <v>0</v>
      </c>
      <c r="CB1725">
        <v>0</v>
      </c>
      <c r="CC1725">
        <v>0</v>
      </c>
      <c r="CD1725">
        <v>0</v>
      </c>
      <c r="CE1725">
        <v>0</v>
      </c>
      <c r="CF1725">
        <v>0</v>
      </c>
      <c r="CG1725">
        <v>0</v>
      </c>
      <c r="CH1725">
        <v>0</v>
      </c>
      <c r="CI1725">
        <v>0</v>
      </c>
      <c r="CJ1725">
        <v>0</v>
      </c>
      <c r="CK1725">
        <v>0</v>
      </c>
      <c r="CL1725">
        <v>0</v>
      </c>
      <c r="CM1725">
        <v>0</v>
      </c>
      <c r="CR1725" t="s">
        <v>2325</v>
      </c>
      <c r="CS1725" s="1369" t="str">
        <f>INDEX([8]Sheet1!$H:$H,MATCH(CR:CR,[8]Sheet1!$AU:$AU,0))</f>
        <v>Asset Management</v>
      </c>
    </row>
    <row r="1726" spans="1:97" x14ac:dyDescent="0.2">
      <c r="A1726" t="s">
        <v>4873</v>
      </c>
      <c r="B1726">
        <v>1824</v>
      </c>
      <c r="C1726" t="s">
        <v>4873</v>
      </c>
      <c r="D1726">
        <v>54819</v>
      </c>
      <c r="E1726" t="s">
        <v>2405</v>
      </c>
      <c r="F1726" t="s">
        <v>2364</v>
      </c>
      <c r="G1726" t="s">
        <v>2364</v>
      </c>
      <c r="H1726" t="s">
        <v>2365</v>
      </c>
      <c r="I1726" t="s">
        <v>2365</v>
      </c>
      <c r="J1726" t="s">
        <v>2365</v>
      </c>
      <c r="K1726" t="s">
        <v>2365</v>
      </c>
      <c r="L1726">
        <v>1200</v>
      </c>
      <c r="M1726" t="s">
        <v>1480</v>
      </c>
      <c r="N1726">
        <v>1204</v>
      </c>
      <c r="O1726" t="s">
        <v>1487</v>
      </c>
      <c r="P1726" t="s">
        <v>2366</v>
      </c>
      <c r="Q1726" t="s">
        <v>2364</v>
      </c>
      <c r="R1726" t="s">
        <v>2364</v>
      </c>
      <c r="S1726" t="s">
        <v>553</v>
      </c>
      <c r="T1726" t="s">
        <v>2175</v>
      </c>
      <c r="U1726">
        <v>120</v>
      </c>
      <c r="V1726" t="s">
        <v>691</v>
      </c>
      <c r="W1726">
        <v>120</v>
      </c>
      <c r="X1726" t="s">
        <v>691</v>
      </c>
      <c r="Y1726" t="s">
        <v>2178</v>
      </c>
      <c r="Z1726" t="s">
        <v>4467</v>
      </c>
      <c r="AA1726" t="s">
        <v>2178</v>
      </c>
      <c r="AB1726" t="s">
        <v>4467</v>
      </c>
      <c r="AC1726" s="813" t="s">
        <v>2365</v>
      </c>
      <c r="AD1726" s="813" t="s">
        <v>2365</v>
      </c>
      <c r="AE1726" s="813" t="s">
        <v>2365</v>
      </c>
      <c r="AF1726" t="s">
        <v>2365</v>
      </c>
      <c r="AG1726" t="s">
        <v>2365</v>
      </c>
      <c r="AH1726" t="s">
        <v>2365</v>
      </c>
      <c r="AI1726" t="s">
        <v>2365</v>
      </c>
      <c r="AJ1726" t="s">
        <v>2365</v>
      </c>
      <c r="AK1726" t="s">
        <v>2365</v>
      </c>
      <c r="AL1726" t="s">
        <v>2365</v>
      </c>
      <c r="AM1726" t="s">
        <v>2365</v>
      </c>
      <c r="AN1726" t="s">
        <v>2365</v>
      </c>
      <c r="AQ1726" t="s">
        <v>553</v>
      </c>
      <c r="AR1726" t="s">
        <v>2365</v>
      </c>
      <c r="AS1726" t="s">
        <v>2365</v>
      </c>
      <c r="AT1726" t="s">
        <v>2365</v>
      </c>
      <c r="AU1726" t="s">
        <v>2365</v>
      </c>
      <c r="AV1726" t="s">
        <v>2365</v>
      </c>
      <c r="AW1726" t="s">
        <v>2365</v>
      </c>
      <c r="AX1726" t="s">
        <v>2365</v>
      </c>
      <c r="AY1726" t="s">
        <v>2365</v>
      </c>
      <c r="AZ1726" t="s">
        <v>2365</v>
      </c>
      <c r="BA1726" t="s">
        <v>2365</v>
      </c>
      <c r="BB1726" t="s">
        <v>2365</v>
      </c>
      <c r="BC1726" t="s">
        <v>2365</v>
      </c>
      <c r="BD1726" t="s">
        <v>2366</v>
      </c>
      <c r="BE1726" t="s">
        <v>2365</v>
      </c>
      <c r="BF1726" t="s">
        <v>2365</v>
      </c>
      <c r="BG1726" t="s">
        <v>2365</v>
      </c>
      <c r="BH1726" t="s">
        <v>2365</v>
      </c>
      <c r="BI1726" t="s">
        <v>2366</v>
      </c>
      <c r="BJ1726" t="s">
        <v>2365</v>
      </c>
      <c r="BK1726" t="s">
        <v>2365</v>
      </c>
      <c r="BL1726" t="s">
        <v>2365</v>
      </c>
      <c r="BM1726" t="s">
        <v>2365</v>
      </c>
      <c r="BO1726">
        <v>1</v>
      </c>
      <c r="BP1726">
        <v>11</v>
      </c>
      <c r="BQ1726" t="s">
        <v>2369</v>
      </c>
      <c r="BR1726" t="s">
        <v>1487</v>
      </c>
      <c r="BU1726">
        <v>0</v>
      </c>
      <c r="BV1726">
        <v>0</v>
      </c>
      <c r="BW1726">
        <v>0</v>
      </c>
      <c r="BX1726">
        <v>0</v>
      </c>
      <c r="BY1726">
        <v>0</v>
      </c>
      <c r="BZ1726">
        <v>0</v>
      </c>
      <c r="CA1726">
        <v>0</v>
      </c>
      <c r="CB1726">
        <v>0</v>
      </c>
      <c r="CC1726">
        <v>0</v>
      </c>
      <c r="CD1726">
        <v>0</v>
      </c>
      <c r="CE1726">
        <v>0</v>
      </c>
      <c r="CF1726">
        <v>0</v>
      </c>
      <c r="CG1726">
        <v>0</v>
      </c>
      <c r="CH1726">
        <v>0</v>
      </c>
      <c r="CI1726">
        <v>0</v>
      </c>
      <c r="CJ1726">
        <v>0</v>
      </c>
      <c r="CK1726">
        <v>0</v>
      </c>
      <c r="CL1726">
        <v>0</v>
      </c>
      <c r="CM1726">
        <v>0</v>
      </c>
      <c r="CR1726" t="s">
        <v>2325</v>
      </c>
      <c r="CS1726" s="1369" t="str">
        <f>INDEX([8]Sheet1!$H:$H,MATCH(CR:CR,[8]Sheet1!$AU:$AU,0))</f>
        <v>Asset Management</v>
      </c>
    </row>
    <row r="1727" spans="1:97" x14ac:dyDescent="0.2">
      <c r="A1727" t="s">
        <v>4874</v>
      </c>
      <c r="B1727">
        <v>1825</v>
      </c>
      <c r="C1727" t="s">
        <v>4874</v>
      </c>
      <c r="D1727">
        <v>54820</v>
      </c>
      <c r="E1727" t="s">
        <v>2405</v>
      </c>
      <c r="F1727" t="s">
        <v>2364</v>
      </c>
      <c r="G1727" t="s">
        <v>2364</v>
      </c>
      <c r="H1727" t="s">
        <v>2365</v>
      </c>
      <c r="I1727" t="s">
        <v>2365</v>
      </c>
      <c r="J1727" t="s">
        <v>2365</v>
      </c>
      <c r="K1727" t="s">
        <v>2365</v>
      </c>
      <c r="L1727">
        <v>1200</v>
      </c>
      <c r="M1727" t="s">
        <v>1480</v>
      </c>
      <c r="N1727">
        <v>1204</v>
      </c>
      <c r="O1727" t="s">
        <v>1487</v>
      </c>
      <c r="P1727" t="s">
        <v>2366</v>
      </c>
      <c r="Q1727" t="s">
        <v>2364</v>
      </c>
      <c r="R1727" t="s">
        <v>2364</v>
      </c>
      <c r="S1727" t="s">
        <v>553</v>
      </c>
      <c r="T1727" t="s">
        <v>2175</v>
      </c>
      <c r="U1727">
        <v>120</v>
      </c>
      <c r="V1727" t="s">
        <v>691</v>
      </c>
      <c r="W1727">
        <v>120</v>
      </c>
      <c r="X1727" t="s">
        <v>691</v>
      </c>
      <c r="Y1727" t="s">
        <v>2178</v>
      </c>
      <c r="Z1727" t="s">
        <v>4467</v>
      </c>
      <c r="AA1727" t="s">
        <v>2178</v>
      </c>
      <c r="AB1727" t="s">
        <v>4467</v>
      </c>
      <c r="AC1727" s="813" t="s">
        <v>2365</v>
      </c>
      <c r="AD1727" s="813" t="s">
        <v>2365</v>
      </c>
      <c r="AE1727" s="813" t="s">
        <v>2365</v>
      </c>
      <c r="AF1727" t="s">
        <v>2365</v>
      </c>
      <c r="AG1727" t="s">
        <v>2365</v>
      </c>
      <c r="AH1727" t="s">
        <v>2365</v>
      </c>
      <c r="AI1727" t="s">
        <v>2365</v>
      </c>
      <c r="AJ1727" t="s">
        <v>2365</v>
      </c>
      <c r="AK1727" t="s">
        <v>2365</v>
      </c>
      <c r="AL1727" t="s">
        <v>2365</v>
      </c>
      <c r="AM1727" t="s">
        <v>2365</v>
      </c>
      <c r="AN1727" t="s">
        <v>2365</v>
      </c>
      <c r="AQ1727" t="s">
        <v>553</v>
      </c>
      <c r="AR1727" t="s">
        <v>2365</v>
      </c>
      <c r="AS1727" t="s">
        <v>2365</v>
      </c>
      <c r="AT1727" t="s">
        <v>2365</v>
      </c>
      <c r="AU1727" t="s">
        <v>2365</v>
      </c>
      <c r="AV1727" t="s">
        <v>2365</v>
      </c>
      <c r="AW1727" t="s">
        <v>2365</v>
      </c>
      <c r="AX1727" t="s">
        <v>2365</v>
      </c>
      <c r="AY1727" t="s">
        <v>2365</v>
      </c>
      <c r="AZ1727" t="s">
        <v>2365</v>
      </c>
      <c r="BA1727" t="s">
        <v>2365</v>
      </c>
      <c r="BB1727" t="s">
        <v>2365</v>
      </c>
      <c r="BC1727" t="s">
        <v>2365</v>
      </c>
      <c r="BD1727" t="s">
        <v>2366</v>
      </c>
      <c r="BE1727" t="s">
        <v>2365</v>
      </c>
      <c r="BF1727" t="s">
        <v>2365</v>
      </c>
      <c r="BG1727" t="s">
        <v>2365</v>
      </c>
      <c r="BH1727" t="s">
        <v>2365</v>
      </c>
      <c r="BI1727" t="s">
        <v>2366</v>
      </c>
      <c r="BJ1727" t="s">
        <v>2365</v>
      </c>
      <c r="BK1727" t="s">
        <v>2365</v>
      </c>
      <c r="BL1727" t="s">
        <v>2365</v>
      </c>
      <c r="BM1727" t="s">
        <v>2365</v>
      </c>
      <c r="BO1727">
        <v>1</v>
      </c>
      <c r="BP1727">
        <v>11</v>
      </c>
      <c r="BQ1727" t="s">
        <v>2369</v>
      </c>
      <c r="BR1727" t="s">
        <v>1487</v>
      </c>
      <c r="BU1727">
        <v>0</v>
      </c>
      <c r="BV1727">
        <v>0</v>
      </c>
      <c r="BW1727">
        <v>0</v>
      </c>
      <c r="BX1727">
        <v>0</v>
      </c>
      <c r="BY1727">
        <v>0</v>
      </c>
      <c r="BZ1727">
        <v>0</v>
      </c>
      <c r="CA1727">
        <v>0</v>
      </c>
      <c r="CB1727">
        <v>0</v>
      </c>
      <c r="CC1727">
        <v>0</v>
      </c>
      <c r="CD1727">
        <v>0</v>
      </c>
      <c r="CE1727">
        <v>0</v>
      </c>
      <c r="CF1727">
        <v>0</v>
      </c>
      <c r="CG1727">
        <v>0</v>
      </c>
      <c r="CH1727">
        <v>0</v>
      </c>
      <c r="CI1727">
        <v>0</v>
      </c>
      <c r="CJ1727">
        <v>0</v>
      </c>
      <c r="CK1727">
        <v>0</v>
      </c>
      <c r="CL1727">
        <v>0</v>
      </c>
      <c r="CM1727">
        <v>0</v>
      </c>
      <c r="CR1727" t="s">
        <v>2331</v>
      </c>
      <c r="CS1727" s="1369" t="str">
        <f>INDEX([8]Sheet1!$H:$H,MATCH(CR:CR,[8]Sheet1!$AU:$AU,0))</f>
        <v>Waste Water Treatment</v>
      </c>
    </row>
    <row r="1728" spans="1:97" x14ac:dyDescent="0.2">
      <c r="A1728" t="s">
        <v>4875</v>
      </c>
      <c r="B1728">
        <v>1826</v>
      </c>
      <c r="C1728" t="s">
        <v>4875</v>
      </c>
      <c r="D1728">
        <v>54821</v>
      </c>
      <c r="E1728" t="s">
        <v>2419</v>
      </c>
      <c r="F1728" t="s">
        <v>2364</v>
      </c>
      <c r="G1728" t="s">
        <v>2364</v>
      </c>
      <c r="H1728" t="s">
        <v>2365</v>
      </c>
      <c r="I1728" t="s">
        <v>2365</v>
      </c>
      <c r="J1728" t="s">
        <v>2365</v>
      </c>
      <c r="K1728" t="s">
        <v>2365</v>
      </c>
      <c r="L1728">
        <v>1200</v>
      </c>
      <c r="M1728" t="s">
        <v>1480</v>
      </c>
      <c r="N1728">
        <v>1204</v>
      </c>
      <c r="O1728" t="s">
        <v>1487</v>
      </c>
      <c r="P1728" t="s">
        <v>2366</v>
      </c>
      <c r="Q1728" t="s">
        <v>2364</v>
      </c>
      <c r="R1728" t="s">
        <v>2364</v>
      </c>
      <c r="S1728" t="s">
        <v>553</v>
      </c>
      <c r="T1728" t="s">
        <v>2175</v>
      </c>
      <c r="U1728">
        <v>120</v>
      </c>
      <c r="V1728" t="s">
        <v>691</v>
      </c>
      <c r="W1728">
        <v>120</v>
      </c>
      <c r="X1728" t="s">
        <v>691</v>
      </c>
      <c r="Y1728" t="s">
        <v>4473</v>
      </c>
      <c r="Z1728" t="s">
        <v>4467</v>
      </c>
      <c r="AA1728" t="s">
        <v>4473</v>
      </c>
      <c r="AB1728" t="s">
        <v>4467</v>
      </c>
      <c r="AC1728" s="813" t="s">
        <v>2365</v>
      </c>
      <c r="AD1728" s="813" t="s">
        <v>2365</v>
      </c>
      <c r="AE1728" s="813" t="s">
        <v>2365</v>
      </c>
      <c r="AF1728" t="s">
        <v>2365</v>
      </c>
      <c r="AG1728" t="s">
        <v>2365</v>
      </c>
      <c r="AH1728" t="s">
        <v>2365</v>
      </c>
      <c r="AI1728" t="s">
        <v>2365</v>
      </c>
      <c r="AJ1728" t="s">
        <v>2365</v>
      </c>
      <c r="AK1728" t="s">
        <v>2365</v>
      </c>
      <c r="AL1728" t="s">
        <v>2365</v>
      </c>
      <c r="AM1728" t="s">
        <v>2365</v>
      </c>
      <c r="AN1728" t="s">
        <v>2365</v>
      </c>
      <c r="AQ1728" t="s">
        <v>2423</v>
      </c>
      <c r="AR1728" t="s">
        <v>2365</v>
      </c>
      <c r="AS1728" t="s">
        <v>2365</v>
      </c>
      <c r="AT1728" t="s">
        <v>2365</v>
      </c>
      <c r="AU1728" t="s">
        <v>2365</v>
      </c>
      <c r="AV1728" t="s">
        <v>2365</v>
      </c>
      <c r="AW1728" t="s">
        <v>2365</v>
      </c>
      <c r="AX1728" t="s">
        <v>2365</v>
      </c>
      <c r="AY1728" t="s">
        <v>2365</v>
      </c>
      <c r="AZ1728" t="s">
        <v>2365</v>
      </c>
      <c r="BA1728" t="s">
        <v>2365</v>
      </c>
      <c r="BB1728" t="s">
        <v>2365</v>
      </c>
      <c r="BC1728" t="s">
        <v>2365</v>
      </c>
      <c r="BD1728" t="s">
        <v>2366</v>
      </c>
      <c r="BE1728" t="s">
        <v>2365</v>
      </c>
      <c r="BF1728" t="s">
        <v>2365</v>
      </c>
      <c r="BG1728" t="s">
        <v>2365</v>
      </c>
      <c r="BH1728" t="s">
        <v>2365</v>
      </c>
      <c r="BI1728" t="s">
        <v>2366</v>
      </c>
      <c r="BJ1728" t="s">
        <v>2365</v>
      </c>
      <c r="BK1728" t="s">
        <v>2365</v>
      </c>
      <c r="BL1728" t="s">
        <v>2365</v>
      </c>
      <c r="BM1728" t="s">
        <v>2365</v>
      </c>
      <c r="BO1728">
        <v>1</v>
      </c>
      <c r="BP1728">
        <v>11</v>
      </c>
      <c r="BQ1728" t="s">
        <v>2369</v>
      </c>
      <c r="BR1728" t="s">
        <v>1487</v>
      </c>
      <c r="BU1728">
        <v>0</v>
      </c>
      <c r="BV1728">
        <v>0</v>
      </c>
      <c r="BW1728">
        <v>0</v>
      </c>
      <c r="BX1728">
        <v>0</v>
      </c>
      <c r="BY1728">
        <v>0</v>
      </c>
      <c r="BZ1728">
        <v>0</v>
      </c>
      <c r="CA1728">
        <v>0</v>
      </c>
      <c r="CB1728">
        <v>0</v>
      </c>
      <c r="CC1728">
        <v>0</v>
      </c>
      <c r="CD1728">
        <v>0</v>
      </c>
      <c r="CE1728">
        <v>0</v>
      </c>
      <c r="CF1728">
        <v>0</v>
      </c>
      <c r="CG1728">
        <v>0</v>
      </c>
      <c r="CH1728">
        <v>0</v>
      </c>
      <c r="CI1728">
        <v>0</v>
      </c>
      <c r="CJ1728">
        <v>0</v>
      </c>
      <c r="CK1728">
        <v>0</v>
      </c>
      <c r="CL1728">
        <v>0</v>
      </c>
      <c r="CM1728">
        <v>0</v>
      </c>
      <c r="CR1728" t="s">
        <v>2325</v>
      </c>
      <c r="CS1728" s="1369" t="str">
        <f>INDEX([8]Sheet1!$H:$H,MATCH(CR:CR,[8]Sheet1!$AU:$AU,0))</f>
        <v>Asset Management</v>
      </c>
    </row>
    <row r="1729" spans="1:97" x14ac:dyDescent="0.2">
      <c r="A1729" t="s">
        <v>4876</v>
      </c>
      <c r="B1729">
        <v>1827</v>
      </c>
      <c r="C1729" t="s">
        <v>4876</v>
      </c>
      <c r="D1729">
        <v>54822</v>
      </c>
      <c r="E1729" t="s">
        <v>2419</v>
      </c>
      <c r="F1729" t="s">
        <v>2364</v>
      </c>
      <c r="G1729" t="s">
        <v>2364</v>
      </c>
      <c r="H1729" t="s">
        <v>2365</v>
      </c>
      <c r="I1729" t="s">
        <v>2365</v>
      </c>
      <c r="J1729" t="s">
        <v>2365</v>
      </c>
      <c r="K1729" t="s">
        <v>2365</v>
      </c>
      <c r="L1729">
        <v>1200</v>
      </c>
      <c r="M1729" t="s">
        <v>1480</v>
      </c>
      <c r="N1729">
        <v>1204</v>
      </c>
      <c r="O1729" t="s">
        <v>1487</v>
      </c>
      <c r="P1729" t="s">
        <v>2366</v>
      </c>
      <c r="Q1729" t="s">
        <v>2364</v>
      </c>
      <c r="R1729" t="s">
        <v>2364</v>
      </c>
      <c r="S1729" t="s">
        <v>553</v>
      </c>
      <c r="T1729" t="s">
        <v>2175</v>
      </c>
      <c r="U1729">
        <v>120</v>
      </c>
      <c r="V1729" t="s">
        <v>691</v>
      </c>
      <c r="W1729">
        <v>120</v>
      </c>
      <c r="X1729" t="s">
        <v>691</v>
      </c>
      <c r="Y1729" t="s">
        <v>4473</v>
      </c>
      <c r="Z1729" t="s">
        <v>4467</v>
      </c>
      <c r="AA1729" t="s">
        <v>4473</v>
      </c>
      <c r="AB1729" t="s">
        <v>4467</v>
      </c>
      <c r="AC1729" s="813" t="s">
        <v>2365</v>
      </c>
      <c r="AD1729" s="813" t="s">
        <v>2365</v>
      </c>
      <c r="AE1729" s="813" t="s">
        <v>2365</v>
      </c>
      <c r="AF1729" t="s">
        <v>2365</v>
      </c>
      <c r="AG1729" t="s">
        <v>2365</v>
      </c>
      <c r="AH1729" t="s">
        <v>2365</v>
      </c>
      <c r="AI1729" t="s">
        <v>2365</v>
      </c>
      <c r="AJ1729" t="s">
        <v>2365</v>
      </c>
      <c r="AK1729" t="s">
        <v>2365</v>
      </c>
      <c r="AL1729" t="s">
        <v>2365</v>
      </c>
      <c r="AM1729" t="s">
        <v>2365</v>
      </c>
      <c r="AN1729" t="s">
        <v>2365</v>
      </c>
      <c r="AQ1729" t="s">
        <v>2423</v>
      </c>
      <c r="AR1729" t="s">
        <v>2365</v>
      </c>
      <c r="AS1729" t="s">
        <v>2365</v>
      </c>
      <c r="AT1729" t="s">
        <v>2365</v>
      </c>
      <c r="AU1729" t="s">
        <v>2365</v>
      </c>
      <c r="AV1729" t="s">
        <v>2365</v>
      </c>
      <c r="AW1729" t="s">
        <v>2365</v>
      </c>
      <c r="AX1729" t="s">
        <v>2365</v>
      </c>
      <c r="AY1729" t="s">
        <v>2365</v>
      </c>
      <c r="AZ1729" t="s">
        <v>2365</v>
      </c>
      <c r="BA1729" t="s">
        <v>2365</v>
      </c>
      <c r="BB1729" t="s">
        <v>2365</v>
      </c>
      <c r="BC1729" t="s">
        <v>2365</v>
      </c>
      <c r="BD1729" t="s">
        <v>2366</v>
      </c>
      <c r="BE1729" t="s">
        <v>2365</v>
      </c>
      <c r="BF1729" t="s">
        <v>2365</v>
      </c>
      <c r="BG1729" t="s">
        <v>2365</v>
      </c>
      <c r="BH1729" t="s">
        <v>2365</v>
      </c>
      <c r="BI1729" t="s">
        <v>2366</v>
      </c>
      <c r="BJ1729" t="s">
        <v>2365</v>
      </c>
      <c r="BK1729" t="s">
        <v>2365</v>
      </c>
      <c r="BL1729" t="s">
        <v>2365</v>
      </c>
      <c r="BM1729" t="s">
        <v>2365</v>
      </c>
      <c r="BO1729">
        <v>1</v>
      </c>
      <c r="BP1729">
        <v>11</v>
      </c>
      <c r="BQ1729" t="s">
        <v>2369</v>
      </c>
      <c r="BR1729" t="s">
        <v>1487</v>
      </c>
      <c r="BU1729">
        <v>0</v>
      </c>
      <c r="BV1729">
        <v>0</v>
      </c>
      <c r="BW1729">
        <v>0</v>
      </c>
      <c r="BX1729">
        <v>0</v>
      </c>
      <c r="BY1729">
        <v>0</v>
      </c>
      <c r="BZ1729">
        <v>0</v>
      </c>
      <c r="CA1729">
        <v>0</v>
      </c>
      <c r="CB1729">
        <v>0</v>
      </c>
      <c r="CC1729">
        <v>0</v>
      </c>
      <c r="CD1729">
        <v>0</v>
      </c>
      <c r="CE1729">
        <v>0</v>
      </c>
      <c r="CF1729">
        <v>0</v>
      </c>
      <c r="CG1729">
        <v>0</v>
      </c>
      <c r="CH1729">
        <v>0</v>
      </c>
      <c r="CI1729">
        <v>0</v>
      </c>
      <c r="CJ1729">
        <v>0</v>
      </c>
      <c r="CK1729">
        <v>0</v>
      </c>
      <c r="CL1729">
        <v>0</v>
      </c>
      <c r="CM1729">
        <v>0</v>
      </c>
      <c r="CR1729" t="s">
        <v>2325</v>
      </c>
      <c r="CS1729" s="1369" t="str">
        <f>INDEX([8]Sheet1!$H:$H,MATCH(CR:CR,[8]Sheet1!$AU:$AU,0))</f>
        <v>Asset Management</v>
      </c>
    </row>
    <row r="1730" spans="1:97" x14ac:dyDescent="0.2">
      <c r="A1730" t="s">
        <v>4877</v>
      </c>
      <c r="B1730">
        <v>1828</v>
      </c>
      <c r="C1730" t="s">
        <v>4877</v>
      </c>
      <c r="D1730">
        <v>54823</v>
      </c>
      <c r="E1730" t="s">
        <v>2419</v>
      </c>
      <c r="F1730" t="s">
        <v>2364</v>
      </c>
      <c r="G1730" t="s">
        <v>2364</v>
      </c>
      <c r="H1730" t="s">
        <v>2365</v>
      </c>
      <c r="I1730" t="s">
        <v>2365</v>
      </c>
      <c r="J1730" t="s">
        <v>2365</v>
      </c>
      <c r="K1730" t="s">
        <v>2365</v>
      </c>
      <c r="L1730">
        <v>1200</v>
      </c>
      <c r="M1730" t="s">
        <v>1480</v>
      </c>
      <c r="N1730">
        <v>1204</v>
      </c>
      <c r="O1730" t="s">
        <v>1487</v>
      </c>
      <c r="P1730" t="s">
        <v>2366</v>
      </c>
      <c r="Q1730" t="s">
        <v>2364</v>
      </c>
      <c r="R1730" t="s">
        <v>2364</v>
      </c>
      <c r="S1730" t="s">
        <v>553</v>
      </c>
      <c r="T1730" t="s">
        <v>2175</v>
      </c>
      <c r="U1730">
        <v>120</v>
      </c>
      <c r="V1730" t="s">
        <v>691</v>
      </c>
      <c r="W1730">
        <v>120</v>
      </c>
      <c r="X1730" t="s">
        <v>691</v>
      </c>
      <c r="Y1730" t="s">
        <v>4473</v>
      </c>
      <c r="Z1730" t="s">
        <v>4467</v>
      </c>
      <c r="AA1730" t="s">
        <v>4473</v>
      </c>
      <c r="AB1730" t="s">
        <v>4467</v>
      </c>
      <c r="AC1730" s="813" t="s">
        <v>2365</v>
      </c>
      <c r="AD1730" s="813" t="s">
        <v>2365</v>
      </c>
      <c r="AE1730" s="813" t="s">
        <v>2365</v>
      </c>
      <c r="AF1730" t="s">
        <v>2365</v>
      </c>
      <c r="AG1730" t="s">
        <v>2365</v>
      </c>
      <c r="AH1730" t="s">
        <v>2365</v>
      </c>
      <c r="AI1730" t="s">
        <v>2365</v>
      </c>
      <c r="AJ1730" t="s">
        <v>2365</v>
      </c>
      <c r="AK1730" s="1373" t="s">
        <v>2365</v>
      </c>
      <c r="AL1730" t="s">
        <v>2365</v>
      </c>
      <c r="AM1730" t="s">
        <v>2365</v>
      </c>
      <c r="AN1730" t="s">
        <v>2365</v>
      </c>
      <c r="AQ1730" t="s">
        <v>2423</v>
      </c>
      <c r="AR1730" t="s">
        <v>2365</v>
      </c>
      <c r="AS1730" t="s">
        <v>2365</v>
      </c>
      <c r="AT1730" t="s">
        <v>2365</v>
      </c>
      <c r="AU1730" t="s">
        <v>2365</v>
      </c>
      <c r="AV1730" t="s">
        <v>2365</v>
      </c>
      <c r="AW1730" t="s">
        <v>2365</v>
      </c>
      <c r="AX1730" t="s">
        <v>2365</v>
      </c>
      <c r="AY1730" t="s">
        <v>2365</v>
      </c>
      <c r="AZ1730" t="s">
        <v>2365</v>
      </c>
      <c r="BA1730" t="s">
        <v>2365</v>
      </c>
      <c r="BB1730" t="s">
        <v>2365</v>
      </c>
      <c r="BC1730" t="s">
        <v>2365</v>
      </c>
      <c r="BD1730" t="s">
        <v>2366</v>
      </c>
      <c r="BE1730" t="s">
        <v>2365</v>
      </c>
      <c r="BF1730" t="s">
        <v>2365</v>
      </c>
      <c r="BG1730" t="s">
        <v>2365</v>
      </c>
      <c r="BH1730" t="s">
        <v>2365</v>
      </c>
      <c r="BI1730" t="s">
        <v>2366</v>
      </c>
      <c r="BJ1730" t="s">
        <v>2365</v>
      </c>
      <c r="BK1730" t="s">
        <v>2365</v>
      </c>
      <c r="BL1730" t="s">
        <v>2365</v>
      </c>
      <c r="BM1730" t="s">
        <v>2365</v>
      </c>
      <c r="BO1730">
        <v>1</v>
      </c>
      <c r="BP1730">
        <v>11</v>
      </c>
      <c r="BQ1730" t="s">
        <v>2369</v>
      </c>
      <c r="BR1730" t="s">
        <v>1487</v>
      </c>
      <c r="BU1730">
        <v>0</v>
      </c>
      <c r="BV1730">
        <v>0</v>
      </c>
      <c r="BW1730">
        <v>0</v>
      </c>
      <c r="BX1730">
        <v>0</v>
      </c>
      <c r="BY1730">
        <v>0</v>
      </c>
      <c r="BZ1730">
        <v>0</v>
      </c>
      <c r="CA1730">
        <v>0</v>
      </c>
      <c r="CB1730">
        <v>0</v>
      </c>
      <c r="CC1730">
        <v>0</v>
      </c>
      <c r="CD1730">
        <v>0</v>
      </c>
      <c r="CE1730">
        <v>0</v>
      </c>
      <c r="CF1730">
        <v>0</v>
      </c>
      <c r="CG1730">
        <v>0</v>
      </c>
      <c r="CH1730">
        <v>0</v>
      </c>
      <c r="CI1730">
        <v>0</v>
      </c>
      <c r="CJ1730">
        <v>0</v>
      </c>
      <c r="CK1730">
        <v>0</v>
      </c>
      <c r="CL1730">
        <v>0</v>
      </c>
      <c r="CM1730">
        <v>0</v>
      </c>
      <c r="CR1730" t="s">
        <v>2325</v>
      </c>
      <c r="CS1730" s="1369" t="str">
        <f>INDEX([8]Sheet1!$H:$H,MATCH(CR:CR,[8]Sheet1!$AU:$AU,0))</f>
        <v>Asset Management</v>
      </c>
    </row>
    <row r="1731" spans="1:97" x14ac:dyDescent="0.2">
      <c r="A1731" t="s">
        <v>4878</v>
      </c>
      <c r="B1731">
        <v>1829</v>
      </c>
      <c r="C1731" t="s">
        <v>4878</v>
      </c>
      <c r="D1731">
        <v>54824</v>
      </c>
      <c r="E1731" t="s">
        <v>2419</v>
      </c>
      <c r="F1731" t="s">
        <v>2364</v>
      </c>
      <c r="G1731" t="s">
        <v>2364</v>
      </c>
      <c r="H1731" s="1373" t="s">
        <v>2365</v>
      </c>
      <c r="I1731" t="s">
        <v>2365</v>
      </c>
      <c r="J1731" t="s">
        <v>2365</v>
      </c>
      <c r="K1731" t="s">
        <v>2365</v>
      </c>
      <c r="L1731" s="1373">
        <v>1200</v>
      </c>
      <c r="M1731" t="s">
        <v>1480</v>
      </c>
      <c r="N1731">
        <v>1204</v>
      </c>
      <c r="O1731" t="s">
        <v>1487</v>
      </c>
      <c r="P1731" t="s">
        <v>2366</v>
      </c>
      <c r="Q1731" t="s">
        <v>2364</v>
      </c>
      <c r="R1731" t="s">
        <v>2364</v>
      </c>
      <c r="S1731" t="s">
        <v>553</v>
      </c>
      <c r="T1731" t="s">
        <v>2175</v>
      </c>
      <c r="U1731">
        <v>120</v>
      </c>
      <c r="V1731" t="s">
        <v>691</v>
      </c>
      <c r="W1731">
        <v>120</v>
      </c>
      <c r="X1731" t="s">
        <v>691</v>
      </c>
      <c r="Y1731" t="s">
        <v>4473</v>
      </c>
      <c r="Z1731" t="s">
        <v>4467</v>
      </c>
      <c r="AA1731" t="s">
        <v>4473</v>
      </c>
      <c r="AB1731" t="s">
        <v>4467</v>
      </c>
      <c r="AC1731" s="813" t="s">
        <v>2365</v>
      </c>
      <c r="AD1731" s="813" t="s">
        <v>2365</v>
      </c>
      <c r="AE1731" s="813" t="s">
        <v>2365</v>
      </c>
      <c r="AF1731" t="s">
        <v>2365</v>
      </c>
      <c r="AG1731" t="s">
        <v>2365</v>
      </c>
      <c r="AH1731" t="s">
        <v>2365</v>
      </c>
      <c r="AI1731" t="s">
        <v>2365</v>
      </c>
      <c r="AJ1731" t="s">
        <v>2365</v>
      </c>
      <c r="AK1731" t="s">
        <v>2365</v>
      </c>
      <c r="AL1731" t="s">
        <v>2365</v>
      </c>
      <c r="AM1731" t="s">
        <v>2365</v>
      </c>
      <c r="AN1731" t="s">
        <v>2365</v>
      </c>
      <c r="AQ1731" t="s">
        <v>2423</v>
      </c>
      <c r="AR1731" t="s">
        <v>2365</v>
      </c>
      <c r="AS1731" t="s">
        <v>2365</v>
      </c>
      <c r="AT1731" t="s">
        <v>2365</v>
      </c>
      <c r="AU1731" t="s">
        <v>2365</v>
      </c>
      <c r="AV1731" t="s">
        <v>2365</v>
      </c>
      <c r="AW1731" t="s">
        <v>2365</v>
      </c>
      <c r="AX1731" t="s">
        <v>2365</v>
      </c>
      <c r="AY1731" t="s">
        <v>2365</v>
      </c>
      <c r="AZ1731" t="s">
        <v>2365</v>
      </c>
      <c r="BA1731" t="s">
        <v>2365</v>
      </c>
      <c r="BB1731" t="s">
        <v>2365</v>
      </c>
      <c r="BC1731" t="s">
        <v>2365</v>
      </c>
      <c r="BD1731" t="s">
        <v>2366</v>
      </c>
      <c r="BE1731" t="s">
        <v>2365</v>
      </c>
      <c r="BF1731" t="s">
        <v>2365</v>
      </c>
      <c r="BG1731" t="s">
        <v>2365</v>
      </c>
      <c r="BH1731" t="s">
        <v>2365</v>
      </c>
      <c r="BI1731" t="s">
        <v>2366</v>
      </c>
      <c r="BJ1731" t="s">
        <v>2365</v>
      </c>
      <c r="BK1731" t="s">
        <v>2365</v>
      </c>
      <c r="BL1731" t="s">
        <v>2365</v>
      </c>
      <c r="BM1731" t="s">
        <v>2365</v>
      </c>
      <c r="BO1731">
        <v>1</v>
      </c>
      <c r="BP1731">
        <v>11</v>
      </c>
      <c r="BQ1731" t="s">
        <v>2369</v>
      </c>
      <c r="BR1731" t="s">
        <v>1487</v>
      </c>
      <c r="BU1731" s="1371">
        <v>0</v>
      </c>
      <c r="BV1731" s="1371">
        <v>0</v>
      </c>
      <c r="BW1731" s="1371">
        <v>0</v>
      </c>
      <c r="BX1731" s="1371">
        <v>0</v>
      </c>
      <c r="BY1731" s="1371">
        <v>0</v>
      </c>
      <c r="BZ1731">
        <v>0</v>
      </c>
      <c r="CA1731">
        <v>0</v>
      </c>
      <c r="CB1731">
        <v>0</v>
      </c>
      <c r="CC1731">
        <v>0</v>
      </c>
      <c r="CD1731">
        <v>0</v>
      </c>
      <c r="CE1731">
        <v>0</v>
      </c>
      <c r="CF1731">
        <v>0</v>
      </c>
      <c r="CG1731">
        <v>0</v>
      </c>
      <c r="CH1731">
        <v>0</v>
      </c>
      <c r="CI1731">
        <v>0</v>
      </c>
      <c r="CJ1731">
        <v>0</v>
      </c>
      <c r="CK1731">
        <v>0</v>
      </c>
      <c r="CL1731">
        <v>0</v>
      </c>
      <c r="CM1731">
        <v>0</v>
      </c>
      <c r="CR1731" t="s">
        <v>2325</v>
      </c>
      <c r="CS1731" s="1369" t="str">
        <f>INDEX([8]Sheet1!$H:$H,MATCH(CR:CR,[8]Sheet1!$AU:$AU,0))</f>
        <v>Asset Management</v>
      </c>
    </row>
    <row r="1732" spans="1:97" x14ac:dyDescent="0.2">
      <c r="A1732" t="s">
        <v>4879</v>
      </c>
      <c r="B1732">
        <v>1830</v>
      </c>
      <c r="C1732" t="s">
        <v>4879</v>
      </c>
      <c r="D1732">
        <v>54825</v>
      </c>
      <c r="E1732" t="s">
        <v>2419</v>
      </c>
      <c r="F1732" t="s">
        <v>2364</v>
      </c>
      <c r="G1732" t="s">
        <v>2364</v>
      </c>
      <c r="H1732" s="1373" t="s">
        <v>2365</v>
      </c>
      <c r="I1732" t="s">
        <v>2365</v>
      </c>
      <c r="J1732" t="s">
        <v>2365</v>
      </c>
      <c r="K1732" t="s">
        <v>2365</v>
      </c>
      <c r="L1732" s="1373">
        <v>1200</v>
      </c>
      <c r="M1732" t="s">
        <v>1480</v>
      </c>
      <c r="N1732">
        <v>1204</v>
      </c>
      <c r="O1732" t="s">
        <v>1487</v>
      </c>
      <c r="P1732" t="s">
        <v>2366</v>
      </c>
      <c r="Q1732" t="s">
        <v>2364</v>
      </c>
      <c r="R1732" t="s">
        <v>2364</v>
      </c>
      <c r="S1732" t="s">
        <v>553</v>
      </c>
      <c r="T1732" t="s">
        <v>2175</v>
      </c>
      <c r="U1732">
        <v>120</v>
      </c>
      <c r="V1732" t="s">
        <v>691</v>
      </c>
      <c r="W1732">
        <v>120</v>
      </c>
      <c r="X1732" t="s">
        <v>691</v>
      </c>
      <c r="Y1732" t="s">
        <v>4473</v>
      </c>
      <c r="Z1732" t="s">
        <v>4467</v>
      </c>
      <c r="AA1732" t="s">
        <v>4473</v>
      </c>
      <c r="AB1732" t="s">
        <v>4467</v>
      </c>
      <c r="AC1732" s="813" t="s">
        <v>2365</v>
      </c>
      <c r="AD1732" s="813" t="s">
        <v>2365</v>
      </c>
      <c r="AE1732" s="813" t="s">
        <v>2365</v>
      </c>
      <c r="AF1732" t="s">
        <v>2365</v>
      </c>
      <c r="AG1732" t="s">
        <v>2365</v>
      </c>
      <c r="AH1732" t="s">
        <v>2365</v>
      </c>
      <c r="AI1732" t="s">
        <v>2365</v>
      </c>
      <c r="AJ1732" t="s">
        <v>2365</v>
      </c>
      <c r="AK1732" t="s">
        <v>2365</v>
      </c>
      <c r="AL1732" t="s">
        <v>2365</v>
      </c>
      <c r="AM1732" t="s">
        <v>2365</v>
      </c>
      <c r="AN1732" t="s">
        <v>2365</v>
      </c>
      <c r="AQ1732" t="s">
        <v>2423</v>
      </c>
      <c r="AR1732" t="s">
        <v>2365</v>
      </c>
      <c r="AS1732" t="s">
        <v>2365</v>
      </c>
      <c r="AT1732" t="s">
        <v>2365</v>
      </c>
      <c r="AU1732" t="s">
        <v>2365</v>
      </c>
      <c r="AV1732" t="s">
        <v>2365</v>
      </c>
      <c r="AW1732" t="s">
        <v>2365</v>
      </c>
      <c r="AX1732" t="s">
        <v>2365</v>
      </c>
      <c r="AY1732" t="s">
        <v>2365</v>
      </c>
      <c r="AZ1732" t="s">
        <v>2365</v>
      </c>
      <c r="BA1732" t="s">
        <v>2365</v>
      </c>
      <c r="BB1732" t="s">
        <v>2365</v>
      </c>
      <c r="BC1732" t="s">
        <v>2365</v>
      </c>
      <c r="BD1732" t="s">
        <v>2366</v>
      </c>
      <c r="BE1732" t="s">
        <v>2365</v>
      </c>
      <c r="BF1732" t="s">
        <v>2365</v>
      </c>
      <c r="BG1732" t="s">
        <v>2365</v>
      </c>
      <c r="BH1732" t="s">
        <v>2365</v>
      </c>
      <c r="BI1732" t="s">
        <v>2366</v>
      </c>
      <c r="BJ1732" t="s">
        <v>2365</v>
      </c>
      <c r="BK1732" t="s">
        <v>2365</v>
      </c>
      <c r="BL1732" t="s">
        <v>2365</v>
      </c>
      <c r="BM1732" t="s">
        <v>2365</v>
      </c>
      <c r="BO1732">
        <v>1</v>
      </c>
      <c r="BP1732">
        <v>11</v>
      </c>
      <c r="BQ1732" t="s">
        <v>2369</v>
      </c>
      <c r="BR1732" t="s">
        <v>1487</v>
      </c>
      <c r="BU1732" s="1371">
        <v>0</v>
      </c>
      <c r="BV1732" s="1371">
        <v>0</v>
      </c>
      <c r="BW1732" s="1371">
        <v>0</v>
      </c>
      <c r="BX1732" s="1371">
        <v>0</v>
      </c>
      <c r="BY1732" s="1371">
        <v>0</v>
      </c>
      <c r="BZ1732">
        <v>0</v>
      </c>
      <c r="CA1732">
        <v>0</v>
      </c>
      <c r="CB1732">
        <v>0</v>
      </c>
      <c r="CC1732">
        <v>0</v>
      </c>
      <c r="CD1732">
        <v>0</v>
      </c>
      <c r="CE1732">
        <v>0</v>
      </c>
      <c r="CF1732">
        <v>0</v>
      </c>
      <c r="CG1732">
        <v>0</v>
      </c>
      <c r="CH1732">
        <v>0</v>
      </c>
      <c r="CI1732">
        <v>0</v>
      </c>
      <c r="CJ1732">
        <v>0</v>
      </c>
      <c r="CK1732">
        <v>0</v>
      </c>
      <c r="CL1732">
        <v>0</v>
      </c>
      <c r="CM1732">
        <v>0</v>
      </c>
      <c r="CR1732" t="s">
        <v>2325</v>
      </c>
      <c r="CS1732" s="1369" t="str">
        <f>INDEX([8]Sheet1!$H:$H,MATCH(CR:CR,[8]Sheet1!$AU:$AU,0))</f>
        <v>Asset Management</v>
      </c>
    </row>
    <row r="1733" spans="1:97" x14ac:dyDescent="0.2">
      <c r="A1733" t="s">
        <v>4880</v>
      </c>
      <c r="B1733">
        <v>1831</v>
      </c>
      <c r="C1733" t="s">
        <v>4880</v>
      </c>
      <c r="D1733">
        <v>54826</v>
      </c>
      <c r="E1733" t="s">
        <v>2405</v>
      </c>
      <c r="F1733" t="s">
        <v>2364</v>
      </c>
      <c r="G1733" t="s">
        <v>2364</v>
      </c>
      <c r="H1733" s="1373" t="s">
        <v>2365</v>
      </c>
      <c r="I1733" t="s">
        <v>2365</v>
      </c>
      <c r="J1733" t="s">
        <v>2365</v>
      </c>
      <c r="K1733" t="s">
        <v>2365</v>
      </c>
      <c r="L1733" s="1373">
        <v>1200</v>
      </c>
      <c r="M1733" t="s">
        <v>1480</v>
      </c>
      <c r="N1733">
        <v>1204</v>
      </c>
      <c r="O1733" t="s">
        <v>1487</v>
      </c>
      <c r="P1733" t="s">
        <v>2366</v>
      </c>
      <c r="Q1733" t="s">
        <v>2364</v>
      </c>
      <c r="R1733" t="s">
        <v>2364</v>
      </c>
      <c r="S1733" t="s">
        <v>553</v>
      </c>
      <c r="T1733" t="s">
        <v>2175</v>
      </c>
      <c r="U1733">
        <v>120</v>
      </c>
      <c r="V1733" t="s">
        <v>691</v>
      </c>
      <c r="W1733">
        <v>120</v>
      </c>
      <c r="X1733" t="s">
        <v>691</v>
      </c>
      <c r="Y1733" t="s">
        <v>2178</v>
      </c>
      <c r="Z1733" t="s">
        <v>4467</v>
      </c>
      <c r="AA1733" t="s">
        <v>2178</v>
      </c>
      <c r="AB1733" t="s">
        <v>4467</v>
      </c>
      <c r="AC1733" s="813" t="s">
        <v>2365</v>
      </c>
      <c r="AD1733" s="813" t="s">
        <v>2365</v>
      </c>
      <c r="AE1733" s="813" t="s">
        <v>2365</v>
      </c>
      <c r="AF1733" t="s">
        <v>2365</v>
      </c>
      <c r="AG1733" t="s">
        <v>2365</v>
      </c>
      <c r="AH1733" t="s">
        <v>2365</v>
      </c>
      <c r="AI1733" t="s">
        <v>2365</v>
      </c>
      <c r="AJ1733" t="s">
        <v>2365</v>
      </c>
      <c r="AK1733" t="s">
        <v>2365</v>
      </c>
      <c r="AL1733" t="s">
        <v>2365</v>
      </c>
      <c r="AM1733" t="s">
        <v>2365</v>
      </c>
      <c r="AN1733" t="s">
        <v>2365</v>
      </c>
      <c r="AQ1733" t="s">
        <v>553</v>
      </c>
      <c r="AR1733" t="s">
        <v>2365</v>
      </c>
      <c r="AS1733" t="s">
        <v>2365</v>
      </c>
      <c r="AT1733" t="s">
        <v>2365</v>
      </c>
      <c r="AU1733" t="s">
        <v>2365</v>
      </c>
      <c r="AV1733" t="s">
        <v>2365</v>
      </c>
      <c r="AW1733" t="s">
        <v>2365</v>
      </c>
      <c r="AX1733" t="s">
        <v>2365</v>
      </c>
      <c r="AY1733" t="s">
        <v>2365</v>
      </c>
      <c r="AZ1733" t="s">
        <v>2365</v>
      </c>
      <c r="BA1733" t="s">
        <v>2365</v>
      </c>
      <c r="BB1733" t="s">
        <v>2365</v>
      </c>
      <c r="BC1733" t="s">
        <v>2365</v>
      </c>
      <c r="BD1733" t="s">
        <v>2366</v>
      </c>
      <c r="BE1733" t="s">
        <v>2365</v>
      </c>
      <c r="BF1733" t="s">
        <v>2365</v>
      </c>
      <c r="BG1733" t="s">
        <v>2365</v>
      </c>
      <c r="BH1733" t="s">
        <v>2365</v>
      </c>
      <c r="BI1733" t="s">
        <v>2366</v>
      </c>
      <c r="BJ1733" t="s">
        <v>2365</v>
      </c>
      <c r="BK1733" t="s">
        <v>2365</v>
      </c>
      <c r="BL1733" t="s">
        <v>2365</v>
      </c>
      <c r="BM1733" t="s">
        <v>2365</v>
      </c>
      <c r="BO1733">
        <v>1</v>
      </c>
      <c r="BP1733">
        <v>11</v>
      </c>
      <c r="BQ1733" t="s">
        <v>2369</v>
      </c>
      <c r="BR1733" t="s">
        <v>1487</v>
      </c>
      <c r="BU1733" s="1371">
        <v>0</v>
      </c>
      <c r="BV1733" s="1371">
        <v>0</v>
      </c>
      <c r="BW1733" s="1371">
        <v>0</v>
      </c>
      <c r="BX1733" s="1371">
        <v>0</v>
      </c>
      <c r="BY1733" s="1371">
        <v>0</v>
      </c>
      <c r="BZ1733">
        <v>0</v>
      </c>
      <c r="CA1733">
        <v>0</v>
      </c>
      <c r="CB1733">
        <v>0</v>
      </c>
      <c r="CC1733">
        <v>0</v>
      </c>
      <c r="CD1733">
        <v>0</v>
      </c>
      <c r="CE1733">
        <v>0</v>
      </c>
      <c r="CF1733">
        <v>0</v>
      </c>
      <c r="CG1733">
        <v>0</v>
      </c>
      <c r="CH1733">
        <v>0</v>
      </c>
      <c r="CI1733">
        <v>0</v>
      </c>
      <c r="CJ1733">
        <v>0</v>
      </c>
      <c r="CK1733">
        <v>0</v>
      </c>
      <c r="CL1733">
        <v>0</v>
      </c>
      <c r="CM1733">
        <v>0</v>
      </c>
      <c r="CR1733" t="s">
        <v>2325</v>
      </c>
      <c r="CS1733" s="1369" t="str">
        <f>INDEX([8]Sheet1!$H:$H,MATCH(CR:CR,[8]Sheet1!$AU:$AU,0))</f>
        <v>Asset Management</v>
      </c>
    </row>
    <row r="1734" spans="1:97" x14ac:dyDescent="0.2">
      <c r="A1734" t="s">
        <v>4881</v>
      </c>
      <c r="B1734">
        <v>1832</v>
      </c>
      <c r="C1734" t="s">
        <v>4881</v>
      </c>
      <c r="D1734">
        <v>54827</v>
      </c>
      <c r="E1734" t="s">
        <v>2405</v>
      </c>
      <c r="F1734" t="s">
        <v>2364</v>
      </c>
      <c r="G1734" t="s">
        <v>2364</v>
      </c>
      <c r="H1734" s="1373" t="s">
        <v>2365</v>
      </c>
      <c r="I1734" t="s">
        <v>2365</v>
      </c>
      <c r="J1734" t="s">
        <v>2365</v>
      </c>
      <c r="K1734" t="s">
        <v>2365</v>
      </c>
      <c r="L1734" s="1373">
        <v>1200</v>
      </c>
      <c r="M1734" t="s">
        <v>1480</v>
      </c>
      <c r="N1734">
        <v>1204</v>
      </c>
      <c r="O1734" t="s">
        <v>1487</v>
      </c>
      <c r="P1734" t="s">
        <v>2366</v>
      </c>
      <c r="Q1734" t="s">
        <v>2364</v>
      </c>
      <c r="R1734" t="s">
        <v>2364</v>
      </c>
      <c r="S1734" t="s">
        <v>553</v>
      </c>
      <c r="T1734" t="s">
        <v>2175</v>
      </c>
      <c r="U1734">
        <v>120</v>
      </c>
      <c r="V1734" t="s">
        <v>691</v>
      </c>
      <c r="W1734">
        <v>120</v>
      </c>
      <c r="X1734" t="s">
        <v>691</v>
      </c>
      <c r="Y1734" t="s">
        <v>2178</v>
      </c>
      <c r="Z1734" t="s">
        <v>4467</v>
      </c>
      <c r="AA1734" t="s">
        <v>2178</v>
      </c>
      <c r="AB1734" t="s">
        <v>4467</v>
      </c>
      <c r="AC1734" s="813" t="s">
        <v>2365</v>
      </c>
      <c r="AD1734" s="813" t="s">
        <v>2365</v>
      </c>
      <c r="AE1734" s="813" t="s">
        <v>2365</v>
      </c>
      <c r="AF1734" t="s">
        <v>2365</v>
      </c>
      <c r="AG1734" t="s">
        <v>2365</v>
      </c>
      <c r="AH1734" t="s">
        <v>2365</v>
      </c>
      <c r="AI1734" t="s">
        <v>2365</v>
      </c>
      <c r="AJ1734" t="s">
        <v>2365</v>
      </c>
      <c r="AK1734" t="s">
        <v>2365</v>
      </c>
      <c r="AL1734" t="s">
        <v>2365</v>
      </c>
      <c r="AM1734" t="s">
        <v>2365</v>
      </c>
      <c r="AN1734" t="s">
        <v>2365</v>
      </c>
      <c r="AQ1734" t="s">
        <v>553</v>
      </c>
      <c r="AR1734" t="s">
        <v>2365</v>
      </c>
      <c r="AS1734" t="s">
        <v>2365</v>
      </c>
      <c r="AT1734" t="s">
        <v>2365</v>
      </c>
      <c r="AU1734" t="s">
        <v>2365</v>
      </c>
      <c r="AV1734" t="s">
        <v>2365</v>
      </c>
      <c r="AW1734" t="s">
        <v>2365</v>
      </c>
      <c r="AX1734" t="s">
        <v>2365</v>
      </c>
      <c r="AY1734" t="s">
        <v>2365</v>
      </c>
      <c r="AZ1734" t="s">
        <v>2365</v>
      </c>
      <c r="BA1734" t="s">
        <v>2365</v>
      </c>
      <c r="BB1734" t="s">
        <v>2365</v>
      </c>
      <c r="BC1734" t="s">
        <v>2365</v>
      </c>
      <c r="BD1734" t="s">
        <v>2366</v>
      </c>
      <c r="BE1734" t="s">
        <v>2365</v>
      </c>
      <c r="BF1734" t="s">
        <v>2365</v>
      </c>
      <c r="BG1734" t="s">
        <v>2365</v>
      </c>
      <c r="BH1734" t="s">
        <v>2365</v>
      </c>
      <c r="BI1734" t="s">
        <v>2366</v>
      </c>
      <c r="BJ1734" t="s">
        <v>2365</v>
      </c>
      <c r="BK1734" t="s">
        <v>2365</v>
      </c>
      <c r="BL1734" t="s">
        <v>2365</v>
      </c>
      <c r="BM1734" t="s">
        <v>2365</v>
      </c>
      <c r="BO1734">
        <v>1</v>
      </c>
      <c r="BP1734">
        <v>11</v>
      </c>
      <c r="BQ1734" t="s">
        <v>2369</v>
      </c>
      <c r="BR1734" t="s">
        <v>1487</v>
      </c>
      <c r="BU1734" s="1371">
        <v>0</v>
      </c>
      <c r="BV1734" s="1371">
        <v>0</v>
      </c>
      <c r="BW1734" s="1371">
        <v>0</v>
      </c>
      <c r="BX1734" s="1371">
        <v>0</v>
      </c>
      <c r="BY1734" s="1371">
        <v>0</v>
      </c>
      <c r="BZ1734">
        <v>0</v>
      </c>
      <c r="CA1734">
        <v>0</v>
      </c>
      <c r="CB1734">
        <v>0</v>
      </c>
      <c r="CC1734">
        <v>0</v>
      </c>
      <c r="CD1734">
        <v>0</v>
      </c>
      <c r="CE1734">
        <v>0</v>
      </c>
      <c r="CF1734">
        <v>0</v>
      </c>
      <c r="CG1734">
        <v>0</v>
      </c>
      <c r="CH1734">
        <v>0</v>
      </c>
      <c r="CI1734">
        <v>0</v>
      </c>
      <c r="CJ1734">
        <v>0</v>
      </c>
      <c r="CK1734">
        <v>0</v>
      </c>
      <c r="CL1734">
        <v>0</v>
      </c>
      <c r="CM1734">
        <v>0</v>
      </c>
      <c r="CR1734" t="s">
        <v>2325</v>
      </c>
      <c r="CS1734" s="1369" t="str">
        <f>INDEX([8]Sheet1!$H:$H,MATCH(CR:CR,[8]Sheet1!$AU:$AU,0))</f>
        <v>Asset Management</v>
      </c>
    </row>
    <row r="1735" spans="1:97" x14ac:dyDescent="0.2">
      <c r="A1735" t="s">
        <v>4882</v>
      </c>
      <c r="B1735">
        <v>1833</v>
      </c>
      <c r="C1735" t="s">
        <v>4882</v>
      </c>
      <c r="D1735">
        <v>54828</v>
      </c>
      <c r="E1735" t="s">
        <v>4883</v>
      </c>
      <c r="F1735" t="s">
        <v>2364</v>
      </c>
      <c r="G1735" t="s">
        <v>2364</v>
      </c>
      <c r="H1735" t="s">
        <v>2365</v>
      </c>
      <c r="I1735" t="s">
        <v>2365</v>
      </c>
      <c r="J1735" t="s">
        <v>2365</v>
      </c>
      <c r="K1735" t="s">
        <v>2365</v>
      </c>
      <c r="L1735">
        <v>1200</v>
      </c>
      <c r="M1735" t="s">
        <v>1480</v>
      </c>
      <c r="N1735">
        <v>1204</v>
      </c>
      <c r="O1735" t="s">
        <v>1487</v>
      </c>
      <c r="P1735" t="s">
        <v>1846</v>
      </c>
      <c r="Q1735">
        <v>2080</v>
      </c>
      <c r="R1735" t="s">
        <v>579</v>
      </c>
      <c r="S1735" t="s">
        <v>552</v>
      </c>
      <c r="T1735" t="s">
        <v>2175</v>
      </c>
      <c r="U1735">
        <v>270</v>
      </c>
      <c r="V1735" t="s">
        <v>2372</v>
      </c>
      <c r="W1735">
        <v>270</v>
      </c>
      <c r="X1735" t="s">
        <v>704</v>
      </c>
      <c r="Y1735" t="s">
        <v>2365</v>
      </c>
      <c r="Z1735" t="s">
        <v>2365</v>
      </c>
      <c r="AA1735" t="s">
        <v>2365</v>
      </c>
      <c r="AB1735" t="s">
        <v>2365</v>
      </c>
      <c r="AC1735" s="813" t="s">
        <v>2365</v>
      </c>
      <c r="AD1735" s="813" t="s">
        <v>2365</v>
      </c>
      <c r="AE1735" s="813" t="s">
        <v>2365</v>
      </c>
      <c r="AF1735" t="s">
        <v>2365</v>
      </c>
      <c r="AG1735">
        <v>1370</v>
      </c>
      <c r="AH1735" t="s">
        <v>1665</v>
      </c>
      <c r="AI1735">
        <v>1370</v>
      </c>
      <c r="AJ1735" t="s">
        <v>1665</v>
      </c>
      <c r="AK1735" t="s">
        <v>2365</v>
      </c>
      <c r="AL1735" t="s">
        <v>2365</v>
      </c>
      <c r="AM1735" t="s">
        <v>2365</v>
      </c>
      <c r="AN1735" t="s">
        <v>2365</v>
      </c>
      <c r="AR1735">
        <v>1430</v>
      </c>
      <c r="AS1735" t="s">
        <v>1671</v>
      </c>
      <c r="AT1735">
        <v>1430</v>
      </c>
      <c r="AU1735" t="s">
        <v>1671</v>
      </c>
      <c r="AV1735" t="s">
        <v>2365</v>
      </c>
      <c r="AW1735" t="s">
        <v>2365</v>
      </c>
      <c r="AX1735" t="s">
        <v>2365</v>
      </c>
      <c r="AY1735" t="s">
        <v>2365</v>
      </c>
      <c r="AZ1735" t="s">
        <v>2365</v>
      </c>
      <c r="BA1735" t="s">
        <v>2365</v>
      </c>
      <c r="BB1735" t="s">
        <v>2365</v>
      </c>
      <c r="BC1735" t="s">
        <v>2365</v>
      </c>
      <c r="BD1735" t="s">
        <v>2366</v>
      </c>
      <c r="BE1735" t="s">
        <v>2365</v>
      </c>
      <c r="BF1735" t="s">
        <v>2365</v>
      </c>
      <c r="BG1735" t="s">
        <v>2365</v>
      </c>
      <c r="BH1735" t="s">
        <v>2365</v>
      </c>
      <c r="BI1735" t="s">
        <v>2366</v>
      </c>
      <c r="BJ1735" t="s">
        <v>2365</v>
      </c>
      <c r="BK1735" t="s">
        <v>2365</v>
      </c>
      <c r="BL1735" t="s">
        <v>2365</v>
      </c>
      <c r="BM1735" t="s">
        <v>2365</v>
      </c>
      <c r="BO1735">
        <v>1</v>
      </c>
      <c r="BP1735">
        <v>11</v>
      </c>
      <c r="BQ1735" t="s">
        <v>2369</v>
      </c>
      <c r="BR1735" t="s">
        <v>1487</v>
      </c>
      <c r="BU1735">
        <v>0</v>
      </c>
      <c r="BV1735">
        <v>0</v>
      </c>
      <c r="BW1735">
        <v>0</v>
      </c>
      <c r="BX1735">
        <v>0</v>
      </c>
      <c r="BY1735">
        <v>0</v>
      </c>
      <c r="BZ1735">
        <v>0</v>
      </c>
      <c r="CA1735">
        <v>0</v>
      </c>
      <c r="CB1735">
        <v>0</v>
      </c>
      <c r="CC1735">
        <v>0</v>
      </c>
      <c r="CD1735">
        <v>0</v>
      </c>
      <c r="CE1735">
        <v>0</v>
      </c>
      <c r="CF1735">
        <v>0</v>
      </c>
      <c r="CG1735">
        <v>0</v>
      </c>
      <c r="CH1735">
        <v>0</v>
      </c>
      <c r="CI1735">
        <v>0</v>
      </c>
      <c r="CJ1735">
        <v>0</v>
      </c>
      <c r="CK1735">
        <v>0</v>
      </c>
      <c r="CL1735">
        <v>0</v>
      </c>
      <c r="CM1735">
        <v>0</v>
      </c>
      <c r="CR1735" t="s">
        <v>2325</v>
      </c>
      <c r="CS1735" s="1369" t="str">
        <f>INDEX([8]Sheet1!$H:$H,MATCH(CR:CR,[8]Sheet1!$AU:$AU,0))</f>
        <v>Asset Management</v>
      </c>
    </row>
    <row r="1736" spans="1:97" x14ac:dyDescent="0.2">
      <c r="A1736" t="s">
        <v>4884</v>
      </c>
      <c r="B1736">
        <v>1834</v>
      </c>
      <c r="C1736" t="s">
        <v>4884</v>
      </c>
      <c r="D1736">
        <v>54829</v>
      </c>
      <c r="E1736" t="s">
        <v>2437</v>
      </c>
      <c r="F1736" t="s">
        <v>2364</v>
      </c>
      <c r="G1736" t="s">
        <v>2364</v>
      </c>
      <c r="H1736" s="1373" t="s">
        <v>2365</v>
      </c>
      <c r="I1736" t="s">
        <v>2365</v>
      </c>
      <c r="J1736" t="s">
        <v>2365</v>
      </c>
      <c r="K1736" t="s">
        <v>2365</v>
      </c>
      <c r="L1736" s="1373">
        <v>3200</v>
      </c>
      <c r="M1736" t="s">
        <v>625</v>
      </c>
      <c r="N1736">
        <v>3205</v>
      </c>
      <c r="O1736" t="s">
        <v>1002</v>
      </c>
      <c r="P1736" t="s">
        <v>1846</v>
      </c>
      <c r="Q1736">
        <v>2080</v>
      </c>
      <c r="R1736" t="s">
        <v>579</v>
      </c>
      <c r="S1736" t="s">
        <v>552</v>
      </c>
      <c r="T1736" t="s">
        <v>2175</v>
      </c>
      <c r="U1736">
        <v>240</v>
      </c>
      <c r="V1736" t="s">
        <v>2389</v>
      </c>
      <c r="W1736">
        <v>240</v>
      </c>
      <c r="X1736" t="s">
        <v>701</v>
      </c>
      <c r="Y1736" t="s">
        <v>2365</v>
      </c>
      <c r="Z1736" t="s">
        <v>2365</v>
      </c>
      <c r="AA1736" t="s">
        <v>2365</v>
      </c>
      <c r="AB1736" t="s">
        <v>2365</v>
      </c>
      <c r="AC1736" s="813" t="s">
        <v>2365</v>
      </c>
      <c r="AD1736" s="813" t="s">
        <v>2365</v>
      </c>
      <c r="AE1736" s="813" t="s">
        <v>2365</v>
      </c>
      <c r="AF1736" t="s">
        <v>2365</v>
      </c>
      <c r="AG1736" t="s">
        <v>2365</v>
      </c>
      <c r="AH1736" t="s">
        <v>2365</v>
      </c>
      <c r="AI1736" t="s">
        <v>2365</v>
      </c>
      <c r="AJ1736" t="s">
        <v>2365</v>
      </c>
      <c r="AK1736">
        <v>241</v>
      </c>
      <c r="AL1736" t="s">
        <v>1203</v>
      </c>
      <c r="AM1736">
        <v>241</v>
      </c>
      <c r="AN1736" t="s">
        <v>1203</v>
      </c>
      <c r="AR1736">
        <v>120</v>
      </c>
      <c r="AS1736" t="s">
        <v>1002</v>
      </c>
      <c r="AT1736">
        <v>120</v>
      </c>
      <c r="AU1736" t="s">
        <v>1002</v>
      </c>
      <c r="AV1736" t="s">
        <v>2365</v>
      </c>
      <c r="AW1736" t="s">
        <v>2365</v>
      </c>
      <c r="AX1736" t="s">
        <v>2365</v>
      </c>
      <c r="AY1736" t="s">
        <v>2365</v>
      </c>
      <c r="AZ1736" t="s">
        <v>2365</v>
      </c>
      <c r="BA1736" t="s">
        <v>2365</v>
      </c>
      <c r="BB1736" t="s">
        <v>2365</v>
      </c>
      <c r="BC1736" t="s">
        <v>2365</v>
      </c>
      <c r="BD1736" t="s">
        <v>2366</v>
      </c>
      <c r="BE1736" t="s">
        <v>2365</v>
      </c>
      <c r="BF1736" t="s">
        <v>2365</v>
      </c>
      <c r="BG1736" t="s">
        <v>2365</v>
      </c>
      <c r="BH1736" t="s">
        <v>2365</v>
      </c>
      <c r="BI1736" t="s">
        <v>2366</v>
      </c>
      <c r="BJ1736" t="s">
        <v>2365</v>
      </c>
      <c r="BK1736" t="s">
        <v>2365</v>
      </c>
      <c r="BL1736" t="s">
        <v>2365</v>
      </c>
      <c r="BM1736" t="s">
        <v>2365</v>
      </c>
      <c r="BO1736">
        <v>7</v>
      </c>
      <c r="BP1736">
        <v>71</v>
      </c>
      <c r="BQ1736" t="s">
        <v>2665</v>
      </c>
      <c r="BR1736" t="s">
        <v>1002</v>
      </c>
      <c r="BU1736" s="1371">
        <v>0</v>
      </c>
      <c r="BV1736" s="1371">
        <v>0</v>
      </c>
      <c r="BW1736" s="1371">
        <v>0</v>
      </c>
      <c r="BX1736" s="1371">
        <v>0</v>
      </c>
      <c r="BY1736" s="1371">
        <v>0</v>
      </c>
      <c r="BZ1736">
        <v>0</v>
      </c>
      <c r="CA1736">
        <v>0</v>
      </c>
      <c r="CB1736">
        <v>0</v>
      </c>
      <c r="CC1736">
        <v>0</v>
      </c>
      <c r="CD1736">
        <v>0</v>
      </c>
      <c r="CE1736">
        <v>0</v>
      </c>
      <c r="CF1736">
        <v>0</v>
      </c>
      <c r="CG1736">
        <v>0</v>
      </c>
      <c r="CH1736">
        <v>0</v>
      </c>
      <c r="CI1736">
        <v>0</v>
      </c>
      <c r="CJ1736">
        <v>0</v>
      </c>
      <c r="CK1736">
        <v>0</v>
      </c>
      <c r="CL1736">
        <v>0</v>
      </c>
      <c r="CM1736">
        <v>0</v>
      </c>
      <c r="CR1736" t="s">
        <v>2325</v>
      </c>
      <c r="CS1736" s="1369" t="str">
        <f>INDEX([8]Sheet1!$H:$H,MATCH(CR:CR,[8]Sheet1!$AU:$AU,0))</f>
        <v>Asset Management</v>
      </c>
    </row>
    <row r="1737" spans="1:97" x14ac:dyDescent="0.2">
      <c r="A1737" t="s">
        <v>4885</v>
      </c>
      <c r="B1737">
        <v>1835</v>
      </c>
      <c r="C1737" t="s">
        <v>4885</v>
      </c>
      <c r="D1737">
        <v>54830</v>
      </c>
      <c r="E1737" t="s">
        <v>2830</v>
      </c>
      <c r="F1737">
        <v>2000</v>
      </c>
      <c r="G1737" t="s">
        <v>652</v>
      </c>
      <c r="H1737" s="1373" t="s">
        <v>2831</v>
      </c>
      <c r="I1737" t="s">
        <v>1158</v>
      </c>
      <c r="J1737">
        <v>2011</v>
      </c>
      <c r="K1737" t="s">
        <v>1158</v>
      </c>
      <c r="L1737" s="1373">
        <v>1200</v>
      </c>
      <c r="M1737" t="s">
        <v>1480</v>
      </c>
      <c r="N1737">
        <v>1204</v>
      </c>
      <c r="O1737" t="s">
        <v>1487</v>
      </c>
      <c r="P1737" t="s">
        <v>2366</v>
      </c>
      <c r="Q1737" t="s">
        <v>2364</v>
      </c>
      <c r="R1737" t="s">
        <v>2364</v>
      </c>
      <c r="S1737" t="s">
        <v>1881</v>
      </c>
      <c r="T1737" t="s">
        <v>1812</v>
      </c>
      <c r="U1737" t="s">
        <v>2365</v>
      </c>
      <c r="V1737" t="s">
        <v>2365</v>
      </c>
      <c r="W1737" t="s">
        <v>2365</v>
      </c>
      <c r="X1737" t="s">
        <v>2365</v>
      </c>
      <c r="Y1737" t="s">
        <v>2365</v>
      </c>
      <c r="Z1737" t="s">
        <v>2365</v>
      </c>
      <c r="AA1737" t="s">
        <v>2365</v>
      </c>
      <c r="AB1737" t="s">
        <v>2365</v>
      </c>
      <c r="AC1737" s="813" t="s">
        <v>2365</v>
      </c>
      <c r="AD1737" s="813" t="s">
        <v>2365</v>
      </c>
      <c r="AE1737" s="813" t="s">
        <v>2365</v>
      </c>
      <c r="AF1737" t="s">
        <v>2365</v>
      </c>
      <c r="AG1737" t="s">
        <v>2365</v>
      </c>
      <c r="AH1737" t="s">
        <v>2365</v>
      </c>
      <c r="AI1737" t="s">
        <v>2365</v>
      </c>
      <c r="AJ1737" t="s">
        <v>2365</v>
      </c>
      <c r="AK1737" t="s">
        <v>2365</v>
      </c>
      <c r="AL1737" t="s">
        <v>2365</v>
      </c>
      <c r="AM1737" t="s">
        <v>2365</v>
      </c>
      <c r="AN1737" t="s">
        <v>2365</v>
      </c>
      <c r="AR1737" t="s">
        <v>2365</v>
      </c>
      <c r="AS1737" t="s">
        <v>2365</v>
      </c>
      <c r="AT1737" t="s">
        <v>2365</v>
      </c>
      <c r="AU1737" t="s">
        <v>2365</v>
      </c>
      <c r="AV1737" t="s">
        <v>2365</v>
      </c>
      <c r="AW1737" t="s">
        <v>2365</v>
      </c>
      <c r="AX1737" t="s">
        <v>2365</v>
      </c>
      <c r="AY1737" t="s">
        <v>2365</v>
      </c>
      <c r="AZ1737" t="s">
        <v>2365</v>
      </c>
      <c r="BA1737" t="s">
        <v>2365</v>
      </c>
      <c r="BB1737" t="s">
        <v>2365</v>
      </c>
      <c r="BC1737" t="s">
        <v>2365</v>
      </c>
      <c r="BD1737" t="s">
        <v>2366</v>
      </c>
      <c r="BE1737" t="s">
        <v>2365</v>
      </c>
      <c r="BF1737" t="s">
        <v>2365</v>
      </c>
      <c r="BG1737" t="s">
        <v>2365</v>
      </c>
      <c r="BH1737" t="s">
        <v>2365</v>
      </c>
      <c r="BI1737" t="s">
        <v>2366</v>
      </c>
      <c r="BJ1737" t="s">
        <v>2365</v>
      </c>
      <c r="BK1737" t="s">
        <v>2365</v>
      </c>
      <c r="BL1737" t="s">
        <v>2365</v>
      </c>
      <c r="BM1737" t="s">
        <v>2365</v>
      </c>
      <c r="BN1737" t="s">
        <v>2177</v>
      </c>
      <c r="BO1737">
        <v>1</v>
      </c>
      <c r="BP1737">
        <v>11</v>
      </c>
      <c r="BQ1737" t="s">
        <v>2369</v>
      </c>
      <c r="BR1737" t="s">
        <v>1487</v>
      </c>
      <c r="BU1737" s="1371">
        <v>0</v>
      </c>
      <c r="BV1737" s="1371">
        <v>0</v>
      </c>
      <c r="BW1737" s="1371">
        <v>0</v>
      </c>
      <c r="BX1737" s="1371">
        <v>350000</v>
      </c>
      <c r="BY1737" s="1371">
        <v>350000</v>
      </c>
      <c r="BZ1737">
        <v>0</v>
      </c>
      <c r="CA1737">
        <v>0</v>
      </c>
      <c r="CB1737">
        <v>0</v>
      </c>
      <c r="CC1737">
        <v>0</v>
      </c>
      <c r="CD1737">
        <v>0</v>
      </c>
      <c r="CE1737">
        <v>0</v>
      </c>
      <c r="CF1737">
        <v>0</v>
      </c>
      <c r="CG1737">
        <v>281978</v>
      </c>
      <c r="CH1737">
        <v>0</v>
      </c>
      <c r="CI1737">
        <v>0</v>
      </c>
      <c r="CJ1737">
        <v>0</v>
      </c>
      <c r="CK1737">
        <v>0</v>
      </c>
      <c r="CL1737">
        <v>0</v>
      </c>
      <c r="CM1737">
        <v>0</v>
      </c>
      <c r="CR1737" t="s">
        <v>2325</v>
      </c>
      <c r="CS1737" s="1369" t="str">
        <f>INDEX([8]Sheet1!$H:$H,MATCH(CR:CR,[8]Sheet1!$AU:$AU,0))</f>
        <v>Asset Management</v>
      </c>
    </row>
    <row r="1738" spans="1:97" x14ac:dyDescent="0.2">
      <c r="A1738" t="s">
        <v>4886</v>
      </c>
      <c r="B1738">
        <v>1836</v>
      </c>
      <c r="C1738" t="s">
        <v>4886</v>
      </c>
      <c r="D1738">
        <v>54831</v>
      </c>
      <c r="E1738" t="s">
        <v>4702</v>
      </c>
      <c r="F1738">
        <v>2000</v>
      </c>
      <c r="G1738" t="s">
        <v>652</v>
      </c>
      <c r="H1738" s="1373" t="s">
        <v>2559</v>
      </c>
      <c r="I1738" t="s">
        <v>1376</v>
      </c>
      <c r="J1738">
        <v>2006</v>
      </c>
      <c r="K1738" t="s">
        <v>1376</v>
      </c>
      <c r="L1738" s="1373">
        <v>3200</v>
      </c>
      <c r="M1738" t="s">
        <v>625</v>
      </c>
      <c r="N1738">
        <v>3205</v>
      </c>
      <c r="O1738" t="s">
        <v>1002</v>
      </c>
      <c r="P1738" t="s">
        <v>2366</v>
      </c>
      <c r="Q1738" t="s">
        <v>2364</v>
      </c>
      <c r="R1738" t="s">
        <v>2364</v>
      </c>
      <c r="S1738" t="s">
        <v>1881</v>
      </c>
      <c r="T1738" t="s">
        <v>1812</v>
      </c>
      <c r="U1738" t="s">
        <v>2365</v>
      </c>
      <c r="V1738" t="s">
        <v>2365</v>
      </c>
      <c r="W1738" t="s">
        <v>2365</v>
      </c>
      <c r="X1738" t="s">
        <v>2365</v>
      </c>
      <c r="Y1738" t="s">
        <v>2365</v>
      </c>
      <c r="Z1738" t="s">
        <v>2365</v>
      </c>
      <c r="AA1738" t="s">
        <v>2365</v>
      </c>
      <c r="AB1738" t="s">
        <v>2365</v>
      </c>
      <c r="AC1738" s="813" t="s">
        <v>2365</v>
      </c>
      <c r="AD1738" s="813" t="s">
        <v>2365</v>
      </c>
      <c r="AE1738" s="813" t="s">
        <v>2365</v>
      </c>
      <c r="AF1738" t="s">
        <v>2365</v>
      </c>
      <c r="AG1738" t="s">
        <v>2365</v>
      </c>
      <c r="AH1738" t="s">
        <v>2365</v>
      </c>
      <c r="AI1738" t="s">
        <v>2365</v>
      </c>
      <c r="AJ1738" t="s">
        <v>2365</v>
      </c>
      <c r="AK1738" t="s">
        <v>2365</v>
      </c>
      <c r="AL1738" t="s">
        <v>2365</v>
      </c>
      <c r="AM1738" t="s">
        <v>2365</v>
      </c>
      <c r="AN1738" t="s">
        <v>2365</v>
      </c>
      <c r="AR1738" t="s">
        <v>2365</v>
      </c>
      <c r="AS1738" t="s">
        <v>2365</v>
      </c>
      <c r="AT1738" t="s">
        <v>2365</v>
      </c>
      <c r="AU1738" t="s">
        <v>2365</v>
      </c>
      <c r="AV1738" t="s">
        <v>2365</v>
      </c>
      <c r="AW1738" t="s">
        <v>2365</v>
      </c>
      <c r="AX1738" t="s">
        <v>2365</v>
      </c>
      <c r="AY1738" t="s">
        <v>2365</v>
      </c>
      <c r="AZ1738" t="s">
        <v>2365</v>
      </c>
      <c r="BA1738" t="s">
        <v>2365</v>
      </c>
      <c r="BB1738" t="s">
        <v>2365</v>
      </c>
      <c r="BC1738" t="s">
        <v>2365</v>
      </c>
      <c r="BD1738" t="s">
        <v>2366</v>
      </c>
      <c r="BE1738" t="s">
        <v>2365</v>
      </c>
      <c r="BF1738" t="s">
        <v>2365</v>
      </c>
      <c r="BG1738" t="s">
        <v>2365</v>
      </c>
      <c r="BH1738" t="s">
        <v>2365</v>
      </c>
      <c r="BI1738" t="s">
        <v>2366</v>
      </c>
      <c r="BJ1738" t="s">
        <v>2365</v>
      </c>
      <c r="BK1738" t="s">
        <v>2365</v>
      </c>
      <c r="BL1738" t="s">
        <v>2365</v>
      </c>
      <c r="BM1738" t="s">
        <v>2365</v>
      </c>
      <c r="BN1738" t="s">
        <v>2176</v>
      </c>
      <c r="BO1738">
        <v>7</v>
      </c>
      <c r="BP1738">
        <v>71</v>
      </c>
      <c r="BQ1738" t="s">
        <v>2665</v>
      </c>
      <c r="BR1738" t="s">
        <v>1002</v>
      </c>
      <c r="BU1738" s="1371">
        <v>0</v>
      </c>
      <c r="BV1738" s="1371">
        <v>0</v>
      </c>
      <c r="BW1738" s="1371">
        <v>0</v>
      </c>
      <c r="BX1738" s="1371">
        <v>0</v>
      </c>
      <c r="BY1738" s="1371">
        <v>0</v>
      </c>
      <c r="BZ1738">
        <v>0</v>
      </c>
      <c r="CA1738">
        <v>0</v>
      </c>
      <c r="CB1738">
        <v>0</v>
      </c>
      <c r="CC1738">
        <v>0</v>
      </c>
      <c r="CD1738">
        <v>0</v>
      </c>
      <c r="CE1738">
        <v>0</v>
      </c>
      <c r="CF1738">
        <v>0</v>
      </c>
      <c r="CG1738">
        <v>0</v>
      </c>
      <c r="CH1738">
        <v>0</v>
      </c>
      <c r="CI1738">
        <v>0</v>
      </c>
      <c r="CJ1738">
        <v>0</v>
      </c>
      <c r="CK1738">
        <v>0</v>
      </c>
      <c r="CL1738">
        <v>0</v>
      </c>
      <c r="CM1738">
        <v>0</v>
      </c>
      <c r="CR1738" t="s">
        <v>2325</v>
      </c>
      <c r="CS1738" s="1369" t="str">
        <f>INDEX([8]Sheet1!$H:$H,MATCH(CR:CR,[8]Sheet1!$AU:$AU,0))</f>
        <v>Asset Management</v>
      </c>
    </row>
    <row r="1739" spans="1:97" x14ac:dyDescent="0.2">
      <c r="A1739" t="s">
        <v>4887</v>
      </c>
      <c r="B1739">
        <v>1837</v>
      </c>
      <c r="C1739" t="s">
        <v>4887</v>
      </c>
      <c r="D1739">
        <v>54832</v>
      </c>
      <c r="E1739" t="s">
        <v>2830</v>
      </c>
      <c r="F1739">
        <v>2000</v>
      </c>
      <c r="G1739" t="s">
        <v>652</v>
      </c>
      <c r="H1739" s="1373" t="s">
        <v>2831</v>
      </c>
      <c r="I1739" t="s">
        <v>1158</v>
      </c>
      <c r="J1739">
        <v>2011</v>
      </c>
      <c r="K1739" t="s">
        <v>1158</v>
      </c>
      <c r="L1739" s="1373">
        <v>1100</v>
      </c>
      <c r="M1739" t="s">
        <v>616</v>
      </c>
      <c r="N1739">
        <v>1110</v>
      </c>
      <c r="O1739" t="s">
        <v>995</v>
      </c>
      <c r="P1739" t="s">
        <v>2366</v>
      </c>
      <c r="Q1739" t="s">
        <v>2364</v>
      </c>
      <c r="R1739" t="s">
        <v>2364</v>
      </c>
      <c r="S1739" t="s">
        <v>1881</v>
      </c>
      <c r="T1739" t="s">
        <v>1812</v>
      </c>
      <c r="U1739" t="s">
        <v>2365</v>
      </c>
      <c r="V1739" t="s">
        <v>2365</v>
      </c>
      <c r="W1739" t="s">
        <v>2365</v>
      </c>
      <c r="X1739" t="s">
        <v>2365</v>
      </c>
      <c r="Y1739" t="s">
        <v>2365</v>
      </c>
      <c r="Z1739" t="s">
        <v>2365</v>
      </c>
      <c r="AA1739" t="s">
        <v>2365</v>
      </c>
      <c r="AB1739" t="s">
        <v>2365</v>
      </c>
      <c r="AC1739" s="813" t="s">
        <v>2365</v>
      </c>
      <c r="AD1739" s="813" t="s">
        <v>2365</v>
      </c>
      <c r="AE1739" s="813" t="s">
        <v>2365</v>
      </c>
      <c r="AF1739" t="s">
        <v>2365</v>
      </c>
      <c r="AG1739" t="s">
        <v>2365</v>
      </c>
      <c r="AH1739" t="s">
        <v>2365</v>
      </c>
      <c r="AI1739" t="s">
        <v>2365</v>
      </c>
      <c r="AJ1739" t="s">
        <v>2365</v>
      </c>
      <c r="AK1739" t="s">
        <v>2365</v>
      </c>
      <c r="AL1739" t="s">
        <v>2365</v>
      </c>
      <c r="AM1739" t="s">
        <v>2365</v>
      </c>
      <c r="AN1739" t="s">
        <v>2365</v>
      </c>
      <c r="AR1739" t="s">
        <v>2365</v>
      </c>
      <c r="AS1739" t="s">
        <v>2365</v>
      </c>
      <c r="AT1739" t="s">
        <v>2365</v>
      </c>
      <c r="AU1739" t="s">
        <v>2365</v>
      </c>
      <c r="AV1739" t="s">
        <v>2365</v>
      </c>
      <c r="AW1739" t="s">
        <v>2365</v>
      </c>
      <c r="AX1739" t="s">
        <v>2365</v>
      </c>
      <c r="AY1739" t="s">
        <v>2365</v>
      </c>
      <c r="AZ1739" t="s">
        <v>2365</v>
      </c>
      <c r="BA1739" t="s">
        <v>2365</v>
      </c>
      <c r="BB1739" t="s">
        <v>2365</v>
      </c>
      <c r="BC1739" t="s">
        <v>2365</v>
      </c>
      <c r="BD1739" t="s">
        <v>2366</v>
      </c>
      <c r="BE1739" t="s">
        <v>2365</v>
      </c>
      <c r="BF1739" t="s">
        <v>2365</v>
      </c>
      <c r="BG1739" t="s">
        <v>2365</v>
      </c>
      <c r="BH1739" t="s">
        <v>2365</v>
      </c>
      <c r="BI1739" t="s">
        <v>2366</v>
      </c>
      <c r="BJ1739" t="s">
        <v>2365</v>
      </c>
      <c r="BK1739" t="s">
        <v>2365</v>
      </c>
      <c r="BL1739" t="s">
        <v>2365</v>
      </c>
      <c r="BM1739" t="s">
        <v>2365</v>
      </c>
      <c r="BN1739" t="s">
        <v>2177</v>
      </c>
      <c r="BO1739">
        <v>3</v>
      </c>
      <c r="BP1739">
        <v>32</v>
      </c>
      <c r="BQ1739" t="s">
        <v>2716</v>
      </c>
      <c r="BR1739" t="s">
        <v>995</v>
      </c>
      <c r="BU1739" s="1371">
        <v>0</v>
      </c>
      <c r="BV1739" s="1371">
        <v>0</v>
      </c>
      <c r="BW1739" s="1371">
        <v>0</v>
      </c>
      <c r="BX1739" s="1371">
        <v>0</v>
      </c>
      <c r="BY1739" s="1371">
        <v>0</v>
      </c>
      <c r="BZ1739">
        <v>0</v>
      </c>
      <c r="CA1739">
        <v>0</v>
      </c>
      <c r="CB1739">
        <v>0</v>
      </c>
      <c r="CC1739">
        <v>0</v>
      </c>
      <c r="CD1739">
        <v>0</v>
      </c>
      <c r="CE1739">
        <v>0</v>
      </c>
      <c r="CF1739">
        <v>0</v>
      </c>
      <c r="CG1739">
        <v>69981.77</v>
      </c>
      <c r="CH1739">
        <v>0</v>
      </c>
      <c r="CI1739">
        <v>0</v>
      </c>
      <c r="CJ1739">
        <v>0</v>
      </c>
      <c r="CK1739">
        <v>0</v>
      </c>
      <c r="CL1739">
        <v>0</v>
      </c>
      <c r="CM1739">
        <v>0</v>
      </c>
      <c r="CR1739" t="s">
        <v>2325</v>
      </c>
      <c r="CS1739" s="1369" t="str">
        <f>INDEX([8]Sheet1!$H:$H,MATCH(CR:CR,[8]Sheet1!$AU:$AU,0))</f>
        <v>Asset Management</v>
      </c>
    </row>
    <row r="1740" spans="1:97" x14ac:dyDescent="0.2">
      <c r="A1740" t="s">
        <v>4888</v>
      </c>
      <c r="B1740">
        <v>1838</v>
      </c>
      <c r="C1740" t="s">
        <v>4888</v>
      </c>
      <c r="D1740">
        <v>54833</v>
      </c>
      <c r="E1740" t="s">
        <v>2499</v>
      </c>
      <c r="F1740">
        <v>2900</v>
      </c>
      <c r="G1740" t="s">
        <v>569</v>
      </c>
      <c r="H1740" s="1373" t="s">
        <v>2366</v>
      </c>
      <c r="I1740" t="s">
        <v>2366</v>
      </c>
      <c r="J1740">
        <v>2904</v>
      </c>
      <c r="K1740" t="s">
        <v>1432</v>
      </c>
      <c r="L1740" s="1373">
        <v>3200</v>
      </c>
      <c r="M1740" t="s">
        <v>625</v>
      </c>
      <c r="N1740">
        <v>3205</v>
      </c>
      <c r="O1740" t="s">
        <v>1002</v>
      </c>
      <c r="P1740" t="s">
        <v>2366</v>
      </c>
      <c r="Q1740" t="s">
        <v>2364</v>
      </c>
      <c r="R1740" t="s">
        <v>2364</v>
      </c>
      <c r="S1740" t="s">
        <v>1881</v>
      </c>
      <c r="T1740" t="s">
        <v>1812</v>
      </c>
      <c r="U1740" t="s">
        <v>2365</v>
      </c>
      <c r="V1740" t="s">
        <v>2365</v>
      </c>
      <c r="W1740" t="s">
        <v>2365</v>
      </c>
      <c r="X1740" t="s">
        <v>2365</v>
      </c>
      <c r="Y1740" t="s">
        <v>2365</v>
      </c>
      <c r="Z1740" t="s">
        <v>2365</v>
      </c>
      <c r="AA1740" t="s">
        <v>2365</v>
      </c>
      <c r="AB1740" t="s">
        <v>2365</v>
      </c>
      <c r="AC1740" s="813" t="s">
        <v>2365</v>
      </c>
      <c r="AD1740" s="813" t="s">
        <v>2365</v>
      </c>
      <c r="AE1740" s="813" t="s">
        <v>2365</v>
      </c>
      <c r="AF1740" t="s">
        <v>2365</v>
      </c>
      <c r="AG1740" t="s">
        <v>2365</v>
      </c>
      <c r="AH1740" t="s">
        <v>2365</v>
      </c>
      <c r="AI1740" t="s">
        <v>2365</v>
      </c>
      <c r="AJ1740" t="s">
        <v>2365</v>
      </c>
      <c r="AK1740" t="s">
        <v>2365</v>
      </c>
      <c r="AL1740" t="s">
        <v>2365</v>
      </c>
      <c r="AM1740" t="s">
        <v>2365</v>
      </c>
      <c r="AN1740" t="s">
        <v>2365</v>
      </c>
      <c r="AR1740" t="s">
        <v>2365</v>
      </c>
      <c r="AS1740" t="s">
        <v>2365</v>
      </c>
      <c r="AT1740" t="s">
        <v>2365</v>
      </c>
      <c r="AU1740" t="s">
        <v>2365</v>
      </c>
      <c r="AV1740" t="s">
        <v>2365</v>
      </c>
      <c r="AW1740" t="s">
        <v>2365</v>
      </c>
      <c r="AX1740" t="s">
        <v>2365</v>
      </c>
      <c r="AY1740" t="s">
        <v>2365</v>
      </c>
      <c r="AZ1740">
        <v>120</v>
      </c>
      <c r="BA1740" t="s">
        <v>1002</v>
      </c>
      <c r="BB1740">
        <v>120</v>
      </c>
      <c r="BC1740" t="s">
        <v>1002</v>
      </c>
      <c r="BD1740" t="s">
        <v>2366</v>
      </c>
      <c r="BE1740" t="s">
        <v>2365</v>
      </c>
      <c r="BF1740" t="s">
        <v>2365</v>
      </c>
      <c r="BG1740" t="s">
        <v>2365</v>
      </c>
      <c r="BH1740" t="s">
        <v>2365</v>
      </c>
      <c r="BI1740" t="s">
        <v>2366</v>
      </c>
      <c r="BJ1740" t="s">
        <v>2365</v>
      </c>
      <c r="BK1740" t="s">
        <v>2365</v>
      </c>
      <c r="BL1740" t="s">
        <v>2365</v>
      </c>
      <c r="BM1740" t="s">
        <v>2365</v>
      </c>
      <c r="BO1740">
        <v>7</v>
      </c>
      <c r="BP1740">
        <v>71</v>
      </c>
      <c r="BQ1740" t="s">
        <v>2665</v>
      </c>
      <c r="BR1740" t="s">
        <v>1002</v>
      </c>
      <c r="BU1740" s="1371">
        <v>0</v>
      </c>
      <c r="BV1740" s="1371">
        <v>0</v>
      </c>
      <c r="BW1740" s="1371">
        <v>0</v>
      </c>
      <c r="BX1740" s="1371">
        <v>0</v>
      </c>
      <c r="BY1740" s="1371">
        <v>0</v>
      </c>
      <c r="BZ1740">
        <v>0</v>
      </c>
      <c r="CA1740">
        <v>0</v>
      </c>
      <c r="CB1740">
        <v>0</v>
      </c>
      <c r="CC1740">
        <v>0</v>
      </c>
      <c r="CD1740">
        <v>0</v>
      </c>
      <c r="CE1740">
        <v>0</v>
      </c>
      <c r="CF1740">
        <v>0</v>
      </c>
      <c r="CG1740">
        <v>0</v>
      </c>
      <c r="CH1740">
        <v>0</v>
      </c>
      <c r="CI1740">
        <v>0</v>
      </c>
      <c r="CJ1740">
        <v>0</v>
      </c>
      <c r="CK1740">
        <v>0</v>
      </c>
      <c r="CL1740">
        <v>0</v>
      </c>
      <c r="CM1740">
        <v>0</v>
      </c>
      <c r="CR1740" t="s">
        <v>2325</v>
      </c>
      <c r="CS1740" s="1369" t="str">
        <f>INDEX([8]Sheet1!$H:$H,MATCH(CR:CR,[8]Sheet1!$AU:$AU,0))</f>
        <v>Asset Management</v>
      </c>
    </row>
    <row r="1741" spans="1:97" x14ac:dyDescent="0.2">
      <c r="A1741" t="s">
        <v>4889</v>
      </c>
      <c r="B1741">
        <v>1839</v>
      </c>
      <c r="C1741" t="s">
        <v>4889</v>
      </c>
      <c r="D1741">
        <v>54834</v>
      </c>
      <c r="E1741" t="s">
        <v>2430</v>
      </c>
      <c r="F1741">
        <v>2700</v>
      </c>
      <c r="G1741" t="s">
        <v>656</v>
      </c>
      <c r="H1741" s="1373" t="s">
        <v>2428</v>
      </c>
      <c r="I1741" t="s">
        <v>1800</v>
      </c>
      <c r="J1741">
        <v>2701</v>
      </c>
      <c r="K1741" t="s">
        <v>1800</v>
      </c>
      <c r="L1741" s="1373">
        <v>1100</v>
      </c>
      <c r="M1741" t="s">
        <v>616</v>
      </c>
      <c r="N1741">
        <v>1110</v>
      </c>
      <c r="O1741" t="s">
        <v>995</v>
      </c>
      <c r="P1741" t="s">
        <v>2366</v>
      </c>
      <c r="Q1741" t="s">
        <v>2364</v>
      </c>
      <c r="R1741" t="s">
        <v>2364</v>
      </c>
      <c r="S1741" t="s">
        <v>1881</v>
      </c>
      <c r="T1741" t="s">
        <v>1812</v>
      </c>
      <c r="U1741" t="s">
        <v>2365</v>
      </c>
      <c r="V1741" t="s">
        <v>2365</v>
      </c>
      <c r="W1741" t="s">
        <v>2365</v>
      </c>
      <c r="X1741" t="s">
        <v>2365</v>
      </c>
      <c r="Y1741" t="s">
        <v>2365</v>
      </c>
      <c r="Z1741" t="s">
        <v>2365</v>
      </c>
      <c r="AA1741" t="s">
        <v>2365</v>
      </c>
      <c r="AB1741" t="s">
        <v>2365</v>
      </c>
      <c r="AC1741" s="813" t="s">
        <v>2365</v>
      </c>
      <c r="AD1741" s="813" t="s">
        <v>2365</v>
      </c>
      <c r="AE1741" s="813" t="s">
        <v>2365</v>
      </c>
      <c r="AF1741" t="s">
        <v>2365</v>
      </c>
      <c r="AG1741" t="s">
        <v>2365</v>
      </c>
      <c r="AH1741" t="s">
        <v>2365</v>
      </c>
      <c r="AI1741" t="s">
        <v>2365</v>
      </c>
      <c r="AJ1741" t="s">
        <v>2365</v>
      </c>
      <c r="AK1741" t="s">
        <v>2365</v>
      </c>
      <c r="AL1741" t="s">
        <v>2365</v>
      </c>
      <c r="AM1741" t="s">
        <v>2365</v>
      </c>
      <c r="AN1741" t="s">
        <v>2365</v>
      </c>
      <c r="AR1741" t="s">
        <v>2365</v>
      </c>
      <c r="AS1741" t="s">
        <v>2365</v>
      </c>
      <c r="AT1741" t="s">
        <v>2365</v>
      </c>
      <c r="AU1741" t="s">
        <v>2365</v>
      </c>
      <c r="AV1741" t="s">
        <v>2365</v>
      </c>
      <c r="AW1741" t="s">
        <v>2365</v>
      </c>
      <c r="AX1741" t="s">
        <v>2365</v>
      </c>
      <c r="AY1741" t="s">
        <v>2365</v>
      </c>
      <c r="AZ1741" t="s">
        <v>2365</v>
      </c>
      <c r="BA1741" t="s">
        <v>2365</v>
      </c>
      <c r="BB1741" t="s">
        <v>2365</v>
      </c>
      <c r="BC1741" t="s">
        <v>2365</v>
      </c>
      <c r="BD1741" t="s">
        <v>2366</v>
      </c>
      <c r="BE1741" t="s">
        <v>2365</v>
      </c>
      <c r="BF1741" t="s">
        <v>2365</v>
      </c>
      <c r="BG1741" t="s">
        <v>2365</v>
      </c>
      <c r="BH1741" t="s">
        <v>2365</v>
      </c>
      <c r="BI1741" t="s">
        <v>2366</v>
      </c>
      <c r="BJ1741" t="s">
        <v>2365</v>
      </c>
      <c r="BK1741" t="s">
        <v>2365</v>
      </c>
      <c r="BL1741" t="s">
        <v>2365</v>
      </c>
      <c r="BM1741" t="s">
        <v>2365</v>
      </c>
      <c r="BO1741">
        <v>3</v>
      </c>
      <c r="BP1741">
        <v>32</v>
      </c>
      <c r="BQ1741" t="s">
        <v>2716</v>
      </c>
      <c r="BR1741" t="s">
        <v>995</v>
      </c>
      <c r="BU1741" s="1371">
        <v>0</v>
      </c>
      <c r="BV1741" s="1371">
        <v>0</v>
      </c>
      <c r="BW1741" s="1371">
        <v>0</v>
      </c>
      <c r="BX1741" s="1371">
        <v>0</v>
      </c>
      <c r="BY1741" s="1371">
        <v>0</v>
      </c>
      <c r="BZ1741">
        <v>0</v>
      </c>
      <c r="CA1741">
        <v>0</v>
      </c>
      <c r="CB1741">
        <v>0</v>
      </c>
      <c r="CC1741">
        <v>0</v>
      </c>
      <c r="CD1741">
        <v>0</v>
      </c>
      <c r="CE1741">
        <v>0</v>
      </c>
      <c r="CF1741">
        <v>0</v>
      </c>
      <c r="CG1741">
        <v>0</v>
      </c>
      <c r="CH1741">
        <v>0</v>
      </c>
      <c r="CI1741">
        <v>0</v>
      </c>
      <c r="CJ1741">
        <v>0</v>
      </c>
      <c r="CK1741">
        <v>0</v>
      </c>
      <c r="CL1741">
        <v>0</v>
      </c>
      <c r="CM1741">
        <v>0</v>
      </c>
      <c r="CR1741" t="s">
        <v>2325</v>
      </c>
      <c r="CS1741" s="1369" t="str">
        <f>INDEX([8]Sheet1!$H:$H,MATCH(CR:CR,[8]Sheet1!$AU:$AU,0))</f>
        <v>Asset Management</v>
      </c>
    </row>
    <row r="1742" spans="1:97" x14ac:dyDescent="0.2">
      <c r="A1742" t="s">
        <v>4890</v>
      </c>
      <c r="B1742">
        <v>1840</v>
      </c>
      <c r="C1742" t="s">
        <v>4890</v>
      </c>
      <c r="D1742">
        <v>54835</v>
      </c>
      <c r="E1742" t="s">
        <v>2691</v>
      </c>
      <c r="F1742" t="s">
        <v>2364</v>
      </c>
      <c r="G1742" t="s">
        <v>2364</v>
      </c>
      <c r="H1742" s="1373" t="s">
        <v>2365</v>
      </c>
      <c r="I1742" t="s">
        <v>2365</v>
      </c>
      <c r="J1742" t="s">
        <v>2365</v>
      </c>
      <c r="K1742" t="s">
        <v>2365</v>
      </c>
      <c r="L1742" s="1373">
        <v>3200</v>
      </c>
      <c r="M1742" t="s">
        <v>625</v>
      </c>
      <c r="N1742">
        <v>3205</v>
      </c>
      <c r="O1742" t="s">
        <v>1002</v>
      </c>
      <c r="P1742" t="s">
        <v>1846</v>
      </c>
      <c r="Q1742">
        <v>2010</v>
      </c>
      <c r="R1742" t="s">
        <v>668</v>
      </c>
      <c r="S1742" t="s">
        <v>552</v>
      </c>
      <c r="T1742" t="s">
        <v>2175</v>
      </c>
      <c r="U1742">
        <v>240</v>
      </c>
      <c r="V1742" t="s">
        <v>2389</v>
      </c>
      <c r="W1742">
        <v>240</v>
      </c>
      <c r="X1742" t="s">
        <v>701</v>
      </c>
      <c r="Y1742" t="s">
        <v>2365</v>
      </c>
      <c r="Z1742" t="s">
        <v>2365</v>
      </c>
      <c r="AA1742" t="s">
        <v>2365</v>
      </c>
      <c r="AB1742" t="s">
        <v>2365</v>
      </c>
      <c r="AC1742" s="813" t="s">
        <v>2365</v>
      </c>
      <c r="AD1742" s="813" t="s">
        <v>2365</v>
      </c>
      <c r="AE1742" s="813" t="s">
        <v>2365</v>
      </c>
      <c r="AF1742" t="s">
        <v>2365</v>
      </c>
      <c r="AG1742">
        <v>110</v>
      </c>
      <c r="AH1742" t="s">
        <v>1568</v>
      </c>
      <c r="AI1742">
        <v>110</v>
      </c>
      <c r="AJ1742" t="s">
        <v>1568</v>
      </c>
      <c r="AK1742">
        <v>241</v>
      </c>
      <c r="AL1742" t="s">
        <v>1203</v>
      </c>
      <c r="AM1742">
        <v>241</v>
      </c>
      <c r="AN1742" t="s">
        <v>1203</v>
      </c>
      <c r="AR1742">
        <v>120</v>
      </c>
      <c r="AS1742" t="s">
        <v>1002</v>
      </c>
      <c r="AT1742">
        <v>120</v>
      </c>
      <c r="AU1742" t="s">
        <v>1002</v>
      </c>
      <c r="AV1742" t="s">
        <v>2365</v>
      </c>
      <c r="AW1742" t="s">
        <v>2365</v>
      </c>
      <c r="AX1742" t="s">
        <v>2365</v>
      </c>
      <c r="AY1742" t="s">
        <v>2365</v>
      </c>
      <c r="AZ1742" t="s">
        <v>2365</v>
      </c>
      <c r="BA1742" t="s">
        <v>2365</v>
      </c>
      <c r="BB1742" t="s">
        <v>2365</v>
      </c>
      <c r="BC1742" t="s">
        <v>2365</v>
      </c>
      <c r="BD1742" t="s">
        <v>2366</v>
      </c>
      <c r="BE1742" t="s">
        <v>2365</v>
      </c>
      <c r="BF1742" t="s">
        <v>2365</v>
      </c>
      <c r="BG1742" t="s">
        <v>2365</v>
      </c>
      <c r="BH1742" t="s">
        <v>2365</v>
      </c>
      <c r="BI1742" t="s">
        <v>2366</v>
      </c>
      <c r="BJ1742" t="s">
        <v>2365</v>
      </c>
      <c r="BK1742" t="s">
        <v>2365</v>
      </c>
      <c r="BL1742" t="s">
        <v>2365</v>
      </c>
      <c r="BM1742" t="s">
        <v>2365</v>
      </c>
      <c r="BO1742">
        <v>7</v>
      </c>
      <c r="BP1742">
        <v>71</v>
      </c>
      <c r="BQ1742" t="s">
        <v>2665</v>
      </c>
      <c r="BR1742" t="s">
        <v>1002</v>
      </c>
      <c r="BU1742" s="1371">
        <v>6189900</v>
      </c>
      <c r="BV1742" s="1371">
        <v>0</v>
      </c>
      <c r="BW1742" s="1371">
        <v>6189900</v>
      </c>
      <c r="BX1742" s="1371">
        <v>0</v>
      </c>
      <c r="BY1742" s="1371">
        <v>6189900</v>
      </c>
      <c r="BZ1742">
        <v>0</v>
      </c>
      <c r="CA1742">
        <v>0</v>
      </c>
      <c r="CB1742">
        <v>4033028.49</v>
      </c>
      <c r="CC1742">
        <v>0</v>
      </c>
      <c r="CD1742">
        <v>0</v>
      </c>
      <c r="CE1742">
        <v>0</v>
      </c>
      <c r="CF1742">
        <v>0</v>
      </c>
      <c r="CG1742">
        <v>0</v>
      </c>
      <c r="CH1742">
        <v>0</v>
      </c>
      <c r="CI1742">
        <v>0</v>
      </c>
      <c r="CJ1742">
        <v>0</v>
      </c>
      <c r="CK1742">
        <v>0</v>
      </c>
      <c r="CL1742">
        <v>0</v>
      </c>
      <c r="CM1742">
        <v>0</v>
      </c>
      <c r="CR1742" t="s">
        <v>2328</v>
      </c>
      <c r="CS1742" s="1369" t="str">
        <f>INDEX([8]Sheet1!$H:$H,MATCH(CR:CR,[8]Sheet1!$AU:$AU,0))</f>
        <v>Water Distribution</v>
      </c>
    </row>
    <row r="1743" spans="1:97" x14ac:dyDescent="0.2">
      <c r="A1743" t="s">
        <v>4891</v>
      </c>
      <c r="B1743">
        <v>1841</v>
      </c>
      <c r="C1743" t="s">
        <v>4891</v>
      </c>
      <c r="D1743">
        <v>54836</v>
      </c>
      <c r="E1743" t="s">
        <v>2399</v>
      </c>
      <c r="F1743" t="s">
        <v>2364</v>
      </c>
      <c r="G1743" t="s">
        <v>2364</v>
      </c>
      <c r="H1743" t="s">
        <v>2365</v>
      </c>
      <c r="I1743" t="s">
        <v>2365</v>
      </c>
      <c r="J1743" t="s">
        <v>2365</v>
      </c>
      <c r="K1743" t="s">
        <v>2365</v>
      </c>
      <c r="L1743">
        <v>3200</v>
      </c>
      <c r="M1743" t="s">
        <v>625</v>
      </c>
      <c r="N1743">
        <v>3205</v>
      </c>
      <c r="O1743" t="s">
        <v>1002</v>
      </c>
      <c r="P1743" t="s">
        <v>2366</v>
      </c>
      <c r="Q1743">
        <v>2010</v>
      </c>
      <c r="R1743" t="s">
        <v>668</v>
      </c>
      <c r="S1743" t="s">
        <v>552</v>
      </c>
      <c r="T1743" t="s">
        <v>2175</v>
      </c>
      <c r="U1743">
        <v>240</v>
      </c>
      <c r="V1743" t="s">
        <v>2389</v>
      </c>
      <c r="W1743">
        <v>240</v>
      </c>
      <c r="X1743" t="s">
        <v>701</v>
      </c>
      <c r="Y1743" t="s">
        <v>2365</v>
      </c>
      <c r="Z1743" t="s">
        <v>2365</v>
      </c>
      <c r="AA1743" t="s">
        <v>2365</v>
      </c>
      <c r="AB1743" t="s">
        <v>2365</v>
      </c>
      <c r="AC1743" s="813" t="s">
        <v>2365</v>
      </c>
      <c r="AD1743" s="813" t="s">
        <v>2365</v>
      </c>
      <c r="AE1743" s="813" t="s">
        <v>2365</v>
      </c>
      <c r="AF1743" t="s">
        <v>2365</v>
      </c>
      <c r="AG1743">
        <v>110</v>
      </c>
      <c r="AH1743" t="s">
        <v>1568</v>
      </c>
      <c r="AI1743">
        <v>110</v>
      </c>
      <c r="AJ1743" t="s">
        <v>1568</v>
      </c>
      <c r="AK1743">
        <v>243</v>
      </c>
      <c r="AL1743" t="s">
        <v>1205</v>
      </c>
      <c r="AM1743">
        <v>243</v>
      </c>
      <c r="AN1743" t="s">
        <v>1205</v>
      </c>
      <c r="AR1743">
        <v>120</v>
      </c>
      <c r="AS1743" t="s">
        <v>1002</v>
      </c>
      <c r="AT1743">
        <v>120</v>
      </c>
      <c r="AU1743" t="s">
        <v>1002</v>
      </c>
      <c r="AV1743" t="s">
        <v>2365</v>
      </c>
      <c r="AW1743" t="s">
        <v>2365</v>
      </c>
      <c r="AX1743" t="s">
        <v>2365</v>
      </c>
      <c r="AY1743" t="s">
        <v>2365</v>
      </c>
      <c r="AZ1743" t="s">
        <v>2365</v>
      </c>
      <c r="BA1743" t="s">
        <v>2365</v>
      </c>
      <c r="BB1743" t="s">
        <v>2365</v>
      </c>
      <c r="BC1743" t="s">
        <v>2365</v>
      </c>
      <c r="BD1743" t="s">
        <v>2366</v>
      </c>
      <c r="BE1743" t="s">
        <v>2365</v>
      </c>
      <c r="BF1743" t="s">
        <v>2365</v>
      </c>
      <c r="BG1743" t="s">
        <v>2365</v>
      </c>
      <c r="BH1743" t="s">
        <v>2365</v>
      </c>
      <c r="BI1743" t="s">
        <v>2366</v>
      </c>
      <c r="BJ1743" t="s">
        <v>2365</v>
      </c>
      <c r="BK1743" t="s">
        <v>2365</v>
      </c>
      <c r="BL1743" t="s">
        <v>2365</v>
      </c>
      <c r="BM1743" t="s">
        <v>2365</v>
      </c>
      <c r="BO1743">
        <v>7</v>
      </c>
      <c r="BP1743">
        <v>71</v>
      </c>
      <c r="BQ1743" t="s">
        <v>2665</v>
      </c>
      <c r="BR1743" t="s">
        <v>1002</v>
      </c>
      <c r="BU1743">
        <v>0</v>
      </c>
      <c r="BV1743">
        <v>0</v>
      </c>
      <c r="BW1743">
        <v>0</v>
      </c>
      <c r="BX1743">
        <v>0</v>
      </c>
      <c r="BY1743">
        <v>0</v>
      </c>
      <c r="BZ1743">
        <v>0</v>
      </c>
      <c r="CA1743">
        <v>0</v>
      </c>
      <c r="CB1743">
        <v>0</v>
      </c>
      <c r="CC1743">
        <v>0</v>
      </c>
      <c r="CD1743">
        <v>0</v>
      </c>
      <c r="CE1743">
        <v>0</v>
      </c>
      <c r="CF1743">
        <v>0</v>
      </c>
      <c r="CG1743">
        <v>0</v>
      </c>
      <c r="CH1743">
        <v>0</v>
      </c>
      <c r="CI1743">
        <v>0</v>
      </c>
      <c r="CJ1743">
        <v>0</v>
      </c>
      <c r="CK1743">
        <v>0</v>
      </c>
      <c r="CL1743">
        <v>0</v>
      </c>
      <c r="CM1743">
        <v>0</v>
      </c>
      <c r="CR1743" t="s">
        <v>2328</v>
      </c>
      <c r="CS1743" s="1369" t="str">
        <f>INDEX([8]Sheet1!$H:$H,MATCH(CR:CR,[8]Sheet1!$AU:$AU,0))</f>
        <v>Water Distribution</v>
      </c>
    </row>
    <row r="1744" spans="1:97" x14ac:dyDescent="0.2">
      <c r="A1744" t="s">
        <v>4892</v>
      </c>
      <c r="B1744">
        <v>1842</v>
      </c>
      <c r="C1744" t="s">
        <v>4892</v>
      </c>
      <c r="D1744">
        <v>54837</v>
      </c>
      <c r="E1744" t="s">
        <v>4893</v>
      </c>
      <c r="F1744">
        <v>2700</v>
      </c>
      <c r="G1744" t="s">
        <v>656</v>
      </c>
      <c r="H1744" t="s">
        <v>2428</v>
      </c>
      <c r="I1744" t="s">
        <v>1800</v>
      </c>
      <c r="J1744">
        <v>2701</v>
      </c>
      <c r="K1744" t="s">
        <v>1800</v>
      </c>
      <c r="L1744">
        <v>1100</v>
      </c>
      <c r="M1744" t="s">
        <v>616</v>
      </c>
      <c r="N1744">
        <v>1120</v>
      </c>
      <c r="O1744" t="s">
        <v>1485</v>
      </c>
      <c r="P1744" t="s">
        <v>2366</v>
      </c>
      <c r="Q1744" t="s">
        <v>2364</v>
      </c>
      <c r="R1744" t="s">
        <v>2364</v>
      </c>
      <c r="S1744" t="s">
        <v>1881</v>
      </c>
      <c r="T1744" t="s">
        <v>1812</v>
      </c>
      <c r="U1744" t="s">
        <v>2365</v>
      </c>
      <c r="V1744" t="s">
        <v>2365</v>
      </c>
      <c r="W1744" t="s">
        <v>2365</v>
      </c>
      <c r="X1744" t="s">
        <v>2365</v>
      </c>
      <c r="Y1744" t="s">
        <v>2365</v>
      </c>
      <c r="Z1744" t="s">
        <v>2365</v>
      </c>
      <c r="AA1744" t="s">
        <v>2365</v>
      </c>
      <c r="AB1744" t="s">
        <v>2365</v>
      </c>
      <c r="AC1744" s="813" t="s">
        <v>2365</v>
      </c>
      <c r="AD1744" s="813" t="s">
        <v>2365</v>
      </c>
      <c r="AE1744" s="813" t="s">
        <v>2365</v>
      </c>
      <c r="AF1744" t="s">
        <v>2365</v>
      </c>
      <c r="AG1744" t="s">
        <v>2365</v>
      </c>
      <c r="AH1744" t="s">
        <v>2365</v>
      </c>
      <c r="AI1744" t="s">
        <v>2365</v>
      </c>
      <c r="AJ1744" t="s">
        <v>2365</v>
      </c>
      <c r="AK1744" t="s">
        <v>2365</v>
      </c>
      <c r="AL1744" t="s">
        <v>2365</v>
      </c>
      <c r="AM1744" t="s">
        <v>2365</v>
      </c>
      <c r="AN1744" t="s">
        <v>2365</v>
      </c>
      <c r="AR1744" t="s">
        <v>2365</v>
      </c>
      <c r="AS1744" t="s">
        <v>2365</v>
      </c>
      <c r="AT1744" t="s">
        <v>2365</v>
      </c>
      <c r="AU1744" t="s">
        <v>2365</v>
      </c>
      <c r="AV1744" t="s">
        <v>2365</v>
      </c>
      <c r="AW1744" t="s">
        <v>2365</v>
      </c>
      <c r="AX1744" t="s">
        <v>2365</v>
      </c>
      <c r="AY1744" t="s">
        <v>2365</v>
      </c>
      <c r="AZ1744">
        <v>1220</v>
      </c>
      <c r="BA1744" t="s">
        <v>1654</v>
      </c>
      <c r="BB1744">
        <v>1220</v>
      </c>
      <c r="BC1744" t="s">
        <v>1654</v>
      </c>
      <c r="BD1744" t="s">
        <v>2366</v>
      </c>
      <c r="BE1744" t="s">
        <v>2365</v>
      </c>
      <c r="BF1744" t="s">
        <v>2365</v>
      </c>
      <c r="BG1744" t="s">
        <v>2365</v>
      </c>
      <c r="BH1744" t="s">
        <v>2365</v>
      </c>
      <c r="BI1744" t="s">
        <v>2366</v>
      </c>
      <c r="BJ1744" t="s">
        <v>2365</v>
      </c>
      <c r="BK1744" t="s">
        <v>2365</v>
      </c>
      <c r="BL1744" t="s">
        <v>2365</v>
      </c>
      <c r="BM1744" t="s">
        <v>2365</v>
      </c>
      <c r="BO1744">
        <v>3</v>
      </c>
      <c r="BP1744">
        <v>31</v>
      </c>
      <c r="BQ1744" t="s">
        <v>2716</v>
      </c>
      <c r="BR1744" t="s">
        <v>1485</v>
      </c>
      <c r="BU1744">
        <v>700000</v>
      </c>
      <c r="BV1744">
        <v>0</v>
      </c>
      <c r="BW1744">
        <v>700000</v>
      </c>
      <c r="BX1744">
        <v>-200000</v>
      </c>
      <c r="BY1744">
        <v>500000</v>
      </c>
      <c r="BZ1744">
        <v>1000000</v>
      </c>
      <c r="CA1744">
        <v>1040000</v>
      </c>
      <c r="CB1744">
        <v>0</v>
      </c>
      <c r="CC1744">
        <v>0</v>
      </c>
      <c r="CD1744">
        <v>0</v>
      </c>
      <c r="CE1744">
        <v>0</v>
      </c>
      <c r="CF1744">
        <v>0</v>
      </c>
      <c r="CG1744">
        <v>195342</v>
      </c>
      <c r="CH1744">
        <v>0</v>
      </c>
      <c r="CI1744">
        <v>14400</v>
      </c>
      <c r="CJ1744">
        <v>0</v>
      </c>
      <c r="CK1744">
        <v>0</v>
      </c>
      <c r="CL1744">
        <v>0</v>
      </c>
      <c r="CM1744">
        <v>0</v>
      </c>
      <c r="CR1744" t="s">
        <v>2328</v>
      </c>
      <c r="CS1744" s="1369" t="str">
        <f>INDEX([8]Sheet1!$H:$H,MATCH(CR:CR,[8]Sheet1!$AU:$AU,0))</f>
        <v>Water Distribution</v>
      </c>
    </row>
    <row r="1745" spans="1:97" x14ac:dyDescent="0.2">
      <c r="A1745" t="s">
        <v>4894</v>
      </c>
      <c r="B1745">
        <v>1843</v>
      </c>
      <c r="C1745" t="s">
        <v>4894</v>
      </c>
      <c r="D1745">
        <v>54838</v>
      </c>
      <c r="E1745" t="s">
        <v>2432</v>
      </c>
      <c r="F1745">
        <v>2600</v>
      </c>
      <c r="G1745" t="s">
        <v>655</v>
      </c>
      <c r="H1745">
        <v>2600</v>
      </c>
      <c r="I1745" t="s">
        <v>655</v>
      </c>
      <c r="J1745" t="s">
        <v>2365</v>
      </c>
      <c r="K1745" t="s">
        <v>2365</v>
      </c>
      <c r="L1745">
        <v>1100</v>
      </c>
      <c r="M1745" t="s">
        <v>616</v>
      </c>
      <c r="N1745">
        <v>1120</v>
      </c>
      <c r="O1745" t="s">
        <v>1485</v>
      </c>
      <c r="P1745" t="s">
        <v>2366</v>
      </c>
      <c r="Q1745" t="s">
        <v>2364</v>
      </c>
      <c r="R1745" t="s">
        <v>2364</v>
      </c>
      <c r="S1745" t="s">
        <v>1881</v>
      </c>
      <c r="T1745" t="s">
        <v>1812</v>
      </c>
      <c r="U1745" t="s">
        <v>2365</v>
      </c>
      <c r="V1745" t="s">
        <v>2365</v>
      </c>
      <c r="W1745" t="s">
        <v>2365</v>
      </c>
      <c r="X1745" t="s">
        <v>2365</v>
      </c>
      <c r="Y1745" t="s">
        <v>2365</v>
      </c>
      <c r="Z1745" t="s">
        <v>2365</v>
      </c>
      <c r="AA1745" t="s">
        <v>2365</v>
      </c>
      <c r="AB1745" t="s">
        <v>2365</v>
      </c>
      <c r="AC1745" s="813" t="s">
        <v>2365</v>
      </c>
      <c r="AD1745" s="813" t="s">
        <v>2365</v>
      </c>
      <c r="AE1745" s="813" t="s">
        <v>2365</v>
      </c>
      <c r="AF1745" t="s">
        <v>2365</v>
      </c>
      <c r="AG1745" t="s">
        <v>2365</v>
      </c>
      <c r="AH1745" t="s">
        <v>2365</v>
      </c>
      <c r="AI1745" t="s">
        <v>2365</v>
      </c>
      <c r="AJ1745" t="s">
        <v>2365</v>
      </c>
      <c r="AK1745" t="s">
        <v>2365</v>
      </c>
      <c r="AL1745" t="s">
        <v>2365</v>
      </c>
      <c r="AM1745" t="s">
        <v>2365</v>
      </c>
      <c r="AN1745" t="s">
        <v>2365</v>
      </c>
      <c r="AR1745" t="s">
        <v>2365</v>
      </c>
      <c r="AS1745" t="s">
        <v>2365</v>
      </c>
      <c r="AT1745" t="s">
        <v>2365</v>
      </c>
      <c r="AU1745" t="s">
        <v>2365</v>
      </c>
      <c r="AV1745" t="s">
        <v>2365</v>
      </c>
      <c r="AW1745" t="s">
        <v>2365</v>
      </c>
      <c r="AX1745" t="s">
        <v>2365</v>
      </c>
      <c r="AY1745" t="s">
        <v>2365</v>
      </c>
      <c r="AZ1745" t="s">
        <v>2365</v>
      </c>
      <c r="BA1745" t="s">
        <v>2365</v>
      </c>
      <c r="BB1745" t="s">
        <v>2365</v>
      </c>
      <c r="BC1745" t="s">
        <v>2365</v>
      </c>
      <c r="BD1745" t="s">
        <v>2366</v>
      </c>
      <c r="BE1745" t="s">
        <v>2365</v>
      </c>
      <c r="BF1745" t="s">
        <v>2365</v>
      </c>
      <c r="BG1745" t="s">
        <v>2365</v>
      </c>
      <c r="BH1745" t="s">
        <v>2365</v>
      </c>
      <c r="BI1745" t="s">
        <v>2366</v>
      </c>
      <c r="BJ1745" t="s">
        <v>2365</v>
      </c>
      <c r="BK1745" t="s">
        <v>2365</v>
      </c>
      <c r="BL1745" t="s">
        <v>2365</v>
      </c>
      <c r="BM1745" t="s">
        <v>2365</v>
      </c>
      <c r="BO1745">
        <v>3</v>
      </c>
      <c r="BP1745">
        <v>31</v>
      </c>
      <c r="BQ1745" t="s">
        <v>2716</v>
      </c>
      <c r="BR1745" t="s">
        <v>1485</v>
      </c>
      <c r="BU1745">
        <v>150000</v>
      </c>
      <c r="BV1745">
        <v>0</v>
      </c>
      <c r="BW1745">
        <v>150000</v>
      </c>
      <c r="BX1745">
        <v>0</v>
      </c>
      <c r="BY1745">
        <v>150000</v>
      </c>
      <c r="BZ1745">
        <v>156000</v>
      </c>
      <c r="CA1745">
        <v>162240</v>
      </c>
      <c r="CB1745">
        <v>0</v>
      </c>
      <c r="CC1745">
        <v>15228</v>
      </c>
      <c r="CD1745">
        <v>0</v>
      </c>
      <c r="CE1745">
        <v>0</v>
      </c>
      <c r="CF1745">
        <v>0</v>
      </c>
      <c r="CG1745">
        <v>-15228</v>
      </c>
      <c r="CH1745">
        <v>0</v>
      </c>
      <c r="CI1745">
        <v>0</v>
      </c>
      <c r="CJ1745">
        <v>0</v>
      </c>
      <c r="CK1745">
        <v>0</v>
      </c>
      <c r="CL1745">
        <v>0</v>
      </c>
      <c r="CM1745">
        <v>0</v>
      </c>
      <c r="CR1745" t="s">
        <v>2328</v>
      </c>
      <c r="CS1745" s="1369" t="str">
        <f>INDEX([8]Sheet1!$H:$H,MATCH(CR:CR,[8]Sheet1!$AU:$AU,0))</f>
        <v>Water Distribution</v>
      </c>
    </row>
    <row r="1746" spans="1:97" x14ac:dyDescent="0.2">
      <c r="A1746" t="s">
        <v>4895</v>
      </c>
      <c r="B1746">
        <v>1844</v>
      </c>
      <c r="C1746" t="s">
        <v>4895</v>
      </c>
      <c r="D1746">
        <v>54839</v>
      </c>
      <c r="E1746" t="s">
        <v>2432</v>
      </c>
      <c r="F1746">
        <v>2600</v>
      </c>
      <c r="G1746" t="s">
        <v>655</v>
      </c>
      <c r="H1746" s="1373">
        <v>2600</v>
      </c>
      <c r="I1746" t="s">
        <v>655</v>
      </c>
      <c r="J1746" t="s">
        <v>2365</v>
      </c>
      <c r="K1746" t="s">
        <v>2365</v>
      </c>
      <c r="L1746" s="1373">
        <v>2100</v>
      </c>
      <c r="M1746" t="s">
        <v>618</v>
      </c>
      <c r="N1746">
        <v>2109</v>
      </c>
      <c r="O1746" t="s">
        <v>1502</v>
      </c>
      <c r="P1746" t="s">
        <v>2366</v>
      </c>
      <c r="Q1746" t="s">
        <v>2364</v>
      </c>
      <c r="R1746" t="s">
        <v>2364</v>
      </c>
      <c r="S1746" t="s">
        <v>1881</v>
      </c>
      <c r="T1746" t="s">
        <v>1812</v>
      </c>
      <c r="U1746" t="s">
        <v>2365</v>
      </c>
      <c r="V1746" t="s">
        <v>2365</v>
      </c>
      <c r="W1746" t="s">
        <v>2365</v>
      </c>
      <c r="X1746" t="s">
        <v>2365</v>
      </c>
      <c r="Y1746" t="s">
        <v>2365</v>
      </c>
      <c r="Z1746" t="s">
        <v>2365</v>
      </c>
      <c r="AA1746" t="s">
        <v>2365</v>
      </c>
      <c r="AB1746" t="s">
        <v>2365</v>
      </c>
      <c r="AC1746" s="813" t="s">
        <v>2365</v>
      </c>
      <c r="AD1746" s="813" t="s">
        <v>2365</v>
      </c>
      <c r="AE1746" s="813" t="s">
        <v>2365</v>
      </c>
      <c r="AF1746" t="s">
        <v>2365</v>
      </c>
      <c r="AG1746" t="s">
        <v>2365</v>
      </c>
      <c r="AH1746" t="s">
        <v>2365</v>
      </c>
      <c r="AI1746" t="s">
        <v>2365</v>
      </c>
      <c r="AJ1746" t="s">
        <v>2365</v>
      </c>
      <c r="AK1746" t="s">
        <v>2365</v>
      </c>
      <c r="AL1746" t="s">
        <v>2365</v>
      </c>
      <c r="AM1746" t="s">
        <v>2365</v>
      </c>
      <c r="AN1746" t="s">
        <v>2365</v>
      </c>
      <c r="AR1746" t="s">
        <v>2365</v>
      </c>
      <c r="AS1746" t="s">
        <v>2365</v>
      </c>
      <c r="AT1746" t="s">
        <v>2365</v>
      </c>
      <c r="AU1746" t="s">
        <v>2365</v>
      </c>
      <c r="AV1746" t="s">
        <v>2365</v>
      </c>
      <c r="AW1746" t="s">
        <v>2365</v>
      </c>
      <c r="AX1746" t="s">
        <v>2365</v>
      </c>
      <c r="AY1746" t="s">
        <v>2365</v>
      </c>
      <c r="AZ1746" t="s">
        <v>2365</v>
      </c>
      <c r="BA1746" t="s">
        <v>2365</v>
      </c>
      <c r="BB1746" t="s">
        <v>2365</v>
      </c>
      <c r="BC1746" t="s">
        <v>2365</v>
      </c>
      <c r="BD1746" t="s">
        <v>2366</v>
      </c>
      <c r="BE1746" t="s">
        <v>2365</v>
      </c>
      <c r="BF1746" t="s">
        <v>2365</v>
      </c>
      <c r="BG1746" t="s">
        <v>2365</v>
      </c>
      <c r="BH1746" t="s">
        <v>2365</v>
      </c>
      <c r="BI1746" t="s">
        <v>2366</v>
      </c>
      <c r="BJ1746" t="s">
        <v>2365</v>
      </c>
      <c r="BK1746" t="s">
        <v>2365</v>
      </c>
      <c r="BL1746" t="s">
        <v>2365</v>
      </c>
      <c r="BM1746" t="s">
        <v>2365</v>
      </c>
      <c r="BO1746">
        <v>4</v>
      </c>
      <c r="BP1746">
        <v>41</v>
      </c>
      <c r="BQ1746" t="s">
        <v>2433</v>
      </c>
      <c r="BR1746" t="s">
        <v>1502</v>
      </c>
      <c r="BU1746" s="1371">
        <v>800000</v>
      </c>
      <c r="BV1746" s="1371">
        <v>0</v>
      </c>
      <c r="BW1746" s="1371">
        <v>800000</v>
      </c>
      <c r="BX1746" s="1371">
        <v>-800000</v>
      </c>
      <c r="BY1746" s="1371">
        <v>0</v>
      </c>
      <c r="BZ1746">
        <v>424000</v>
      </c>
      <c r="CA1746">
        <v>449440</v>
      </c>
      <c r="CB1746">
        <v>0</v>
      </c>
      <c r="CC1746">
        <v>33495</v>
      </c>
      <c r="CD1746">
        <v>65250</v>
      </c>
      <c r="CE1746">
        <v>1170</v>
      </c>
      <c r="CF1746">
        <v>0</v>
      </c>
      <c r="CG1746">
        <v>207912.83</v>
      </c>
      <c r="CH1746">
        <v>-3088.4000000000015</v>
      </c>
      <c r="CI1746">
        <v>115304.35</v>
      </c>
      <c r="CJ1746">
        <v>0</v>
      </c>
      <c r="CK1746">
        <v>0</v>
      </c>
      <c r="CL1746">
        <v>0</v>
      </c>
      <c r="CM1746">
        <v>0</v>
      </c>
      <c r="CR1746" t="s">
        <v>2324</v>
      </c>
      <c r="CS1746" s="1369" t="str">
        <f>INDEX([8]Sheet1!$H:$H,MATCH(CR:CR,[8]Sheet1!$AU:$AU,0))</f>
        <v>Finance</v>
      </c>
    </row>
    <row r="1747" spans="1:97" x14ac:dyDescent="0.2">
      <c r="A1747" t="s">
        <v>4896</v>
      </c>
      <c r="B1747">
        <v>1845</v>
      </c>
      <c r="C1747" t="s">
        <v>4896</v>
      </c>
      <c r="D1747">
        <v>54840</v>
      </c>
      <c r="E1747" t="s">
        <v>2468</v>
      </c>
      <c r="F1747">
        <v>2600</v>
      </c>
      <c r="G1747" t="s">
        <v>655</v>
      </c>
      <c r="H1747">
        <v>2600</v>
      </c>
      <c r="I1747" t="s">
        <v>655</v>
      </c>
      <c r="J1747" t="s">
        <v>2365</v>
      </c>
      <c r="K1747" t="s">
        <v>2365</v>
      </c>
      <c r="L1747">
        <v>2100</v>
      </c>
      <c r="M1747" t="s">
        <v>618</v>
      </c>
      <c r="N1747">
        <v>2109</v>
      </c>
      <c r="O1747" t="s">
        <v>1502</v>
      </c>
      <c r="P1747" t="s">
        <v>2366</v>
      </c>
      <c r="Q1747" t="s">
        <v>2364</v>
      </c>
      <c r="R1747" t="s">
        <v>2364</v>
      </c>
      <c r="S1747" t="s">
        <v>1881</v>
      </c>
      <c r="T1747" t="s">
        <v>1812</v>
      </c>
      <c r="U1747" t="s">
        <v>2365</v>
      </c>
      <c r="V1747" t="s">
        <v>2365</v>
      </c>
      <c r="W1747" t="s">
        <v>2365</v>
      </c>
      <c r="X1747" t="s">
        <v>2365</v>
      </c>
      <c r="Y1747" t="s">
        <v>2365</v>
      </c>
      <c r="Z1747" t="s">
        <v>2365</v>
      </c>
      <c r="AA1747" t="s">
        <v>2365</v>
      </c>
      <c r="AB1747" t="s">
        <v>2365</v>
      </c>
      <c r="AC1747" s="813" t="s">
        <v>2365</v>
      </c>
      <c r="AD1747" s="813" t="s">
        <v>2365</v>
      </c>
      <c r="AE1747" s="813" t="s">
        <v>2365</v>
      </c>
      <c r="AF1747" t="s">
        <v>2365</v>
      </c>
      <c r="AG1747" t="s">
        <v>2365</v>
      </c>
      <c r="AH1747" t="s">
        <v>2365</v>
      </c>
      <c r="AI1747" t="s">
        <v>2365</v>
      </c>
      <c r="AJ1747" t="s">
        <v>2365</v>
      </c>
      <c r="AK1747" t="s">
        <v>2365</v>
      </c>
      <c r="AL1747" t="s">
        <v>2365</v>
      </c>
      <c r="AM1747" t="s">
        <v>2365</v>
      </c>
      <c r="AN1747" t="s">
        <v>2365</v>
      </c>
      <c r="AR1747" t="s">
        <v>2365</v>
      </c>
      <c r="AS1747" t="s">
        <v>2365</v>
      </c>
      <c r="AT1747" t="s">
        <v>2365</v>
      </c>
      <c r="AU1747" t="s">
        <v>2365</v>
      </c>
      <c r="AV1747" t="s">
        <v>2365</v>
      </c>
      <c r="AW1747" t="s">
        <v>2365</v>
      </c>
      <c r="AX1747" t="s">
        <v>2365</v>
      </c>
      <c r="AY1747" t="s">
        <v>2365</v>
      </c>
      <c r="AZ1747" t="s">
        <v>2365</v>
      </c>
      <c r="BA1747" t="s">
        <v>2365</v>
      </c>
      <c r="BB1747" t="s">
        <v>2365</v>
      </c>
      <c r="BC1747" t="s">
        <v>2365</v>
      </c>
      <c r="BD1747" t="s">
        <v>2366</v>
      </c>
      <c r="BE1747" t="s">
        <v>2365</v>
      </c>
      <c r="BF1747" t="s">
        <v>2365</v>
      </c>
      <c r="BG1747" t="s">
        <v>2365</v>
      </c>
      <c r="BH1747" t="s">
        <v>2365</v>
      </c>
      <c r="BI1747" t="s">
        <v>2366</v>
      </c>
      <c r="BJ1747" t="s">
        <v>2365</v>
      </c>
      <c r="BK1747" t="s">
        <v>2365</v>
      </c>
      <c r="BL1747" t="s">
        <v>2365</v>
      </c>
      <c r="BM1747" t="s">
        <v>2365</v>
      </c>
      <c r="BO1747">
        <v>4</v>
      </c>
      <c r="BP1747">
        <v>41</v>
      </c>
      <c r="BQ1747" t="s">
        <v>2433</v>
      </c>
      <c r="BR1747" t="s">
        <v>1502</v>
      </c>
      <c r="BU1747">
        <v>400000</v>
      </c>
      <c r="BV1747">
        <v>0</v>
      </c>
      <c r="BW1747">
        <v>400000</v>
      </c>
      <c r="BX1747">
        <v>400000</v>
      </c>
      <c r="BY1747">
        <v>800000</v>
      </c>
      <c r="BZ1747">
        <v>848000</v>
      </c>
      <c r="CA1747">
        <v>898880</v>
      </c>
      <c r="CB1747">
        <v>0</v>
      </c>
      <c r="CC1747">
        <v>0</v>
      </c>
      <c r="CD1747">
        <v>0</v>
      </c>
      <c r="CE1747">
        <v>0</v>
      </c>
      <c r="CF1747">
        <v>0</v>
      </c>
      <c r="CG1747">
        <v>0</v>
      </c>
      <c r="CH1747">
        <v>0</v>
      </c>
      <c r="CI1747">
        <v>37771.979999999996</v>
      </c>
      <c r="CJ1747">
        <v>0</v>
      </c>
      <c r="CK1747">
        <v>0</v>
      </c>
      <c r="CL1747">
        <v>0</v>
      </c>
      <c r="CM1747">
        <v>0</v>
      </c>
      <c r="CR1747" t="s">
        <v>2324</v>
      </c>
      <c r="CS1747" s="1369" t="str">
        <f>INDEX([8]Sheet1!$H:$H,MATCH(CR:CR,[8]Sheet1!$AU:$AU,0))</f>
        <v>Finance</v>
      </c>
    </row>
    <row r="1748" spans="1:97" x14ac:dyDescent="0.2">
      <c r="A1748" t="s">
        <v>4897</v>
      </c>
      <c r="B1748">
        <v>1846</v>
      </c>
      <c r="C1748" t="s">
        <v>4897</v>
      </c>
      <c r="D1748">
        <v>54846</v>
      </c>
      <c r="E1748" t="s">
        <v>4898</v>
      </c>
      <c r="F1748" t="s">
        <v>2364</v>
      </c>
      <c r="G1748" t="s">
        <v>2364</v>
      </c>
      <c r="H1748" t="s">
        <v>2365</v>
      </c>
      <c r="I1748" t="s">
        <v>2365</v>
      </c>
      <c r="J1748" t="s">
        <v>2365</v>
      </c>
      <c r="K1748" t="s">
        <v>2365</v>
      </c>
      <c r="L1748">
        <v>1200</v>
      </c>
      <c r="M1748" t="s">
        <v>1480</v>
      </c>
      <c r="N1748">
        <v>1204</v>
      </c>
      <c r="O1748" t="s">
        <v>1487</v>
      </c>
      <c r="P1748" t="s">
        <v>2366</v>
      </c>
      <c r="Q1748">
        <v>2010</v>
      </c>
      <c r="R1748" t="s">
        <v>668</v>
      </c>
      <c r="S1748" t="s">
        <v>553</v>
      </c>
      <c r="T1748" t="s">
        <v>2175</v>
      </c>
      <c r="U1748">
        <v>120</v>
      </c>
      <c r="V1748" t="s">
        <v>691</v>
      </c>
      <c r="W1748">
        <v>120</v>
      </c>
      <c r="X1748" t="s">
        <v>691</v>
      </c>
      <c r="Y1748" t="s">
        <v>2365</v>
      </c>
      <c r="Z1748" t="s">
        <v>2365</v>
      </c>
      <c r="AA1748" t="s">
        <v>2365</v>
      </c>
      <c r="AB1748" t="s">
        <v>2365</v>
      </c>
      <c r="AC1748" s="813">
        <v>420</v>
      </c>
      <c r="AD1748" s="813" t="s">
        <v>4866</v>
      </c>
      <c r="AE1748" s="813">
        <v>560</v>
      </c>
      <c r="AF1748" t="s">
        <v>4866</v>
      </c>
      <c r="AG1748" t="s">
        <v>2365</v>
      </c>
      <c r="AH1748" t="s">
        <v>2365</v>
      </c>
      <c r="AI1748" t="s">
        <v>2365</v>
      </c>
      <c r="AJ1748" t="s">
        <v>2365</v>
      </c>
      <c r="AK1748" t="s">
        <v>2365</v>
      </c>
      <c r="AL1748" t="s">
        <v>2365</v>
      </c>
      <c r="AM1748" t="s">
        <v>2365</v>
      </c>
      <c r="AN1748" t="s">
        <v>2365</v>
      </c>
      <c r="AR1748" t="s">
        <v>2365</v>
      </c>
      <c r="AS1748" t="s">
        <v>2365</v>
      </c>
      <c r="AT1748" t="s">
        <v>2365</v>
      </c>
      <c r="AU1748" t="s">
        <v>2365</v>
      </c>
      <c r="AV1748" t="s">
        <v>2365</v>
      </c>
      <c r="AW1748" t="s">
        <v>2365</v>
      </c>
      <c r="AX1748" t="s">
        <v>2365</v>
      </c>
      <c r="AY1748" t="s">
        <v>2365</v>
      </c>
      <c r="AZ1748" t="s">
        <v>2365</v>
      </c>
      <c r="BA1748" t="s">
        <v>2365</v>
      </c>
      <c r="BB1748" t="s">
        <v>2365</v>
      </c>
      <c r="BC1748" t="s">
        <v>2365</v>
      </c>
      <c r="BD1748" t="s">
        <v>2366</v>
      </c>
      <c r="BE1748" t="s">
        <v>2365</v>
      </c>
      <c r="BF1748" t="s">
        <v>2365</v>
      </c>
      <c r="BG1748" t="s">
        <v>2365</v>
      </c>
      <c r="BH1748" t="s">
        <v>2365</v>
      </c>
      <c r="BI1748" t="s">
        <v>2366</v>
      </c>
      <c r="BJ1748" t="s">
        <v>2365</v>
      </c>
      <c r="BK1748" t="s">
        <v>2365</v>
      </c>
      <c r="BL1748" t="s">
        <v>2365</v>
      </c>
      <c r="BM1748" t="s">
        <v>2365</v>
      </c>
      <c r="BO1748">
        <v>1</v>
      </c>
      <c r="BP1748">
        <v>11</v>
      </c>
      <c r="BQ1748" t="s">
        <v>2369</v>
      </c>
      <c r="BR1748" t="s">
        <v>1487</v>
      </c>
      <c r="BU1748">
        <v>0</v>
      </c>
      <c r="BV1748">
        <v>0</v>
      </c>
      <c r="BW1748">
        <v>0</v>
      </c>
      <c r="BX1748">
        <v>0</v>
      </c>
      <c r="BY1748">
        <v>0</v>
      </c>
      <c r="BZ1748">
        <v>0</v>
      </c>
      <c r="CA1748">
        <v>0</v>
      </c>
      <c r="CB1748">
        <v>0</v>
      </c>
      <c r="CC1748">
        <v>0</v>
      </c>
      <c r="CD1748">
        <v>0</v>
      </c>
      <c r="CE1748">
        <v>0</v>
      </c>
      <c r="CF1748">
        <v>0</v>
      </c>
      <c r="CG1748">
        <v>0</v>
      </c>
      <c r="CH1748">
        <v>0</v>
      </c>
      <c r="CI1748">
        <v>0</v>
      </c>
      <c r="CJ1748">
        <v>0</v>
      </c>
      <c r="CK1748">
        <v>0</v>
      </c>
      <c r="CL1748">
        <v>0</v>
      </c>
      <c r="CM1748">
        <v>0</v>
      </c>
      <c r="CR1748" t="s">
        <v>2324</v>
      </c>
      <c r="CS1748" s="1369" t="str">
        <f>INDEX([8]Sheet1!$H:$H,MATCH(CR:CR,[8]Sheet1!$AU:$AU,0))</f>
        <v>Finance</v>
      </c>
    </row>
    <row r="1749" spans="1:97" x14ac:dyDescent="0.2">
      <c r="A1749" t="s">
        <v>4899</v>
      </c>
      <c r="B1749">
        <v>1847</v>
      </c>
      <c r="C1749" t="s">
        <v>4899</v>
      </c>
      <c r="D1749">
        <v>54847</v>
      </c>
      <c r="E1749" t="s">
        <v>2419</v>
      </c>
      <c r="F1749" t="s">
        <v>2364</v>
      </c>
      <c r="G1749" t="s">
        <v>2364</v>
      </c>
      <c r="H1749" t="s">
        <v>2365</v>
      </c>
      <c r="I1749" t="s">
        <v>2365</v>
      </c>
      <c r="J1749" t="s">
        <v>2365</v>
      </c>
      <c r="K1749" t="s">
        <v>2365</v>
      </c>
      <c r="L1749">
        <v>1200</v>
      </c>
      <c r="M1749" t="s">
        <v>1480</v>
      </c>
      <c r="N1749">
        <v>1204</v>
      </c>
      <c r="O1749" t="s">
        <v>1487</v>
      </c>
      <c r="P1749" t="s">
        <v>2366</v>
      </c>
      <c r="Q1749">
        <v>2010</v>
      </c>
      <c r="R1749" t="s">
        <v>668</v>
      </c>
      <c r="S1749" t="s">
        <v>553</v>
      </c>
      <c r="T1749" t="s">
        <v>2175</v>
      </c>
      <c r="U1749">
        <v>120</v>
      </c>
      <c r="V1749" t="s">
        <v>691</v>
      </c>
      <c r="W1749">
        <v>120</v>
      </c>
      <c r="X1749" t="s">
        <v>691</v>
      </c>
      <c r="Y1749" t="s">
        <v>2420</v>
      </c>
      <c r="Z1749" t="s">
        <v>2421</v>
      </c>
      <c r="AA1749" t="s">
        <v>2420</v>
      </c>
      <c r="AB1749" t="s">
        <v>2421</v>
      </c>
      <c r="AC1749" s="813" t="s">
        <v>2365</v>
      </c>
      <c r="AD1749" s="813" t="s">
        <v>2365</v>
      </c>
      <c r="AE1749" s="813" t="s">
        <v>2365</v>
      </c>
      <c r="AF1749" t="s">
        <v>2365</v>
      </c>
      <c r="AG1749" t="s">
        <v>2365</v>
      </c>
      <c r="AH1749" t="s">
        <v>2365</v>
      </c>
      <c r="AI1749" t="s">
        <v>2365</v>
      </c>
      <c r="AJ1749" t="s">
        <v>2365</v>
      </c>
      <c r="AK1749" t="s">
        <v>2365</v>
      </c>
      <c r="AL1749" t="s">
        <v>2365</v>
      </c>
      <c r="AM1749" t="s">
        <v>2365</v>
      </c>
      <c r="AN1749" t="s">
        <v>2365</v>
      </c>
      <c r="AQ1749" t="s">
        <v>2423</v>
      </c>
      <c r="AR1749" t="s">
        <v>2365</v>
      </c>
      <c r="AS1749" t="s">
        <v>2365</v>
      </c>
      <c r="AT1749" t="s">
        <v>2365</v>
      </c>
      <c r="AU1749" t="s">
        <v>2365</v>
      </c>
      <c r="AV1749" t="s">
        <v>2365</v>
      </c>
      <c r="AW1749" t="s">
        <v>2365</v>
      </c>
      <c r="AX1749" t="s">
        <v>2365</v>
      </c>
      <c r="AY1749" t="s">
        <v>2365</v>
      </c>
      <c r="AZ1749" t="s">
        <v>2365</v>
      </c>
      <c r="BA1749" t="s">
        <v>2365</v>
      </c>
      <c r="BB1749" t="s">
        <v>2365</v>
      </c>
      <c r="BC1749" t="s">
        <v>2365</v>
      </c>
      <c r="BD1749" t="s">
        <v>2366</v>
      </c>
      <c r="BE1749" t="s">
        <v>2365</v>
      </c>
      <c r="BF1749" t="s">
        <v>2365</v>
      </c>
      <c r="BG1749" t="s">
        <v>2365</v>
      </c>
      <c r="BH1749" t="s">
        <v>2365</v>
      </c>
      <c r="BI1749" t="s">
        <v>2366</v>
      </c>
      <c r="BJ1749" t="s">
        <v>2365</v>
      </c>
      <c r="BK1749" t="s">
        <v>2365</v>
      </c>
      <c r="BL1749" t="s">
        <v>2365</v>
      </c>
      <c r="BM1749" t="s">
        <v>2365</v>
      </c>
      <c r="BO1749">
        <v>1</v>
      </c>
      <c r="BP1749">
        <v>11</v>
      </c>
      <c r="BQ1749" t="s">
        <v>2369</v>
      </c>
      <c r="BR1749" t="s">
        <v>1487</v>
      </c>
      <c r="BU1749">
        <v>-15996000</v>
      </c>
      <c r="BV1749">
        <v>0</v>
      </c>
      <c r="BW1749">
        <v>-15996000</v>
      </c>
      <c r="BX1749">
        <v>15996000</v>
      </c>
      <c r="BY1749">
        <v>0</v>
      </c>
      <c r="BZ1749">
        <v>0</v>
      </c>
      <c r="CA1749">
        <v>0</v>
      </c>
      <c r="CB1749">
        <v>0</v>
      </c>
      <c r="CC1749">
        <v>0</v>
      </c>
      <c r="CD1749">
        <v>0</v>
      </c>
      <c r="CE1749">
        <v>0</v>
      </c>
      <c r="CF1749">
        <v>0</v>
      </c>
      <c r="CG1749">
        <v>0</v>
      </c>
      <c r="CH1749">
        <v>0</v>
      </c>
      <c r="CI1749">
        <v>0</v>
      </c>
      <c r="CJ1749">
        <v>0</v>
      </c>
      <c r="CK1749">
        <v>0</v>
      </c>
      <c r="CL1749">
        <v>0</v>
      </c>
      <c r="CM1749">
        <v>0</v>
      </c>
      <c r="CR1749" t="s">
        <v>2324</v>
      </c>
      <c r="CS1749" s="1369" t="str">
        <f>INDEX([8]Sheet1!$H:$H,MATCH(CR:CR,[8]Sheet1!$AU:$AU,0))</f>
        <v>Finance</v>
      </c>
    </row>
    <row r="1750" spans="1:97" x14ac:dyDescent="0.2">
      <c r="A1750" t="s">
        <v>4900</v>
      </c>
      <c r="B1750">
        <v>1848</v>
      </c>
      <c r="C1750" t="s">
        <v>4900</v>
      </c>
      <c r="D1750">
        <v>54848</v>
      </c>
      <c r="E1750" t="s">
        <v>4901</v>
      </c>
      <c r="F1750" t="s">
        <v>2364</v>
      </c>
      <c r="G1750" t="s">
        <v>2364</v>
      </c>
      <c r="H1750" t="s">
        <v>2365</v>
      </c>
      <c r="I1750" t="s">
        <v>2365</v>
      </c>
      <c r="J1750" t="s">
        <v>2365</v>
      </c>
      <c r="K1750" t="s">
        <v>2365</v>
      </c>
      <c r="L1750">
        <v>1200</v>
      </c>
      <c r="M1750" t="s">
        <v>1480</v>
      </c>
      <c r="N1750">
        <v>1204</v>
      </c>
      <c r="O1750" t="s">
        <v>1487</v>
      </c>
      <c r="P1750" t="s">
        <v>2366</v>
      </c>
      <c r="Q1750">
        <v>2010</v>
      </c>
      <c r="R1750" t="s">
        <v>668</v>
      </c>
      <c r="S1750" t="s">
        <v>553</v>
      </c>
      <c r="T1750" t="s">
        <v>2175</v>
      </c>
      <c r="U1750">
        <v>120</v>
      </c>
      <c r="V1750" t="s">
        <v>691</v>
      </c>
      <c r="W1750">
        <v>120</v>
      </c>
      <c r="X1750" t="s">
        <v>691</v>
      </c>
      <c r="Y1750" t="s">
        <v>2365</v>
      </c>
      <c r="Z1750" t="s">
        <v>2365</v>
      </c>
      <c r="AA1750" t="s">
        <v>2365</v>
      </c>
      <c r="AB1750" t="s">
        <v>2365</v>
      </c>
      <c r="AC1750" s="813">
        <v>200</v>
      </c>
      <c r="AD1750" s="813" t="s">
        <v>4443</v>
      </c>
      <c r="AE1750" s="813">
        <v>480</v>
      </c>
      <c r="AF1750" t="s">
        <v>569</v>
      </c>
      <c r="AG1750" t="s">
        <v>2365</v>
      </c>
      <c r="AH1750" t="s">
        <v>2365</v>
      </c>
      <c r="AI1750" t="s">
        <v>2365</v>
      </c>
      <c r="AJ1750" t="s">
        <v>2365</v>
      </c>
      <c r="AK1750" t="s">
        <v>2365</v>
      </c>
      <c r="AL1750" t="s">
        <v>2365</v>
      </c>
      <c r="AM1750" t="s">
        <v>2365</v>
      </c>
      <c r="AN1750" t="s">
        <v>2365</v>
      </c>
      <c r="AR1750" t="s">
        <v>2365</v>
      </c>
      <c r="AS1750" t="s">
        <v>2365</v>
      </c>
      <c r="AT1750" t="s">
        <v>2365</v>
      </c>
      <c r="AU1750" t="s">
        <v>2365</v>
      </c>
      <c r="AV1750" t="s">
        <v>2365</v>
      </c>
      <c r="AW1750" t="s">
        <v>2365</v>
      </c>
      <c r="AX1750" t="s">
        <v>2365</v>
      </c>
      <c r="AY1750" t="s">
        <v>2365</v>
      </c>
      <c r="AZ1750" t="s">
        <v>2365</v>
      </c>
      <c r="BA1750" t="s">
        <v>2365</v>
      </c>
      <c r="BB1750" t="s">
        <v>2365</v>
      </c>
      <c r="BC1750" t="s">
        <v>2365</v>
      </c>
      <c r="BD1750" t="s">
        <v>2366</v>
      </c>
      <c r="BE1750" t="s">
        <v>2365</v>
      </c>
      <c r="BF1750" t="s">
        <v>2365</v>
      </c>
      <c r="BG1750" t="s">
        <v>2365</v>
      </c>
      <c r="BH1750" t="s">
        <v>2365</v>
      </c>
      <c r="BI1750" t="s">
        <v>2366</v>
      </c>
      <c r="BJ1750" t="s">
        <v>2365</v>
      </c>
      <c r="BK1750" t="s">
        <v>2365</v>
      </c>
      <c r="BL1750" t="s">
        <v>2365</v>
      </c>
      <c r="BM1750" t="s">
        <v>2365</v>
      </c>
      <c r="BO1750">
        <v>1</v>
      </c>
      <c r="BP1750">
        <v>11</v>
      </c>
      <c r="BQ1750" t="s">
        <v>2369</v>
      </c>
      <c r="BR1750" t="s">
        <v>1487</v>
      </c>
      <c r="BU1750">
        <v>0</v>
      </c>
      <c r="BV1750">
        <v>0</v>
      </c>
      <c r="BW1750">
        <v>0</v>
      </c>
      <c r="BX1750">
        <v>0</v>
      </c>
      <c r="BY1750">
        <v>0</v>
      </c>
      <c r="BZ1750">
        <v>0</v>
      </c>
      <c r="CA1750">
        <v>0</v>
      </c>
      <c r="CB1750">
        <v>0</v>
      </c>
      <c r="CC1750">
        <v>0</v>
      </c>
      <c r="CD1750">
        <v>0</v>
      </c>
      <c r="CE1750">
        <v>0</v>
      </c>
      <c r="CF1750">
        <v>0</v>
      </c>
      <c r="CG1750">
        <v>0</v>
      </c>
      <c r="CH1750">
        <v>0</v>
      </c>
      <c r="CI1750">
        <v>0</v>
      </c>
      <c r="CJ1750">
        <v>0</v>
      </c>
      <c r="CK1750">
        <v>0</v>
      </c>
      <c r="CL1750">
        <v>0</v>
      </c>
      <c r="CM1750">
        <v>0</v>
      </c>
      <c r="CR1750" t="s">
        <v>2319</v>
      </c>
      <c r="CS1750" s="1369" t="str">
        <f>INDEX([8]Sheet1!$H:$H,MATCH(CR:CR,[8]Sheet1!$AU:$AU,0))</f>
        <v>Mayor and Council</v>
      </c>
    </row>
    <row r="1751" spans="1:97" x14ac:dyDescent="0.2">
      <c r="A1751" t="s">
        <v>4902</v>
      </c>
      <c r="B1751">
        <v>1849</v>
      </c>
      <c r="C1751" t="s">
        <v>4902</v>
      </c>
      <c r="D1751">
        <v>54849</v>
      </c>
      <c r="E1751" t="s">
        <v>4903</v>
      </c>
      <c r="F1751" t="s">
        <v>2364</v>
      </c>
      <c r="G1751" t="s">
        <v>2364</v>
      </c>
      <c r="H1751" t="s">
        <v>2365</v>
      </c>
      <c r="I1751" t="s">
        <v>2365</v>
      </c>
      <c r="J1751" t="s">
        <v>2365</v>
      </c>
      <c r="K1751" t="s">
        <v>2365</v>
      </c>
      <c r="L1751">
        <v>1200</v>
      </c>
      <c r="M1751" t="s">
        <v>1480</v>
      </c>
      <c r="N1751">
        <v>1204</v>
      </c>
      <c r="O1751" t="s">
        <v>1487</v>
      </c>
      <c r="P1751" t="s">
        <v>2366</v>
      </c>
      <c r="Q1751">
        <v>2010</v>
      </c>
      <c r="R1751" t="s">
        <v>668</v>
      </c>
      <c r="S1751" t="s">
        <v>553</v>
      </c>
      <c r="T1751" t="s">
        <v>2175</v>
      </c>
      <c r="U1751">
        <v>120</v>
      </c>
      <c r="V1751" t="s">
        <v>691</v>
      </c>
      <c r="W1751">
        <v>120</v>
      </c>
      <c r="X1751" t="s">
        <v>691</v>
      </c>
      <c r="Y1751" t="s">
        <v>2365</v>
      </c>
      <c r="Z1751" t="s">
        <v>2365</v>
      </c>
      <c r="AA1751" t="s">
        <v>2365</v>
      </c>
      <c r="AB1751" t="s">
        <v>2365</v>
      </c>
      <c r="AC1751" s="813" t="s">
        <v>2365</v>
      </c>
      <c r="AD1751" s="813" t="s">
        <v>2365</v>
      </c>
      <c r="AE1751" s="813" t="s">
        <v>2365</v>
      </c>
      <c r="AF1751" t="s">
        <v>2365</v>
      </c>
      <c r="AG1751" t="s">
        <v>2365</v>
      </c>
      <c r="AH1751" t="s">
        <v>2365</v>
      </c>
      <c r="AI1751" t="s">
        <v>2365</v>
      </c>
      <c r="AJ1751" t="s">
        <v>2365</v>
      </c>
      <c r="AK1751" t="s">
        <v>2365</v>
      </c>
      <c r="AL1751" t="s">
        <v>2365</v>
      </c>
      <c r="AM1751" t="s">
        <v>2365</v>
      </c>
      <c r="AN1751" t="s">
        <v>2365</v>
      </c>
      <c r="AR1751" t="s">
        <v>2365</v>
      </c>
      <c r="AS1751" t="s">
        <v>2365</v>
      </c>
      <c r="AT1751" t="s">
        <v>2365</v>
      </c>
      <c r="AU1751" t="s">
        <v>2365</v>
      </c>
      <c r="AV1751" t="s">
        <v>2365</v>
      </c>
      <c r="AW1751" t="s">
        <v>2365</v>
      </c>
      <c r="AX1751" t="s">
        <v>2365</v>
      </c>
      <c r="AY1751" t="s">
        <v>2365</v>
      </c>
      <c r="AZ1751" t="s">
        <v>2365</v>
      </c>
      <c r="BA1751" t="s">
        <v>2365</v>
      </c>
      <c r="BB1751" t="s">
        <v>2365</v>
      </c>
      <c r="BC1751" t="s">
        <v>2365</v>
      </c>
      <c r="BD1751" t="s">
        <v>2366</v>
      </c>
      <c r="BE1751" t="s">
        <v>2365</v>
      </c>
      <c r="BF1751" t="s">
        <v>2365</v>
      </c>
      <c r="BG1751" t="s">
        <v>2365</v>
      </c>
      <c r="BH1751" t="s">
        <v>2365</v>
      </c>
      <c r="BI1751" t="s">
        <v>2366</v>
      </c>
      <c r="BJ1751" t="s">
        <v>2365</v>
      </c>
      <c r="BK1751" t="s">
        <v>2365</v>
      </c>
      <c r="BL1751" t="s">
        <v>2365</v>
      </c>
      <c r="BM1751" t="s">
        <v>2365</v>
      </c>
      <c r="BO1751">
        <v>1</v>
      </c>
      <c r="BP1751">
        <v>11</v>
      </c>
      <c r="BQ1751" t="s">
        <v>2369</v>
      </c>
      <c r="BR1751" t="s">
        <v>1487</v>
      </c>
      <c r="BU1751">
        <v>0</v>
      </c>
      <c r="BV1751">
        <v>0</v>
      </c>
      <c r="BW1751">
        <v>0</v>
      </c>
      <c r="BX1751">
        <v>0</v>
      </c>
      <c r="BY1751">
        <v>0</v>
      </c>
      <c r="BZ1751">
        <v>0</v>
      </c>
      <c r="CA1751">
        <v>0</v>
      </c>
      <c r="CB1751">
        <v>0</v>
      </c>
      <c r="CC1751">
        <v>0</v>
      </c>
      <c r="CD1751">
        <v>0</v>
      </c>
      <c r="CE1751">
        <v>0</v>
      </c>
      <c r="CF1751">
        <v>0</v>
      </c>
      <c r="CG1751">
        <v>0</v>
      </c>
      <c r="CH1751">
        <v>0</v>
      </c>
      <c r="CI1751">
        <v>0</v>
      </c>
      <c r="CJ1751">
        <v>0</v>
      </c>
      <c r="CK1751">
        <v>0</v>
      </c>
      <c r="CL1751">
        <v>0</v>
      </c>
      <c r="CM1751">
        <v>0</v>
      </c>
      <c r="CR1751" t="s">
        <v>2324</v>
      </c>
      <c r="CS1751" s="1369" t="str">
        <f>INDEX([8]Sheet1!$H:$H,MATCH(CR:CR,[8]Sheet1!$AU:$AU,0))</f>
        <v>Finance</v>
      </c>
    </row>
    <row r="1752" spans="1:97" x14ac:dyDescent="0.2">
      <c r="A1752" t="s">
        <v>4904</v>
      </c>
      <c r="B1752">
        <v>1850</v>
      </c>
      <c r="C1752" t="s">
        <v>4904</v>
      </c>
      <c r="D1752">
        <v>54850</v>
      </c>
      <c r="E1752" t="s">
        <v>2405</v>
      </c>
      <c r="F1752" t="s">
        <v>2364</v>
      </c>
      <c r="G1752" t="s">
        <v>2364</v>
      </c>
      <c r="H1752" t="s">
        <v>2365</v>
      </c>
      <c r="I1752" t="s">
        <v>2365</v>
      </c>
      <c r="J1752" t="s">
        <v>2365</v>
      </c>
      <c r="K1752" t="s">
        <v>2365</v>
      </c>
      <c r="L1752">
        <v>1200</v>
      </c>
      <c r="M1752" t="s">
        <v>1480</v>
      </c>
      <c r="N1752">
        <v>1204</v>
      </c>
      <c r="O1752" t="s">
        <v>1487</v>
      </c>
      <c r="P1752" t="s">
        <v>2366</v>
      </c>
      <c r="Q1752">
        <v>2010</v>
      </c>
      <c r="R1752" t="s">
        <v>668</v>
      </c>
      <c r="S1752" t="s">
        <v>553</v>
      </c>
      <c r="T1752" t="s">
        <v>2175</v>
      </c>
      <c r="U1752">
        <v>120</v>
      </c>
      <c r="V1752" t="s">
        <v>691</v>
      </c>
      <c r="W1752">
        <v>120</v>
      </c>
      <c r="X1752" t="s">
        <v>691</v>
      </c>
      <c r="Y1752" t="s">
        <v>2182</v>
      </c>
      <c r="Z1752" t="s">
        <v>2421</v>
      </c>
      <c r="AA1752" t="s">
        <v>2182</v>
      </c>
      <c r="AB1752" t="s">
        <v>2421</v>
      </c>
      <c r="AC1752" s="813" t="s">
        <v>2365</v>
      </c>
      <c r="AD1752" s="813" t="s">
        <v>2365</v>
      </c>
      <c r="AE1752" s="813" t="s">
        <v>2365</v>
      </c>
      <c r="AF1752" t="s">
        <v>2365</v>
      </c>
      <c r="AG1752" t="s">
        <v>2365</v>
      </c>
      <c r="AH1752" t="s">
        <v>2365</v>
      </c>
      <c r="AI1752" t="s">
        <v>2365</v>
      </c>
      <c r="AJ1752" t="s">
        <v>2365</v>
      </c>
      <c r="AK1752" t="s">
        <v>2365</v>
      </c>
      <c r="AL1752" t="s">
        <v>2365</v>
      </c>
      <c r="AM1752" t="s">
        <v>2365</v>
      </c>
      <c r="AN1752" t="s">
        <v>2365</v>
      </c>
      <c r="AQ1752" t="s">
        <v>553</v>
      </c>
      <c r="AR1752" t="s">
        <v>2365</v>
      </c>
      <c r="AS1752" t="s">
        <v>2365</v>
      </c>
      <c r="AT1752" t="s">
        <v>2365</v>
      </c>
      <c r="AU1752" t="s">
        <v>2365</v>
      </c>
      <c r="AV1752" t="s">
        <v>2365</v>
      </c>
      <c r="AW1752" t="s">
        <v>2365</v>
      </c>
      <c r="AX1752" t="s">
        <v>2365</v>
      </c>
      <c r="AY1752" t="s">
        <v>2365</v>
      </c>
      <c r="AZ1752" t="s">
        <v>2365</v>
      </c>
      <c r="BA1752" t="s">
        <v>2365</v>
      </c>
      <c r="BB1752" t="s">
        <v>2365</v>
      </c>
      <c r="BC1752" t="s">
        <v>2365</v>
      </c>
      <c r="BD1752" t="s">
        <v>2366</v>
      </c>
      <c r="BE1752" t="s">
        <v>2365</v>
      </c>
      <c r="BF1752" t="s">
        <v>2365</v>
      </c>
      <c r="BG1752" t="s">
        <v>2365</v>
      </c>
      <c r="BH1752" t="s">
        <v>2365</v>
      </c>
      <c r="BI1752" t="s">
        <v>2366</v>
      </c>
      <c r="BJ1752" t="s">
        <v>2365</v>
      </c>
      <c r="BK1752" t="s">
        <v>2365</v>
      </c>
      <c r="BL1752" t="s">
        <v>2365</v>
      </c>
      <c r="BM1752" t="s">
        <v>2365</v>
      </c>
      <c r="BO1752">
        <v>1</v>
      </c>
      <c r="BP1752">
        <v>11</v>
      </c>
      <c r="BQ1752" t="s">
        <v>2369</v>
      </c>
      <c r="BR1752" t="s">
        <v>1487</v>
      </c>
      <c r="BU1752">
        <v>15996000</v>
      </c>
      <c r="BV1752">
        <v>0</v>
      </c>
      <c r="BW1752">
        <v>15996000</v>
      </c>
      <c r="BX1752">
        <v>-15996000</v>
      </c>
      <c r="BY1752">
        <v>0</v>
      </c>
      <c r="BZ1752">
        <v>0</v>
      </c>
      <c r="CA1752">
        <v>0</v>
      </c>
      <c r="CB1752">
        <v>0</v>
      </c>
      <c r="CC1752">
        <v>0</v>
      </c>
      <c r="CD1752">
        <v>0</v>
      </c>
      <c r="CE1752">
        <v>0</v>
      </c>
      <c r="CF1752">
        <v>0</v>
      </c>
      <c r="CG1752">
        <v>0</v>
      </c>
      <c r="CH1752">
        <v>0</v>
      </c>
      <c r="CI1752">
        <v>0</v>
      </c>
      <c r="CJ1752">
        <v>0</v>
      </c>
      <c r="CK1752">
        <v>0</v>
      </c>
      <c r="CL1752">
        <v>0</v>
      </c>
      <c r="CM1752">
        <v>0</v>
      </c>
      <c r="CR1752" t="s">
        <v>2328</v>
      </c>
      <c r="CS1752" s="1369" t="str">
        <f>INDEX([8]Sheet1!$H:$H,MATCH(CR:CR,[8]Sheet1!$AU:$AU,0))</f>
        <v>Water Distribution</v>
      </c>
    </row>
    <row r="1753" spans="1:97" x14ac:dyDescent="0.2">
      <c r="A1753" t="s">
        <v>4905</v>
      </c>
      <c r="B1753">
        <v>1851</v>
      </c>
      <c r="C1753" t="s">
        <v>4905</v>
      </c>
      <c r="D1753">
        <v>54851</v>
      </c>
      <c r="E1753" t="s">
        <v>2405</v>
      </c>
      <c r="F1753" t="s">
        <v>2364</v>
      </c>
      <c r="G1753" t="s">
        <v>2364</v>
      </c>
      <c r="H1753" t="s">
        <v>2365</v>
      </c>
      <c r="I1753" t="s">
        <v>2365</v>
      </c>
      <c r="J1753" t="s">
        <v>2365</v>
      </c>
      <c r="K1753" t="s">
        <v>2365</v>
      </c>
      <c r="L1753">
        <v>1200</v>
      </c>
      <c r="M1753" t="s">
        <v>1480</v>
      </c>
      <c r="N1753">
        <v>1204</v>
      </c>
      <c r="O1753" t="s">
        <v>1487</v>
      </c>
      <c r="P1753" t="s">
        <v>2366</v>
      </c>
      <c r="Q1753" t="s">
        <v>2364</v>
      </c>
      <c r="R1753" t="s">
        <v>2364</v>
      </c>
      <c r="S1753" t="s">
        <v>553</v>
      </c>
      <c r="T1753" t="s">
        <v>2175</v>
      </c>
      <c r="U1753">
        <v>120</v>
      </c>
      <c r="V1753" t="s">
        <v>691</v>
      </c>
      <c r="W1753">
        <v>120</v>
      </c>
      <c r="X1753" t="s">
        <v>691</v>
      </c>
      <c r="Y1753" t="s">
        <v>2178</v>
      </c>
      <c r="Z1753" t="s">
        <v>4467</v>
      </c>
      <c r="AA1753" t="s">
        <v>2178</v>
      </c>
      <c r="AB1753" t="s">
        <v>4467</v>
      </c>
      <c r="AC1753" s="813" t="s">
        <v>2365</v>
      </c>
      <c r="AD1753" s="813" t="s">
        <v>2365</v>
      </c>
      <c r="AE1753" s="813" t="s">
        <v>2365</v>
      </c>
      <c r="AF1753" t="s">
        <v>2365</v>
      </c>
      <c r="AG1753" t="s">
        <v>2365</v>
      </c>
      <c r="AH1753" t="s">
        <v>2365</v>
      </c>
      <c r="AI1753" t="s">
        <v>2365</v>
      </c>
      <c r="AJ1753" t="s">
        <v>2365</v>
      </c>
      <c r="AK1753" t="s">
        <v>2365</v>
      </c>
      <c r="AL1753" t="s">
        <v>2365</v>
      </c>
      <c r="AM1753" t="s">
        <v>2365</v>
      </c>
      <c r="AN1753" t="s">
        <v>2365</v>
      </c>
      <c r="AQ1753" t="s">
        <v>553</v>
      </c>
      <c r="AR1753" t="s">
        <v>2365</v>
      </c>
      <c r="AS1753" t="s">
        <v>2365</v>
      </c>
      <c r="AT1753" t="s">
        <v>2365</v>
      </c>
      <c r="AU1753" t="s">
        <v>2365</v>
      </c>
      <c r="AV1753" t="s">
        <v>2365</v>
      </c>
      <c r="AW1753" t="s">
        <v>2365</v>
      </c>
      <c r="AX1753" t="s">
        <v>2365</v>
      </c>
      <c r="AY1753" t="s">
        <v>2365</v>
      </c>
      <c r="AZ1753" t="s">
        <v>2365</v>
      </c>
      <c r="BA1753" t="s">
        <v>2365</v>
      </c>
      <c r="BB1753" t="s">
        <v>2365</v>
      </c>
      <c r="BC1753" t="s">
        <v>2365</v>
      </c>
      <c r="BD1753" t="s">
        <v>2366</v>
      </c>
      <c r="BE1753" t="s">
        <v>2365</v>
      </c>
      <c r="BF1753" t="s">
        <v>2365</v>
      </c>
      <c r="BG1753" t="s">
        <v>2365</v>
      </c>
      <c r="BH1753" t="s">
        <v>2365</v>
      </c>
      <c r="BI1753" t="s">
        <v>2366</v>
      </c>
      <c r="BJ1753" t="s">
        <v>2365</v>
      </c>
      <c r="BK1753" t="s">
        <v>2365</v>
      </c>
      <c r="BL1753" t="s">
        <v>2365</v>
      </c>
      <c r="BM1753" t="s">
        <v>2365</v>
      </c>
      <c r="BO1753">
        <v>1</v>
      </c>
      <c r="BP1753">
        <v>11</v>
      </c>
      <c r="BQ1753" t="s">
        <v>2369</v>
      </c>
      <c r="BR1753" t="s">
        <v>1487</v>
      </c>
      <c r="BU1753">
        <v>2800000</v>
      </c>
      <c r="BV1753">
        <v>0</v>
      </c>
      <c r="BW1753">
        <v>2800000</v>
      </c>
      <c r="BX1753">
        <v>-2800000</v>
      </c>
      <c r="BY1753">
        <v>0</v>
      </c>
      <c r="BZ1753">
        <v>0</v>
      </c>
      <c r="CA1753">
        <v>0</v>
      </c>
      <c r="CB1753">
        <v>0</v>
      </c>
      <c r="CC1753">
        <v>0</v>
      </c>
      <c r="CD1753">
        <v>0</v>
      </c>
      <c r="CE1753">
        <v>0</v>
      </c>
      <c r="CF1753">
        <v>0</v>
      </c>
      <c r="CG1753">
        <v>0</v>
      </c>
      <c r="CH1753">
        <v>0</v>
      </c>
      <c r="CI1753">
        <v>0</v>
      </c>
      <c r="CJ1753">
        <v>0</v>
      </c>
      <c r="CK1753">
        <v>0</v>
      </c>
      <c r="CL1753">
        <v>0</v>
      </c>
      <c r="CM1753">
        <v>0</v>
      </c>
      <c r="CR1753" t="s">
        <v>2337</v>
      </c>
      <c r="CS1753" s="1369" t="str">
        <f>INDEX([8]Sheet1!$H:$H,MATCH(CR:CR,[8]Sheet1!$AU:$AU,0))</f>
        <v>Corporate Wide Strategic Planning (IDPs, LEDs)</v>
      </c>
    </row>
    <row r="1754" spans="1:97" x14ac:dyDescent="0.2">
      <c r="A1754" t="s">
        <v>4906</v>
      </c>
      <c r="B1754">
        <v>1852</v>
      </c>
      <c r="C1754" t="s">
        <v>4906</v>
      </c>
      <c r="D1754">
        <v>54852</v>
      </c>
      <c r="E1754" t="s">
        <v>2419</v>
      </c>
      <c r="F1754" t="s">
        <v>2364</v>
      </c>
      <c r="G1754" t="s">
        <v>2364</v>
      </c>
      <c r="H1754" t="s">
        <v>2365</v>
      </c>
      <c r="I1754" t="s">
        <v>2365</v>
      </c>
      <c r="J1754" t="s">
        <v>2365</v>
      </c>
      <c r="K1754" t="s">
        <v>2365</v>
      </c>
      <c r="L1754">
        <v>1200</v>
      </c>
      <c r="M1754" t="s">
        <v>1480</v>
      </c>
      <c r="N1754">
        <v>1204</v>
      </c>
      <c r="O1754" t="s">
        <v>1487</v>
      </c>
      <c r="P1754" t="s">
        <v>2366</v>
      </c>
      <c r="Q1754" t="s">
        <v>2364</v>
      </c>
      <c r="R1754" t="s">
        <v>2364</v>
      </c>
      <c r="S1754" t="s">
        <v>553</v>
      </c>
      <c r="T1754" t="s">
        <v>2175</v>
      </c>
      <c r="U1754">
        <v>120</v>
      </c>
      <c r="V1754" t="s">
        <v>691</v>
      </c>
      <c r="W1754">
        <v>120</v>
      </c>
      <c r="X1754" t="s">
        <v>691</v>
      </c>
      <c r="Y1754" t="s">
        <v>4473</v>
      </c>
      <c r="Z1754" t="s">
        <v>4467</v>
      </c>
      <c r="AA1754" t="s">
        <v>4473</v>
      </c>
      <c r="AB1754" t="s">
        <v>4467</v>
      </c>
      <c r="AC1754" s="813" t="s">
        <v>2365</v>
      </c>
      <c r="AD1754" s="813" t="s">
        <v>2365</v>
      </c>
      <c r="AE1754" s="813" t="s">
        <v>2365</v>
      </c>
      <c r="AF1754" t="s">
        <v>2365</v>
      </c>
      <c r="AG1754" t="s">
        <v>2365</v>
      </c>
      <c r="AH1754" t="s">
        <v>2365</v>
      </c>
      <c r="AI1754" t="s">
        <v>2365</v>
      </c>
      <c r="AJ1754" t="s">
        <v>2365</v>
      </c>
      <c r="AK1754" s="1373" t="s">
        <v>2365</v>
      </c>
      <c r="AL1754" t="s">
        <v>2365</v>
      </c>
      <c r="AM1754" t="s">
        <v>2365</v>
      </c>
      <c r="AN1754" t="s">
        <v>2365</v>
      </c>
      <c r="AQ1754" t="s">
        <v>2423</v>
      </c>
      <c r="AR1754" t="s">
        <v>2365</v>
      </c>
      <c r="AS1754" t="s">
        <v>2365</v>
      </c>
      <c r="AT1754" t="s">
        <v>2365</v>
      </c>
      <c r="AU1754" t="s">
        <v>2365</v>
      </c>
      <c r="AV1754" t="s">
        <v>2365</v>
      </c>
      <c r="AW1754" t="s">
        <v>2365</v>
      </c>
      <c r="AX1754" t="s">
        <v>2365</v>
      </c>
      <c r="AY1754" t="s">
        <v>2365</v>
      </c>
      <c r="AZ1754" t="s">
        <v>2365</v>
      </c>
      <c r="BA1754" t="s">
        <v>2365</v>
      </c>
      <c r="BB1754" t="s">
        <v>2365</v>
      </c>
      <c r="BC1754" t="s">
        <v>2365</v>
      </c>
      <c r="BD1754" t="s">
        <v>2366</v>
      </c>
      <c r="BE1754" t="s">
        <v>2365</v>
      </c>
      <c r="BF1754" t="s">
        <v>2365</v>
      </c>
      <c r="BG1754" t="s">
        <v>2365</v>
      </c>
      <c r="BH1754" t="s">
        <v>2365</v>
      </c>
      <c r="BI1754" t="s">
        <v>2366</v>
      </c>
      <c r="BJ1754" t="s">
        <v>2365</v>
      </c>
      <c r="BK1754" t="s">
        <v>2365</v>
      </c>
      <c r="BL1754" t="s">
        <v>2365</v>
      </c>
      <c r="BM1754" t="s">
        <v>2365</v>
      </c>
      <c r="BO1754">
        <v>1</v>
      </c>
      <c r="BP1754">
        <v>11</v>
      </c>
      <c r="BQ1754" t="s">
        <v>2369</v>
      </c>
      <c r="BR1754" t="s">
        <v>1487</v>
      </c>
      <c r="BU1754">
        <v>-2800000</v>
      </c>
      <c r="BV1754">
        <v>0</v>
      </c>
      <c r="BW1754">
        <v>-2800000</v>
      </c>
      <c r="BX1754">
        <v>2800000</v>
      </c>
      <c r="BY1754">
        <v>0</v>
      </c>
      <c r="BZ1754">
        <v>0</v>
      </c>
      <c r="CA1754">
        <v>0</v>
      </c>
      <c r="CB1754">
        <v>0</v>
      </c>
      <c r="CC1754">
        <v>0</v>
      </c>
      <c r="CD1754">
        <v>0</v>
      </c>
      <c r="CE1754">
        <v>0</v>
      </c>
      <c r="CF1754">
        <v>0</v>
      </c>
      <c r="CG1754">
        <v>0</v>
      </c>
      <c r="CH1754">
        <v>0</v>
      </c>
      <c r="CI1754">
        <v>0</v>
      </c>
      <c r="CJ1754">
        <v>0</v>
      </c>
      <c r="CK1754">
        <v>0</v>
      </c>
      <c r="CL1754">
        <v>0</v>
      </c>
      <c r="CM1754">
        <v>0</v>
      </c>
      <c r="CR1754" t="s">
        <v>2333</v>
      </c>
      <c r="CS1754" s="1369" t="str">
        <f>INDEX([8]Sheet1!$H:$H,MATCH(CR:CR,[8]Sheet1!$AU:$AU,0))</f>
        <v>Municipal Manager, Town Secretary and Chief Executive</v>
      </c>
    </row>
    <row r="1755" spans="1:97" x14ac:dyDescent="0.2">
      <c r="A1755" t="s">
        <v>4907</v>
      </c>
      <c r="B1755">
        <v>1853</v>
      </c>
      <c r="C1755" t="s">
        <v>4907</v>
      </c>
      <c r="D1755">
        <v>54853</v>
      </c>
      <c r="E1755" t="s">
        <v>4901</v>
      </c>
      <c r="F1755" t="s">
        <v>2364</v>
      </c>
      <c r="G1755" t="s">
        <v>2364</v>
      </c>
      <c r="H1755" t="s">
        <v>2365</v>
      </c>
      <c r="I1755" t="s">
        <v>2365</v>
      </c>
      <c r="J1755" t="s">
        <v>2365</v>
      </c>
      <c r="K1755" t="s">
        <v>2365</v>
      </c>
      <c r="L1755">
        <v>1200</v>
      </c>
      <c r="M1755" t="s">
        <v>1480</v>
      </c>
      <c r="N1755">
        <v>1204</v>
      </c>
      <c r="O1755" t="s">
        <v>1487</v>
      </c>
      <c r="P1755" t="s">
        <v>2366</v>
      </c>
      <c r="Q1755" t="s">
        <v>2364</v>
      </c>
      <c r="R1755" t="s">
        <v>2364</v>
      </c>
      <c r="S1755" t="s">
        <v>553</v>
      </c>
      <c r="T1755" t="s">
        <v>2175</v>
      </c>
      <c r="U1755">
        <v>120</v>
      </c>
      <c r="V1755" t="s">
        <v>691</v>
      </c>
      <c r="W1755">
        <v>120</v>
      </c>
      <c r="X1755" t="s">
        <v>691</v>
      </c>
      <c r="Y1755" t="s">
        <v>2365</v>
      </c>
      <c r="Z1755" t="s">
        <v>2365</v>
      </c>
      <c r="AA1755" t="s">
        <v>2365</v>
      </c>
      <c r="AB1755" t="s">
        <v>2365</v>
      </c>
      <c r="AC1755" s="813">
        <v>200</v>
      </c>
      <c r="AD1755" s="813" t="s">
        <v>4443</v>
      </c>
      <c r="AE1755" s="813">
        <v>480</v>
      </c>
      <c r="AF1755" t="s">
        <v>569</v>
      </c>
      <c r="AG1755" t="s">
        <v>2365</v>
      </c>
      <c r="AH1755" t="s">
        <v>2365</v>
      </c>
      <c r="AI1755" t="s">
        <v>2365</v>
      </c>
      <c r="AJ1755" t="s">
        <v>2365</v>
      </c>
      <c r="AK1755" t="s">
        <v>2365</v>
      </c>
      <c r="AL1755" t="s">
        <v>2365</v>
      </c>
      <c r="AM1755" t="s">
        <v>2365</v>
      </c>
      <c r="AN1755" t="s">
        <v>2365</v>
      </c>
      <c r="AR1755" t="s">
        <v>2365</v>
      </c>
      <c r="AS1755" t="s">
        <v>2365</v>
      </c>
      <c r="AT1755" t="s">
        <v>2365</v>
      </c>
      <c r="AU1755" t="s">
        <v>2365</v>
      </c>
      <c r="AV1755" t="s">
        <v>2365</v>
      </c>
      <c r="AW1755" t="s">
        <v>2365</v>
      </c>
      <c r="AX1755" t="s">
        <v>2365</v>
      </c>
      <c r="AY1755" t="s">
        <v>2365</v>
      </c>
      <c r="AZ1755" t="s">
        <v>2365</v>
      </c>
      <c r="BA1755" t="s">
        <v>2365</v>
      </c>
      <c r="BB1755" t="s">
        <v>2365</v>
      </c>
      <c r="BC1755" t="s">
        <v>2365</v>
      </c>
      <c r="BD1755" t="s">
        <v>2366</v>
      </c>
      <c r="BE1755" t="s">
        <v>2365</v>
      </c>
      <c r="BF1755" t="s">
        <v>2365</v>
      </c>
      <c r="BG1755" t="s">
        <v>2365</v>
      </c>
      <c r="BH1755" t="s">
        <v>2365</v>
      </c>
      <c r="BI1755" t="s">
        <v>2366</v>
      </c>
      <c r="BJ1755" t="s">
        <v>2365</v>
      </c>
      <c r="BK1755" t="s">
        <v>2365</v>
      </c>
      <c r="BL1755" t="s">
        <v>2365</v>
      </c>
      <c r="BM1755" t="s">
        <v>2365</v>
      </c>
      <c r="BO1755">
        <v>1</v>
      </c>
      <c r="BP1755">
        <v>11</v>
      </c>
      <c r="BQ1755" t="s">
        <v>2369</v>
      </c>
      <c r="BR1755" t="s">
        <v>1487</v>
      </c>
      <c r="BU1755">
        <v>0</v>
      </c>
      <c r="BV1755">
        <v>0</v>
      </c>
      <c r="BW1755">
        <v>0</v>
      </c>
      <c r="BX1755">
        <v>0</v>
      </c>
      <c r="BY1755">
        <v>0</v>
      </c>
      <c r="BZ1755">
        <v>0</v>
      </c>
      <c r="CA1755">
        <v>0</v>
      </c>
      <c r="CB1755">
        <v>0</v>
      </c>
      <c r="CC1755">
        <v>0</v>
      </c>
      <c r="CD1755">
        <v>0</v>
      </c>
      <c r="CE1755">
        <v>0</v>
      </c>
      <c r="CF1755">
        <v>0</v>
      </c>
      <c r="CG1755">
        <v>0</v>
      </c>
      <c r="CH1755">
        <v>0</v>
      </c>
      <c r="CI1755">
        <v>0</v>
      </c>
      <c r="CJ1755">
        <v>0</v>
      </c>
      <c r="CK1755">
        <v>0</v>
      </c>
      <c r="CL1755">
        <v>0</v>
      </c>
      <c r="CM1755">
        <v>0</v>
      </c>
      <c r="CR1755" t="s">
        <v>2324</v>
      </c>
      <c r="CS1755" s="1369" t="str">
        <f>INDEX([8]Sheet1!$H:$H,MATCH(CR:CR,[8]Sheet1!$AU:$AU,0))</f>
        <v>Finance</v>
      </c>
    </row>
    <row r="1756" spans="1:97" x14ac:dyDescent="0.2">
      <c r="A1756" t="s">
        <v>4908</v>
      </c>
      <c r="B1756">
        <v>1854</v>
      </c>
      <c r="C1756" t="s">
        <v>4908</v>
      </c>
      <c r="D1756">
        <v>54854</v>
      </c>
      <c r="E1756" t="s">
        <v>4903</v>
      </c>
      <c r="F1756" t="s">
        <v>2364</v>
      </c>
      <c r="G1756" t="s">
        <v>2364</v>
      </c>
      <c r="H1756" t="s">
        <v>2365</v>
      </c>
      <c r="I1756" t="s">
        <v>2365</v>
      </c>
      <c r="J1756" t="s">
        <v>2365</v>
      </c>
      <c r="K1756" t="s">
        <v>2365</v>
      </c>
      <c r="L1756">
        <v>1200</v>
      </c>
      <c r="M1756" t="s">
        <v>1480</v>
      </c>
      <c r="N1756">
        <v>1204</v>
      </c>
      <c r="O1756" t="s">
        <v>1487</v>
      </c>
      <c r="P1756" t="s">
        <v>2366</v>
      </c>
      <c r="Q1756" t="s">
        <v>2364</v>
      </c>
      <c r="R1756" t="s">
        <v>2364</v>
      </c>
      <c r="S1756" t="s">
        <v>553</v>
      </c>
      <c r="T1756" t="s">
        <v>2175</v>
      </c>
      <c r="U1756">
        <v>120</v>
      </c>
      <c r="V1756" t="s">
        <v>691</v>
      </c>
      <c r="W1756">
        <v>120</v>
      </c>
      <c r="X1756" t="s">
        <v>691</v>
      </c>
      <c r="Y1756" t="s">
        <v>2365</v>
      </c>
      <c r="Z1756" t="s">
        <v>2365</v>
      </c>
      <c r="AA1756" t="s">
        <v>2365</v>
      </c>
      <c r="AB1756" t="s">
        <v>2365</v>
      </c>
      <c r="AC1756" s="813" t="s">
        <v>2365</v>
      </c>
      <c r="AD1756" s="813" t="s">
        <v>2365</v>
      </c>
      <c r="AE1756" s="813" t="s">
        <v>2365</v>
      </c>
      <c r="AF1756" t="s">
        <v>2365</v>
      </c>
      <c r="AG1756" t="s">
        <v>2365</v>
      </c>
      <c r="AH1756" t="s">
        <v>2365</v>
      </c>
      <c r="AI1756" t="s">
        <v>2365</v>
      </c>
      <c r="AJ1756" t="s">
        <v>2365</v>
      </c>
      <c r="AK1756" s="1373" t="s">
        <v>2365</v>
      </c>
      <c r="AL1756" t="s">
        <v>2365</v>
      </c>
      <c r="AM1756" t="s">
        <v>2365</v>
      </c>
      <c r="AN1756" t="s">
        <v>2365</v>
      </c>
      <c r="AR1756" t="s">
        <v>2365</v>
      </c>
      <c r="AS1756" t="s">
        <v>2365</v>
      </c>
      <c r="AT1756" t="s">
        <v>2365</v>
      </c>
      <c r="AU1756" t="s">
        <v>2365</v>
      </c>
      <c r="AV1756" t="s">
        <v>2365</v>
      </c>
      <c r="AW1756" t="s">
        <v>2365</v>
      </c>
      <c r="AX1756" t="s">
        <v>2365</v>
      </c>
      <c r="AY1756" t="s">
        <v>2365</v>
      </c>
      <c r="AZ1756" t="s">
        <v>2365</v>
      </c>
      <c r="BA1756" t="s">
        <v>2365</v>
      </c>
      <c r="BB1756" t="s">
        <v>2365</v>
      </c>
      <c r="BC1756" t="s">
        <v>2365</v>
      </c>
      <c r="BD1756" t="s">
        <v>2366</v>
      </c>
      <c r="BE1756" t="s">
        <v>2365</v>
      </c>
      <c r="BF1756" t="s">
        <v>2365</v>
      </c>
      <c r="BG1756" t="s">
        <v>2365</v>
      </c>
      <c r="BH1756" t="s">
        <v>2365</v>
      </c>
      <c r="BI1756" t="s">
        <v>2366</v>
      </c>
      <c r="BJ1756" t="s">
        <v>2365</v>
      </c>
      <c r="BK1756" t="s">
        <v>2365</v>
      </c>
      <c r="BL1756" t="s">
        <v>2365</v>
      </c>
      <c r="BM1756" t="s">
        <v>2365</v>
      </c>
      <c r="BO1756">
        <v>1</v>
      </c>
      <c r="BP1756">
        <v>11</v>
      </c>
      <c r="BQ1756" t="s">
        <v>2369</v>
      </c>
      <c r="BR1756" t="s">
        <v>1487</v>
      </c>
      <c r="BU1756">
        <v>0</v>
      </c>
      <c r="BV1756">
        <v>0</v>
      </c>
      <c r="BW1756">
        <v>0</v>
      </c>
      <c r="BX1756">
        <v>0</v>
      </c>
      <c r="BY1756">
        <v>0</v>
      </c>
      <c r="BZ1756">
        <v>0</v>
      </c>
      <c r="CA1756">
        <v>0</v>
      </c>
      <c r="CB1756">
        <v>0</v>
      </c>
      <c r="CC1756">
        <v>0</v>
      </c>
      <c r="CD1756">
        <v>0</v>
      </c>
      <c r="CE1756">
        <v>0</v>
      </c>
      <c r="CF1756">
        <v>0</v>
      </c>
      <c r="CG1756">
        <v>0</v>
      </c>
      <c r="CH1756">
        <v>0</v>
      </c>
      <c r="CI1756">
        <v>0</v>
      </c>
      <c r="CJ1756">
        <v>0</v>
      </c>
      <c r="CK1756">
        <v>0</v>
      </c>
      <c r="CL1756">
        <v>0</v>
      </c>
      <c r="CM1756">
        <v>0</v>
      </c>
      <c r="CR1756" t="s">
        <v>2327</v>
      </c>
      <c r="CS1756" s="1369" t="str">
        <f>INDEX([8]Sheet1!$H:$H,MATCH(CR:CR,[8]Sheet1!$AU:$AU,0))</f>
        <v>Education</v>
      </c>
    </row>
    <row r="1757" spans="1:97" x14ac:dyDescent="0.2">
      <c r="A1757" t="s">
        <v>4909</v>
      </c>
      <c r="B1757">
        <v>1855</v>
      </c>
      <c r="C1757" t="s">
        <v>4909</v>
      </c>
      <c r="D1757">
        <v>54855</v>
      </c>
      <c r="E1757" t="s">
        <v>4898</v>
      </c>
      <c r="F1757" t="s">
        <v>2364</v>
      </c>
      <c r="G1757" t="s">
        <v>2364</v>
      </c>
      <c r="H1757" t="s">
        <v>2365</v>
      </c>
      <c r="I1757" t="s">
        <v>2365</v>
      </c>
      <c r="J1757" t="s">
        <v>2365</v>
      </c>
      <c r="K1757" t="s">
        <v>2365</v>
      </c>
      <c r="L1757">
        <v>1200</v>
      </c>
      <c r="M1757" t="s">
        <v>1480</v>
      </c>
      <c r="N1757">
        <v>1204</v>
      </c>
      <c r="O1757" t="s">
        <v>1487</v>
      </c>
      <c r="P1757" t="s">
        <v>2366</v>
      </c>
      <c r="Q1757" t="s">
        <v>2364</v>
      </c>
      <c r="R1757" t="s">
        <v>2364</v>
      </c>
      <c r="S1757" t="s">
        <v>553</v>
      </c>
      <c r="T1757" t="s">
        <v>2175</v>
      </c>
      <c r="U1757">
        <v>120</v>
      </c>
      <c r="V1757" t="s">
        <v>691</v>
      </c>
      <c r="W1757">
        <v>120</v>
      </c>
      <c r="X1757" t="s">
        <v>691</v>
      </c>
      <c r="Y1757" t="s">
        <v>2365</v>
      </c>
      <c r="Z1757" t="s">
        <v>2365</v>
      </c>
      <c r="AA1757" t="s">
        <v>2365</v>
      </c>
      <c r="AB1757" t="s">
        <v>2365</v>
      </c>
      <c r="AC1757" s="813">
        <v>420</v>
      </c>
      <c r="AD1757" s="813" t="s">
        <v>4866</v>
      </c>
      <c r="AE1757" s="813">
        <v>560</v>
      </c>
      <c r="AF1757" t="s">
        <v>4866</v>
      </c>
      <c r="AG1757" t="s">
        <v>2365</v>
      </c>
      <c r="AH1757" t="s">
        <v>2365</v>
      </c>
      <c r="AI1757" t="s">
        <v>2365</v>
      </c>
      <c r="AJ1757" t="s">
        <v>2365</v>
      </c>
      <c r="AK1757" t="s">
        <v>2365</v>
      </c>
      <c r="AL1757" t="s">
        <v>2365</v>
      </c>
      <c r="AM1757" t="s">
        <v>2365</v>
      </c>
      <c r="AN1757" t="s">
        <v>2365</v>
      </c>
      <c r="AR1757" t="s">
        <v>2365</v>
      </c>
      <c r="AS1757" t="s">
        <v>2365</v>
      </c>
      <c r="AT1757" t="s">
        <v>2365</v>
      </c>
      <c r="AU1757" t="s">
        <v>2365</v>
      </c>
      <c r="AV1757" t="s">
        <v>2365</v>
      </c>
      <c r="AW1757" t="s">
        <v>2365</v>
      </c>
      <c r="AX1757" t="s">
        <v>2365</v>
      </c>
      <c r="AY1757" t="s">
        <v>2365</v>
      </c>
      <c r="AZ1757" t="s">
        <v>2365</v>
      </c>
      <c r="BA1757" t="s">
        <v>2365</v>
      </c>
      <c r="BB1757" t="s">
        <v>2365</v>
      </c>
      <c r="BC1757" t="s">
        <v>2365</v>
      </c>
      <c r="BD1757" t="s">
        <v>2366</v>
      </c>
      <c r="BE1757" t="s">
        <v>2365</v>
      </c>
      <c r="BF1757" t="s">
        <v>2365</v>
      </c>
      <c r="BG1757" t="s">
        <v>2365</v>
      </c>
      <c r="BH1757" t="s">
        <v>2365</v>
      </c>
      <c r="BI1757" t="s">
        <v>2366</v>
      </c>
      <c r="BJ1757" t="s">
        <v>2365</v>
      </c>
      <c r="BK1757" t="s">
        <v>2365</v>
      </c>
      <c r="BL1757" t="s">
        <v>2365</v>
      </c>
      <c r="BM1757" t="s">
        <v>2365</v>
      </c>
      <c r="BO1757">
        <v>1</v>
      </c>
      <c r="BP1757">
        <v>11</v>
      </c>
      <c r="BQ1757" t="s">
        <v>2369</v>
      </c>
      <c r="BR1757" t="s">
        <v>1487</v>
      </c>
      <c r="BU1757">
        <v>0</v>
      </c>
      <c r="BV1757">
        <v>0</v>
      </c>
      <c r="BW1757">
        <v>0</v>
      </c>
      <c r="BX1757">
        <v>0</v>
      </c>
      <c r="BY1757">
        <v>0</v>
      </c>
      <c r="BZ1757">
        <v>0</v>
      </c>
      <c r="CA1757">
        <v>0</v>
      </c>
      <c r="CB1757">
        <v>0</v>
      </c>
      <c r="CC1757">
        <v>0</v>
      </c>
      <c r="CD1757">
        <v>0</v>
      </c>
      <c r="CE1757">
        <v>0</v>
      </c>
      <c r="CF1757">
        <v>0</v>
      </c>
      <c r="CG1757">
        <v>0</v>
      </c>
      <c r="CH1757">
        <v>0</v>
      </c>
      <c r="CI1757">
        <v>0</v>
      </c>
      <c r="CJ1757">
        <v>0</v>
      </c>
      <c r="CK1757">
        <v>0</v>
      </c>
      <c r="CL1757">
        <v>0</v>
      </c>
      <c r="CM1757">
        <v>0</v>
      </c>
      <c r="CR1757" t="s">
        <v>2319</v>
      </c>
      <c r="CS1757" s="1369" t="str">
        <f>INDEX([8]Sheet1!$H:$H,MATCH(CR:CR,[8]Sheet1!$AU:$AU,0))</f>
        <v>Mayor and Council</v>
      </c>
    </row>
    <row r="1758" spans="1:97" x14ac:dyDescent="0.2">
      <c r="A1758" t="s">
        <v>4910</v>
      </c>
      <c r="B1758">
        <v>1856</v>
      </c>
      <c r="C1758" t="s">
        <v>4910</v>
      </c>
      <c r="D1758">
        <v>54856</v>
      </c>
      <c r="E1758" t="s">
        <v>4903</v>
      </c>
      <c r="F1758" t="s">
        <v>2364</v>
      </c>
      <c r="G1758" t="s">
        <v>2364</v>
      </c>
      <c r="H1758" t="s">
        <v>2365</v>
      </c>
      <c r="I1758" t="s">
        <v>2365</v>
      </c>
      <c r="J1758" t="s">
        <v>2365</v>
      </c>
      <c r="K1758" t="s">
        <v>2365</v>
      </c>
      <c r="L1758">
        <v>1200</v>
      </c>
      <c r="M1758" t="s">
        <v>1480</v>
      </c>
      <c r="N1758">
        <v>1204</v>
      </c>
      <c r="O1758" t="s">
        <v>1487</v>
      </c>
      <c r="P1758" t="s">
        <v>2366</v>
      </c>
      <c r="Q1758" t="s">
        <v>2364</v>
      </c>
      <c r="R1758" t="s">
        <v>2364</v>
      </c>
      <c r="S1758" t="s">
        <v>553</v>
      </c>
      <c r="T1758" t="s">
        <v>2175</v>
      </c>
      <c r="U1758">
        <v>120</v>
      </c>
      <c r="V1758" t="s">
        <v>691</v>
      </c>
      <c r="W1758">
        <v>120</v>
      </c>
      <c r="X1758" t="s">
        <v>691</v>
      </c>
      <c r="Y1758" t="s">
        <v>2365</v>
      </c>
      <c r="Z1758" t="s">
        <v>2365</v>
      </c>
      <c r="AA1758" t="s">
        <v>2365</v>
      </c>
      <c r="AB1758" t="s">
        <v>2365</v>
      </c>
      <c r="AC1758" s="813" t="s">
        <v>2365</v>
      </c>
      <c r="AD1758" s="813" t="s">
        <v>2365</v>
      </c>
      <c r="AE1758" s="813" t="s">
        <v>2365</v>
      </c>
      <c r="AF1758" t="s">
        <v>2365</v>
      </c>
      <c r="AG1758" t="s">
        <v>2365</v>
      </c>
      <c r="AH1758" t="s">
        <v>2365</v>
      </c>
      <c r="AI1758" t="s">
        <v>2365</v>
      </c>
      <c r="AJ1758" t="s">
        <v>2365</v>
      </c>
      <c r="AK1758" t="s">
        <v>2365</v>
      </c>
      <c r="AL1758" t="s">
        <v>2365</v>
      </c>
      <c r="AM1758" t="s">
        <v>2365</v>
      </c>
      <c r="AN1758" t="s">
        <v>2365</v>
      </c>
      <c r="AR1758" t="s">
        <v>2365</v>
      </c>
      <c r="AS1758" t="s">
        <v>2365</v>
      </c>
      <c r="AT1758" t="s">
        <v>2365</v>
      </c>
      <c r="AU1758" t="s">
        <v>2365</v>
      </c>
      <c r="AV1758" t="s">
        <v>2365</v>
      </c>
      <c r="AW1758" t="s">
        <v>2365</v>
      </c>
      <c r="AX1758" t="s">
        <v>2365</v>
      </c>
      <c r="AY1758" t="s">
        <v>2365</v>
      </c>
      <c r="AZ1758" t="s">
        <v>2365</v>
      </c>
      <c r="BA1758" t="s">
        <v>2365</v>
      </c>
      <c r="BB1758" t="s">
        <v>2365</v>
      </c>
      <c r="BC1758" t="s">
        <v>2365</v>
      </c>
      <c r="BD1758" t="s">
        <v>2366</v>
      </c>
      <c r="BE1758" t="s">
        <v>2365</v>
      </c>
      <c r="BF1758" t="s">
        <v>2365</v>
      </c>
      <c r="BG1758" t="s">
        <v>2365</v>
      </c>
      <c r="BH1758" t="s">
        <v>2365</v>
      </c>
      <c r="BI1758" t="s">
        <v>2366</v>
      </c>
      <c r="BJ1758" t="s">
        <v>2365</v>
      </c>
      <c r="BK1758" t="s">
        <v>2365</v>
      </c>
      <c r="BL1758" t="s">
        <v>2365</v>
      </c>
      <c r="BM1758" t="s">
        <v>2365</v>
      </c>
      <c r="BO1758">
        <v>1</v>
      </c>
      <c r="BP1758">
        <v>11</v>
      </c>
      <c r="BQ1758" t="s">
        <v>2369</v>
      </c>
      <c r="BR1758" t="s">
        <v>1487</v>
      </c>
      <c r="BU1758">
        <v>0</v>
      </c>
      <c r="BV1758">
        <v>0</v>
      </c>
      <c r="BW1758">
        <v>0</v>
      </c>
      <c r="BX1758">
        <v>0</v>
      </c>
      <c r="BY1758">
        <v>0</v>
      </c>
      <c r="BZ1758">
        <v>0</v>
      </c>
      <c r="CA1758">
        <v>0</v>
      </c>
      <c r="CB1758">
        <v>0</v>
      </c>
      <c r="CC1758">
        <v>0</v>
      </c>
      <c r="CD1758">
        <v>0</v>
      </c>
      <c r="CE1758">
        <v>0</v>
      </c>
      <c r="CF1758">
        <v>0</v>
      </c>
      <c r="CG1758">
        <v>0</v>
      </c>
      <c r="CH1758">
        <v>0</v>
      </c>
      <c r="CI1758">
        <v>0</v>
      </c>
      <c r="CJ1758">
        <v>0</v>
      </c>
      <c r="CK1758">
        <v>0</v>
      </c>
      <c r="CL1758">
        <v>0</v>
      </c>
      <c r="CM1758">
        <v>0</v>
      </c>
      <c r="CR1758" t="s">
        <v>2320</v>
      </c>
      <c r="CS1758" s="1369" t="str">
        <f>INDEX([8]Sheet1!$H:$H,MATCH(CR:CR,[8]Sheet1!$AU:$AU,0))</f>
        <v>Administrative and Corporate Support</v>
      </c>
    </row>
    <row r="1759" spans="1:97" x14ac:dyDescent="0.2">
      <c r="A1759" t="s">
        <v>4911</v>
      </c>
      <c r="B1759">
        <v>1857</v>
      </c>
      <c r="C1759" t="s">
        <v>4911</v>
      </c>
      <c r="D1759">
        <v>54857</v>
      </c>
      <c r="E1759" t="s">
        <v>4898</v>
      </c>
      <c r="F1759" t="s">
        <v>2364</v>
      </c>
      <c r="G1759" t="s">
        <v>2364</v>
      </c>
      <c r="H1759" t="s">
        <v>2365</v>
      </c>
      <c r="I1759" t="s">
        <v>2365</v>
      </c>
      <c r="J1759" t="s">
        <v>2365</v>
      </c>
      <c r="K1759" t="s">
        <v>2365</v>
      </c>
      <c r="L1759">
        <v>1200</v>
      </c>
      <c r="M1759" t="s">
        <v>1480</v>
      </c>
      <c r="N1759">
        <v>1204</v>
      </c>
      <c r="O1759" t="s">
        <v>1487</v>
      </c>
      <c r="P1759" t="s">
        <v>2366</v>
      </c>
      <c r="Q1759" t="s">
        <v>2364</v>
      </c>
      <c r="R1759" t="s">
        <v>2364</v>
      </c>
      <c r="S1759" t="s">
        <v>553</v>
      </c>
      <c r="T1759" t="s">
        <v>2175</v>
      </c>
      <c r="U1759">
        <v>120</v>
      </c>
      <c r="V1759" t="s">
        <v>691</v>
      </c>
      <c r="W1759">
        <v>120</v>
      </c>
      <c r="X1759" t="s">
        <v>691</v>
      </c>
      <c r="Y1759" t="s">
        <v>2365</v>
      </c>
      <c r="Z1759" t="s">
        <v>2365</v>
      </c>
      <c r="AA1759" t="s">
        <v>2365</v>
      </c>
      <c r="AB1759" t="s">
        <v>2365</v>
      </c>
      <c r="AC1759" s="813">
        <v>420</v>
      </c>
      <c r="AD1759" s="813" t="s">
        <v>4866</v>
      </c>
      <c r="AE1759" s="813">
        <v>560</v>
      </c>
      <c r="AF1759" t="s">
        <v>4866</v>
      </c>
      <c r="AG1759" t="s">
        <v>2365</v>
      </c>
      <c r="AH1759" t="s">
        <v>2365</v>
      </c>
      <c r="AI1759" t="s">
        <v>2365</v>
      </c>
      <c r="AJ1759" t="s">
        <v>2365</v>
      </c>
      <c r="AK1759" t="s">
        <v>2365</v>
      </c>
      <c r="AL1759" t="s">
        <v>2365</v>
      </c>
      <c r="AM1759" t="s">
        <v>2365</v>
      </c>
      <c r="AN1759" t="s">
        <v>2365</v>
      </c>
      <c r="AR1759" t="s">
        <v>2365</v>
      </c>
      <c r="AS1759" t="s">
        <v>2365</v>
      </c>
      <c r="AT1759" t="s">
        <v>2365</v>
      </c>
      <c r="AU1759" t="s">
        <v>2365</v>
      </c>
      <c r="AV1759" t="s">
        <v>2365</v>
      </c>
      <c r="AW1759" t="s">
        <v>2365</v>
      </c>
      <c r="AX1759" t="s">
        <v>2365</v>
      </c>
      <c r="AY1759" t="s">
        <v>2365</v>
      </c>
      <c r="AZ1759" t="s">
        <v>2365</v>
      </c>
      <c r="BA1759" t="s">
        <v>2365</v>
      </c>
      <c r="BB1759" t="s">
        <v>2365</v>
      </c>
      <c r="BC1759" t="s">
        <v>2365</v>
      </c>
      <c r="BD1759" t="s">
        <v>2366</v>
      </c>
      <c r="BE1759" t="s">
        <v>2365</v>
      </c>
      <c r="BF1759" t="s">
        <v>2365</v>
      </c>
      <c r="BG1759" t="s">
        <v>2365</v>
      </c>
      <c r="BH1759" t="s">
        <v>2365</v>
      </c>
      <c r="BI1759" t="s">
        <v>2366</v>
      </c>
      <c r="BJ1759" t="s">
        <v>2365</v>
      </c>
      <c r="BK1759" t="s">
        <v>2365</v>
      </c>
      <c r="BL1759" t="s">
        <v>2365</v>
      </c>
      <c r="BM1759" t="s">
        <v>2365</v>
      </c>
      <c r="BO1759">
        <v>1</v>
      </c>
      <c r="BP1759">
        <v>11</v>
      </c>
      <c r="BQ1759" t="s">
        <v>2369</v>
      </c>
      <c r="BR1759" t="s">
        <v>1487</v>
      </c>
      <c r="BU1759">
        <v>0</v>
      </c>
      <c r="BV1759">
        <v>0</v>
      </c>
      <c r="BW1759">
        <v>0</v>
      </c>
      <c r="BX1759">
        <v>0</v>
      </c>
      <c r="BY1759">
        <v>0</v>
      </c>
      <c r="BZ1759">
        <v>0</v>
      </c>
      <c r="CA1759">
        <v>0</v>
      </c>
      <c r="CB1759">
        <v>0</v>
      </c>
      <c r="CC1759">
        <v>0</v>
      </c>
      <c r="CD1759">
        <v>0</v>
      </c>
      <c r="CE1759">
        <v>0</v>
      </c>
      <c r="CF1759">
        <v>0</v>
      </c>
      <c r="CG1759">
        <v>0</v>
      </c>
      <c r="CH1759">
        <v>0</v>
      </c>
      <c r="CI1759">
        <v>0</v>
      </c>
      <c r="CJ1759">
        <v>0</v>
      </c>
      <c r="CK1759">
        <v>0</v>
      </c>
      <c r="CL1759">
        <v>0</v>
      </c>
      <c r="CM1759">
        <v>0</v>
      </c>
      <c r="CR1759" t="s">
        <v>2328</v>
      </c>
      <c r="CS1759" s="1369" t="str">
        <f>INDEX([8]Sheet1!$H:$H,MATCH(CR:CR,[8]Sheet1!$AU:$AU,0))</f>
        <v>Water Distribution</v>
      </c>
    </row>
    <row r="1760" spans="1:97" x14ac:dyDescent="0.2">
      <c r="A1760" t="s">
        <v>4912</v>
      </c>
      <c r="B1760">
        <v>1858</v>
      </c>
      <c r="C1760" t="s">
        <v>4912</v>
      </c>
      <c r="D1760">
        <v>54858</v>
      </c>
      <c r="E1760" t="s">
        <v>4901</v>
      </c>
      <c r="F1760" t="s">
        <v>2364</v>
      </c>
      <c r="G1760" t="s">
        <v>2364</v>
      </c>
      <c r="H1760" t="s">
        <v>2365</v>
      </c>
      <c r="I1760" t="s">
        <v>2365</v>
      </c>
      <c r="J1760" t="s">
        <v>2365</v>
      </c>
      <c r="K1760" t="s">
        <v>2365</v>
      </c>
      <c r="L1760">
        <v>1200</v>
      </c>
      <c r="M1760" t="s">
        <v>1480</v>
      </c>
      <c r="N1760">
        <v>1204</v>
      </c>
      <c r="O1760" t="s">
        <v>1487</v>
      </c>
      <c r="P1760" t="s">
        <v>2366</v>
      </c>
      <c r="Q1760" t="s">
        <v>2364</v>
      </c>
      <c r="R1760" t="s">
        <v>2364</v>
      </c>
      <c r="S1760" t="s">
        <v>553</v>
      </c>
      <c r="T1760" t="s">
        <v>2175</v>
      </c>
      <c r="U1760">
        <v>120</v>
      </c>
      <c r="V1760" t="s">
        <v>691</v>
      </c>
      <c r="W1760">
        <v>120</v>
      </c>
      <c r="X1760" t="s">
        <v>691</v>
      </c>
      <c r="Y1760" t="s">
        <v>2365</v>
      </c>
      <c r="Z1760" t="s">
        <v>2365</v>
      </c>
      <c r="AA1760" t="s">
        <v>2365</v>
      </c>
      <c r="AB1760" t="s">
        <v>2365</v>
      </c>
      <c r="AC1760" s="813">
        <v>200</v>
      </c>
      <c r="AD1760" s="813" t="s">
        <v>4443</v>
      </c>
      <c r="AE1760" s="813">
        <v>480</v>
      </c>
      <c r="AF1760" t="s">
        <v>569</v>
      </c>
      <c r="AG1760" t="s">
        <v>2365</v>
      </c>
      <c r="AH1760" t="s">
        <v>2365</v>
      </c>
      <c r="AI1760" t="s">
        <v>2365</v>
      </c>
      <c r="AJ1760" t="s">
        <v>2365</v>
      </c>
      <c r="AK1760" t="s">
        <v>2365</v>
      </c>
      <c r="AL1760" t="s">
        <v>2365</v>
      </c>
      <c r="AM1760" t="s">
        <v>2365</v>
      </c>
      <c r="AN1760" t="s">
        <v>2365</v>
      </c>
      <c r="AR1760" t="s">
        <v>2365</v>
      </c>
      <c r="AS1760" t="s">
        <v>2365</v>
      </c>
      <c r="AT1760" t="s">
        <v>2365</v>
      </c>
      <c r="AU1760" t="s">
        <v>2365</v>
      </c>
      <c r="AV1760" t="s">
        <v>2365</v>
      </c>
      <c r="AW1760" t="s">
        <v>2365</v>
      </c>
      <c r="AX1760" t="s">
        <v>2365</v>
      </c>
      <c r="AY1760" t="s">
        <v>2365</v>
      </c>
      <c r="AZ1760" t="s">
        <v>2365</v>
      </c>
      <c r="BA1760" t="s">
        <v>2365</v>
      </c>
      <c r="BB1760" t="s">
        <v>2365</v>
      </c>
      <c r="BC1760" t="s">
        <v>2365</v>
      </c>
      <c r="BD1760" t="s">
        <v>2366</v>
      </c>
      <c r="BE1760" t="s">
        <v>2365</v>
      </c>
      <c r="BF1760" t="s">
        <v>2365</v>
      </c>
      <c r="BG1760" t="s">
        <v>2365</v>
      </c>
      <c r="BH1760" t="s">
        <v>2365</v>
      </c>
      <c r="BI1760" t="s">
        <v>2366</v>
      </c>
      <c r="BJ1760" t="s">
        <v>2365</v>
      </c>
      <c r="BK1760" t="s">
        <v>2365</v>
      </c>
      <c r="BL1760" t="s">
        <v>2365</v>
      </c>
      <c r="BM1760" t="s">
        <v>2365</v>
      </c>
      <c r="BO1760">
        <v>1</v>
      </c>
      <c r="BP1760">
        <v>11</v>
      </c>
      <c r="BQ1760" t="s">
        <v>2369</v>
      </c>
      <c r="BR1760" t="s">
        <v>1487</v>
      </c>
      <c r="BU1760">
        <v>0</v>
      </c>
      <c r="BV1760">
        <v>0</v>
      </c>
      <c r="BW1760">
        <v>0</v>
      </c>
      <c r="BX1760">
        <v>0</v>
      </c>
      <c r="BY1760">
        <v>0</v>
      </c>
      <c r="BZ1760">
        <v>0</v>
      </c>
      <c r="CA1760">
        <v>0</v>
      </c>
      <c r="CB1760">
        <v>0</v>
      </c>
      <c r="CC1760">
        <v>0</v>
      </c>
      <c r="CD1760">
        <v>0</v>
      </c>
      <c r="CE1760">
        <v>0</v>
      </c>
      <c r="CF1760">
        <v>0</v>
      </c>
      <c r="CG1760">
        <v>0</v>
      </c>
      <c r="CH1760">
        <v>0</v>
      </c>
      <c r="CI1760">
        <v>0</v>
      </c>
      <c r="CJ1760">
        <v>0</v>
      </c>
      <c r="CK1760">
        <v>0</v>
      </c>
      <c r="CL1760">
        <v>0</v>
      </c>
      <c r="CM1760">
        <v>0</v>
      </c>
      <c r="CR1760" t="s">
        <v>2337</v>
      </c>
      <c r="CS1760" s="1369" t="str">
        <f>INDEX([8]Sheet1!$H:$H,MATCH(CR:CR,[8]Sheet1!$AU:$AU,0))</f>
        <v>Corporate Wide Strategic Planning (IDPs, LEDs)</v>
      </c>
    </row>
    <row r="1761" spans="1:97" x14ac:dyDescent="0.2">
      <c r="A1761" t="s">
        <v>4913</v>
      </c>
      <c r="B1761">
        <v>1859</v>
      </c>
      <c r="C1761" t="s">
        <v>4913</v>
      </c>
      <c r="D1761">
        <v>54859</v>
      </c>
      <c r="E1761" t="s">
        <v>2419</v>
      </c>
      <c r="F1761" t="s">
        <v>2364</v>
      </c>
      <c r="G1761" t="s">
        <v>2364</v>
      </c>
      <c r="H1761" t="s">
        <v>2365</v>
      </c>
      <c r="I1761" t="s">
        <v>2365</v>
      </c>
      <c r="J1761" t="s">
        <v>2365</v>
      </c>
      <c r="K1761" t="s">
        <v>2365</v>
      </c>
      <c r="L1761">
        <v>1200</v>
      </c>
      <c r="M1761" t="s">
        <v>1480</v>
      </c>
      <c r="N1761">
        <v>1204</v>
      </c>
      <c r="O1761" t="s">
        <v>1487</v>
      </c>
      <c r="P1761" t="s">
        <v>2366</v>
      </c>
      <c r="Q1761" t="s">
        <v>2364</v>
      </c>
      <c r="R1761" t="s">
        <v>2364</v>
      </c>
      <c r="S1761" t="s">
        <v>553</v>
      </c>
      <c r="T1761" t="s">
        <v>2175</v>
      </c>
      <c r="U1761">
        <v>120</v>
      </c>
      <c r="V1761" t="s">
        <v>691</v>
      </c>
      <c r="W1761">
        <v>120</v>
      </c>
      <c r="X1761" t="s">
        <v>691</v>
      </c>
      <c r="Y1761" t="s">
        <v>4473</v>
      </c>
      <c r="Z1761" t="s">
        <v>4467</v>
      </c>
      <c r="AA1761" t="s">
        <v>4473</v>
      </c>
      <c r="AB1761" t="s">
        <v>4467</v>
      </c>
      <c r="AC1761" s="813" t="s">
        <v>2365</v>
      </c>
      <c r="AD1761" s="813" t="s">
        <v>2365</v>
      </c>
      <c r="AE1761" s="813" t="s">
        <v>2365</v>
      </c>
      <c r="AF1761" t="s">
        <v>2365</v>
      </c>
      <c r="AG1761" t="s">
        <v>2365</v>
      </c>
      <c r="AH1761" t="s">
        <v>2365</v>
      </c>
      <c r="AI1761" t="s">
        <v>2365</v>
      </c>
      <c r="AJ1761" t="s">
        <v>2365</v>
      </c>
      <c r="AK1761" t="s">
        <v>2365</v>
      </c>
      <c r="AL1761" t="s">
        <v>2365</v>
      </c>
      <c r="AM1761" t="s">
        <v>2365</v>
      </c>
      <c r="AN1761" t="s">
        <v>2365</v>
      </c>
      <c r="AQ1761" t="s">
        <v>2423</v>
      </c>
      <c r="AR1761" t="s">
        <v>2365</v>
      </c>
      <c r="AS1761" t="s">
        <v>2365</v>
      </c>
      <c r="AT1761" t="s">
        <v>2365</v>
      </c>
      <c r="AU1761" t="s">
        <v>2365</v>
      </c>
      <c r="AV1761" t="s">
        <v>2365</v>
      </c>
      <c r="AW1761" t="s">
        <v>2365</v>
      </c>
      <c r="AX1761" t="s">
        <v>2365</v>
      </c>
      <c r="AY1761" t="s">
        <v>2365</v>
      </c>
      <c r="AZ1761" t="s">
        <v>2365</v>
      </c>
      <c r="BA1761" t="s">
        <v>2365</v>
      </c>
      <c r="BB1761" t="s">
        <v>2365</v>
      </c>
      <c r="BC1761" t="s">
        <v>2365</v>
      </c>
      <c r="BD1761" t="s">
        <v>2366</v>
      </c>
      <c r="BE1761" t="s">
        <v>2365</v>
      </c>
      <c r="BF1761" t="s">
        <v>2365</v>
      </c>
      <c r="BG1761" t="s">
        <v>2365</v>
      </c>
      <c r="BH1761" t="s">
        <v>2365</v>
      </c>
      <c r="BI1761" t="s">
        <v>2366</v>
      </c>
      <c r="BJ1761" t="s">
        <v>2365</v>
      </c>
      <c r="BK1761" t="s">
        <v>2365</v>
      </c>
      <c r="BL1761" t="s">
        <v>2365</v>
      </c>
      <c r="BM1761" t="s">
        <v>2365</v>
      </c>
      <c r="BO1761">
        <v>1</v>
      </c>
      <c r="BP1761">
        <v>11</v>
      </c>
      <c r="BQ1761" t="s">
        <v>2369</v>
      </c>
      <c r="BR1761" t="s">
        <v>1487</v>
      </c>
      <c r="BU1761">
        <v>-1143000</v>
      </c>
      <c r="BV1761">
        <v>0</v>
      </c>
      <c r="BW1761">
        <v>-1143000</v>
      </c>
      <c r="BX1761">
        <v>1143000</v>
      </c>
      <c r="BY1761">
        <v>0</v>
      </c>
      <c r="BZ1761">
        <v>0</v>
      </c>
      <c r="CA1761">
        <v>0</v>
      </c>
      <c r="CB1761">
        <v>0</v>
      </c>
      <c r="CC1761">
        <v>0</v>
      </c>
      <c r="CD1761">
        <v>0</v>
      </c>
      <c r="CE1761">
        <v>0</v>
      </c>
      <c r="CF1761">
        <v>0</v>
      </c>
      <c r="CG1761">
        <v>0</v>
      </c>
      <c r="CH1761">
        <v>0</v>
      </c>
      <c r="CI1761">
        <v>0</v>
      </c>
      <c r="CJ1761">
        <v>0</v>
      </c>
      <c r="CK1761">
        <v>0</v>
      </c>
      <c r="CL1761">
        <v>0</v>
      </c>
      <c r="CM1761">
        <v>0</v>
      </c>
      <c r="CR1761" t="s">
        <v>2327</v>
      </c>
      <c r="CS1761" s="1369" t="str">
        <f>INDEX([8]Sheet1!$H:$H,MATCH(CR:CR,[8]Sheet1!$AU:$AU,0))</f>
        <v>Education</v>
      </c>
    </row>
    <row r="1762" spans="1:97" x14ac:dyDescent="0.2">
      <c r="A1762" t="s">
        <v>4914</v>
      </c>
      <c r="B1762">
        <v>1860</v>
      </c>
      <c r="C1762" t="s">
        <v>4914</v>
      </c>
      <c r="D1762">
        <v>54860</v>
      </c>
      <c r="E1762" t="s">
        <v>2405</v>
      </c>
      <c r="F1762" t="s">
        <v>2364</v>
      </c>
      <c r="G1762" t="s">
        <v>2364</v>
      </c>
      <c r="H1762" t="s">
        <v>2365</v>
      </c>
      <c r="I1762" t="s">
        <v>2365</v>
      </c>
      <c r="J1762" t="s">
        <v>2365</v>
      </c>
      <c r="K1762" t="s">
        <v>2365</v>
      </c>
      <c r="L1762">
        <v>1200</v>
      </c>
      <c r="M1762" t="s">
        <v>1480</v>
      </c>
      <c r="N1762">
        <v>1204</v>
      </c>
      <c r="O1762" t="s">
        <v>1487</v>
      </c>
      <c r="P1762" t="s">
        <v>2366</v>
      </c>
      <c r="Q1762" t="s">
        <v>2364</v>
      </c>
      <c r="R1762" t="s">
        <v>2364</v>
      </c>
      <c r="S1762" t="s">
        <v>553</v>
      </c>
      <c r="T1762" t="s">
        <v>2175</v>
      </c>
      <c r="U1762">
        <v>120</v>
      </c>
      <c r="V1762" t="s">
        <v>691</v>
      </c>
      <c r="W1762">
        <v>120</v>
      </c>
      <c r="X1762" t="s">
        <v>691</v>
      </c>
      <c r="Y1762" t="s">
        <v>2178</v>
      </c>
      <c r="Z1762" t="s">
        <v>4467</v>
      </c>
      <c r="AA1762" t="s">
        <v>2178</v>
      </c>
      <c r="AB1762" t="s">
        <v>4467</v>
      </c>
      <c r="AC1762" s="813" t="s">
        <v>2365</v>
      </c>
      <c r="AD1762" s="813" t="s">
        <v>2365</v>
      </c>
      <c r="AE1762" s="813" t="s">
        <v>2365</v>
      </c>
      <c r="AF1762" t="s">
        <v>2365</v>
      </c>
      <c r="AG1762" t="s">
        <v>2365</v>
      </c>
      <c r="AH1762" t="s">
        <v>2365</v>
      </c>
      <c r="AI1762" t="s">
        <v>2365</v>
      </c>
      <c r="AJ1762" t="s">
        <v>2365</v>
      </c>
      <c r="AK1762" s="1373" t="s">
        <v>2365</v>
      </c>
      <c r="AL1762" t="s">
        <v>2365</v>
      </c>
      <c r="AM1762" t="s">
        <v>2365</v>
      </c>
      <c r="AN1762" t="s">
        <v>2365</v>
      </c>
      <c r="AQ1762" t="s">
        <v>553</v>
      </c>
      <c r="AR1762" t="s">
        <v>2365</v>
      </c>
      <c r="AS1762" t="s">
        <v>2365</v>
      </c>
      <c r="AT1762" t="s">
        <v>2365</v>
      </c>
      <c r="AU1762" t="s">
        <v>2365</v>
      </c>
      <c r="AV1762" t="s">
        <v>2365</v>
      </c>
      <c r="AW1762" t="s">
        <v>2365</v>
      </c>
      <c r="AX1762" t="s">
        <v>2365</v>
      </c>
      <c r="AY1762" t="s">
        <v>2365</v>
      </c>
      <c r="AZ1762" t="s">
        <v>2365</v>
      </c>
      <c r="BA1762" t="s">
        <v>2365</v>
      </c>
      <c r="BB1762" t="s">
        <v>2365</v>
      </c>
      <c r="BC1762" t="s">
        <v>2365</v>
      </c>
      <c r="BD1762" t="s">
        <v>2366</v>
      </c>
      <c r="BE1762" t="s">
        <v>2365</v>
      </c>
      <c r="BF1762" t="s">
        <v>2365</v>
      </c>
      <c r="BG1762" t="s">
        <v>2365</v>
      </c>
      <c r="BH1762" t="s">
        <v>2365</v>
      </c>
      <c r="BI1762" t="s">
        <v>2366</v>
      </c>
      <c r="BJ1762" t="s">
        <v>2365</v>
      </c>
      <c r="BK1762" t="s">
        <v>2365</v>
      </c>
      <c r="BL1762" t="s">
        <v>2365</v>
      </c>
      <c r="BM1762" t="s">
        <v>2365</v>
      </c>
      <c r="BO1762">
        <v>1</v>
      </c>
      <c r="BP1762">
        <v>11</v>
      </c>
      <c r="BQ1762" t="s">
        <v>2369</v>
      </c>
      <c r="BR1762" t="s">
        <v>1487</v>
      </c>
      <c r="BU1762">
        <v>1143000</v>
      </c>
      <c r="BV1762">
        <v>0</v>
      </c>
      <c r="BW1762">
        <v>1143000</v>
      </c>
      <c r="BX1762">
        <v>-1143000</v>
      </c>
      <c r="BY1762">
        <v>0</v>
      </c>
      <c r="BZ1762">
        <v>0</v>
      </c>
      <c r="CA1762">
        <v>0</v>
      </c>
      <c r="CB1762">
        <v>0</v>
      </c>
      <c r="CC1762">
        <v>0</v>
      </c>
      <c r="CD1762">
        <v>0</v>
      </c>
      <c r="CE1762">
        <v>0</v>
      </c>
      <c r="CF1762">
        <v>0</v>
      </c>
      <c r="CG1762">
        <v>0</v>
      </c>
      <c r="CH1762">
        <v>0</v>
      </c>
      <c r="CI1762">
        <v>0</v>
      </c>
      <c r="CJ1762">
        <v>0</v>
      </c>
      <c r="CK1762">
        <v>0</v>
      </c>
      <c r="CL1762">
        <v>0</v>
      </c>
      <c r="CM1762">
        <v>0</v>
      </c>
      <c r="CR1762" t="s">
        <v>2333</v>
      </c>
      <c r="CS1762" s="1369" t="str">
        <f>INDEX([8]Sheet1!$H:$H,MATCH(CR:CR,[8]Sheet1!$AU:$AU,0))</f>
        <v>Municipal Manager, Town Secretary and Chief Executive</v>
      </c>
    </row>
    <row r="1763" spans="1:97" x14ac:dyDescent="0.2">
      <c r="A1763" t="s">
        <v>4915</v>
      </c>
      <c r="B1763">
        <v>1861</v>
      </c>
      <c r="C1763" t="s">
        <v>4915</v>
      </c>
      <c r="D1763">
        <v>54861</v>
      </c>
      <c r="E1763" t="s">
        <v>2419</v>
      </c>
      <c r="F1763" t="s">
        <v>2364</v>
      </c>
      <c r="G1763" t="s">
        <v>2364</v>
      </c>
      <c r="H1763" t="s">
        <v>2365</v>
      </c>
      <c r="I1763" t="s">
        <v>2365</v>
      </c>
      <c r="J1763" t="s">
        <v>2365</v>
      </c>
      <c r="K1763" t="s">
        <v>2365</v>
      </c>
      <c r="L1763">
        <v>1200</v>
      </c>
      <c r="M1763" t="s">
        <v>1480</v>
      </c>
      <c r="N1763">
        <v>1204</v>
      </c>
      <c r="O1763" t="s">
        <v>1487</v>
      </c>
      <c r="P1763" t="s">
        <v>2366</v>
      </c>
      <c r="Q1763" t="s">
        <v>2364</v>
      </c>
      <c r="R1763" t="s">
        <v>2364</v>
      </c>
      <c r="S1763" t="s">
        <v>553</v>
      </c>
      <c r="T1763" t="s">
        <v>2175</v>
      </c>
      <c r="U1763">
        <v>120</v>
      </c>
      <c r="V1763" t="s">
        <v>691</v>
      </c>
      <c r="W1763">
        <v>120</v>
      </c>
      <c r="X1763" t="s">
        <v>691</v>
      </c>
      <c r="Y1763" t="s">
        <v>4473</v>
      </c>
      <c r="Z1763" t="s">
        <v>4467</v>
      </c>
      <c r="AA1763" t="s">
        <v>4473</v>
      </c>
      <c r="AB1763" t="s">
        <v>4467</v>
      </c>
      <c r="AC1763" s="813" t="s">
        <v>2365</v>
      </c>
      <c r="AD1763" s="813" t="s">
        <v>2365</v>
      </c>
      <c r="AE1763" s="813" t="s">
        <v>2365</v>
      </c>
      <c r="AF1763" t="s">
        <v>2365</v>
      </c>
      <c r="AG1763" t="s">
        <v>2365</v>
      </c>
      <c r="AH1763" t="s">
        <v>2365</v>
      </c>
      <c r="AI1763" t="s">
        <v>2365</v>
      </c>
      <c r="AJ1763" t="s">
        <v>2365</v>
      </c>
      <c r="AK1763" s="1373" t="s">
        <v>2365</v>
      </c>
      <c r="AL1763" t="s">
        <v>2365</v>
      </c>
      <c r="AM1763" t="s">
        <v>2365</v>
      </c>
      <c r="AN1763" t="s">
        <v>2365</v>
      </c>
      <c r="AQ1763" t="s">
        <v>2423</v>
      </c>
      <c r="AR1763" t="s">
        <v>2365</v>
      </c>
      <c r="AS1763" t="s">
        <v>2365</v>
      </c>
      <c r="AT1763" t="s">
        <v>2365</v>
      </c>
      <c r="AU1763" t="s">
        <v>2365</v>
      </c>
      <c r="AV1763" t="s">
        <v>2365</v>
      </c>
      <c r="AW1763" t="s">
        <v>2365</v>
      </c>
      <c r="AX1763" t="s">
        <v>2365</v>
      </c>
      <c r="AY1763" t="s">
        <v>2365</v>
      </c>
      <c r="AZ1763" t="s">
        <v>2365</v>
      </c>
      <c r="BA1763" t="s">
        <v>2365</v>
      </c>
      <c r="BB1763" t="s">
        <v>2365</v>
      </c>
      <c r="BC1763" t="s">
        <v>2365</v>
      </c>
      <c r="BD1763" t="s">
        <v>2366</v>
      </c>
      <c r="BE1763" t="s">
        <v>2365</v>
      </c>
      <c r="BF1763" t="s">
        <v>2365</v>
      </c>
      <c r="BG1763" t="s">
        <v>2365</v>
      </c>
      <c r="BH1763" t="s">
        <v>2365</v>
      </c>
      <c r="BI1763" t="s">
        <v>2366</v>
      </c>
      <c r="BJ1763" t="s">
        <v>2365</v>
      </c>
      <c r="BK1763" t="s">
        <v>2365</v>
      </c>
      <c r="BL1763" t="s">
        <v>2365</v>
      </c>
      <c r="BM1763" t="s">
        <v>2365</v>
      </c>
      <c r="BO1763">
        <v>1</v>
      </c>
      <c r="BP1763">
        <v>11</v>
      </c>
      <c r="BQ1763" t="s">
        <v>2369</v>
      </c>
      <c r="BR1763" t="s">
        <v>1487</v>
      </c>
      <c r="BU1763">
        <v>-1817000</v>
      </c>
      <c r="BV1763">
        <v>0</v>
      </c>
      <c r="BW1763">
        <v>-1817000</v>
      </c>
      <c r="BX1763">
        <v>1817000</v>
      </c>
      <c r="BY1763">
        <v>0</v>
      </c>
      <c r="BZ1763">
        <v>0</v>
      </c>
      <c r="CA1763">
        <v>0</v>
      </c>
      <c r="CB1763">
        <v>0</v>
      </c>
      <c r="CC1763">
        <v>0</v>
      </c>
      <c r="CD1763">
        <v>0</v>
      </c>
      <c r="CE1763">
        <v>0</v>
      </c>
      <c r="CF1763">
        <v>0</v>
      </c>
      <c r="CG1763">
        <v>0</v>
      </c>
      <c r="CH1763">
        <v>0</v>
      </c>
      <c r="CI1763">
        <v>0</v>
      </c>
      <c r="CJ1763">
        <v>0</v>
      </c>
      <c r="CK1763">
        <v>0</v>
      </c>
      <c r="CL1763">
        <v>0</v>
      </c>
      <c r="CM1763">
        <v>0</v>
      </c>
      <c r="CR1763" t="s">
        <v>2320</v>
      </c>
      <c r="CS1763" s="1369" t="str">
        <f>INDEX([8]Sheet1!$H:$H,MATCH(CR:CR,[8]Sheet1!$AU:$AU,0))</f>
        <v>Administrative and Corporate Support</v>
      </c>
    </row>
    <row r="1764" spans="1:97" x14ac:dyDescent="0.2">
      <c r="A1764" t="s">
        <v>4916</v>
      </c>
      <c r="B1764">
        <v>1862</v>
      </c>
      <c r="C1764" t="s">
        <v>4916</v>
      </c>
      <c r="D1764">
        <v>54862</v>
      </c>
      <c r="E1764" t="s">
        <v>2405</v>
      </c>
      <c r="F1764" t="s">
        <v>2364</v>
      </c>
      <c r="G1764" t="s">
        <v>2364</v>
      </c>
      <c r="H1764" t="s">
        <v>2365</v>
      </c>
      <c r="I1764" t="s">
        <v>2365</v>
      </c>
      <c r="J1764" t="s">
        <v>2365</v>
      </c>
      <c r="K1764" t="s">
        <v>2365</v>
      </c>
      <c r="L1764">
        <v>1200</v>
      </c>
      <c r="M1764" t="s">
        <v>1480</v>
      </c>
      <c r="N1764">
        <v>1204</v>
      </c>
      <c r="O1764" t="s">
        <v>1487</v>
      </c>
      <c r="P1764" t="s">
        <v>2366</v>
      </c>
      <c r="Q1764" t="s">
        <v>2364</v>
      </c>
      <c r="R1764" t="s">
        <v>2364</v>
      </c>
      <c r="S1764" t="s">
        <v>553</v>
      </c>
      <c r="T1764" t="s">
        <v>2175</v>
      </c>
      <c r="U1764">
        <v>120</v>
      </c>
      <c r="V1764" t="s">
        <v>691</v>
      </c>
      <c r="W1764">
        <v>120</v>
      </c>
      <c r="X1764" t="s">
        <v>691</v>
      </c>
      <c r="Y1764" t="s">
        <v>2178</v>
      </c>
      <c r="Z1764" t="s">
        <v>4467</v>
      </c>
      <c r="AA1764" t="s">
        <v>2178</v>
      </c>
      <c r="AB1764" t="s">
        <v>4467</v>
      </c>
      <c r="AC1764" s="813" t="s">
        <v>2365</v>
      </c>
      <c r="AD1764" s="813" t="s">
        <v>2365</v>
      </c>
      <c r="AE1764" s="813" t="s">
        <v>2365</v>
      </c>
      <c r="AF1764" t="s">
        <v>2365</v>
      </c>
      <c r="AG1764" t="s">
        <v>2365</v>
      </c>
      <c r="AH1764" t="s">
        <v>2365</v>
      </c>
      <c r="AI1764" t="s">
        <v>2365</v>
      </c>
      <c r="AJ1764" t="s">
        <v>2365</v>
      </c>
      <c r="AK1764" t="s">
        <v>2365</v>
      </c>
      <c r="AL1764" t="s">
        <v>2365</v>
      </c>
      <c r="AM1764" t="s">
        <v>2365</v>
      </c>
      <c r="AN1764" t="s">
        <v>2365</v>
      </c>
      <c r="AQ1764" t="s">
        <v>553</v>
      </c>
      <c r="AR1764" t="s">
        <v>2365</v>
      </c>
      <c r="AS1764" t="s">
        <v>2365</v>
      </c>
      <c r="AT1764" t="s">
        <v>2365</v>
      </c>
      <c r="AU1764" t="s">
        <v>2365</v>
      </c>
      <c r="AV1764" t="s">
        <v>2365</v>
      </c>
      <c r="AW1764" t="s">
        <v>2365</v>
      </c>
      <c r="AX1764" t="s">
        <v>2365</v>
      </c>
      <c r="AY1764" t="s">
        <v>2365</v>
      </c>
      <c r="AZ1764" t="s">
        <v>2365</v>
      </c>
      <c r="BA1764" t="s">
        <v>2365</v>
      </c>
      <c r="BB1764" t="s">
        <v>2365</v>
      </c>
      <c r="BC1764" t="s">
        <v>2365</v>
      </c>
      <c r="BD1764" t="s">
        <v>2366</v>
      </c>
      <c r="BE1764" t="s">
        <v>2365</v>
      </c>
      <c r="BF1764" t="s">
        <v>2365</v>
      </c>
      <c r="BG1764" t="s">
        <v>2365</v>
      </c>
      <c r="BH1764" t="s">
        <v>2365</v>
      </c>
      <c r="BI1764" t="s">
        <v>2366</v>
      </c>
      <c r="BJ1764" t="s">
        <v>2365</v>
      </c>
      <c r="BK1764" t="s">
        <v>2365</v>
      </c>
      <c r="BL1764" t="s">
        <v>2365</v>
      </c>
      <c r="BM1764" t="s">
        <v>2365</v>
      </c>
      <c r="BO1764">
        <v>1</v>
      </c>
      <c r="BP1764">
        <v>11</v>
      </c>
      <c r="BQ1764" t="s">
        <v>2369</v>
      </c>
      <c r="BR1764" t="s">
        <v>1487</v>
      </c>
      <c r="BU1764">
        <v>1817000</v>
      </c>
      <c r="BV1764">
        <v>0</v>
      </c>
      <c r="BW1764">
        <v>1817000</v>
      </c>
      <c r="BX1764">
        <v>-1817000</v>
      </c>
      <c r="BY1764">
        <v>0</v>
      </c>
      <c r="BZ1764">
        <v>0</v>
      </c>
      <c r="CA1764">
        <v>0</v>
      </c>
      <c r="CB1764">
        <v>0</v>
      </c>
      <c r="CC1764">
        <v>0</v>
      </c>
      <c r="CD1764">
        <v>0</v>
      </c>
      <c r="CE1764">
        <v>0</v>
      </c>
      <c r="CF1764">
        <v>0</v>
      </c>
      <c r="CG1764">
        <v>0</v>
      </c>
      <c r="CH1764">
        <v>0</v>
      </c>
      <c r="CI1764">
        <v>0</v>
      </c>
      <c r="CJ1764">
        <v>0</v>
      </c>
      <c r="CK1764">
        <v>0</v>
      </c>
      <c r="CL1764">
        <v>0</v>
      </c>
      <c r="CM1764">
        <v>0</v>
      </c>
      <c r="CR1764" t="s">
        <v>2337</v>
      </c>
      <c r="CS1764" s="1369" t="str">
        <f>INDEX([8]Sheet1!$H:$H,MATCH(CR:CR,[8]Sheet1!$AU:$AU,0))</f>
        <v>Corporate Wide Strategic Planning (IDPs, LEDs)</v>
      </c>
    </row>
    <row r="1765" spans="1:97" x14ac:dyDescent="0.2">
      <c r="A1765" t="s">
        <v>4917</v>
      </c>
      <c r="B1765">
        <v>1863</v>
      </c>
      <c r="C1765" t="s">
        <v>4917</v>
      </c>
      <c r="D1765">
        <v>54863</v>
      </c>
      <c r="E1765" t="s">
        <v>4898</v>
      </c>
      <c r="F1765" t="s">
        <v>2364</v>
      </c>
      <c r="G1765" t="s">
        <v>2364</v>
      </c>
      <c r="H1765" t="s">
        <v>2365</v>
      </c>
      <c r="I1765" t="s">
        <v>2365</v>
      </c>
      <c r="J1765" t="s">
        <v>2365</v>
      </c>
      <c r="K1765" t="s">
        <v>2365</v>
      </c>
      <c r="L1765">
        <v>1200</v>
      </c>
      <c r="M1765" t="s">
        <v>1480</v>
      </c>
      <c r="N1765">
        <v>1204</v>
      </c>
      <c r="O1765" t="s">
        <v>1487</v>
      </c>
      <c r="P1765" t="s">
        <v>2366</v>
      </c>
      <c r="Q1765" t="s">
        <v>2364</v>
      </c>
      <c r="R1765" t="s">
        <v>2364</v>
      </c>
      <c r="S1765" t="s">
        <v>553</v>
      </c>
      <c r="T1765" t="s">
        <v>2175</v>
      </c>
      <c r="U1765">
        <v>120</v>
      </c>
      <c r="V1765" t="s">
        <v>691</v>
      </c>
      <c r="W1765">
        <v>120</v>
      </c>
      <c r="X1765" t="s">
        <v>691</v>
      </c>
      <c r="Y1765" t="s">
        <v>2365</v>
      </c>
      <c r="Z1765" t="s">
        <v>2365</v>
      </c>
      <c r="AA1765" t="s">
        <v>2365</v>
      </c>
      <c r="AB1765" t="s">
        <v>2365</v>
      </c>
      <c r="AC1765" s="813">
        <v>420</v>
      </c>
      <c r="AD1765" s="813" t="s">
        <v>4866</v>
      </c>
      <c r="AE1765" s="813">
        <v>560</v>
      </c>
      <c r="AF1765" t="s">
        <v>4866</v>
      </c>
      <c r="AG1765" t="s">
        <v>2365</v>
      </c>
      <c r="AH1765" t="s">
        <v>2365</v>
      </c>
      <c r="AI1765" t="s">
        <v>2365</v>
      </c>
      <c r="AJ1765" t="s">
        <v>2365</v>
      </c>
      <c r="AK1765" t="s">
        <v>2365</v>
      </c>
      <c r="AL1765" t="s">
        <v>2365</v>
      </c>
      <c r="AM1765" t="s">
        <v>2365</v>
      </c>
      <c r="AN1765" t="s">
        <v>2365</v>
      </c>
      <c r="AR1765" t="s">
        <v>2365</v>
      </c>
      <c r="AS1765" t="s">
        <v>2365</v>
      </c>
      <c r="AT1765" t="s">
        <v>2365</v>
      </c>
      <c r="AU1765" t="s">
        <v>2365</v>
      </c>
      <c r="AV1765" t="s">
        <v>2365</v>
      </c>
      <c r="AW1765" t="s">
        <v>2365</v>
      </c>
      <c r="AX1765" t="s">
        <v>2365</v>
      </c>
      <c r="AY1765" t="s">
        <v>2365</v>
      </c>
      <c r="AZ1765" t="s">
        <v>2365</v>
      </c>
      <c r="BA1765" t="s">
        <v>2365</v>
      </c>
      <c r="BB1765" t="s">
        <v>2365</v>
      </c>
      <c r="BC1765" t="s">
        <v>2365</v>
      </c>
      <c r="BD1765" t="s">
        <v>2366</v>
      </c>
      <c r="BE1765" t="s">
        <v>2365</v>
      </c>
      <c r="BF1765" t="s">
        <v>2365</v>
      </c>
      <c r="BG1765" t="s">
        <v>2365</v>
      </c>
      <c r="BH1765" t="s">
        <v>2365</v>
      </c>
      <c r="BI1765" t="s">
        <v>2366</v>
      </c>
      <c r="BJ1765" t="s">
        <v>2365</v>
      </c>
      <c r="BK1765" t="s">
        <v>2365</v>
      </c>
      <c r="BL1765" t="s">
        <v>2365</v>
      </c>
      <c r="BM1765" t="s">
        <v>2365</v>
      </c>
      <c r="BO1765">
        <v>1</v>
      </c>
      <c r="BP1765">
        <v>11</v>
      </c>
      <c r="BQ1765" t="s">
        <v>2369</v>
      </c>
      <c r="BR1765" t="s">
        <v>1487</v>
      </c>
      <c r="BU1765">
        <v>0</v>
      </c>
      <c r="BV1765">
        <v>0</v>
      </c>
      <c r="BW1765">
        <v>0</v>
      </c>
      <c r="BX1765">
        <v>0</v>
      </c>
      <c r="BY1765">
        <v>0</v>
      </c>
      <c r="BZ1765">
        <v>0</v>
      </c>
      <c r="CA1765">
        <v>0</v>
      </c>
      <c r="CB1765">
        <v>0</v>
      </c>
      <c r="CC1765">
        <v>0</v>
      </c>
      <c r="CD1765">
        <v>0</v>
      </c>
      <c r="CE1765">
        <v>0</v>
      </c>
      <c r="CF1765">
        <v>0</v>
      </c>
      <c r="CG1765">
        <v>0</v>
      </c>
      <c r="CH1765">
        <v>0</v>
      </c>
      <c r="CI1765">
        <v>0</v>
      </c>
      <c r="CJ1765">
        <v>0</v>
      </c>
      <c r="CK1765">
        <v>0</v>
      </c>
      <c r="CL1765">
        <v>0</v>
      </c>
      <c r="CM1765">
        <v>0</v>
      </c>
      <c r="CR1765" t="s">
        <v>2328</v>
      </c>
      <c r="CS1765" s="1369" t="str">
        <f>INDEX([8]Sheet1!$H:$H,MATCH(CR:CR,[8]Sheet1!$AU:$AU,0))</f>
        <v>Water Distribution</v>
      </c>
    </row>
    <row r="1766" spans="1:97" x14ac:dyDescent="0.2">
      <c r="A1766" t="s">
        <v>4918</v>
      </c>
      <c r="B1766">
        <v>1864</v>
      </c>
      <c r="C1766" t="s">
        <v>4918</v>
      </c>
      <c r="D1766">
        <v>54864</v>
      </c>
      <c r="E1766" t="s">
        <v>4903</v>
      </c>
      <c r="F1766" t="s">
        <v>2364</v>
      </c>
      <c r="G1766" t="s">
        <v>2364</v>
      </c>
      <c r="H1766" t="s">
        <v>2365</v>
      </c>
      <c r="I1766" t="s">
        <v>2365</v>
      </c>
      <c r="J1766" t="s">
        <v>2365</v>
      </c>
      <c r="K1766" t="s">
        <v>2365</v>
      </c>
      <c r="L1766">
        <v>1200</v>
      </c>
      <c r="M1766" t="s">
        <v>1480</v>
      </c>
      <c r="N1766">
        <v>1204</v>
      </c>
      <c r="O1766" t="s">
        <v>1487</v>
      </c>
      <c r="P1766" t="s">
        <v>2366</v>
      </c>
      <c r="Q1766" t="s">
        <v>2364</v>
      </c>
      <c r="R1766" t="s">
        <v>2364</v>
      </c>
      <c r="S1766" t="s">
        <v>553</v>
      </c>
      <c r="T1766" t="s">
        <v>2175</v>
      </c>
      <c r="U1766">
        <v>120</v>
      </c>
      <c r="V1766" t="s">
        <v>691</v>
      </c>
      <c r="W1766">
        <v>120</v>
      </c>
      <c r="X1766" t="s">
        <v>691</v>
      </c>
      <c r="Y1766" t="s">
        <v>2365</v>
      </c>
      <c r="Z1766" t="s">
        <v>2365</v>
      </c>
      <c r="AA1766" t="s">
        <v>2365</v>
      </c>
      <c r="AB1766" t="s">
        <v>2365</v>
      </c>
      <c r="AC1766" s="813" t="s">
        <v>2365</v>
      </c>
      <c r="AD1766" s="813" t="s">
        <v>2365</v>
      </c>
      <c r="AE1766" s="813" t="s">
        <v>2365</v>
      </c>
      <c r="AF1766" t="s">
        <v>2365</v>
      </c>
      <c r="AG1766" t="s">
        <v>2365</v>
      </c>
      <c r="AH1766" t="s">
        <v>2365</v>
      </c>
      <c r="AI1766" t="s">
        <v>2365</v>
      </c>
      <c r="AJ1766" t="s">
        <v>2365</v>
      </c>
      <c r="AK1766" t="s">
        <v>2365</v>
      </c>
      <c r="AL1766" t="s">
        <v>2365</v>
      </c>
      <c r="AM1766" t="s">
        <v>2365</v>
      </c>
      <c r="AN1766" t="s">
        <v>2365</v>
      </c>
      <c r="AR1766" t="s">
        <v>2365</v>
      </c>
      <c r="AS1766" t="s">
        <v>2365</v>
      </c>
      <c r="AT1766" t="s">
        <v>2365</v>
      </c>
      <c r="AU1766" t="s">
        <v>2365</v>
      </c>
      <c r="AV1766" t="s">
        <v>2365</v>
      </c>
      <c r="AW1766" t="s">
        <v>2365</v>
      </c>
      <c r="AX1766" t="s">
        <v>2365</v>
      </c>
      <c r="AY1766" t="s">
        <v>2365</v>
      </c>
      <c r="AZ1766" t="s">
        <v>2365</v>
      </c>
      <c r="BA1766" t="s">
        <v>2365</v>
      </c>
      <c r="BB1766" t="s">
        <v>2365</v>
      </c>
      <c r="BC1766" t="s">
        <v>2365</v>
      </c>
      <c r="BD1766" t="s">
        <v>2366</v>
      </c>
      <c r="BE1766" t="s">
        <v>2365</v>
      </c>
      <c r="BF1766" t="s">
        <v>2365</v>
      </c>
      <c r="BG1766" t="s">
        <v>2365</v>
      </c>
      <c r="BH1766" t="s">
        <v>2365</v>
      </c>
      <c r="BI1766" t="s">
        <v>2366</v>
      </c>
      <c r="BJ1766" t="s">
        <v>2365</v>
      </c>
      <c r="BK1766" t="s">
        <v>2365</v>
      </c>
      <c r="BL1766" t="s">
        <v>2365</v>
      </c>
      <c r="BM1766" t="s">
        <v>2365</v>
      </c>
      <c r="BO1766">
        <v>1</v>
      </c>
      <c r="BP1766">
        <v>11</v>
      </c>
      <c r="BQ1766" t="s">
        <v>2369</v>
      </c>
      <c r="BR1766" t="s">
        <v>1487</v>
      </c>
      <c r="BU1766">
        <v>0</v>
      </c>
      <c r="BV1766">
        <v>0</v>
      </c>
      <c r="BW1766">
        <v>0</v>
      </c>
      <c r="BX1766">
        <v>0</v>
      </c>
      <c r="BY1766">
        <v>0</v>
      </c>
      <c r="BZ1766">
        <v>0</v>
      </c>
      <c r="CA1766">
        <v>0</v>
      </c>
      <c r="CB1766">
        <v>0</v>
      </c>
      <c r="CC1766">
        <v>0</v>
      </c>
      <c r="CD1766">
        <v>0</v>
      </c>
      <c r="CE1766">
        <v>0</v>
      </c>
      <c r="CF1766">
        <v>0</v>
      </c>
      <c r="CG1766">
        <v>0</v>
      </c>
      <c r="CH1766">
        <v>0</v>
      </c>
      <c r="CI1766">
        <v>0</v>
      </c>
      <c r="CJ1766">
        <v>0</v>
      </c>
      <c r="CK1766">
        <v>0</v>
      </c>
      <c r="CL1766">
        <v>0</v>
      </c>
      <c r="CM1766">
        <v>0</v>
      </c>
      <c r="CR1766" t="s">
        <v>2328</v>
      </c>
      <c r="CS1766" s="1369" t="str">
        <f>INDEX([8]Sheet1!$H:$H,MATCH(CR:CR,[8]Sheet1!$AU:$AU,0))</f>
        <v>Water Distribution</v>
      </c>
    </row>
    <row r="1767" spans="1:97" x14ac:dyDescent="0.2">
      <c r="A1767" t="s">
        <v>4919</v>
      </c>
      <c r="B1767">
        <v>1865</v>
      </c>
      <c r="C1767" t="s">
        <v>4919</v>
      </c>
      <c r="D1767">
        <v>54865</v>
      </c>
      <c r="E1767" t="s">
        <v>4901</v>
      </c>
      <c r="F1767" t="s">
        <v>2364</v>
      </c>
      <c r="G1767" t="s">
        <v>2364</v>
      </c>
      <c r="H1767" t="s">
        <v>2365</v>
      </c>
      <c r="I1767" t="s">
        <v>2365</v>
      </c>
      <c r="J1767" t="s">
        <v>2365</v>
      </c>
      <c r="K1767" t="s">
        <v>2365</v>
      </c>
      <c r="L1767">
        <v>1200</v>
      </c>
      <c r="M1767" t="s">
        <v>1480</v>
      </c>
      <c r="N1767">
        <v>1204</v>
      </c>
      <c r="O1767" t="s">
        <v>1487</v>
      </c>
      <c r="P1767" t="s">
        <v>2366</v>
      </c>
      <c r="Q1767" t="s">
        <v>2364</v>
      </c>
      <c r="R1767" t="s">
        <v>2364</v>
      </c>
      <c r="S1767" t="s">
        <v>553</v>
      </c>
      <c r="T1767" t="s">
        <v>2175</v>
      </c>
      <c r="U1767">
        <v>120</v>
      </c>
      <c r="V1767" t="s">
        <v>691</v>
      </c>
      <c r="W1767">
        <v>120</v>
      </c>
      <c r="X1767" t="s">
        <v>691</v>
      </c>
      <c r="Y1767" t="s">
        <v>2365</v>
      </c>
      <c r="Z1767" t="s">
        <v>2365</v>
      </c>
      <c r="AA1767" t="s">
        <v>2365</v>
      </c>
      <c r="AB1767" t="s">
        <v>2365</v>
      </c>
      <c r="AC1767" s="813">
        <v>200</v>
      </c>
      <c r="AD1767" s="813" t="s">
        <v>4443</v>
      </c>
      <c r="AE1767" s="813">
        <v>480</v>
      </c>
      <c r="AF1767" t="s">
        <v>569</v>
      </c>
      <c r="AG1767" t="s">
        <v>2365</v>
      </c>
      <c r="AH1767" t="s">
        <v>2365</v>
      </c>
      <c r="AI1767" t="s">
        <v>2365</v>
      </c>
      <c r="AJ1767" t="s">
        <v>2365</v>
      </c>
      <c r="AK1767" t="s">
        <v>2365</v>
      </c>
      <c r="AL1767" t="s">
        <v>2365</v>
      </c>
      <c r="AM1767" t="s">
        <v>2365</v>
      </c>
      <c r="AN1767" t="s">
        <v>2365</v>
      </c>
      <c r="AR1767" t="s">
        <v>2365</v>
      </c>
      <c r="AS1767" t="s">
        <v>2365</v>
      </c>
      <c r="AT1767" t="s">
        <v>2365</v>
      </c>
      <c r="AU1767" t="s">
        <v>2365</v>
      </c>
      <c r="AV1767" t="s">
        <v>2365</v>
      </c>
      <c r="AW1767" t="s">
        <v>2365</v>
      </c>
      <c r="AX1767" t="s">
        <v>2365</v>
      </c>
      <c r="AY1767" t="s">
        <v>2365</v>
      </c>
      <c r="AZ1767" t="s">
        <v>2365</v>
      </c>
      <c r="BA1767" t="s">
        <v>2365</v>
      </c>
      <c r="BB1767" t="s">
        <v>2365</v>
      </c>
      <c r="BC1767" t="s">
        <v>2365</v>
      </c>
      <c r="BD1767" t="s">
        <v>2366</v>
      </c>
      <c r="BE1767" t="s">
        <v>2365</v>
      </c>
      <c r="BF1767" t="s">
        <v>2365</v>
      </c>
      <c r="BG1767" t="s">
        <v>2365</v>
      </c>
      <c r="BH1767" t="s">
        <v>2365</v>
      </c>
      <c r="BI1767" t="s">
        <v>2366</v>
      </c>
      <c r="BJ1767" t="s">
        <v>2365</v>
      </c>
      <c r="BK1767" t="s">
        <v>2365</v>
      </c>
      <c r="BL1767" t="s">
        <v>2365</v>
      </c>
      <c r="BM1767" t="s">
        <v>2365</v>
      </c>
      <c r="BO1767">
        <v>1</v>
      </c>
      <c r="BP1767">
        <v>11</v>
      </c>
      <c r="BQ1767" t="s">
        <v>2369</v>
      </c>
      <c r="BR1767" t="s">
        <v>1487</v>
      </c>
      <c r="BU1767">
        <v>0</v>
      </c>
      <c r="BV1767">
        <v>0</v>
      </c>
      <c r="BW1767">
        <v>0</v>
      </c>
      <c r="BX1767">
        <v>0</v>
      </c>
      <c r="BY1767">
        <v>0</v>
      </c>
      <c r="BZ1767">
        <v>0</v>
      </c>
      <c r="CA1767">
        <v>0</v>
      </c>
      <c r="CB1767">
        <v>0</v>
      </c>
      <c r="CC1767">
        <v>0</v>
      </c>
      <c r="CD1767">
        <v>0</v>
      </c>
      <c r="CE1767">
        <v>0</v>
      </c>
      <c r="CF1767">
        <v>0</v>
      </c>
      <c r="CG1767">
        <v>0</v>
      </c>
      <c r="CH1767">
        <v>0</v>
      </c>
      <c r="CI1767">
        <v>0</v>
      </c>
      <c r="CJ1767">
        <v>0</v>
      </c>
      <c r="CK1767">
        <v>0</v>
      </c>
      <c r="CL1767">
        <v>0</v>
      </c>
      <c r="CM1767">
        <v>0</v>
      </c>
      <c r="CR1767" t="s">
        <v>2328</v>
      </c>
      <c r="CS1767" s="1369" t="str">
        <f>INDEX([8]Sheet1!$H:$H,MATCH(CR:CR,[8]Sheet1!$AU:$AU,0))</f>
        <v>Water Distribution</v>
      </c>
    </row>
    <row r="1768" spans="1:97" x14ac:dyDescent="0.2">
      <c r="A1768" t="s">
        <v>4920</v>
      </c>
      <c r="B1768">
        <v>1866</v>
      </c>
      <c r="C1768" t="s">
        <v>4920</v>
      </c>
      <c r="D1768">
        <v>54866</v>
      </c>
      <c r="E1768" t="s">
        <v>4898</v>
      </c>
      <c r="F1768" t="s">
        <v>2364</v>
      </c>
      <c r="G1768" t="s">
        <v>2364</v>
      </c>
      <c r="H1768" t="s">
        <v>2365</v>
      </c>
      <c r="I1768" t="s">
        <v>2365</v>
      </c>
      <c r="J1768" t="s">
        <v>2365</v>
      </c>
      <c r="K1768" t="s">
        <v>2365</v>
      </c>
      <c r="L1768">
        <v>1200</v>
      </c>
      <c r="M1768" t="s">
        <v>1480</v>
      </c>
      <c r="N1768">
        <v>1204</v>
      </c>
      <c r="O1768" t="s">
        <v>1487</v>
      </c>
      <c r="P1768" t="s">
        <v>2366</v>
      </c>
      <c r="Q1768" t="s">
        <v>2364</v>
      </c>
      <c r="R1768" t="s">
        <v>2364</v>
      </c>
      <c r="S1768" t="s">
        <v>553</v>
      </c>
      <c r="T1768" t="s">
        <v>2175</v>
      </c>
      <c r="U1768">
        <v>120</v>
      </c>
      <c r="V1768" t="s">
        <v>691</v>
      </c>
      <c r="W1768">
        <v>120</v>
      </c>
      <c r="X1768" t="s">
        <v>691</v>
      </c>
      <c r="Y1768" t="s">
        <v>2365</v>
      </c>
      <c r="Z1768" t="s">
        <v>2365</v>
      </c>
      <c r="AA1768" t="s">
        <v>2365</v>
      </c>
      <c r="AB1768" t="s">
        <v>2365</v>
      </c>
      <c r="AC1768" s="813">
        <v>420</v>
      </c>
      <c r="AD1768" s="813" t="s">
        <v>4866</v>
      </c>
      <c r="AE1768" s="813">
        <v>560</v>
      </c>
      <c r="AF1768" t="s">
        <v>4866</v>
      </c>
      <c r="AG1768" t="s">
        <v>2365</v>
      </c>
      <c r="AH1768" t="s">
        <v>2365</v>
      </c>
      <c r="AI1768" t="s">
        <v>2365</v>
      </c>
      <c r="AJ1768" t="s">
        <v>2365</v>
      </c>
      <c r="AK1768" t="s">
        <v>2365</v>
      </c>
      <c r="AL1768" t="s">
        <v>2365</v>
      </c>
      <c r="AM1768" t="s">
        <v>2365</v>
      </c>
      <c r="AN1768" t="s">
        <v>2365</v>
      </c>
      <c r="AR1768" t="s">
        <v>2365</v>
      </c>
      <c r="AS1768" t="s">
        <v>2365</v>
      </c>
      <c r="AT1768" t="s">
        <v>2365</v>
      </c>
      <c r="AU1768" t="s">
        <v>2365</v>
      </c>
      <c r="AV1768" t="s">
        <v>2365</v>
      </c>
      <c r="AW1768" t="s">
        <v>2365</v>
      </c>
      <c r="AX1768" t="s">
        <v>2365</v>
      </c>
      <c r="AY1768" t="s">
        <v>2365</v>
      </c>
      <c r="AZ1768" t="s">
        <v>2365</v>
      </c>
      <c r="BA1768" t="s">
        <v>2365</v>
      </c>
      <c r="BB1768" t="s">
        <v>2365</v>
      </c>
      <c r="BC1768" t="s">
        <v>2365</v>
      </c>
      <c r="BD1768" t="s">
        <v>2366</v>
      </c>
      <c r="BE1768" t="s">
        <v>2365</v>
      </c>
      <c r="BF1768" t="s">
        <v>2365</v>
      </c>
      <c r="BG1768" t="s">
        <v>2365</v>
      </c>
      <c r="BH1768" t="s">
        <v>2365</v>
      </c>
      <c r="BI1768" t="s">
        <v>2366</v>
      </c>
      <c r="BJ1768" t="s">
        <v>2365</v>
      </c>
      <c r="BK1768" t="s">
        <v>2365</v>
      </c>
      <c r="BL1768" t="s">
        <v>2365</v>
      </c>
      <c r="BM1768" t="s">
        <v>2365</v>
      </c>
      <c r="BO1768">
        <v>1</v>
      </c>
      <c r="BP1768">
        <v>11</v>
      </c>
      <c r="BQ1768" t="s">
        <v>2369</v>
      </c>
      <c r="BR1768" t="s">
        <v>1487</v>
      </c>
      <c r="BU1768">
        <v>0</v>
      </c>
      <c r="BV1768">
        <v>0</v>
      </c>
      <c r="BW1768">
        <v>0</v>
      </c>
      <c r="BX1768">
        <v>0</v>
      </c>
      <c r="BY1768">
        <v>0</v>
      </c>
      <c r="BZ1768">
        <v>0</v>
      </c>
      <c r="CA1768">
        <v>0</v>
      </c>
      <c r="CB1768">
        <v>0</v>
      </c>
      <c r="CC1768">
        <v>0</v>
      </c>
      <c r="CD1768">
        <v>0</v>
      </c>
      <c r="CE1768">
        <v>0</v>
      </c>
      <c r="CF1768">
        <v>0</v>
      </c>
      <c r="CG1768">
        <v>0</v>
      </c>
      <c r="CH1768">
        <v>0</v>
      </c>
      <c r="CI1768">
        <v>0</v>
      </c>
      <c r="CJ1768">
        <v>0</v>
      </c>
      <c r="CK1768">
        <v>0</v>
      </c>
      <c r="CL1768">
        <v>0</v>
      </c>
      <c r="CM1768">
        <v>0</v>
      </c>
      <c r="CR1768" t="s">
        <v>2328</v>
      </c>
      <c r="CS1768" s="1369" t="str">
        <f>INDEX([8]Sheet1!$H:$H,MATCH(CR:CR,[8]Sheet1!$AU:$AU,0))</f>
        <v>Water Distribution</v>
      </c>
    </row>
    <row r="1769" spans="1:97" x14ac:dyDescent="0.2">
      <c r="A1769" t="s">
        <v>4921</v>
      </c>
      <c r="B1769">
        <v>1867</v>
      </c>
      <c r="C1769" t="s">
        <v>4921</v>
      </c>
      <c r="D1769">
        <v>54867</v>
      </c>
      <c r="E1769" t="s">
        <v>4903</v>
      </c>
      <c r="F1769" t="s">
        <v>2364</v>
      </c>
      <c r="G1769" t="s">
        <v>2364</v>
      </c>
      <c r="H1769" t="s">
        <v>2365</v>
      </c>
      <c r="I1769" t="s">
        <v>2365</v>
      </c>
      <c r="J1769" t="s">
        <v>2365</v>
      </c>
      <c r="K1769" t="s">
        <v>2365</v>
      </c>
      <c r="L1769">
        <v>1200</v>
      </c>
      <c r="M1769" t="s">
        <v>1480</v>
      </c>
      <c r="N1769">
        <v>1204</v>
      </c>
      <c r="O1769" t="s">
        <v>1487</v>
      </c>
      <c r="P1769" t="s">
        <v>2366</v>
      </c>
      <c r="Q1769" t="s">
        <v>2364</v>
      </c>
      <c r="R1769" t="s">
        <v>2364</v>
      </c>
      <c r="S1769" t="s">
        <v>553</v>
      </c>
      <c r="T1769" t="s">
        <v>2175</v>
      </c>
      <c r="U1769">
        <v>120</v>
      </c>
      <c r="V1769" t="s">
        <v>691</v>
      </c>
      <c r="W1769">
        <v>120</v>
      </c>
      <c r="X1769" t="s">
        <v>691</v>
      </c>
      <c r="Y1769" t="s">
        <v>2365</v>
      </c>
      <c r="Z1769" t="s">
        <v>2365</v>
      </c>
      <c r="AA1769" t="s">
        <v>2365</v>
      </c>
      <c r="AB1769" t="s">
        <v>2365</v>
      </c>
      <c r="AC1769" s="813" t="s">
        <v>2365</v>
      </c>
      <c r="AD1769" s="813" t="s">
        <v>2365</v>
      </c>
      <c r="AE1769" s="813" t="s">
        <v>2365</v>
      </c>
      <c r="AF1769" t="s">
        <v>2365</v>
      </c>
      <c r="AG1769" t="s">
        <v>2365</v>
      </c>
      <c r="AH1769" t="s">
        <v>2365</v>
      </c>
      <c r="AI1769" t="s">
        <v>2365</v>
      </c>
      <c r="AJ1769" t="s">
        <v>2365</v>
      </c>
      <c r="AK1769" t="s">
        <v>2365</v>
      </c>
      <c r="AL1769" t="s">
        <v>2365</v>
      </c>
      <c r="AM1769" t="s">
        <v>2365</v>
      </c>
      <c r="AN1769" t="s">
        <v>2365</v>
      </c>
      <c r="AR1769" t="s">
        <v>2365</v>
      </c>
      <c r="AS1769" t="s">
        <v>2365</v>
      </c>
      <c r="AT1769" t="s">
        <v>2365</v>
      </c>
      <c r="AU1769" t="s">
        <v>2365</v>
      </c>
      <c r="AV1769" t="s">
        <v>2365</v>
      </c>
      <c r="AW1769" t="s">
        <v>2365</v>
      </c>
      <c r="AX1769" t="s">
        <v>2365</v>
      </c>
      <c r="AY1769" t="s">
        <v>2365</v>
      </c>
      <c r="AZ1769" t="s">
        <v>2365</v>
      </c>
      <c r="BA1769" t="s">
        <v>2365</v>
      </c>
      <c r="BB1769" t="s">
        <v>2365</v>
      </c>
      <c r="BC1769" t="s">
        <v>2365</v>
      </c>
      <c r="BD1769" t="s">
        <v>2366</v>
      </c>
      <c r="BE1769" t="s">
        <v>2365</v>
      </c>
      <c r="BF1769" t="s">
        <v>2365</v>
      </c>
      <c r="BG1769" t="s">
        <v>2365</v>
      </c>
      <c r="BH1769" t="s">
        <v>2365</v>
      </c>
      <c r="BI1769" t="s">
        <v>2366</v>
      </c>
      <c r="BJ1769" t="s">
        <v>2365</v>
      </c>
      <c r="BK1769" t="s">
        <v>2365</v>
      </c>
      <c r="BL1769" t="s">
        <v>2365</v>
      </c>
      <c r="BM1769" t="s">
        <v>2365</v>
      </c>
      <c r="BO1769">
        <v>1</v>
      </c>
      <c r="BP1769">
        <v>11</v>
      </c>
      <c r="BQ1769" t="s">
        <v>2369</v>
      </c>
      <c r="BR1769" t="s">
        <v>1487</v>
      </c>
      <c r="BU1769">
        <v>0</v>
      </c>
      <c r="BV1769">
        <v>0</v>
      </c>
      <c r="BW1769">
        <v>0</v>
      </c>
      <c r="BX1769">
        <v>0</v>
      </c>
      <c r="BY1769">
        <v>0</v>
      </c>
      <c r="BZ1769">
        <v>0</v>
      </c>
      <c r="CA1769">
        <v>0</v>
      </c>
      <c r="CB1769">
        <v>0</v>
      </c>
      <c r="CC1769">
        <v>0</v>
      </c>
      <c r="CD1769">
        <v>0</v>
      </c>
      <c r="CE1769">
        <v>0</v>
      </c>
      <c r="CF1769">
        <v>0</v>
      </c>
      <c r="CG1769">
        <v>0</v>
      </c>
      <c r="CH1769">
        <v>0</v>
      </c>
      <c r="CI1769">
        <v>0</v>
      </c>
      <c r="CJ1769">
        <v>0</v>
      </c>
      <c r="CK1769">
        <v>0</v>
      </c>
      <c r="CL1769">
        <v>0</v>
      </c>
      <c r="CM1769">
        <v>0</v>
      </c>
      <c r="CR1769" t="s">
        <v>2328</v>
      </c>
      <c r="CS1769" s="1369" t="str">
        <f>INDEX([8]Sheet1!$H:$H,MATCH(CR:CR,[8]Sheet1!$AU:$AU,0))</f>
        <v>Water Distribution</v>
      </c>
    </row>
    <row r="1770" spans="1:97" x14ac:dyDescent="0.2">
      <c r="A1770" t="s">
        <v>4922</v>
      </c>
      <c r="B1770">
        <v>1868</v>
      </c>
      <c r="C1770" t="s">
        <v>4922</v>
      </c>
      <c r="D1770">
        <v>54868</v>
      </c>
      <c r="E1770" t="s">
        <v>2419</v>
      </c>
      <c r="F1770" t="s">
        <v>2364</v>
      </c>
      <c r="G1770" t="s">
        <v>2364</v>
      </c>
      <c r="H1770" t="s">
        <v>2365</v>
      </c>
      <c r="I1770" t="s">
        <v>2365</v>
      </c>
      <c r="J1770" t="s">
        <v>2365</v>
      </c>
      <c r="K1770" t="s">
        <v>2365</v>
      </c>
      <c r="L1770">
        <v>1200</v>
      </c>
      <c r="M1770" t="s">
        <v>1480</v>
      </c>
      <c r="N1770">
        <v>1204</v>
      </c>
      <c r="O1770" t="s">
        <v>1487</v>
      </c>
      <c r="P1770" t="s">
        <v>2366</v>
      </c>
      <c r="Q1770" t="s">
        <v>2364</v>
      </c>
      <c r="R1770" t="s">
        <v>2364</v>
      </c>
      <c r="S1770" t="s">
        <v>553</v>
      </c>
      <c r="T1770" t="s">
        <v>2175</v>
      </c>
      <c r="U1770">
        <v>120</v>
      </c>
      <c r="V1770" t="s">
        <v>691</v>
      </c>
      <c r="W1770">
        <v>120</v>
      </c>
      <c r="X1770" t="s">
        <v>691</v>
      </c>
      <c r="Y1770" t="s">
        <v>4923</v>
      </c>
      <c r="Z1770" t="s">
        <v>559</v>
      </c>
      <c r="AA1770" t="s">
        <v>4923</v>
      </c>
      <c r="AB1770" t="s">
        <v>559</v>
      </c>
      <c r="AC1770" s="813" t="s">
        <v>2365</v>
      </c>
      <c r="AD1770" s="813" t="s">
        <v>2365</v>
      </c>
      <c r="AE1770" s="813" t="s">
        <v>2365</v>
      </c>
      <c r="AF1770" t="s">
        <v>2365</v>
      </c>
      <c r="AG1770" t="s">
        <v>2365</v>
      </c>
      <c r="AH1770" t="s">
        <v>2365</v>
      </c>
      <c r="AI1770" t="s">
        <v>2365</v>
      </c>
      <c r="AJ1770" t="s">
        <v>2365</v>
      </c>
      <c r="AK1770" t="s">
        <v>2365</v>
      </c>
      <c r="AL1770" t="s">
        <v>2365</v>
      </c>
      <c r="AM1770" t="s">
        <v>2365</v>
      </c>
      <c r="AN1770" t="s">
        <v>2365</v>
      </c>
      <c r="AQ1770" t="s">
        <v>2423</v>
      </c>
      <c r="AR1770" t="s">
        <v>2365</v>
      </c>
      <c r="AS1770" t="s">
        <v>2365</v>
      </c>
      <c r="AT1770" t="s">
        <v>2365</v>
      </c>
      <c r="AU1770" t="s">
        <v>2365</v>
      </c>
      <c r="AV1770" t="s">
        <v>2365</v>
      </c>
      <c r="AW1770" t="s">
        <v>2365</v>
      </c>
      <c r="AX1770" t="s">
        <v>2365</v>
      </c>
      <c r="AY1770" t="s">
        <v>2365</v>
      </c>
      <c r="AZ1770" t="s">
        <v>2365</v>
      </c>
      <c r="BA1770" t="s">
        <v>2365</v>
      </c>
      <c r="BB1770" t="s">
        <v>2365</v>
      </c>
      <c r="BC1770" t="s">
        <v>2365</v>
      </c>
      <c r="BD1770" t="s">
        <v>2366</v>
      </c>
      <c r="BE1770" t="s">
        <v>2365</v>
      </c>
      <c r="BF1770" t="s">
        <v>2365</v>
      </c>
      <c r="BG1770" t="s">
        <v>2365</v>
      </c>
      <c r="BH1770" t="s">
        <v>2365</v>
      </c>
      <c r="BI1770" t="s">
        <v>2366</v>
      </c>
      <c r="BJ1770" t="s">
        <v>2365</v>
      </c>
      <c r="BK1770" t="s">
        <v>2365</v>
      </c>
      <c r="BL1770" t="s">
        <v>2365</v>
      </c>
      <c r="BM1770" t="s">
        <v>2365</v>
      </c>
      <c r="BO1770">
        <v>1</v>
      </c>
      <c r="BP1770">
        <v>11</v>
      </c>
      <c r="BQ1770" t="s">
        <v>2369</v>
      </c>
      <c r="BR1770" t="s">
        <v>1487</v>
      </c>
      <c r="BU1770">
        <v>-16814377</v>
      </c>
      <c r="BV1770">
        <v>0</v>
      </c>
      <c r="BW1770">
        <v>-16814377</v>
      </c>
      <c r="BX1770">
        <v>16814377</v>
      </c>
      <c r="BY1770">
        <v>0</v>
      </c>
      <c r="BZ1770">
        <v>0</v>
      </c>
      <c r="CA1770">
        <v>0</v>
      </c>
      <c r="CB1770">
        <v>0</v>
      </c>
      <c r="CC1770">
        <v>0</v>
      </c>
      <c r="CD1770">
        <v>0</v>
      </c>
      <c r="CE1770">
        <v>0</v>
      </c>
      <c r="CF1770">
        <v>0</v>
      </c>
      <c r="CG1770">
        <v>0</v>
      </c>
      <c r="CH1770">
        <v>0</v>
      </c>
      <c r="CI1770">
        <v>0</v>
      </c>
      <c r="CJ1770">
        <v>0</v>
      </c>
      <c r="CK1770">
        <v>0</v>
      </c>
      <c r="CL1770">
        <v>0</v>
      </c>
      <c r="CM1770">
        <v>0</v>
      </c>
      <c r="CR1770" t="s">
        <v>2328</v>
      </c>
      <c r="CS1770" s="1369" t="str">
        <f>INDEX([8]Sheet1!$H:$H,MATCH(CR:CR,[8]Sheet1!$AU:$AU,0))</f>
        <v>Water Distribution</v>
      </c>
    </row>
    <row r="1771" spans="1:97" x14ac:dyDescent="0.2">
      <c r="A1771" t="s">
        <v>4924</v>
      </c>
      <c r="B1771">
        <v>1869</v>
      </c>
      <c r="C1771" t="s">
        <v>4924</v>
      </c>
      <c r="D1771">
        <v>54869</v>
      </c>
      <c r="E1771" t="s">
        <v>4901</v>
      </c>
      <c r="F1771" t="s">
        <v>2364</v>
      </c>
      <c r="G1771" t="s">
        <v>2364</v>
      </c>
      <c r="H1771" t="s">
        <v>2365</v>
      </c>
      <c r="I1771" t="s">
        <v>2365</v>
      </c>
      <c r="J1771" t="s">
        <v>2365</v>
      </c>
      <c r="K1771" t="s">
        <v>2365</v>
      </c>
      <c r="L1771">
        <v>1200</v>
      </c>
      <c r="M1771" t="s">
        <v>1480</v>
      </c>
      <c r="N1771">
        <v>1204</v>
      </c>
      <c r="O1771" t="s">
        <v>1487</v>
      </c>
      <c r="P1771" t="s">
        <v>2366</v>
      </c>
      <c r="Q1771" t="s">
        <v>2364</v>
      </c>
      <c r="R1771" t="s">
        <v>2364</v>
      </c>
      <c r="S1771" t="s">
        <v>553</v>
      </c>
      <c r="T1771" t="s">
        <v>2175</v>
      </c>
      <c r="U1771">
        <v>120</v>
      </c>
      <c r="V1771" t="s">
        <v>691</v>
      </c>
      <c r="W1771">
        <v>120</v>
      </c>
      <c r="X1771" t="s">
        <v>691</v>
      </c>
      <c r="Y1771" t="s">
        <v>2365</v>
      </c>
      <c r="Z1771" t="s">
        <v>2365</v>
      </c>
      <c r="AA1771" t="s">
        <v>2365</v>
      </c>
      <c r="AB1771" t="s">
        <v>2365</v>
      </c>
      <c r="AC1771" s="813">
        <v>200</v>
      </c>
      <c r="AD1771" s="813" t="s">
        <v>4443</v>
      </c>
      <c r="AE1771" s="813">
        <v>480</v>
      </c>
      <c r="AF1771" t="s">
        <v>569</v>
      </c>
      <c r="AG1771" t="s">
        <v>2365</v>
      </c>
      <c r="AH1771" t="s">
        <v>2365</v>
      </c>
      <c r="AI1771" t="s">
        <v>2365</v>
      </c>
      <c r="AJ1771" t="s">
        <v>2365</v>
      </c>
      <c r="AK1771" t="s">
        <v>2365</v>
      </c>
      <c r="AL1771" t="s">
        <v>2365</v>
      </c>
      <c r="AM1771" t="s">
        <v>2365</v>
      </c>
      <c r="AN1771" t="s">
        <v>2365</v>
      </c>
      <c r="AR1771" t="s">
        <v>2365</v>
      </c>
      <c r="AS1771" t="s">
        <v>2365</v>
      </c>
      <c r="AT1771" t="s">
        <v>2365</v>
      </c>
      <c r="AU1771" t="s">
        <v>2365</v>
      </c>
      <c r="AV1771" t="s">
        <v>2365</v>
      </c>
      <c r="AW1771" t="s">
        <v>2365</v>
      </c>
      <c r="AX1771" t="s">
        <v>2365</v>
      </c>
      <c r="AY1771" t="s">
        <v>2365</v>
      </c>
      <c r="AZ1771" t="s">
        <v>2365</v>
      </c>
      <c r="BA1771" t="s">
        <v>2365</v>
      </c>
      <c r="BB1771" t="s">
        <v>2365</v>
      </c>
      <c r="BC1771" t="s">
        <v>2365</v>
      </c>
      <c r="BD1771" t="s">
        <v>2366</v>
      </c>
      <c r="BE1771" t="s">
        <v>2365</v>
      </c>
      <c r="BF1771" t="s">
        <v>2365</v>
      </c>
      <c r="BG1771" t="s">
        <v>2365</v>
      </c>
      <c r="BH1771" t="s">
        <v>2365</v>
      </c>
      <c r="BI1771" t="s">
        <v>2366</v>
      </c>
      <c r="BJ1771" t="s">
        <v>2365</v>
      </c>
      <c r="BK1771" t="s">
        <v>2365</v>
      </c>
      <c r="BL1771" t="s">
        <v>2365</v>
      </c>
      <c r="BM1771" t="s">
        <v>2365</v>
      </c>
      <c r="BO1771">
        <v>1</v>
      </c>
      <c r="BP1771">
        <v>11</v>
      </c>
      <c r="BQ1771" t="s">
        <v>2369</v>
      </c>
      <c r="BR1771" t="s">
        <v>1487</v>
      </c>
      <c r="BU1771">
        <v>0</v>
      </c>
      <c r="BV1771">
        <v>0</v>
      </c>
      <c r="BW1771">
        <v>0</v>
      </c>
      <c r="BX1771">
        <v>0</v>
      </c>
      <c r="BY1771">
        <v>0</v>
      </c>
      <c r="BZ1771">
        <v>0</v>
      </c>
      <c r="CA1771">
        <v>0</v>
      </c>
      <c r="CB1771">
        <v>0</v>
      </c>
      <c r="CC1771">
        <v>0</v>
      </c>
      <c r="CD1771">
        <v>0</v>
      </c>
      <c r="CE1771">
        <v>0</v>
      </c>
      <c r="CF1771">
        <v>0</v>
      </c>
      <c r="CG1771">
        <v>0</v>
      </c>
      <c r="CH1771">
        <v>0</v>
      </c>
      <c r="CI1771">
        <v>0</v>
      </c>
      <c r="CJ1771">
        <v>0</v>
      </c>
      <c r="CK1771">
        <v>0</v>
      </c>
      <c r="CL1771">
        <v>0</v>
      </c>
      <c r="CM1771">
        <v>0</v>
      </c>
      <c r="CR1771" t="s">
        <v>2320</v>
      </c>
      <c r="CS1771" s="1369" t="str">
        <f>INDEX([8]Sheet1!$H:$H,MATCH(CR:CR,[8]Sheet1!$AU:$AU,0))</f>
        <v>Administrative and Corporate Support</v>
      </c>
    </row>
    <row r="1772" spans="1:97" x14ac:dyDescent="0.2">
      <c r="A1772" t="s">
        <v>4925</v>
      </c>
      <c r="B1772">
        <v>1870</v>
      </c>
      <c r="C1772" t="s">
        <v>4925</v>
      </c>
      <c r="D1772">
        <v>54870</v>
      </c>
      <c r="E1772" t="s">
        <v>2405</v>
      </c>
      <c r="F1772" t="s">
        <v>2364</v>
      </c>
      <c r="G1772" t="s">
        <v>2364</v>
      </c>
      <c r="H1772" t="s">
        <v>2365</v>
      </c>
      <c r="I1772" t="s">
        <v>2365</v>
      </c>
      <c r="J1772" t="s">
        <v>2365</v>
      </c>
      <c r="K1772" t="s">
        <v>2365</v>
      </c>
      <c r="L1772">
        <v>1200</v>
      </c>
      <c r="M1772" t="s">
        <v>1480</v>
      </c>
      <c r="N1772">
        <v>1204</v>
      </c>
      <c r="O1772" t="s">
        <v>1487</v>
      </c>
      <c r="P1772" t="s">
        <v>2366</v>
      </c>
      <c r="Q1772" t="s">
        <v>2364</v>
      </c>
      <c r="R1772" t="s">
        <v>2364</v>
      </c>
      <c r="S1772" t="s">
        <v>553</v>
      </c>
      <c r="T1772" t="s">
        <v>2175</v>
      </c>
      <c r="U1772">
        <v>120</v>
      </c>
      <c r="V1772" t="s">
        <v>691</v>
      </c>
      <c r="W1772">
        <v>120</v>
      </c>
      <c r="X1772" t="s">
        <v>691</v>
      </c>
      <c r="Y1772" t="s">
        <v>2181</v>
      </c>
      <c r="Z1772" t="s">
        <v>559</v>
      </c>
      <c r="AA1772" t="s">
        <v>2181</v>
      </c>
      <c r="AB1772" t="s">
        <v>559</v>
      </c>
      <c r="AC1772" s="813" t="s">
        <v>2365</v>
      </c>
      <c r="AD1772" s="813" t="s">
        <v>2365</v>
      </c>
      <c r="AE1772" s="813" t="s">
        <v>2365</v>
      </c>
      <c r="AF1772" t="s">
        <v>2365</v>
      </c>
      <c r="AG1772" t="s">
        <v>2365</v>
      </c>
      <c r="AH1772" t="s">
        <v>2365</v>
      </c>
      <c r="AI1772" t="s">
        <v>2365</v>
      </c>
      <c r="AJ1772" t="s">
        <v>2365</v>
      </c>
      <c r="AK1772" t="s">
        <v>2365</v>
      </c>
      <c r="AL1772" t="s">
        <v>2365</v>
      </c>
      <c r="AM1772" t="s">
        <v>2365</v>
      </c>
      <c r="AN1772" t="s">
        <v>2365</v>
      </c>
      <c r="AQ1772" t="s">
        <v>553</v>
      </c>
      <c r="AR1772" t="s">
        <v>2365</v>
      </c>
      <c r="AS1772" t="s">
        <v>2365</v>
      </c>
      <c r="AT1772" t="s">
        <v>2365</v>
      </c>
      <c r="AU1772" t="s">
        <v>2365</v>
      </c>
      <c r="AV1772" t="s">
        <v>2365</v>
      </c>
      <c r="AW1772" t="s">
        <v>2365</v>
      </c>
      <c r="AX1772" t="s">
        <v>2365</v>
      </c>
      <c r="AY1772" t="s">
        <v>2365</v>
      </c>
      <c r="AZ1772" t="s">
        <v>2365</v>
      </c>
      <c r="BA1772" t="s">
        <v>2365</v>
      </c>
      <c r="BB1772" t="s">
        <v>2365</v>
      </c>
      <c r="BC1772" t="s">
        <v>2365</v>
      </c>
      <c r="BD1772" t="s">
        <v>2366</v>
      </c>
      <c r="BE1772" t="s">
        <v>2365</v>
      </c>
      <c r="BF1772" t="s">
        <v>2365</v>
      </c>
      <c r="BG1772" t="s">
        <v>2365</v>
      </c>
      <c r="BH1772" t="s">
        <v>2365</v>
      </c>
      <c r="BI1772" t="s">
        <v>2366</v>
      </c>
      <c r="BJ1772" t="s">
        <v>2365</v>
      </c>
      <c r="BK1772" t="s">
        <v>2365</v>
      </c>
      <c r="BL1772" t="s">
        <v>2365</v>
      </c>
      <c r="BM1772" t="s">
        <v>2365</v>
      </c>
      <c r="BO1772">
        <v>1</v>
      </c>
      <c r="BP1772">
        <v>11</v>
      </c>
      <c r="BQ1772" t="s">
        <v>2369</v>
      </c>
      <c r="BR1772" t="s">
        <v>1487</v>
      </c>
      <c r="BU1772">
        <v>16814377</v>
      </c>
      <c r="BV1772">
        <v>0</v>
      </c>
      <c r="BW1772">
        <v>16814377</v>
      </c>
      <c r="BX1772">
        <v>-16814377</v>
      </c>
      <c r="BY1772">
        <v>0</v>
      </c>
      <c r="BZ1772">
        <v>0</v>
      </c>
      <c r="CA1772">
        <v>0</v>
      </c>
      <c r="CB1772">
        <v>0</v>
      </c>
      <c r="CC1772">
        <v>0</v>
      </c>
      <c r="CD1772">
        <v>0</v>
      </c>
      <c r="CE1772">
        <v>0</v>
      </c>
      <c r="CF1772">
        <v>0</v>
      </c>
      <c r="CG1772">
        <v>0</v>
      </c>
      <c r="CH1772">
        <v>0</v>
      </c>
      <c r="CI1772">
        <v>0</v>
      </c>
      <c r="CJ1772">
        <v>0</v>
      </c>
      <c r="CK1772">
        <v>0</v>
      </c>
      <c r="CL1772">
        <v>0</v>
      </c>
      <c r="CM1772">
        <v>0</v>
      </c>
      <c r="CR1772" t="s">
        <v>2333</v>
      </c>
      <c r="CS1772" s="1369" t="str">
        <f>INDEX([8]Sheet1!$H:$H,MATCH(CR:CR,[8]Sheet1!$AU:$AU,0))</f>
        <v>Municipal Manager, Town Secretary and Chief Executive</v>
      </c>
    </row>
    <row r="1773" spans="1:97" x14ac:dyDescent="0.2">
      <c r="A1773" t="s">
        <v>4926</v>
      </c>
      <c r="B1773">
        <v>1871</v>
      </c>
      <c r="C1773" t="s">
        <v>4926</v>
      </c>
      <c r="D1773">
        <v>54876</v>
      </c>
      <c r="E1773" t="s">
        <v>4927</v>
      </c>
      <c r="F1773">
        <v>1500</v>
      </c>
      <c r="G1773" t="s">
        <v>1477</v>
      </c>
      <c r="H1773">
        <v>1500</v>
      </c>
      <c r="I1773" t="s">
        <v>1477</v>
      </c>
      <c r="J1773" t="s">
        <v>2365</v>
      </c>
      <c r="K1773" t="s">
        <v>2365</v>
      </c>
      <c r="L1773">
        <v>2100</v>
      </c>
      <c r="M1773" t="s">
        <v>618</v>
      </c>
      <c r="N1773">
        <v>2109</v>
      </c>
      <c r="O1773" t="s">
        <v>1502</v>
      </c>
      <c r="P1773" t="s">
        <v>2366</v>
      </c>
      <c r="Q1773" t="s">
        <v>2364</v>
      </c>
      <c r="R1773" t="s">
        <v>2364</v>
      </c>
      <c r="S1773" t="s">
        <v>553</v>
      </c>
      <c r="T1773" t="s">
        <v>1811</v>
      </c>
      <c r="U1773" t="s">
        <v>2365</v>
      </c>
      <c r="V1773" t="s">
        <v>2365</v>
      </c>
      <c r="W1773" t="s">
        <v>2365</v>
      </c>
      <c r="X1773" t="s">
        <v>2365</v>
      </c>
      <c r="Y1773" t="s">
        <v>2365</v>
      </c>
      <c r="Z1773" t="s">
        <v>2365</v>
      </c>
      <c r="AA1773" t="s">
        <v>2365</v>
      </c>
      <c r="AB1773" t="s">
        <v>2365</v>
      </c>
      <c r="AC1773" s="813" t="s">
        <v>2365</v>
      </c>
      <c r="AD1773" s="813" t="s">
        <v>2365</v>
      </c>
      <c r="AE1773" s="813" t="s">
        <v>2365</v>
      </c>
      <c r="AF1773" t="s">
        <v>2365</v>
      </c>
      <c r="AG1773" t="s">
        <v>2365</v>
      </c>
      <c r="AH1773" t="s">
        <v>2365</v>
      </c>
      <c r="AI1773" t="s">
        <v>2365</v>
      </c>
      <c r="AJ1773" t="s">
        <v>2365</v>
      </c>
      <c r="AK1773" t="s">
        <v>2365</v>
      </c>
      <c r="AL1773" t="s">
        <v>2365</v>
      </c>
      <c r="AM1773" t="s">
        <v>2365</v>
      </c>
      <c r="AN1773" t="s">
        <v>2365</v>
      </c>
      <c r="AR1773" t="s">
        <v>2365</v>
      </c>
      <c r="AS1773" t="s">
        <v>2365</v>
      </c>
      <c r="AT1773" t="s">
        <v>2365</v>
      </c>
      <c r="AU1773" t="s">
        <v>2365</v>
      </c>
      <c r="AV1773" t="s">
        <v>2365</v>
      </c>
      <c r="AW1773" t="s">
        <v>2365</v>
      </c>
      <c r="AX1773" t="s">
        <v>2365</v>
      </c>
      <c r="AY1773" t="s">
        <v>2365</v>
      </c>
      <c r="AZ1773" t="s">
        <v>2365</v>
      </c>
      <c r="BA1773" t="s">
        <v>2365</v>
      </c>
      <c r="BB1773" t="s">
        <v>2365</v>
      </c>
      <c r="BC1773" t="s">
        <v>2365</v>
      </c>
      <c r="BD1773" t="s">
        <v>2366</v>
      </c>
      <c r="BE1773" t="s">
        <v>2365</v>
      </c>
      <c r="BF1773" t="s">
        <v>2365</v>
      </c>
      <c r="BG1773" t="s">
        <v>2365</v>
      </c>
      <c r="BH1773" t="s">
        <v>2365</v>
      </c>
      <c r="BI1773" t="s">
        <v>2366</v>
      </c>
      <c r="BJ1773" t="s">
        <v>2365</v>
      </c>
      <c r="BK1773" t="s">
        <v>2365</v>
      </c>
      <c r="BL1773" t="s">
        <v>2365</v>
      </c>
      <c r="BM1773" t="s">
        <v>2365</v>
      </c>
      <c r="BO1773">
        <v>4</v>
      </c>
      <c r="BP1773">
        <v>41</v>
      </c>
      <c r="BQ1773" t="s">
        <v>2433</v>
      </c>
      <c r="BR1773" t="s">
        <v>1502</v>
      </c>
      <c r="BU1773">
        <v>-372500</v>
      </c>
      <c r="BV1773">
        <v>0</v>
      </c>
      <c r="BW1773">
        <v>-372500</v>
      </c>
      <c r="BX1773">
        <v>-372500</v>
      </c>
      <c r="BY1773">
        <v>0</v>
      </c>
      <c r="BZ1773">
        <v>0</v>
      </c>
      <c r="CA1773">
        <v>0</v>
      </c>
      <c r="CB1773">
        <v>0</v>
      </c>
      <c r="CC1773">
        <v>0</v>
      </c>
      <c r="CD1773">
        <v>0</v>
      </c>
      <c r="CE1773">
        <v>0</v>
      </c>
      <c r="CF1773">
        <v>0</v>
      </c>
      <c r="CG1773">
        <v>0</v>
      </c>
      <c r="CH1773">
        <v>0</v>
      </c>
      <c r="CI1773">
        <v>0</v>
      </c>
      <c r="CJ1773">
        <v>0</v>
      </c>
      <c r="CK1773">
        <v>0</v>
      </c>
      <c r="CL1773">
        <v>0</v>
      </c>
      <c r="CM1773">
        <v>0</v>
      </c>
      <c r="CR1773" t="s">
        <v>2328</v>
      </c>
      <c r="CS1773" s="1369" t="str">
        <f>INDEX([8]Sheet1!$H:$H,MATCH(CR:CR,[8]Sheet1!$AU:$AU,0))</f>
        <v>Water Distribution</v>
      </c>
    </row>
    <row r="1774" spans="1:97" x14ac:dyDescent="0.2">
      <c r="A1774" t="s">
        <v>4928</v>
      </c>
      <c r="B1774">
        <v>1872</v>
      </c>
      <c r="C1774" t="s">
        <v>4928</v>
      </c>
      <c r="D1774">
        <v>54871</v>
      </c>
      <c r="E1774" t="s">
        <v>2419</v>
      </c>
      <c r="F1774" t="s">
        <v>2364</v>
      </c>
      <c r="G1774" t="s">
        <v>2364</v>
      </c>
      <c r="H1774" t="s">
        <v>2365</v>
      </c>
      <c r="I1774" t="s">
        <v>2365</v>
      </c>
      <c r="J1774" t="s">
        <v>2365</v>
      </c>
      <c r="K1774" t="s">
        <v>2365</v>
      </c>
      <c r="L1774">
        <v>1200</v>
      </c>
      <c r="M1774" t="s">
        <v>1480</v>
      </c>
      <c r="N1774">
        <v>1204</v>
      </c>
      <c r="O1774" t="s">
        <v>1487</v>
      </c>
      <c r="P1774" t="s">
        <v>2366</v>
      </c>
      <c r="Q1774" t="s">
        <v>2364</v>
      </c>
      <c r="R1774" t="s">
        <v>2364</v>
      </c>
      <c r="S1774" t="s">
        <v>553</v>
      </c>
      <c r="T1774" t="s">
        <v>2175</v>
      </c>
      <c r="U1774">
        <v>120</v>
      </c>
      <c r="V1774" t="s">
        <v>691</v>
      </c>
      <c r="W1774">
        <v>120</v>
      </c>
      <c r="X1774" t="s">
        <v>691</v>
      </c>
      <c r="Y1774" t="s">
        <v>4929</v>
      </c>
      <c r="Z1774" t="s">
        <v>560</v>
      </c>
      <c r="AA1774" t="s">
        <v>4929</v>
      </c>
      <c r="AB1774" t="s">
        <v>560</v>
      </c>
      <c r="AC1774" s="813" t="s">
        <v>2365</v>
      </c>
      <c r="AD1774" s="813" t="s">
        <v>2365</v>
      </c>
      <c r="AE1774" s="813" t="s">
        <v>2365</v>
      </c>
      <c r="AF1774" t="s">
        <v>2365</v>
      </c>
      <c r="AG1774" t="s">
        <v>2365</v>
      </c>
      <c r="AH1774" t="s">
        <v>2365</v>
      </c>
      <c r="AI1774" t="s">
        <v>2365</v>
      </c>
      <c r="AJ1774" t="s">
        <v>2365</v>
      </c>
      <c r="AK1774" t="s">
        <v>2365</v>
      </c>
      <c r="AL1774" t="s">
        <v>2365</v>
      </c>
      <c r="AM1774" t="s">
        <v>2365</v>
      </c>
      <c r="AN1774" t="s">
        <v>2365</v>
      </c>
      <c r="AQ1774" t="s">
        <v>2423</v>
      </c>
      <c r="AR1774" t="s">
        <v>2365</v>
      </c>
      <c r="AS1774" t="s">
        <v>2365</v>
      </c>
      <c r="AT1774" t="s">
        <v>2365</v>
      </c>
      <c r="AU1774" t="s">
        <v>2365</v>
      </c>
      <c r="AV1774" t="s">
        <v>2365</v>
      </c>
      <c r="AW1774" t="s">
        <v>2365</v>
      </c>
      <c r="AX1774" t="s">
        <v>2365</v>
      </c>
      <c r="AY1774" t="s">
        <v>2365</v>
      </c>
      <c r="AZ1774" t="s">
        <v>2365</v>
      </c>
      <c r="BA1774" t="s">
        <v>2365</v>
      </c>
      <c r="BB1774" t="s">
        <v>2365</v>
      </c>
      <c r="BC1774" t="s">
        <v>2365</v>
      </c>
      <c r="BD1774" t="s">
        <v>2366</v>
      </c>
      <c r="BE1774" t="s">
        <v>2365</v>
      </c>
      <c r="BF1774" t="s">
        <v>2365</v>
      </c>
      <c r="BG1774" t="s">
        <v>2365</v>
      </c>
      <c r="BH1774" t="s">
        <v>2365</v>
      </c>
      <c r="BI1774" t="s">
        <v>2366</v>
      </c>
      <c r="BJ1774" t="s">
        <v>2365</v>
      </c>
      <c r="BK1774" t="s">
        <v>2365</v>
      </c>
      <c r="BL1774" t="s">
        <v>2365</v>
      </c>
      <c r="BM1774" t="s">
        <v>2365</v>
      </c>
      <c r="BO1774">
        <v>1</v>
      </c>
      <c r="BP1774">
        <v>11</v>
      </c>
      <c r="BQ1774" t="s">
        <v>2369</v>
      </c>
      <c r="BR1774" t="s">
        <v>1487</v>
      </c>
      <c r="BU1774">
        <v>-574284</v>
      </c>
      <c r="BV1774">
        <v>0</v>
      </c>
      <c r="BW1774">
        <v>-574284</v>
      </c>
      <c r="BX1774">
        <v>574284</v>
      </c>
      <c r="BY1774">
        <v>0</v>
      </c>
      <c r="BZ1774">
        <v>0</v>
      </c>
      <c r="CA1774">
        <v>0</v>
      </c>
      <c r="CB1774">
        <v>0</v>
      </c>
      <c r="CC1774">
        <v>0</v>
      </c>
      <c r="CD1774">
        <v>0</v>
      </c>
      <c r="CE1774">
        <v>0</v>
      </c>
      <c r="CF1774">
        <v>0</v>
      </c>
      <c r="CG1774">
        <v>0</v>
      </c>
      <c r="CH1774">
        <v>0</v>
      </c>
      <c r="CI1774">
        <v>0</v>
      </c>
      <c r="CJ1774">
        <v>0</v>
      </c>
      <c r="CK1774">
        <v>0</v>
      </c>
      <c r="CL1774">
        <v>0</v>
      </c>
      <c r="CM1774">
        <v>0</v>
      </c>
      <c r="CR1774" t="s">
        <v>2328</v>
      </c>
      <c r="CS1774" s="1369" t="str">
        <f>INDEX([8]Sheet1!$H:$H,MATCH(CR:CR,[8]Sheet1!$AU:$AU,0))</f>
        <v>Water Distribution</v>
      </c>
    </row>
    <row r="1775" spans="1:97" x14ac:dyDescent="0.2">
      <c r="A1775" t="s">
        <v>4930</v>
      </c>
      <c r="B1775">
        <v>1873</v>
      </c>
      <c r="C1775" t="s">
        <v>4930</v>
      </c>
      <c r="D1775">
        <v>54872</v>
      </c>
      <c r="E1775" t="s">
        <v>4903</v>
      </c>
      <c r="F1775" t="s">
        <v>2364</v>
      </c>
      <c r="G1775" t="s">
        <v>2364</v>
      </c>
      <c r="H1775" t="s">
        <v>2365</v>
      </c>
      <c r="I1775" t="s">
        <v>2365</v>
      </c>
      <c r="J1775" t="s">
        <v>2365</v>
      </c>
      <c r="K1775" t="s">
        <v>2365</v>
      </c>
      <c r="L1775">
        <v>1200</v>
      </c>
      <c r="M1775" t="s">
        <v>1480</v>
      </c>
      <c r="N1775">
        <v>1204</v>
      </c>
      <c r="O1775" t="s">
        <v>1487</v>
      </c>
      <c r="P1775" t="s">
        <v>2366</v>
      </c>
      <c r="Q1775" t="s">
        <v>2364</v>
      </c>
      <c r="R1775" t="s">
        <v>2364</v>
      </c>
      <c r="S1775" t="s">
        <v>553</v>
      </c>
      <c r="T1775" t="s">
        <v>2175</v>
      </c>
      <c r="U1775">
        <v>120</v>
      </c>
      <c r="V1775" t="s">
        <v>691</v>
      </c>
      <c r="W1775">
        <v>120</v>
      </c>
      <c r="X1775" t="s">
        <v>691</v>
      </c>
      <c r="Y1775" t="s">
        <v>2365</v>
      </c>
      <c r="Z1775" t="s">
        <v>2365</v>
      </c>
      <c r="AA1775" t="s">
        <v>2365</v>
      </c>
      <c r="AB1775" t="s">
        <v>2365</v>
      </c>
      <c r="AC1775" s="813" t="s">
        <v>2365</v>
      </c>
      <c r="AD1775" s="813" t="s">
        <v>2365</v>
      </c>
      <c r="AE1775" s="813" t="s">
        <v>2365</v>
      </c>
      <c r="AF1775" t="s">
        <v>2365</v>
      </c>
      <c r="AG1775" t="s">
        <v>2365</v>
      </c>
      <c r="AH1775" t="s">
        <v>2365</v>
      </c>
      <c r="AI1775" t="s">
        <v>2365</v>
      </c>
      <c r="AJ1775" t="s">
        <v>2365</v>
      </c>
      <c r="AK1775" t="s">
        <v>2365</v>
      </c>
      <c r="AL1775" t="s">
        <v>2365</v>
      </c>
      <c r="AM1775" t="s">
        <v>2365</v>
      </c>
      <c r="AN1775" t="s">
        <v>2365</v>
      </c>
      <c r="AR1775" t="s">
        <v>2365</v>
      </c>
      <c r="AS1775" t="s">
        <v>2365</v>
      </c>
      <c r="AT1775" t="s">
        <v>2365</v>
      </c>
      <c r="AU1775" t="s">
        <v>2365</v>
      </c>
      <c r="AV1775" t="s">
        <v>2365</v>
      </c>
      <c r="AW1775" t="s">
        <v>2365</v>
      </c>
      <c r="AX1775" t="s">
        <v>2365</v>
      </c>
      <c r="AY1775" t="s">
        <v>2365</v>
      </c>
      <c r="AZ1775" t="s">
        <v>2365</v>
      </c>
      <c r="BA1775" t="s">
        <v>2365</v>
      </c>
      <c r="BB1775" t="s">
        <v>2365</v>
      </c>
      <c r="BC1775" t="s">
        <v>2365</v>
      </c>
      <c r="BD1775" t="s">
        <v>2366</v>
      </c>
      <c r="BE1775" t="s">
        <v>2365</v>
      </c>
      <c r="BF1775" t="s">
        <v>2365</v>
      </c>
      <c r="BG1775" t="s">
        <v>2365</v>
      </c>
      <c r="BH1775" t="s">
        <v>2365</v>
      </c>
      <c r="BI1775" t="s">
        <v>2366</v>
      </c>
      <c r="BJ1775" t="s">
        <v>2365</v>
      </c>
      <c r="BK1775" t="s">
        <v>2365</v>
      </c>
      <c r="BL1775" t="s">
        <v>2365</v>
      </c>
      <c r="BM1775" t="s">
        <v>2365</v>
      </c>
      <c r="BO1775">
        <v>1</v>
      </c>
      <c r="BP1775">
        <v>11</v>
      </c>
      <c r="BQ1775" t="s">
        <v>2369</v>
      </c>
      <c r="BR1775" t="s">
        <v>1487</v>
      </c>
      <c r="BU1775">
        <v>0</v>
      </c>
      <c r="BV1775">
        <v>0</v>
      </c>
      <c r="BW1775">
        <v>0</v>
      </c>
      <c r="BX1775">
        <v>0</v>
      </c>
      <c r="BY1775">
        <v>0</v>
      </c>
      <c r="BZ1775">
        <v>0</v>
      </c>
      <c r="CA1775">
        <v>0</v>
      </c>
      <c r="CB1775">
        <v>0</v>
      </c>
      <c r="CC1775">
        <v>0</v>
      </c>
      <c r="CD1775">
        <v>0</v>
      </c>
      <c r="CE1775">
        <v>0</v>
      </c>
      <c r="CF1775">
        <v>0</v>
      </c>
      <c r="CG1775">
        <v>0</v>
      </c>
      <c r="CH1775">
        <v>0</v>
      </c>
      <c r="CI1775">
        <v>0</v>
      </c>
      <c r="CJ1775">
        <v>0</v>
      </c>
      <c r="CK1775">
        <v>0</v>
      </c>
      <c r="CL1775">
        <v>0</v>
      </c>
      <c r="CM1775">
        <v>0</v>
      </c>
      <c r="CR1775" t="s">
        <v>2328</v>
      </c>
      <c r="CS1775" s="1369" t="str">
        <f>INDEX([8]Sheet1!$H:$H,MATCH(CR:CR,[8]Sheet1!$AU:$AU,0))</f>
        <v>Water Distribution</v>
      </c>
    </row>
    <row r="1776" spans="1:97" x14ac:dyDescent="0.2">
      <c r="A1776" t="s">
        <v>4931</v>
      </c>
      <c r="B1776">
        <v>1874</v>
      </c>
      <c r="C1776" t="s">
        <v>4931</v>
      </c>
      <c r="D1776">
        <v>54873</v>
      </c>
      <c r="E1776" t="s">
        <v>4901</v>
      </c>
      <c r="F1776" t="s">
        <v>2364</v>
      </c>
      <c r="G1776" t="s">
        <v>2364</v>
      </c>
      <c r="H1776" t="s">
        <v>2365</v>
      </c>
      <c r="I1776" t="s">
        <v>2365</v>
      </c>
      <c r="J1776" t="s">
        <v>2365</v>
      </c>
      <c r="K1776" t="s">
        <v>2365</v>
      </c>
      <c r="L1776">
        <v>1200</v>
      </c>
      <c r="M1776" t="s">
        <v>1480</v>
      </c>
      <c r="N1776">
        <v>1204</v>
      </c>
      <c r="O1776" t="s">
        <v>1487</v>
      </c>
      <c r="P1776" t="s">
        <v>2366</v>
      </c>
      <c r="Q1776" t="s">
        <v>2364</v>
      </c>
      <c r="R1776" t="s">
        <v>2364</v>
      </c>
      <c r="S1776" t="s">
        <v>553</v>
      </c>
      <c r="T1776" t="s">
        <v>2175</v>
      </c>
      <c r="U1776">
        <v>120</v>
      </c>
      <c r="V1776" t="s">
        <v>691</v>
      </c>
      <c r="W1776">
        <v>120</v>
      </c>
      <c r="X1776" t="s">
        <v>691</v>
      </c>
      <c r="Y1776" t="s">
        <v>2365</v>
      </c>
      <c r="Z1776" t="s">
        <v>2365</v>
      </c>
      <c r="AA1776" t="s">
        <v>2365</v>
      </c>
      <c r="AB1776" t="s">
        <v>2365</v>
      </c>
      <c r="AC1776" s="813">
        <v>200</v>
      </c>
      <c r="AD1776" s="813" t="s">
        <v>4443</v>
      </c>
      <c r="AE1776" s="813">
        <v>480</v>
      </c>
      <c r="AF1776" t="s">
        <v>569</v>
      </c>
      <c r="AG1776" t="s">
        <v>2365</v>
      </c>
      <c r="AH1776" t="s">
        <v>2365</v>
      </c>
      <c r="AI1776" t="s">
        <v>2365</v>
      </c>
      <c r="AJ1776" t="s">
        <v>2365</v>
      </c>
      <c r="AK1776" t="s">
        <v>2365</v>
      </c>
      <c r="AL1776" t="s">
        <v>2365</v>
      </c>
      <c r="AM1776" t="s">
        <v>2365</v>
      </c>
      <c r="AN1776" t="s">
        <v>2365</v>
      </c>
      <c r="AR1776" t="s">
        <v>2365</v>
      </c>
      <c r="AS1776" t="s">
        <v>2365</v>
      </c>
      <c r="AT1776" t="s">
        <v>2365</v>
      </c>
      <c r="AU1776" t="s">
        <v>2365</v>
      </c>
      <c r="AV1776" t="s">
        <v>2365</v>
      </c>
      <c r="AW1776" t="s">
        <v>2365</v>
      </c>
      <c r="AX1776" t="s">
        <v>2365</v>
      </c>
      <c r="AY1776" t="s">
        <v>2365</v>
      </c>
      <c r="AZ1776" t="s">
        <v>2365</v>
      </c>
      <c r="BA1776" t="s">
        <v>2365</v>
      </c>
      <c r="BB1776" t="s">
        <v>2365</v>
      </c>
      <c r="BC1776" t="s">
        <v>2365</v>
      </c>
      <c r="BD1776" t="s">
        <v>2366</v>
      </c>
      <c r="BE1776" t="s">
        <v>2365</v>
      </c>
      <c r="BF1776" t="s">
        <v>2365</v>
      </c>
      <c r="BG1776" t="s">
        <v>2365</v>
      </c>
      <c r="BH1776" t="s">
        <v>2365</v>
      </c>
      <c r="BI1776" t="s">
        <v>2366</v>
      </c>
      <c r="BJ1776" t="s">
        <v>2365</v>
      </c>
      <c r="BK1776" t="s">
        <v>2365</v>
      </c>
      <c r="BL1776" t="s">
        <v>2365</v>
      </c>
      <c r="BM1776" t="s">
        <v>2365</v>
      </c>
      <c r="BO1776">
        <v>1</v>
      </c>
      <c r="BP1776">
        <v>11</v>
      </c>
      <c r="BQ1776" t="s">
        <v>2369</v>
      </c>
      <c r="BR1776" t="s">
        <v>1487</v>
      </c>
      <c r="BU1776">
        <v>0</v>
      </c>
      <c r="BV1776">
        <v>0</v>
      </c>
      <c r="BW1776">
        <v>0</v>
      </c>
      <c r="BX1776">
        <v>0</v>
      </c>
      <c r="BY1776">
        <v>0</v>
      </c>
      <c r="BZ1776">
        <v>0</v>
      </c>
      <c r="CA1776">
        <v>0</v>
      </c>
      <c r="CB1776">
        <v>0</v>
      </c>
      <c r="CC1776">
        <v>0</v>
      </c>
      <c r="CD1776">
        <v>0</v>
      </c>
      <c r="CE1776">
        <v>0</v>
      </c>
      <c r="CF1776">
        <v>0</v>
      </c>
      <c r="CG1776">
        <v>0</v>
      </c>
      <c r="CH1776">
        <v>0</v>
      </c>
      <c r="CI1776">
        <v>0</v>
      </c>
      <c r="CJ1776">
        <v>0</v>
      </c>
      <c r="CK1776">
        <v>0</v>
      </c>
      <c r="CL1776">
        <v>0</v>
      </c>
      <c r="CM1776">
        <v>0</v>
      </c>
      <c r="CR1776" t="s">
        <v>2335</v>
      </c>
      <c r="CS1776" s="1369" t="str">
        <f>INDEX([8]Sheet1!$H:$H,MATCH(CR:CR,[8]Sheet1!$AU:$AU,0))</f>
        <v>Economic Development/Planning</v>
      </c>
    </row>
    <row r="1777" spans="1:97" x14ac:dyDescent="0.2">
      <c r="A1777" t="s">
        <v>4932</v>
      </c>
      <c r="B1777">
        <v>1875</v>
      </c>
      <c r="C1777" t="s">
        <v>4932</v>
      </c>
      <c r="D1777">
        <v>54874</v>
      </c>
      <c r="E1777" t="s">
        <v>2405</v>
      </c>
      <c r="F1777" t="s">
        <v>2364</v>
      </c>
      <c r="G1777" t="s">
        <v>2364</v>
      </c>
      <c r="H1777" t="s">
        <v>2365</v>
      </c>
      <c r="I1777" t="s">
        <v>2365</v>
      </c>
      <c r="J1777" t="s">
        <v>2365</v>
      </c>
      <c r="K1777" t="s">
        <v>2365</v>
      </c>
      <c r="L1777">
        <v>1200</v>
      </c>
      <c r="M1777" t="s">
        <v>1480</v>
      </c>
      <c r="N1777">
        <v>1204</v>
      </c>
      <c r="O1777" t="s">
        <v>1487</v>
      </c>
      <c r="P1777" t="s">
        <v>2366</v>
      </c>
      <c r="Q1777" t="s">
        <v>2364</v>
      </c>
      <c r="R1777" t="s">
        <v>2364</v>
      </c>
      <c r="S1777" t="s">
        <v>553</v>
      </c>
      <c r="T1777" t="s">
        <v>2175</v>
      </c>
      <c r="U1777">
        <v>120</v>
      </c>
      <c r="V1777" t="s">
        <v>691</v>
      </c>
      <c r="W1777">
        <v>120</v>
      </c>
      <c r="X1777" t="s">
        <v>691</v>
      </c>
      <c r="Y1777" t="s">
        <v>2180</v>
      </c>
      <c r="Z1777" t="s">
        <v>560</v>
      </c>
      <c r="AA1777" t="s">
        <v>2180</v>
      </c>
      <c r="AB1777" t="s">
        <v>560</v>
      </c>
      <c r="AC1777" s="813" t="s">
        <v>2365</v>
      </c>
      <c r="AD1777" s="813" t="s">
        <v>2365</v>
      </c>
      <c r="AE1777" s="813" t="s">
        <v>2365</v>
      </c>
      <c r="AF1777" t="s">
        <v>2365</v>
      </c>
      <c r="AG1777" t="s">
        <v>2365</v>
      </c>
      <c r="AH1777" t="s">
        <v>2365</v>
      </c>
      <c r="AI1777" t="s">
        <v>2365</v>
      </c>
      <c r="AJ1777" t="s">
        <v>2365</v>
      </c>
      <c r="AK1777" t="s">
        <v>2365</v>
      </c>
      <c r="AL1777" t="s">
        <v>2365</v>
      </c>
      <c r="AM1777" t="s">
        <v>2365</v>
      </c>
      <c r="AN1777" t="s">
        <v>2365</v>
      </c>
      <c r="AQ1777" t="s">
        <v>553</v>
      </c>
      <c r="AR1777" t="s">
        <v>2365</v>
      </c>
      <c r="AS1777" t="s">
        <v>2365</v>
      </c>
      <c r="AT1777" t="s">
        <v>2365</v>
      </c>
      <c r="AU1777" t="s">
        <v>2365</v>
      </c>
      <c r="AV1777" t="s">
        <v>2365</v>
      </c>
      <c r="AW1777" t="s">
        <v>2365</v>
      </c>
      <c r="AX1777" t="s">
        <v>2365</v>
      </c>
      <c r="AY1777" t="s">
        <v>2365</v>
      </c>
      <c r="AZ1777" t="s">
        <v>2365</v>
      </c>
      <c r="BA1777" t="s">
        <v>2365</v>
      </c>
      <c r="BB1777" t="s">
        <v>2365</v>
      </c>
      <c r="BC1777" t="s">
        <v>2365</v>
      </c>
      <c r="BD1777" t="s">
        <v>2366</v>
      </c>
      <c r="BE1777" t="s">
        <v>2365</v>
      </c>
      <c r="BF1777" t="s">
        <v>2365</v>
      </c>
      <c r="BG1777" t="s">
        <v>2365</v>
      </c>
      <c r="BH1777" t="s">
        <v>2365</v>
      </c>
      <c r="BI1777" t="s">
        <v>2366</v>
      </c>
      <c r="BJ1777" t="s">
        <v>2365</v>
      </c>
      <c r="BK1777" t="s">
        <v>2365</v>
      </c>
      <c r="BL1777" t="s">
        <v>2365</v>
      </c>
      <c r="BM1777" t="s">
        <v>2365</v>
      </c>
      <c r="BO1777">
        <v>1</v>
      </c>
      <c r="BP1777">
        <v>11</v>
      </c>
      <c r="BQ1777" t="s">
        <v>2369</v>
      </c>
      <c r="BR1777" t="s">
        <v>1487</v>
      </c>
      <c r="BU1777">
        <v>574284</v>
      </c>
      <c r="BV1777">
        <v>0</v>
      </c>
      <c r="BW1777">
        <v>574284</v>
      </c>
      <c r="BX1777">
        <v>-574284</v>
      </c>
      <c r="BY1777">
        <v>0</v>
      </c>
      <c r="BZ1777">
        <v>0</v>
      </c>
      <c r="CA1777">
        <v>0</v>
      </c>
      <c r="CB1777">
        <v>0</v>
      </c>
      <c r="CC1777">
        <v>0</v>
      </c>
      <c r="CD1777">
        <v>0</v>
      </c>
      <c r="CE1777">
        <v>0</v>
      </c>
      <c r="CF1777">
        <v>0</v>
      </c>
      <c r="CG1777">
        <v>0</v>
      </c>
      <c r="CH1777">
        <v>0</v>
      </c>
      <c r="CI1777">
        <v>0</v>
      </c>
      <c r="CJ1777">
        <v>0</v>
      </c>
      <c r="CK1777">
        <v>0</v>
      </c>
      <c r="CL1777">
        <v>0</v>
      </c>
      <c r="CM1777">
        <v>0</v>
      </c>
      <c r="CR1777" t="s">
        <v>2343</v>
      </c>
      <c r="CS1777" s="1369" t="str">
        <f>INDEX([8]Sheet1!$H:$H,MATCH(CR:CR,[8]Sheet1!$AU:$AU,0))</f>
        <v>Pollution Control</v>
      </c>
    </row>
    <row r="1778" spans="1:97" x14ac:dyDescent="0.2">
      <c r="A1778" t="s">
        <v>4933</v>
      </c>
      <c r="B1778">
        <v>1876</v>
      </c>
      <c r="C1778" t="s">
        <v>4933</v>
      </c>
      <c r="D1778">
        <v>54875</v>
      </c>
      <c r="E1778" t="s">
        <v>4898</v>
      </c>
      <c r="F1778" t="s">
        <v>2364</v>
      </c>
      <c r="G1778" t="s">
        <v>2364</v>
      </c>
      <c r="H1778" t="s">
        <v>2365</v>
      </c>
      <c r="I1778" t="s">
        <v>2365</v>
      </c>
      <c r="J1778" t="s">
        <v>2365</v>
      </c>
      <c r="K1778" t="s">
        <v>2365</v>
      </c>
      <c r="L1778">
        <v>1200</v>
      </c>
      <c r="M1778" t="s">
        <v>1480</v>
      </c>
      <c r="N1778">
        <v>1204</v>
      </c>
      <c r="O1778" t="s">
        <v>1487</v>
      </c>
      <c r="P1778" t="s">
        <v>2366</v>
      </c>
      <c r="Q1778" t="s">
        <v>2364</v>
      </c>
      <c r="R1778" t="s">
        <v>2364</v>
      </c>
      <c r="S1778" t="s">
        <v>553</v>
      </c>
      <c r="T1778" t="s">
        <v>2175</v>
      </c>
      <c r="U1778">
        <v>120</v>
      </c>
      <c r="V1778" t="s">
        <v>691</v>
      </c>
      <c r="W1778">
        <v>120</v>
      </c>
      <c r="X1778" t="s">
        <v>691</v>
      </c>
      <c r="Y1778" t="s">
        <v>2365</v>
      </c>
      <c r="Z1778" t="s">
        <v>2365</v>
      </c>
      <c r="AA1778" t="s">
        <v>2365</v>
      </c>
      <c r="AB1778" t="s">
        <v>2365</v>
      </c>
      <c r="AC1778" s="813">
        <v>420</v>
      </c>
      <c r="AD1778" s="813" t="s">
        <v>4866</v>
      </c>
      <c r="AE1778" s="813">
        <v>560</v>
      </c>
      <c r="AF1778" t="s">
        <v>4866</v>
      </c>
      <c r="AG1778" t="s">
        <v>2365</v>
      </c>
      <c r="AH1778" t="s">
        <v>2365</v>
      </c>
      <c r="AI1778" t="s">
        <v>2365</v>
      </c>
      <c r="AJ1778" t="s">
        <v>2365</v>
      </c>
      <c r="AK1778" t="s">
        <v>2365</v>
      </c>
      <c r="AL1778" t="s">
        <v>2365</v>
      </c>
      <c r="AM1778" t="s">
        <v>2365</v>
      </c>
      <c r="AN1778" t="s">
        <v>2365</v>
      </c>
      <c r="AR1778" t="s">
        <v>2365</v>
      </c>
      <c r="AS1778" t="s">
        <v>2365</v>
      </c>
      <c r="AT1778" t="s">
        <v>2365</v>
      </c>
      <c r="AU1778" t="s">
        <v>2365</v>
      </c>
      <c r="AV1778" t="s">
        <v>2365</v>
      </c>
      <c r="AW1778" t="s">
        <v>2365</v>
      </c>
      <c r="AX1778" t="s">
        <v>2365</v>
      </c>
      <c r="AY1778" t="s">
        <v>2365</v>
      </c>
      <c r="AZ1778" t="s">
        <v>2365</v>
      </c>
      <c r="BA1778" t="s">
        <v>2365</v>
      </c>
      <c r="BB1778" t="s">
        <v>2365</v>
      </c>
      <c r="BC1778" t="s">
        <v>2365</v>
      </c>
      <c r="BD1778" t="s">
        <v>2366</v>
      </c>
      <c r="BE1778" t="s">
        <v>2365</v>
      </c>
      <c r="BF1778" t="s">
        <v>2365</v>
      </c>
      <c r="BG1778" t="s">
        <v>2365</v>
      </c>
      <c r="BH1778" t="s">
        <v>2365</v>
      </c>
      <c r="BI1778" t="s">
        <v>2366</v>
      </c>
      <c r="BJ1778" t="s">
        <v>2365</v>
      </c>
      <c r="BK1778" t="s">
        <v>2365</v>
      </c>
      <c r="BL1778" t="s">
        <v>2365</v>
      </c>
      <c r="BM1778" t="s">
        <v>2365</v>
      </c>
      <c r="BO1778">
        <v>1</v>
      </c>
      <c r="BP1778">
        <v>11</v>
      </c>
      <c r="BQ1778" t="s">
        <v>2369</v>
      </c>
      <c r="BR1778" t="s">
        <v>1487</v>
      </c>
      <c r="BU1778">
        <v>0</v>
      </c>
      <c r="BV1778">
        <v>0</v>
      </c>
      <c r="BW1778">
        <v>0</v>
      </c>
      <c r="BX1778">
        <v>0</v>
      </c>
      <c r="BY1778">
        <v>0</v>
      </c>
      <c r="BZ1778">
        <v>0</v>
      </c>
      <c r="CA1778">
        <v>0</v>
      </c>
      <c r="CB1778">
        <v>0</v>
      </c>
      <c r="CC1778">
        <v>0</v>
      </c>
      <c r="CD1778">
        <v>0</v>
      </c>
      <c r="CE1778">
        <v>0</v>
      </c>
      <c r="CF1778">
        <v>0</v>
      </c>
      <c r="CG1778">
        <v>0</v>
      </c>
      <c r="CH1778">
        <v>0</v>
      </c>
      <c r="CI1778">
        <v>0</v>
      </c>
      <c r="CJ1778">
        <v>0</v>
      </c>
      <c r="CK1778">
        <v>0</v>
      </c>
      <c r="CL1778">
        <v>0</v>
      </c>
      <c r="CM1778">
        <v>0</v>
      </c>
      <c r="CR1778" t="s">
        <v>2343</v>
      </c>
      <c r="CS1778" s="1369" t="str">
        <f>INDEX([8]Sheet1!$H:$H,MATCH(CR:CR,[8]Sheet1!$AU:$AU,0))</f>
        <v>Pollution Control</v>
      </c>
    </row>
    <row r="1779" spans="1:97" x14ac:dyDescent="0.2">
      <c r="A1779" t="s">
        <v>4934</v>
      </c>
      <c r="B1779">
        <v>1877</v>
      </c>
      <c r="C1779" t="s">
        <v>4934</v>
      </c>
      <c r="D1779">
        <v>54877</v>
      </c>
      <c r="E1779" t="s">
        <v>4901</v>
      </c>
      <c r="F1779" t="s">
        <v>2364</v>
      </c>
      <c r="G1779" t="s">
        <v>2364</v>
      </c>
      <c r="H1779" t="s">
        <v>2365</v>
      </c>
      <c r="I1779" t="s">
        <v>2365</v>
      </c>
      <c r="J1779" t="s">
        <v>2365</v>
      </c>
      <c r="K1779" t="s">
        <v>2365</v>
      </c>
      <c r="L1779">
        <v>2100</v>
      </c>
      <c r="M1779" t="s">
        <v>618</v>
      </c>
      <c r="N1779">
        <v>2109</v>
      </c>
      <c r="O1779" t="s">
        <v>1502</v>
      </c>
      <c r="P1779" t="s">
        <v>2366</v>
      </c>
      <c r="Q1779" t="s">
        <v>2364</v>
      </c>
      <c r="R1779" t="s">
        <v>2364</v>
      </c>
      <c r="S1779" t="s">
        <v>553</v>
      </c>
      <c r="T1779" t="s">
        <v>2175</v>
      </c>
      <c r="U1779">
        <v>120</v>
      </c>
      <c r="V1779" t="s">
        <v>691</v>
      </c>
      <c r="W1779">
        <v>120</v>
      </c>
      <c r="X1779" t="s">
        <v>691</v>
      </c>
      <c r="Y1779" t="s">
        <v>2365</v>
      </c>
      <c r="Z1779" t="s">
        <v>2365</v>
      </c>
      <c r="AA1779" t="s">
        <v>2365</v>
      </c>
      <c r="AB1779" t="s">
        <v>2365</v>
      </c>
      <c r="AC1779" s="813">
        <v>200</v>
      </c>
      <c r="AD1779" s="813" t="s">
        <v>4443</v>
      </c>
      <c r="AE1779" s="813">
        <v>480</v>
      </c>
      <c r="AF1779" t="s">
        <v>569</v>
      </c>
      <c r="AG1779" t="s">
        <v>2365</v>
      </c>
      <c r="AH1779" t="s">
        <v>2365</v>
      </c>
      <c r="AI1779" t="s">
        <v>2365</v>
      </c>
      <c r="AJ1779" t="s">
        <v>2365</v>
      </c>
      <c r="AK1779" t="s">
        <v>2365</v>
      </c>
      <c r="AL1779" t="s">
        <v>2365</v>
      </c>
      <c r="AM1779" t="s">
        <v>2365</v>
      </c>
      <c r="AN1779" t="s">
        <v>2365</v>
      </c>
      <c r="AR1779" t="s">
        <v>2365</v>
      </c>
      <c r="AS1779" t="s">
        <v>2365</v>
      </c>
      <c r="AT1779" t="s">
        <v>2365</v>
      </c>
      <c r="AU1779" t="s">
        <v>2365</v>
      </c>
      <c r="AV1779" t="s">
        <v>2365</v>
      </c>
      <c r="AW1779" t="s">
        <v>2365</v>
      </c>
      <c r="AX1779" t="s">
        <v>2365</v>
      </c>
      <c r="AY1779" t="s">
        <v>2365</v>
      </c>
      <c r="AZ1779" t="s">
        <v>2365</v>
      </c>
      <c r="BA1779" t="s">
        <v>2365</v>
      </c>
      <c r="BB1779" t="s">
        <v>2365</v>
      </c>
      <c r="BC1779" t="s">
        <v>2365</v>
      </c>
      <c r="BD1779" t="s">
        <v>2366</v>
      </c>
      <c r="BE1779" t="s">
        <v>2365</v>
      </c>
      <c r="BF1779" t="s">
        <v>2365</v>
      </c>
      <c r="BG1779" t="s">
        <v>2365</v>
      </c>
      <c r="BH1779" t="s">
        <v>2365</v>
      </c>
      <c r="BI1779" t="s">
        <v>2366</v>
      </c>
      <c r="BJ1779" t="s">
        <v>2365</v>
      </c>
      <c r="BK1779" t="s">
        <v>2365</v>
      </c>
      <c r="BL1779" t="s">
        <v>2365</v>
      </c>
      <c r="BM1779" t="s">
        <v>2365</v>
      </c>
      <c r="BO1779">
        <v>4</v>
      </c>
      <c r="BP1779">
        <v>41</v>
      </c>
      <c r="BQ1779" t="s">
        <v>2433</v>
      </c>
      <c r="BR1779" t="s">
        <v>1502</v>
      </c>
      <c r="BU1779">
        <v>0</v>
      </c>
      <c r="BV1779">
        <v>0</v>
      </c>
      <c r="BW1779">
        <v>0</v>
      </c>
      <c r="BX1779">
        <v>0</v>
      </c>
      <c r="BY1779">
        <v>0</v>
      </c>
      <c r="BZ1779">
        <v>0</v>
      </c>
      <c r="CA1779">
        <v>0</v>
      </c>
      <c r="CB1779">
        <v>0</v>
      </c>
      <c r="CC1779">
        <v>0</v>
      </c>
      <c r="CD1779">
        <v>0</v>
      </c>
      <c r="CE1779">
        <v>0</v>
      </c>
      <c r="CF1779">
        <v>0</v>
      </c>
      <c r="CG1779">
        <v>0</v>
      </c>
      <c r="CH1779">
        <v>0</v>
      </c>
      <c r="CI1779">
        <v>0</v>
      </c>
      <c r="CJ1779">
        <v>0</v>
      </c>
      <c r="CK1779">
        <v>0</v>
      </c>
      <c r="CL1779">
        <v>0</v>
      </c>
      <c r="CM1779">
        <v>0</v>
      </c>
      <c r="CR1779" t="s">
        <v>2324</v>
      </c>
      <c r="CS1779" s="1369" t="str">
        <f>INDEX([8]Sheet1!$H:$H,MATCH(CR:CR,[8]Sheet1!$AU:$AU,0))</f>
        <v>Finance</v>
      </c>
    </row>
    <row r="1780" spans="1:97" x14ac:dyDescent="0.2">
      <c r="A1780" t="s">
        <v>4935</v>
      </c>
      <c r="B1780">
        <v>1878</v>
      </c>
      <c r="C1780" t="s">
        <v>4935</v>
      </c>
      <c r="D1780">
        <v>54878</v>
      </c>
      <c r="E1780" t="s">
        <v>4903</v>
      </c>
      <c r="F1780" t="s">
        <v>2364</v>
      </c>
      <c r="G1780" t="s">
        <v>2364</v>
      </c>
      <c r="H1780" t="s">
        <v>2365</v>
      </c>
      <c r="I1780" t="s">
        <v>2365</v>
      </c>
      <c r="J1780" t="s">
        <v>2365</v>
      </c>
      <c r="K1780" t="s">
        <v>2365</v>
      </c>
      <c r="L1780">
        <v>2100</v>
      </c>
      <c r="M1780" t="s">
        <v>618</v>
      </c>
      <c r="N1780">
        <v>2109</v>
      </c>
      <c r="O1780" t="s">
        <v>1502</v>
      </c>
      <c r="P1780" t="s">
        <v>2366</v>
      </c>
      <c r="Q1780" t="s">
        <v>2364</v>
      </c>
      <c r="R1780" t="s">
        <v>2364</v>
      </c>
      <c r="S1780" t="s">
        <v>553</v>
      </c>
      <c r="T1780" t="s">
        <v>2175</v>
      </c>
      <c r="U1780">
        <v>120</v>
      </c>
      <c r="V1780" t="s">
        <v>691</v>
      </c>
      <c r="W1780">
        <v>120</v>
      </c>
      <c r="X1780" t="s">
        <v>691</v>
      </c>
      <c r="Y1780" t="s">
        <v>2365</v>
      </c>
      <c r="Z1780" t="s">
        <v>2365</v>
      </c>
      <c r="AA1780" t="s">
        <v>2365</v>
      </c>
      <c r="AB1780" t="s">
        <v>2365</v>
      </c>
      <c r="AC1780" s="813" t="s">
        <v>2365</v>
      </c>
      <c r="AD1780" s="813" t="s">
        <v>2365</v>
      </c>
      <c r="AE1780" s="813" t="s">
        <v>2365</v>
      </c>
      <c r="AF1780" t="s">
        <v>2365</v>
      </c>
      <c r="AG1780" t="s">
        <v>2365</v>
      </c>
      <c r="AH1780" t="s">
        <v>2365</v>
      </c>
      <c r="AI1780" t="s">
        <v>2365</v>
      </c>
      <c r="AJ1780" t="s">
        <v>2365</v>
      </c>
      <c r="AK1780" t="s">
        <v>2365</v>
      </c>
      <c r="AL1780" t="s">
        <v>2365</v>
      </c>
      <c r="AM1780" t="s">
        <v>2365</v>
      </c>
      <c r="AN1780" t="s">
        <v>2365</v>
      </c>
      <c r="AR1780" t="s">
        <v>2365</v>
      </c>
      <c r="AS1780" t="s">
        <v>2365</v>
      </c>
      <c r="AT1780" t="s">
        <v>2365</v>
      </c>
      <c r="AU1780" t="s">
        <v>2365</v>
      </c>
      <c r="AV1780" t="s">
        <v>2365</v>
      </c>
      <c r="AW1780" t="s">
        <v>2365</v>
      </c>
      <c r="AX1780" t="s">
        <v>2365</v>
      </c>
      <c r="AY1780" t="s">
        <v>2365</v>
      </c>
      <c r="AZ1780" t="s">
        <v>2365</v>
      </c>
      <c r="BA1780" t="s">
        <v>2365</v>
      </c>
      <c r="BB1780" t="s">
        <v>2365</v>
      </c>
      <c r="BC1780" t="s">
        <v>2365</v>
      </c>
      <c r="BD1780" t="s">
        <v>2366</v>
      </c>
      <c r="BE1780" t="s">
        <v>2365</v>
      </c>
      <c r="BF1780" t="s">
        <v>2365</v>
      </c>
      <c r="BG1780" t="s">
        <v>2365</v>
      </c>
      <c r="BH1780" t="s">
        <v>2365</v>
      </c>
      <c r="BI1780" t="s">
        <v>2366</v>
      </c>
      <c r="BJ1780" t="s">
        <v>2365</v>
      </c>
      <c r="BK1780" t="s">
        <v>2365</v>
      </c>
      <c r="BL1780" t="s">
        <v>2365</v>
      </c>
      <c r="BM1780" t="s">
        <v>2365</v>
      </c>
      <c r="BO1780">
        <v>4</v>
      </c>
      <c r="BP1780">
        <v>41</v>
      </c>
      <c r="BQ1780" t="s">
        <v>2433</v>
      </c>
      <c r="BR1780" t="s">
        <v>1502</v>
      </c>
      <c r="BU1780">
        <v>0</v>
      </c>
      <c r="BV1780">
        <v>0</v>
      </c>
      <c r="BW1780">
        <v>0</v>
      </c>
      <c r="BX1780">
        <v>0</v>
      </c>
      <c r="BY1780">
        <v>0</v>
      </c>
      <c r="BZ1780">
        <v>0</v>
      </c>
      <c r="CA1780">
        <v>0</v>
      </c>
      <c r="CB1780">
        <v>0</v>
      </c>
      <c r="CC1780">
        <v>0</v>
      </c>
      <c r="CD1780">
        <v>0</v>
      </c>
      <c r="CE1780">
        <v>0</v>
      </c>
      <c r="CF1780">
        <v>0</v>
      </c>
      <c r="CG1780">
        <v>0</v>
      </c>
      <c r="CH1780">
        <v>0</v>
      </c>
      <c r="CI1780">
        <v>0</v>
      </c>
      <c r="CJ1780">
        <v>0</v>
      </c>
      <c r="CK1780">
        <v>0</v>
      </c>
      <c r="CL1780">
        <v>0</v>
      </c>
      <c r="CM1780">
        <v>0</v>
      </c>
      <c r="CR1780" t="s">
        <v>2320</v>
      </c>
      <c r="CS1780" s="1369" t="str">
        <f>INDEX([8]Sheet1!$H:$H,MATCH(CR:CR,[8]Sheet1!$AU:$AU,0))</f>
        <v>Administrative and Corporate Support</v>
      </c>
    </row>
    <row r="1781" spans="1:97" x14ac:dyDescent="0.2">
      <c r="A1781" t="s">
        <v>4936</v>
      </c>
      <c r="B1781">
        <v>1879</v>
      </c>
      <c r="C1781" t="s">
        <v>4936</v>
      </c>
      <c r="D1781">
        <v>54879</v>
      </c>
      <c r="E1781" t="s">
        <v>2405</v>
      </c>
      <c r="F1781" t="s">
        <v>2364</v>
      </c>
      <c r="G1781" t="s">
        <v>2364</v>
      </c>
      <c r="H1781" t="s">
        <v>2365</v>
      </c>
      <c r="I1781" t="s">
        <v>2365</v>
      </c>
      <c r="J1781" t="s">
        <v>2365</v>
      </c>
      <c r="K1781" t="s">
        <v>2365</v>
      </c>
      <c r="L1781">
        <v>2100</v>
      </c>
      <c r="M1781" t="s">
        <v>618</v>
      </c>
      <c r="N1781">
        <v>2109</v>
      </c>
      <c r="O1781" t="s">
        <v>1502</v>
      </c>
      <c r="P1781" t="s">
        <v>2366</v>
      </c>
      <c r="Q1781" t="s">
        <v>2364</v>
      </c>
      <c r="R1781" t="s">
        <v>2364</v>
      </c>
      <c r="S1781" t="s">
        <v>553</v>
      </c>
      <c r="T1781" t="s">
        <v>2175</v>
      </c>
      <c r="U1781">
        <v>120</v>
      </c>
      <c r="V1781" t="s">
        <v>691</v>
      </c>
      <c r="W1781">
        <v>120</v>
      </c>
      <c r="X1781" t="s">
        <v>691</v>
      </c>
      <c r="Y1781" t="s">
        <v>2178</v>
      </c>
      <c r="Z1781" t="s">
        <v>4467</v>
      </c>
      <c r="AA1781" t="s">
        <v>2178</v>
      </c>
      <c r="AB1781" t="s">
        <v>4467</v>
      </c>
      <c r="AC1781" s="813" t="s">
        <v>2365</v>
      </c>
      <c r="AD1781" s="813" t="s">
        <v>2365</v>
      </c>
      <c r="AE1781" s="813" t="s">
        <v>2365</v>
      </c>
      <c r="AF1781" t="s">
        <v>2365</v>
      </c>
      <c r="AG1781" t="s">
        <v>2365</v>
      </c>
      <c r="AH1781" t="s">
        <v>2365</v>
      </c>
      <c r="AI1781" t="s">
        <v>2365</v>
      </c>
      <c r="AJ1781" t="s">
        <v>2365</v>
      </c>
      <c r="AK1781" t="s">
        <v>2365</v>
      </c>
      <c r="AL1781" t="s">
        <v>2365</v>
      </c>
      <c r="AM1781" t="s">
        <v>2365</v>
      </c>
      <c r="AN1781" t="s">
        <v>2365</v>
      </c>
      <c r="AQ1781" t="s">
        <v>553</v>
      </c>
      <c r="AR1781" t="s">
        <v>2365</v>
      </c>
      <c r="AS1781" t="s">
        <v>2365</v>
      </c>
      <c r="AT1781" t="s">
        <v>2365</v>
      </c>
      <c r="AU1781" t="s">
        <v>2365</v>
      </c>
      <c r="AV1781" t="s">
        <v>2365</v>
      </c>
      <c r="AW1781" t="s">
        <v>2365</v>
      </c>
      <c r="AX1781" t="s">
        <v>2365</v>
      </c>
      <c r="AY1781" t="s">
        <v>2365</v>
      </c>
      <c r="AZ1781" t="s">
        <v>2365</v>
      </c>
      <c r="BA1781" t="s">
        <v>2365</v>
      </c>
      <c r="BB1781" t="s">
        <v>2365</v>
      </c>
      <c r="BC1781" t="s">
        <v>2365</v>
      </c>
      <c r="BD1781" t="s">
        <v>2366</v>
      </c>
      <c r="BE1781" t="s">
        <v>2365</v>
      </c>
      <c r="BF1781" t="s">
        <v>2365</v>
      </c>
      <c r="BG1781" t="s">
        <v>2365</v>
      </c>
      <c r="BH1781" t="s">
        <v>2365</v>
      </c>
      <c r="BI1781" t="s">
        <v>2366</v>
      </c>
      <c r="BJ1781" t="s">
        <v>2365</v>
      </c>
      <c r="BK1781" t="s">
        <v>2365</v>
      </c>
      <c r="BL1781" t="s">
        <v>2365</v>
      </c>
      <c r="BM1781" t="s">
        <v>2365</v>
      </c>
      <c r="BO1781">
        <v>4</v>
      </c>
      <c r="BP1781">
        <v>41</v>
      </c>
      <c r="BQ1781" t="s">
        <v>2433</v>
      </c>
      <c r="BR1781" t="s">
        <v>1502</v>
      </c>
      <c r="BU1781">
        <v>372500</v>
      </c>
      <c r="BV1781">
        <v>0</v>
      </c>
      <c r="BW1781">
        <v>372500</v>
      </c>
      <c r="BX1781">
        <v>-372500</v>
      </c>
      <c r="BY1781">
        <v>0</v>
      </c>
      <c r="BZ1781">
        <v>0</v>
      </c>
      <c r="CA1781">
        <v>0</v>
      </c>
      <c r="CB1781">
        <v>0</v>
      </c>
      <c r="CC1781">
        <v>0</v>
      </c>
      <c r="CD1781">
        <v>0</v>
      </c>
      <c r="CE1781">
        <v>0</v>
      </c>
      <c r="CF1781">
        <v>0</v>
      </c>
      <c r="CG1781">
        <v>0</v>
      </c>
      <c r="CH1781">
        <v>0</v>
      </c>
      <c r="CI1781">
        <v>0</v>
      </c>
      <c r="CJ1781">
        <v>0</v>
      </c>
      <c r="CK1781">
        <v>0</v>
      </c>
      <c r="CL1781">
        <v>0</v>
      </c>
      <c r="CM1781">
        <v>0</v>
      </c>
      <c r="CR1781" t="s">
        <v>2325</v>
      </c>
      <c r="CS1781" s="1369" t="str">
        <f>INDEX([8]Sheet1!$H:$H,MATCH(CR:CR,[8]Sheet1!$AU:$AU,0))</f>
        <v>Asset Management</v>
      </c>
    </row>
    <row r="1782" spans="1:97" x14ac:dyDescent="0.2">
      <c r="A1782" t="s">
        <v>4937</v>
      </c>
      <c r="B1782">
        <v>1880</v>
      </c>
      <c r="C1782" t="s">
        <v>4937</v>
      </c>
      <c r="D1782">
        <v>54880</v>
      </c>
      <c r="E1782" t="s">
        <v>2419</v>
      </c>
      <c r="F1782" t="s">
        <v>2364</v>
      </c>
      <c r="G1782" t="s">
        <v>2364</v>
      </c>
      <c r="H1782" t="s">
        <v>2365</v>
      </c>
      <c r="I1782" t="s">
        <v>2365</v>
      </c>
      <c r="J1782" t="s">
        <v>2365</v>
      </c>
      <c r="K1782" t="s">
        <v>2365</v>
      </c>
      <c r="L1782">
        <v>2100</v>
      </c>
      <c r="M1782" t="s">
        <v>618</v>
      </c>
      <c r="N1782">
        <v>2109</v>
      </c>
      <c r="O1782" t="s">
        <v>1502</v>
      </c>
      <c r="P1782" t="s">
        <v>2366</v>
      </c>
      <c r="Q1782" t="s">
        <v>2364</v>
      </c>
      <c r="R1782" t="s">
        <v>2364</v>
      </c>
      <c r="S1782" t="s">
        <v>553</v>
      </c>
      <c r="T1782" t="s">
        <v>2175</v>
      </c>
      <c r="U1782">
        <v>120</v>
      </c>
      <c r="V1782" t="s">
        <v>691</v>
      </c>
      <c r="W1782">
        <v>120</v>
      </c>
      <c r="X1782" t="s">
        <v>691</v>
      </c>
      <c r="Y1782" t="s">
        <v>4473</v>
      </c>
      <c r="Z1782" t="s">
        <v>4467</v>
      </c>
      <c r="AA1782" t="s">
        <v>4473</v>
      </c>
      <c r="AB1782" t="s">
        <v>4467</v>
      </c>
      <c r="AC1782" s="813" t="s">
        <v>2365</v>
      </c>
      <c r="AD1782" s="813" t="s">
        <v>2365</v>
      </c>
      <c r="AE1782" s="813" t="s">
        <v>2365</v>
      </c>
      <c r="AF1782" t="s">
        <v>2365</v>
      </c>
      <c r="AG1782" t="s">
        <v>2365</v>
      </c>
      <c r="AH1782" t="s">
        <v>2365</v>
      </c>
      <c r="AI1782" t="s">
        <v>2365</v>
      </c>
      <c r="AJ1782" t="s">
        <v>2365</v>
      </c>
      <c r="AK1782" t="s">
        <v>2365</v>
      </c>
      <c r="AL1782" t="s">
        <v>2365</v>
      </c>
      <c r="AM1782" t="s">
        <v>2365</v>
      </c>
      <c r="AN1782" t="s">
        <v>2365</v>
      </c>
      <c r="AQ1782" t="s">
        <v>2423</v>
      </c>
      <c r="AR1782" t="s">
        <v>2365</v>
      </c>
      <c r="AS1782" t="s">
        <v>2365</v>
      </c>
      <c r="AT1782" t="s">
        <v>2365</v>
      </c>
      <c r="AU1782" t="s">
        <v>2365</v>
      </c>
      <c r="AV1782" t="s">
        <v>2365</v>
      </c>
      <c r="AW1782" t="s">
        <v>2365</v>
      </c>
      <c r="AX1782" t="s">
        <v>2365</v>
      </c>
      <c r="AY1782" t="s">
        <v>2365</v>
      </c>
      <c r="AZ1782" t="s">
        <v>2365</v>
      </c>
      <c r="BA1782" t="s">
        <v>2365</v>
      </c>
      <c r="BB1782" t="s">
        <v>2365</v>
      </c>
      <c r="BC1782" t="s">
        <v>2365</v>
      </c>
      <c r="BD1782" t="s">
        <v>2366</v>
      </c>
      <c r="BE1782" t="s">
        <v>2365</v>
      </c>
      <c r="BF1782" t="s">
        <v>2365</v>
      </c>
      <c r="BG1782" t="s">
        <v>2365</v>
      </c>
      <c r="BH1782" t="s">
        <v>2365</v>
      </c>
      <c r="BI1782" t="s">
        <v>2366</v>
      </c>
      <c r="BJ1782" t="s">
        <v>2365</v>
      </c>
      <c r="BK1782" t="s">
        <v>2365</v>
      </c>
      <c r="BL1782" t="s">
        <v>2365</v>
      </c>
      <c r="BM1782" t="s">
        <v>2365</v>
      </c>
      <c r="BO1782">
        <v>4</v>
      </c>
      <c r="BP1782">
        <v>41</v>
      </c>
      <c r="BQ1782" t="s">
        <v>2433</v>
      </c>
      <c r="BR1782" t="s">
        <v>1502</v>
      </c>
      <c r="BU1782">
        <v>-372500</v>
      </c>
      <c r="BV1782">
        <v>0</v>
      </c>
      <c r="BW1782">
        <v>-372500</v>
      </c>
      <c r="BX1782">
        <v>372500</v>
      </c>
      <c r="BY1782">
        <v>0</v>
      </c>
      <c r="BZ1782">
        <v>0</v>
      </c>
      <c r="CA1782">
        <v>0</v>
      </c>
      <c r="CB1782">
        <v>0</v>
      </c>
      <c r="CC1782">
        <v>0</v>
      </c>
      <c r="CD1782">
        <v>0</v>
      </c>
      <c r="CE1782">
        <v>0</v>
      </c>
      <c r="CF1782">
        <v>0</v>
      </c>
      <c r="CG1782">
        <v>0</v>
      </c>
      <c r="CH1782">
        <v>0</v>
      </c>
      <c r="CI1782">
        <v>0</v>
      </c>
      <c r="CJ1782">
        <v>0</v>
      </c>
      <c r="CK1782">
        <v>0</v>
      </c>
      <c r="CL1782">
        <v>0</v>
      </c>
      <c r="CM1782">
        <v>0</v>
      </c>
      <c r="CR1782" t="s">
        <v>2324</v>
      </c>
      <c r="CS1782" s="1369" t="str">
        <f>INDEX([8]Sheet1!$H:$H,MATCH(CR:CR,[8]Sheet1!$AU:$AU,0))</f>
        <v>Finance</v>
      </c>
    </row>
    <row r="1783" spans="1:97" x14ac:dyDescent="0.2">
      <c r="A1783" t="s">
        <v>4938</v>
      </c>
      <c r="B1783">
        <v>1881</v>
      </c>
      <c r="C1783" t="s">
        <v>4938</v>
      </c>
      <c r="D1783">
        <v>54881</v>
      </c>
      <c r="E1783" t="s">
        <v>4898</v>
      </c>
      <c r="F1783" t="s">
        <v>2364</v>
      </c>
      <c r="G1783" t="s">
        <v>2364</v>
      </c>
      <c r="H1783" t="s">
        <v>2365</v>
      </c>
      <c r="I1783" t="s">
        <v>2365</v>
      </c>
      <c r="J1783" t="s">
        <v>2365</v>
      </c>
      <c r="K1783" t="s">
        <v>2365</v>
      </c>
      <c r="L1783">
        <v>2100</v>
      </c>
      <c r="M1783" t="s">
        <v>618</v>
      </c>
      <c r="N1783">
        <v>2109</v>
      </c>
      <c r="O1783" t="s">
        <v>1502</v>
      </c>
      <c r="P1783" t="s">
        <v>2366</v>
      </c>
      <c r="Q1783" t="s">
        <v>2364</v>
      </c>
      <c r="R1783" t="s">
        <v>2364</v>
      </c>
      <c r="S1783" t="s">
        <v>553</v>
      </c>
      <c r="T1783" t="s">
        <v>2175</v>
      </c>
      <c r="U1783">
        <v>120</v>
      </c>
      <c r="V1783" t="s">
        <v>691</v>
      </c>
      <c r="W1783">
        <v>120</v>
      </c>
      <c r="X1783" t="s">
        <v>691</v>
      </c>
      <c r="Y1783" t="s">
        <v>2365</v>
      </c>
      <c r="Z1783" t="s">
        <v>2365</v>
      </c>
      <c r="AA1783" t="s">
        <v>2365</v>
      </c>
      <c r="AB1783" t="s">
        <v>2365</v>
      </c>
      <c r="AC1783" s="813">
        <v>420</v>
      </c>
      <c r="AD1783" s="813" t="s">
        <v>4866</v>
      </c>
      <c r="AE1783" s="813">
        <v>560</v>
      </c>
      <c r="AF1783" t="s">
        <v>4866</v>
      </c>
      <c r="AG1783" t="s">
        <v>2365</v>
      </c>
      <c r="AH1783" t="s">
        <v>2365</v>
      </c>
      <c r="AI1783" t="s">
        <v>2365</v>
      </c>
      <c r="AJ1783" t="s">
        <v>2365</v>
      </c>
      <c r="AK1783" t="s">
        <v>2365</v>
      </c>
      <c r="AL1783" t="s">
        <v>2365</v>
      </c>
      <c r="AM1783" t="s">
        <v>2365</v>
      </c>
      <c r="AN1783" t="s">
        <v>2365</v>
      </c>
      <c r="AR1783" t="s">
        <v>2365</v>
      </c>
      <c r="AS1783" t="s">
        <v>2365</v>
      </c>
      <c r="AT1783" t="s">
        <v>2365</v>
      </c>
      <c r="AU1783" t="s">
        <v>2365</v>
      </c>
      <c r="AV1783" t="s">
        <v>2365</v>
      </c>
      <c r="AW1783" t="s">
        <v>2365</v>
      </c>
      <c r="AX1783" t="s">
        <v>2365</v>
      </c>
      <c r="AY1783" t="s">
        <v>2365</v>
      </c>
      <c r="AZ1783" t="s">
        <v>2365</v>
      </c>
      <c r="BA1783" t="s">
        <v>2365</v>
      </c>
      <c r="BB1783" t="s">
        <v>2365</v>
      </c>
      <c r="BC1783" t="s">
        <v>2365</v>
      </c>
      <c r="BD1783" t="s">
        <v>2366</v>
      </c>
      <c r="BE1783" t="s">
        <v>2365</v>
      </c>
      <c r="BF1783" t="s">
        <v>2365</v>
      </c>
      <c r="BG1783" t="s">
        <v>2365</v>
      </c>
      <c r="BH1783" t="s">
        <v>2365</v>
      </c>
      <c r="BI1783" t="s">
        <v>2366</v>
      </c>
      <c r="BJ1783" t="s">
        <v>2365</v>
      </c>
      <c r="BK1783" t="s">
        <v>2365</v>
      </c>
      <c r="BL1783" t="s">
        <v>2365</v>
      </c>
      <c r="BM1783" t="s">
        <v>2365</v>
      </c>
      <c r="BO1783">
        <v>4</v>
      </c>
      <c r="BP1783">
        <v>41</v>
      </c>
      <c r="BQ1783" t="s">
        <v>2433</v>
      </c>
      <c r="BR1783" t="s">
        <v>1502</v>
      </c>
      <c r="BU1783">
        <v>0</v>
      </c>
      <c r="BV1783">
        <v>0</v>
      </c>
      <c r="BW1783" s="1371">
        <v>0</v>
      </c>
      <c r="BX1783" s="1372">
        <v>0</v>
      </c>
      <c r="BY1783">
        <v>0</v>
      </c>
      <c r="BZ1783">
        <v>0</v>
      </c>
      <c r="CA1783">
        <v>0</v>
      </c>
      <c r="CB1783">
        <v>0</v>
      </c>
      <c r="CC1783">
        <v>0</v>
      </c>
      <c r="CD1783">
        <v>0</v>
      </c>
      <c r="CE1783">
        <v>0</v>
      </c>
      <c r="CF1783">
        <v>0</v>
      </c>
      <c r="CG1783">
        <v>0</v>
      </c>
      <c r="CH1783">
        <v>0</v>
      </c>
      <c r="CI1783">
        <v>0</v>
      </c>
      <c r="CJ1783">
        <v>0</v>
      </c>
      <c r="CK1783">
        <v>0</v>
      </c>
      <c r="CL1783">
        <v>0</v>
      </c>
      <c r="CM1783">
        <v>0</v>
      </c>
      <c r="CR1783" t="s">
        <v>2324</v>
      </c>
      <c r="CS1783" s="1369" t="str">
        <f>INDEX([8]Sheet1!$H:$H,MATCH(CR:CR,[8]Sheet1!$AU:$AU,0))</f>
        <v>Finance</v>
      </c>
    </row>
    <row r="1784" spans="1:97" x14ac:dyDescent="0.2">
      <c r="A1784" t="s">
        <v>4939</v>
      </c>
      <c r="B1784">
        <v>1882</v>
      </c>
      <c r="C1784" t="s">
        <v>4939</v>
      </c>
      <c r="D1784">
        <v>54882</v>
      </c>
      <c r="E1784" t="s">
        <v>2432</v>
      </c>
      <c r="F1784">
        <v>2600</v>
      </c>
      <c r="G1784" t="s">
        <v>655</v>
      </c>
      <c r="H1784">
        <v>2600</v>
      </c>
      <c r="I1784" t="s">
        <v>655</v>
      </c>
      <c r="J1784" t="s">
        <v>2365</v>
      </c>
      <c r="K1784" t="s">
        <v>2365</v>
      </c>
      <c r="L1784">
        <v>1100</v>
      </c>
      <c r="M1784" t="s">
        <v>616</v>
      </c>
      <c r="N1784">
        <v>1110</v>
      </c>
      <c r="O1784" t="s">
        <v>995</v>
      </c>
      <c r="P1784" t="s">
        <v>2366</v>
      </c>
      <c r="Q1784" t="s">
        <v>2364</v>
      </c>
      <c r="R1784" t="s">
        <v>2364</v>
      </c>
      <c r="S1784" t="s">
        <v>1881</v>
      </c>
      <c r="T1784" t="s">
        <v>1812</v>
      </c>
      <c r="U1784" t="s">
        <v>2365</v>
      </c>
      <c r="V1784" t="s">
        <v>2365</v>
      </c>
      <c r="W1784" t="s">
        <v>2365</v>
      </c>
      <c r="X1784" t="s">
        <v>2365</v>
      </c>
      <c r="Y1784" t="s">
        <v>2365</v>
      </c>
      <c r="Z1784" t="s">
        <v>2365</v>
      </c>
      <c r="AA1784" t="s">
        <v>2365</v>
      </c>
      <c r="AB1784" t="s">
        <v>2365</v>
      </c>
      <c r="AC1784" s="813" t="s">
        <v>2365</v>
      </c>
      <c r="AD1784" s="813" t="s">
        <v>2365</v>
      </c>
      <c r="AE1784" s="813" t="s">
        <v>2365</v>
      </c>
      <c r="AF1784" t="s">
        <v>2365</v>
      </c>
      <c r="AG1784" t="s">
        <v>2365</v>
      </c>
      <c r="AH1784" t="s">
        <v>2365</v>
      </c>
      <c r="AI1784" t="s">
        <v>2365</v>
      </c>
      <c r="AJ1784" t="s">
        <v>2365</v>
      </c>
      <c r="AK1784" t="s">
        <v>2365</v>
      </c>
      <c r="AL1784" t="s">
        <v>2365</v>
      </c>
      <c r="AM1784" t="s">
        <v>2365</v>
      </c>
      <c r="AN1784" t="s">
        <v>2365</v>
      </c>
      <c r="AR1784" t="s">
        <v>2365</v>
      </c>
      <c r="AS1784" t="s">
        <v>2365</v>
      </c>
      <c r="AT1784" t="s">
        <v>2365</v>
      </c>
      <c r="AU1784" t="s">
        <v>2365</v>
      </c>
      <c r="AV1784" t="s">
        <v>2365</v>
      </c>
      <c r="AW1784" t="s">
        <v>2365</v>
      </c>
      <c r="AX1784" t="s">
        <v>2365</v>
      </c>
      <c r="AY1784" t="s">
        <v>2365</v>
      </c>
      <c r="AZ1784" t="s">
        <v>2365</v>
      </c>
      <c r="BA1784" t="s">
        <v>2365</v>
      </c>
      <c r="BB1784" t="s">
        <v>2365</v>
      </c>
      <c r="BC1784" t="s">
        <v>2365</v>
      </c>
      <c r="BD1784" t="s">
        <v>2366</v>
      </c>
      <c r="BE1784" t="s">
        <v>2365</v>
      </c>
      <c r="BF1784" t="s">
        <v>2365</v>
      </c>
      <c r="BG1784" t="s">
        <v>2365</v>
      </c>
      <c r="BH1784" t="s">
        <v>2365</v>
      </c>
      <c r="BI1784" t="s">
        <v>2366</v>
      </c>
      <c r="BJ1784" t="s">
        <v>2365</v>
      </c>
      <c r="BK1784" t="s">
        <v>2365</v>
      </c>
      <c r="BL1784" t="s">
        <v>2365</v>
      </c>
      <c r="BM1784" t="s">
        <v>2365</v>
      </c>
      <c r="BO1784">
        <v>3</v>
      </c>
      <c r="BP1784">
        <v>32</v>
      </c>
      <c r="BQ1784" t="s">
        <v>2716</v>
      </c>
      <c r="BR1784" t="s">
        <v>995</v>
      </c>
      <c r="BU1784">
        <v>50000</v>
      </c>
      <c r="BV1784">
        <v>0</v>
      </c>
      <c r="BW1784">
        <v>50000</v>
      </c>
      <c r="BX1784">
        <v>0</v>
      </c>
      <c r="BY1784">
        <v>50000</v>
      </c>
      <c r="BZ1784">
        <v>52000</v>
      </c>
      <c r="CA1784">
        <v>54080</v>
      </c>
      <c r="CB1784">
        <v>0</v>
      </c>
      <c r="CC1784">
        <v>0</v>
      </c>
      <c r="CD1784">
        <v>0</v>
      </c>
      <c r="CE1784">
        <v>0</v>
      </c>
      <c r="CF1784">
        <v>0</v>
      </c>
      <c r="CG1784">
        <v>0</v>
      </c>
      <c r="CH1784">
        <v>0</v>
      </c>
      <c r="CI1784">
        <v>0</v>
      </c>
      <c r="CJ1784">
        <v>0</v>
      </c>
      <c r="CK1784">
        <v>0</v>
      </c>
      <c r="CL1784">
        <v>0</v>
      </c>
      <c r="CM1784">
        <v>0</v>
      </c>
      <c r="CR1784" t="s">
        <v>2328</v>
      </c>
      <c r="CS1784" s="1369" t="str">
        <f>INDEX([8]Sheet1!$H:$H,MATCH(CR:CR,[8]Sheet1!$AU:$AU,0))</f>
        <v>Water Distribution</v>
      </c>
    </row>
    <row r="1785" spans="1:97" x14ac:dyDescent="0.2">
      <c r="A1785" t="s">
        <v>4940</v>
      </c>
      <c r="B1785">
        <v>1883</v>
      </c>
      <c r="C1785" t="s">
        <v>4940</v>
      </c>
      <c r="D1785">
        <v>54883</v>
      </c>
      <c r="E1785" t="s">
        <v>2382</v>
      </c>
      <c r="F1785" t="s">
        <v>2364</v>
      </c>
      <c r="G1785" t="s">
        <v>2364</v>
      </c>
      <c r="H1785" t="s">
        <v>2365</v>
      </c>
      <c r="I1785" t="s">
        <v>2365</v>
      </c>
      <c r="J1785" t="s">
        <v>2365</v>
      </c>
      <c r="K1785" t="s">
        <v>2365</v>
      </c>
      <c r="L1785">
        <v>1200</v>
      </c>
      <c r="M1785" t="s">
        <v>1480</v>
      </c>
      <c r="N1785">
        <v>1204</v>
      </c>
      <c r="O1785" t="s">
        <v>1487</v>
      </c>
      <c r="P1785" t="s">
        <v>2366</v>
      </c>
      <c r="Q1785" t="s">
        <v>2364</v>
      </c>
      <c r="R1785" t="s">
        <v>2364</v>
      </c>
      <c r="S1785" t="s">
        <v>553</v>
      </c>
      <c r="T1785" t="s">
        <v>2367</v>
      </c>
      <c r="U1785">
        <v>360</v>
      </c>
      <c r="V1785" t="s">
        <v>2368</v>
      </c>
      <c r="W1785">
        <v>360</v>
      </c>
      <c r="X1785" t="s">
        <v>711</v>
      </c>
      <c r="Y1785" t="s">
        <v>2365</v>
      </c>
      <c r="Z1785" t="s">
        <v>2365</v>
      </c>
      <c r="AA1785" t="s">
        <v>2365</v>
      </c>
      <c r="AB1785" t="s">
        <v>2365</v>
      </c>
      <c r="AC1785" s="813" t="s">
        <v>2365</v>
      </c>
      <c r="AD1785" s="813" t="s">
        <v>2365</v>
      </c>
      <c r="AE1785" s="813" t="s">
        <v>2365</v>
      </c>
      <c r="AF1785" t="s">
        <v>2365</v>
      </c>
      <c r="AG1785" t="s">
        <v>2365</v>
      </c>
      <c r="AH1785" t="s">
        <v>2365</v>
      </c>
      <c r="AI1785" t="s">
        <v>2365</v>
      </c>
      <c r="AJ1785" t="s">
        <v>2365</v>
      </c>
      <c r="AK1785">
        <v>361</v>
      </c>
      <c r="AL1785" t="s">
        <v>1804</v>
      </c>
      <c r="AM1785">
        <v>361</v>
      </c>
      <c r="AN1785" t="s">
        <v>1804</v>
      </c>
      <c r="AR1785" t="s">
        <v>2365</v>
      </c>
      <c r="AS1785" t="s">
        <v>2365</v>
      </c>
      <c r="AT1785" t="s">
        <v>2365</v>
      </c>
      <c r="AU1785" t="s">
        <v>2365</v>
      </c>
      <c r="AV1785" t="s">
        <v>2365</v>
      </c>
      <c r="AW1785" t="s">
        <v>2365</v>
      </c>
      <c r="AX1785" t="s">
        <v>2365</v>
      </c>
      <c r="AY1785" t="s">
        <v>2365</v>
      </c>
      <c r="AZ1785" t="s">
        <v>2365</v>
      </c>
      <c r="BA1785" t="s">
        <v>2365</v>
      </c>
      <c r="BB1785" t="s">
        <v>2365</v>
      </c>
      <c r="BC1785" t="s">
        <v>2365</v>
      </c>
      <c r="BD1785" t="s">
        <v>2366</v>
      </c>
      <c r="BE1785" t="s">
        <v>2365</v>
      </c>
      <c r="BF1785" t="s">
        <v>2365</v>
      </c>
      <c r="BG1785" t="s">
        <v>2365</v>
      </c>
      <c r="BH1785" t="s">
        <v>2365</v>
      </c>
      <c r="BI1785" t="s">
        <v>2366</v>
      </c>
      <c r="BJ1785" t="s">
        <v>2365</v>
      </c>
      <c r="BK1785" t="s">
        <v>2365</v>
      </c>
      <c r="BL1785" t="s">
        <v>2365</v>
      </c>
      <c r="BM1785" t="s">
        <v>2365</v>
      </c>
      <c r="BO1785">
        <v>1</v>
      </c>
      <c r="BP1785">
        <v>11</v>
      </c>
      <c r="BQ1785" t="s">
        <v>2369</v>
      </c>
      <c r="BR1785" t="s">
        <v>1487</v>
      </c>
      <c r="BU1785">
        <v>0</v>
      </c>
      <c r="BV1785">
        <v>0</v>
      </c>
      <c r="BW1785" s="1371">
        <v>0</v>
      </c>
      <c r="BX1785" s="1372">
        <v>0</v>
      </c>
      <c r="BY1785">
        <v>0</v>
      </c>
      <c r="BZ1785">
        <v>0</v>
      </c>
      <c r="CA1785">
        <v>0</v>
      </c>
      <c r="CB1785">
        <v>0</v>
      </c>
      <c r="CC1785">
        <v>0</v>
      </c>
      <c r="CD1785">
        <v>0</v>
      </c>
      <c r="CE1785">
        <v>0</v>
      </c>
      <c r="CF1785">
        <v>0</v>
      </c>
      <c r="CG1785">
        <v>0</v>
      </c>
      <c r="CH1785">
        <v>0</v>
      </c>
      <c r="CI1785">
        <v>0</v>
      </c>
      <c r="CJ1785">
        <v>0</v>
      </c>
      <c r="CK1785">
        <v>0</v>
      </c>
      <c r="CL1785">
        <v>0</v>
      </c>
      <c r="CM1785">
        <v>0</v>
      </c>
      <c r="CR1785" t="s">
        <v>2324</v>
      </c>
      <c r="CS1785" s="1369" t="str">
        <f>INDEX([8]Sheet1!$H:$H,MATCH(CR:CR,[8]Sheet1!$AU:$AU,0))</f>
        <v>Finance</v>
      </c>
    </row>
    <row r="1786" spans="1:97" x14ac:dyDescent="0.2">
      <c r="A1786" t="s">
        <v>4941</v>
      </c>
      <c r="B1786">
        <v>1884</v>
      </c>
      <c r="C1786" t="s">
        <v>4941</v>
      </c>
      <c r="D1786">
        <v>54884</v>
      </c>
      <c r="E1786" t="s">
        <v>4942</v>
      </c>
      <c r="F1786" t="s">
        <v>2364</v>
      </c>
      <c r="G1786" t="s">
        <v>2364</v>
      </c>
      <c r="H1786" t="s">
        <v>2365</v>
      </c>
      <c r="I1786" t="s">
        <v>2365</v>
      </c>
      <c r="J1786" t="s">
        <v>2365</v>
      </c>
      <c r="K1786" t="s">
        <v>2365</v>
      </c>
      <c r="L1786">
        <v>1200</v>
      </c>
      <c r="M1786" t="s">
        <v>1480</v>
      </c>
      <c r="N1786">
        <v>1204</v>
      </c>
      <c r="O1786" t="s">
        <v>1487</v>
      </c>
      <c r="P1786" t="s">
        <v>2366</v>
      </c>
      <c r="Q1786" t="s">
        <v>2364</v>
      </c>
      <c r="R1786" t="s">
        <v>2364</v>
      </c>
      <c r="S1786" t="s">
        <v>553</v>
      </c>
      <c r="T1786" t="s">
        <v>2367</v>
      </c>
      <c r="U1786">
        <v>360</v>
      </c>
      <c r="V1786" t="s">
        <v>2368</v>
      </c>
      <c r="W1786">
        <v>360</v>
      </c>
      <c r="X1786" t="s">
        <v>711</v>
      </c>
      <c r="Y1786" t="s">
        <v>2365</v>
      </c>
      <c r="Z1786" t="s">
        <v>2365</v>
      </c>
      <c r="AA1786" t="s">
        <v>2365</v>
      </c>
      <c r="AB1786" t="s">
        <v>2365</v>
      </c>
      <c r="AC1786" s="813" t="s">
        <v>2365</v>
      </c>
      <c r="AD1786" s="813" t="s">
        <v>2365</v>
      </c>
      <c r="AE1786" s="813" t="s">
        <v>2365</v>
      </c>
      <c r="AF1786" t="s">
        <v>2365</v>
      </c>
      <c r="AG1786" t="s">
        <v>2365</v>
      </c>
      <c r="AH1786" t="s">
        <v>2365</v>
      </c>
      <c r="AI1786" t="s">
        <v>2365</v>
      </c>
      <c r="AJ1786" t="s">
        <v>2365</v>
      </c>
      <c r="AK1786">
        <v>361</v>
      </c>
      <c r="AL1786" t="s">
        <v>1804</v>
      </c>
      <c r="AM1786">
        <v>361</v>
      </c>
      <c r="AN1786" t="s">
        <v>1804</v>
      </c>
      <c r="AR1786" t="s">
        <v>2365</v>
      </c>
      <c r="AS1786" t="s">
        <v>2365</v>
      </c>
      <c r="AT1786" t="s">
        <v>2365</v>
      </c>
      <c r="AU1786" t="s">
        <v>2365</v>
      </c>
      <c r="AV1786" t="s">
        <v>2365</v>
      </c>
      <c r="AW1786" t="s">
        <v>2365</v>
      </c>
      <c r="AX1786" t="s">
        <v>2365</v>
      </c>
      <c r="AY1786" t="s">
        <v>2365</v>
      </c>
      <c r="AZ1786" t="s">
        <v>2365</v>
      </c>
      <c r="BA1786" t="s">
        <v>2365</v>
      </c>
      <c r="BB1786" t="s">
        <v>2365</v>
      </c>
      <c r="BC1786" t="s">
        <v>2365</v>
      </c>
      <c r="BD1786" t="s">
        <v>2366</v>
      </c>
      <c r="BE1786" t="s">
        <v>2365</v>
      </c>
      <c r="BF1786" t="s">
        <v>2365</v>
      </c>
      <c r="BG1786" t="s">
        <v>2365</v>
      </c>
      <c r="BH1786" t="s">
        <v>2365</v>
      </c>
      <c r="BI1786" t="s">
        <v>2366</v>
      </c>
      <c r="BJ1786" t="s">
        <v>2365</v>
      </c>
      <c r="BK1786" t="s">
        <v>2365</v>
      </c>
      <c r="BL1786" t="s">
        <v>2365</v>
      </c>
      <c r="BM1786" t="s">
        <v>2365</v>
      </c>
      <c r="BO1786">
        <v>1</v>
      </c>
      <c r="BP1786">
        <v>11</v>
      </c>
      <c r="BQ1786" t="s">
        <v>2369</v>
      </c>
      <c r="BR1786" t="s">
        <v>1487</v>
      </c>
      <c r="BU1786">
        <v>0</v>
      </c>
      <c r="BV1786">
        <v>0</v>
      </c>
      <c r="BW1786">
        <v>0</v>
      </c>
      <c r="BX1786">
        <v>0</v>
      </c>
      <c r="BY1786">
        <v>0</v>
      </c>
      <c r="BZ1786">
        <v>0</v>
      </c>
      <c r="CA1786">
        <v>0</v>
      </c>
      <c r="CB1786">
        <v>0</v>
      </c>
      <c r="CC1786">
        <v>0</v>
      </c>
      <c r="CD1786">
        <v>0</v>
      </c>
      <c r="CE1786">
        <v>0</v>
      </c>
      <c r="CF1786">
        <v>0</v>
      </c>
      <c r="CG1786">
        <v>0</v>
      </c>
      <c r="CH1786">
        <v>0</v>
      </c>
      <c r="CI1786">
        <v>0</v>
      </c>
      <c r="CJ1786">
        <v>0</v>
      </c>
      <c r="CK1786">
        <v>0</v>
      </c>
      <c r="CL1786">
        <v>0</v>
      </c>
      <c r="CM1786">
        <v>0</v>
      </c>
      <c r="CR1786" t="s">
        <v>2324</v>
      </c>
      <c r="CS1786" s="1369" t="str">
        <f>INDEX([8]Sheet1!$H:$H,MATCH(CR:CR,[8]Sheet1!$AU:$AU,0))</f>
        <v>Finance</v>
      </c>
    </row>
    <row r="1787" spans="1:97" x14ac:dyDescent="0.2">
      <c r="A1787" t="s">
        <v>4943</v>
      </c>
      <c r="B1787">
        <v>1885</v>
      </c>
      <c r="C1787" t="s">
        <v>4943</v>
      </c>
      <c r="D1787">
        <v>54885</v>
      </c>
      <c r="E1787" t="s">
        <v>4944</v>
      </c>
      <c r="F1787" t="s">
        <v>2364</v>
      </c>
      <c r="G1787" t="s">
        <v>2364</v>
      </c>
      <c r="H1787" t="s">
        <v>2365</v>
      </c>
      <c r="I1787" t="s">
        <v>2365</v>
      </c>
      <c r="J1787" t="s">
        <v>2365</v>
      </c>
      <c r="K1787" t="s">
        <v>2365</v>
      </c>
      <c r="L1787">
        <v>1200</v>
      </c>
      <c r="M1787" t="s">
        <v>1480</v>
      </c>
      <c r="N1787">
        <v>1204</v>
      </c>
      <c r="O1787" t="s">
        <v>1487</v>
      </c>
      <c r="P1787" t="s">
        <v>2366</v>
      </c>
      <c r="Q1787" t="s">
        <v>2364</v>
      </c>
      <c r="R1787" t="s">
        <v>2364</v>
      </c>
      <c r="S1787" t="s">
        <v>553</v>
      </c>
      <c r="T1787" t="s">
        <v>2367</v>
      </c>
      <c r="U1787">
        <v>360</v>
      </c>
      <c r="V1787" t="s">
        <v>2368</v>
      </c>
      <c r="W1787">
        <v>360</v>
      </c>
      <c r="X1787" t="s">
        <v>711</v>
      </c>
      <c r="Y1787" t="s">
        <v>2365</v>
      </c>
      <c r="Z1787" t="s">
        <v>2365</v>
      </c>
      <c r="AA1787" t="s">
        <v>2365</v>
      </c>
      <c r="AB1787" t="s">
        <v>2365</v>
      </c>
      <c r="AC1787" s="813" t="s">
        <v>2365</v>
      </c>
      <c r="AD1787" s="813" t="s">
        <v>2365</v>
      </c>
      <c r="AE1787" s="813" t="s">
        <v>2365</v>
      </c>
      <c r="AF1787" t="s">
        <v>2365</v>
      </c>
      <c r="AG1787" t="s">
        <v>2365</v>
      </c>
      <c r="AH1787" t="s">
        <v>2365</v>
      </c>
      <c r="AI1787" t="s">
        <v>2365</v>
      </c>
      <c r="AJ1787" t="s">
        <v>2365</v>
      </c>
      <c r="AK1787">
        <v>361</v>
      </c>
      <c r="AL1787" t="s">
        <v>1804</v>
      </c>
      <c r="AM1787">
        <v>361</v>
      </c>
      <c r="AN1787" t="s">
        <v>1804</v>
      </c>
      <c r="AR1787" t="s">
        <v>2365</v>
      </c>
      <c r="AS1787" t="s">
        <v>2365</v>
      </c>
      <c r="AT1787" t="s">
        <v>2365</v>
      </c>
      <c r="AU1787" t="s">
        <v>2365</v>
      </c>
      <c r="AV1787" t="s">
        <v>2365</v>
      </c>
      <c r="AW1787" t="s">
        <v>2365</v>
      </c>
      <c r="AX1787" t="s">
        <v>2365</v>
      </c>
      <c r="AY1787" t="s">
        <v>2365</v>
      </c>
      <c r="AZ1787" t="s">
        <v>2365</v>
      </c>
      <c r="BA1787" t="s">
        <v>2365</v>
      </c>
      <c r="BB1787" t="s">
        <v>2365</v>
      </c>
      <c r="BC1787" t="s">
        <v>2365</v>
      </c>
      <c r="BD1787" t="s">
        <v>2366</v>
      </c>
      <c r="BE1787" t="s">
        <v>2365</v>
      </c>
      <c r="BF1787" t="s">
        <v>2365</v>
      </c>
      <c r="BG1787" t="s">
        <v>2365</v>
      </c>
      <c r="BH1787" t="s">
        <v>2365</v>
      </c>
      <c r="BI1787" t="s">
        <v>2366</v>
      </c>
      <c r="BJ1787" t="s">
        <v>2365</v>
      </c>
      <c r="BK1787" t="s">
        <v>2365</v>
      </c>
      <c r="BL1787" t="s">
        <v>2365</v>
      </c>
      <c r="BM1787" t="s">
        <v>2365</v>
      </c>
      <c r="BO1787">
        <v>1</v>
      </c>
      <c r="BP1787">
        <v>11</v>
      </c>
      <c r="BQ1787" t="s">
        <v>2369</v>
      </c>
      <c r="BR1787" t="s">
        <v>1487</v>
      </c>
      <c r="BU1787">
        <v>0</v>
      </c>
      <c r="BV1787">
        <v>0</v>
      </c>
      <c r="BW1787">
        <v>0</v>
      </c>
      <c r="BX1787">
        <v>0</v>
      </c>
      <c r="BY1787">
        <v>0</v>
      </c>
      <c r="BZ1787">
        <v>0</v>
      </c>
      <c r="CA1787">
        <v>0</v>
      </c>
      <c r="CB1787">
        <v>0</v>
      </c>
      <c r="CC1787">
        <v>0</v>
      </c>
      <c r="CD1787">
        <v>0</v>
      </c>
      <c r="CE1787">
        <v>0</v>
      </c>
      <c r="CF1787">
        <v>0</v>
      </c>
      <c r="CG1787">
        <v>0</v>
      </c>
      <c r="CH1787">
        <v>0</v>
      </c>
      <c r="CI1787">
        <v>0</v>
      </c>
      <c r="CJ1787">
        <v>0</v>
      </c>
      <c r="CK1787">
        <v>0</v>
      </c>
      <c r="CL1787">
        <v>0</v>
      </c>
      <c r="CM1787">
        <v>0</v>
      </c>
      <c r="CR1787" t="s">
        <v>2324</v>
      </c>
      <c r="CS1787" s="1369" t="str">
        <f>INDEX([8]Sheet1!$H:$H,MATCH(CR:CR,[8]Sheet1!$AU:$AU,0))</f>
        <v>Finance</v>
      </c>
    </row>
    <row r="1788" spans="1:97" x14ac:dyDescent="0.2">
      <c r="A1788" t="s">
        <v>4945</v>
      </c>
      <c r="B1788">
        <v>1886</v>
      </c>
      <c r="C1788" t="s">
        <v>4945</v>
      </c>
      <c r="D1788">
        <v>54886</v>
      </c>
      <c r="E1788" t="s">
        <v>4946</v>
      </c>
      <c r="F1788" t="s">
        <v>2364</v>
      </c>
      <c r="G1788" t="s">
        <v>2364</v>
      </c>
      <c r="H1788" t="s">
        <v>2365</v>
      </c>
      <c r="I1788" t="s">
        <v>2365</v>
      </c>
      <c r="J1788" t="s">
        <v>2365</v>
      </c>
      <c r="K1788" t="s">
        <v>2365</v>
      </c>
      <c r="L1788">
        <v>1200</v>
      </c>
      <c r="M1788" t="s">
        <v>1480</v>
      </c>
      <c r="N1788">
        <v>1204</v>
      </c>
      <c r="O1788" t="s">
        <v>1487</v>
      </c>
      <c r="P1788" t="s">
        <v>2366</v>
      </c>
      <c r="Q1788" t="s">
        <v>2364</v>
      </c>
      <c r="R1788" t="s">
        <v>2364</v>
      </c>
      <c r="S1788" t="s">
        <v>553</v>
      </c>
      <c r="T1788" t="s">
        <v>2367</v>
      </c>
      <c r="U1788">
        <v>360</v>
      </c>
      <c r="V1788" t="s">
        <v>2368</v>
      </c>
      <c r="W1788">
        <v>360</v>
      </c>
      <c r="X1788" t="s">
        <v>711</v>
      </c>
      <c r="Y1788" t="s">
        <v>2365</v>
      </c>
      <c r="Z1788" t="s">
        <v>2365</v>
      </c>
      <c r="AA1788" t="s">
        <v>2365</v>
      </c>
      <c r="AB1788" t="s">
        <v>2365</v>
      </c>
      <c r="AC1788" s="813" t="s">
        <v>2365</v>
      </c>
      <c r="AD1788" s="813" t="s">
        <v>2365</v>
      </c>
      <c r="AE1788" s="813" t="s">
        <v>2365</v>
      </c>
      <c r="AF1788" t="s">
        <v>2365</v>
      </c>
      <c r="AG1788" t="s">
        <v>2365</v>
      </c>
      <c r="AH1788" t="s">
        <v>2365</v>
      </c>
      <c r="AI1788" t="s">
        <v>2365</v>
      </c>
      <c r="AJ1788" t="s">
        <v>2365</v>
      </c>
      <c r="AK1788">
        <v>361</v>
      </c>
      <c r="AL1788" t="s">
        <v>1804</v>
      </c>
      <c r="AM1788">
        <v>361</v>
      </c>
      <c r="AN1788" t="s">
        <v>1804</v>
      </c>
      <c r="AR1788" t="s">
        <v>2365</v>
      </c>
      <c r="AS1788" t="s">
        <v>2365</v>
      </c>
      <c r="AT1788" t="s">
        <v>2365</v>
      </c>
      <c r="AU1788" t="s">
        <v>2365</v>
      </c>
      <c r="AV1788" t="s">
        <v>2365</v>
      </c>
      <c r="AW1788" t="s">
        <v>2365</v>
      </c>
      <c r="AX1788" t="s">
        <v>2365</v>
      </c>
      <c r="AY1788" t="s">
        <v>2365</v>
      </c>
      <c r="AZ1788" t="s">
        <v>2365</v>
      </c>
      <c r="BA1788" t="s">
        <v>2365</v>
      </c>
      <c r="BB1788" t="s">
        <v>2365</v>
      </c>
      <c r="BC1788" t="s">
        <v>2365</v>
      </c>
      <c r="BD1788" t="s">
        <v>2366</v>
      </c>
      <c r="BE1788" t="s">
        <v>2365</v>
      </c>
      <c r="BF1788" t="s">
        <v>2365</v>
      </c>
      <c r="BG1788" t="s">
        <v>2365</v>
      </c>
      <c r="BH1788" t="s">
        <v>2365</v>
      </c>
      <c r="BI1788" t="s">
        <v>2366</v>
      </c>
      <c r="BJ1788" t="s">
        <v>2365</v>
      </c>
      <c r="BK1788" t="s">
        <v>2365</v>
      </c>
      <c r="BL1788" t="s">
        <v>2365</v>
      </c>
      <c r="BM1788" t="s">
        <v>2365</v>
      </c>
      <c r="BO1788">
        <v>1</v>
      </c>
      <c r="BP1788">
        <v>11</v>
      </c>
      <c r="BQ1788" t="s">
        <v>2369</v>
      </c>
      <c r="BR1788" t="s">
        <v>1487</v>
      </c>
      <c r="BU1788">
        <v>0</v>
      </c>
      <c r="BV1788">
        <v>0</v>
      </c>
      <c r="BW1788">
        <v>0</v>
      </c>
      <c r="BX1788">
        <v>0</v>
      </c>
      <c r="BY1788">
        <v>0</v>
      </c>
      <c r="BZ1788">
        <v>0</v>
      </c>
      <c r="CA1788">
        <v>0</v>
      </c>
      <c r="CB1788">
        <v>0</v>
      </c>
      <c r="CC1788">
        <v>0</v>
      </c>
      <c r="CD1788">
        <v>0</v>
      </c>
      <c r="CE1788">
        <v>0</v>
      </c>
      <c r="CF1788">
        <v>0</v>
      </c>
      <c r="CG1788">
        <v>0</v>
      </c>
      <c r="CH1788">
        <v>0</v>
      </c>
      <c r="CI1788">
        <v>0</v>
      </c>
      <c r="CJ1788">
        <v>0</v>
      </c>
      <c r="CK1788">
        <v>0</v>
      </c>
      <c r="CL1788">
        <v>0</v>
      </c>
      <c r="CM1788">
        <v>0</v>
      </c>
      <c r="CR1788" t="s">
        <v>2324</v>
      </c>
      <c r="CS1788" s="1369" t="str">
        <f>INDEX([8]Sheet1!$H:$H,MATCH(CR:CR,[8]Sheet1!$AU:$AU,0))</f>
        <v>Finance</v>
      </c>
    </row>
    <row r="1789" spans="1:97" x14ac:dyDescent="0.2">
      <c r="A1789" t="s">
        <v>4947</v>
      </c>
      <c r="B1789">
        <v>1887</v>
      </c>
      <c r="C1789" t="s">
        <v>4947</v>
      </c>
      <c r="D1789">
        <v>54887</v>
      </c>
      <c r="E1789" t="s">
        <v>2374</v>
      </c>
      <c r="F1789" t="s">
        <v>2364</v>
      </c>
      <c r="G1789" t="s">
        <v>2364</v>
      </c>
      <c r="H1789" t="s">
        <v>2365</v>
      </c>
      <c r="I1789" t="s">
        <v>2365</v>
      </c>
      <c r="J1789" t="s">
        <v>2365</v>
      </c>
      <c r="K1789" t="s">
        <v>2365</v>
      </c>
      <c r="L1789">
        <v>1200</v>
      </c>
      <c r="M1789" t="s">
        <v>1480</v>
      </c>
      <c r="N1789">
        <v>1204</v>
      </c>
      <c r="O1789" t="s">
        <v>1487</v>
      </c>
      <c r="P1789" t="s">
        <v>2366</v>
      </c>
      <c r="Q1789" t="s">
        <v>2364</v>
      </c>
      <c r="R1789" t="s">
        <v>2364</v>
      </c>
      <c r="S1789" t="s">
        <v>553</v>
      </c>
      <c r="T1789" t="s">
        <v>2367</v>
      </c>
      <c r="U1789">
        <v>360</v>
      </c>
      <c r="V1789" t="s">
        <v>2368</v>
      </c>
      <c r="W1789">
        <v>360</v>
      </c>
      <c r="X1789" t="s">
        <v>711</v>
      </c>
      <c r="Y1789" t="s">
        <v>2365</v>
      </c>
      <c r="Z1789" t="s">
        <v>2365</v>
      </c>
      <c r="AA1789" t="s">
        <v>2365</v>
      </c>
      <c r="AB1789" t="s">
        <v>2365</v>
      </c>
      <c r="AC1789" s="813" t="s">
        <v>2365</v>
      </c>
      <c r="AD1789" s="813" t="s">
        <v>2365</v>
      </c>
      <c r="AE1789" s="813" t="s">
        <v>2365</v>
      </c>
      <c r="AF1789" t="s">
        <v>2365</v>
      </c>
      <c r="AG1789" t="s">
        <v>2365</v>
      </c>
      <c r="AH1789" t="s">
        <v>2365</v>
      </c>
      <c r="AI1789" t="s">
        <v>2365</v>
      </c>
      <c r="AJ1789" t="s">
        <v>2365</v>
      </c>
      <c r="AK1789">
        <v>361</v>
      </c>
      <c r="AL1789" t="s">
        <v>1804</v>
      </c>
      <c r="AM1789">
        <v>361</v>
      </c>
      <c r="AN1789" t="s">
        <v>1804</v>
      </c>
      <c r="AR1789" t="s">
        <v>2365</v>
      </c>
      <c r="AS1789" t="s">
        <v>2365</v>
      </c>
      <c r="AT1789" t="s">
        <v>2365</v>
      </c>
      <c r="AU1789" t="s">
        <v>2365</v>
      </c>
      <c r="AV1789" t="s">
        <v>2365</v>
      </c>
      <c r="AW1789" t="s">
        <v>2365</v>
      </c>
      <c r="AX1789" t="s">
        <v>2365</v>
      </c>
      <c r="AY1789" t="s">
        <v>2365</v>
      </c>
      <c r="AZ1789" t="s">
        <v>2365</v>
      </c>
      <c r="BA1789" t="s">
        <v>2365</v>
      </c>
      <c r="BB1789" t="s">
        <v>2365</v>
      </c>
      <c r="BC1789" t="s">
        <v>2365</v>
      </c>
      <c r="BD1789" t="s">
        <v>2366</v>
      </c>
      <c r="BE1789" t="s">
        <v>2365</v>
      </c>
      <c r="BF1789" t="s">
        <v>2365</v>
      </c>
      <c r="BG1789" t="s">
        <v>2365</v>
      </c>
      <c r="BH1789" t="s">
        <v>2365</v>
      </c>
      <c r="BI1789" t="s">
        <v>2366</v>
      </c>
      <c r="BJ1789" t="s">
        <v>2365</v>
      </c>
      <c r="BK1789" t="s">
        <v>2365</v>
      </c>
      <c r="BL1789" t="s">
        <v>2365</v>
      </c>
      <c r="BM1789" t="s">
        <v>2365</v>
      </c>
      <c r="BO1789">
        <v>1</v>
      </c>
      <c r="BP1789">
        <v>11</v>
      </c>
      <c r="BQ1789" t="s">
        <v>2369</v>
      </c>
      <c r="BR1789" t="s">
        <v>1487</v>
      </c>
      <c r="BU1789">
        <v>0</v>
      </c>
      <c r="BV1789">
        <v>0</v>
      </c>
      <c r="BW1789">
        <v>0</v>
      </c>
      <c r="BX1789">
        <v>0</v>
      </c>
      <c r="BY1789">
        <v>0</v>
      </c>
      <c r="BZ1789">
        <v>0</v>
      </c>
      <c r="CA1789">
        <v>0</v>
      </c>
      <c r="CB1789">
        <v>0</v>
      </c>
      <c r="CC1789">
        <v>0</v>
      </c>
      <c r="CD1789">
        <v>0</v>
      </c>
      <c r="CE1789">
        <v>0</v>
      </c>
      <c r="CF1789">
        <v>0</v>
      </c>
      <c r="CG1789">
        <v>0</v>
      </c>
      <c r="CH1789">
        <v>0</v>
      </c>
      <c r="CI1789">
        <v>0</v>
      </c>
      <c r="CJ1789">
        <v>0</v>
      </c>
      <c r="CK1789">
        <v>0</v>
      </c>
      <c r="CL1789">
        <v>0</v>
      </c>
      <c r="CM1789">
        <v>0</v>
      </c>
      <c r="CR1789" t="s">
        <v>2324</v>
      </c>
      <c r="CS1789" s="1369" t="str">
        <f>INDEX([8]Sheet1!$H:$H,MATCH(CR:CR,[8]Sheet1!$AU:$AU,0))</f>
        <v>Finance</v>
      </c>
    </row>
    <row r="1790" spans="1:97" x14ac:dyDescent="0.2">
      <c r="A1790" t="s">
        <v>4948</v>
      </c>
      <c r="B1790">
        <v>1888</v>
      </c>
      <c r="C1790" t="s">
        <v>4948</v>
      </c>
      <c r="D1790">
        <v>54888</v>
      </c>
      <c r="E1790" t="s">
        <v>4949</v>
      </c>
      <c r="F1790" t="s">
        <v>2364</v>
      </c>
      <c r="G1790" t="s">
        <v>2364</v>
      </c>
      <c r="H1790" t="s">
        <v>2365</v>
      </c>
      <c r="I1790" t="s">
        <v>2365</v>
      </c>
      <c r="J1790" t="s">
        <v>2365</v>
      </c>
      <c r="K1790" t="s">
        <v>2365</v>
      </c>
      <c r="L1790">
        <v>1200</v>
      </c>
      <c r="M1790" t="s">
        <v>1480</v>
      </c>
      <c r="N1790">
        <v>1204</v>
      </c>
      <c r="O1790" t="s">
        <v>1487</v>
      </c>
      <c r="P1790" t="s">
        <v>2366</v>
      </c>
      <c r="Q1790" t="s">
        <v>2364</v>
      </c>
      <c r="R1790" t="s">
        <v>2364</v>
      </c>
      <c r="S1790" t="s">
        <v>553</v>
      </c>
      <c r="T1790" t="s">
        <v>2367</v>
      </c>
      <c r="U1790">
        <v>360</v>
      </c>
      <c r="V1790" t="s">
        <v>2368</v>
      </c>
      <c r="W1790">
        <v>360</v>
      </c>
      <c r="X1790" t="s">
        <v>711</v>
      </c>
      <c r="Y1790" t="s">
        <v>2365</v>
      </c>
      <c r="Z1790" t="s">
        <v>2365</v>
      </c>
      <c r="AA1790" t="s">
        <v>2365</v>
      </c>
      <c r="AB1790" t="s">
        <v>2365</v>
      </c>
      <c r="AC1790" s="813" t="s">
        <v>2365</v>
      </c>
      <c r="AD1790" s="813" t="s">
        <v>2365</v>
      </c>
      <c r="AE1790" s="813" t="s">
        <v>2365</v>
      </c>
      <c r="AF1790" t="s">
        <v>2365</v>
      </c>
      <c r="AG1790" t="s">
        <v>2365</v>
      </c>
      <c r="AH1790" t="s">
        <v>2365</v>
      </c>
      <c r="AI1790" t="s">
        <v>2365</v>
      </c>
      <c r="AJ1790" t="s">
        <v>2365</v>
      </c>
      <c r="AK1790">
        <v>361</v>
      </c>
      <c r="AL1790" t="s">
        <v>1804</v>
      </c>
      <c r="AM1790">
        <v>361</v>
      </c>
      <c r="AN1790" t="s">
        <v>1804</v>
      </c>
      <c r="AR1790" t="s">
        <v>2365</v>
      </c>
      <c r="AS1790" t="s">
        <v>2365</v>
      </c>
      <c r="AT1790" t="s">
        <v>2365</v>
      </c>
      <c r="AU1790" t="s">
        <v>2365</v>
      </c>
      <c r="AV1790" t="s">
        <v>2365</v>
      </c>
      <c r="AW1790" t="s">
        <v>2365</v>
      </c>
      <c r="AX1790" t="s">
        <v>2365</v>
      </c>
      <c r="AY1790" t="s">
        <v>2365</v>
      </c>
      <c r="AZ1790" t="s">
        <v>2365</v>
      </c>
      <c r="BA1790" t="s">
        <v>2365</v>
      </c>
      <c r="BB1790" t="s">
        <v>2365</v>
      </c>
      <c r="BC1790" t="s">
        <v>2365</v>
      </c>
      <c r="BD1790" t="s">
        <v>2366</v>
      </c>
      <c r="BE1790" t="s">
        <v>2365</v>
      </c>
      <c r="BF1790" t="s">
        <v>2365</v>
      </c>
      <c r="BG1790" t="s">
        <v>2365</v>
      </c>
      <c r="BH1790" t="s">
        <v>2365</v>
      </c>
      <c r="BI1790" t="s">
        <v>2366</v>
      </c>
      <c r="BJ1790" t="s">
        <v>2365</v>
      </c>
      <c r="BK1790" t="s">
        <v>2365</v>
      </c>
      <c r="BL1790" t="s">
        <v>2365</v>
      </c>
      <c r="BM1790" t="s">
        <v>2365</v>
      </c>
      <c r="BO1790">
        <v>1</v>
      </c>
      <c r="BP1790">
        <v>11</v>
      </c>
      <c r="BQ1790" t="s">
        <v>2369</v>
      </c>
      <c r="BR1790" t="s">
        <v>1487</v>
      </c>
      <c r="BU1790">
        <v>0</v>
      </c>
      <c r="BV1790">
        <v>0</v>
      </c>
      <c r="BW1790">
        <v>0</v>
      </c>
      <c r="BX1790">
        <v>0</v>
      </c>
      <c r="BY1790">
        <v>0</v>
      </c>
      <c r="BZ1790">
        <v>0</v>
      </c>
      <c r="CA1790">
        <v>0</v>
      </c>
      <c r="CB1790">
        <v>0</v>
      </c>
      <c r="CC1790">
        <v>0</v>
      </c>
      <c r="CD1790">
        <v>0</v>
      </c>
      <c r="CE1790">
        <v>0</v>
      </c>
      <c r="CF1790">
        <v>0</v>
      </c>
      <c r="CG1790">
        <v>0</v>
      </c>
      <c r="CH1790">
        <v>0</v>
      </c>
      <c r="CI1790">
        <v>0</v>
      </c>
      <c r="CJ1790">
        <v>0</v>
      </c>
      <c r="CK1790">
        <v>0</v>
      </c>
      <c r="CL1790">
        <v>0</v>
      </c>
      <c r="CM1790">
        <v>0</v>
      </c>
      <c r="CR1790" t="s">
        <v>2324</v>
      </c>
      <c r="CS1790" s="1369" t="str">
        <f>INDEX([8]Sheet1!$H:$H,MATCH(CR:CR,[8]Sheet1!$AU:$AU,0))</f>
        <v>Finance</v>
      </c>
    </row>
    <row r="1791" spans="1:97" x14ac:dyDescent="0.2">
      <c r="A1791" t="s">
        <v>4950</v>
      </c>
      <c r="B1791">
        <v>1889</v>
      </c>
      <c r="C1791" t="s">
        <v>4950</v>
      </c>
      <c r="D1791">
        <v>54889</v>
      </c>
      <c r="E1791" t="s">
        <v>4951</v>
      </c>
      <c r="F1791" t="s">
        <v>2364</v>
      </c>
      <c r="G1791" t="s">
        <v>2364</v>
      </c>
      <c r="H1791" t="s">
        <v>2365</v>
      </c>
      <c r="I1791" t="s">
        <v>2365</v>
      </c>
      <c r="J1791" t="s">
        <v>2365</v>
      </c>
      <c r="K1791" t="s">
        <v>2365</v>
      </c>
      <c r="L1791">
        <v>1200</v>
      </c>
      <c r="M1791" t="s">
        <v>1480</v>
      </c>
      <c r="N1791">
        <v>1204</v>
      </c>
      <c r="O1791" t="s">
        <v>1487</v>
      </c>
      <c r="P1791" t="s">
        <v>2366</v>
      </c>
      <c r="Q1791" t="s">
        <v>2364</v>
      </c>
      <c r="R1791" t="s">
        <v>2364</v>
      </c>
      <c r="S1791" t="s">
        <v>553</v>
      </c>
      <c r="T1791" t="s">
        <v>2367</v>
      </c>
      <c r="U1791">
        <v>360</v>
      </c>
      <c r="V1791" t="s">
        <v>2368</v>
      </c>
      <c r="W1791">
        <v>360</v>
      </c>
      <c r="X1791" t="s">
        <v>711</v>
      </c>
      <c r="Y1791" t="s">
        <v>2365</v>
      </c>
      <c r="Z1791" t="s">
        <v>2365</v>
      </c>
      <c r="AA1791" t="s">
        <v>2365</v>
      </c>
      <c r="AB1791" t="s">
        <v>2365</v>
      </c>
      <c r="AC1791" s="813" t="s">
        <v>2365</v>
      </c>
      <c r="AD1791" s="813" t="s">
        <v>2365</v>
      </c>
      <c r="AE1791" s="813" t="s">
        <v>2365</v>
      </c>
      <c r="AF1791" t="s">
        <v>2365</v>
      </c>
      <c r="AG1791" t="s">
        <v>2365</v>
      </c>
      <c r="AH1791" t="s">
        <v>2365</v>
      </c>
      <c r="AI1791" t="s">
        <v>2365</v>
      </c>
      <c r="AJ1791" t="s">
        <v>2365</v>
      </c>
      <c r="AK1791">
        <v>361</v>
      </c>
      <c r="AL1791" t="s">
        <v>1804</v>
      </c>
      <c r="AM1791">
        <v>361</v>
      </c>
      <c r="AN1791" t="s">
        <v>1804</v>
      </c>
      <c r="AR1791" t="s">
        <v>2365</v>
      </c>
      <c r="AS1791" t="s">
        <v>2365</v>
      </c>
      <c r="AT1791" t="s">
        <v>2365</v>
      </c>
      <c r="AU1791" t="s">
        <v>2365</v>
      </c>
      <c r="AV1791" t="s">
        <v>2365</v>
      </c>
      <c r="AW1791" t="s">
        <v>2365</v>
      </c>
      <c r="AX1791" t="s">
        <v>2365</v>
      </c>
      <c r="AY1791" t="s">
        <v>2365</v>
      </c>
      <c r="AZ1791" t="s">
        <v>2365</v>
      </c>
      <c r="BA1791" t="s">
        <v>2365</v>
      </c>
      <c r="BB1791" t="s">
        <v>2365</v>
      </c>
      <c r="BC1791" t="s">
        <v>2365</v>
      </c>
      <c r="BD1791" t="s">
        <v>2366</v>
      </c>
      <c r="BE1791" t="s">
        <v>2365</v>
      </c>
      <c r="BF1791" t="s">
        <v>2365</v>
      </c>
      <c r="BG1791" t="s">
        <v>2365</v>
      </c>
      <c r="BH1791" t="s">
        <v>2365</v>
      </c>
      <c r="BI1791" t="s">
        <v>2366</v>
      </c>
      <c r="BJ1791" t="s">
        <v>2365</v>
      </c>
      <c r="BK1791" t="s">
        <v>2365</v>
      </c>
      <c r="BL1791" t="s">
        <v>2365</v>
      </c>
      <c r="BM1791" t="s">
        <v>2365</v>
      </c>
      <c r="BO1791">
        <v>1</v>
      </c>
      <c r="BP1791">
        <v>11</v>
      </c>
      <c r="BQ1791" t="s">
        <v>2369</v>
      </c>
      <c r="BR1791" t="s">
        <v>1487</v>
      </c>
      <c r="BU1791">
        <v>0</v>
      </c>
      <c r="BV1791">
        <v>0</v>
      </c>
      <c r="BW1791">
        <v>0</v>
      </c>
      <c r="BX1791">
        <v>0</v>
      </c>
      <c r="BY1791">
        <v>0</v>
      </c>
      <c r="BZ1791">
        <v>0</v>
      </c>
      <c r="CA1791">
        <v>0</v>
      </c>
      <c r="CB1791">
        <v>0</v>
      </c>
      <c r="CC1791">
        <v>0</v>
      </c>
      <c r="CD1791">
        <v>0</v>
      </c>
      <c r="CE1791">
        <v>0</v>
      </c>
      <c r="CF1791">
        <v>0</v>
      </c>
      <c r="CG1791">
        <v>0</v>
      </c>
      <c r="CH1791">
        <v>0</v>
      </c>
      <c r="CI1791">
        <v>0</v>
      </c>
      <c r="CJ1791">
        <v>0</v>
      </c>
      <c r="CK1791">
        <v>0</v>
      </c>
      <c r="CL1791">
        <v>0</v>
      </c>
      <c r="CM1791">
        <v>0</v>
      </c>
      <c r="CR1791" t="s">
        <v>2328</v>
      </c>
      <c r="CS1791" s="1369" t="str">
        <f>INDEX([8]Sheet1!$H:$H,MATCH(CR:CR,[8]Sheet1!$AU:$AU,0))</f>
        <v>Water Distribution</v>
      </c>
    </row>
    <row r="1792" spans="1:97" x14ac:dyDescent="0.2">
      <c r="A1792" t="s">
        <v>4952</v>
      </c>
      <c r="B1792">
        <v>1890</v>
      </c>
      <c r="C1792" t="s">
        <v>4952</v>
      </c>
      <c r="D1792">
        <v>54890</v>
      </c>
      <c r="E1792" t="s">
        <v>4953</v>
      </c>
      <c r="F1792" t="s">
        <v>2364</v>
      </c>
      <c r="G1792" t="s">
        <v>2364</v>
      </c>
      <c r="H1792" t="s">
        <v>2365</v>
      </c>
      <c r="I1792" t="s">
        <v>2365</v>
      </c>
      <c r="J1792" t="s">
        <v>2365</v>
      </c>
      <c r="K1792" t="s">
        <v>2365</v>
      </c>
      <c r="L1792">
        <v>1200</v>
      </c>
      <c r="M1792" t="s">
        <v>1480</v>
      </c>
      <c r="N1792">
        <v>1204</v>
      </c>
      <c r="O1792" t="s">
        <v>1487</v>
      </c>
      <c r="P1792" t="s">
        <v>2366</v>
      </c>
      <c r="Q1792" t="s">
        <v>2364</v>
      </c>
      <c r="R1792" t="s">
        <v>2364</v>
      </c>
      <c r="S1792" t="s">
        <v>553</v>
      </c>
      <c r="T1792" t="s">
        <v>2367</v>
      </c>
      <c r="U1792">
        <v>360</v>
      </c>
      <c r="V1792" t="s">
        <v>2368</v>
      </c>
      <c r="W1792">
        <v>360</v>
      </c>
      <c r="X1792" t="s">
        <v>711</v>
      </c>
      <c r="Y1792" t="s">
        <v>2365</v>
      </c>
      <c r="Z1792" t="s">
        <v>2365</v>
      </c>
      <c r="AA1792" t="s">
        <v>2365</v>
      </c>
      <c r="AB1792" t="s">
        <v>2365</v>
      </c>
      <c r="AC1792" s="813" t="s">
        <v>2365</v>
      </c>
      <c r="AD1792" s="813" t="s">
        <v>2365</v>
      </c>
      <c r="AE1792" s="813" t="s">
        <v>2365</v>
      </c>
      <c r="AF1792" t="s">
        <v>2365</v>
      </c>
      <c r="AG1792" t="s">
        <v>2365</v>
      </c>
      <c r="AH1792" t="s">
        <v>2365</v>
      </c>
      <c r="AI1792" t="s">
        <v>2365</v>
      </c>
      <c r="AJ1792" t="s">
        <v>2365</v>
      </c>
      <c r="AK1792">
        <v>361</v>
      </c>
      <c r="AL1792" t="s">
        <v>1804</v>
      </c>
      <c r="AM1792">
        <v>361</v>
      </c>
      <c r="AN1792" t="s">
        <v>1804</v>
      </c>
      <c r="AR1792" t="s">
        <v>2365</v>
      </c>
      <c r="AS1792" t="s">
        <v>2365</v>
      </c>
      <c r="AT1792" t="s">
        <v>2365</v>
      </c>
      <c r="AU1792" t="s">
        <v>2365</v>
      </c>
      <c r="AV1792" t="s">
        <v>2365</v>
      </c>
      <c r="AW1792" t="s">
        <v>2365</v>
      </c>
      <c r="AX1792" t="s">
        <v>2365</v>
      </c>
      <c r="AY1792" t="s">
        <v>2365</v>
      </c>
      <c r="AZ1792" t="s">
        <v>2365</v>
      </c>
      <c r="BA1792" t="s">
        <v>2365</v>
      </c>
      <c r="BB1792" t="s">
        <v>2365</v>
      </c>
      <c r="BC1792" t="s">
        <v>2365</v>
      </c>
      <c r="BD1792" t="s">
        <v>2366</v>
      </c>
      <c r="BE1792" t="s">
        <v>2365</v>
      </c>
      <c r="BF1792" t="s">
        <v>2365</v>
      </c>
      <c r="BG1792" t="s">
        <v>2365</v>
      </c>
      <c r="BH1792" t="s">
        <v>2365</v>
      </c>
      <c r="BI1792" t="s">
        <v>2366</v>
      </c>
      <c r="BJ1792" t="s">
        <v>2365</v>
      </c>
      <c r="BK1792" t="s">
        <v>2365</v>
      </c>
      <c r="BL1792" t="s">
        <v>2365</v>
      </c>
      <c r="BM1792" t="s">
        <v>2365</v>
      </c>
      <c r="BO1792">
        <v>1</v>
      </c>
      <c r="BP1792">
        <v>11</v>
      </c>
      <c r="BQ1792" t="s">
        <v>2369</v>
      </c>
      <c r="BR1792" t="s">
        <v>1487</v>
      </c>
      <c r="BU1792">
        <v>0</v>
      </c>
      <c r="BV1792">
        <v>0</v>
      </c>
      <c r="BW1792">
        <v>0</v>
      </c>
      <c r="BX1792">
        <v>0</v>
      </c>
      <c r="BY1792">
        <v>0</v>
      </c>
      <c r="BZ1792">
        <v>0</v>
      </c>
      <c r="CA1792">
        <v>0</v>
      </c>
      <c r="CB1792">
        <v>0</v>
      </c>
      <c r="CC1792">
        <v>0</v>
      </c>
      <c r="CD1792">
        <v>0</v>
      </c>
      <c r="CE1792">
        <v>0</v>
      </c>
      <c r="CF1792">
        <v>0</v>
      </c>
      <c r="CG1792">
        <v>0</v>
      </c>
      <c r="CH1792">
        <v>0</v>
      </c>
      <c r="CI1792">
        <v>0</v>
      </c>
      <c r="CJ1792">
        <v>0</v>
      </c>
      <c r="CK1792">
        <v>0</v>
      </c>
      <c r="CL1792">
        <v>0</v>
      </c>
      <c r="CM1792">
        <v>0</v>
      </c>
      <c r="CR1792" t="s">
        <v>2327</v>
      </c>
      <c r="CS1792" s="1369" t="str">
        <f>INDEX([8]Sheet1!$H:$H,MATCH(CR:CR,[8]Sheet1!$AU:$AU,0))</f>
        <v>Education</v>
      </c>
    </row>
    <row r="1793" spans="1:97" x14ac:dyDescent="0.2">
      <c r="A1793" t="s">
        <v>4954</v>
      </c>
      <c r="B1793">
        <v>1891</v>
      </c>
      <c r="C1793" t="s">
        <v>4954</v>
      </c>
      <c r="D1793">
        <v>54891</v>
      </c>
      <c r="E1793" t="s">
        <v>2397</v>
      </c>
      <c r="F1793" t="s">
        <v>2364</v>
      </c>
      <c r="G1793" t="s">
        <v>2364</v>
      </c>
      <c r="H1793" t="s">
        <v>2365</v>
      </c>
      <c r="I1793" t="s">
        <v>2365</v>
      </c>
      <c r="J1793" t="s">
        <v>2365</v>
      </c>
      <c r="K1793" t="s">
        <v>2365</v>
      </c>
      <c r="L1793">
        <v>1200</v>
      </c>
      <c r="M1793" t="s">
        <v>1480</v>
      </c>
      <c r="N1793">
        <v>1204</v>
      </c>
      <c r="O1793" t="s">
        <v>1487</v>
      </c>
      <c r="P1793" t="s">
        <v>2366</v>
      </c>
      <c r="Q1793" t="s">
        <v>2364</v>
      </c>
      <c r="R1793" t="s">
        <v>2364</v>
      </c>
      <c r="S1793" t="s">
        <v>553</v>
      </c>
      <c r="T1793" t="s">
        <v>2367</v>
      </c>
      <c r="U1793">
        <v>360</v>
      </c>
      <c r="V1793" t="s">
        <v>2368</v>
      </c>
      <c r="W1793">
        <v>360</v>
      </c>
      <c r="X1793" t="s">
        <v>711</v>
      </c>
      <c r="Y1793" t="s">
        <v>2365</v>
      </c>
      <c r="Z1793" t="s">
        <v>2365</v>
      </c>
      <c r="AA1793" t="s">
        <v>2365</v>
      </c>
      <c r="AB1793" t="s">
        <v>2365</v>
      </c>
      <c r="AC1793" s="813" t="s">
        <v>2365</v>
      </c>
      <c r="AD1793" s="813" t="s">
        <v>2365</v>
      </c>
      <c r="AE1793" s="813" t="s">
        <v>2365</v>
      </c>
      <c r="AF1793" t="s">
        <v>2365</v>
      </c>
      <c r="AG1793" t="s">
        <v>2365</v>
      </c>
      <c r="AH1793" t="s">
        <v>2365</v>
      </c>
      <c r="AI1793" t="s">
        <v>2365</v>
      </c>
      <c r="AJ1793" t="s">
        <v>2365</v>
      </c>
      <c r="AK1793">
        <v>361</v>
      </c>
      <c r="AL1793" t="s">
        <v>1804</v>
      </c>
      <c r="AM1793">
        <v>361</v>
      </c>
      <c r="AN1793" t="s">
        <v>1804</v>
      </c>
      <c r="AR1793" t="s">
        <v>2365</v>
      </c>
      <c r="AS1793" t="s">
        <v>2365</v>
      </c>
      <c r="AT1793" t="s">
        <v>2365</v>
      </c>
      <c r="AU1793" t="s">
        <v>2365</v>
      </c>
      <c r="AV1793" t="s">
        <v>2365</v>
      </c>
      <c r="AW1793" t="s">
        <v>2365</v>
      </c>
      <c r="AX1793" t="s">
        <v>2365</v>
      </c>
      <c r="AY1793" t="s">
        <v>2365</v>
      </c>
      <c r="AZ1793" t="s">
        <v>2365</v>
      </c>
      <c r="BA1793" t="s">
        <v>2365</v>
      </c>
      <c r="BB1793" t="s">
        <v>2365</v>
      </c>
      <c r="BC1793" t="s">
        <v>2365</v>
      </c>
      <c r="BD1793" t="s">
        <v>2366</v>
      </c>
      <c r="BE1793" t="s">
        <v>2365</v>
      </c>
      <c r="BF1793" t="s">
        <v>2365</v>
      </c>
      <c r="BG1793" t="s">
        <v>2365</v>
      </c>
      <c r="BH1793" t="s">
        <v>2365</v>
      </c>
      <c r="BI1793" t="s">
        <v>2366</v>
      </c>
      <c r="BJ1793" t="s">
        <v>2365</v>
      </c>
      <c r="BK1793" t="s">
        <v>2365</v>
      </c>
      <c r="BL1793" t="s">
        <v>2365</v>
      </c>
      <c r="BM1793" t="s">
        <v>2365</v>
      </c>
      <c r="BO1793">
        <v>1</v>
      </c>
      <c r="BP1793">
        <v>11</v>
      </c>
      <c r="BQ1793" t="s">
        <v>2369</v>
      </c>
      <c r="BR1793" t="s">
        <v>1487</v>
      </c>
      <c r="BU1793">
        <v>0</v>
      </c>
      <c r="BV1793">
        <v>0</v>
      </c>
      <c r="BW1793">
        <v>0</v>
      </c>
      <c r="BX1793">
        <v>0</v>
      </c>
      <c r="BY1793">
        <v>0</v>
      </c>
      <c r="BZ1793">
        <v>0</v>
      </c>
      <c r="CA1793">
        <v>0</v>
      </c>
      <c r="CB1793">
        <v>0</v>
      </c>
      <c r="CC1793">
        <v>0</v>
      </c>
      <c r="CD1793">
        <v>0</v>
      </c>
      <c r="CE1793">
        <v>0</v>
      </c>
      <c r="CF1793">
        <v>0</v>
      </c>
      <c r="CG1793">
        <v>0</v>
      </c>
      <c r="CH1793">
        <v>0</v>
      </c>
      <c r="CI1793">
        <v>0</v>
      </c>
      <c r="CJ1793">
        <v>0</v>
      </c>
      <c r="CK1793">
        <v>0</v>
      </c>
      <c r="CL1793">
        <v>0</v>
      </c>
      <c r="CM1793">
        <v>0</v>
      </c>
      <c r="CR1793" t="s">
        <v>2327</v>
      </c>
      <c r="CS1793" s="1369" t="str">
        <f>INDEX([8]Sheet1!$H:$H,MATCH(CR:CR,[8]Sheet1!$AU:$AU,0))</f>
        <v>Education</v>
      </c>
    </row>
    <row r="1794" spans="1:97" x14ac:dyDescent="0.2">
      <c r="A1794" t="s">
        <v>4955</v>
      </c>
      <c r="B1794">
        <v>1892</v>
      </c>
      <c r="C1794" t="s">
        <v>4955</v>
      </c>
      <c r="D1794">
        <v>54892</v>
      </c>
      <c r="E1794" t="s">
        <v>4956</v>
      </c>
      <c r="F1794" t="s">
        <v>2364</v>
      </c>
      <c r="G1794" t="s">
        <v>2364</v>
      </c>
      <c r="H1794" t="s">
        <v>2365</v>
      </c>
      <c r="I1794" t="s">
        <v>2365</v>
      </c>
      <c r="J1794" t="s">
        <v>2365</v>
      </c>
      <c r="K1794" t="s">
        <v>2365</v>
      </c>
      <c r="L1794">
        <v>1200</v>
      </c>
      <c r="M1794" t="s">
        <v>1480</v>
      </c>
      <c r="N1794">
        <v>1204</v>
      </c>
      <c r="O1794" t="s">
        <v>1487</v>
      </c>
      <c r="P1794" t="s">
        <v>2366</v>
      </c>
      <c r="Q1794" t="s">
        <v>2364</v>
      </c>
      <c r="R1794" t="s">
        <v>2364</v>
      </c>
      <c r="S1794" t="s">
        <v>553</v>
      </c>
      <c r="T1794" t="s">
        <v>2367</v>
      </c>
      <c r="U1794">
        <v>360</v>
      </c>
      <c r="V1794" t="s">
        <v>2368</v>
      </c>
      <c r="W1794">
        <v>360</v>
      </c>
      <c r="X1794" t="s">
        <v>711</v>
      </c>
      <c r="Y1794" t="s">
        <v>2365</v>
      </c>
      <c r="Z1794" t="s">
        <v>2365</v>
      </c>
      <c r="AA1794" t="s">
        <v>2365</v>
      </c>
      <c r="AB1794" t="s">
        <v>2365</v>
      </c>
      <c r="AC1794" s="813" t="s">
        <v>2365</v>
      </c>
      <c r="AD1794" s="813" t="s">
        <v>2365</v>
      </c>
      <c r="AE1794" s="813" t="s">
        <v>2365</v>
      </c>
      <c r="AF1794" t="s">
        <v>2365</v>
      </c>
      <c r="AG1794" t="s">
        <v>2365</v>
      </c>
      <c r="AH1794" t="s">
        <v>2365</v>
      </c>
      <c r="AI1794" t="s">
        <v>2365</v>
      </c>
      <c r="AJ1794" t="s">
        <v>2365</v>
      </c>
      <c r="AK1794">
        <v>361</v>
      </c>
      <c r="AL1794" t="s">
        <v>1804</v>
      </c>
      <c r="AM1794">
        <v>361</v>
      </c>
      <c r="AN1794" t="s">
        <v>1804</v>
      </c>
      <c r="AR1794" t="s">
        <v>2365</v>
      </c>
      <c r="AS1794" t="s">
        <v>2365</v>
      </c>
      <c r="AT1794" t="s">
        <v>2365</v>
      </c>
      <c r="AU1794" t="s">
        <v>2365</v>
      </c>
      <c r="AV1794" t="s">
        <v>2365</v>
      </c>
      <c r="AW1794" t="s">
        <v>2365</v>
      </c>
      <c r="AX1794" t="s">
        <v>2365</v>
      </c>
      <c r="AY1794" t="s">
        <v>2365</v>
      </c>
      <c r="AZ1794" t="s">
        <v>2365</v>
      </c>
      <c r="BA1794" t="s">
        <v>2365</v>
      </c>
      <c r="BB1794" t="s">
        <v>2365</v>
      </c>
      <c r="BC1794" t="s">
        <v>2365</v>
      </c>
      <c r="BD1794" t="s">
        <v>2366</v>
      </c>
      <c r="BE1794" t="s">
        <v>2365</v>
      </c>
      <c r="BF1794" t="s">
        <v>2365</v>
      </c>
      <c r="BG1794" t="s">
        <v>2365</v>
      </c>
      <c r="BH1794" t="s">
        <v>2365</v>
      </c>
      <c r="BI1794" t="s">
        <v>2366</v>
      </c>
      <c r="BJ1794" t="s">
        <v>2365</v>
      </c>
      <c r="BK1794" t="s">
        <v>2365</v>
      </c>
      <c r="BL1794" t="s">
        <v>2365</v>
      </c>
      <c r="BM1794" t="s">
        <v>2365</v>
      </c>
      <c r="BO1794">
        <v>1</v>
      </c>
      <c r="BP1794">
        <v>11</v>
      </c>
      <c r="BQ1794" t="s">
        <v>2369</v>
      </c>
      <c r="BR1794" t="s">
        <v>1487</v>
      </c>
      <c r="BU1794">
        <v>0</v>
      </c>
      <c r="BV1794">
        <v>0</v>
      </c>
      <c r="BW1794">
        <v>0</v>
      </c>
      <c r="BX1794">
        <v>0</v>
      </c>
      <c r="BY1794">
        <v>0</v>
      </c>
      <c r="BZ1794">
        <v>0</v>
      </c>
      <c r="CA1794">
        <v>0</v>
      </c>
      <c r="CB1794">
        <v>0</v>
      </c>
      <c r="CC1794">
        <v>0</v>
      </c>
      <c r="CD1794">
        <v>0</v>
      </c>
      <c r="CE1794">
        <v>0</v>
      </c>
      <c r="CF1794">
        <v>0</v>
      </c>
      <c r="CG1794">
        <v>0</v>
      </c>
      <c r="CH1794">
        <v>0</v>
      </c>
      <c r="CI1794">
        <v>0</v>
      </c>
      <c r="CJ1794">
        <v>0</v>
      </c>
      <c r="CK1794">
        <v>0</v>
      </c>
      <c r="CL1794">
        <v>0</v>
      </c>
      <c r="CM1794">
        <v>0</v>
      </c>
      <c r="CR1794" t="s">
        <v>2327</v>
      </c>
      <c r="CS1794" s="1369" t="str">
        <f>INDEX([8]Sheet1!$H:$H,MATCH(CR:CR,[8]Sheet1!$AU:$AU,0))</f>
        <v>Education</v>
      </c>
    </row>
    <row r="1795" spans="1:97" x14ac:dyDescent="0.2">
      <c r="A1795" t="s">
        <v>4957</v>
      </c>
      <c r="B1795">
        <v>1893</v>
      </c>
      <c r="C1795" t="s">
        <v>4957</v>
      </c>
      <c r="D1795">
        <v>54893</v>
      </c>
      <c r="E1795" t="s">
        <v>2386</v>
      </c>
      <c r="F1795" t="s">
        <v>2364</v>
      </c>
      <c r="G1795" t="s">
        <v>2364</v>
      </c>
      <c r="H1795" t="s">
        <v>2365</v>
      </c>
      <c r="I1795" t="s">
        <v>2365</v>
      </c>
      <c r="J1795" t="s">
        <v>2365</v>
      </c>
      <c r="K1795" t="s">
        <v>2365</v>
      </c>
      <c r="L1795">
        <v>1200</v>
      </c>
      <c r="M1795" t="s">
        <v>1480</v>
      </c>
      <c r="N1795">
        <v>1204</v>
      </c>
      <c r="O1795" t="s">
        <v>1487</v>
      </c>
      <c r="P1795" t="s">
        <v>2366</v>
      </c>
      <c r="Q1795" t="s">
        <v>2364</v>
      </c>
      <c r="R1795" t="s">
        <v>2364</v>
      </c>
      <c r="S1795" t="s">
        <v>553</v>
      </c>
      <c r="T1795" t="s">
        <v>2367</v>
      </c>
      <c r="U1795">
        <v>360</v>
      </c>
      <c r="V1795" t="s">
        <v>2368</v>
      </c>
      <c r="W1795">
        <v>360</v>
      </c>
      <c r="X1795" t="s">
        <v>711</v>
      </c>
      <c r="Y1795" t="s">
        <v>2365</v>
      </c>
      <c r="Z1795" t="s">
        <v>2365</v>
      </c>
      <c r="AA1795" t="s">
        <v>2365</v>
      </c>
      <c r="AB1795" t="s">
        <v>2365</v>
      </c>
      <c r="AC1795" s="813" t="s">
        <v>2365</v>
      </c>
      <c r="AD1795" s="813" t="s">
        <v>2365</v>
      </c>
      <c r="AE1795" s="813" t="s">
        <v>2365</v>
      </c>
      <c r="AF1795" t="s">
        <v>2365</v>
      </c>
      <c r="AG1795" t="s">
        <v>2365</v>
      </c>
      <c r="AH1795" t="s">
        <v>2365</v>
      </c>
      <c r="AI1795" t="s">
        <v>2365</v>
      </c>
      <c r="AJ1795" t="s">
        <v>2365</v>
      </c>
      <c r="AK1795">
        <v>361</v>
      </c>
      <c r="AL1795" t="s">
        <v>1804</v>
      </c>
      <c r="AM1795">
        <v>361</v>
      </c>
      <c r="AN1795" t="s">
        <v>1804</v>
      </c>
      <c r="AR1795" t="s">
        <v>2365</v>
      </c>
      <c r="AS1795" t="s">
        <v>2365</v>
      </c>
      <c r="AT1795" t="s">
        <v>2365</v>
      </c>
      <c r="AU1795" t="s">
        <v>2365</v>
      </c>
      <c r="AV1795" t="s">
        <v>2365</v>
      </c>
      <c r="AW1795" t="s">
        <v>2365</v>
      </c>
      <c r="AX1795" t="s">
        <v>2365</v>
      </c>
      <c r="AY1795" t="s">
        <v>2365</v>
      </c>
      <c r="AZ1795" t="s">
        <v>2365</v>
      </c>
      <c r="BA1795" t="s">
        <v>2365</v>
      </c>
      <c r="BB1795" t="s">
        <v>2365</v>
      </c>
      <c r="BC1795" t="s">
        <v>2365</v>
      </c>
      <c r="BD1795" t="s">
        <v>2366</v>
      </c>
      <c r="BE1795" t="s">
        <v>2365</v>
      </c>
      <c r="BF1795" t="s">
        <v>2365</v>
      </c>
      <c r="BG1795" t="s">
        <v>2365</v>
      </c>
      <c r="BH1795" t="s">
        <v>2365</v>
      </c>
      <c r="BI1795" t="s">
        <v>2366</v>
      </c>
      <c r="BJ1795" t="s">
        <v>2365</v>
      </c>
      <c r="BK1795" t="s">
        <v>2365</v>
      </c>
      <c r="BL1795" t="s">
        <v>2365</v>
      </c>
      <c r="BM1795" t="s">
        <v>2365</v>
      </c>
      <c r="BO1795">
        <v>1</v>
      </c>
      <c r="BP1795">
        <v>11</v>
      </c>
      <c r="BQ1795" t="s">
        <v>2369</v>
      </c>
      <c r="BR1795" t="s">
        <v>1487</v>
      </c>
      <c r="BU1795">
        <v>0</v>
      </c>
      <c r="BV1795">
        <v>0</v>
      </c>
      <c r="BW1795">
        <v>0</v>
      </c>
      <c r="BX1795">
        <v>0</v>
      </c>
      <c r="BY1795">
        <v>0</v>
      </c>
      <c r="BZ1795">
        <v>0</v>
      </c>
      <c r="CA1795">
        <v>0</v>
      </c>
      <c r="CB1795">
        <v>0</v>
      </c>
      <c r="CC1795">
        <v>0</v>
      </c>
      <c r="CD1795">
        <v>0</v>
      </c>
      <c r="CE1795">
        <v>0</v>
      </c>
      <c r="CF1795">
        <v>0</v>
      </c>
      <c r="CG1795">
        <v>0</v>
      </c>
      <c r="CH1795">
        <v>0</v>
      </c>
      <c r="CI1795">
        <v>0</v>
      </c>
      <c r="CJ1795">
        <v>0</v>
      </c>
      <c r="CK1795">
        <v>0</v>
      </c>
      <c r="CL1795">
        <v>0</v>
      </c>
      <c r="CM1795">
        <v>0</v>
      </c>
      <c r="CR1795" t="s">
        <v>2327</v>
      </c>
      <c r="CS1795" s="1369" t="str">
        <f>INDEX([8]Sheet1!$H:$H,MATCH(CR:CR,[8]Sheet1!$AU:$AU,0))</f>
        <v>Education</v>
      </c>
    </row>
    <row r="1796" spans="1:97" x14ac:dyDescent="0.2">
      <c r="A1796" t="s">
        <v>4958</v>
      </c>
      <c r="B1796">
        <v>1894</v>
      </c>
      <c r="C1796" t="s">
        <v>4958</v>
      </c>
      <c r="D1796">
        <v>54894</v>
      </c>
      <c r="E1796" t="s">
        <v>4959</v>
      </c>
      <c r="F1796" t="s">
        <v>2364</v>
      </c>
      <c r="G1796" t="s">
        <v>2364</v>
      </c>
      <c r="H1796" t="s">
        <v>2365</v>
      </c>
      <c r="I1796" t="s">
        <v>2365</v>
      </c>
      <c r="J1796" t="s">
        <v>2365</v>
      </c>
      <c r="K1796" t="s">
        <v>2365</v>
      </c>
      <c r="L1796">
        <v>1200</v>
      </c>
      <c r="M1796" t="s">
        <v>1480</v>
      </c>
      <c r="N1796">
        <v>1204</v>
      </c>
      <c r="O1796" t="s">
        <v>1487</v>
      </c>
      <c r="P1796" t="s">
        <v>2366</v>
      </c>
      <c r="Q1796" t="s">
        <v>2364</v>
      </c>
      <c r="R1796" t="s">
        <v>2364</v>
      </c>
      <c r="S1796" t="s">
        <v>553</v>
      </c>
      <c r="T1796" t="s">
        <v>2367</v>
      </c>
      <c r="U1796">
        <v>360</v>
      </c>
      <c r="V1796" t="s">
        <v>2368</v>
      </c>
      <c r="W1796">
        <v>360</v>
      </c>
      <c r="X1796" t="s">
        <v>711</v>
      </c>
      <c r="Y1796" t="s">
        <v>2365</v>
      </c>
      <c r="Z1796" t="s">
        <v>2365</v>
      </c>
      <c r="AA1796" t="s">
        <v>2365</v>
      </c>
      <c r="AB1796" t="s">
        <v>2365</v>
      </c>
      <c r="AC1796" s="813" t="s">
        <v>2365</v>
      </c>
      <c r="AD1796" s="813" t="s">
        <v>2365</v>
      </c>
      <c r="AE1796" s="813" t="s">
        <v>2365</v>
      </c>
      <c r="AF1796" t="s">
        <v>2365</v>
      </c>
      <c r="AG1796" t="s">
        <v>2365</v>
      </c>
      <c r="AH1796" t="s">
        <v>2365</v>
      </c>
      <c r="AI1796" t="s">
        <v>2365</v>
      </c>
      <c r="AJ1796" t="s">
        <v>2365</v>
      </c>
      <c r="AK1796">
        <v>361</v>
      </c>
      <c r="AL1796" t="s">
        <v>1804</v>
      </c>
      <c r="AM1796">
        <v>361</v>
      </c>
      <c r="AN1796" t="s">
        <v>1804</v>
      </c>
      <c r="AR1796" t="s">
        <v>2365</v>
      </c>
      <c r="AS1796" t="s">
        <v>2365</v>
      </c>
      <c r="AT1796" t="s">
        <v>2365</v>
      </c>
      <c r="AU1796" t="s">
        <v>2365</v>
      </c>
      <c r="AV1796" t="s">
        <v>2365</v>
      </c>
      <c r="AW1796" t="s">
        <v>2365</v>
      </c>
      <c r="AX1796" t="s">
        <v>2365</v>
      </c>
      <c r="AY1796" t="s">
        <v>2365</v>
      </c>
      <c r="AZ1796" t="s">
        <v>2365</v>
      </c>
      <c r="BA1796" t="s">
        <v>2365</v>
      </c>
      <c r="BB1796" t="s">
        <v>2365</v>
      </c>
      <c r="BC1796" t="s">
        <v>2365</v>
      </c>
      <c r="BD1796" t="s">
        <v>2366</v>
      </c>
      <c r="BE1796" t="s">
        <v>2365</v>
      </c>
      <c r="BF1796" t="s">
        <v>2365</v>
      </c>
      <c r="BG1796" t="s">
        <v>2365</v>
      </c>
      <c r="BH1796" t="s">
        <v>2365</v>
      </c>
      <c r="BI1796" t="s">
        <v>2366</v>
      </c>
      <c r="BJ1796" t="s">
        <v>2365</v>
      </c>
      <c r="BK1796" t="s">
        <v>2365</v>
      </c>
      <c r="BL1796" t="s">
        <v>2365</v>
      </c>
      <c r="BM1796" t="s">
        <v>2365</v>
      </c>
      <c r="BO1796">
        <v>1</v>
      </c>
      <c r="BP1796">
        <v>11</v>
      </c>
      <c r="BQ1796" t="s">
        <v>2369</v>
      </c>
      <c r="BR1796" t="s">
        <v>1487</v>
      </c>
      <c r="BU1796">
        <v>0</v>
      </c>
      <c r="BV1796">
        <v>0</v>
      </c>
      <c r="BW1796">
        <v>0</v>
      </c>
      <c r="BX1796">
        <v>0</v>
      </c>
      <c r="BY1796">
        <v>0</v>
      </c>
      <c r="BZ1796">
        <v>0</v>
      </c>
      <c r="CA1796">
        <v>0</v>
      </c>
      <c r="CB1796">
        <v>0</v>
      </c>
      <c r="CC1796">
        <v>0</v>
      </c>
      <c r="CD1796">
        <v>0</v>
      </c>
      <c r="CE1796">
        <v>0</v>
      </c>
      <c r="CF1796">
        <v>0</v>
      </c>
      <c r="CG1796">
        <v>0</v>
      </c>
      <c r="CH1796">
        <v>0</v>
      </c>
      <c r="CI1796">
        <v>0</v>
      </c>
      <c r="CJ1796">
        <v>0</v>
      </c>
      <c r="CK1796">
        <v>0</v>
      </c>
      <c r="CL1796">
        <v>0</v>
      </c>
      <c r="CM1796">
        <v>0</v>
      </c>
      <c r="CR1796" t="s">
        <v>2327</v>
      </c>
      <c r="CS1796" s="1369" t="str">
        <f>INDEX([8]Sheet1!$H:$H,MATCH(CR:CR,[8]Sheet1!$AU:$AU,0))</f>
        <v>Education</v>
      </c>
    </row>
    <row r="1797" spans="1:97" x14ac:dyDescent="0.2">
      <c r="A1797" t="s">
        <v>4960</v>
      </c>
      <c r="B1797">
        <v>1895</v>
      </c>
      <c r="C1797" t="s">
        <v>4960</v>
      </c>
      <c r="D1797">
        <v>54895</v>
      </c>
      <c r="E1797" t="s">
        <v>2378</v>
      </c>
      <c r="F1797" t="s">
        <v>2364</v>
      </c>
      <c r="G1797" t="s">
        <v>2364</v>
      </c>
      <c r="H1797" t="s">
        <v>2365</v>
      </c>
      <c r="I1797" t="s">
        <v>2365</v>
      </c>
      <c r="J1797" t="s">
        <v>2365</v>
      </c>
      <c r="K1797" t="s">
        <v>2365</v>
      </c>
      <c r="L1797">
        <v>1200</v>
      </c>
      <c r="M1797" t="s">
        <v>1480</v>
      </c>
      <c r="N1797">
        <v>1204</v>
      </c>
      <c r="O1797" t="s">
        <v>1487</v>
      </c>
      <c r="P1797" t="s">
        <v>2366</v>
      </c>
      <c r="Q1797" t="s">
        <v>2364</v>
      </c>
      <c r="R1797" t="s">
        <v>2364</v>
      </c>
      <c r="S1797" t="s">
        <v>553</v>
      </c>
      <c r="T1797" t="s">
        <v>2367</v>
      </c>
      <c r="U1797">
        <v>360</v>
      </c>
      <c r="V1797" t="s">
        <v>2368</v>
      </c>
      <c r="W1797">
        <v>360</v>
      </c>
      <c r="X1797" t="s">
        <v>711</v>
      </c>
      <c r="Y1797" t="s">
        <v>2365</v>
      </c>
      <c r="Z1797" t="s">
        <v>2365</v>
      </c>
      <c r="AA1797" t="s">
        <v>2365</v>
      </c>
      <c r="AB1797" t="s">
        <v>2365</v>
      </c>
      <c r="AC1797" s="813" t="s">
        <v>2365</v>
      </c>
      <c r="AD1797" s="813" t="s">
        <v>2365</v>
      </c>
      <c r="AE1797" s="813" t="s">
        <v>2365</v>
      </c>
      <c r="AF1797" t="s">
        <v>2365</v>
      </c>
      <c r="AG1797" t="s">
        <v>2365</v>
      </c>
      <c r="AH1797" t="s">
        <v>2365</v>
      </c>
      <c r="AI1797" t="s">
        <v>2365</v>
      </c>
      <c r="AJ1797" t="s">
        <v>2365</v>
      </c>
      <c r="AK1797">
        <v>361</v>
      </c>
      <c r="AL1797" t="s">
        <v>1804</v>
      </c>
      <c r="AM1797">
        <v>361</v>
      </c>
      <c r="AN1797" t="s">
        <v>1804</v>
      </c>
      <c r="AR1797" t="s">
        <v>2365</v>
      </c>
      <c r="AS1797" t="s">
        <v>2365</v>
      </c>
      <c r="AT1797" t="s">
        <v>2365</v>
      </c>
      <c r="AU1797" t="s">
        <v>2365</v>
      </c>
      <c r="AV1797" t="s">
        <v>2365</v>
      </c>
      <c r="AW1797" t="s">
        <v>2365</v>
      </c>
      <c r="AX1797" t="s">
        <v>2365</v>
      </c>
      <c r="AY1797" t="s">
        <v>2365</v>
      </c>
      <c r="AZ1797" t="s">
        <v>2365</v>
      </c>
      <c r="BA1797" t="s">
        <v>2365</v>
      </c>
      <c r="BB1797" t="s">
        <v>2365</v>
      </c>
      <c r="BC1797" t="s">
        <v>2365</v>
      </c>
      <c r="BD1797" t="s">
        <v>2366</v>
      </c>
      <c r="BE1797" t="s">
        <v>2365</v>
      </c>
      <c r="BF1797" t="s">
        <v>2365</v>
      </c>
      <c r="BG1797" t="s">
        <v>2365</v>
      </c>
      <c r="BH1797" t="s">
        <v>2365</v>
      </c>
      <c r="BI1797" t="s">
        <v>2366</v>
      </c>
      <c r="BJ1797" t="s">
        <v>2365</v>
      </c>
      <c r="BK1797" t="s">
        <v>2365</v>
      </c>
      <c r="BL1797" t="s">
        <v>2365</v>
      </c>
      <c r="BM1797" t="s">
        <v>2365</v>
      </c>
      <c r="BO1797">
        <v>1</v>
      </c>
      <c r="BP1797">
        <v>11</v>
      </c>
      <c r="BQ1797" t="s">
        <v>2369</v>
      </c>
      <c r="BR1797" t="s">
        <v>1487</v>
      </c>
      <c r="BU1797">
        <v>0</v>
      </c>
      <c r="BV1797">
        <v>0</v>
      </c>
      <c r="BW1797">
        <v>0</v>
      </c>
      <c r="BX1797">
        <v>0</v>
      </c>
      <c r="BY1797">
        <v>0</v>
      </c>
      <c r="BZ1797">
        <v>0</v>
      </c>
      <c r="CA1797">
        <v>0</v>
      </c>
      <c r="CB1797">
        <v>0</v>
      </c>
      <c r="CC1797">
        <v>0</v>
      </c>
      <c r="CD1797">
        <v>0</v>
      </c>
      <c r="CE1797">
        <v>0</v>
      </c>
      <c r="CF1797">
        <v>0</v>
      </c>
      <c r="CG1797">
        <v>0</v>
      </c>
      <c r="CH1797">
        <v>0</v>
      </c>
      <c r="CI1797">
        <v>0</v>
      </c>
      <c r="CJ1797">
        <v>0</v>
      </c>
      <c r="CK1797">
        <v>0</v>
      </c>
      <c r="CL1797">
        <v>0</v>
      </c>
      <c r="CM1797">
        <v>0</v>
      </c>
      <c r="CR1797" t="s">
        <v>2327</v>
      </c>
      <c r="CS1797" s="1369" t="str">
        <f>INDEX([8]Sheet1!$H:$H,MATCH(CR:CR,[8]Sheet1!$AU:$AU,0))</f>
        <v>Education</v>
      </c>
    </row>
    <row r="1798" spans="1:97" x14ac:dyDescent="0.2">
      <c r="A1798" t="s">
        <v>4961</v>
      </c>
      <c r="B1798">
        <v>1896</v>
      </c>
      <c r="C1798" t="s">
        <v>4961</v>
      </c>
      <c r="D1798">
        <v>54896</v>
      </c>
      <c r="E1798" t="s">
        <v>4962</v>
      </c>
      <c r="F1798" t="s">
        <v>2364</v>
      </c>
      <c r="G1798" t="s">
        <v>2364</v>
      </c>
      <c r="H1798" t="s">
        <v>2365</v>
      </c>
      <c r="I1798" t="s">
        <v>2365</v>
      </c>
      <c r="J1798" t="s">
        <v>2365</v>
      </c>
      <c r="K1798" t="s">
        <v>2365</v>
      </c>
      <c r="L1798">
        <v>1200</v>
      </c>
      <c r="M1798" t="s">
        <v>1480</v>
      </c>
      <c r="N1798">
        <v>1204</v>
      </c>
      <c r="O1798" t="s">
        <v>1487</v>
      </c>
      <c r="P1798" t="s">
        <v>2366</v>
      </c>
      <c r="Q1798" t="s">
        <v>2364</v>
      </c>
      <c r="R1798" t="s">
        <v>2364</v>
      </c>
      <c r="S1798" t="s">
        <v>553</v>
      </c>
      <c r="T1798" t="s">
        <v>2367</v>
      </c>
      <c r="U1798">
        <v>360</v>
      </c>
      <c r="V1798" t="s">
        <v>2368</v>
      </c>
      <c r="W1798">
        <v>360</v>
      </c>
      <c r="X1798" t="s">
        <v>711</v>
      </c>
      <c r="Y1798" t="s">
        <v>2365</v>
      </c>
      <c r="Z1798" t="s">
        <v>2365</v>
      </c>
      <c r="AA1798" t="s">
        <v>2365</v>
      </c>
      <c r="AB1798" t="s">
        <v>2365</v>
      </c>
      <c r="AC1798" s="813" t="s">
        <v>2365</v>
      </c>
      <c r="AD1798" s="813" t="s">
        <v>2365</v>
      </c>
      <c r="AE1798" s="813" t="s">
        <v>2365</v>
      </c>
      <c r="AF1798" t="s">
        <v>2365</v>
      </c>
      <c r="AG1798" t="s">
        <v>2365</v>
      </c>
      <c r="AH1798" t="s">
        <v>2365</v>
      </c>
      <c r="AI1798" t="s">
        <v>2365</v>
      </c>
      <c r="AJ1798" t="s">
        <v>2365</v>
      </c>
      <c r="AK1798">
        <v>361</v>
      </c>
      <c r="AL1798" t="s">
        <v>1804</v>
      </c>
      <c r="AM1798">
        <v>361</v>
      </c>
      <c r="AN1798" t="s">
        <v>1804</v>
      </c>
      <c r="AR1798" t="s">
        <v>2365</v>
      </c>
      <c r="AS1798" t="s">
        <v>2365</v>
      </c>
      <c r="AT1798" t="s">
        <v>2365</v>
      </c>
      <c r="AU1798" t="s">
        <v>2365</v>
      </c>
      <c r="AV1798" t="s">
        <v>2365</v>
      </c>
      <c r="AW1798" t="s">
        <v>2365</v>
      </c>
      <c r="AX1798" t="s">
        <v>2365</v>
      </c>
      <c r="AY1798" t="s">
        <v>2365</v>
      </c>
      <c r="AZ1798" t="s">
        <v>2365</v>
      </c>
      <c r="BA1798" t="s">
        <v>2365</v>
      </c>
      <c r="BB1798" t="s">
        <v>2365</v>
      </c>
      <c r="BC1798" t="s">
        <v>2365</v>
      </c>
      <c r="BD1798" t="s">
        <v>2366</v>
      </c>
      <c r="BE1798" t="s">
        <v>2365</v>
      </c>
      <c r="BF1798" t="s">
        <v>2365</v>
      </c>
      <c r="BG1798" t="s">
        <v>2365</v>
      </c>
      <c r="BH1798" t="s">
        <v>2365</v>
      </c>
      <c r="BI1798" t="s">
        <v>2366</v>
      </c>
      <c r="BJ1798" t="s">
        <v>2365</v>
      </c>
      <c r="BK1798" t="s">
        <v>2365</v>
      </c>
      <c r="BL1798" t="s">
        <v>2365</v>
      </c>
      <c r="BM1798" t="s">
        <v>2365</v>
      </c>
      <c r="BO1798">
        <v>1</v>
      </c>
      <c r="BP1798">
        <v>11</v>
      </c>
      <c r="BQ1798" t="s">
        <v>2369</v>
      </c>
      <c r="BR1798" t="s">
        <v>1487</v>
      </c>
      <c r="BU1798">
        <v>0</v>
      </c>
      <c r="BV1798">
        <v>0</v>
      </c>
      <c r="BW1798">
        <v>0</v>
      </c>
      <c r="BX1798">
        <v>0</v>
      </c>
      <c r="BY1798">
        <v>0</v>
      </c>
      <c r="BZ1798">
        <v>0</v>
      </c>
      <c r="CA1798">
        <v>0</v>
      </c>
      <c r="CB1798">
        <v>0</v>
      </c>
      <c r="CC1798">
        <v>0</v>
      </c>
      <c r="CD1798">
        <v>0</v>
      </c>
      <c r="CE1798">
        <v>0</v>
      </c>
      <c r="CF1798">
        <v>0</v>
      </c>
      <c r="CG1798">
        <v>0</v>
      </c>
      <c r="CH1798">
        <v>0</v>
      </c>
      <c r="CI1798">
        <v>0</v>
      </c>
      <c r="CJ1798">
        <v>0</v>
      </c>
      <c r="CK1798">
        <v>0</v>
      </c>
      <c r="CL1798">
        <v>0</v>
      </c>
      <c r="CM1798">
        <v>0</v>
      </c>
      <c r="CR1798" t="s">
        <v>2327</v>
      </c>
      <c r="CS1798" s="1369" t="str">
        <f>INDEX([8]Sheet1!$H:$H,MATCH(CR:CR,[8]Sheet1!$AU:$AU,0))</f>
        <v>Education</v>
      </c>
    </row>
    <row r="1799" spans="1:97" x14ac:dyDescent="0.2">
      <c r="A1799" t="s">
        <v>4963</v>
      </c>
      <c r="B1799">
        <v>1897</v>
      </c>
      <c r="C1799" t="s">
        <v>4963</v>
      </c>
      <c r="D1799">
        <v>54897</v>
      </c>
      <c r="E1799" t="s">
        <v>4838</v>
      </c>
      <c r="F1799" t="s">
        <v>2364</v>
      </c>
      <c r="G1799" t="s">
        <v>2364</v>
      </c>
      <c r="H1799" t="s">
        <v>2365</v>
      </c>
      <c r="I1799" t="s">
        <v>2365</v>
      </c>
      <c r="J1799" t="s">
        <v>2365</v>
      </c>
      <c r="K1799" t="s">
        <v>2365</v>
      </c>
      <c r="L1799">
        <v>1200</v>
      </c>
      <c r="M1799" t="s">
        <v>1480</v>
      </c>
      <c r="N1799">
        <v>1204</v>
      </c>
      <c r="O1799" t="s">
        <v>1487</v>
      </c>
      <c r="P1799" t="s">
        <v>2366</v>
      </c>
      <c r="Q1799" t="s">
        <v>2364</v>
      </c>
      <c r="R1799" t="s">
        <v>2364</v>
      </c>
      <c r="S1799" t="s">
        <v>553</v>
      </c>
      <c r="T1799" t="s">
        <v>2367</v>
      </c>
      <c r="U1799">
        <v>360</v>
      </c>
      <c r="V1799" t="s">
        <v>2368</v>
      </c>
      <c r="W1799">
        <v>360</v>
      </c>
      <c r="X1799" t="s">
        <v>711</v>
      </c>
      <c r="Y1799" t="s">
        <v>2365</v>
      </c>
      <c r="Z1799" t="s">
        <v>2365</v>
      </c>
      <c r="AA1799" t="s">
        <v>2365</v>
      </c>
      <c r="AB1799" t="s">
        <v>2365</v>
      </c>
      <c r="AC1799" s="813" t="s">
        <v>2365</v>
      </c>
      <c r="AD1799" s="813" t="s">
        <v>2365</v>
      </c>
      <c r="AE1799" s="813" t="s">
        <v>2365</v>
      </c>
      <c r="AF1799" t="s">
        <v>2365</v>
      </c>
      <c r="AG1799" t="s">
        <v>2365</v>
      </c>
      <c r="AH1799" t="s">
        <v>2365</v>
      </c>
      <c r="AI1799" t="s">
        <v>2365</v>
      </c>
      <c r="AJ1799" t="s">
        <v>2365</v>
      </c>
      <c r="AK1799">
        <v>361</v>
      </c>
      <c r="AL1799" t="s">
        <v>1804</v>
      </c>
      <c r="AM1799">
        <v>361</v>
      </c>
      <c r="AN1799" t="s">
        <v>1804</v>
      </c>
      <c r="AR1799" t="s">
        <v>2365</v>
      </c>
      <c r="AS1799" t="s">
        <v>2365</v>
      </c>
      <c r="AT1799" t="s">
        <v>2365</v>
      </c>
      <c r="AU1799" t="s">
        <v>2365</v>
      </c>
      <c r="AV1799" t="s">
        <v>2365</v>
      </c>
      <c r="AW1799" t="s">
        <v>2365</v>
      </c>
      <c r="AX1799" t="s">
        <v>2365</v>
      </c>
      <c r="AY1799" t="s">
        <v>2365</v>
      </c>
      <c r="AZ1799" t="s">
        <v>2365</v>
      </c>
      <c r="BA1799" t="s">
        <v>2365</v>
      </c>
      <c r="BB1799" t="s">
        <v>2365</v>
      </c>
      <c r="BC1799" t="s">
        <v>2365</v>
      </c>
      <c r="BD1799" t="s">
        <v>2366</v>
      </c>
      <c r="BE1799" t="s">
        <v>2365</v>
      </c>
      <c r="BF1799" t="s">
        <v>2365</v>
      </c>
      <c r="BG1799" t="s">
        <v>2365</v>
      </c>
      <c r="BH1799" t="s">
        <v>2365</v>
      </c>
      <c r="BI1799" t="s">
        <v>2366</v>
      </c>
      <c r="BJ1799" t="s">
        <v>2365</v>
      </c>
      <c r="BK1799" t="s">
        <v>2365</v>
      </c>
      <c r="BL1799" t="s">
        <v>2365</v>
      </c>
      <c r="BM1799" t="s">
        <v>2365</v>
      </c>
      <c r="BO1799">
        <v>1</v>
      </c>
      <c r="BP1799">
        <v>11</v>
      </c>
      <c r="BQ1799" t="s">
        <v>2369</v>
      </c>
      <c r="BR1799" t="s">
        <v>1487</v>
      </c>
      <c r="BU1799">
        <v>0</v>
      </c>
      <c r="BV1799">
        <v>0</v>
      </c>
      <c r="BW1799">
        <v>0</v>
      </c>
      <c r="BX1799">
        <v>0</v>
      </c>
      <c r="BY1799">
        <v>0</v>
      </c>
      <c r="BZ1799">
        <v>0</v>
      </c>
      <c r="CA1799">
        <v>0</v>
      </c>
      <c r="CB1799">
        <v>0</v>
      </c>
      <c r="CC1799">
        <v>0</v>
      </c>
      <c r="CD1799">
        <v>0</v>
      </c>
      <c r="CE1799">
        <v>0</v>
      </c>
      <c r="CF1799">
        <v>0</v>
      </c>
      <c r="CG1799">
        <v>0</v>
      </c>
      <c r="CH1799">
        <v>0</v>
      </c>
      <c r="CI1799">
        <v>0</v>
      </c>
      <c r="CJ1799">
        <v>0</v>
      </c>
      <c r="CK1799">
        <v>0</v>
      </c>
      <c r="CL1799">
        <v>0</v>
      </c>
      <c r="CM1799">
        <v>0</v>
      </c>
      <c r="CR1799" t="s">
        <v>2327</v>
      </c>
      <c r="CS1799" s="1369" t="str">
        <f>INDEX([8]Sheet1!$H:$H,MATCH(CR:CR,[8]Sheet1!$AU:$AU,0))</f>
        <v>Education</v>
      </c>
    </row>
    <row r="1800" spans="1:97" x14ac:dyDescent="0.2">
      <c r="A1800" t="s">
        <v>4964</v>
      </c>
      <c r="B1800">
        <v>1898</v>
      </c>
      <c r="C1800" t="s">
        <v>4964</v>
      </c>
      <c r="D1800">
        <v>54898</v>
      </c>
      <c r="E1800" t="s">
        <v>4965</v>
      </c>
      <c r="F1800" t="s">
        <v>2364</v>
      </c>
      <c r="G1800" t="s">
        <v>2364</v>
      </c>
      <c r="H1800" t="s">
        <v>2365</v>
      </c>
      <c r="I1800" t="s">
        <v>2365</v>
      </c>
      <c r="J1800" t="s">
        <v>2365</v>
      </c>
      <c r="K1800" t="s">
        <v>2365</v>
      </c>
      <c r="L1800">
        <v>1200</v>
      </c>
      <c r="M1800" t="s">
        <v>1480</v>
      </c>
      <c r="N1800">
        <v>1204</v>
      </c>
      <c r="O1800" t="s">
        <v>1487</v>
      </c>
      <c r="P1800" t="s">
        <v>2366</v>
      </c>
      <c r="Q1800" t="s">
        <v>2364</v>
      </c>
      <c r="R1800" t="s">
        <v>2364</v>
      </c>
      <c r="S1800" t="s">
        <v>553</v>
      </c>
      <c r="T1800" t="s">
        <v>2367</v>
      </c>
      <c r="U1800">
        <v>360</v>
      </c>
      <c r="V1800" t="s">
        <v>2368</v>
      </c>
      <c r="W1800">
        <v>360</v>
      </c>
      <c r="X1800" t="s">
        <v>711</v>
      </c>
      <c r="Y1800" t="s">
        <v>2365</v>
      </c>
      <c r="Z1800" t="s">
        <v>2365</v>
      </c>
      <c r="AA1800" t="s">
        <v>2365</v>
      </c>
      <c r="AB1800" t="s">
        <v>2365</v>
      </c>
      <c r="AC1800" s="813" t="s">
        <v>2365</v>
      </c>
      <c r="AD1800" s="813" t="s">
        <v>2365</v>
      </c>
      <c r="AE1800" s="813" t="s">
        <v>2365</v>
      </c>
      <c r="AF1800" t="s">
        <v>2365</v>
      </c>
      <c r="AG1800" t="s">
        <v>2365</v>
      </c>
      <c r="AH1800" t="s">
        <v>2365</v>
      </c>
      <c r="AI1800" t="s">
        <v>2365</v>
      </c>
      <c r="AJ1800" t="s">
        <v>2365</v>
      </c>
      <c r="AK1800">
        <v>361</v>
      </c>
      <c r="AL1800" t="s">
        <v>1804</v>
      </c>
      <c r="AM1800">
        <v>361</v>
      </c>
      <c r="AN1800" t="s">
        <v>1804</v>
      </c>
      <c r="AR1800" t="s">
        <v>2365</v>
      </c>
      <c r="AS1800" t="s">
        <v>2365</v>
      </c>
      <c r="AT1800" t="s">
        <v>2365</v>
      </c>
      <c r="AU1800" t="s">
        <v>2365</v>
      </c>
      <c r="AV1800" t="s">
        <v>2365</v>
      </c>
      <c r="AW1800" t="s">
        <v>2365</v>
      </c>
      <c r="AX1800" t="s">
        <v>2365</v>
      </c>
      <c r="AY1800" t="s">
        <v>2365</v>
      </c>
      <c r="AZ1800" t="s">
        <v>2365</v>
      </c>
      <c r="BA1800" t="s">
        <v>2365</v>
      </c>
      <c r="BB1800" t="s">
        <v>2365</v>
      </c>
      <c r="BC1800" t="s">
        <v>2365</v>
      </c>
      <c r="BD1800" t="s">
        <v>2366</v>
      </c>
      <c r="BE1800" t="s">
        <v>2365</v>
      </c>
      <c r="BF1800" t="s">
        <v>2365</v>
      </c>
      <c r="BG1800" t="s">
        <v>2365</v>
      </c>
      <c r="BH1800" t="s">
        <v>2365</v>
      </c>
      <c r="BI1800" t="s">
        <v>2366</v>
      </c>
      <c r="BJ1800" t="s">
        <v>2365</v>
      </c>
      <c r="BK1800" t="s">
        <v>2365</v>
      </c>
      <c r="BL1800" t="s">
        <v>2365</v>
      </c>
      <c r="BM1800" t="s">
        <v>2365</v>
      </c>
      <c r="BO1800">
        <v>1</v>
      </c>
      <c r="BP1800">
        <v>11</v>
      </c>
      <c r="BQ1800" t="s">
        <v>2369</v>
      </c>
      <c r="BR1800" t="s">
        <v>1487</v>
      </c>
      <c r="BU1800">
        <v>0</v>
      </c>
      <c r="BV1800">
        <v>0</v>
      </c>
      <c r="BW1800">
        <v>0</v>
      </c>
      <c r="BX1800">
        <v>0</v>
      </c>
      <c r="BY1800">
        <v>0</v>
      </c>
      <c r="BZ1800">
        <v>0</v>
      </c>
      <c r="CA1800">
        <v>0</v>
      </c>
      <c r="CB1800">
        <v>0</v>
      </c>
      <c r="CC1800">
        <v>0</v>
      </c>
      <c r="CD1800">
        <v>0</v>
      </c>
      <c r="CE1800">
        <v>0</v>
      </c>
      <c r="CF1800">
        <v>0</v>
      </c>
      <c r="CG1800">
        <v>0</v>
      </c>
      <c r="CH1800">
        <v>0</v>
      </c>
      <c r="CI1800">
        <v>0</v>
      </c>
      <c r="CJ1800">
        <v>0</v>
      </c>
      <c r="CK1800">
        <v>0</v>
      </c>
      <c r="CL1800">
        <v>0</v>
      </c>
      <c r="CM1800">
        <v>0</v>
      </c>
      <c r="CR1800" t="s">
        <v>2327</v>
      </c>
      <c r="CS1800" s="1369" t="str">
        <f>INDEX([8]Sheet1!$H:$H,MATCH(CR:CR,[8]Sheet1!$AU:$AU,0))</f>
        <v>Education</v>
      </c>
    </row>
    <row r="1801" spans="1:97" x14ac:dyDescent="0.2">
      <c r="A1801" t="s">
        <v>4966</v>
      </c>
      <c r="B1801">
        <v>1899</v>
      </c>
      <c r="C1801" t="s">
        <v>4966</v>
      </c>
      <c r="D1801">
        <v>54899</v>
      </c>
      <c r="E1801" t="s">
        <v>4967</v>
      </c>
      <c r="F1801" t="s">
        <v>2364</v>
      </c>
      <c r="G1801" t="s">
        <v>2364</v>
      </c>
      <c r="H1801" t="s">
        <v>2365</v>
      </c>
      <c r="I1801" t="s">
        <v>2365</v>
      </c>
      <c r="J1801" t="s">
        <v>2365</v>
      </c>
      <c r="K1801" t="s">
        <v>2365</v>
      </c>
      <c r="L1801">
        <v>1200</v>
      </c>
      <c r="M1801" t="s">
        <v>1480</v>
      </c>
      <c r="N1801">
        <v>1204</v>
      </c>
      <c r="O1801" t="s">
        <v>1487</v>
      </c>
      <c r="P1801" t="s">
        <v>2366</v>
      </c>
      <c r="Q1801" t="s">
        <v>2364</v>
      </c>
      <c r="R1801" t="s">
        <v>2364</v>
      </c>
      <c r="S1801" t="s">
        <v>553</v>
      </c>
      <c r="T1801" t="s">
        <v>2367</v>
      </c>
      <c r="U1801">
        <v>360</v>
      </c>
      <c r="V1801" t="s">
        <v>2368</v>
      </c>
      <c r="W1801">
        <v>360</v>
      </c>
      <c r="X1801" t="s">
        <v>711</v>
      </c>
      <c r="Y1801" t="s">
        <v>2365</v>
      </c>
      <c r="Z1801" t="s">
        <v>2365</v>
      </c>
      <c r="AA1801" t="s">
        <v>2365</v>
      </c>
      <c r="AB1801" t="s">
        <v>2365</v>
      </c>
      <c r="AC1801" s="813" t="s">
        <v>2365</v>
      </c>
      <c r="AD1801" s="813" t="s">
        <v>2365</v>
      </c>
      <c r="AE1801" s="813" t="s">
        <v>2365</v>
      </c>
      <c r="AF1801" t="s">
        <v>2365</v>
      </c>
      <c r="AG1801" t="s">
        <v>2365</v>
      </c>
      <c r="AH1801" t="s">
        <v>2365</v>
      </c>
      <c r="AI1801" t="s">
        <v>2365</v>
      </c>
      <c r="AJ1801" t="s">
        <v>2365</v>
      </c>
      <c r="AK1801">
        <v>361</v>
      </c>
      <c r="AL1801" t="s">
        <v>1804</v>
      </c>
      <c r="AM1801">
        <v>361</v>
      </c>
      <c r="AN1801" t="s">
        <v>1804</v>
      </c>
      <c r="AR1801" t="s">
        <v>2365</v>
      </c>
      <c r="AS1801" t="s">
        <v>2365</v>
      </c>
      <c r="AT1801" t="s">
        <v>2365</v>
      </c>
      <c r="AU1801" t="s">
        <v>2365</v>
      </c>
      <c r="AV1801" t="s">
        <v>2365</v>
      </c>
      <c r="AW1801" t="s">
        <v>2365</v>
      </c>
      <c r="AX1801" t="s">
        <v>2365</v>
      </c>
      <c r="AY1801" t="s">
        <v>2365</v>
      </c>
      <c r="AZ1801" t="s">
        <v>2365</v>
      </c>
      <c r="BA1801" t="s">
        <v>2365</v>
      </c>
      <c r="BB1801" t="s">
        <v>2365</v>
      </c>
      <c r="BC1801" t="s">
        <v>2365</v>
      </c>
      <c r="BD1801" t="s">
        <v>2366</v>
      </c>
      <c r="BE1801" t="s">
        <v>2365</v>
      </c>
      <c r="BF1801" t="s">
        <v>2365</v>
      </c>
      <c r="BG1801" t="s">
        <v>2365</v>
      </c>
      <c r="BH1801" t="s">
        <v>2365</v>
      </c>
      <c r="BI1801" t="s">
        <v>2366</v>
      </c>
      <c r="BJ1801" t="s">
        <v>2365</v>
      </c>
      <c r="BK1801" t="s">
        <v>2365</v>
      </c>
      <c r="BL1801" t="s">
        <v>2365</v>
      </c>
      <c r="BM1801" t="s">
        <v>2365</v>
      </c>
      <c r="BO1801">
        <v>1</v>
      </c>
      <c r="BP1801">
        <v>11</v>
      </c>
      <c r="BQ1801" t="s">
        <v>2369</v>
      </c>
      <c r="BR1801" t="s">
        <v>1487</v>
      </c>
      <c r="BU1801">
        <v>0</v>
      </c>
      <c r="BV1801">
        <v>0</v>
      </c>
      <c r="BW1801">
        <v>0</v>
      </c>
      <c r="BX1801">
        <v>0</v>
      </c>
      <c r="BY1801">
        <v>0</v>
      </c>
      <c r="BZ1801">
        <v>0</v>
      </c>
      <c r="CA1801">
        <v>0</v>
      </c>
      <c r="CB1801">
        <v>0</v>
      </c>
      <c r="CC1801">
        <v>0</v>
      </c>
      <c r="CD1801">
        <v>0</v>
      </c>
      <c r="CE1801">
        <v>0</v>
      </c>
      <c r="CF1801">
        <v>0</v>
      </c>
      <c r="CG1801">
        <v>0</v>
      </c>
      <c r="CH1801">
        <v>0</v>
      </c>
      <c r="CI1801">
        <v>0</v>
      </c>
      <c r="CJ1801">
        <v>0</v>
      </c>
      <c r="CK1801">
        <v>0</v>
      </c>
      <c r="CL1801">
        <v>0</v>
      </c>
      <c r="CM1801">
        <v>0</v>
      </c>
      <c r="CR1801" t="s">
        <v>2327</v>
      </c>
      <c r="CS1801" s="1369" t="str">
        <f>INDEX([8]Sheet1!$H:$H,MATCH(CR:CR,[8]Sheet1!$AU:$AU,0))</f>
        <v>Education</v>
      </c>
    </row>
    <row r="1802" spans="1:97" x14ac:dyDescent="0.2">
      <c r="A1802" t="s">
        <v>4968</v>
      </c>
      <c r="B1802">
        <v>1900</v>
      </c>
      <c r="C1802" t="s">
        <v>4968</v>
      </c>
      <c r="D1802">
        <v>54900</v>
      </c>
      <c r="E1802" t="s">
        <v>2376</v>
      </c>
      <c r="F1802" t="s">
        <v>2364</v>
      </c>
      <c r="G1802" t="s">
        <v>2364</v>
      </c>
      <c r="H1802" t="s">
        <v>2365</v>
      </c>
      <c r="I1802" t="s">
        <v>2365</v>
      </c>
      <c r="J1802" t="s">
        <v>2365</v>
      </c>
      <c r="K1802" t="s">
        <v>2365</v>
      </c>
      <c r="L1802">
        <v>1200</v>
      </c>
      <c r="M1802" t="s">
        <v>1480</v>
      </c>
      <c r="N1802">
        <v>1204</v>
      </c>
      <c r="O1802" t="s">
        <v>1487</v>
      </c>
      <c r="P1802" t="s">
        <v>2366</v>
      </c>
      <c r="Q1802" t="s">
        <v>2364</v>
      </c>
      <c r="R1802" t="s">
        <v>2364</v>
      </c>
      <c r="S1802" t="s">
        <v>553</v>
      </c>
      <c r="T1802" t="s">
        <v>2367</v>
      </c>
      <c r="U1802">
        <v>360</v>
      </c>
      <c r="V1802" t="s">
        <v>2368</v>
      </c>
      <c r="W1802">
        <v>360</v>
      </c>
      <c r="X1802" t="s">
        <v>711</v>
      </c>
      <c r="Y1802" t="s">
        <v>2365</v>
      </c>
      <c r="Z1802" t="s">
        <v>2365</v>
      </c>
      <c r="AA1802" t="s">
        <v>2365</v>
      </c>
      <c r="AB1802" t="s">
        <v>2365</v>
      </c>
      <c r="AC1802" s="813" t="s">
        <v>2365</v>
      </c>
      <c r="AD1802" s="813" t="s">
        <v>2365</v>
      </c>
      <c r="AE1802" s="813" t="s">
        <v>2365</v>
      </c>
      <c r="AF1802" t="s">
        <v>2365</v>
      </c>
      <c r="AG1802" t="s">
        <v>2365</v>
      </c>
      <c r="AH1802" t="s">
        <v>2365</v>
      </c>
      <c r="AI1802" t="s">
        <v>2365</v>
      </c>
      <c r="AJ1802" t="s">
        <v>2365</v>
      </c>
      <c r="AK1802">
        <v>361</v>
      </c>
      <c r="AL1802" t="s">
        <v>1804</v>
      </c>
      <c r="AM1802">
        <v>361</v>
      </c>
      <c r="AN1802" t="s">
        <v>1804</v>
      </c>
      <c r="AR1802" t="s">
        <v>2365</v>
      </c>
      <c r="AS1802" t="s">
        <v>2365</v>
      </c>
      <c r="AT1802" t="s">
        <v>2365</v>
      </c>
      <c r="AU1802" t="s">
        <v>2365</v>
      </c>
      <c r="AV1802" t="s">
        <v>2365</v>
      </c>
      <c r="AW1802" t="s">
        <v>2365</v>
      </c>
      <c r="AX1802" t="s">
        <v>2365</v>
      </c>
      <c r="AY1802" t="s">
        <v>2365</v>
      </c>
      <c r="AZ1802" t="s">
        <v>2365</v>
      </c>
      <c r="BA1802" t="s">
        <v>2365</v>
      </c>
      <c r="BB1802" t="s">
        <v>2365</v>
      </c>
      <c r="BC1802" t="s">
        <v>2365</v>
      </c>
      <c r="BD1802" t="s">
        <v>2366</v>
      </c>
      <c r="BE1802" t="s">
        <v>2365</v>
      </c>
      <c r="BF1802" t="s">
        <v>2365</v>
      </c>
      <c r="BG1802" t="s">
        <v>2365</v>
      </c>
      <c r="BH1802" t="s">
        <v>2365</v>
      </c>
      <c r="BI1802" t="s">
        <v>2366</v>
      </c>
      <c r="BJ1802" t="s">
        <v>2365</v>
      </c>
      <c r="BK1802" t="s">
        <v>2365</v>
      </c>
      <c r="BL1802" t="s">
        <v>2365</v>
      </c>
      <c r="BM1802" t="s">
        <v>2365</v>
      </c>
      <c r="BO1802">
        <v>1</v>
      </c>
      <c r="BP1802">
        <v>11</v>
      </c>
      <c r="BQ1802" t="s">
        <v>2369</v>
      </c>
      <c r="BR1802" t="s">
        <v>1487</v>
      </c>
      <c r="BU1802">
        <v>0</v>
      </c>
      <c r="BV1802">
        <v>0</v>
      </c>
      <c r="BW1802">
        <v>0</v>
      </c>
      <c r="BX1802">
        <v>0</v>
      </c>
      <c r="BY1802">
        <v>0</v>
      </c>
      <c r="BZ1802">
        <v>0</v>
      </c>
      <c r="CA1802">
        <v>0</v>
      </c>
      <c r="CB1802">
        <v>0</v>
      </c>
      <c r="CC1802">
        <v>0</v>
      </c>
      <c r="CD1802">
        <v>0</v>
      </c>
      <c r="CE1802">
        <v>0</v>
      </c>
      <c r="CF1802">
        <v>0</v>
      </c>
      <c r="CG1802">
        <v>0</v>
      </c>
      <c r="CH1802">
        <v>0</v>
      </c>
      <c r="CI1802">
        <v>0</v>
      </c>
      <c r="CJ1802">
        <v>0</v>
      </c>
      <c r="CK1802">
        <v>0</v>
      </c>
      <c r="CL1802">
        <v>0</v>
      </c>
      <c r="CM1802">
        <v>0</v>
      </c>
      <c r="CR1802" t="s">
        <v>2327</v>
      </c>
      <c r="CS1802" s="1369" t="str">
        <f>INDEX([8]Sheet1!$H:$H,MATCH(CR:CR,[8]Sheet1!$AU:$AU,0))</f>
        <v>Education</v>
      </c>
    </row>
    <row r="1803" spans="1:97" x14ac:dyDescent="0.2">
      <c r="A1803" t="s">
        <v>4969</v>
      </c>
      <c r="B1803">
        <v>1901</v>
      </c>
      <c r="C1803" t="s">
        <v>4969</v>
      </c>
      <c r="D1803">
        <v>54901</v>
      </c>
      <c r="E1803" t="s">
        <v>4970</v>
      </c>
      <c r="F1803" t="s">
        <v>2364</v>
      </c>
      <c r="G1803" t="s">
        <v>2364</v>
      </c>
      <c r="H1803" t="s">
        <v>2365</v>
      </c>
      <c r="I1803" t="s">
        <v>2365</v>
      </c>
      <c r="J1803" t="s">
        <v>2365</v>
      </c>
      <c r="K1803" t="s">
        <v>2365</v>
      </c>
      <c r="L1803">
        <v>1200</v>
      </c>
      <c r="M1803" t="s">
        <v>1480</v>
      </c>
      <c r="N1803">
        <v>1204</v>
      </c>
      <c r="O1803" t="s">
        <v>1487</v>
      </c>
      <c r="P1803" t="s">
        <v>2366</v>
      </c>
      <c r="Q1803" t="s">
        <v>2364</v>
      </c>
      <c r="R1803" t="s">
        <v>2364</v>
      </c>
      <c r="S1803" t="s">
        <v>553</v>
      </c>
      <c r="T1803" t="s">
        <v>2367</v>
      </c>
      <c r="U1803">
        <v>360</v>
      </c>
      <c r="V1803" t="s">
        <v>2368</v>
      </c>
      <c r="W1803">
        <v>360</v>
      </c>
      <c r="X1803" t="s">
        <v>711</v>
      </c>
      <c r="Y1803" t="s">
        <v>2365</v>
      </c>
      <c r="Z1803" t="s">
        <v>2365</v>
      </c>
      <c r="AA1803" t="s">
        <v>2365</v>
      </c>
      <c r="AB1803" t="s">
        <v>2365</v>
      </c>
      <c r="AC1803" s="813" t="s">
        <v>2365</v>
      </c>
      <c r="AD1803" s="813" t="s">
        <v>2365</v>
      </c>
      <c r="AE1803" s="813" t="s">
        <v>2365</v>
      </c>
      <c r="AF1803" t="s">
        <v>2365</v>
      </c>
      <c r="AG1803" t="s">
        <v>2365</v>
      </c>
      <c r="AH1803" t="s">
        <v>2365</v>
      </c>
      <c r="AI1803" t="s">
        <v>2365</v>
      </c>
      <c r="AJ1803" t="s">
        <v>2365</v>
      </c>
      <c r="AK1803">
        <v>361</v>
      </c>
      <c r="AL1803" t="s">
        <v>1804</v>
      </c>
      <c r="AM1803">
        <v>361</v>
      </c>
      <c r="AN1803" t="s">
        <v>1804</v>
      </c>
      <c r="AR1803" t="s">
        <v>2365</v>
      </c>
      <c r="AS1803" t="s">
        <v>2365</v>
      </c>
      <c r="AT1803" t="s">
        <v>2365</v>
      </c>
      <c r="AU1803" t="s">
        <v>2365</v>
      </c>
      <c r="AV1803" t="s">
        <v>2365</v>
      </c>
      <c r="AW1803" t="s">
        <v>2365</v>
      </c>
      <c r="AX1803" t="s">
        <v>2365</v>
      </c>
      <c r="AY1803" t="s">
        <v>2365</v>
      </c>
      <c r="AZ1803" t="s">
        <v>2365</v>
      </c>
      <c r="BA1803" t="s">
        <v>2365</v>
      </c>
      <c r="BB1803" t="s">
        <v>2365</v>
      </c>
      <c r="BC1803" t="s">
        <v>2365</v>
      </c>
      <c r="BD1803" t="s">
        <v>2366</v>
      </c>
      <c r="BE1803" t="s">
        <v>2365</v>
      </c>
      <c r="BF1803" t="s">
        <v>2365</v>
      </c>
      <c r="BG1803" t="s">
        <v>2365</v>
      </c>
      <c r="BH1803" t="s">
        <v>2365</v>
      </c>
      <c r="BI1803" t="s">
        <v>2366</v>
      </c>
      <c r="BJ1803" t="s">
        <v>2365</v>
      </c>
      <c r="BK1803" t="s">
        <v>2365</v>
      </c>
      <c r="BL1803" t="s">
        <v>2365</v>
      </c>
      <c r="BM1803" t="s">
        <v>2365</v>
      </c>
      <c r="BO1803">
        <v>1</v>
      </c>
      <c r="BP1803">
        <v>11</v>
      </c>
      <c r="BQ1803" t="s">
        <v>2369</v>
      </c>
      <c r="BR1803" t="s">
        <v>1487</v>
      </c>
      <c r="BU1803">
        <v>0</v>
      </c>
      <c r="BV1803">
        <v>0</v>
      </c>
      <c r="BW1803">
        <v>0</v>
      </c>
      <c r="BX1803">
        <v>0</v>
      </c>
      <c r="BY1803">
        <v>0</v>
      </c>
      <c r="BZ1803">
        <v>0</v>
      </c>
      <c r="CA1803">
        <v>0</v>
      </c>
      <c r="CB1803">
        <v>0</v>
      </c>
      <c r="CC1803">
        <v>0</v>
      </c>
      <c r="CD1803">
        <v>0</v>
      </c>
      <c r="CE1803">
        <v>0</v>
      </c>
      <c r="CF1803">
        <v>0</v>
      </c>
      <c r="CG1803">
        <v>0</v>
      </c>
      <c r="CH1803">
        <v>0</v>
      </c>
      <c r="CI1803">
        <v>0</v>
      </c>
      <c r="CJ1803">
        <v>0</v>
      </c>
      <c r="CK1803">
        <v>0</v>
      </c>
      <c r="CL1803">
        <v>0</v>
      </c>
      <c r="CM1803">
        <v>0</v>
      </c>
      <c r="CR1803" t="s">
        <v>2327</v>
      </c>
      <c r="CS1803" s="1369" t="str">
        <f>INDEX([8]Sheet1!$H:$H,MATCH(CR:CR,[8]Sheet1!$AU:$AU,0))</f>
        <v>Education</v>
      </c>
    </row>
    <row r="1804" spans="1:97" x14ac:dyDescent="0.2">
      <c r="A1804" t="s">
        <v>4971</v>
      </c>
      <c r="B1804">
        <v>1902</v>
      </c>
      <c r="C1804" t="s">
        <v>4971</v>
      </c>
      <c r="D1804">
        <v>54902</v>
      </c>
      <c r="E1804" t="s">
        <v>4972</v>
      </c>
      <c r="F1804" t="s">
        <v>2364</v>
      </c>
      <c r="G1804" t="s">
        <v>2364</v>
      </c>
      <c r="H1804" t="s">
        <v>2365</v>
      </c>
      <c r="I1804" t="s">
        <v>2365</v>
      </c>
      <c r="J1804" t="s">
        <v>2365</v>
      </c>
      <c r="K1804" t="s">
        <v>2365</v>
      </c>
      <c r="L1804">
        <v>1200</v>
      </c>
      <c r="M1804" t="s">
        <v>1480</v>
      </c>
      <c r="N1804">
        <v>1204</v>
      </c>
      <c r="O1804" t="s">
        <v>1487</v>
      </c>
      <c r="P1804" t="s">
        <v>2366</v>
      </c>
      <c r="Q1804" t="s">
        <v>2364</v>
      </c>
      <c r="R1804" t="s">
        <v>2364</v>
      </c>
      <c r="S1804" t="s">
        <v>553</v>
      </c>
      <c r="T1804" t="s">
        <v>2367</v>
      </c>
      <c r="U1804">
        <v>360</v>
      </c>
      <c r="V1804" t="s">
        <v>2368</v>
      </c>
      <c r="W1804">
        <v>360</v>
      </c>
      <c r="X1804" t="s">
        <v>711</v>
      </c>
      <c r="Y1804" t="s">
        <v>2365</v>
      </c>
      <c r="Z1804" t="s">
        <v>2365</v>
      </c>
      <c r="AA1804" t="s">
        <v>2365</v>
      </c>
      <c r="AB1804" t="s">
        <v>2365</v>
      </c>
      <c r="AC1804" s="813" t="s">
        <v>2365</v>
      </c>
      <c r="AD1804" s="813" t="s">
        <v>2365</v>
      </c>
      <c r="AE1804" s="813" t="s">
        <v>2365</v>
      </c>
      <c r="AF1804" t="s">
        <v>2365</v>
      </c>
      <c r="AG1804" t="s">
        <v>2365</v>
      </c>
      <c r="AH1804" t="s">
        <v>2365</v>
      </c>
      <c r="AI1804" t="s">
        <v>2365</v>
      </c>
      <c r="AJ1804" t="s">
        <v>2365</v>
      </c>
      <c r="AK1804">
        <v>361</v>
      </c>
      <c r="AL1804" t="s">
        <v>1804</v>
      </c>
      <c r="AM1804">
        <v>361</v>
      </c>
      <c r="AN1804" t="s">
        <v>1804</v>
      </c>
      <c r="AR1804" t="s">
        <v>2365</v>
      </c>
      <c r="AS1804" t="s">
        <v>2365</v>
      </c>
      <c r="AT1804" t="s">
        <v>2365</v>
      </c>
      <c r="AU1804" t="s">
        <v>2365</v>
      </c>
      <c r="AV1804" t="s">
        <v>2365</v>
      </c>
      <c r="AW1804" t="s">
        <v>2365</v>
      </c>
      <c r="AX1804" t="s">
        <v>2365</v>
      </c>
      <c r="AY1804" t="s">
        <v>2365</v>
      </c>
      <c r="AZ1804" t="s">
        <v>2365</v>
      </c>
      <c r="BA1804" t="s">
        <v>2365</v>
      </c>
      <c r="BB1804" t="s">
        <v>2365</v>
      </c>
      <c r="BC1804" t="s">
        <v>2365</v>
      </c>
      <c r="BD1804" t="s">
        <v>2366</v>
      </c>
      <c r="BE1804" t="s">
        <v>2365</v>
      </c>
      <c r="BF1804" t="s">
        <v>2365</v>
      </c>
      <c r="BG1804" t="s">
        <v>2365</v>
      </c>
      <c r="BH1804" t="s">
        <v>2365</v>
      </c>
      <c r="BI1804" t="s">
        <v>2366</v>
      </c>
      <c r="BJ1804" t="s">
        <v>2365</v>
      </c>
      <c r="BK1804" t="s">
        <v>2365</v>
      </c>
      <c r="BL1804" t="s">
        <v>2365</v>
      </c>
      <c r="BM1804" t="s">
        <v>2365</v>
      </c>
      <c r="BO1804">
        <v>1</v>
      </c>
      <c r="BP1804">
        <v>11</v>
      </c>
      <c r="BQ1804" t="s">
        <v>2369</v>
      </c>
      <c r="BR1804" t="s">
        <v>1487</v>
      </c>
      <c r="BU1804">
        <v>0</v>
      </c>
      <c r="BV1804">
        <v>0</v>
      </c>
      <c r="BW1804">
        <v>0</v>
      </c>
      <c r="BX1804">
        <v>0</v>
      </c>
      <c r="BY1804">
        <v>0</v>
      </c>
      <c r="BZ1804">
        <v>0</v>
      </c>
      <c r="CA1804">
        <v>0</v>
      </c>
      <c r="CB1804">
        <v>0</v>
      </c>
      <c r="CC1804">
        <v>0</v>
      </c>
      <c r="CD1804">
        <v>0</v>
      </c>
      <c r="CE1804">
        <v>0</v>
      </c>
      <c r="CF1804">
        <v>0</v>
      </c>
      <c r="CG1804">
        <v>0</v>
      </c>
      <c r="CH1804">
        <v>0</v>
      </c>
      <c r="CI1804">
        <v>0</v>
      </c>
      <c r="CJ1804">
        <v>0</v>
      </c>
      <c r="CK1804">
        <v>0</v>
      </c>
      <c r="CL1804">
        <v>0</v>
      </c>
      <c r="CM1804">
        <v>0</v>
      </c>
      <c r="CR1804" t="s">
        <v>2327</v>
      </c>
      <c r="CS1804" s="1369" t="str">
        <f>INDEX([8]Sheet1!$H:$H,MATCH(CR:CR,[8]Sheet1!$AU:$AU,0))</f>
        <v>Education</v>
      </c>
    </row>
    <row r="1805" spans="1:97" x14ac:dyDescent="0.2">
      <c r="A1805" t="s">
        <v>4973</v>
      </c>
      <c r="B1805">
        <v>1903</v>
      </c>
      <c r="C1805" t="s">
        <v>4973</v>
      </c>
      <c r="D1805">
        <v>54903</v>
      </c>
      <c r="E1805" t="s">
        <v>4974</v>
      </c>
      <c r="F1805" t="s">
        <v>2364</v>
      </c>
      <c r="G1805" t="s">
        <v>2364</v>
      </c>
      <c r="H1805" t="s">
        <v>2365</v>
      </c>
      <c r="I1805" t="s">
        <v>2365</v>
      </c>
      <c r="J1805" t="s">
        <v>2365</v>
      </c>
      <c r="K1805" t="s">
        <v>2365</v>
      </c>
      <c r="L1805">
        <v>1200</v>
      </c>
      <c r="M1805" t="s">
        <v>1480</v>
      </c>
      <c r="N1805">
        <v>1204</v>
      </c>
      <c r="O1805" t="s">
        <v>1487</v>
      </c>
      <c r="P1805" t="s">
        <v>2366</v>
      </c>
      <c r="Q1805" t="s">
        <v>2364</v>
      </c>
      <c r="R1805" t="s">
        <v>2364</v>
      </c>
      <c r="S1805" t="s">
        <v>553</v>
      </c>
      <c r="T1805" t="s">
        <v>2367</v>
      </c>
      <c r="U1805">
        <v>360</v>
      </c>
      <c r="V1805" t="s">
        <v>2368</v>
      </c>
      <c r="W1805">
        <v>360</v>
      </c>
      <c r="X1805" t="s">
        <v>711</v>
      </c>
      <c r="Y1805" t="s">
        <v>2365</v>
      </c>
      <c r="Z1805" t="s">
        <v>2365</v>
      </c>
      <c r="AA1805" t="s">
        <v>2365</v>
      </c>
      <c r="AB1805" t="s">
        <v>2365</v>
      </c>
      <c r="AC1805" s="813" t="s">
        <v>2365</v>
      </c>
      <c r="AD1805" s="813" t="s">
        <v>2365</v>
      </c>
      <c r="AE1805" s="813" t="s">
        <v>2365</v>
      </c>
      <c r="AF1805" t="s">
        <v>2365</v>
      </c>
      <c r="AG1805" t="s">
        <v>2365</v>
      </c>
      <c r="AH1805" t="s">
        <v>2365</v>
      </c>
      <c r="AI1805" t="s">
        <v>2365</v>
      </c>
      <c r="AJ1805" t="s">
        <v>2365</v>
      </c>
      <c r="AK1805">
        <v>361</v>
      </c>
      <c r="AL1805" t="s">
        <v>1804</v>
      </c>
      <c r="AM1805">
        <v>361</v>
      </c>
      <c r="AN1805" t="s">
        <v>1804</v>
      </c>
      <c r="AR1805" t="s">
        <v>2365</v>
      </c>
      <c r="AS1805" t="s">
        <v>2365</v>
      </c>
      <c r="AT1805" t="s">
        <v>2365</v>
      </c>
      <c r="AU1805" t="s">
        <v>2365</v>
      </c>
      <c r="AV1805" t="s">
        <v>2365</v>
      </c>
      <c r="AW1805" t="s">
        <v>2365</v>
      </c>
      <c r="AX1805" t="s">
        <v>2365</v>
      </c>
      <c r="AY1805" t="s">
        <v>2365</v>
      </c>
      <c r="AZ1805" t="s">
        <v>2365</v>
      </c>
      <c r="BA1805" t="s">
        <v>2365</v>
      </c>
      <c r="BB1805" t="s">
        <v>2365</v>
      </c>
      <c r="BC1805" t="s">
        <v>2365</v>
      </c>
      <c r="BD1805" t="s">
        <v>2366</v>
      </c>
      <c r="BE1805" t="s">
        <v>2365</v>
      </c>
      <c r="BF1805" t="s">
        <v>2365</v>
      </c>
      <c r="BG1805" t="s">
        <v>2365</v>
      </c>
      <c r="BH1805" t="s">
        <v>2365</v>
      </c>
      <c r="BI1805" t="s">
        <v>2366</v>
      </c>
      <c r="BJ1805" t="s">
        <v>2365</v>
      </c>
      <c r="BK1805" t="s">
        <v>2365</v>
      </c>
      <c r="BL1805" t="s">
        <v>2365</v>
      </c>
      <c r="BM1805" t="s">
        <v>2365</v>
      </c>
      <c r="BO1805">
        <v>1</v>
      </c>
      <c r="BP1805">
        <v>11</v>
      </c>
      <c r="BQ1805" t="s">
        <v>2369</v>
      </c>
      <c r="BR1805" t="s">
        <v>1487</v>
      </c>
      <c r="BU1805">
        <v>0</v>
      </c>
      <c r="BV1805">
        <v>0</v>
      </c>
      <c r="BW1805">
        <v>0</v>
      </c>
      <c r="BX1805">
        <v>0</v>
      </c>
      <c r="BY1805">
        <v>0</v>
      </c>
      <c r="BZ1805">
        <v>0</v>
      </c>
      <c r="CA1805">
        <v>0</v>
      </c>
      <c r="CB1805">
        <v>0</v>
      </c>
      <c r="CC1805">
        <v>0</v>
      </c>
      <c r="CD1805">
        <v>0</v>
      </c>
      <c r="CE1805">
        <v>0</v>
      </c>
      <c r="CF1805">
        <v>0</v>
      </c>
      <c r="CG1805">
        <v>0</v>
      </c>
      <c r="CH1805">
        <v>0</v>
      </c>
      <c r="CI1805">
        <v>0</v>
      </c>
      <c r="CJ1805">
        <v>0</v>
      </c>
      <c r="CK1805">
        <v>0</v>
      </c>
      <c r="CL1805">
        <v>0</v>
      </c>
      <c r="CM1805">
        <v>0</v>
      </c>
      <c r="CR1805" t="s">
        <v>2327</v>
      </c>
      <c r="CS1805" s="1369" t="str">
        <f>INDEX([8]Sheet1!$H:$H,MATCH(CR:CR,[8]Sheet1!$AU:$AU,0))</f>
        <v>Education</v>
      </c>
    </row>
    <row r="1806" spans="1:97" x14ac:dyDescent="0.2">
      <c r="A1806" t="s">
        <v>4975</v>
      </c>
      <c r="B1806">
        <v>1904</v>
      </c>
      <c r="C1806" t="s">
        <v>4975</v>
      </c>
      <c r="D1806">
        <v>54904</v>
      </c>
      <c r="E1806" t="s">
        <v>4976</v>
      </c>
      <c r="F1806" t="s">
        <v>2364</v>
      </c>
      <c r="G1806" t="s">
        <v>2364</v>
      </c>
      <c r="H1806" t="s">
        <v>2365</v>
      </c>
      <c r="I1806" t="s">
        <v>2365</v>
      </c>
      <c r="J1806" t="s">
        <v>2365</v>
      </c>
      <c r="K1806" t="s">
        <v>2365</v>
      </c>
      <c r="L1806">
        <v>1200</v>
      </c>
      <c r="M1806" t="s">
        <v>1480</v>
      </c>
      <c r="N1806">
        <v>1204</v>
      </c>
      <c r="O1806" t="s">
        <v>1487</v>
      </c>
      <c r="P1806" t="s">
        <v>2366</v>
      </c>
      <c r="Q1806" t="s">
        <v>2364</v>
      </c>
      <c r="R1806" t="s">
        <v>2364</v>
      </c>
      <c r="S1806" t="s">
        <v>553</v>
      </c>
      <c r="T1806" t="s">
        <v>2367</v>
      </c>
      <c r="U1806">
        <v>360</v>
      </c>
      <c r="V1806" t="s">
        <v>2368</v>
      </c>
      <c r="W1806">
        <v>360</v>
      </c>
      <c r="X1806" t="s">
        <v>711</v>
      </c>
      <c r="Y1806" t="s">
        <v>2365</v>
      </c>
      <c r="Z1806" t="s">
        <v>2365</v>
      </c>
      <c r="AA1806" t="s">
        <v>2365</v>
      </c>
      <c r="AB1806" t="s">
        <v>2365</v>
      </c>
      <c r="AC1806" s="813" t="s">
        <v>2365</v>
      </c>
      <c r="AD1806" s="813" t="s">
        <v>2365</v>
      </c>
      <c r="AE1806" s="813" t="s">
        <v>2365</v>
      </c>
      <c r="AF1806" t="s">
        <v>2365</v>
      </c>
      <c r="AG1806" t="s">
        <v>2365</v>
      </c>
      <c r="AH1806" t="s">
        <v>2365</v>
      </c>
      <c r="AI1806" t="s">
        <v>2365</v>
      </c>
      <c r="AJ1806" t="s">
        <v>2365</v>
      </c>
      <c r="AK1806">
        <v>361</v>
      </c>
      <c r="AL1806" t="s">
        <v>1804</v>
      </c>
      <c r="AM1806">
        <v>361</v>
      </c>
      <c r="AN1806" t="s">
        <v>1804</v>
      </c>
      <c r="AR1806" t="s">
        <v>2365</v>
      </c>
      <c r="AS1806" t="s">
        <v>2365</v>
      </c>
      <c r="AT1806" t="s">
        <v>2365</v>
      </c>
      <c r="AU1806" t="s">
        <v>2365</v>
      </c>
      <c r="AV1806" t="s">
        <v>2365</v>
      </c>
      <c r="AW1806" t="s">
        <v>2365</v>
      </c>
      <c r="AX1806" t="s">
        <v>2365</v>
      </c>
      <c r="AY1806" t="s">
        <v>2365</v>
      </c>
      <c r="AZ1806" t="s">
        <v>2365</v>
      </c>
      <c r="BA1806" t="s">
        <v>2365</v>
      </c>
      <c r="BB1806" t="s">
        <v>2365</v>
      </c>
      <c r="BC1806" t="s">
        <v>2365</v>
      </c>
      <c r="BD1806" t="s">
        <v>2366</v>
      </c>
      <c r="BE1806" t="s">
        <v>2365</v>
      </c>
      <c r="BF1806" t="s">
        <v>2365</v>
      </c>
      <c r="BG1806" t="s">
        <v>2365</v>
      </c>
      <c r="BH1806" t="s">
        <v>2365</v>
      </c>
      <c r="BI1806" t="s">
        <v>2366</v>
      </c>
      <c r="BJ1806" t="s">
        <v>2365</v>
      </c>
      <c r="BK1806" t="s">
        <v>2365</v>
      </c>
      <c r="BL1806" t="s">
        <v>2365</v>
      </c>
      <c r="BM1806" t="s">
        <v>2365</v>
      </c>
      <c r="BO1806">
        <v>1</v>
      </c>
      <c r="BP1806">
        <v>11</v>
      </c>
      <c r="BQ1806" t="s">
        <v>2369</v>
      </c>
      <c r="BR1806" t="s">
        <v>1487</v>
      </c>
      <c r="BU1806">
        <v>0</v>
      </c>
      <c r="BV1806">
        <v>0</v>
      </c>
      <c r="BW1806">
        <v>0</v>
      </c>
      <c r="BX1806">
        <v>0</v>
      </c>
      <c r="BY1806">
        <v>0</v>
      </c>
      <c r="BZ1806">
        <v>0</v>
      </c>
      <c r="CA1806">
        <v>0</v>
      </c>
      <c r="CB1806">
        <v>0</v>
      </c>
      <c r="CC1806">
        <v>0</v>
      </c>
      <c r="CD1806">
        <v>0</v>
      </c>
      <c r="CE1806">
        <v>0</v>
      </c>
      <c r="CF1806">
        <v>0</v>
      </c>
      <c r="CG1806">
        <v>0</v>
      </c>
      <c r="CH1806">
        <v>0</v>
      </c>
      <c r="CI1806">
        <v>0</v>
      </c>
      <c r="CJ1806">
        <v>0</v>
      </c>
      <c r="CK1806">
        <v>0</v>
      </c>
      <c r="CL1806">
        <v>0</v>
      </c>
      <c r="CM1806">
        <v>0</v>
      </c>
      <c r="CR1806" t="s">
        <v>2328</v>
      </c>
      <c r="CS1806" s="1369" t="str">
        <f>INDEX([8]Sheet1!$H:$H,MATCH(CR:CR,[8]Sheet1!$AU:$AU,0))</f>
        <v>Water Distribution</v>
      </c>
    </row>
    <row r="1807" spans="1:97" x14ac:dyDescent="0.2">
      <c r="A1807" t="s">
        <v>4977</v>
      </c>
      <c r="B1807">
        <v>1905</v>
      </c>
      <c r="C1807" t="s">
        <v>4977</v>
      </c>
      <c r="D1807">
        <v>54905</v>
      </c>
      <c r="E1807" t="s">
        <v>4978</v>
      </c>
      <c r="F1807" t="s">
        <v>2364</v>
      </c>
      <c r="G1807" t="s">
        <v>2364</v>
      </c>
      <c r="H1807" t="s">
        <v>2365</v>
      </c>
      <c r="I1807" t="s">
        <v>2365</v>
      </c>
      <c r="J1807" t="s">
        <v>2365</v>
      </c>
      <c r="K1807" t="s">
        <v>2365</v>
      </c>
      <c r="L1807">
        <v>1200</v>
      </c>
      <c r="M1807" t="s">
        <v>1480</v>
      </c>
      <c r="N1807">
        <v>1204</v>
      </c>
      <c r="O1807" t="s">
        <v>1487</v>
      </c>
      <c r="P1807" t="s">
        <v>2366</v>
      </c>
      <c r="Q1807" t="s">
        <v>2364</v>
      </c>
      <c r="R1807" t="s">
        <v>2364</v>
      </c>
      <c r="S1807" t="s">
        <v>553</v>
      </c>
      <c r="T1807" t="s">
        <v>2367</v>
      </c>
      <c r="U1807">
        <v>360</v>
      </c>
      <c r="V1807" t="s">
        <v>2368</v>
      </c>
      <c r="W1807">
        <v>360</v>
      </c>
      <c r="X1807" t="s">
        <v>711</v>
      </c>
      <c r="Y1807" t="s">
        <v>2365</v>
      </c>
      <c r="Z1807" t="s">
        <v>2365</v>
      </c>
      <c r="AA1807" t="s">
        <v>2365</v>
      </c>
      <c r="AB1807" t="s">
        <v>2365</v>
      </c>
      <c r="AC1807" s="813" t="s">
        <v>2365</v>
      </c>
      <c r="AD1807" s="813" t="s">
        <v>2365</v>
      </c>
      <c r="AE1807" s="813" t="s">
        <v>2365</v>
      </c>
      <c r="AF1807" t="s">
        <v>2365</v>
      </c>
      <c r="AG1807" t="s">
        <v>2365</v>
      </c>
      <c r="AH1807" t="s">
        <v>2365</v>
      </c>
      <c r="AI1807" t="s">
        <v>2365</v>
      </c>
      <c r="AJ1807" t="s">
        <v>2365</v>
      </c>
      <c r="AK1807" s="1373">
        <v>361</v>
      </c>
      <c r="AL1807" t="s">
        <v>1804</v>
      </c>
      <c r="AM1807">
        <v>361</v>
      </c>
      <c r="AN1807" t="s">
        <v>1804</v>
      </c>
      <c r="AR1807" t="s">
        <v>2365</v>
      </c>
      <c r="AS1807" t="s">
        <v>2365</v>
      </c>
      <c r="AT1807" t="s">
        <v>2365</v>
      </c>
      <c r="AU1807" t="s">
        <v>2365</v>
      </c>
      <c r="AV1807" t="s">
        <v>2365</v>
      </c>
      <c r="AW1807" t="s">
        <v>2365</v>
      </c>
      <c r="AX1807" t="s">
        <v>2365</v>
      </c>
      <c r="AY1807" t="s">
        <v>2365</v>
      </c>
      <c r="AZ1807" t="s">
        <v>2365</v>
      </c>
      <c r="BA1807" t="s">
        <v>2365</v>
      </c>
      <c r="BB1807" t="s">
        <v>2365</v>
      </c>
      <c r="BC1807" t="s">
        <v>2365</v>
      </c>
      <c r="BD1807" t="s">
        <v>2366</v>
      </c>
      <c r="BE1807" t="s">
        <v>2365</v>
      </c>
      <c r="BF1807" t="s">
        <v>2365</v>
      </c>
      <c r="BG1807" t="s">
        <v>2365</v>
      </c>
      <c r="BH1807" t="s">
        <v>2365</v>
      </c>
      <c r="BI1807" t="s">
        <v>2366</v>
      </c>
      <c r="BJ1807" t="s">
        <v>2365</v>
      </c>
      <c r="BK1807" t="s">
        <v>2365</v>
      </c>
      <c r="BL1807" t="s">
        <v>2365</v>
      </c>
      <c r="BM1807" t="s">
        <v>2365</v>
      </c>
      <c r="BO1807">
        <v>1</v>
      </c>
      <c r="BP1807">
        <v>11</v>
      </c>
      <c r="BQ1807" t="s">
        <v>2369</v>
      </c>
      <c r="BR1807" t="s">
        <v>1487</v>
      </c>
      <c r="BU1807">
        <v>0</v>
      </c>
      <c r="BV1807">
        <v>0</v>
      </c>
      <c r="BW1807">
        <v>0</v>
      </c>
      <c r="BX1807">
        <v>0</v>
      </c>
      <c r="BY1807">
        <v>0</v>
      </c>
      <c r="BZ1807">
        <v>0</v>
      </c>
      <c r="CA1807">
        <v>0</v>
      </c>
      <c r="CB1807">
        <v>0</v>
      </c>
      <c r="CC1807">
        <v>0</v>
      </c>
      <c r="CD1807">
        <v>0</v>
      </c>
      <c r="CE1807">
        <v>0</v>
      </c>
      <c r="CF1807">
        <v>0</v>
      </c>
      <c r="CG1807">
        <v>0</v>
      </c>
      <c r="CH1807">
        <v>0</v>
      </c>
      <c r="CI1807">
        <v>0</v>
      </c>
      <c r="CJ1807">
        <v>0</v>
      </c>
      <c r="CK1807">
        <v>0</v>
      </c>
      <c r="CL1807">
        <v>0</v>
      </c>
      <c r="CM1807">
        <v>0</v>
      </c>
      <c r="CR1807" t="s">
        <v>2328</v>
      </c>
      <c r="CS1807" s="1369" t="str">
        <f>INDEX([8]Sheet1!$H:$H,MATCH(CR:CR,[8]Sheet1!$AU:$AU,0))</f>
        <v>Water Distribution</v>
      </c>
    </row>
    <row r="1808" spans="1:97" x14ac:dyDescent="0.2">
      <c r="A1808" t="s">
        <v>4979</v>
      </c>
      <c r="B1808">
        <v>1906</v>
      </c>
      <c r="C1808" t="s">
        <v>4979</v>
      </c>
      <c r="D1808">
        <v>54906</v>
      </c>
      <c r="E1808" t="s">
        <v>4980</v>
      </c>
      <c r="F1808" t="s">
        <v>2364</v>
      </c>
      <c r="G1808" t="s">
        <v>2364</v>
      </c>
      <c r="H1808" t="s">
        <v>2365</v>
      </c>
      <c r="I1808" t="s">
        <v>2365</v>
      </c>
      <c r="J1808" t="s">
        <v>2365</v>
      </c>
      <c r="K1808" t="s">
        <v>2365</v>
      </c>
      <c r="L1808">
        <v>1200</v>
      </c>
      <c r="M1808" t="s">
        <v>1480</v>
      </c>
      <c r="N1808">
        <v>1204</v>
      </c>
      <c r="O1808" t="s">
        <v>1487</v>
      </c>
      <c r="P1808" t="s">
        <v>2366</v>
      </c>
      <c r="Q1808" t="s">
        <v>2364</v>
      </c>
      <c r="R1808" t="s">
        <v>2364</v>
      </c>
      <c r="S1808" t="s">
        <v>553</v>
      </c>
      <c r="T1808" t="s">
        <v>2367</v>
      </c>
      <c r="U1808">
        <v>360</v>
      </c>
      <c r="V1808" t="s">
        <v>2368</v>
      </c>
      <c r="W1808">
        <v>360</v>
      </c>
      <c r="X1808" t="s">
        <v>711</v>
      </c>
      <c r="Y1808" t="s">
        <v>2365</v>
      </c>
      <c r="Z1808" t="s">
        <v>2365</v>
      </c>
      <c r="AA1808" t="s">
        <v>2365</v>
      </c>
      <c r="AB1808" t="s">
        <v>2365</v>
      </c>
      <c r="AC1808" s="813" t="s">
        <v>2365</v>
      </c>
      <c r="AD1808" s="813" t="s">
        <v>2365</v>
      </c>
      <c r="AE1808" s="813" t="s">
        <v>2365</v>
      </c>
      <c r="AF1808" t="s">
        <v>2365</v>
      </c>
      <c r="AG1808" t="s">
        <v>2365</v>
      </c>
      <c r="AH1808" t="s">
        <v>2365</v>
      </c>
      <c r="AI1808" t="s">
        <v>2365</v>
      </c>
      <c r="AJ1808" t="s">
        <v>2365</v>
      </c>
      <c r="AK1808">
        <v>361</v>
      </c>
      <c r="AL1808" t="s">
        <v>1804</v>
      </c>
      <c r="AM1808">
        <v>361</v>
      </c>
      <c r="AN1808" t="s">
        <v>1804</v>
      </c>
      <c r="AR1808" t="s">
        <v>2365</v>
      </c>
      <c r="AS1808" t="s">
        <v>2365</v>
      </c>
      <c r="AT1808" t="s">
        <v>2365</v>
      </c>
      <c r="AU1808" t="s">
        <v>2365</v>
      </c>
      <c r="AV1808" t="s">
        <v>2365</v>
      </c>
      <c r="AW1808" t="s">
        <v>2365</v>
      </c>
      <c r="AX1808" t="s">
        <v>2365</v>
      </c>
      <c r="AY1808" t="s">
        <v>2365</v>
      </c>
      <c r="AZ1808" t="s">
        <v>2365</v>
      </c>
      <c r="BA1808" t="s">
        <v>2365</v>
      </c>
      <c r="BB1808" t="s">
        <v>2365</v>
      </c>
      <c r="BC1808" t="s">
        <v>2365</v>
      </c>
      <c r="BD1808" t="s">
        <v>2366</v>
      </c>
      <c r="BE1808" t="s">
        <v>2365</v>
      </c>
      <c r="BF1808" t="s">
        <v>2365</v>
      </c>
      <c r="BG1808" t="s">
        <v>2365</v>
      </c>
      <c r="BH1808" t="s">
        <v>2365</v>
      </c>
      <c r="BI1808" t="s">
        <v>2366</v>
      </c>
      <c r="BJ1808" t="s">
        <v>2365</v>
      </c>
      <c r="BK1808" t="s">
        <v>2365</v>
      </c>
      <c r="BL1808" t="s">
        <v>2365</v>
      </c>
      <c r="BM1808" t="s">
        <v>2365</v>
      </c>
      <c r="BO1808">
        <v>1</v>
      </c>
      <c r="BP1808">
        <v>11</v>
      </c>
      <c r="BQ1808" t="s">
        <v>2369</v>
      </c>
      <c r="BR1808" t="s">
        <v>1487</v>
      </c>
      <c r="BU1808">
        <v>0</v>
      </c>
      <c r="BV1808">
        <v>0</v>
      </c>
      <c r="BW1808">
        <v>0</v>
      </c>
      <c r="BX1808">
        <v>0</v>
      </c>
      <c r="BY1808">
        <v>0</v>
      </c>
      <c r="BZ1808">
        <v>0</v>
      </c>
      <c r="CA1808">
        <v>0</v>
      </c>
      <c r="CB1808">
        <v>0</v>
      </c>
      <c r="CC1808">
        <v>0</v>
      </c>
      <c r="CD1808">
        <v>0</v>
      </c>
      <c r="CE1808">
        <v>0</v>
      </c>
      <c r="CF1808">
        <v>0</v>
      </c>
      <c r="CG1808">
        <v>0</v>
      </c>
      <c r="CH1808">
        <v>0</v>
      </c>
      <c r="CI1808">
        <v>0</v>
      </c>
      <c r="CJ1808">
        <v>0</v>
      </c>
      <c r="CK1808">
        <v>0</v>
      </c>
      <c r="CL1808">
        <v>0</v>
      </c>
      <c r="CM1808">
        <v>0</v>
      </c>
      <c r="CR1808" t="s">
        <v>2328</v>
      </c>
      <c r="CS1808" s="1369" t="str">
        <f>INDEX([8]Sheet1!$H:$H,MATCH(CR:CR,[8]Sheet1!$AU:$AU,0))</f>
        <v>Water Distribution</v>
      </c>
    </row>
    <row r="1809" spans="1:97" x14ac:dyDescent="0.2">
      <c r="A1809" t="s">
        <v>4981</v>
      </c>
      <c r="B1809">
        <v>1907</v>
      </c>
      <c r="C1809" t="s">
        <v>4981</v>
      </c>
      <c r="D1809">
        <v>54907</v>
      </c>
      <c r="E1809" t="s">
        <v>4982</v>
      </c>
      <c r="F1809" t="s">
        <v>2364</v>
      </c>
      <c r="G1809" t="s">
        <v>2364</v>
      </c>
      <c r="H1809" t="s">
        <v>2365</v>
      </c>
      <c r="I1809" t="s">
        <v>2365</v>
      </c>
      <c r="J1809" t="s">
        <v>2365</v>
      </c>
      <c r="K1809" t="s">
        <v>2365</v>
      </c>
      <c r="L1809">
        <v>1200</v>
      </c>
      <c r="M1809" t="s">
        <v>1480</v>
      </c>
      <c r="N1809">
        <v>1204</v>
      </c>
      <c r="O1809" t="s">
        <v>1487</v>
      </c>
      <c r="P1809" t="s">
        <v>2366</v>
      </c>
      <c r="Q1809" t="s">
        <v>2364</v>
      </c>
      <c r="R1809" t="s">
        <v>2364</v>
      </c>
      <c r="S1809" t="s">
        <v>553</v>
      </c>
      <c r="T1809" t="s">
        <v>2367</v>
      </c>
      <c r="U1809">
        <v>360</v>
      </c>
      <c r="V1809" t="s">
        <v>2368</v>
      </c>
      <c r="W1809">
        <v>360</v>
      </c>
      <c r="X1809" t="s">
        <v>711</v>
      </c>
      <c r="Y1809" t="s">
        <v>2365</v>
      </c>
      <c r="Z1809" t="s">
        <v>2365</v>
      </c>
      <c r="AA1809" t="s">
        <v>2365</v>
      </c>
      <c r="AB1809" t="s">
        <v>2365</v>
      </c>
      <c r="AC1809" s="813" t="s">
        <v>2365</v>
      </c>
      <c r="AD1809" s="813" t="s">
        <v>2365</v>
      </c>
      <c r="AE1809" s="813" t="s">
        <v>2365</v>
      </c>
      <c r="AF1809" t="s">
        <v>2365</v>
      </c>
      <c r="AG1809" t="s">
        <v>2365</v>
      </c>
      <c r="AH1809" t="s">
        <v>2365</v>
      </c>
      <c r="AI1809" t="s">
        <v>2365</v>
      </c>
      <c r="AJ1809" t="s">
        <v>2365</v>
      </c>
      <c r="AK1809">
        <v>361</v>
      </c>
      <c r="AL1809" t="s">
        <v>1804</v>
      </c>
      <c r="AM1809">
        <v>361</v>
      </c>
      <c r="AN1809" t="s">
        <v>1804</v>
      </c>
      <c r="AR1809" t="s">
        <v>2365</v>
      </c>
      <c r="AS1809" t="s">
        <v>2365</v>
      </c>
      <c r="AT1809" t="s">
        <v>2365</v>
      </c>
      <c r="AU1809" t="s">
        <v>2365</v>
      </c>
      <c r="AV1809" t="s">
        <v>2365</v>
      </c>
      <c r="AW1809" t="s">
        <v>2365</v>
      </c>
      <c r="AX1809" t="s">
        <v>2365</v>
      </c>
      <c r="AY1809" t="s">
        <v>2365</v>
      </c>
      <c r="AZ1809" t="s">
        <v>2365</v>
      </c>
      <c r="BA1809" t="s">
        <v>2365</v>
      </c>
      <c r="BB1809" t="s">
        <v>2365</v>
      </c>
      <c r="BC1809" t="s">
        <v>2365</v>
      </c>
      <c r="BD1809" t="s">
        <v>2366</v>
      </c>
      <c r="BE1809" t="s">
        <v>2365</v>
      </c>
      <c r="BF1809" t="s">
        <v>2365</v>
      </c>
      <c r="BG1809" t="s">
        <v>2365</v>
      </c>
      <c r="BH1809" t="s">
        <v>2365</v>
      </c>
      <c r="BI1809" t="s">
        <v>2366</v>
      </c>
      <c r="BJ1809" t="s">
        <v>2365</v>
      </c>
      <c r="BK1809" t="s">
        <v>2365</v>
      </c>
      <c r="BL1809" t="s">
        <v>2365</v>
      </c>
      <c r="BM1809" t="s">
        <v>2365</v>
      </c>
      <c r="BO1809">
        <v>1</v>
      </c>
      <c r="BP1809">
        <v>11</v>
      </c>
      <c r="BQ1809" t="s">
        <v>2369</v>
      </c>
      <c r="BR1809" t="s">
        <v>1487</v>
      </c>
      <c r="BU1809">
        <v>0</v>
      </c>
      <c r="BV1809">
        <v>0</v>
      </c>
      <c r="BW1809">
        <v>0</v>
      </c>
      <c r="BX1809">
        <v>0</v>
      </c>
      <c r="BY1809">
        <v>0</v>
      </c>
      <c r="BZ1809">
        <v>0</v>
      </c>
      <c r="CA1809">
        <v>0</v>
      </c>
      <c r="CB1809">
        <v>0</v>
      </c>
      <c r="CC1809">
        <v>0</v>
      </c>
      <c r="CD1809">
        <v>0</v>
      </c>
      <c r="CE1809">
        <v>0</v>
      </c>
      <c r="CF1809">
        <v>0</v>
      </c>
      <c r="CG1809">
        <v>0</v>
      </c>
      <c r="CH1809">
        <v>0</v>
      </c>
      <c r="CI1809">
        <v>0</v>
      </c>
      <c r="CJ1809">
        <v>0</v>
      </c>
      <c r="CK1809">
        <v>0</v>
      </c>
      <c r="CL1809">
        <v>0</v>
      </c>
      <c r="CM1809">
        <v>0</v>
      </c>
      <c r="CR1809" t="s">
        <v>2328</v>
      </c>
      <c r="CS1809" s="1369" t="str">
        <f>INDEX([8]Sheet1!$H:$H,MATCH(CR:CR,[8]Sheet1!$AU:$AU,0))</f>
        <v>Water Distribution</v>
      </c>
    </row>
    <row r="1810" spans="1:97" x14ac:dyDescent="0.2">
      <c r="A1810" t="s">
        <v>4983</v>
      </c>
      <c r="B1810">
        <v>1908</v>
      </c>
      <c r="C1810" t="s">
        <v>4983</v>
      </c>
      <c r="D1810">
        <v>54908</v>
      </c>
      <c r="E1810" t="s">
        <v>4984</v>
      </c>
      <c r="F1810" t="s">
        <v>2364</v>
      </c>
      <c r="G1810" t="s">
        <v>2364</v>
      </c>
      <c r="H1810" t="s">
        <v>2365</v>
      </c>
      <c r="I1810" t="s">
        <v>2365</v>
      </c>
      <c r="J1810" t="s">
        <v>2365</v>
      </c>
      <c r="K1810" t="s">
        <v>2365</v>
      </c>
      <c r="L1810">
        <v>1200</v>
      </c>
      <c r="M1810" t="s">
        <v>1480</v>
      </c>
      <c r="N1810">
        <v>1204</v>
      </c>
      <c r="O1810" t="s">
        <v>1487</v>
      </c>
      <c r="P1810" t="s">
        <v>2366</v>
      </c>
      <c r="Q1810" t="s">
        <v>2364</v>
      </c>
      <c r="R1810" t="s">
        <v>2364</v>
      </c>
      <c r="S1810" t="s">
        <v>553</v>
      </c>
      <c r="T1810" t="s">
        <v>2367</v>
      </c>
      <c r="U1810">
        <v>360</v>
      </c>
      <c r="V1810" t="s">
        <v>2368</v>
      </c>
      <c r="W1810">
        <v>360</v>
      </c>
      <c r="X1810" t="s">
        <v>711</v>
      </c>
      <c r="Y1810" t="s">
        <v>2365</v>
      </c>
      <c r="Z1810" t="s">
        <v>2365</v>
      </c>
      <c r="AA1810" t="s">
        <v>2365</v>
      </c>
      <c r="AB1810" t="s">
        <v>2365</v>
      </c>
      <c r="AC1810" s="813" t="s">
        <v>2365</v>
      </c>
      <c r="AD1810" s="813" t="s">
        <v>2365</v>
      </c>
      <c r="AE1810" s="813" t="s">
        <v>2365</v>
      </c>
      <c r="AF1810" t="s">
        <v>2365</v>
      </c>
      <c r="AG1810" t="s">
        <v>2365</v>
      </c>
      <c r="AH1810" t="s">
        <v>2365</v>
      </c>
      <c r="AI1810" t="s">
        <v>2365</v>
      </c>
      <c r="AJ1810" t="s">
        <v>2365</v>
      </c>
      <c r="AK1810">
        <v>361</v>
      </c>
      <c r="AL1810" t="s">
        <v>1804</v>
      </c>
      <c r="AM1810">
        <v>361</v>
      </c>
      <c r="AN1810" t="s">
        <v>1804</v>
      </c>
      <c r="AR1810" t="s">
        <v>2365</v>
      </c>
      <c r="AS1810" t="s">
        <v>2365</v>
      </c>
      <c r="AT1810" t="s">
        <v>2365</v>
      </c>
      <c r="AU1810" t="s">
        <v>2365</v>
      </c>
      <c r="AV1810" t="s">
        <v>2365</v>
      </c>
      <c r="AW1810" t="s">
        <v>2365</v>
      </c>
      <c r="AX1810" t="s">
        <v>2365</v>
      </c>
      <c r="AY1810" t="s">
        <v>2365</v>
      </c>
      <c r="AZ1810" t="s">
        <v>2365</v>
      </c>
      <c r="BA1810" t="s">
        <v>2365</v>
      </c>
      <c r="BB1810" t="s">
        <v>2365</v>
      </c>
      <c r="BC1810" t="s">
        <v>2365</v>
      </c>
      <c r="BD1810" t="s">
        <v>2366</v>
      </c>
      <c r="BE1810" t="s">
        <v>2365</v>
      </c>
      <c r="BF1810" t="s">
        <v>2365</v>
      </c>
      <c r="BG1810" t="s">
        <v>2365</v>
      </c>
      <c r="BH1810" t="s">
        <v>2365</v>
      </c>
      <c r="BI1810" t="s">
        <v>2366</v>
      </c>
      <c r="BJ1810" t="s">
        <v>2365</v>
      </c>
      <c r="BK1810" t="s">
        <v>2365</v>
      </c>
      <c r="BL1810" t="s">
        <v>2365</v>
      </c>
      <c r="BM1810" t="s">
        <v>2365</v>
      </c>
      <c r="BO1810">
        <v>1</v>
      </c>
      <c r="BP1810">
        <v>11</v>
      </c>
      <c r="BQ1810" t="s">
        <v>2369</v>
      </c>
      <c r="BR1810" t="s">
        <v>1487</v>
      </c>
      <c r="BU1810">
        <v>0</v>
      </c>
      <c r="BV1810">
        <v>0</v>
      </c>
      <c r="BW1810">
        <v>0</v>
      </c>
      <c r="BX1810">
        <v>0</v>
      </c>
      <c r="BY1810">
        <v>0</v>
      </c>
      <c r="BZ1810">
        <v>0</v>
      </c>
      <c r="CA1810">
        <v>0</v>
      </c>
      <c r="CB1810">
        <v>0</v>
      </c>
      <c r="CC1810">
        <v>0</v>
      </c>
      <c r="CD1810">
        <v>0</v>
      </c>
      <c r="CE1810">
        <v>0</v>
      </c>
      <c r="CF1810">
        <v>0</v>
      </c>
      <c r="CG1810">
        <v>0</v>
      </c>
      <c r="CH1810">
        <v>0</v>
      </c>
      <c r="CI1810">
        <v>0</v>
      </c>
      <c r="CJ1810">
        <v>0</v>
      </c>
      <c r="CK1810">
        <v>0</v>
      </c>
      <c r="CL1810">
        <v>0</v>
      </c>
      <c r="CM1810">
        <v>0</v>
      </c>
      <c r="CR1810" t="s">
        <v>2328</v>
      </c>
      <c r="CS1810" s="1369" t="str">
        <f>INDEX([8]Sheet1!$H:$H,MATCH(CR:CR,[8]Sheet1!$AU:$AU,0))</f>
        <v>Water Distribution</v>
      </c>
    </row>
    <row r="1811" spans="1:97" x14ac:dyDescent="0.2">
      <c r="A1811" t="s">
        <v>4985</v>
      </c>
      <c r="B1811">
        <v>1909</v>
      </c>
      <c r="C1811" t="s">
        <v>4985</v>
      </c>
      <c r="D1811">
        <v>54909</v>
      </c>
      <c r="E1811" t="s">
        <v>4986</v>
      </c>
      <c r="F1811" t="s">
        <v>2364</v>
      </c>
      <c r="G1811" t="s">
        <v>2364</v>
      </c>
      <c r="H1811" t="s">
        <v>2365</v>
      </c>
      <c r="I1811" t="s">
        <v>2365</v>
      </c>
      <c r="J1811" t="s">
        <v>2365</v>
      </c>
      <c r="K1811" t="s">
        <v>2365</v>
      </c>
      <c r="L1811">
        <v>1200</v>
      </c>
      <c r="M1811" t="s">
        <v>1480</v>
      </c>
      <c r="N1811">
        <v>1204</v>
      </c>
      <c r="O1811" t="s">
        <v>1487</v>
      </c>
      <c r="P1811" t="s">
        <v>2366</v>
      </c>
      <c r="Q1811" t="s">
        <v>2364</v>
      </c>
      <c r="R1811" t="s">
        <v>2364</v>
      </c>
      <c r="S1811" t="s">
        <v>553</v>
      </c>
      <c r="T1811" t="s">
        <v>2367</v>
      </c>
      <c r="U1811">
        <v>360</v>
      </c>
      <c r="V1811" t="s">
        <v>2368</v>
      </c>
      <c r="W1811">
        <v>360</v>
      </c>
      <c r="X1811" t="s">
        <v>711</v>
      </c>
      <c r="Y1811" t="s">
        <v>2365</v>
      </c>
      <c r="Z1811" t="s">
        <v>2365</v>
      </c>
      <c r="AA1811" t="s">
        <v>2365</v>
      </c>
      <c r="AB1811" t="s">
        <v>2365</v>
      </c>
      <c r="AC1811" s="813" t="s">
        <v>2365</v>
      </c>
      <c r="AD1811" s="813" t="s">
        <v>2365</v>
      </c>
      <c r="AE1811" s="813" t="s">
        <v>2365</v>
      </c>
      <c r="AF1811" t="s">
        <v>2365</v>
      </c>
      <c r="AG1811" t="s">
        <v>2365</v>
      </c>
      <c r="AH1811" t="s">
        <v>2365</v>
      </c>
      <c r="AI1811" t="s">
        <v>2365</v>
      </c>
      <c r="AJ1811" t="s">
        <v>2365</v>
      </c>
      <c r="AK1811">
        <v>361</v>
      </c>
      <c r="AL1811" t="s">
        <v>1804</v>
      </c>
      <c r="AM1811">
        <v>361</v>
      </c>
      <c r="AN1811" t="s">
        <v>1804</v>
      </c>
      <c r="AR1811" t="s">
        <v>2365</v>
      </c>
      <c r="AS1811" t="s">
        <v>2365</v>
      </c>
      <c r="AT1811" t="s">
        <v>2365</v>
      </c>
      <c r="AU1811" t="s">
        <v>2365</v>
      </c>
      <c r="AV1811" t="s">
        <v>2365</v>
      </c>
      <c r="AW1811" t="s">
        <v>2365</v>
      </c>
      <c r="AX1811" t="s">
        <v>2365</v>
      </c>
      <c r="AY1811" t="s">
        <v>2365</v>
      </c>
      <c r="AZ1811" t="s">
        <v>2365</v>
      </c>
      <c r="BA1811" t="s">
        <v>2365</v>
      </c>
      <c r="BB1811" t="s">
        <v>2365</v>
      </c>
      <c r="BC1811" t="s">
        <v>2365</v>
      </c>
      <c r="BD1811" t="s">
        <v>2366</v>
      </c>
      <c r="BE1811" t="s">
        <v>2365</v>
      </c>
      <c r="BF1811" t="s">
        <v>2365</v>
      </c>
      <c r="BG1811" t="s">
        <v>2365</v>
      </c>
      <c r="BH1811" t="s">
        <v>2365</v>
      </c>
      <c r="BI1811" t="s">
        <v>2366</v>
      </c>
      <c r="BJ1811" t="s">
        <v>2365</v>
      </c>
      <c r="BK1811" t="s">
        <v>2365</v>
      </c>
      <c r="BL1811" t="s">
        <v>2365</v>
      </c>
      <c r="BM1811" t="s">
        <v>2365</v>
      </c>
      <c r="BO1811">
        <v>1</v>
      </c>
      <c r="BP1811">
        <v>11</v>
      </c>
      <c r="BQ1811" t="s">
        <v>2369</v>
      </c>
      <c r="BR1811" t="s">
        <v>1487</v>
      </c>
      <c r="BU1811">
        <v>0</v>
      </c>
      <c r="BV1811">
        <v>0</v>
      </c>
      <c r="BW1811">
        <v>0</v>
      </c>
      <c r="BX1811">
        <v>0</v>
      </c>
      <c r="BY1811">
        <v>0</v>
      </c>
      <c r="BZ1811">
        <v>0</v>
      </c>
      <c r="CA1811">
        <v>0</v>
      </c>
      <c r="CB1811">
        <v>0</v>
      </c>
      <c r="CC1811">
        <v>0</v>
      </c>
      <c r="CD1811">
        <v>0</v>
      </c>
      <c r="CE1811">
        <v>0</v>
      </c>
      <c r="CF1811">
        <v>0</v>
      </c>
      <c r="CG1811">
        <v>0</v>
      </c>
      <c r="CH1811">
        <v>0</v>
      </c>
      <c r="CI1811">
        <v>0</v>
      </c>
      <c r="CJ1811">
        <v>0</v>
      </c>
      <c r="CK1811">
        <v>0</v>
      </c>
      <c r="CL1811">
        <v>0</v>
      </c>
      <c r="CM1811">
        <v>0</v>
      </c>
      <c r="CR1811" t="s">
        <v>2328</v>
      </c>
      <c r="CS1811" s="1369" t="str">
        <f>INDEX([8]Sheet1!$H:$H,MATCH(CR:CR,[8]Sheet1!$AU:$AU,0))</f>
        <v>Water Distribution</v>
      </c>
    </row>
    <row r="1812" spans="1:97" x14ac:dyDescent="0.2">
      <c r="A1812" t="s">
        <v>4987</v>
      </c>
      <c r="B1812">
        <v>1910</v>
      </c>
      <c r="C1812" t="s">
        <v>4987</v>
      </c>
      <c r="D1812">
        <v>54910</v>
      </c>
      <c r="E1812" t="s">
        <v>4988</v>
      </c>
      <c r="F1812" t="s">
        <v>2364</v>
      </c>
      <c r="G1812" t="s">
        <v>2364</v>
      </c>
      <c r="H1812" t="s">
        <v>2365</v>
      </c>
      <c r="I1812" t="s">
        <v>2365</v>
      </c>
      <c r="J1812" t="s">
        <v>2365</v>
      </c>
      <c r="K1812" t="s">
        <v>2365</v>
      </c>
      <c r="L1812">
        <v>1200</v>
      </c>
      <c r="M1812" t="s">
        <v>1480</v>
      </c>
      <c r="N1812">
        <v>1204</v>
      </c>
      <c r="O1812" t="s">
        <v>1487</v>
      </c>
      <c r="P1812" t="s">
        <v>2366</v>
      </c>
      <c r="Q1812" t="s">
        <v>2364</v>
      </c>
      <c r="R1812" t="s">
        <v>2364</v>
      </c>
      <c r="S1812" t="s">
        <v>553</v>
      </c>
      <c r="T1812" t="s">
        <v>2367</v>
      </c>
      <c r="U1812">
        <v>360</v>
      </c>
      <c r="V1812" t="s">
        <v>2368</v>
      </c>
      <c r="W1812">
        <v>360</v>
      </c>
      <c r="X1812" t="s">
        <v>711</v>
      </c>
      <c r="Y1812" t="s">
        <v>2365</v>
      </c>
      <c r="Z1812" t="s">
        <v>2365</v>
      </c>
      <c r="AA1812" t="s">
        <v>2365</v>
      </c>
      <c r="AB1812" t="s">
        <v>2365</v>
      </c>
      <c r="AC1812" s="813" t="s">
        <v>2365</v>
      </c>
      <c r="AD1812" s="813" t="s">
        <v>2365</v>
      </c>
      <c r="AE1812" s="813" t="s">
        <v>2365</v>
      </c>
      <c r="AF1812" t="s">
        <v>2365</v>
      </c>
      <c r="AG1812" t="s">
        <v>2365</v>
      </c>
      <c r="AH1812" t="s">
        <v>2365</v>
      </c>
      <c r="AI1812" t="s">
        <v>2365</v>
      </c>
      <c r="AJ1812" t="s">
        <v>2365</v>
      </c>
      <c r="AK1812">
        <v>361</v>
      </c>
      <c r="AL1812" t="s">
        <v>1804</v>
      </c>
      <c r="AM1812">
        <v>361</v>
      </c>
      <c r="AN1812" t="s">
        <v>1804</v>
      </c>
      <c r="AR1812" t="s">
        <v>2365</v>
      </c>
      <c r="AS1812" t="s">
        <v>2365</v>
      </c>
      <c r="AT1812" t="s">
        <v>2365</v>
      </c>
      <c r="AU1812" t="s">
        <v>2365</v>
      </c>
      <c r="AV1812" t="s">
        <v>2365</v>
      </c>
      <c r="AW1812" t="s">
        <v>2365</v>
      </c>
      <c r="AX1812" t="s">
        <v>2365</v>
      </c>
      <c r="AY1812" t="s">
        <v>2365</v>
      </c>
      <c r="AZ1812" t="s">
        <v>2365</v>
      </c>
      <c r="BA1812" t="s">
        <v>2365</v>
      </c>
      <c r="BB1812" t="s">
        <v>2365</v>
      </c>
      <c r="BC1812" t="s">
        <v>2365</v>
      </c>
      <c r="BD1812" t="s">
        <v>2366</v>
      </c>
      <c r="BE1812" t="s">
        <v>2365</v>
      </c>
      <c r="BF1812" t="s">
        <v>2365</v>
      </c>
      <c r="BG1812" t="s">
        <v>2365</v>
      </c>
      <c r="BH1812" t="s">
        <v>2365</v>
      </c>
      <c r="BI1812" t="s">
        <v>2366</v>
      </c>
      <c r="BJ1812" t="s">
        <v>2365</v>
      </c>
      <c r="BK1812" t="s">
        <v>2365</v>
      </c>
      <c r="BL1812" t="s">
        <v>2365</v>
      </c>
      <c r="BM1812" t="s">
        <v>2365</v>
      </c>
      <c r="BO1812">
        <v>1</v>
      </c>
      <c r="BP1812">
        <v>11</v>
      </c>
      <c r="BQ1812" t="s">
        <v>2369</v>
      </c>
      <c r="BR1812" t="s">
        <v>1487</v>
      </c>
      <c r="BU1812">
        <v>0</v>
      </c>
      <c r="BV1812">
        <v>0</v>
      </c>
      <c r="BW1812">
        <v>0</v>
      </c>
      <c r="BX1812">
        <v>0</v>
      </c>
      <c r="BY1812">
        <v>0</v>
      </c>
      <c r="BZ1812">
        <v>0</v>
      </c>
      <c r="CA1812">
        <v>0</v>
      </c>
      <c r="CB1812">
        <v>0</v>
      </c>
      <c r="CC1812">
        <v>0</v>
      </c>
      <c r="CD1812">
        <v>0</v>
      </c>
      <c r="CE1812">
        <v>0</v>
      </c>
      <c r="CF1812">
        <v>0</v>
      </c>
      <c r="CG1812">
        <v>0</v>
      </c>
      <c r="CH1812">
        <v>0</v>
      </c>
      <c r="CI1812">
        <v>0</v>
      </c>
      <c r="CJ1812">
        <v>0</v>
      </c>
      <c r="CK1812">
        <v>0</v>
      </c>
      <c r="CL1812">
        <v>0</v>
      </c>
      <c r="CM1812">
        <v>0</v>
      </c>
      <c r="CR1812" t="s">
        <v>2328</v>
      </c>
      <c r="CS1812" s="1369" t="str">
        <f>INDEX([8]Sheet1!$H:$H,MATCH(CR:CR,[8]Sheet1!$AU:$AU,0))</f>
        <v>Water Distribution</v>
      </c>
    </row>
    <row r="1813" spans="1:97" x14ac:dyDescent="0.2">
      <c r="A1813" t="s">
        <v>4989</v>
      </c>
      <c r="B1813">
        <v>1911</v>
      </c>
      <c r="C1813" t="s">
        <v>4989</v>
      </c>
      <c r="D1813">
        <v>54911</v>
      </c>
      <c r="E1813" t="s">
        <v>4990</v>
      </c>
      <c r="F1813" t="s">
        <v>2364</v>
      </c>
      <c r="G1813" t="s">
        <v>2364</v>
      </c>
      <c r="H1813" t="s">
        <v>2365</v>
      </c>
      <c r="I1813" t="s">
        <v>2365</v>
      </c>
      <c r="J1813" t="s">
        <v>2365</v>
      </c>
      <c r="K1813" t="s">
        <v>2365</v>
      </c>
      <c r="L1813">
        <v>1200</v>
      </c>
      <c r="M1813" t="s">
        <v>1480</v>
      </c>
      <c r="N1813">
        <v>1204</v>
      </c>
      <c r="O1813" t="s">
        <v>1487</v>
      </c>
      <c r="P1813" t="s">
        <v>2366</v>
      </c>
      <c r="Q1813" t="s">
        <v>2364</v>
      </c>
      <c r="R1813" t="s">
        <v>2364</v>
      </c>
      <c r="S1813" t="s">
        <v>553</v>
      </c>
      <c r="T1813" t="s">
        <v>2367</v>
      </c>
      <c r="U1813">
        <v>360</v>
      </c>
      <c r="V1813" t="s">
        <v>2368</v>
      </c>
      <c r="W1813">
        <v>360</v>
      </c>
      <c r="X1813" t="s">
        <v>711</v>
      </c>
      <c r="Y1813" t="s">
        <v>2365</v>
      </c>
      <c r="Z1813" t="s">
        <v>2365</v>
      </c>
      <c r="AA1813" t="s">
        <v>2365</v>
      </c>
      <c r="AB1813" t="s">
        <v>2365</v>
      </c>
      <c r="AC1813" s="813" t="s">
        <v>2365</v>
      </c>
      <c r="AD1813" s="813" t="s">
        <v>2365</v>
      </c>
      <c r="AE1813" s="813" t="s">
        <v>2365</v>
      </c>
      <c r="AF1813" t="s">
        <v>2365</v>
      </c>
      <c r="AG1813" t="s">
        <v>2365</v>
      </c>
      <c r="AH1813" t="s">
        <v>2365</v>
      </c>
      <c r="AI1813" t="s">
        <v>2365</v>
      </c>
      <c r="AJ1813" t="s">
        <v>2365</v>
      </c>
      <c r="AK1813">
        <v>361</v>
      </c>
      <c r="AL1813" t="s">
        <v>1804</v>
      </c>
      <c r="AM1813">
        <v>361</v>
      </c>
      <c r="AN1813" t="s">
        <v>1804</v>
      </c>
      <c r="AR1813" t="s">
        <v>2365</v>
      </c>
      <c r="AS1813" t="s">
        <v>2365</v>
      </c>
      <c r="AT1813" t="s">
        <v>2365</v>
      </c>
      <c r="AU1813" t="s">
        <v>2365</v>
      </c>
      <c r="AV1813" t="s">
        <v>2365</v>
      </c>
      <c r="AW1813" t="s">
        <v>2365</v>
      </c>
      <c r="AX1813" t="s">
        <v>2365</v>
      </c>
      <c r="AY1813" t="s">
        <v>2365</v>
      </c>
      <c r="AZ1813" t="s">
        <v>2365</v>
      </c>
      <c r="BA1813" t="s">
        <v>2365</v>
      </c>
      <c r="BB1813" t="s">
        <v>2365</v>
      </c>
      <c r="BC1813" t="s">
        <v>2365</v>
      </c>
      <c r="BD1813" t="s">
        <v>2366</v>
      </c>
      <c r="BE1813" t="s">
        <v>2365</v>
      </c>
      <c r="BF1813" t="s">
        <v>2365</v>
      </c>
      <c r="BG1813" t="s">
        <v>2365</v>
      </c>
      <c r="BH1813" t="s">
        <v>2365</v>
      </c>
      <c r="BI1813" t="s">
        <v>2366</v>
      </c>
      <c r="BJ1813" t="s">
        <v>2365</v>
      </c>
      <c r="BK1813" t="s">
        <v>2365</v>
      </c>
      <c r="BL1813" t="s">
        <v>2365</v>
      </c>
      <c r="BM1813" t="s">
        <v>2365</v>
      </c>
      <c r="BO1813">
        <v>1</v>
      </c>
      <c r="BP1813">
        <v>11</v>
      </c>
      <c r="BQ1813" t="s">
        <v>2369</v>
      </c>
      <c r="BR1813" t="s">
        <v>1487</v>
      </c>
      <c r="BU1813">
        <v>0</v>
      </c>
      <c r="BV1813">
        <v>0</v>
      </c>
      <c r="BW1813">
        <v>0</v>
      </c>
      <c r="BX1813">
        <v>0</v>
      </c>
      <c r="BY1813">
        <v>0</v>
      </c>
      <c r="BZ1813">
        <v>0</v>
      </c>
      <c r="CA1813">
        <v>0</v>
      </c>
      <c r="CB1813">
        <v>0</v>
      </c>
      <c r="CC1813">
        <v>0</v>
      </c>
      <c r="CD1813">
        <v>0</v>
      </c>
      <c r="CE1813">
        <v>0</v>
      </c>
      <c r="CF1813">
        <v>0</v>
      </c>
      <c r="CG1813">
        <v>0</v>
      </c>
      <c r="CH1813">
        <v>0</v>
      </c>
      <c r="CI1813">
        <v>0</v>
      </c>
      <c r="CJ1813">
        <v>0</v>
      </c>
      <c r="CK1813">
        <v>0</v>
      </c>
      <c r="CL1813">
        <v>0</v>
      </c>
      <c r="CM1813">
        <v>0</v>
      </c>
      <c r="CR1813" t="s">
        <v>2328</v>
      </c>
      <c r="CS1813" s="1369" t="str">
        <f>INDEX([8]Sheet1!$H:$H,MATCH(CR:CR,[8]Sheet1!$AU:$AU,0))</f>
        <v>Water Distribution</v>
      </c>
    </row>
    <row r="1814" spans="1:97" x14ac:dyDescent="0.2">
      <c r="A1814" t="s">
        <v>4991</v>
      </c>
      <c r="B1814">
        <v>1912</v>
      </c>
      <c r="C1814" t="s">
        <v>4991</v>
      </c>
      <c r="D1814">
        <v>54912</v>
      </c>
      <c r="E1814" t="s">
        <v>4898</v>
      </c>
      <c r="F1814" t="s">
        <v>2364</v>
      </c>
      <c r="G1814" t="s">
        <v>2364</v>
      </c>
      <c r="H1814" t="s">
        <v>2365</v>
      </c>
      <c r="I1814" t="s">
        <v>2365</v>
      </c>
      <c r="J1814" t="s">
        <v>2365</v>
      </c>
      <c r="K1814" t="s">
        <v>2365</v>
      </c>
      <c r="L1814">
        <v>1200</v>
      </c>
      <c r="M1814" t="s">
        <v>1480</v>
      </c>
      <c r="N1814">
        <v>1204</v>
      </c>
      <c r="O1814" t="s">
        <v>1487</v>
      </c>
      <c r="P1814" t="s">
        <v>2366</v>
      </c>
      <c r="Q1814" t="s">
        <v>2364</v>
      </c>
      <c r="R1814" t="s">
        <v>2364</v>
      </c>
      <c r="S1814" t="s">
        <v>553</v>
      </c>
      <c r="T1814" t="s">
        <v>2175</v>
      </c>
      <c r="U1814">
        <v>120</v>
      </c>
      <c r="V1814" t="s">
        <v>691</v>
      </c>
      <c r="W1814">
        <v>120</v>
      </c>
      <c r="X1814" t="s">
        <v>691</v>
      </c>
      <c r="Y1814" t="s">
        <v>2365</v>
      </c>
      <c r="Z1814" t="s">
        <v>2365</v>
      </c>
      <c r="AA1814" t="s">
        <v>2365</v>
      </c>
      <c r="AB1814" t="s">
        <v>2365</v>
      </c>
      <c r="AC1814" s="813">
        <v>420</v>
      </c>
      <c r="AD1814" s="813" t="s">
        <v>4866</v>
      </c>
      <c r="AE1814" s="813">
        <v>560</v>
      </c>
      <c r="AF1814" t="s">
        <v>4866</v>
      </c>
      <c r="AG1814" t="s">
        <v>2365</v>
      </c>
      <c r="AH1814" t="s">
        <v>2365</v>
      </c>
      <c r="AI1814" t="s">
        <v>2365</v>
      </c>
      <c r="AJ1814" t="s">
        <v>2365</v>
      </c>
      <c r="AK1814" t="s">
        <v>2365</v>
      </c>
      <c r="AL1814" t="s">
        <v>2365</v>
      </c>
      <c r="AM1814" t="s">
        <v>2365</v>
      </c>
      <c r="AN1814" t="s">
        <v>2365</v>
      </c>
      <c r="AR1814" t="s">
        <v>2365</v>
      </c>
      <c r="AS1814" t="s">
        <v>2365</v>
      </c>
      <c r="AT1814" t="s">
        <v>2365</v>
      </c>
      <c r="AU1814" t="s">
        <v>2365</v>
      </c>
      <c r="AV1814" t="s">
        <v>2365</v>
      </c>
      <c r="AW1814" t="s">
        <v>2365</v>
      </c>
      <c r="AX1814" t="s">
        <v>2365</v>
      </c>
      <c r="AY1814" t="s">
        <v>2365</v>
      </c>
      <c r="AZ1814" t="s">
        <v>2365</v>
      </c>
      <c r="BA1814" t="s">
        <v>2365</v>
      </c>
      <c r="BB1814" t="s">
        <v>2365</v>
      </c>
      <c r="BC1814" t="s">
        <v>2365</v>
      </c>
      <c r="BD1814" t="s">
        <v>2366</v>
      </c>
      <c r="BE1814" t="s">
        <v>2365</v>
      </c>
      <c r="BF1814" t="s">
        <v>2365</v>
      </c>
      <c r="BG1814" t="s">
        <v>2365</v>
      </c>
      <c r="BH1814" t="s">
        <v>2365</v>
      </c>
      <c r="BI1814" t="s">
        <v>2366</v>
      </c>
      <c r="BJ1814" t="s">
        <v>2365</v>
      </c>
      <c r="BK1814" t="s">
        <v>2365</v>
      </c>
      <c r="BL1814" t="s">
        <v>2365</v>
      </c>
      <c r="BM1814" t="s">
        <v>2365</v>
      </c>
      <c r="BO1814">
        <v>1</v>
      </c>
      <c r="BP1814">
        <v>11</v>
      </c>
      <c r="BQ1814" t="s">
        <v>2369</v>
      </c>
      <c r="BR1814" t="s">
        <v>1487</v>
      </c>
      <c r="BU1814">
        <v>0</v>
      </c>
      <c r="BV1814">
        <v>0</v>
      </c>
      <c r="BW1814">
        <v>0</v>
      </c>
      <c r="BX1814">
        <v>0</v>
      </c>
      <c r="BY1814">
        <v>0</v>
      </c>
      <c r="BZ1814">
        <v>0</v>
      </c>
      <c r="CA1814">
        <v>0</v>
      </c>
      <c r="CB1814">
        <v>0</v>
      </c>
      <c r="CC1814">
        <v>0</v>
      </c>
      <c r="CD1814">
        <v>0</v>
      </c>
      <c r="CE1814">
        <v>0</v>
      </c>
      <c r="CF1814">
        <v>0</v>
      </c>
      <c r="CG1814">
        <v>0</v>
      </c>
      <c r="CH1814">
        <v>0</v>
      </c>
      <c r="CI1814">
        <v>0</v>
      </c>
      <c r="CJ1814">
        <v>0</v>
      </c>
      <c r="CK1814">
        <v>0</v>
      </c>
      <c r="CL1814">
        <v>0</v>
      </c>
      <c r="CM1814">
        <v>0</v>
      </c>
      <c r="CR1814" t="s">
        <v>2328</v>
      </c>
      <c r="CS1814" s="1369" t="str">
        <f>INDEX([8]Sheet1!$H:$H,MATCH(CR:CR,[8]Sheet1!$AU:$AU,0))</f>
        <v>Water Distribution</v>
      </c>
    </row>
    <row r="1815" spans="1:97" x14ac:dyDescent="0.2">
      <c r="A1815" t="s">
        <v>4992</v>
      </c>
      <c r="B1815">
        <v>1913</v>
      </c>
      <c r="C1815" t="s">
        <v>4992</v>
      </c>
      <c r="D1815">
        <v>54913</v>
      </c>
      <c r="E1815" t="s">
        <v>4903</v>
      </c>
      <c r="F1815" t="s">
        <v>2364</v>
      </c>
      <c r="G1815" t="s">
        <v>2364</v>
      </c>
      <c r="H1815" t="s">
        <v>2365</v>
      </c>
      <c r="I1815" t="s">
        <v>2365</v>
      </c>
      <c r="J1815" t="s">
        <v>2365</v>
      </c>
      <c r="K1815" t="s">
        <v>2365</v>
      </c>
      <c r="L1815">
        <v>1200</v>
      </c>
      <c r="M1815" t="s">
        <v>1480</v>
      </c>
      <c r="N1815">
        <v>1204</v>
      </c>
      <c r="O1815" t="s">
        <v>1487</v>
      </c>
      <c r="P1815" t="s">
        <v>2366</v>
      </c>
      <c r="Q1815" t="s">
        <v>2364</v>
      </c>
      <c r="R1815" t="s">
        <v>2364</v>
      </c>
      <c r="S1815" t="s">
        <v>553</v>
      </c>
      <c r="T1815" t="s">
        <v>2175</v>
      </c>
      <c r="U1815">
        <v>120</v>
      </c>
      <c r="V1815" t="s">
        <v>691</v>
      </c>
      <c r="W1815">
        <v>120</v>
      </c>
      <c r="X1815" t="s">
        <v>691</v>
      </c>
      <c r="Y1815" t="s">
        <v>2365</v>
      </c>
      <c r="Z1815" t="s">
        <v>2365</v>
      </c>
      <c r="AA1815" t="s">
        <v>2365</v>
      </c>
      <c r="AB1815" t="s">
        <v>2365</v>
      </c>
      <c r="AC1815" s="813" t="s">
        <v>2365</v>
      </c>
      <c r="AD1815" s="813" t="s">
        <v>2365</v>
      </c>
      <c r="AE1815" s="813" t="s">
        <v>2365</v>
      </c>
      <c r="AF1815" t="s">
        <v>2365</v>
      </c>
      <c r="AG1815" t="s">
        <v>2365</v>
      </c>
      <c r="AH1815" t="s">
        <v>2365</v>
      </c>
      <c r="AI1815" t="s">
        <v>2365</v>
      </c>
      <c r="AJ1815" t="s">
        <v>2365</v>
      </c>
      <c r="AK1815" t="s">
        <v>2365</v>
      </c>
      <c r="AL1815" t="s">
        <v>2365</v>
      </c>
      <c r="AM1815" t="s">
        <v>2365</v>
      </c>
      <c r="AN1815" t="s">
        <v>2365</v>
      </c>
      <c r="AR1815" t="s">
        <v>2365</v>
      </c>
      <c r="AS1815" t="s">
        <v>2365</v>
      </c>
      <c r="AT1815" t="s">
        <v>2365</v>
      </c>
      <c r="AU1815" t="s">
        <v>2365</v>
      </c>
      <c r="AV1815" t="s">
        <v>2365</v>
      </c>
      <c r="AW1815" t="s">
        <v>2365</v>
      </c>
      <c r="AX1815" t="s">
        <v>2365</v>
      </c>
      <c r="AY1815" t="s">
        <v>2365</v>
      </c>
      <c r="AZ1815" t="s">
        <v>2365</v>
      </c>
      <c r="BA1815" t="s">
        <v>2365</v>
      </c>
      <c r="BB1815" t="s">
        <v>2365</v>
      </c>
      <c r="BC1815" t="s">
        <v>2365</v>
      </c>
      <c r="BD1815" t="s">
        <v>2366</v>
      </c>
      <c r="BE1815" t="s">
        <v>2365</v>
      </c>
      <c r="BF1815" t="s">
        <v>2365</v>
      </c>
      <c r="BG1815" t="s">
        <v>2365</v>
      </c>
      <c r="BH1815" t="s">
        <v>2365</v>
      </c>
      <c r="BI1815" t="s">
        <v>2366</v>
      </c>
      <c r="BJ1815" t="s">
        <v>2365</v>
      </c>
      <c r="BK1815" t="s">
        <v>2365</v>
      </c>
      <c r="BL1815" t="s">
        <v>2365</v>
      </c>
      <c r="BM1815" t="s">
        <v>2365</v>
      </c>
      <c r="BO1815">
        <v>1</v>
      </c>
      <c r="BP1815">
        <v>11</v>
      </c>
      <c r="BQ1815" t="s">
        <v>2369</v>
      </c>
      <c r="BR1815" t="s">
        <v>1487</v>
      </c>
      <c r="BU1815">
        <v>0</v>
      </c>
      <c r="BV1815">
        <v>0</v>
      </c>
      <c r="BW1815">
        <v>0</v>
      </c>
      <c r="BX1815">
        <v>0</v>
      </c>
      <c r="BY1815">
        <v>0</v>
      </c>
      <c r="BZ1815">
        <v>0</v>
      </c>
      <c r="CA1815">
        <v>0</v>
      </c>
      <c r="CB1815">
        <v>0</v>
      </c>
      <c r="CC1815">
        <v>0</v>
      </c>
      <c r="CD1815">
        <v>0</v>
      </c>
      <c r="CE1815">
        <v>0</v>
      </c>
      <c r="CF1815">
        <v>0</v>
      </c>
      <c r="CG1815">
        <v>0</v>
      </c>
      <c r="CH1815">
        <v>0</v>
      </c>
      <c r="CI1815">
        <v>0</v>
      </c>
      <c r="CJ1815">
        <v>0</v>
      </c>
      <c r="CK1815">
        <v>0</v>
      </c>
      <c r="CL1815">
        <v>0</v>
      </c>
      <c r="CM1815">
        <v>0</v>
      </c>
      <c r="CR1815" t="s">
        <v>2328</v>
      </c>
      <c r="CS1815" s="1369" t="str">
        <f>INDEX([8]Sheet1!$H:$H,MATCH(CR:CR,[8]Sheet1!$AU:$AU,0))</f>
        <v>Water Distribution</v>
      </c>
    </row>
    <row r="1816" spans="1:97" x14ac:dyDescent="0.2">
      <c r="A1816" t="s">
        <v>4993</v>
      </c>
      <c r="B1816">
        <v>1914</v>
      </c>
      <c r="C1816" t="s">
        <v>4993</v>
      </c>
      <c r="D1816">
        <v>54914</v>
      </c>
      <c r="E1816" t="s">
        <v>2419</v>
      </c>
      <c r="F1816" t="s">
        <v>2364</v>
      </c>
      <c r="G1816" t="s">
        <v>2364</v>
      </c>
      <c r="H1816" t="s">
        <v>2365</v>
      </c>
      <c r="I1816" t="s">
        <v>2365</v>
      </c>
      <c r="J1816" t="s">
        <v>2365</v>
      </c>
      <c r="K1816" t="s">
        <v>2365</v>
      </c>
      <c r="L1816">
        <v>1200</v>
      </c>
      <c r="M1816" t="s">
        <v>1480</v>
      </c>
      <c r="N1816">
        <v>1204</v>
      </c>
      <c r="O1816" t="s">
        <v>1487</v>
      </c>
      <c r="P1816" t="s">
        <v>2366</v>
      </c>
      <c r="Q1816" t="s">
        <v>2364</v>
      </c>
      <c r="R1816" t="s">
        <v>2364</v>
      </c>
      <c r="S1816" t="s">
        <v>553</v>
      </c>
      <c r="T1816" t="s">
        <v>2175</v>
      </c>
      <c r="U1816">
        <v>120</v>
      </c>
      <c r="V1816" t="s">
        <v>691</v>
      </c>
      <c r="W1816">
        <v>120</v>
      </c>
      <c r="X1816" t="s">
        <v>691</v>
      </c>
      <c r="Y1816" t="s">
        <v>4994</v>
      </c>
      <c r="Z1816" t="s">
        <v>650</v>
      </c>
      <c r="AA1816" t="s">
        <v>4994</v>
      </c>
      <c r="AB1816" t="s">
        <v>650</v>
      </c>
      <c r="AC1816" s="813" t="s">
        <v>2365</v>
      </c>
      <c r="AD1816" s="813" t="s">
        <v>2365</v>
      </c>
      <c r="AE1816" s="813" t="s">
        <v>2365</v>
      </c>
      <c r="AF1816" t="s">
        <v>2365</v>
      </c>
      <c r="AG1816" t="s">
        <v>2365</v>
      </c>
      <c r="AH1816" t="s">
        <v>2365</v>
      </c>
      <c r="AI1816" t="s">
        <v>2365</v>
      </c>
      <c r="AJ1816" t="s">
        <v>2365</v>
      </c>
      <c r="AK1816" t="s">
        <v>2365</v>
      </c>
      <c r="AL1816" t="s">
        <v>2365</v>
      </c>
      <c r="AM1816" t="s">
        <v>2365</v>
      </c>
      <c r="AN1816" t="s">
        <v>2365</v>
      </c>
      <c r="AQ1816" t="s">
        <v>2423</v>
      </c>
      <c r="AR1816" t="s">
        <v>2365</v>
      </c>
      <c r="AS1816" t="s">
        <v>2365</v>
      </c>
      <c r="AT1816" t="s">
        <v>2365</v>
      </c>
      <c r="AU1816" t="s">
        <v>2365</v>
      </c>
      <c r="AV1816" t="s">
        <v>2365</v>
      </c>
      <c r="AW1816" t="s">
        <v>2365</v>
      </c>
      <c r="AX1816" t="s">
        <v>2365</v>
      </c>
      <c r="AY1816" t="s">
        <v>2365</v>
      </c>
      <c r="AZ1816" t="s">
        <v>2365</v>
      </c>
      <c r="BA1816" t="s">
        <v>2365</v>
      </c>
      <c r="BB1816" t="s">
        <v>2365</v>
      </c>
      <c r="BC1816" t="s">
        <v>2365</v>
      </c>
      <c r="BD1816" t="s">
        <v>2366</v>
      </c>
      <c r="BE1816" t="s">
        <v>2365</v>
      </c>
      <c r="BF1816" t="s">
        <v>2365</v>
      </c>
      <c r="BG1816" t="s">
        <v>2365</v>
      </c>
      <c r="BH1816" t="s">
        <v>2365</v>
      </c>
      <c r="BI1816" t="s">
        <v>2366</v>
      </c>
      <c r="BJ1816" t="s">
        <v>2365</v>
      </c>
      <c r="BK1816" t="s">
        <v>2365</v>
      </c>
      <c r="BL1816" t="s">
        <v>2365</v>
      </c>
      <c r="BM1816" t="s">
        <v>2365</v>
      </c>
      <c r="BO1816">
        <v>1</v>
      </c>
      <c r="BP1816">
        <v>11</v>
      </c>
      <c r="BQ1816" t="s">
        <v>2369</v>
      </c>
      <c r="BR1816" t="s">
        <v>1487</v>
      </c>
      <c r="BU1816">
        <v>-345181</v>
      </c>
      <c r="BV1816">
        <v>0</v>
      </c>
      <c r="BW1816">
        <v>-345181</v>
      </c>
      <c r="BX1816">
        <v>345181</v>
      </c>
      <c r="BY1816">
        <v>0</v>
      </c>
      <c r="BZ1816">
        <v>0</v>
      </c>
      <c r="CA1816">
        <v>0</v>
      </c>
      <c r="CB1816">
        <v>0</v>
      </c>
      <c r="CC1816">
        <v>0</v>
      </c>
      <c r="CD1816">
        <v>0</v>
      </c>
      <c r="CE1816">
        <v>0</v>
      </c>
      <c r="CF1816">
        <v>0</v>
      </c>
      <c r="CG1816">
        <v>0</v>
      </c>
      <c r="CH1816">
        <v>0</v>
      </c>
      <c r="CI1816">
        <v>0</v>
      </c>
      <c r="CJ1816">
        <v>0</v>
      </c>
      <c r="CK1816">
        <v>0</v>
      </c>
      <c r="CL1816">
        <v>0</v>
      </c>
      <c r="CM1816">
        <v>0</v>
      </c>
      <c r="CR1816" t="s">
        <v>2328</v>
      </c>
      <c r="CS1816" s="1369" t="str">
        <f>INDEX([8]Sheet1!$H:$H,MATCH(CR:CR,[8]Sheet1!$AU:$AU,0))</f>
        <v>Water Distribution</v>
      </c>
    </row>
    <row r="1817" spans="1:97" x14ac:dyDescent="0.2">
      <c r="A1817" t="s">
        <v>4995</v>
      </c>
      <c r="B1817">
        <v>1915</v>
      </c>
      <c r="C1817" t="s">
        <v>4995</v>
      </c>
      <c r="D1817">
        <v>54915</v>
      </c>
      <c r="E1817" t="s">
        <v>2405</v>
      </c>
      <c r="F1817" t="s">
        <v>2364</v>
      </c>
      <c r="G1817" t="s">
        <v>2364</v>
      </c>
      <c r="H1817" t="s">
        <v>2365</v>
      </c>
      <c r="I1817" t="s">
        <v>2365</v>
      </c>
      <c r="J1817" t="s">
        <v>2365</v>
      </c>
      <c r="K1817" t="s">
        <v>2365</v>
      </c>
      <c r="L1817">
        <v>1200</v>
      </c>
      <c r="M1817" t="s">
        <v>1480</v>
      </c>
      <c r="N1817">
        <v>1204</v>
      </c>
      <c r="O1817" t="s">
        <v>1487</v>
      </c>
      <c r="P1817" t="s">
        <v>2366</v>
      </c>
      <c r="Q1817" t="s">
        <v>2364</v>
      </c>
      <c r="R1817" t="s">
        <v>2364</v>
      </c>
      <c r="S1817" t="s">
        <v>553</v>
      </c>
      <c r="T1817" t="s">
        <v>2175</v>
      </c>
      <c r="U1817">
        <v>120</v>
      </c>
      <c r="V1817" t="s">
        <v>691</v>
      </c>
      <c r="W1817">
        <v>120</v>
      </c>
      <c r="X1817" t="s">
        <v>691</v>
      </c>
      <c r="Y1817" t="s">
        <v>2179</v>
      </c>
      <c r="Z1817" t="s">
        <v>650</v>
      </c>
      <c r="AA1817" t="s">
        <v>2179</v>
      </c>
      <c r="AB1817" t="s">
        <v>650</v>
      </c>
      <c r="AC1817" s="813" t="s">
        <v>2365</v>
      </c>
      <c r="AD1817" s="813" t="s">
        <v>2365</v>
      </c>
      <c r="AE1817" s="813" t="s">
        <v>2365</v>
      </c>
      <c r="AF1817" t="s">
        <v>2365</v>
      </c>
      <c r="AG1817" t="s">
        <v>2365</v>
      </c>
      <c r="AH1817" t="s">
        <v>2365</v>
      </c>
      <c r="AI1817" t="s">
        <v>2365</v>
      </c>
      <c r="AJ1817" t="s">
        <v>2365</v>
      </c>
      <c r="AK1817" t="s">
        <v>2365</v>
      </c>
      <c r="AL1817" t="s">
        <v>2365</v>
      </c>
      <c r="AM1817" t="s">
        <v>2365</v>
      </c>
      <c r="AN1817" t="s">
        <v>2365</v>
      </c>
      <c r="AQ1817" t="s">
        <v>553</v>
      </c>
      <c r="AR1817" t="s">
        <v>2365</v>
      </c>
      <c r="AS1817" t="s">
        <v>2365</v>
      </c>
      <c r="AT1817" t="s">
        <v>2365</v>
      </c>
      <c r="AU1817" t="s">
        <v>2365</v>
      </c>
      <c r="AV1817" t="s">
        <v>2365</v>
      </c>
      <c r="AW1817" t="s">
        <v>2365</v>
      </c>
      <c r="AX1817" t="s">
        <v>2365</v>
      </c>
      <c r="AY1817" t="s">
        <v>2365</v>
      </c>
      <c r="AZ1817" t="s">
        <v>2365</v>
      </c>
      <c r="BA1817" t="s">
        <v>2365</v>
      </c>
      <c r="BB1817" t="s">
        <v>2365</v>
      </c>
      <c r="BC1817" t="s">
        <v>2365</v>
      </c>
      <c r="BD1817" t="s">
        <v>2366</v>
      </c>
      <c r="BE1817" t="s">
        <v>2365</v>
      </c>
      <c r="BF1817" t="s">
        <v>2365</v>
      </c>
      <c r="BG1817" t="s">
        <v>2365</v>
      </c>
      <c r="BH1817" t="s">
        <v>2365</v>
      </c>
      <c r="BI1817" t="s">
        <v>2366</v>
      </c>
      <c r="BJ1817" t="s">
        <v>2365</v>
      </c>
      <c r="BK1817" t="s">
        <v>2365</v>
      </c>
      <c r="BL1817" t="s">
        <v>2365</v>
      </c>
      <c r="BM1817" t="s">
        <v>2365</v>
      </c>
      <c r="BO1817">
        <v>1</v>
      </c>
      <c r="BP1817">
        <v>11</v>
      </c>
      <c r="BQ1817" t="s">
        <v>2369</v>
      </c>
      <c r="BR1817" t="s">
        <v>1487</v>
      </c>
      <c r="BU1817">
        <v>345181</v>
      </c>
      <c r="BV1817">
        <v>0</v>
      </c>
      <c r="BW1817">
        <v>345181</v>
      </c>
      <c r="BX1817">
        <v>-345181</v>
      </c>
      <c r="BY1817">
        <v>0</v>
      </c>
      <c r="BZ1817">
        <v>0</v>
      </c>
      <c r="CA1817">
        <v>0</v>
      </c>
      <c r="CB1817">
        <v>0</v>
      </c>
      <c r="CC1817">
        <v>0</v>
      </c>
      <c r="CD1817">
        <v>0</v>
      </c>
      <c r="CE1817">
        <v>0</v>
      </c>
      <c r="CF1817">
        <v>0</v>
      </c>
      <c r="CG1817">
        <v>0</v>
      </c>
      <c r="CH1817">
        <v>0</v>
      </c>
      <c r="CI1817">
        <v>0</v>
      </c>
      <c r="CJ1817">
        <v>0</v>
      </c>
      <c r="CK1817">
        <v>0</v>
      </c>
      <c r="CL1817">
        <v>0</v>
      </c>
      <c r="CM1817">
        <v>0</v>
      </c>
      <c r="CR1817" t="s">
        <v>2324</v>
      </c>
      <c r="CS1817" s="1369" t="str">
        <f>INDEX([8]Sheet1!$H:$H,MATCH(CR:CR,[8]Sheet1!$AU:$AU,0))</f>
        <v>Finance</v>
      </c>
    </row>
    <row r="1818" spans="1:97" x14ac:dyDescent="0.2">
      <c r="A1818" t="s">
        <v>4996</v>
      </c>
      <c r="B1818">
        <v>1916</v>
      </c>
      <c r="C1818" t="s">
        <v>4996</v>
      </c>
      <c r="D1818">
        <v>54916</v>
      </c>
      <c r="E1818" t="s">
        <v>4903</v>
      </c>
      <c r="F1818" t="s">
        <v>2364</v>
      </c>
      <c r="G1818" t="s">
        <v>2364</v>
      </c>
      <c r="H1818" t="s">
        <v>2365</v>
      </c>
      <c r="I1818" t="s">
        <v>2365</v>
      </c>
      <c r="J1818" t="s">
        <v>2365</v>
      </c>
      <c r="K1818" t="s">
        <v>2365</v>
      </c>
      <c r="L1818">
        <v>1200</v>
      </c>
      <c r="M1818" t="s">
        <v>1480</v>
      </c>
      <c r="N1818">
        <v>1204</v>
      </c>
      <c r="O1818" t="s">
        <v>1487</v>
      </c>
      <c r="P1818" t="s">
        <v>2366</v>
      </c>
      <c r="Q1818" t="s">
        <v>2364</v>
      </c>
      <c r="R1818" t="s">
        <v>2364</v>
      </c>
      <c r="S1818" t="s">
        <v>553</v>
      </c>
      <c r="T1818" t="s">
        <v>2175</v>
      </c>
      <c r="U1818">
        <v>120</v>
      </c>
      <c r="V1818" t="s">
        <v>691</v>
      </c>
      <c r="W1818">
        <v>120</v>
      </c>
      <c r="X1818" t="s">
        <v>691</v>
      </c>
      <c r="Y1818" t="s">
        <v>2365</v>
      </c>
      <c r="Z1818" t="s">
        <v>2365</v>
      </c>
      <c r="AA1818" t="s">
        <v>2365</v>
      </c>
      <c r="AB1818" t="s">
        <v>2365</v>
      </c>
      <c r="AC1818" s="813" t="s">
        <v>2365</v>
      </c>
      <c r="AD1818" s="813" t="s">
        <v>2365</v>
      </c>
      <c r="AE1818" s="813" t="s">
        <v>2365</v>
      </c>
      <c r="AF1818" t="s">
        <v>2365</v>
      </c>
      <c r="AG1818" t="s">
        <v>2365</v>
      </c>
      <c r="AH1818" t="s">
        <v>2365</v>
      </c>
      <c r="AI1818" t="s">
        <v>2365</v>
      </c>
      <c r="AJ1818" t="s">
        <v>2365</v>
      </c>
      <c r="AK1818" t="s">
        <v>2365</v>
      </c>
      <c r="AL1818" t="s">
        <v>2365</v>
      </c>
      <c r="AM1818" t="s">
        <v>2365</v>
      </c>
      <c r="AN1818" t="s">
        <v>2365</v>
      </c>
      <c r="AR1818" t="s">
        <v>2365</v>
      </c>
      <c r="AS1818" t="s">
        <v>2365</v>
      </c>
      <c r="AT1818" t="s">
        <v>2365</v>
      </c>
      <c r="AU1818" t="s">
        <v>2365</v>
      </c>
      <c r="AV1818" t="s">
        <v>2365</v>
      </c>
      <c r="AW1818" t="s">
        <v>2365</v>
      </c>
      <c r="AX1818" t="s">
        <v>2365</v>
      </c>
      <c r="AY1818" t="s">
        <v>2365</v>
      </c>
      <c r="AZ1818" t="s">
        <v>2365</v>
      </c>
      <c r="BA1818" t="s">
        <v>2365</v>
      </c>
      <c r="BB1818" t="s">
        <v>2365</v>
      </c>
      <c r="BC1818" t="s">
        <v>2365</v>
      </c>
      <c r="BD1818" t="s">
        <v>2366</v>
      </c>
      <c r="BE1818" t="s">
        <v>2365</v>
      </c>
      <c r="BF1818" t="s">
        <v>2365</v>
      </c>
      <c r="BG1818" t="s">
        <v>2365</v>
      </c>
      <c r="BH1818" t="s">
        <v>2365</v>
      </c>
      <c r="BI1818" t="s">
        <v>2366</v>
      </c>
      <c r="BJ1818" t="s">
        <v>2365</v>
      </c>
      <c r="BK1818" t="s">
        <v>2365</v>
      </c>
      <c r="BL1818" t="s">
        <v>2365</v>
      </c>
      <c r="BM1818" t="s">
        <v>2365</v>
      </c>
      <c r="BO1818">
        <v>1</v>
      </c>
      <c r="BP1818">
        <v>11</v>
      </c>
      <c r="BQ1818" t="s">
        <v>2369</v>
      </c>
      <c r="BR1818" t="s">
        <v>1487</v>
      </c>
      <c r="BU1818">
        <v>0</v>
      </c>
      <c r="BV1818">
        <v>0</v>
      </c>
      <c r="BW1818">
        <v>0</v>
      </c>
      <c r="BX1818">
        <v>0</v>
      </c>
      <c r="BY1818">
        <v>0</v>
      </c>
      <c r="BZ1818">
        <v>0</v>
      </c>
      <c r="CA1818">
        <v>0</v>
      </c>
      <c r="CB1818">
        <v>0</v>
      </c>
      <c r="CC1818">
        <v>0</v>
      </c>
      <c r="CD1818">
        <v>0</v>
      </c>
      <c r="CE1818">
        <v>0</v>
      </c>
      <c r="CF1818">
        <v>0</v>
      </c>
      <c r="CG1818">
        <v>0</v>
      </c>
      <c r="CH1818">
        <v>0</v>
      </c>
      <c r="CI1818">
        <v>0</v>
      </c>
      <c r="CJ1818">
        <v>0</v>
      </c>
      <c r="CK1818">
        <v>0</v>
      </c>
      <c r="CL1818">
        <v>0</v>
      </c>
      <c r="CM1818">
        <v>0</v>
      </c>
      <c r="CR1818" t="s">
        <v>2324</v>
      </c>
      <c r="CS1818" s="1369" t="str">
        <f>INDEX([8]Sheet1!$H:$H,MATCH(CR:CR,[8]Sheet1!$AU:$AU,0))</f>
        <v>Finance</v>
      </c>
    </row>
    <row r="1819" spans="1:97" x14ac:dyDescent="0.2">
      <c r="A1819" t="s">
        <v>4997</v>
      </c>
      <c r="B1819">
        <v>1917</v>
      </c>
      <c r="C1819" t="s">
        <v>4997</v>
      </c>
      <c r="D1819">
        <v>54917</v>
      </c>
      <c r="E1819" t="s">
        <v>2419</v>
      </c>
      <c r="F1819" t="s">
        <v>2364</v>
      </c>
      <c r="G1819" t="s">
        <v>2364</v>
      </c>
      <c r="H1819" t="s">
        <v>2365</v>
      </c>
      <c r="I1819" t="s">
        <v>2365</v>
      </c>
      <c r="J1819" t="s">
        <v>2365</v>
      </c>
      <c r="K1819" t="s">
        <v>2365</v>
      </c>
      <c r="L1819">
        <v>1200</v>
      </c>
      <c r="M1819" t="s">
        <v>1480</v>
      </c>
      <c r="N1819">
        <v>1204</v>
      </c>
      <c r="O1819" t="s">
        <v>1487</v>
      </c>
      <c r="P1819" t="s">
        <v>2366</v>
      </c>
      <c r="Q1819" t="s">
        <v>2364</v>
      </c>
      <c r="R1819" t="s">
        <v>2364</v>
      </c>
      <c r="S1819" t="s">
        <v>553</v>
      </c>
      <c r="T1819" t="s">
        <v>2175</v>
      </c>
      <c r="U1819">
        <v>120</v>
      </c>
      <c r="V1819" t="s">
        <v>691</v>
      </c>
      <c r="W1819">
        <v>120</v>
      </c>
      <c r="X1819" t="s">
        <v>691</v>
      </c>
      <c r="Y1819" t="s">
        <v>2365</v>
      </c>
      <c r="Z1819" t="s">
        <v>2365</v>
      </c>
      <c r="AA1819" t="s">
        <v>2365</v>
      </c>
      <c r="AB1819" t="s">
        <v>2365</v>
      </c>
      <c r="AC1819" s="813" t="s">
        <v>2365</v>
      </c>
      <c r="AD1819" s="813" t="s">
        <v>2365</v>
      </c>
      <c r="AE1819" s="813" t="s">
        <v>2365</v>
      </c>
      <c r="AF1819" t="s">
        <v>2365</v>
      </c>
      <c r="AG1819" t="s">
        <v>2365</v>
      </c>
      <c r="AH1819" t="s">
        <v>2365</v>
      </c>
      <c r="AI1819" t="s">
        <v>2365</v>
      </c>
      <c r="AJ1819" t="s">
        <v>2365</v>
      </c>
      <c r="AK1819" t="s">
        <v>2365</v>
      </c>
      <c r="AL1819" t="s">
        <v>2365</v>
      </c>
      <c r="AM1819" t="s">
        <v>2365</v>
      </c>
      <c r="AN1819" t="s">
        <v>2365</v>
      </c>
      <c r="AQ1819" t="s">
        <v>2423</v>
      </c>
      <c r="AR1819" t="s">
        <v>2365</v>
      </c>
      <c r="AS1819" t="s">
        <v>2365</v>
      </c>
      <c r="AT1819" t="s">
        <v>2365</v>
      </c>
      <c r="AU1819" t="s">
        <v>2365</v>
      </c>
      <c r="AV1819" t="s">
        <v>2365</v>
      </c>
      <c r="AW1819" t="s">
        <v>2365</v>
      </c>
      <c r="AX1819" t="s">
        <v>2365</v>
      </c>
      <c r="AY1819" t="s">
        <v>2365</v>
      </c>
      <c r="AZ1819" t="s">
        <v>2365</v>
      </c>
      <c r="BA1819" t="s">
        <v>2365</v>
      </c>
      <c r="BB1819" t="s">
        <v>2365</v>
      </c>
      <c r="BC1819" t="s">
        <v>2365</v>
      </c>
      <c r="BD1819" t="s">
        <v>2366</v>
      </c>
      <c r="BE1819" t="s">
        <v>2365</v>
      </c>
      <c r="BF1819" t="s">
        <v>2365</v>
      </c>
      <c r="BG1819" t="s">
        <v>2365</v>
      </c>
      <c r="BH1819" t="s">
        <v>2365</v>
      </c>
      <c r="BI1819" t="s">
        <v>2366</v>
      </c>
      <c r="BJ1819" t="s">
        <v>2365</v>
      </c>
      <c r="BK1819" t="s">
        <v>2365</v>
      </c>
      <c r="BL1819" t="s">
        <v>2365</v>
      </c>
      <c r="BM1819" t="s">
        <v>2365</v>
      </c>
      <c r="BO1819">
        <v>1</v>
      </c>
      <c r="BP1819">
        <v>11</v>
      </c>
      <c r="BQ1819" t="s">
        <v>2369</v>
      </c>
      <c r="BR1819" t="s">
        <v>1487</v>
      </c>
      <c r="BU1819">
        <v>-3850000</v>
      </c>
      <c r="BV1819">
        <v>0</v>
      </c>
      <c r="BW1819">
        <v>-3850000</v>
      </c>
      <c r="BX1819">
        <v>3850000</v>
      </c>
      <c r="BY1819">
        <v>0</v>
      </c>
      <c r="BZ1819">
        <v>0</v>
      </c>
      <c r="CA1819">
        <v>0</v>
      </c>
      <c r="CB1819">
        <v>0</v>
      </c>
      <c r="CC1819">
        <v>0</v>
      </c>
      <c r="CD1819">
        <v>0</v>
      </c>
      <c r="CE1819">
        <v>0</v>
      </c>
      <c r="CF1819">
        <v>0</v>
      </c>
      <c r="CG1819">
        <v>0</v>
      </c>
      <c r="CH1819">
        <v>0</v>
      </c>
      <c r="CI1819">
        <v>0</v>
      </c>
      <c r="CJ1819">
        <v>0</v>
      </c>
      <c r="CK1819">
        <v>0</v>
      </c>
      <c r="CL1819">
        <v>0</v>
      </c>
      <c r="CM1819">
        <v>0</v>
      </c>
      <c r="CR1819" t="s">
        <v>2324</v>
      </c>
      <c r="CS1819" s="1369" t="str">
        <f>INDEX([8]Sheet1!$H:$H,MATCH(CR:CR,[8]Sheet1!$AU:$AU,0))</f>
        <v>Finance</v>
      </c>
    </row>
    <row r="1820" spans="1:97" x14ac:dyDescent="0.2">
      <c r="A1820" t="s">
        <v>4998</v>
      </c>
      <c r="B1820">
        <v>1918</v>
      </c>
      <c r="C1820" t="s">
        <v>4998</v>
      </c>
      <c r="D1820">
        <v>54918</v>
      </c>
      <c r="E1820" t="s">
        <v>4901</v>
      </c>
      <c r="F1820" t="s">
        <v>2364</v>
      </c>
      <c r="G1820" t="s">
        <v>2364</v>
      </c>
      <c r="H1820" t="s">
        <v>2365</v>
      </c>
      <c r="I1820" t="s">
        <v>2365</v>
      </c>
      <c r="J1820" t="s">
        <v>2365</v>
      </c>
      <c r="K1820" t="s">
        <v>2365</v>
      </c>
      <c r="L1820">
        <v>1200</v>
      </c>
      <c r="M1820" t="s">
        <v>1480</v>
      </c>
      <c r="N1820">
        <v>1204</v>
      </c>
      <c r="O1820" t="s">
        <v>1487</v>
      </c>
      <c r="P1820" t="s">
        <v>2366</v>
      </c>
      <c r="Q1820" t="s">
        <v>2364</v>
      </c>
      <c r="R1820" t="s">
        <v>2364</v>
      </c>
      <c r="S1820" t="s">
        <v>553</v>
      </c>
      <c r="T1820" t="s">
        <v>2175</v>
      </c>
      <c r="U1820">
        <v>120</v>
      </c>
      <c r="V1820" t="s">
        <v>691</v>
      </c>
      <c r="W1820">
        <v>120</v>
      </c>
      <c r="X1820" t="s">
        <v>691</v>
      </c>
      <c r="Y1820" t="s">
        <v>2365</v>
      </c>
      <c r="Z1820" t="s">
        <v>2365</v>
      </c>
      <c r="AA1820" t="s">
        <v>2365</v>
      </c>
      <c r="AB1820" t="s">
        <v>2365</v>
      </c>
      <c r="AC1820" s="813">
        <v>200</v>
      </c>
      <c r="AD1820" s="813" t="s">
        <v>4443</v>
      </c>
      <c r="AE1820" s="813">
        <v>480</v>
      </c>
      <c r="AF1820" t="s">
        <v>569</v>
      </c>
      <c r="AG1820" t="s">
        <v>2365</v>
      </c>
      <c r="AH1820" t="s">
        <v>2365</v>
      </c>
      <c r="AI1820" t="s">
        <v>2365</v>
      </c>
      <c r="AJ1820" t="s">
        <v>2365</v>
      </c>
      <c r="AK1820" t="s">
        <v>2365</v>
      </c>
      <c r="AL1820" t="s">
        <v>2365</v>
      </c>
      <c r="AM1820" t="s">
        <v>2365</v>
      </c>
      <c r="AN1820" t="s">
        <v>2365</v>
      </c>
      <c r="AR1820" t="s">
        <v>2365</v>
      </c>
      <c r="AS1820" t="s">
        <v>2365</v>
      </c>
      <c r="AT1820" t="s">
        <v>2365</v>
      </c>
      <c r="AU1820" t="s">
        <v>2365</v>
      </c>
      <c r="AV1820" t="s">
        <v>2365</v>
      </c>
      <c r="AW1820" t="s">
        <v>2365</v>
      </c>
      <c r="AX1820" t="s">
        <v>2365</v>
      </c>
      <c r="AY1820" t="s">
        <v>2365</v>
      </c>
      <c r="AZ1820" t="s">
        <v>2365</v>
      </c>
      <c r="BA1820" t="s">
        <v>2365</v>
      </c>
      <c r="BB1820" t="s">
        <v>2365</v>
      </c>
      <c r="BC1820" t="s">
        <v>2365</v>
      </c>
      <c r="BD1820" t="s">
        <v>2366</v>
      </c>
      <c r="BE1820" t="s">
        <v>2365</v>
      </c>
      <c r="BF1820" t="s">
        <v>2365</v>
      </c>
      <c r="BG1820" t="s">
        <v>2365</v>
      </c>
      <c r="BH1820" t="s">
        <v>2365</v>
      </c>
      <c r="BI1820" t="s">
        <v>2366</v>
      </c>
      <c r="BJ1820" t="s">
        <v>2365</v>
      </c>
      <c r="BK1820" t="s">
        <v>2365</v>
      </c>
      <c r="BL1820" t="s">
        <v>2365</v>
      </c>
      <c r="BM1820" t="s">
        <v>2365</v>
      </c>
      <c r="BO1820">
        <v>1</v>
      </c>
      <c r="BP1820">
        <v>11</v>
      </c>
      <c r="BQ1820" t="s">
        <v>2369</v>
      </c>
      <c r="BR1820" t="s">
        <v>1487</v>
      </c>
      <c r="BU1820">
        <v>0</v>
      </c>
      <c r="BV1820">
        <v>0</v>
      </c>
      <c r="BW1820">
        <v>0</v>
      </c>
      <c r="BX1820">
        <v>0</v>
      </c>
      <c r="BY1820">
        <v>0</v>
      </c>
      <c r="BZ1820">
        <v>0</v>
      </c>
      <c r="CA1820">
        <v>0</v>
      </c>
      <c r="CB1820">
        <v>0</v>
      </c>
      <c r="CC1820">
        <v>0</v>
      </c>
      <c r="CD1820">
        <v>0</v>
      </c>
      <c r="CE1820">
        <v>0</v>
      </c>
      <c r="CF1820">
        <v>0</v>
      </c>
      <c r="CG1820">
        <v>0</v>
      </c>
      <c r="CH1820">
        <v>0</v>
      </c>
      <c r="CI1820">
        <v>0</v>
      </c>
      <c r="CJ1820">
        <v>0</v>
      </c>
      <c r="CK1820">
        <v>0</v>
      </c>
      <c r="CL1820">
        <v>0</v>
      </c>
      <c r="CM1820">
        <v>0</v>
      </c>
      <c r="CR1820" t="s">
        <v>2324</v>
      </c>
      <c r="CS1820" s="1369" t="str">
        <f>INDEX([8]Sheet1!$H:$H,MATCH(CR:CR,[8]Sheet1!$AU:$AU,0))</f>
        <v>Finance</v>
      </c>
    </row>
    <row r="1821" spans="1:97" x14ac:dyDescent="0.2">
      <c r="A1821" t="s">
        <v>4999</v>
      </c>
      <c r="B1821">
        <v>1919</v>
      </c>
      <c r="C1821" t="s">
        <v>4999</v>
      </c>
      <c r="D1821">
        <v>54919</v>
      </c>
      <c r="E1821" t="s">
        <v>2419</v>
      </c>
      <c r="F1821" t="s">
        <v>2364</v>
      </c>
      <c r="G1821" t="s">
        <v>2364</v>
      </c>
      <c r="H1821" t="s">
        <v>2365</v>
      </c>
      <c r="I1821" t="s">
        <v>2365</v>
      </c>
      <c r="J1821" t="s">
        <v>2365</v>
      </c>
      <c r="K1821" t="s">
        <v>2365</v>
      </c>
      <c r="L1821">
        <v>1200</v>
      </c>
      <c r="M1821" t="s">
        <v>1480</v>
      </c>
      <c r="N1821">
        <v>1204</v>
      </c>
      <c r="O1821" t="s">
        <v>1487</v>
      </c>
      <c r="P1821" t="s">
        <v>2366</v>
      </c>
      <c r="Q1821" t="s">
        <v>2364</v>
      </c>
      <c r="R1821" t="s">
        <v>2364</v>
      </c>
      <c r="S1821" t="s">
        <v>553</v>
      </c>
      <c r="T1821" t="s">
        <v>2175</v>
      </c>
      <c r="U1821">
        <v>120</v>
      </c>
      <c r="V1821" t="s">
        <v>691</v>
      </c>
      <c r="W1821">
        <v>120</v>
      </c>
      <c r="X1821" t="s">
        <v>691</v>
      </c>
      <c r="Y1821" t="s">
        <v>4862</v>
      </c>
      <c r="Z1821" t="s">
        <v>723</v>
      </c>
      <c r="AA1821" t="s">
        <v>4862</v>
      </c>
      <c r="AB1821" t="s">
        <v>723</v>
      </c>
      <c r="AC1821" s="813" t="s">
        <v>2365</v>
      </c>
      <c r="AD1821" s="813" t="s">
        <v>2365</v>
      </c>
      <c r="AE1821" s="813" t="s">
        <v>2365</v>
      </c>
      <c r="AF1821" t="s">
        <v>2365</v>
      </c>
      <c r="AG1821" t="s">
        <v>2365</v>
      </c>
      <c r="AH1821" t="s">
        <v>2365</v>
      </c>
      <c r="AI1821" t="s">
        <v>2365</v>
      </c>
      <c r="AJ1821" t="s">
        <v>2365</v>
      </c>
      <c r="AK1821" t="s">
        <v>2365</v>
      </c>
      <c r="AL1821" t="s">
        <v>2365</v>
      </c>
      <c r="AM1821" t="s">
        <v>2365</v>
      </c>
      <c r="AN1821" t="s">
        <v>2365</v>
      </c>
      <c r="AQ1821" t="s">
        <v>2423</v>
      </c>
      <c r="AR1821" t="s">
        <v>2365</v>
      </c>
      <c r="AS1821" t="s">
        <v>2365</v>
      </c>
      <c r="AT1821" t="s">
        <v>2365</v>
      </c>
      <c r="AU1821" t="s">
        <v>2365</v>
      </c>
      <c r="AV1821" t="s">
        <v>2365</v>
      </c>
      <c r="AW1821" t="s">
        <v>2365</v>
      </c>
      <c r="AX1821" t="s">
        <v>2365</v>
      </c>
      <c r="AY1821" t="s">
        <v>2365</v>
      </c>
      <c r="AZ1821" t="s">
        <v>2365</v>
      </c>
      <c r="BA1821" t="s">
        <v>2365</v>
      </c>
      <c r="BB1821" t="s">
        <v>2365</v>
      </c>
      <c r="BC1821" t="s">
        <v>2365</v>
      </c>
      <c r="BD1821" t="s">
        <v>2366</v>
      </c>
      <c r="BE1821" t="s">
        <v>2365</v>
      </c>
      <c r="BF1821" t="s">
        <v>2365</v>
      </c>
      <c r="BG1821" t="s">
        <v>2365</v>
      </c>
      <c r="BH1821" t="s">
        <v>2365</v>
      </c>
      <c r="BI1821" t="s">
        <v>2366</v>
      </c>
      <c r="BJ1821" t="s">
        <v>2365</v>
      </c>
      <c r="BK1821" t="s">
        <v>2365</v>
      </c>
      <c r="BL1821" t="s">
        <v>2365</v>
      </c>
      <c r="BM1821" t="s">
        <v>2365</v>
      </c>
      <c r="BO1821">
        <v>1</v>
      </c>
      <c r="BP1821">
        <v>11</v>
      </c>
      <c r="BQ1821" t="s">
        <v>2369</v>
      </c>
      <c r="BR1821" t="s">
        <v>1487</v>
      </c>
      <c r="BU1821">
        <v>-1883321</v>
      </c>
      <c r="BV1821">
        <v>0</v>
      </c>
      <c r="BW1821">
        <v>-1883321</v>
      </c>
      <c r="BX1821">
        <v>1883321</v>
      </c>
      <c r="BY1821">
        <v>0</v>
      </c>
      <c r="BZ1821">
        <v>0</v>
      </c>
      <c r="CA1821">
        <v>0</v>
      </c>
      <c r="CB1821">
        <v>0</v>
      </c>
      <c r="CC1821">
        <v>0</v>
      </c>
      <c r="CD1821">
        <v>0</v>
      </c>
      <c r="CE1821">
        <v>0</v>
      </c>
      <c r="CF1821">
        <v>0</v>
      </c>
      <c r="CG1821">
        <v>0</v>
      </c>
      <c r="CH1821">
        <v>0</v>
      </c>
      <c r="CI1821">
        <v>0</v>
      </c>
      <c r="CJ1821">
        <v>0</v>
      </c>
      <c r="CK1821">
        <v>0</v>
      </c>
      <c r="CL1821">
        <v>0</v>
      </c>
      <c r="CM1821">
        <v>0</v>
      </c>
      <c r="CR1821" t="s">
        <v>2324</v>
      </c>
      <c r="CS1821" s="1369" t="str">
        <f>INDEX([8]Sheet1!$H:$H,MATCH(CR:CR,[8]Sheet1!$AU:$AU,0))</f>
        <v>Finance</v>
      </c>
    </row>
    <row r="1822" spans="1:97" x14ac:dyDescent="0.2">
      <c r="A1822" t="s">
        <v>5000</v>
      </c>
      <c r="B1822">
        <v>1920</v>
      </c>
      <c r="C1822" t="s">
        <v>5000</v>
      </c>
      <c r="D1822">
        <v>54920</v>
      </c>
      <c r="E1822" t="s">
        <v>4903</v>
      </c>
      <c r="F1822" t="s">
        <v>2364</v>
      </c>
      <c r="G1822" t="s">
        <v>2364</v>
      </c>
      <c r="H1822" t="s">
        <v>2365</v>
      </c>
      <c r="I1822" t="s">
        <v>2365</v>
      </c>
      <c r="J1822" t="s">
        <v>2365</v>
      </c>
      <c r="K1822" t="s">
        <v>2365</v>
      </c>
      <c r="L1822">
        <v>1200</v>
      </c>
      <c r="M1822" t="s">
        <v>1480</v>
      </c>
      <c r="N1822">
        <v>1204</v>
      </c>
      <c r="O1822" t="s">
        <v>1487</v>
      </c>
      <c r="P1822" t="s">
        <v>2366</v>
      </c>
      <c r="Q1822" t="s">
        <v>2364</v>
      </c>
      <c r="R1822" t="s">
        <v>2364</v>
      </c>
      <c r="S1822" t="s">
        <v>553</v>
      </c>
      <c r="T1822" t="s">
        <v>2175</v>
      </c>
      <c r="U1822">
        <v>120</v>
      </c>
      <c r="V1822" t="s">
        <v>691</v>
      </c>
      <c r="W1822">
        <v>120</v>
      </c>
      <c r="X1822" t="s">
        <v>691</v>
      </c>
      <c r="Y1822" t="s">
        <v>2365</v>
      </c>
      <c r="Z1822" t="s">
        <v>2365</v>
      </c>
      <c r="AA1822" t="s">
        <v>2365</v>
      </c>
      <c r="AB1822" t="s">
        <v>2365</v>
      </c>
      <c r="AC1822" s="813" t="s">
        <v>2365</v>
      </c>
      <c r="AD1822" s="813" t="s">
        <v>2365</v>
      </c>
      <c r="AE1822" s="813" t="s">
        <v>2365</v>
      </c>
      <c r="AF1822" t="s">
        <v>2365</v>
      </c>
      <c r="AG1822" t="s">
        <v>2365</v>
      </c>
      <c r="AH1822" t="s">
        <v>2365</v>
      </c>
      <c r="AI1822" t="s">
        <v>2365</v>
      </c>
      <c r="AJ1822" t="s">
        <v>2365</v>
      </c>
      <c r="AK1822" t="s">
        <v>2365</v>
      </c>
      <c r="AL1822" t="s">
        <v>2365</v>
      </c>
      <c r="AM1822" t="s">
        <v>2365</v>
      </c>
      <c r="AN1822" t="s">
        <v>2365</v>
      </c>
      <c r="AR1822" t="s">
        <v>2365</v>
      </c>
      <c r="AS1822" t="s">
        <v>2365</v>
      </c>
      <c r="AT1822" t="s">
        <v>2365</v>
      </c>
      <c r="AU1822" t="s">
        <v>2365</v>
      </c>
      <c r="AV1822" t="s">
        <v>2365</v>
      </c>
      <c r="AW1822" t="s">
        <v>2365</v>
      </c>
      <c r="AX1822" t="s">
        <v>2365</v>
      </c>
      <c r="AY1822" t="s">
        <v>2365</v>
      </c>
      <c r="AZ1822" t="s">
        <v>2365</v>
      </c>
      <c r="BA1822" t="s">
        <v>2365</v>
      </c>
      <c r="BB1822" t="s">
        <v>2365</v>
      </c>
      <c r="BC1822" t="s">
        <v>2365</v>
      </c>
      <c r="BD1822" t="s">
        <v>2366</v>
      </c>
      <c r="BE1822" t="s">
        <v>2365</v>
      </c>
      <c r="BF1822" t="s">
        <v>2365</v>
      </c>
      <c r="BG1822" t="s">
        <v>2365</v>
      </c>
      <c r="BH1822" t="s">
        <v>2365</v>
      </c>
      <c r="BI1822" t="s">
        <v>2366</v>
      </c>
      <c r="BJ1822" t="s">
        <v>2365</v>
      </c>
      <c r="BK1822" t="s">
        <v>2365</v>
      </c>
      <c r="BL1822" t="s">
        <v>2365</v>
      </c>
      <c r="BM1822" t="s">
        <v>2365</v>
      </c>
      <c r="BO1822">
        <v>1</v>
      </c>
      <c r="BP1822">
        <v>11</v>
      </c>
      <c r="BQ1822" t="s">
        <v>2369</v>
      </c>
      <c r="BR1822" t="s">
        <v>1487</v>
      </c>
      <c r="BU1822">
        <v>0</v>
      </c>
      <c r="BV1822">
        <v>0</v>
      </c>
      <c r="BW1822">
        <v>0</v>
      </c>
      <c r="BX1822">
        <v>0</v>
      </c>
      <c r="BY1822">
        <v>0</v>
      </c>
      <c r="BZ1822">
        <v>0</v>
      </c>
      <c r="CA1822">
        <v>0</v>
      </c>
      <c r="CB1822">
        <v>0</v>
      </c>
      <c r="CC1822">
        <v>0</v>
      </c>
      <c r="CD1822">
        <v>0</v>
      </c>
      <c r="CE1822">
        <v>0</v>
      </c>
      <c r="CF1822">
        <v>0</v>
      </c>
      <c r="CG1822">
        <v>0</v>
      </c>
      <c r="CH1822">
        <v>0</v>
      </c>
      <c r="CI1822">
        <v>0</v>
      </c>
      <c r="CJ1822">
        <v>0</v>
      </c>
      <c r="CK1822">
        <v>0</v>
      </c>
      <c r="CL1822">
        <v>0</v>
      </c>
      <c r="CM1822">
        <v>0</v>
      </c>
      <c r="CR1822" t="s">
        <v>2324</v>
      </c>
      <c r="CS1822" s="1369" t="str">
        <f>INDEX([8]Sheet1!$H:$H,MATCH(CR:CR,[8]Sheet1!$AU:$AU,0))</f>
        <v>Finance</v>
      </c>
    </row>
    <row r="1823" spans="1:97" x14ac:dyDescent="0.2">
      <c r="A1823" t="s">
        <v>5001</v>
      </c>
      <c r="B1823">
        <v>1921</v>
      </c>
      <c r="C1823" t="s">
        <v>5001</v>
      </c>
      <c r="D1823">
        <v>54921</v>
      </c>
      <c r="E1823" t="s">
        <v>4901</v>
      </c>
      <c r="F1823" t="s">
        <v>2364</v>
      </c>
      <c r="G1823" t="s">
        <v>2364</v>
      </c>
      <c r="H1823" t="s">
        <v>2365</v>
      </c>
      <c r="I1823" t="s">
        <v>2365</v>
      </c>
      <c r="J1823" t="s">
        <v>2365</v>
      </c>
      <c r="K1823" t="s">
        <v>2365</v>
      </c>
      <c r="L1823">
        <v>1200</v>
      </c>
      <c r="M1823" t="s">
        <v>1480</v>
      </c>
      <c r="N1823">
        <v>1204</v>
      </c>
      <c r="O1823" t="s">
        <v>1487</v>
      </c>
      <c r="P1823" t="s">
        <v>2366</v>
      </c>
      <c r="Q1823" t="s">
        <v>2364</v>
      </c>
      <c r="R1823" t="s">
        <v>2364</v>
      </c>
      <c r="S1823" t="s">
        <v>553</v>
      </c>
      <c r="T1823" t="s">
        <v>2175</v>
      </c>
      <c r="U1823">
        <v>120</v>
      </c>
      <c r="V1823" t="s">
        <v>691</v>
      </c>
      <c r="W1823">
        <v>120</v>
      </c>
      <c r="X1823" t="s">
        <v>691</v>
      </c>
      <c r="Y1823" t="s">
        <v>2365</v>
      </c>
      <c r="Z1823" t="s">
        <v>2365</v>
      </c>
      <c r="AA1823" t="s">
        <v>2365</v>
      </c>
      <c r="AB1823" t="s">
        <v>2365</v>
      </c>
      <c r="AC1823" s="813">
        <v>200</v>
      </c>
      <c r="AD1823" s="813" t="s">
        <v>4443</v>
      </c>
      <c r="AE1823" s="813">
        <v>480</v>
      </c>
      <c r="AF1823" t="s">
        <v>569</v>
      </c>
      <c r="AG1823" t="s">
        <v>2365</v>
      </c>
      <c r="AH1823" t="s">
        <v>2365</v>
      </c>
      <c r="AI1823" t="s">
        <v>2365</v>
      </c>
      <c r="AJ1823" t="s">
        <v>2365</v>
      </c>
      <c r="AK1823" t="s">
        <v>2365</v>
      </c>
      <c r="AL1823" t="s">
        <v>2365</v>
      </c>
      <c r="AM1823" t="s">
        <v>2365</v>
      </c>
      <c r="AN1823" t="s">
        <v>2365</v>
      </c>
      <c r="AR1823" t="s">
        <v>2365</v>
      </c>
      <c r="AS1823" t="s">
        <v>2365</v>
      </c>
      <c r="AT1823" t="s">
        <v>2365</v>
      </c>
      <c r="AU1823" t="s">
        <v>2365</v>
      </c>
      <c r="AV1823" t="s">
        <v>2365</v>
      </c>
      <c r="AW1823" t="s">
        <v>2365</v>
      </c>
      <c r="AX1823" t="s">
        <v>2365</v>
      </c>
      <c r="AY1823" t="s">
        <v>2365</v>
      </c>
      <c r="AZ1823" t="s">
        <v>2365</v>
      </c>
      <c r="BA1823" t="s">
        <v>2365</v>
      </c>
      <c r="BB1823" t="s">
        <v>2365</v>
      </c>
      <c r="BC1823" t="s">
        <v>2365</v>
      </c>
      <c r="BD1823" t="s">
        <v>2366</v>
      </c>
      <c r="BE1823" t="s">
        <v>2365</v>
      </c>
      <c r="BF1823" t="s">
        <v>2365</v>
      </c>
      <c r="BG1823" t="s">
        <v>2365</v>
      </c>
      <c r="BH1823" t="s">
        <v>2365</v>
      </c>
      <c r="BI1823" t="s">
        <v>2366</v>
      </c>
      <c r="BJ1823" t="s">
        <v>2365</v>
      </c>
      <c r="BK1823" t="s">
        <v>2365</v>
      </c>
      <c r="BL1823" t="s">
        <v>2365</v>
      </c>
      <c r="BM1823" t="s">
        <v>2365</v>
      </c>
      <c r="BO1823">
        <v>1</v>
      </c>
      <c r="BP1823">
        <v>11</v>
      </c>
      <c r="BQ1823" t="s">
        <v>2369</v>
      </c>
      <c r="BR1823" t="s">
        <v>1487</v>
      </c>
      <c r="BU1823">
        <v>0</v>
      </c>
      <c r="BV1823">
        <v>0</v>
      </c>
      <c r="BW1823">
        <v>0</v>
      </c>
      <c r="BX1823">
        <v>0</v>
      </c>
      <c r="BY1823">
        <v>0</v>
      </c>
      <c r="BZ1823">
        <v>0</v>
      </c>
      <c r="CA1823">
        <v>0</v>
      </c>
      <c r="CB1823">
        <v>0</v>
      </c>
      <c r="CC1823">
        <v>0</v>
      </c>
      <c r="CD1823">
        <v>0</v>
      </c>
      <c r="CE1823">
        <v>0</v>
      </c>
      <c r="CF1823">
        <v>0</v>
      </c>
      <c r="CG1823">
        <v>0</v>
      </c>
      <c r="CH1823">
        <v>0</v>
      </c>
      <c r="CI1823">
        <v>0</v>
      </c>
      <c r="CJ1823">
        <v>0</v>
      </c>
      <c r="CK1823">
        <v>0</v>
      </c>
      <c r="CL1823">
        <v>0</v>
      </c>
      <c r="CM1823">
        <v>0</v>
      </c>
      <c r="CR1823" t="s">
        <v>2328</v>
      </c>
      <c r="CS1823" s="1369" t="str">
        <f>INDEX([8]Sheet1!$H:$H,MATCH(CR:CR,[8]Sheet1!$AU:$AU,0))</f>
        <v>Water Distribution</v>
      </c>
    </row>
    <row r="1824" spans="1:97" x14ac:dyDescent="0.2">
      <c r="A1824" t="s">
        <v>5002</v>
      </c>
      <c r="B1824">
        <v>1922</v>
      </c>
      <c r="C1824" t="s">
        <v>5002</v>
      </c>
      <c r="D1824">
        <v>54922</v>
      </c>
      <c r="E1824" t="s">
        <v>4898</v>
      </c>
      <c r="F1824" t="s">
        <v>2364</v>
      </c>
      <c r="G1824" t="s">
        <v>2364</v>
      </c>
      <c r="H1824" t="s">
        <v>2365</v>
      </c>
      <c r="I1824" t="s">
        <v>2365</v>
      </c>
      <c r="J1824" t="s">
        <v>2365</v>
      </c>
      <c r="K1824" t="s">
        <v>2365</v>
      </c>
      <c r="L1824">
        <v>1200</v>
      </c>
      <c r="M1824" t="s">
        <v>1480</v>
      </c>
      <c r="N1824">
        <v>1204</v>
      </c>
      <c r="O1824" t="s">
        <v>1487</v>
      </c>
      <c r="P1824" t="s">
        <v>2366</v>
      </c>
      <c r="Q1824" t="s">
        <v>2364</v>
      </c>
      <c r="R1824" t="s">
        <v>2364</v>
      </c>
      <c r="S1824" t="s">
        <v>553</v>
      </c>
      <c r="T1824" t="s">
        <v>2175</v>
      </c>
      <c r="U1824">
        <v>120</v>
      </c>
      <c r="V1824" t="s">
        <v>691</v>
      </c>
      <c r="W1824">
        <v>120</v>
      </c>
      <c r="X1824" t="s">
        <v>691</v>
      </c>
      <c r="Y1824" t="s">
        <v>2365</v>
      </c>
      <c r="Z1824" t="s">
        <v>2365</v>
      </c>
      <c r="AA1824" t="s">
        <v>2365</v>
      </c>
      <c r="AB1824" t="s">
        <v>2365</v>
      </c>
      <c r="AC1824" s="813">
        <v>420</v>
      </c>
      <c r="AD1824" s="813" t="s">
        <v>4866</v>
      </c>
      <c r="AE1824" s="813">
        <v>560</v>
      </c>
      <c r="AF1824" t="s">
        <v>4866</v>
      </c>
      <c r="AG1824" t="s">
        <v>2365</v>
      </c>
      <c r="AH1824" t="s">
        <v>2365</v>
      </c>
      <c r="AI1824" t="s">
        <v>2365</v>
      </c>
      <c r="AJ1824" t="s">
        <v>2365</v>
      </c>
      <c r="AK1824" t="s">
        <v>2365</v>
      </c>
      <c r="AL1824" t="s">
        <v>2365</v>
      </c>
      <c r="AM1824" t="s">
        <v>2365</v>
      </c>
      <c r="AN1824" t="s">
        <v>2365</v>
      </c>
      <c r="AR1824" t="s">
        <v>2365</v>
      </c>
      <c r="AS1824" t="s">
        <v>2365</v>
      </c>
      <c r="AT1824" t="s">
        <v>2365</v>
      </c>
      <c r="AU1824" t="s">
        <v>2365</v>
      </c>
      <c r="AV1824" t="s">
        <v>2365</v>
      </c>
      <c r="AW1824" t="s">
        <v>2365</v>
      </c>
      <c r="AX1824" t="s">
        <v>2365</v>
      </c>
      <c r="AY1824" t="s">
        <v>2365</v>
      </c>
      <c r="AZ1824" t="s">
        <v>2365</v>
      </c>
      <c r="BA1824" t="s">
        <v>2365</v>
      </c>
      <c r="BB1824" t="s">
        <v>2365</v>
      </c>
      <c r="BC1824" t="s">
        <v>2365</v>
      </c>
      <c r="BD1824" t="s">
        <v>2366</v>
      </c>
      <c r="BE1824" t="s">
        <v>2365</v>
      </c>
      <c r="BF1824" t="s">
        <v>2365</v>
      </c>
      <c r="BG1824" t="s">
        <v>2365</v>
      </c>
      <c r="BH1824" t="s">
        <v>2365</v>
      </c>
      <c r="BI1824" t="s">
        <v>2366</v>
      </c>
      <c r="BJ1824" t="s">
        <v>2365</v>
      </c>
      <c r="BK1824" t="s">
        <v>2365</v>
      </c>
      <c r="BL1824" t="s">
        <v>2365</v>
      </c>
      <c r="BM1824" t="s">
        <v>2365</v>
      </c>
      <c r="BO1824">
        <v>1</v>
      </c>
      <c r="BP1824">
        <v>11</v>
      </c>
      <c r="BQ1824" t="s">
        <v>2369</v>
      </c>
      <c r="BR1824" t="s">
        <v>1487</v>
      </c>
      <c r="BU1824">
        <v>0</v>
      </c>
      <c r="BV1824">
        <v>0</v>
      </c>
      <c r="BW1824">
        <v>0</v>
      </c>
      <c r="BX1824">
        <v>0</v>
      </c>
      <c r="BY1824">
        <v>0</v>
      </c>
      <c r="BZ1824">
        <v>0</v>
      </c>
      <c r="CA1824">
        <v>0</v>
      </c>
      <c r="CB1824">
        <v>0</v>
      </c>
      <c r="CC1824">
        <v>0</v>
      </c>
      <c r="CD1824">
        <v>0</v>
      </c>
      <c r="CE1824">
        <v>0</v>
      </c>
      <c r="CF1824">
        <v>0</v>
      </c>
      <c r="CG1824">
        <v>0</v>
      </c>
      <c r="CH1824">
        <v>0</v>
      </c>
      <c r="CI1824">
        <v>0</v>
      </c>
      <c r="CJ1824">
        <v>0</v>
      </c>
      <c r="CK1824">
        <v>0</v>
      </c>
      <c r="CL1824">
        <v>0</v>
      </c>
      <c r="CM1824">
        <v>0</v>
      </c>
      <c r="CR1824" t="s">
        <v>2328</v>
      </c>
      <c r="CS1824" s="1369" t="str">
        <f>INDEX([8]Sheet1!$H:$H,MATCH(CR:CR,[8]Sheet1!$AU:$AU,0))</f>
        <v>Water Distribution</v>
      </c>
    </row>
    <row r="1825" spans="1:97" x14ac:dyDescent="0.2">
      <c r="A1825" t="s">
        <v>5003</v>
      </c>
      <c r="B1825">
        <v>1923</v>
      </c>
      <c r="C1825" t="s">
        <v>5003</v>
      </c>
      <c r="D1825">
        <v>54923</v>
      </c>
      <c r="E1825" t="s">
        <v>2405</v>
      </c>
      <c r="F1825" t="s">
        <v>2364</v>
      </c>
      <c r="G1825" t="s">
        <v>2364</v>
      </c>
      <c r="H1825" t="s">
        <v>2365</v>
      </c>
      <c r="I1825" t="s">
        <v>2365</v>
      </c>
      <c r="J1825" t="s">
        <v>2365</v>
      </c>
      <c r="K1825" t="s">
        <v>2365</v>
      </c>
      <c r="L1825">
        <v>1200</v>
      </c>
      <c r="M1825" t="s">
        <v>1480</v>
      </c>
      <c r="N1825">
        <v>1204</v>
      </c>
      <c r="O1825" t="s">
        <v>1487</v>
      </c>
      <c r="P1825" t="s">
        <v>2366</v>
      </c>
      <c r="Q1825" t="s">
        <v>2364</v>
      </c>
      <c r="R1825" t="s">
        <v>2364</v>
      </c>
      <c r="S1825" t="s">
        <v>553</v>
      </c>
      <c r="T1825" t="s">
        <v>2175</v>
      </c>
      <c r="U1825">
        <v>120</v>
      </c>
      <c r="V1825" t="s">
        <v>691</v>
      </c>
      <c r="W1825">
        <v>120</v>
      </c>
      <c r="X1825" t="s">
        <v>691</v>
      </c>
      <c r="Y1825" t="s">
        <v>2365</v>
      </c>
      <c r="Z1825" t="s">
        <v>2365</v>
      </c>
      <c r="AA1825" t="s">
        <v>2365</v>
      </c>
      <c r="AB1825" t="s">
        <v>2365</v>
      </c>
      <c r="AC1825" s="813" t="s">
        <v>2365</v>
      </c>
      <c r="AD1825" s="813" t="s">
        <v>2365</v>
      </c>
      <c r="AE1825" s="813" t="s">
        <v>2365</v>
      </c>
      <c r="AF1825" t="s">
        <v>2365</v>
      </c>
      <c r="AG1825" t="s">
        <v>2365</v>
      </c>
      <c r="AH1825" t="s">
        <v>2365</v>
      </c>
      <c r="AI1825" t="s">
        <v>2365</v>
      </c>
      <c r="AJ1825" t="s">
        <v>2365</v>
      </c>
      <c r="AK1825" t="s">
        <v>2365</v>
      </c>
      <c r="AL1825" t="s">
        <v>2365</v>
      </c>
      <c r="AM1825" t="s">
        <v>2365</v>
      </c>
      <c r="AN1825" t="s">
        <v>2365</v>
      </c>
      <c r="AQ1825" t="s">
        <v>553</v>
      </c>
      <c r="AR1825" t="s">
        <v>2365</v>
      </c>
      <c r="AS1825" t="s">
        <v>2365</v>
      </c>
      <c r="AT1825" t="s">
        <v>2365</v>
      </c>
      <c r="AU1825" t="s">
        <v>2365</v>
      </c>
      <c r="AV1825" t="s">
        <v>2365</v>
      </c>
      <c r="AW1825" t="s">
        <v>2365</v>
      </c>
      <c r="AX1825" t="s">
        <v>2365</v>
      </c>
      <c r="AY1825" t="s">
        <v>2365</v>
      </c>
      <c r="AZ1825" t="s">
        <v>2365</v>
      </c>
      <c r="BA1825" t="s">
        <v>2365</v>
      </c>
      <c r="BB1825" t="s">
        <v>2365</v>
      </c>
      <c r="BC1825" t="s">
        <v>2365</v>
      </c>
      <c r="BD1825" t="s">
        <v>2366</v>
      </c>
      <c r="BE1825" t="s">
        <v>2365</v>
      </c>
      <c r="BF1825" t="s">
        <v>2365</v>
      </c>
      <c r="BG1825" t="s">
        <v>2365</v>
      </c>
      <c r="BH1825" t="s">
        <v>2365</v>
      </c>
      <c r="BI1825" t="s">
        <v>2366</v>
      </c>
      <c r="BJ1825" t="s">
        <v>2365</v>
      </c>
      <c r="BK1825" t="s">
        <v>2365</v>
      </c>
      <c r="BL1825" t="s">
        <v>2365</v>
      </c>
      <c r="BM1825" t="s">
        <v>2365</v>
      </c>
      <c r="BO1825">
        <v>1</v>
      </c>
      <c r="BP1825">
        <v>11</v>
      </c>
      <c r="BQ1825" t="s">
        <v>2369</v>
      </c>
      <c r="BR1825" t="s">
        <v>1487</v>
      </c>
      <c r="BU1825">
        <v>3850000</v>
      </c>
      <c r="BV1825">
        <v>0</v>
      </c>
      <c r="BW1825">
        <v>3850000</v>
      </c>
      <c r="BX1825">
        <v>-3850000</v>
      </c>
      <c r="BY1825">
        <v>0</v>
      </c>
      <c r="BZ1825">
        <v>0</v>
      </c>
      <c r="CA1825">
        <v>0</v>
      </c>
      <c r="CB1825">
        <v>0</v>
      </c>
      <c r="CC1825">
        <v>0</v>
      </c>
      <c r="CD1825">
        <v>0</v>
      </c>
      <c r="CE1825">
        <v>0</v>
      </c>
      <c r="CF1825">
        <v>0</v>
      </c>
      <c r="CG1825">
        <v>0</v>
      </c>
      <c r="CH1825">
        <v>0</v>
      </c>
      <c r="CI1825">
        <v>0</v>
      </c>
      <c r="CJ1825">
        <v>0</v>
      </c>
      <c r="CK1825">
        <v>0</v>
      </c>
      <c r="CL1825">
        <v>0</v>
      </c>
      <c r="CM1825">
        <v>0</v>
      </c>
      <c r="CR1825" t="s">
        <v>2328</v>
      </c>
      <c r="CS1825" s="1369" t="str">
        <f>INDEX([8]Sheet1!$H:$H,MATCH(CR:CR,[8]Sheet1!$AU:$AU,0))</f>
        <v>Water Distribution</v>
      </c>
    </row>
    <row r="1826" spans="1:97" x14ac:dyDescent="0.2">
      <c r="A1826" t="s">
        <v>5004</v>
      </c>
      <c r="B1826">
        <v>1924</v>
      </c>
      <c r="C1826" t="s">
        <v>5004</v>
      </c>
      <c r="D1826">
        <v>54924</v>
      </c>
      <c r="E1826" t="s">
        <v>4898</v>
      </c>
      <c r="F1826" t="s">
        <v>2364</v>
      </c>
      <c r="G1826" t="s">
        <v>2364</v>
      </c>
      <c r="H1826" t="s">
        <v>2365</v>
      </c>
      <c r="I1826" t="s">
        <v>2365</v>
      </c>
      <c r="J1826" t="s">
        <v>2365</v>
      </c>
      <c r="K1826" t="s">
        <v>2365</v>
      </c>
      <c r="L1826">
        <v>1200</v>
      </c>
      <c r="M1826" t="s">
        <v>1480</v>
      </c>
      <c r="N1826">
        <v>1204</v>
      </c>
      <c r="O1826" t="s">
        <v>1487</v>
      </c>
      <c r="P1826" t="s">
        <v>2366</v>
      </c>
      <c r="Q1826" t="s">
        <v>2364</v>
      </c>
      <c r="R1826" t="s">
        <v>2364</v>
      </c>
      <c r="S1826" t="s">
        <v>553</v>
      </c>
      <c r="T1826" t="s">
        <v>2175</v>
      </c>
      <c r="U1826">
        <v>120</v>
      </c>
      <c r="V1826" t="s">
        <v>691</v>
      </c>
      <c r="W1826">
        <v>120</v>
      </c>
      <c r="X1826" t="s">
        <v>691</v>
      </c>
      <c r="Y1826" t="s">
        <v>2365</v>
      </c>
      <c r="Z1826" t="s">
        <v>2365</v>
      </c>
      <c r="AA1826" t="s">
        <v>2365</v>
      </c>
      <c r="AB1826" t="s">
        <v>2365</v>
      </c>
      <c r="AC1826" s="813">
        <v>420</v>
      </c>
      <c r="AD1826" s="813" t="s">
        <v>4866</v>
      </c>
      <c r="AE1826" s="813">
        <v>560</v>
      </c>
      <c r="AF1826" t="s">
        <v>4866</v>
      </c>
      <c r="AG1826" t="s">
        <v>2365</v>
      </c>
      <c r="AH1826" t="s">
        <v>2365</v>
      </c>
      <c r="AI1826" t="s">
        <v>2365</v>
      </c>
      <c r="AJ1826" t="s">
        <v>2365</v>
      </c>
      <c r="AK1826" t="s">
        <v>2365</v>
      </c>
      <c r="AL1826" t="s">
        <v>2365</v>
      </c>
      <c r="AM1826" t="s">
        <v>2365</v>
      </c>
      <c r="AN1826" t="s">
        <v>2365</v>
      </c>
      <c r="AR1826" t="s">
        <v>2365</v>
      </c>
      <c r="AS1826" t="s">
        <v>2365</v>
      </c>
      <c r="AT1826" t="s">
        <v>2365</v>
      </c>
      <c r="AU1826" t="s">
        <v>2365</v>
      </c>
      <c r="AV1826" t="s">
        <v>2365</v>
      </c>
      <c r="AW1826" t="s">
        <v>2365</v>
      </c>
      <c r="AX1826" t="s">
        <v>2365</v>
      </c>
      <c r="AY1826" t="s">
        <v>2365</v>
      </c>
      <c r="AZ1826" t="s">
        <v>2365</v>
      </c>
      <c r="BA1826" t="s">
        <v>2365</v>
      </c>
      <c r="BB1826" t="s">
        <v>2365</v>
      </c>
      <c r="BC1826" t="s">
        <v>2365</v>
      </c>
      <c r="BD1826" t="s">
        <v>2366</v>
      </c>
      <c r="BE1826" t="s">
        <v>2365</v>
      </c>
      <c r="BF1826" t="s">
        <v>2365</v>
      </c>
      <c r="BG1826" t="s">
        <v>2365</v>
      </c>
      <c r="BH1826" t="s">
        <v>2365</v>
      </c>
      <c r="BI1826" t="s">
        <v>2366</v>
      </c>
      <c r="BJ1826" t="s">
        <v>2365</v>
      </c>
      <c r="BK1826" t="s">
        <v>2365</v>
      </c>
      <c r="BL1826" t="s">
        <v>2365</v>
      </c>
      <c r="BM1826" t="s">
        <v>2365</v>
      </c>
      <c r="BO1826">
        <v>1</v>
      </c>
      <c r="BP1826">
        <v>11</v>
      </c>
      <c r="BQ1826" t="s">
        <v>2369</v>
      </c>
      <c r="BR1826" t="s">
        <v>1487</v>
      </c>
      <c r="BU1826">
        <v>0</v>
      </c>
      <c r="BV1826">
        <v>0</v>
      </c>
      <c r="BW1826">
        <v>0</v>
      </c>
      <c r="BX1826">
        <v>0</v>
      </c>
      <c r="BY1826">
        <v>0</v>
      </c>
      <c r="BZ1826">
        <v>0</v>
      </c>
      <c r="CA1826">
        <v>0</v>
      </c>
      <c r="CB1826">
        <v>0</v>
      </c>
      <c r="CC1826">
        <v>0</v>
      </c>
      <c r="CD1826">
        <v>0</v>
      </c>
      <c r="CE1826">
        <v>0</v>
      </c>
      <c r="CF1826">
        <v>0</v>
      </c>
      <c r="CG1826">
        <v>0</v>
      </c>
      <c r="CH1826">
        <v>0</v>
      </c>
      <c r="CI1826">
        <v>0</v>
      </c>
      <c r="CJ1826">
        <v>0</v>
      </c>
      <c r="CK1826">
        <v>0</v>
      </c>
      <c r="CL1826">
        <v>0</v>
      </c>
      <c r="CM1826">
        <v>0</v>
      </c>
      <c r="CR1826" t="s">
        <v>2328</v>
      </c>
      <c r="CS1826" s="1369" t="str">
        <f>INDEX([8]Sheet1!$H:$H,MATCH(CR:CR,[8]Sheet1!$AU:$AU,0))</f>
        <v>Water Distribution</v>
      </c>
    </row>
    <row r="1827" spans="1:97" x14ac:dyDescent="0.2">
      <c r="A1827" t="s">
        <v>5005</v>
      </c>
      <c r="B1827">
        <v>1925</v>
      </c>
      <c r="C1827" t="s">
        <v>5005</v>
      </c>
      <c r="D1827">
        <v>54925</v>
      </c>
      <c r="E1827" t="s">
        <v>2405</v>
      </c>
      <c r="F1827" t="s">
        <v>2364</v>
      </c>
      <c r="G1827" t="s">
        <v>2364</v>
      </c>
      <c r="H1827" t="s">
        <v>2365</v>
      </c>
      <c r="I1827" t="s">
        <v>2365</v>
      </c>
      <c r="J1827" t="s">
        <v>2365</v>
      </c>
      <c r="K1827" t="s">
        <v>2365</v>
      </c>
      <c r="L1827">
        <v>1200</v>
      </c>
      <c r="M1827" t="s">
        <v>1480</v>
      </c>
      <c r="N1827">
        <v>1204</v>
      </c>
      <c r="O1827" t="s">
        <v>1487</v>
      </c>
      <c r="P1827" t="s">
        <v>2366</v>
      </c>
      <c r="Q1827" t="s">
        <v>2364</v>
      </c>
      <c r="R1827" t="s">
        <v>2364</v>
      </c>
      <c r="S1827" t="s">
        <v>553</v>
      </c>
      <c r="T1827" t="s">
        <v>2175</v>
      </c>
      <c r="U1827">
        <v>120</v>
      </c>
      <c r="V1827" t="s">
        <v>691</v>
      </c>
      <c r="W1827">
        <v>120</v>
      </c>
      <c r="X1827" t="s">
        <v>691</v>
      </c>
      <c r="Y1827" t="s">
        <v>4865</v>
      </c>
      <c r="Z1827" t="s">
        <v>723</v>
      </c>
      <c r="AA1827" t="s">
        <v>4865</v>
      </c>
      <c r="AB1827" t="s">
        <v>723</v>
      </c>
      <c r="AC1827" s="813" t="s">
        <v>2365</v>
      </c>
      <c r="AD1827" s="813" t="s">
        <v>2365</v>
      </c>
      <c r="AE1827" s="813" t="s">
        <v>2365</v>
      </c>
      <c r="AF1827" t="s">
        <v>2365</v>
      </c>
      <c r="AG1827" t="s">
        <v>2365</v>
      </c>
      <c r="AH1827" t="s">
        <v>2365</v>
      </c>
      <c r="AI1827" t="s">
        <v>2365</v>
      </c>
      <c r="AJ1827" t="s">
        <v>2365</v>
      </c>
      <c r="AK1827" t="s">
        <v>2365</v>
      </c>
      <c r="AL1827" t="s">
        <v>2365</v>
      </c>
      <c r="AM1827" t="s">
        <v>2365</v>
      </c>
      <c r="AN1827" t="s">
        <v>2365</v>
      </c>
      <c r="AQ1827" t="s">
        <v>553</v>
      </c>
      <c r="AR1827" t="s">
        <v>2365</v>
      </c>
      <c r="AS1827" t="s">
        <v>2365</v>
      </c>
      <c r="AT1827" t="s">
        <v>2365</v>
      </c>
      <c r="AU1827" t="s">
        <v>2365</v>
      </c>
      <c r="AV1827" t="s">
        <v>2365</v>
      </c>
      <c r="AW1827" t="s">
        <v>2365</v>
      </c>
      <c r="AX1827" t="s">
        <v>2365</v>
      </c>
      <c r="AY1827" t="s">
        <v>2365</v>
      </c>
      <c r="AZ1827" t="s">
        <v>2365</v>
      </c>
      <c r="BA1827" t="s">
        <v>2365</v>
      </c>
      <c r="BB1827" t="s">
        <v>2365</v>
      </c>
      <c r="BC1827" t="s">
        <v>2365</v>
      </c>
      <c r="BD1827" t="s">
        <v>2366</v>
      </c>
      <c r="BE1827" t="s">
        <v>2365</v>
      </c>
      <c r="BF1827" t="s">
        <v>2365</v>
      </c>
      <c r="BG1827" t="s">
        <v>2365</v>
      </c>
      <c r="BH1827" t="s">
        <v>2365</v>
      </c>
      <c r="BI1827" t="s">
        <v>2366</v>
      </c>
      <c r="BJ1827" t="s">
        <v>2365</v>
      </c>
      <c r="BK1827" t="s">
        <v>2365</v>
      </c>
      <c r="BL1827" t="s">
        <v>2365</v>
      </c>
      <c r="BM1827" t="s">
        <v>2365</v>
      </c>
      <c r="BO1827">
        <v>1</v>
      </c>
      <c r="BP1827">
        <v>11</v>
      </c>
      <c r="BQ1827" t="s">
        <v>2369</v>
      </c>
      <c r="BR1827" t="s">
        <v>1487</v>
      </c>
      <c r="BU1827">
        <v>1883321</v>
      </c>
      <c r="BV1827">
        <v>0</v>
      </c>
      <c r="BW1827">
        <v>1883321</v>
      </c>
      <c r="BX1827">
        <v>-1883321</v>
      </c>
      <c r="BY1827">
        <v>0</v>
      </c>
      <c r="BZ1827">
        <v>0</v>
      </c>
      <c r="CA1827">
        <v>0</v>
      </c>
      <c r="CB1827">
        <v>0</v>
      </c>
      <c r="CC1827">
        <v>0</v>
      </c>
      <c r="CD1827">
        <v>0</v>
      </c>
      <c r="CE1827">
        <v>0</v>
      </c>
      <c r="CF1827">
        <v>0</v>
      </c>
      <c r="CG1827">
        <v>0</v>
      </c>
      <c r="CH1827">
        <v>0</v>
      </c>
      <c r="CI1827">
        <v>0</v>
      </c>
      <c r="CJ1827">
        <v>0</v>
      </c>
      <c r="CK1827">
        <v>0</v>
      </c>
      <c r="CL1827">
        <v>0</v>
      </c>
      <c r="CM1827">
        <v>0</v>
      </c>
      <c r="CR1827" t="s">
        <v>2328</v>
      </c>
      <c r="CS1827" s="1369" t="str">
        <f>INDEX([8]Sheet1!$H:$H,MATCH(CR:CR,[8]Sheet1!$AU:$AU,0))</f>
        <v>Water Distribution</v>
      </c>
    </row>
    <row r="1828" spans="1:97" x14ac:dyDescent="0.2">
      <c r="A1828" t="s">
        <v>5006</v>
      </c>
      <c r="B1828">
        <v>1926</v>
      </c>
      <c r="C1828" t="s">
        <v>5006</v>
      </c>
      <c r="D1828">
        <v>54926</v>
      </c>
      <c r="E1828" t="s">
        <v>2419</v>
      </c>
      <c r="F1828" t="s">
        <v>2364</v>
      </c>
      <c r="G1828" t="s">
        <v>2364</v>
      </c>
      <c r="H1828" t="s">
        <v>2365</v>
      </c>
      <c r="I1828" t="s">
        <v>2365</v>
      </c>
      <c r="J1828" t="s">
        <v>2365</v>
      </c>
      <c r="K1828" t="s">
        <v>2365</v>
      </c>
      <c r="L1828">
        <v>1200</v>
      </c>
      <c r="M1828" t="s">
        <v>1480</v>
      </c>
      <c r="N1828">
        <v>1204</v>
      </c>
      <c r="O1828" t="s">
        <v>1487</v>
      </c>
      <c r="P1828" t="s">
        <v>2366</v>
      </c>
      <c r="Q1828" t="s">
        <v>2364</v>
      </c>
      <c r="R1828" t="s">
        <v>2364</v>
      </c>
      <c r="S1828" t="s">
        <v>553</v>
      </c>
      <c r="T1828" t="s">
        <v>2175</v>
      </c>
      <c r="U1828">
        <v>120</v>
      </c>
      <c r="V1828" t="s">
        <v>691</v>
      </c>
      <c r="W1828">
        <v>120</v>
      </c>
      <c r="X1828" t="s">
        <v>691</v>
      </c>
      <c r="Y1828" t="s">
        <v>4994</v>
      </c>
      <c r="Z1828" t="s">
        <v>650</v>
      </c>
      <c r="AA1828" t="s">
        <v>4994</v>
      </c>
      <c r="AB1828" t="s">
        <v>650</v>
      </c>
      <c r="AC1828" s="813" t="s">
        <v>2365</v>
      </c>
      <c r="AD1828" s="813" t="s">
        <v>2365</v>
      </c>
      <c r="AE1828" s="813" t="s">
        <v>2365</v>
      </c>
      <c r="AF1828" t="s">
        <v>2365</v>
      </c>
      <c r="AG1828" t="s">
        <v>2365</v>
      </c>
      <c r="AH1828" t="s">
        <v>2365</v>
      </c>
      <c r="AI1828" t="s">
        <v>2365</v>
      </c>
      <c r="AJ1828" t="s">
        <v>2365</v>
      </c>
      <c r="AK1828" t="s">
        <v>2365</v>
      </c>
      <c r="AL1828" t="s">
        <v>2365</v>
      </c>
      <c r="AM1828" t="s">
        <v>2365</v>
      </c>
      <c r="AN1828" t="s">
        <v>2365</v>
      </c>
      <c r="AQ1828" t="s">
        <v>2423</v>
      </c>
      <c r="AR1828" t="s">
        <v>2365</v>
      </c>
      <c r="AS1828" t="s">
        <v>2365</v>
      </c>
      <c r="AT1828" t="s">
        <v>2365</v>
      </c>
      <c r="AU1828" t="s">
        <v>2365</v>
      </c>
      <c r="AV1828" t="s">
        <v>2365</v>
      </c>
      <c r="AW1828" t="s">
        <v>2365</v>
      </c>
      <c r="AX1828" t="s">
        <v>2365</v>
      </c>
      <c r="AY1828" t="s">
        <v>2365</v>
      </c>
      <c r="AZ1828" t="s">
        <v>2365</v>
      </c>
      <c r="BA1828" t="s">
        <v>2365</v>
      </c>
      <c r="BB1828" t="s">
        <v>2365</v>
      </c>
      <c r="BC1828" t="s">
        <v>2365</v>
      </c>
      <c r="BD1828" t="s">
        <v>2366</v>
      </c>
      <c r="BE1828" t="s">
        <v>2365</v>
      </c>
      <c r="BF1828" t="s">
        <v>2365</v>
      </c>
      <c r="BG1828" t="s">
        <v>2365</v>
      </c>
      <c r="BH1828" t="s">
        <v>2365</v>
      </c>
      <c r="BI1828" t="s">
        <v>2366</v>
      </c>
      <c r="BJ1828" t="s">
        <v>2365</v>
      </c>
      <c r="BK1828" t="s">
        <v>2365</v>
      </c>
      <c r="BL1828" t="s">
        <v>2365</v>
      </c>
      <c r="BM1828" t="s">
        <v>2365</v>
      </c>
      <c r="BO1828">
        <v>1</v>
      </c>
      <c r="BP1828">
        <v>11</v>
      </c>
      <c r="BQ1828" t="s">
        <v>2369</v>
      </c>
      <c r="BR1828" t="s">
        <v>1487</v>
      </c>
      <c r="BU1828">
        <v>-30000</v>
      </c>
      <c r="BV1828">
        <v>0</v>
      </c>
      <c r="BW1828">
        <v>-30000</v>
      </c>
      <c r="BX1828">
        <v>30000</v>
      </c>
      <c r="BY1828">
        <v>0</v>
      </c>
      <c r="BZ1828">
        <v>0</v>
      </c>
      <c r="CA1828">
        <v>0</v>
      </c>
      <c r="CB1828">
        <v>0</v>
      </c>
      <c r="CC1828">
        <v>0</v>
      </c>
      <c r="CD1828">
        <v>0</v>
      </c>
      <c r="CE1828">
        <v>0</v>
      </c>
      <c r="CF1828">
        <v>0</v>
      </c>
      <c r="CG1828">
        <v>0</v>
      </c>
      <c r="CH1828">
        <v>0</v>
      </c>
      <c r="CI1828">
        <v>0</v>
      </c>
      <c r="CJ1828">
        <v>0</v>
      </c>
      <c r="CK1828">
        <v>0</v>
      </c>
      <c r="CL1828">
        <v>0</v>
      </c>
      <c r="CM1828">
        <v>0</v>
      </c>
      <c r="CR1828" t="s">
        <v>2328</v>
      </c>
      <c r="CS1828" s="1369" t="str">
        <f>INDEX([8]Sheet1!$H:$H,MATCH(CR:CR,[8]Sheet1!$AU:$AU,0))</f>
        <v>Water Distribution</v>
      </c>
    </row>
    <row r="1829" spans="1:97" x14ac:dyDescent="0.2">
      <c r="A1829" t="s">
        <v>5007</v>
      </c>
      <c r="B1829">
        <v>1927</v>
      </c>
      <c r="C1829" t="s">
        <v>5007</v>
      </c>
      <c r="D1829">
        <v>54927</v>
      </c>
      <c r="E1829" t="s">
        <v>4898</v>
      </c>
      <c r="F1829" t="s">
        <v>2364</v>
      </c>
      <c r="G1829" t="s">
        <v>2364</v>
      </c>
      <c r="H1829" t="s">
        <v>2365</v>
      </c>
      <c r="I1829" t="s">
        <v>2365</v>
      </c>
      <c r="J1829" t="s">
        <v>2365</v>
      </c>
      <c r="K1829" t="s">
        <v>2365</v>
      </c>
      <c r="L1829">
        <v>1200</v>
      </c>
      <c r="M1829" t="s">
        <v>1480</v>
      </c>
      <c r="N1829">
        <v>1204</v>
      </c>
      <c r="O1829" t="s">
        <v>1487</v>
      </c>
      <c r="P1829" t="s">
        <v>2366</v>
      </c>
      <c r="Q1829" t="s">
        <v>2364</v>
      </c>
      <c r="R1829" t="s">
        <v>2364</v>
      </c>
      <c r="S1829" t="s">
        <v>553</v>
      </c>
      <c r="T1829" t="s">
        <v>2175</v>
      </c>
      <c r="U1829">
        <v>120</v>
      </c>
      <c r="V1829" t="s">
        <v>691</v>
      </c>
      <c r="W1829">
        <v>120</v>
      </c>
      <c r="X1829" t="s">
        <v>691</v>
      </c>
      <c r="Y1829" t="s">
        <v>2365</v>
      </c>
      <c r="Z1829" t="s">
        <v>2365</v>
      </c>
      <c r="AA1829" t="s">
        <v>2365</v>
      </c>
      <c r="AB1829" t="s">
        <v>2365</v>
      </c>
      <c r="AC1829" s="813">
        <v>420</v>
      </c>
      <c r="AD1829" s="813" t="s">
        <v>4866</v>
      </c>
      <c r="AE1829" s="813">
        <v>560</v>
      </c>
      <c r="AF1829" t="s">
        <v>4866</v>
      </c>
      <c r="AG1829" t="s">
        <v>2365</v>
      </c>
      <c r="AH1829" t="s">
        <v>2365</v>
      </c>
      <c r="AI1829" t="s">
        <v>2365</v>
      </c>
      <c r="AJ1829" t="s">
        <v>2365</v>
      </c>
      <c r="AK1829" s="1373" t="s">
        <v>2365</v>
      </c>
      <c r="AL1829" t="s">
        <v>2365</v>
      </c>
      <c r="AM1829" t="s">
        <v>2365</v>
      </c>
      <c r="AN1829" t="s">
        <v>2365</v>
      </c>
      <c r="AR1829" t="s">
        <v>2365</v>
      </c>
      <c r="AS1829" t="s">
        <v>2365</v>
      </c>
      <c r="AT1829" t="s">
        <v>2365</v>
      </c>
      <c r="AU1829" t="s">
        <v>2365</v>
      </c>
      <c r="AV1829" t="s">
        <v>2365</v>
      </c>
      <c r="AW1829" t="s">
        <v>2365</v>
      </c>
      <c r="AX1829" t="s">
        <v>2365</v>
      </c>
      <c r="AY1829" t="s">
        <v>2365</v>
      </c>
      <c r="AZ1829" t="s">
        <v>2365</v>
      </c>
      <c r="BA1829" t="s">
        <v>2365</v>
      </c>
      <c r="BB1829" t="s">
        <v>2365</v>
      </c>
      <c r="BC1829" t="s">
        <v>2365</v>
      </c>
      <c r="BD1829" t="s">
        <v>2366</v>
      </c>
      <c r="BE1829" t="s">
        <v>2365</v>
      </c>
      <c r="BF1829" t="s">
        <v>2365</v>
      </c>
      <c r="BG1829" t="s">
        <v>2365</v>
      </c>
      <c r="BH1829" t="s">
        <v>2365</v>
      </c>
      <c r="BI1829" t="s">
        <v>2366</v>
      </c>
      <c r="BJ1829" t="s">
        <v>2365</v>
      </c>
      <c r="BK1829" t="s">
        <v>2365</v>
      </c>
      <c r="BL1829" t="s">
        <v>2365</v>
      </c>
      <c r="BM1829" t="s">
        <v>2365</v>
      </c>
      <c r="BO1829">
        <v>1</v>
      </c>
      <c r="BP1829">
        <v>11</v>
      </c>
      <c r="BQ1829" t="s">
        <v>2369</v>
      </c>
      <c r="BR1829" t="s">
        <v>1487</v>
      </c>
      <c r="BU1829">
        <v>0</v>
      </c>
      <c r="BV1829">
        <v>0</v>
      </c>
      <c r="BW1829">
        <v>0</v>
      </c>
      <c r="BX1829">
        <v>0</v>
      </c>
      <c r="BY1829">
        <v>0</v>
      </c>
      <c r="BZ1829">
        <v>0</v>
      </c>
      <c r="CA1829">
        <v>0</v>
      </c>
      <c r="CB1829">
        <v>0</v>
      </c>
      <c r="CC1829">
        <v>0</v>
      </c>
      <c r="CD1829">
        <v>0</v>
      </c>
      <c r="CE1829">
        <v>0</v>
      </c>
      <c r="CF1829">
        <v>0</v>
      </c>
      <c r="CG1829">
        <v>0</v>
      </c>
      <c r="CH1829">
        <v>0</v>
      </c>
      <c r="CI1829">
        <v>0</v>
      </c>
      <c r="CJ1829">
        <v>0</v>
      </c>
      <c r="CK1829">
        <v>0</v>
      </c>
      <c r="CL1829">
        <v>0</v>
      </c>
      <c r="CM1829">
        <v>0</v>
      </c>
      <c r="CR1829" t="s">
        <v>2328</v>
      </c>
      <c r="CS1829" s="1369" t="str">
        <f>INDEX([8]Sheet1!$H:$H,MATCH(CR:CR,[8]Sheet1!$AU:$AU,0))</f>
        <v>Water Distribution</v>
      </c>
    </row>
    <row r="1830" spans="1:97" x14ac:dyDescent="0.2">
      <c r="A1830" t="s">
        <v>5008</v>
      </c>
      <c r="B1830">
        <v>1928</v>
      </c>
      <c r="C1830" t="s">
        <v>5008</v>
      </c>
      <c r="D1830">
        <v>54928</v>
      </c>
      <c r="E1830" t="s">
        <v>4901</v>
      </c>
      <c r="F1830" t="s">
        <v>2364</v>
      </c>
      <c r="G1830" t="s">
        <v>2364</v>
      </c>
      <c r="H1830" t="s">
        <v>2365</v>
      </c>
      <c r="I1830" t="s">
        <v>2365</v>
      </c>
      <c r="J1830" t="s">
        <v>2365</v>
      </c>
      <c r="K1830" t="s">
        <v>2365</v>
      </c>
      <c r="L1830">
        <v>1200</v>
      </c>
      <c r="M1830" t="s">
        <v>1480</v>
      </c>
      <c r="N1830">
        <v>1204</v>
      </c>
      <c r="O1830" t="s">
        <v>1487</v>
      </c>
      <c r="P1830" t="s">
        <v>2366</v>
      </c>
      <c r="Q1830" t="s">
        <v>2364</v>
      </c>
      <c r="R1830" t="s">
        <v>2364</v>
      </c>
      <c r="S1830" t="s">
        <v>553</v>
      </c>
      <c r="T1830" t="s">
        <v>2175</v>
      </c>
      <c r="U1830">
        <v>120</v>
      </c>
      <c r="V1830" t="s">
        <v>691</v>
      </c>
      <c r="W1830">
        <v>120</v>
      </c>
      <c r="X1830" t="s">
        <v>691</v>
      </c>
      <c r="Y1830" t="s">
        <v>2365</v>
      </c>
      <c r="Z1830" t="s">
        <v>2365</v>
      </c>
      <c r="AA1830" t="s">
        <v>2365</v>
      </c>
      <c r="AB1830" t="s">
        <v>2365</v>
      </c>
      <c r="AC1830" s="813">
        <v>200</v>
      </c>
      <c r="AD1830" s="813" t="s">
        <v>4443</v>
      </c>
      <c r="AE1830" s="813">
        <v>480</v>
      </c>
      <c r="AF1830" t="s">
        <v>569</v>
      </c>
      <c r="AG1830" t="s">
        <v>2365</v>
      </c>
      <c r="AH1830" t="s">
        <v>2365</v>
      </c>
      <c r="AI1830" t="s">
        <v>2365</v>
      </c>
      <c r="AJ1830" t="s">
        <v>2365</v>
      </c>
      <c r="AK1830" s="1373" t="s">
        <v>2365</v>
      </c>
      <c r="AL1830" t="s">
        <v>2365</v>
      </c>
      <c r="AM1830" t="s">
        <v>2365</v>
      </c>
      <c r="AN1830" t="s">
        <v>2365</v>
      </c>
      <c r="AR1830" t="s">
        <v>2365</v>
      </c>
      <c r="AS1830" t="s">
        <v>2365</v>
      </c>
      <c r="AT1830" t="s">
        <v>2365</v>
      </c>
      <c r="AU1830" t="s">
        <v>2365</v>
      </c>
      <c r="AV1830" t="s">
        <v>2365</v>
      </c>
      <c r="AW1830" t="s">
        <v>2365</v>
      </c>
      <c r="AX1830" t="s">
        <v>2365</v>
      </c>
      <c r="AY1830" t="s">
        <v>2365</v>
      </c>
      <c r="AZ1830" t="s">
        <v>2365</v>
      </c>
      <c r="BA1830" t="s">
        <v>2365</v>
      </c>
      <c r="BB1830" t="s">
        <v>2365</v>
      </c>
      <c r="BC1830" t="s">
        <v>2365</v>
      </c>
      <c r="BD1830" t="s">
        <v>2366</v>
      </c>
      <c r="BE1830" t="s">
        <v>2365</v>
      </c>
      <c r="BF1830" t="s">
        <v>2365</v>
      </c>
      <c r="BG1830" t="s">
        <v>2365</v>
      </c>
      <c r="BH1830" t="s">
        <v>2365</v>
      </c>
      <c r="BI1830" t="s">
        <v>2366</v>
      </c>
      <c r="BJ1830" t="s">
        <v>2365</v>
      </c>
      <c r="BK1830" t="s">
        <v>2365</v>
      </c>
      <c r="BL1830" t="s">
        <v>2365</v>
      </c>
      <c r="BM1830" t="s">
        <v>2365</v>
      </c>
      <c r="BO1830">
        <v>1</v>
      </c>
      <c r="BP1830">
        <v>11</v>
      </c>
      <c r="BQ1830" t="s">
        <v>2369</v>
      </c>
      <c r="BR1830" t="s">
        <v>1487</v>
      </c>
      <c r="BU1830">
        <v>0</v>
      </c>
      <c r="BV1830">
        <v>0</v>
      </c>
      <c r="BW1830">
        <v>0</v>
      </c>
      <c r="BX1830">
        <v>0</v>
      </c>
      <c r="BY1830">
        <v>0</v>
      </c>
      <c r="BZ1830">
        <v>0</v>
      </c>
      <c r="CA1830">
        <v>0</v>
      </c>
      <c r="CB1830">
        <v>0</v>
      </c>
      <c r="CC1830">
        <v>0</v>
      </c>
      <c r="CD1830">
        <v>0</v>
      </c>
      <c r="CE1830">
        <v>0</v>
      </c>
      <c r="CF1830">
        <v>0</v>
      </c>
      <c r="CG1830">
        <v>0</v>
      </c>
      <c r="CH1830">
        <v>0</v>
      </c>
      <c r="CI1830">
        <v>0</v>
      </c>
      <c r="CJ1830">
        <v>0</v>
      </c>
      <c r="CK1830">
        <v>0</v>
      </c>
      <c r="CL1830">
        <v>0</v>
      </c>
      <c r="CM1830">
        <v>0</v>
      </c>
      <c r="CR1830" t="s">
        <v>2328</v>
      </c>
      <c r="CS1830" s="1369" t="str">
        <f>INDEX([8]Sheet1!$H:$H,MATCH(CR:CR,[8]Sheet1!$AU:$AU,0))</f>
        <v>Water Distribution</v>
      </c>
    </row>
    <row r="1831" spans="1:97" x14ac:dyDescent="0.2">
      <c r="A1831" t="s">
        <v>5009</v>
      </c>
      <c r="B1831">
        <v>1929</v>
      </c>
      <c r="C1831" t="s">
        <v>5009</v>
      </c>
      <c r="D1831">
        <v>54929</v>
      </c>
      <c r="E1831" t="s">
        <v>4903</v>
      </c>
      <c r="F1831" t="s">
        <v>2364</v>
      </c>
      <c r="G1831" t="s">
        <v>2364</v>
      </c>
      <c r="H1831" t="s">
        <v>2365</v>
      </c>
      <c r="I1831" t="s">
        <v>2365</v>
      </c>
      <c r="J1831" t="s">
        <v>2365</v>
      </c>
      <c r="K1831" t="s">
        <v>2365</v>
      </c>
      <c r="L1831">
        <v>1200</v>
      </c>
      <c r="M1831" t="s">
        <v>1480</v>
      </c>
      <c r="N1831">
        <v>1204</v>
      </c>
      <c r="O1831" t="s">
        <v>1487</v>
      </c>
      <c r="P1831" t="s">
        <v>2366</v>
      </c>
      <c r="Q1831" t="s">
        <v>2364</v>
      </c>
      <c r="R1831" t="s">
        <v>2364</v>
      </c>
      <c r="S1831" t="s">
        <v>553</v>
      </c>
      <c r="T1831" t="s">
        <v>2175</v>
      </c>
      <c r="U1831">
        <v>120</v>
      </c>
      <c r="V1831" t="s">
        <v>691</v>
      </c>
      <c r="W1831">
        <v>120</v>
      </c>
      <c r="X1831" t="s">
        <v>691</v>
      </c>
      <c r="Y1831" t="s">
        <v>2365</v>
      </c>
      <c r="Z1831" t="s">
        <v>2365</v>
      </c>
      <c r="AA1831" t="s">
        <v>2365</v>
      </c>
      <c r="AB1831" t="s">
        <v>2365</v>
      </c>
      <c r="AC1831" s="813" t="s">
        <v>2365</v>
      </c>
      <c r="AD1831" s="813" t="s">
        <v>2365</v>
      </c>
      <c r="AE1831" s="813" t="s">
        <v>2365</v>
      </c>
      <c r="AF1831" t="s">
        <v>2365</v>
      </c>
      <c r="AG1831" t="s">
        <v>2365</v>
      </c>
      <c r="AH1831" t="s">
        <v>2365</v>
      </c>
      <c r="AI1831" t="s">
        <v>2365</v>
      </c>
      <c r="AJ1831" t="s">
        <v>2365</v>
      </c>
      <c r="AK1831" t="s">
        <v>2365</v>
      </c>
      <c r="AL1831" t="s">
        <v>2365</v>
      </c>
      <c r="AM1831" t="s">
        <v>2365</v>
      </c>
      <c r="AN1831" t="s">
        <v>2365</v>
      </c>
      <c r="AR1831" t="s">
        <v>2365</v>
      </c>
      <c r="AS1831" t="s">
        <v>2365</v>
      </c>
      <c r="AT1831" t="s">
        <v>2365</v>
      </c>
      <c r="AU1831" t="s">
        <v>2365</v>
      </c>
      <c r="AV1831" t="s">
        <v>2365</v>
      </c>
      <c r="AW1831" t="s">
        <v>2365</v>
      </c>
      <c r="AX1831" t="s">
        <v>2365</v>
      </c>
      <c r="AY1831" t="s">
        <v>2365</v>
      </c>
      <c r="AZ1831" t="s">
        <v>2365</v>
      </c>
      <c r="BA1831" t="s">
        <v>2365</v>
      </c>
      <c r="BB1831" t="s">
        <v>2365</v>
      </c>
      <c r="BC1831" t="s">
        <v>2365</v>
      </c>
      <c r="BD1831" t="s">
        <v>2366</v>
      </c>
      <c r="BE1831" t="s">
        <v>2365</v>
      </c>
      <c r="BF1831" t="s">
        <v>2365</v>
      </c>
      <c r="BG1831" t="s">
        <v>2365</v>
      </c>
      <c r="BH1831" t="s">
        <v>2365</v>
      </c>
      <c r="BI1831" t="s">
        <v>2366</v>
      </c>
      <c r="BJ1831" t="s">
        <v>2365</v>
      </c>
      <c r="BK1831" t="s">
        <v>2365</v>
      </c>
      <c r="BL1831" t="s">
        <v>2365</v>
      </c>
      <c r="BM1831" t="s">
        <v>2365</v>
      </c>
      <c r="BO1831">
        <v>1</v>
      </c>
      <c r="BP1831">
        <v>11</v>
      </c>
      <c r="BQ1831" t="s">
        <v>2369</v>
      </c>
      <c r="BR1831" t="s">
        <v>1487</v>
      </c>
      <c r="BU1831">
        <v>0</v>
      </c>
      <c r="BV1831">
        <v>0</v>
      </c>
      <c r="BW1831">
        <v>0</v>
      </c>
      <c r="BX1831">
        <v>0</v>
      </c>
      <c r="BY1831">
        <v>0</v>
      </c>
      <c r="BZ1831">
        <v>0</v>
      </c>
      <c r="CA1831">
        <v>0</v>
      </c>
      <c r="CB1831">
        <v>0</v>
      </c>
      <c r="CC1831">
        <v>0</v>
      </c>
      <c r="CD1831">
        <v>0</v>
      </c>
      <c r="CE1831">
        <v>0</v>
      </c>
      <c r="CF1831">
        <v>0</v>
      </c>
      <c r="CG1831">
        <v>0</v>
      </c>
      <c r="CH1831">
        <v>0</v>
      </c>
      <c r="CI1831">
        <v>0</v>
      </c>
      <c r="CJ1831">
        <v>0</v>
      </c>
      <c r="CK1831">
        <v>0</v>
      </c>
      <c r="CL1831">
        <v>0</v>
      </c>
      <c r="CM1831">
        <v>0</v>
      </c>
      <c r="CR1831" t="s">
        <v>2328</v>
      </c>
      <c r="CS1831" s="1369" t="str">
        <f>INDEX([8]Sheet1!$H:$H,MATCH(CR:CR,[8]Sheet1!$AU:$AU,0))</f>
        <v>Water Distribution</v>
      </c>
    </row>
    <row r="1832" spans="1:97" x14ac:dyDescent="0.2">
      <c r="A1832" t="s">
        <v>5010</v>
      </c>
      <c r="B1832">
        <v>1930</v>
      </c>
      <c r="C1832" t="s">
        <v>5010</v>
      </c>
      <c r="D1832">
        <v>54930</v>
      </c>
      <c r="E1832" t="s">
        <v>2405</v>
      </c>
      <c r="F1832" t="s">
        <v>2364</v>
      </c>
      <c r="G1832" t="s">
        <v>2364</v>
      </c>
      <c r="H1832" t="s">
        <v>2365</v>
      </c>
      <c r="I1832" t="s">
        <v>2365</v>
      </c>
      <c r="J1832" t="s">
        <v>2365</v>
      </c>
      <c r="K1832" t="s">
        <v>2365</v>
      </c>
      <c r="L1832">
        <v>1200</v>
      </c>
      <c r="M1832" t="s">
        <v>1480</v>
      </c>
      <c r="N1832">
        <v>1204</v>
      </c>
      <c r="O1832" t="s">
        <v>1487</v>
      </c>
      <c r="P1832" t="s">
        <v>2366</v>
      </c>
      <c r="Q1832" t="s">
        <v>2364</v>
      </c>
      <c r="R1832" t="s">
        <v>2364</v>
      </c>
      <c r="S1832" t="s">
        <v>553</v>
      </c>
      <c r="T1832" t="s">
        <v>2175</v>
      </c>
      <c r="U1832">
        <v>120</v>
      </c>
      <c r="V1832" t="s">
        <v>691</v>
      </c>
      <c r="W1832">
        <v>120</v>
      </c>
      <c r="X1832" t="s">
        <v>691</v>
      </c>
      <c r="Y1832" t="s">
        <v>2179</v>
      </c>
      <c r="Z1832" t="s">
        <v>650</v>
      </c>
      <c r="AA1832" t="s">
        <v>2179</v>
      </c>
      <c r="AB1832" t="s">
        <v>650</v>
      </c>
      <c r="AC1832" s="813" t="s">
        <v>2365</v>
      </c>
      <c r="AD1832" s="813" t="s">
        <v>2365</v>
      </c>
      <c r="AE1832" s="813" t="s">
        <v>2365</v>
      </c>
      <c r="AF1832" t="s">
        <v>2365</v>
      </c>
      <c r="AG1832" t="s">
        <v>2365</v>
      </c>
      <c r="AH1832" t="s">
        <v>2365</v>
      </c>
      <c r="AI1832" t="s">
        <v>2365</v>
      </c>
      <c r="AJ1832" t="s">
        <v>2365</v>
      </c>
      <c r="AK1832" t="s">
        <v>2365</v>
      </c>
      <c r="AL1832" t="s">
        <v>2365</v>
      </c>
      <c r="AM1832" t="s">
        <v>2365</v>
      </c>
      <c r="AN1832" t="s">
        <v>2365</v>
      </c>
      <c r="AQ1832" t="s">
        <v>553</v>
      </c>
      <c r="AR1832" t="s">
        <v>2365</v>
      </c>
      <c r="AS1832" t="s">
        <v>2365</v>
      </c>
      <c r="AT1832" t="s">
        <v>2365</v>
      </c>
      <c r="AU1832" t="s">
        <v>2365</v>
      </c>
      <c r="AV1832" t="s">
        <v>2365</v>
      </c>
      <c r="AW1832" t="s">
        <v>2365</v>
      </c>
      <c r="AX1832" t="s">
        <v>2365</v>
      </c>
      <c r="AY1832" t="s">
        <v>2365</v>
      </c>
      <c r="AZ1832" t="s">
        <v>2365</v>
      </c>
      <c r="BA1832" t="s">
        <v>2365</v>
      </c>
      <c r="BB1832" t="s">
        <v>2365</v>
      </c>
      <c r="BC1832" t="s">
        <v>2365</v>
      </c>
      <c r="BD1832" t="s">
        <v>2366</v>
      </c>
      <c r="BE1832" t="s">
        <v>2365</v>
      </c>
      <c r="BF1832" t="s">
        <v>2365</v>
      </c>
      <c r="BG1832" t="s">
        <v>2365</v>
      </c>
      <c r="BH1832" t="s">
        <v>2365</v>
      </c>
      <c r="BI1832" t="s">
        <v>2366</v>
      </c>
      <c r="BJ1832" t="s">
        <v>2365</v>
      </c>
      <c r="BK1832" t="s">
        <v>2365</v>
      </c>
      <c r="BL1832" t="s">
        <v>2365</v>
      </c>
      <c r="BM1832" t="s">
        <v>2365</v>
      </c>
      <c r="BO1832">
        <v>1</v>
      </c>
      <c r="BP1832">
        <v>11</v>
      </c>
      <c r="BQ1832" t="s">
        <v>2369</v>
      </c>
      <c r="BR1832" t="s">
        <v>1487</v>
      </c>
      <c r="BU1832">
        <v>30000</v>
      </c>
      <c r="BV1832">
        <v>0</v>
      </c>
      <c r="BW1832">
        <v>30000</v>
      </c>
      <c r="BX1832">
        <v>-30000</v>
      </c>
      <c r="BY1832">
        <v>0</v>
      </c>
      <c r="BZ1832">
        <v>0</v>
      </c>
      <c r="CA1832">
        <v>0</v>
      </c>
      <c r="CB1832">
        <v>0</v>
      </c>
      <c r="CC1832">
        <v>0</v>
      </c>
      <c r="CD1832">
        <v>0</v>
      </c>
      <c r="CE1832">
        <v>0</v>
      </c>
      <c r="CF1832">
        <v>0</v>
      </c>
      <c r="CG1832">
        <v>0</v>
      </c>
      <c r="CH1832">
        <v>0</v>
      </c>
      <c r="CI1832">
        <v>0</v>
      </c>
      <c r="CJ1832">
        <v>0</v>
      </c>
      <c r="CK1832">
        <v>0</v>
      </c>
      <c r="CL1832">
        <v>0</v>
      </c>
      <c r="CM1832">
        <v>0</v>
      </c>
      <c r="CR1832" t="s">
        <v>2328</v>
      </c>
      <c r="CS1832" s="1369" t="str">
        <f>INDEX([8]Sheet1!$H:$H,MATCH(CR:CR,[8]Sheet1!$AU:$AU,0))</f>
        <v>Water Distribution</v>
      </c>
    </row>
    <row r="1833" spans="1:97" x14ac:dyDescent="0.2">
      <c r="A1833" t="s">
        <v>5011</v>
      </c>
      <c r="B1833">
        <v>1931</v>
      </c>
      <c r="C1833" t="s">
        <v>5011</v>
      </c>
      <c r="D1833">
        <v>54931</v>
      </c>
      <c r="E1833" t="s">
        <v>4898</v>
      </c>
      <c r="F1833" t="s">
        <v>2364</v>
      </c>
      <c r="G1833" t="s">
        <v>2364</v>
      </c>
      <c r="H1833" t="s">
        <v>2365</v>
      </c>
      <c r="I1833" t="s">
        <v>2365</v>
      </c>
      <c r="J1833" t="s">
        <v>2365</v>
      </c>
      <c r="K1833" t="s">
        <v>2365</v>
      </c>
      <c r="L1833">
        <v>1200</v>
      </c>
      <c r="M1833" t="s">
        <v>1480</v>
      </c>
      <c r="N1833">
        <v>1204</v>
      </c>
      <c r="O1833" t="s">
        <v>1487</v>
      </c>
      <c r="P1833" t="s">
        <v>2366</v>
      </c>
      <c r="Q1833" t="s">
        <v>2364</v>
      </c>
      <c r="R1833" t="s">
        <v>2364</v>
      </c>
      <c r="S1833" t="s">
        <v>553</v>
      </c>
      <c r="T1833" t="s">
        <v>2175</v>
      </c>
      <c r="U1833">
        <v>120</v>
      </c>
      <c r="V1833" t="s">
        <v>691</v>
      </c>
      <c r="W1833">
        <v>120</v>
      </c>
      <c r="X1833" t="s">
        <v>691</v>
      </c>
      <c r="Y1833" t="s">
        <v>2365</v>
      </c>
      <c r="Z1833" t="s">
        <v>2365</v>
      </c>
      <c r="AA1833" t="s">
        <v>2365</v>
      </c>
      <c r="AB1833" t="s">
        <v>2365</v>
      </c>
      <c r="AC1833" s="813">
        <v>420</v>
      </c>
      <c r="AD1833" s="813" t="s">
        <v>4866</v>
      </c>
      <c r="AE1833" s="813">
        <v>560</v>
      </c>
      <c r="AF1833" t="s">
        <v>4866</v>
      </c>
      <c r="AG1833" t="s">
        <v>2365</v>
      </c>
      <c r="AH1833" t="s">
        <v>2365</v>
      </c>
      <c r="AI1833" t="s">
        <v>2365</v>
      </c>
      <c r="AJ1833" t="s">
        <v>2365</v>
      </c>
      <c r="AK1833" t="s">
        <v>2365</v>
      </c>
      <c r="AL1833" t="s">
        <v>2365</v>
      </c>
      <c r="AM1833" t="s">
        <v>2365</v>
      </c>
      <c r="AN1833" t="s">
        <v>2365</v>
      </c>
      <c r="AR1833" t="s">
        <v>2365</v>
      </c>
      <c r="AS1833" t="s">
        <v>2365</v>
      </c>
      <c r="AT1833" t="s">
        <v>2365</v>
      </c>
      <c r="AU1833" t="s">
        <v>2365</v>
      </c>
      <c r="AV1833" t="s">
        <v>2365</v>
      </c>
      <c r="AW1833" t="s">
        <v>2365</v>
      </c>
      <c r="AX1833" t="s">
        <v>2365</v>
      </c>
      <c r="AY1833" t="s">
        <v>2365</v>
      </c>
      <c r="AZ1833" t="s">
        <v>2365</v>
      </c>
      <c r="BA1833" t="s">
        <v>2365</v>
      </c>
      <c r="BB1833" t="s">
        <v>2365</v>
      </c>
      <c r="BC1833" t="s">
        <v>2365</v>
      </c>
      <c r="BD1833" t="s">
        <v>2366</v>
      </c>
      <c r="BE1833" t="s">
        <v>2365</v>
      </c>
      <c r="BF1833" t="s">
        <v>2365</v>
      </c>
      <c r="BG1833" t="s">
        <v>2365</v>
      </c>
      <c r="BH1833" t="s">
        <v>2365</v>
      </c>
      <c r="BI1833" t="s">
        <v>2366</v>
      </c>
      <c r="BJ1833" t="s">
        <v>2365</v>
      </c>
      <c r="BK1833" t="s">
        <v>2365</v>
      </c>
      <c r="BL1833" t="s">
        <v>2365</v>
      </c>
      <c r="BM1833" t="s">
        <v>2365</v>
      </c>
      <c r="BO1833">
        <v>1</v>
      </c>
      <c r="BP1833">
        <v>11</v>
      </c>
      <c r="BQ1833" t="s">
        <v>2369</v>
      </c>
      <c r="BR1833" t="s">
        <v>1487</v>
      </c>
      <c r="BU1833">
        <v>0</v>
      </c>
      <c r="BV1833">
        <v>0</v>
      </c>
      <c r="BW1833">
        <v>0</v>
      </c>
      <c r="BX1833">
        <v>0</v>
      </c>
      <c r="BY1833">
        <v>0</v>
      </c>
      <c r="BZ1833">
        <v>0</v>
      </c>
      <c r="CA1833">
        <v>0</v>
      </c>
      <c r="CB1833">
        <v>0</v>
      </c>
      <c r="CC1833">
        <v>0</v>
      </c>
      <c r="CD1833">
        <v>0</v>
      </c>
      <c r="CE1833">
        <v>0</v>
      </c>
      <c r="CF1833">
        <v>0</v>
      </c>
      <c r="CG1833">
        <v>0</v>
      </c>
      <c r="CH1833">
        <v>0</v>
      </c>
      <c r="CI1833">
        <v>0</v>
      </c>
      <c r="CJ1833">
        <v>0</v>
      </c>
      <c r="CK1833">
        <v>0</v>
      </c>
      <c r="CL1833">
        <v>0</v>
      </c>
      <c r="CM1833">
        <v>0</v>
      </c>
      <c r="CR1833" t="s">
        <v>2328</v>
      </c>
      <c r="CS1833" s="1369" t="str">
        <f>INDEX([8]Sheet1!$H:$H,MATCH(CR:CR,[8]Sheet1!$AU:$AU,0))</f>
        <v>Water Distribution</v>
      </c>
    </row>
    <row r="1834" spans="1:97" x14ac:dyDescent="0.2">
      <c r="A1834" t="s">
        <v>5012</v>
      </c>
      <c r="B1834">
        <v>1932</v>
      </c>
      <c r="C1834" t="s">
        <v>5012</v>
      </c>
      <c r="D1834">
        <v>54932</v>
      </c>
      <c r="E1834" t="s">
        <v>4903</v>
      </c>
      <c r="F1834" t="s">
        <v>2364</v>
      </c>
      <c r="G1834" t="s">
        <v>2364</v>
      </c>
      <c r="H1834" t="s">
        <v>2365</v>
      </c>
      <c r="I1834" t="s">
        <v>2365</v>
      </c>
      <c r="J1834" t="s">
        <v>2365</v>
      </c>
      <c r="K1834" t="s">
        <v>2365</v>
      </c>
      <c r="L1834">
        <v>1200</v>
      </c>
      <c r="M1834" t="s">
        <v>1480</v>
      </c>
      <c r="N1834">
        <v>1204</v>
      </c>
      <c r="O1834" t="s">
        <v>1487</v>
      </c>
      <c r="P1834" t="s">
        <v>2366</v>
      </c>
      <c r="Q1834" t="s">
        <v>2364</v>
      </c>
      <c r="R1834" t="s">
        <v>2364</v>
      </c>
      <c r="S1834" t="s">
        <v>553</v>
      </c>
      <c r="T1834" t="s">
        <v>2175</v>
      </c>
      <c r="U1834">
        <v>120</v>
      </c>
      <c r="V1834" t="s">
        <v>691</v>
      </c>
      <c r="W1834">
        <v>120</v>
      </c>
      <c r="X1834" t="s">
        <v>691</v>
      </c>
      <c r="Y1834" t="s">
        <v>2365</v>
      </c>
      <c r="Z1834" t="s">
        <v>2365</v>
      </c>
      <c r="AA1834" t="s">
        <v>2365</v>
      </c>
      <c r="AB1834" t="s">
        <v>2365</v>
      </c>
      <c r="AC1834" s="813" t="s">
        <v>2365</v>
      </c>
      <c r="AD1834" s="813" t="s">
        <v>2365</v>
      </c>
      <c r="AE1834" s="813" t="s">
        <v>2365</v>
      </c>
      <c r="AF1834" t="s">
        <v>2365</v>
      </c>
      <c r="AG1834" t="s">
        <v>2365</v>
      </c>
      <c r="AH1834" t="s">
        <v>2365</v>
      </c>
      <c r="AI1834" t="s">
        <v>2365</v>
      </c>
      <c r="AJ1834" t="s">
        <v>2365</v>
      </c>
      <c r="AK1834" t="s">
        <v>2365</v>
      </c>
      <c r="AL1834" t="s">
        <v>2365</v>
      </c>
      <c r="AM1834" t="s">
        <v>2365</v>
      </c>
      <c r="AN1834" t="s">
        <v>2365</v>
      </c>
      <c r="AR1834" t="s">
        <v>2365</v>
      </c>
      <c r="AS1834" t="s">
        <v>2365</v>
      </c>
      <c r="AT1834" t="s">
        <v>2365</v>
      </c>
      <c r="AU1834" t="s">
        <v>2365</v>
      </c>
      <c r="AV1834" t="s">
        <v>2365</v>
      </c>
      <c r="AW1834" t="s">
        <v>2365</v>
      </c>
      <c r="AX1834" t="s">
        <v>2365</v>
      </c>
      <c r="AY1834" t="s">
        <v>2365</v>
      </c>
      <c r="AZ1834" t="s">
        <v>2365</v>
      </c>
      <c r="BA1834" t="s">
        <v>2365</v>
      </c>
      <c r="BB1834" t="s">
        <v>2365</v>
      </c>
      <c r="BC1834" t="s">
        <v>2365</v>
      </c>
      <c r="BD1834" t="s">
        <v>2366</v>
      </c>
      <c r="BE1834" t="s">
        <v>2365</v>
      </c>
      <c r="BF1834" t="s">
        <v>2365</v>
      </c>
      <c r="BG1834" t="s">
        <v>2365</v>
      </c>
      <c r="BH1834" t="s">
        <v>2365</v>
      </c>
      <c r="BI1834" t="s">
        <v>2366</v>
      </c>
      <c r="BJ1834" t="s">
        <v>2365</v>
      </c>
      <c r="BK1834" t="s">
        <v>2365</v>
      </c>
      <c r="BL1834" t="s">
        <v>2365</v>
      </c>
      <c r="BM1834" t="s">
        <v>2365</v>
      </c>
      <c r="BO1834">
        <v>1</v>
      </c>
      <c r="BP1834">
        <v>11</v>
      </c>
      <c r="BQ1834" t="s">
        <v>2369</v>
      </c>
      <c r="BR1834" t="s">
        <v>1487</v>
      </c>
      <c r="BU1834">
        <v>0</v>
      </c>
      <c r="BV1834">
        <v>0</v>
      </c>
      <c r="BW1834">
        <v>0</v>
      </c>
      <c r="BX1834">
        <v>0</v>
      </c>
      <c r="BY1834">
        <v>0</v>
      </c>
      <c r="BZ1834">
        <v>0</v>
      </c>
      <c r="CA1834">
        <v>0</v>
      </c>
      <c r="CB1834">
        <v>0</v>
      </c>
      <c r="CC1834">
        <v>0</v>
      </c>
      <c r="CD1834">
        <v>0</v>
      </c>
      <c r="CE1834">
        <v>0</v>
      </c>
      <c r="CF1834">
        <v>0</v>
      </c>
      <c r="CG1834">
        <v>0</v>
      </c>
      <c r="CH1834">
        <v>0</v>
      </c>
      <c r="CI1834">
        <v>0</v>
      </c>
      <c r="CJ1834">
        <v>0</v>
      </c>
      <c r="CK1834">
        <v>0</v>
      </c>
      <c r="CL1834">
        <v>0</v>
      </c>
      <c r="CM1834">
        <v>0</v>
      </c>
      <c r="CR1834" t="s">
        <v>2328</v>
      </c>
      <c r="CS1834" s="1369" t="str">
        <f>INDEX([8]Sheet1!$H:$H,MATCH(CR:CR,[8]Sheet1!$AU:$AU,0))</f>
        <v>Water Distribution</v>
      </c>
    </row>
    <row r="1835" spans="1:97" x14ac:dyDescent="0.2">
      <c r="A1835" t="s">
        <v>5013</v>
      </c>
      <c r="B1835">
        <v>1933</v>
      </c>
      <c r="C1835" t="s">
        <v>5013</v>
      </c>
      <c r="D1835">
        <v>54933</v>
      </c>
      <c r="E1835" t="s">
        <v>2419</v>
      </c>
      <c r="F1835" t="s">
        <v>2364</v>
      </c>
      <c r="G1835" t="s">
        <v>2364</v>
      </c>
      <c r="H1835" t="s">
        <v>2365</v>
      </c>
      <c r="I1835" t="s">
        <v>2365</v>
      </c>
      <c r="J1835" t="s">
        <v>2365</v>
      </c>
      <c r="K1835" t="s">
        <v>2365</v>
      </c>
      <c r="L1835">
        <v>1200</v>
      </c>
      <c r="M1835" t="s">
        <v>1480</v>
      </c>
      <c r="N1835">
        <v>1204</v>
      </c>
      <c r="O1835" t="s">
        <v>1487</v>
      </c>
      <c r="P1835" t="s">
        <v>2366</v>
      </c>
      <c r="Q1835" t="s">
        <v>2364</v>
      </c>
      <c r="R1835" t="s">
        <v>2364</v>
      </c>
      <c r="S1835" t="s">
        <v>553</v>
      </c>
      <c r="T1835" t="s">
        <v>2175</v>
      </c>
      <c r="U1835">
        <v>120</v>
      </c>
      <c r="V1835" t="s">
        <v>691</v>
      </c>
      <c r="W1835">
        <v>120</v>
      </c>
      <c r="X1835" t="s">
        <v>691</v>
      </c>
      <c r="Y1835" t="s">
        <v>4994</v>
      </c>
      <c r="Z1835" t="s">
        <v>650</v>
      </c>
      <c r="AA1835" t="s">
        <v>4994</v>
      </c>
      <c r="AB1835" t="s">
        <v>650</v>
      </c>
      <c r="AC1835" s="813" t="s">
        <v>2365</v>
      </c>
      <c r="AD1835" s="813" t="s">
        <v>2365</v>
      </c>
      <c r="AE1835" s="813" t="s">
        <v>2365</v>
      </c>
      <c r="AF1835" t="s">
        <v>2365</v>
      </c>
      <c r="AG1835" t="s">
        <v>2365</v>
      </c>
      <c r="AH1835" t="s">
        <v>2365</v>
      </c>
      <c r="AI1835" t="s">
        <v>2365</v>
      </c>
      <c r="AJ1835" t="s">
        <v>2365</v>
      </c>
      <c r="AK1835" t="s">
        <v>2365</v>
      </c>
      <c r="AL1835" t="s">
        <v>2365</v>
      </c>
      <c r="AM1835" t="s">
        <v>2365</v>
      </c>
      <c r="AN1835" t="s">
        <v>2365</v>
      </c>
      <c r="AQ1835" t="s">
        <v>2423</v>
      </c>
      <c r="AR1835" t="s">
        <v>2365</v>
      </c>
      <c r="AS1835" t="s">
        <v>2365</v>
      </c>
      <c r="AT1835" t="s">
        <v>2365</v>
      </c>
      <c r="AU1835" t="s">
        <v>2365</v>
      </c>
      <c r="AV1835" t="s">
        <v>2365</v>
      </c>
      <c r="AW1835" t="s">
        <v>2365</v>
      </c>
      <c r="AX1835" t="s">
        <v>2365</v>
      </c>
      <c r="AY1835" t="s">
        <v>2365</v>
      </c>
      <c r="AZ1835" t="s">
        <v>2365</v>
      </c>
      <c r="BA1835" t="s">
        <v>2365</v>
      </c>
      <c r="BB1835" t="s">
        <v>2365</v>
      </c>
      <c r="BC1835" t="s">
        <v>2365</v>
      </c>
      <c r="BD1835" t="s">
        <v>2366</v>
      </c>
      <c r="BE1835" t="s">
        <v>2365</v>
      </c>
      <c r="BF1835" t="s">
        <v>2365</v>
      </c>
      <c r="BG1835" t="s">
        <v>2365</v>
      </c>
      <c r="BH1835" t="s">
        <v>2365</v>
      </c>
      <c r="BI1835" t="s">
        <v>2366</v>
      </c>
      <c r="BJ1835" t="s">
        <v>2365</v>
      </c>
      <c r="BK1835" t="s">
        <v>2365</v>
      </c>
      <c r="BL1835" t="s">
        <v>2365</v>
      </c>
      <c r="BM1835" t="s">
        <v>2365</v>
      </c>
      <c r="BO1835">
        <v>1</v>
      </c>
      <c r="BP1835">
        <v>11</v>
      </c>
      <c r="BQ1835" t="s">
        <v>2369</v>
      </c>
      <c r="BR1835" t="s">
        <v>1487</v>
      </c>
      <c r="BU1835">
        <v>-7120310</v>
      </c>
      <c r="BV1835">
        <v>0</v>
      </c>
      <c r="BW1835">
        <v>-7120310</v>
      </c>
      <c r="BX1835">
        <v>7120310</v>
      </c>
      <c r="BY1835">
        <v>0</v>
      </c>
      <c r="BZ1835">
        <v>0</v>
      </c>
      <c r="CA1835">
        <v>0</v>
      </c>
      <c r="CB1835">
        <v>0</v>
      </c>
      <c r="CC1835">
        <v>0</v>
      </c>
      <c r="CD1835">
        <v>0</v>
      </c>
      <c r="CE1835">
        <v>0</v>
      </c>
      <c r="CF1835">
        <v>0</v>
      </c>
      <c r="CG1835">
        <v>0</v>
      </c>
      <c r="CH1835">
        <v>0</v>
      </c>
      <c r="CI1835">
        <v>0</v>
      </c>
      <c r="CJ1835">
        <v>0</v>
      </c>
      <c r="CK1835">
        <v>0</v>
      </c>
      <c r="CL1835">
        <v>0</v>
      </c>
      <c r="CM1835">
        <v>0</v>
      </c>
      <c r="CR1835" t="s">
        <v>2328</v>
      </c>
      <c r="CS1835" s="1369" t="str">
        <f>INDEX([8]Sheet1!$H:$H,MATCH(CR:CR,[8]Sheet1!$AU:$AU,0))</f>
        <v>Water Distribution</v>
      </c>
    </row>
    <row r="1836" spans="1:97" x14ac:dyDescent="0.2">
      <c r="A1836" t="s">
        <v>5014</v>
      </c>
      <c r="B1836">
        <v>1934</v>
      </c>
      <c r="C1836" t="s">
        <v>5014</v>
      </c>
      <c r="D1836">
        <v>54934</v>
      </c>
      <c r="E1836" t="s">
        <v>2405</v>
      </c>
      <c r="F1836" t="s">
        <v>2364</v>
      </c>
      <c r="G1836" t="s">
        <v>2364</v>
      </c>
      <c r="H1836" t="s">
        <v>2365</v>
      </c>
      <c r="I1836" t="s">
        <v>2365</v>
      </c>
      <c r="J1836" t="s">
        <v>2365</v>
      </c>
      <c r="K1836" t="s">
        <v>2365</v>
      </c>
      <c r="L1836">
        <v>1200</v>
      </c>
      <c r="M1836" t="s">
        <v>1480</v>
      </c>
      <c r="N1836">
        <v>1204</v>
      </c>
      <c r="O1836" t="s">
        <v>1487</v>
      </c>
      <c r="P1836" t="s">
        <v>2366</v>
      </c>
      <c r="Q1836" t="s">
        <v>2364</v>
      </c>
      <c r="R1836" t="s">
        <v>2364</v>
      </c>
      <c r="S1836" t="s">
        <v>553</v>
      </c>
      <c r="T1836" t="s">
        <v>2175</v>
      </c>
      <c r="U1836">
        <v>120</v>
      </c>
      <c r="V1836" t="s">
        <v>691</v>
      </c>
      <c r="W1836">
        <v>120</v>
      </c>
      <c r="X1836" t="s">
        <v>691</v>
      </c>
      <c r="Y1836" t="s">
        <v>2179</v>
      </c>
      <c r="Z1836" t="s">
        <v>650</v>
      </c>
      <c r="AA1836" t="s">
        <v>2179</v>
      </c>
      <c r="AB1836" t="s">
        <v>650</v>
      </c>
      <c r="AC1836" s="813" t="s">
        <v>2365</v>
      </c>
      <c r="AD1836" s="813" t="s">
        <v>2365</v>
      </c>
      <c r="AE1836" s="813" t="s">
        <v>2365</v>
      </c>
      <c r="AF1836" t="s">
        <v>2365</v>
      </c>
      <c r="AG1836" t="s">
        <v>2365</v>
      </c>
      <c r="AH1836" t="s">
        <v>2365</v>
      </c>
      <c r="AI1836" t="s">
        <v>2365</v>
      </c>
      <c r="AJ1836" t="s">
        <v>2365</v>
      </c>
      <c r="AK1836" t="s">
        <v>2365</v>
      </c>
      <c r="AL1836" t="s">
        <v>2365</v>
      </c>
      <c r="AM1836" t="s">
        <v>2365</v>
      </c>
      <c r="AN1836" t="s">
        <v>2365</v>
      </c>
      <c r="AQ1836" t="s">
        <v>553</v>
      </c>
      <c r="AR1836" t="s">
        <v>2365</v>
      </c>
      <c r="AS1836" t="s">
        <v>2365</v>
      </c>
      <c r="AT1836" t="s">
        <v>2365</v>
      </c>
      <c r="AU1836" t="s">
        <v>2365</v>
      </c>
      <c r="AV1836" t="s">
        <v>2365</v>
      </c>
      <c r="AW1836" t="s">
        <v>2365</v>
      </c>
      <c r="AX1836" t="s">
        <v>2365</v>
      </c>
      <c r="AY1836" t="s">
        <v>2365</v>
      </c>
      <c r="AZ1836" t="s">
        <v>2365</v>
      </c>
      <c r="BA1836" t="s">
        <v>2365</v>
      </c>
      <c r="BB1836" t="s">
        <v>2365</v>
      </c>
      <c r="BC1836" t="s">
        <v>2365</v>
      </c>
      <c r="BD1836" t="s">
        <v>2366</v>
      </c>
      <c r="BE1836" t="s">
        <v>2365</v>
      </c>
      <c r="BF1836" t="s">
        <v>2365</v>
      </c>
      <c r="BG1836" t="s">
        <v>2365</v>
      </c>
      <c r="BH1836" t="s">
        <v>2365</v>
      </c>
      <c r="BI1836" t="s">
        <v>2366</v>
      </c>
      <c r="BJ1836" t="s">
        <v>2365</v>
      </c>
      <c r="BK1836" t="s">
        <v>2365</v>
      </c>
      <c r="BL1836" t="s">
        <v>2365</v>
      </c>
      <c r="BM1836" t="s">
        <v>2365</v>
      </c>
      <c r="BO1836">
        <v>1</v>
      </c>
      <c r="BP1836">
        <v>11</v>
      </c>
      <c r="BQ1836" t="s">
        <v>2369</v>
      </c>
      <c r="BR1836" t="s">
        <v>1487</v>
      </c>
      <c r="BU1836">
        <v>7120310</v>
      </c>
      <c r="BV1836">
        <v>0</v>
      </c>
      <c r="BW1836">
        <v>7120310</v>
      </c>
      <c r="BX1836">
        <v>-7120310</v>
      </c>
      <c r="BY1836">
        <v>0</v>
      </c>
      <c r="BZ1836">
        <v>0</v>
      </c>
      <c r="CA1836">
        <v>0</v>
      </c>
      <c r="CB1836">
        <v>0</v>
      </c>
      <c r="CC1836">
        <v>0</v>
      </c>
      <c r="CD1836">
        <v>0</v>
      </c>
      <c r="CE1836">
        <v>0</v>
      </c>
      <c r="CF1836">
        <v>0</v>
      </c>
      <c r="CG1836">
        <v>0</v>
      </c>
      <c r="CH1836">
        <v>0</v>
      </c>
      <c r="CI1836">
        <v>0</v>
      </c>
      <c r="CJ1836">
        <v>0</v>
      </c>
      <c r="CK1836">
        <v>0</v>
      </c>
      <c r="CL1836">
        <v>0</v>
      </c>
      <c r="CM1836">
        <v>0</v>
      </c>
      <c r="CR1836" t="s">
        <v>2328</v>
      </c>
      <c r="CS1836" s="1369" t="str">
        <f>INDEX([8]Sheet1!$H:$H,MATCH(CR:CR,[8]Sheet1!$AU:$AU,0))</f>
        <v>Water Distribution</v>
      </c>
    </row>
    <row r="1837" spans="1:97" x14ac:dyDescent="0.2">
      <c r="A1837" t="s">
        <v>5015</v>
      </c>
      <c r="B1837">
        <v>1935</v>
      </c>
      <c r="C1837" t="s">
        <v>5015</v>
      </c>
      <c r="D1837">
        <v>54935</v>
      </c>
      <c r="E1837" t="s">
        <v>4901</v>
      </c>
      <c r="F1837" t="s">
        <v>2364</v>
      </c>
      <c r="G1837" t="s">
        <v>2364</v>
      </c>
      <c r="H1837" t="s">
        <v>2365</v>
      </c>
      <c r="I1837" t="s">
        <v>2365</v>
      </c>
      <c r="J1837" t="s">
        <v>2365</v>
      </c>
      <c r="K1837" t="s">
        <v>2365</v>
      </c>
      <c r="L1837">
        <v>1200</v>
      </c>
      <c r="M1837" t="s">
        <v>1480</v>
      </c>
      <c r="N1837">
        <v>1204</v>
      </c>
      <c r="O1837" t="s">
        <v>1487</v>
      </c>
      <c r="P1837" t="s">
        <v>2366</v>
      </c>
      <c r="Q1837" t="s">
        <v>2364</v>
      </c>
      <c r="R1837" t="s">
        <v>2364</v>
      </c>
      <c r="S1837" t="s">
        <v>553</v>
      </c>
      <c r="T1837" t="s">
        <v>2175</v>
      </c>
      <c r="U1837">
        <v>120</v>
      </c>
      <c r="V1837" t="s">
        <v>691</v>
      </c>
      <c r="W1837">
        <v>120</v>
      </c>
      <c r="X1837" t="s">
        <v>691</v>
      </c>
      <c r="Y1837" t="s">
        <v>2365</v>
      </c>
      <c r="Z1837" t="s">
        <v>2365</v>
      </c>
      <c r="AA1837" t="s">
        <v>2365</v>
      </c>
      <c r="AB1837" t="s">
        <v>2365</v>
      </c>
      <c r="AC1837" s="813">
        <v>200</v>
      </c>
      <c r="AD1837" s="813" t="s">
        <v>4443</v>
      </c>
      <c r="AE1837" s="813">
        <v>480</v>
      </c>
      <c r="AF1837" t="s">
        <v>569</v>
      </c>
      <c r="AG1837" t="s">
        <v>2365</v>
      </c>
      <c r="AH1837" t="s">
        <v>2365</v>
      </c>
      <c r="AI1837" t="s">
        <v>2365</v>
      </c>
      <c r="AJ1837" t="s">
        <v>2365</v>
      </c>
      <c r="AK1837" s="1373" t="s">
        <v>2365</v>
      </c>
      <c r="AL1837" t="s">
        <v>2365</v>
      </c>
      <c r="AM1837" t="s">
        <v>2365</v>
      </c>
      <c r="AN1837" t="s">
        <v>2365</v>
      </c>
      <c r="AR1837" t="s">
        <v>2365</v>
      </c>
      <c r="AS1837" t="s">
        <v>2365</v>
      </c>
      <c r="AT1837" t="s">
        <v>2365</v>
      </c>
      <c r="AU1837" t="s">
        <v>2365</v>
      </c>
      <c r="AV1837" t="s">
        <v>2365</v>
      </c>
      <c r="AW1837" t="s">
        <v>2365</v>
      </c>
      <c r="AX1837" t="s">
        <v>2365</v>
      </c>
      <c r="AY1837" t="s">
        <v>2365</v>
      </c>
      <c r="AZ1837" t="s">
        <v>2365</v>
      </c>
      <c r="BA1837" t="s">
        <v>2365</v>
      </c>
      <c r="BB1837" t="s">
        <v>2365</v>
      </c>
      <c r="BC1837" t="s">
        <v>2365</v>
      </c>
      <c r="BD1837" t="s">
        <v>2366</v>
      </c>
      <c r="BE1837" t="s">
        <v>2365</v>
      </c>
      <c r="BF1837" t="s">
        <v>2365</v>
      </c>
      <c r="BG1837" t="s">
        <v>2365</v>
      </c>
      <c r="BH1837" t="s">
        <v>2365</v>
      </c>
      <c r="BI1837" t="s">
        <v>2366</v>
      </c>
      <c r="BJ1837" t="s">
        <v>2365</v>
      </c>
      <c r="BK1837" t="s">
        <v>2365</v>
      </c>
      <c r="BL1837" t="s">
        <v>2365</v>
      </c>
      <c r="BM1837" t="s">
        <v>2365</v>
      </c>
      <c r="BO1837">
        <v>1</v>
      </c>
      <c r="BP1837">
        <v>11</v>
      </c>
      <c r="BQ1837" t="s">
        <v>2369</v>
      </c>
      <c r="BR1837" t="s">
        <v>1487</v>
      </c>
      <c r="BU1837">
        <v>0</v>
      </c>
      <c r="BV1837">
        <v>0</v>
      </c>
      <c r="BW1837">
        <v>0</v>
      </c>
      <c r="BX1837">
        <v>0</v>
      </c>
      <c r="BY1837">
        <v>0</v>
      </c>
      <c r="BZ1837">
        <v>0</v>
      </c>
      <c r="CA1837">
        <v>0</v>
      </c>
      <c r="CB1837">
        <v>0</v>
      </c>
      <c r="CC1837">
        <v>0</v>
      </c>
      <c r="CD1837">
        <v>0</v>
      </c>
      <c r="CE1837">
        <v>0</v>
      </c>
      <c r="CF1837">
        <v>0</v>
      </c>
      <c r="CG1837">
        <v>0</v>
      </c>
      <c r="CH1837">
        <v>0</v>
      </c>
      <c r="CI1837">
        <v>0</v>
      </c>
      <c r="CJ1837">
        <v>0</v>
      </c>
      <c r="CK1837">
        <v>0</v>
      </c>
      <c r="CL1837">
        <v>0</v>
      </c>
      <c r="CM1837">
        <v>0</v>
      </c>
      <c r="CR1837" t="s">
        <v>2328</v>
      </c>
      <c r="CS1837" s="1369" t="str">
        <f>INDEX([8]Sheet1!$H:$H,MATCH(CR:CR,[8]Sheet1!$AU:$AU,0))</f>
        <v>Water Distribution</v>
      </c>
    </row>
    <row r="1838" spans="1:97" x14ac:dyDescent="0.2">
      <c r="A1838" t="s">
        <v>5016</v>
      </c>
      <c r="B1838">
        <v>1936</v>
      </c>
      <c r="C1838" t="s">
        <v>5016</v>
      </c>
      <c r="D1838">
        <v>54936</v>
      </c>
      <c r="E1838" t="s">
        <v>2419</v>
      </c>
      <c r="F1838" t="s">
        <v>2364</v>
      </c>
      <c r="G1838" t="s">
        <v>2364</v>
      </c>
      <c r="H1838" t="s">
        <v>2365</v>
      </c>
      <c r="I1838" t="s">
        <v>2365</v>
      </c>
      <c r="J1838" t="s">
        <v>2365</v>
      </c>
      <c r="K1838" t="s">
        <v>2365</v>
      </c>
      <c r="L1838">
        <v>1200</v>
      </c>
      <c r="M1838" t="s">
        <v>1480</v>
      </c>
      <c r="N1838">
        <v>1204</v>
      </c>
      <c r="O1838" t="s">
        <v>1487</v>
      </c>
      <c r="P1838" t="s">
        <v>2366</v>
      </c>
      <c r="Q1838" t="s">
        <v>2364</v>
      </c>
      <c r="R1838" t="s">
        <v>2364</v>
      </c>
      <c r="S1838" t="s">
        <v>553</v>
      </c>
      <c r="T1838" t="s">
        <v>2175</v>
      </c>
      <c r="U1838">
        <v>120</v>
      </c>
      <c r="V1838" t="s">
        <v>691</v>
      </c>
      <c r="W1838">
        <v>120</v>
      </c>
      <c r="X1838" t="s">
        <v>691</v>
      </c>
      <c r="Y1838" t="s">
        <v>4473</v>
      </c>
      <c r="Z1838" t="s">
        <v>4467</v>
      </c>
      <c r="AA1838" t="s">
        <v>4473</v>
      </c>
      <c r="AB1838" t="s">
        <v>4467</v>
      </c>
      <c r="AC1838" s="813" t="s">
        <v>2365</v>
      </c>
      <c r="AD1838" s="813" t="s">
        <v>2365</v>
      </c>
      <c r="AE1838" s="813" t="s">
        <v>2365</v>
      </c>
      <c r="AF1838" t="s">
        <v>2365</v>
      </c>
      <c r="AG1838" t="s">
        <v>2365</v>
      </c>
      <c r="AH1838" t="s">
        <v>2365</v>
      </c>
      <c r="AI1838" t="s">
        <v>2365</v>
      </c>
      <c r="AJ1838" t="s">
        <v>2365</v>
      </c>
      <c r="AK1838" s="1373" t="s">
        <v>2365</v>
      </c>
      <c r="AL1838" t="s">
        <v>2365</v>
      </c>
      <c r="AM1838" t="s">
        <v>2365</v>
      </c>
      <c r="AN1838" t="s">
        <v>2365</v>
      </c>
      <c r="AQ1838" t="s">
        <v>2423</v>
      </c>
      <c r="AR1838" t="s">
        <v>2365</v>
      </c>
      <c r="AS1838" t="s">
        <v>2365</v>
      </c>
      <c r="AT1838" t="s">
        <v>2365</v>
      </c>
      <c r="AU1838" t="s">
        <v>2365</v>
      </c>
      <c r="AV1838" t="s">
        <v>2365</v>
      </c>
      <c r="AW1838" t="s">
        <v>2365</v>
      </c>
      <c r="AX1838" t="s">
        <v>2365</v>
      </c>
      <c r="AY1838" t="s">
        <v>2365</v>
      </c>
      <c r="AZ1838" t="s">
        <v>2365</v>
      </c>
      <c r="BA1838" t="s">
        <v>2365</v>
      </c>
      <c r="BB1838" t="s">
        <v>2365</v>
      </c>
      <c r="BC1838" t="s">
        <v>2365</v>
      </c>
      <c r="BD1838" t="s">
        <v>2366</v>
      </c>
      <c r="BE1838" t="s">
        <v>2365</v>
      </c>
      <c r="BF1838" t="s">
        <v>2365</v>
      </c>
      <c r="BG1838" t="s">
        <v>2365</v>
      </c>
      <c r="BH1838" t="s">
        <v>2365</v>
      </c>
      <c r="BI1838" t="s">
        <v>2366</v>
      </c>
      <c r="BJ1838" t="s">
        <v>2365</v>
      </c>
      <c r="BK1838" t="s">
        <v>2365</v>
      </c>
      <c r="BL1838" t="s">
        <v>2365</v>
      </c>
      <c r="BM1838" t="s">
        <v>2365</v>
      </c>
      <c r="BO1838">
        <v>1</v>
      </c>
      <c r="BP1838">
        <v>11</v>
      </c>
      <c r="BQ1838" t="s">
        <v>2369</v>
      </c>
      <c r="BR1838" t="s">
        <v>1487</v>
      </c>
      <c r="BU1838">
        <v>-67330000</v>
      </c>
      <c r="BV1838">
        <v>0</v>
      </c>
      <c r="BW1838">
        <v>-67330000</v>
      </c>
      <c r="BX1838">
        <v>67330000</v>
      </c>
      <c r="BY1838">
        <v>0</v>
      </c>
      <c r="BZ1838">
        <v>0</v>
      </c>
      <c r="CA1838">
        <v>0</v>
      </c>
      <c r="CB1838">
        <v>0</v>
      </c>
      <c r="CC1838">
        <v>0</v>
      </c>
      <c r="CD1838">
        <v>0</v>
      </c>
      <c r="CE1838">
        <v>0</v>
      </c>
      <c r="CF1838">
        <v>0</v>
      </c>
      <c r="CG1838">
        <v>0</v>
      </c>
      <c r="CH1838">
        <v>0</v>
      </c>
      <c r="CI1838">
        <v>0</v>
      </c>
      <c r="CJ1838">
        <v>0</v>
      </c>
      <c r="CK1838">
        <v>0</v>
      </c>
      <c r="CL1838">
        <v>0</v>
      </c>
      <c r="CM1838">
        <v>0</v>
      </c>
      <c r="CR1838" t="s">
        <v>2328</v>
      </c>
      <c r="CS1838" s="1369" t="str">
        <f>INDEX([8]Sheet1!$H:$H,MATCH(CR:CR,[8]Sheet1!$AU:$AU,0))</f>
        <v>Water Distribution</v>
      </c>
    </row>
    <row r="1839" spans="1:97" x14ac:dyDescent="0.2">
      <c r="A1839" t="s">
        <v>5017</v>
      </c>
      <c r="B1839">
        <v>1937</v>
      </c>
      <c r="C1839" t="s">
        <v>5017</v>
      </c>
      <c r="D1839">
        <v>54937</v>
      </c>
      <c r="E1839" t="s">
        <v>4901</v>
      </c>
      <c r="F1839" t="s">
        <v>2364</v>
      </c>
      <c r="G1839" t="s">
        <v>2364</v>
      </c>
      <c r="H1839" t="s">
        <v>2365</v>
      </c>
      <c r="I1839" t="s">
        <v>2365</v>
      </c>
      <c r="J1839" t="s">
        <v>2365</v>
      </c>
      <c r="K1839" t="s">
        <v>2365</v>
      </c>
      <c r="L1839">
        <v>1200</v>
      </c>
      <c r="M1839" t="s">
        <v>1480</v>
      </c>
      <c r="N1839">
        <v>1204</v>
      </c>
      <c r="O1839" t="s">
        <v>1487</v>
      </c>
      <c r="P1839" t="s">
        <v>2366</v>
      </c>
      <c r="Q1839" t="s">
        <v>2364</v>
      </c>
      <c r="R1839" t="s">
        <v>2364</v>
      </c>
      <c r="S1839" t="s">
        <v>553</v>
      </c>
      <c r="T1839" t="s">
        <v>2175</v>
      </c>
      <c r="U1839">
        <v>120</v>
      </c>
      <c r="V1839" t="s">
        <v>691</v>
      </c>
      <c r="W1839">
        <v>120</v>
      </c>
      <c r="X1839" t="s">
        <v>691</v>
      </c>
      <c r="Y1839" t="s">
        <v>2365</v>
      </c>
      <c r="Z1839" t="s">
        <v>2365</v>
      </c>
      <c r="AA1839" t="s">
        <v>2365</v>
      </c>
      <c r="AB1839" t="s">
        <v>2365</v>
      </c>
      <c r="AC1839" s="813">
        <v>200</v>
      </c>
      <c r="AD1839" s="813" t="s">
        <v>4443</v>
      </c>
      <c r="AE1839" s="813">
        <v>480</v>
      </c>
      <c r="AF1839" t="s">
        <v>569</v>
      </c>
      <c r="AG1839" t="s">
        <v>2365</v>
      </c>
      <c r="AH1839" t="s">
        <v>2365</v>
      </c>
      <c r="AI1839" t="s">
        <v>2365</v>
      </c>
      <c r="AJ1839" t="s">
        <v>2365</v>
      </c>
      <c r="AK1839" t="s">
        <v>2365</v>
      </c>
      <c r="AL1839" t="s">
        <v>2365</v>
      </c>
      <c r="AM1839" t="s">
        <v>2365</v>
      </c>
      <c r="AN1839" t="s">
        <v>2365</v>
      </c>
      <c r="AR1839" t="s">
        <v>2365</v>
      </c>
      <c r="AS1839" t="s">
        <v>2365</v>
      </c>
      <c r="AT1839" t="s">
        <v>2365</v>
      </c>
      <c r="AU1839" t="s">
        <v>2365</v>
      </c>
      <c r="AV1839" t="s">
        <v>2365</v>
      </c>
      <c r="AW1839" t="s">
        <v>2365</v>
      </c>
      <c r="AX1839" t="s">
        <v>2365</v>
      </c>
      <c r="AY1839" t="s">
        <v>2365</v>
      </c>
      <c r="AZ1839" t="s">
        <v>2365</v>
      </c>
      <c r="BA1839" t="s">
        <v>2365</v>
      </c>
      <c r="BB1839" t="s">
        <v>2365</v>
      </c>
      <c r="BC1839" t="s">
        <v>2365</v>
      </c>
      <c r="BD1839" t="s">
        <v>2366</v>
      </c>
      <c r="BE1839" t="s">
        <v>2365</v>
      </c>
      <c r="BF1839" t="s">
        <v>2365</v>
      </c>
      <c r="BG1839" t="s">
        <v>2365</v>
      </c>
      <c r="BH1839" t="s">
        <v>2365</v>
      </c>
      <c r="BI1839" t="s">
        <v>2366</v>
      </c>
      <c r="BJ1839" t="s">
        <v>2365</v>
      </c>
      <c r="BK1839" t="s">
        <v>2365</v>
      </c>
      <c r="BL1839" t="s">
        <v>2365</v>
      </c>
      <c r="BM1839" t="s">
        <v>2365</v>
      </c>
      <c r="BO1839">
        <v>1</v>
      </c>
      <c r="BP1839">
        <v>11</v>
      </c>
      <c r="BQ1839" t="s">
        <v>2369</v>
      </c>
      <c r="BR1839" t="s">
        <v>1487</v>
      </c>
      <c r="BU1839">
        <v>0</v>
      </c>
      <c r="BV1839">
        <v>0</v>
      </c>
      <c r="BW1839">
        <v>0</v>
      </c>
      <c r="BX1839">
        <v>0</v>
      </c>
      <c r="BY1839">
        <v>0</v>
      </c>
      <c r="BZ1839">
        <v>0</v>
      </c>
      <c r="CA1839">
        <v>0</v>
      </c>
      <c r="CB1839">
        <v>0</v>
      </c>
      <c r="CC1839">
        <v>0</v>
      </c>
      <c r="CD1839">
        <v>0</v>
      </c>
      <c r="CE1839">
        <v>0</v>
      </c>
      <c r="CF1839">
        <v>0</v>
      </c>
      <c r="CG1839">
        <v>0</v>
      </c>
      <c r="CH1839">
        <v>0</v>
      </c>
      <c r="CI1839">
        <v>0</v>
      </c>
      <c r="CJ1839">
        <v>0</v>
      </c>
      <c r="CK1839">
        <v>0</v>
      </c>
      <c r="CL1839">
        <v>0</v>
      </c>
      <c r="CM1839">
        <v>0</v>
      </c>
      <c r="CR1839" t="s">
        <v>2328</v>
      </c>
      <c r="CS1839" s="1369" t="str">
        <f>INDEX([8]Sheet1!$H:$H,MATCH(CR:CR,[8]Sheet1!$AU:$AU,0))</f>
        <v>Water Distribution</v>
      </c>
    </row>
    <row r="1840" spans="1:97" x14ac:dyDescent="0.2">
      <c r="A1840" t="s">
        <v>5018</v>
      </c>
      <c r="B1840">
        <v>1938</v>
      </c>
      <c r="C1840" t="s">
        <v>5018</v>
      </c>
      <c r="D1840">
        <v>54938</v>
      </c>
      <c r="E1840" t="s">
        <v>4898</v>
      </c>
      <c r="F1840" t="s">
        <v>2364</v>
      </c>
      <c r="G1840" t="s">
        <v>2364</v>
      </c>
      <c r="H1840" t="s">
        <v>2365</v>
      </c>
      <c r="I1840" t="s">
        <v>2365</v>
      </c>
      <c r="J1840" t="s">
        <v>2365</v>
      </c>
      <c r="K1840" t="s">
        <v>2365</v>
      </c>
      <c r="L1840">
        <v>1200</v>
      </c>
      <c r="M1840" t="s">
        <v>1480</v>
      </c>
      <c r="N1840">
        <v>1204</v>
      </c>
      <c r="O1840" t="s">
        <v>1487</v>
      </c>
      <c r="P1840" t="s">
        <v>2366</v>
      </c>
      <c r="Q1840" t="s">
        <v>2364</v>
      </c>
      <c r="R1840" t="s">
        <v>2364</v>
      </c>
      <c r="S1840" t="s">
        <v>553</v>
      </c>
      <c r="T1840" t="s">
        <v>2175</v>
      </c>
      <c r="U1840">
        <v>120</v>
      </c>
      <c r="V1840" t="s">
        <v>691</v>
      </c>
      <c r="W1840">
        <v>120</v>
      </c>
      <c r="X1840" t="s">
        <v>691</v>
      </c>
      <c r="Y1840" t="s">
        <v>2365</v>
      </c>
      <c r="Z1840" t="s">
        <v>2365</v>
      </c>
      <c r="AA1840" t="s">
        <v>2365</v>
      </c>
      <c r="AB1840" t="s">
        <v>2365</v>
      </c>
      <c r="AC1840" s="813">
        <v>420</v>
      </c>
      <c r="AD1840" s="813" t="s">
        <v>4866</v>
      </c>
      <c r="AE1840" s="813">
        <v>560</v>
      </c>
      <c r="AF1840" t="s">
        <v>4866</v>
      </c>
      <c r="AG1840" t="s">
        <v>2365</v>
      </c>
      <c r="AH1840" t="s">
        <v>2365</v>
      </c>
      <c r="AI1840" t="s">
        <v>2365</v>
      </c>
      <c r="AJ1840" t="s">
        <v>2365</v>
      </c>
      <c r="AK1840" t="s">
        <v>2365</v>
      </c>
      <c r="AL1840" t="s">
        <v>2365</v>
      </c>
      <c r="AM1840" t="s">
        <v>2365</v>
      </c>
      <c r="AN1840" t="s">
        <v>2365</v>
      </c>
      <c r="AR1840" t="s">
        <v>2365</v>
      </c>
      <c r="AS1840" t="s">
        <v>2365</v>
      </c>
      <c r="AT1840" t="s">
        <v>2365</v>
      </c>
      <c r="AU1840" t="s">
        <v>2365</v>
      </c>
      <c r="AV1840" t="s">
        <v>2365</v>
      </c>
      <c r="AW1840" t="s">
        <v>2365</v>
      </c>
      <c r="AX1840" t="s">
        <v>2365</v>
      </c>
      <c r="AY1840" t="s">
        <v>2365</v>
      </c>
      <c r="AZ1840" t="s">
        <v>2365</v>
      </c>
      <c r="BA1840" t="s">
        <v>2365</v>
      </c>
      <c r="BB1840" t="s">
        <v>2365</v>
      </c>
      <c r="BC1840" t="s">
        <v>2365</v>
      </c>
      <c r="BD1840" t="s">
        <v>2366</v>
      </c>
      <c r="BE1840" t="s">
        <v>2365</v>
      </c>
      <c r="BF1840" t="s">
        <v>2365</v>
      </c>
      <c r="BG1840" t="s">
        <v>2365</v>
      </c>
      <c r="BH1840" t="s">
        <v>2365</v>
      </c>
      <c r="BI1840" t="s">
        <v>2366</v>
      </c>
      <c r="BJ1840" t="s">
        <v>2365</v>
      </c>
      <c r="BK1840" t="s">
        <v>2365</v>
      </c>
      <c r="BL1840" t="s">
        <v>2365</v>
      </c>
      <c r="BM1840" t="s">
        <v>2365</v>
      </c>
      <c r="BO1840">
        <v>1</v>
      </c>
      <c r="BP1840">
        <v>11</v>
      </c>
      <c r="BQ1840" t="s">
        <v>2369</v>
      </c>
      <c r="BR1840" t="s">
        <v>1487</v>
      </c>
      <c r="BU1840">
        <v>0</v>
      </c>
      <c r="BV1840">
        <v>0</v>
      </c>
      <c r="BW1840">
        <v>0</v>
      </c>
      <c r="BX1840">
        <v>0</v>
      </c>
      <c r="BY1840">
        <v>0</v>
      </c>
      <c r="BZ1840">
        <v>0</v>
      </c>
      <c r="CA1840">
        <v>0</v>
      </c>
      <c r="CB1840">
        <v>0</v>
      </c>
      <c r="CC1840">
        <v>0</v>
      </c>
      <c r="CD1840">
        <v>0</v>
      </c>
      <c r="CE1840">
        <v>0</v>
      </c>
      <c r="CF1840">
        <v>0</v>
      </c>
      <c r="CG1840">
        <v>0</v>
      </c>
      <c r="CH1840">
        <v>0</v>
      </c>
      <c r="CI1840">
        <v>0</v>
      </c>
      <c r="CJ1840">
        <v>0</v>
      </c>
      <c r="CK1840">
        <v>0</v>
      </c>
      <c r="CL1840">
        <v>0</v>
      </c>
      <c r="CM1840">
        <v>0</v>
      </c>
      <c r="CR1840" t="s">
        <v>2328</v>
      </c>
      <c r="CS1840" s="1369" t="str">
        <f>INDEX([8]Sheet1!$H:$H,MATCH(CR:CR,[8]Sheet1!$AU:$AU,0))</f>
        <v>Water Distribution</v>
      </c>
    </row>
    <row r="1841" spans="1:97" x14ac:dyDescent="0.2">
      <c r="A1841" t="s">
        <v>5019</v>
      </c>
      <c r="B1841">
        <v>1939</v>
      </c>
      <c r="C1841" t="s">
        <v>5019</v>
      </c>
      <c r="D1841">
        <v>54939</v>
      </c>
      <c r="E1841" t="s">
        <v>2405</v>
      </c>
      <c r="F1841" t="s">
        <v>2364</v>
      </c>
      <c r="G1841" t="s">
        <v>2364</v>
      </c>
      <c r="H1841" t="s">
        <v>2365</v>
      </c>
      <c r="I1841" t="s">
        <v>2365</v>
      </c>
      <c r="J1841" t="s">
        <v>2365</v>
      </c>
      <c r="K1841" t="s">
        <v>2365</v>
      </c>
      <c r="L1841">
        <v>1200</v>
      </c>
      <c r="M1841" t="s">
        <v>1480</v>
      </c>
      <c r="N1841">
        <v>1204</v>
      </c>
      <c r="O1841" t="s">
        <v>1487</v>
      </c>
      <c r="P1841" t="s">
        <v>2366</v>
      </c>
      <c r="Q1841" t="s">
        <v>2364</v>
      </c>
      <c r="R1841" t="s">
        <v>2364</v>
      </c>
      <c r="S1841" t="s">
        <v>553</v>
      </c>
      <c r="T1841" t="s">
        <v>2175</v>
      </c>
      <c r="U1841">
        <v>120</v>
      </c>
      <c r="V1841" t="s">
        <v>691</v>
      </c>
      <c r="W1841">
        <v>120</v>
      </c>
      <c r="X1841" t="s">
        <v>691</v>
      </c>
      <c r="Y1841" t="s">
        <v>2178</v>
      </c>
      <c r="Z1841" t="s">
        <v>4467</v>
      </c>
      <c r="AA1841" t="s">
        <v>2178</v>
      </c>
      <c r="AB1841" t="s">
        <v>4467</v>
      </c>
      <c r="AC1841" s="813" t="s">
        <v>2365</v>
      </c>
      <c r="AD1841" s="813" t="s">
        <v>2365</v>
      </c>
      <c r="AE1841" s="813" t="s">
        <v>2365</v>
      </c>
      <c r="AF1841" t="s">
        <v>2365</v>
      </c>
      <c r="AG1841" t="s">
        <v>2365</v>
      </c>
      <c r="AH1841" t="s">
        <v>2365</v>
      </c>
      <c r="AI1841" t="s">
        <v>2365</v>
      </c>
      <c r="AJ1841" t="s">
        <v>2365</v>
      </c>
      <c r="AK1841" t="s">
        <v>2365</v>
      </c>
      <c r="AL1841" t="s">
        <v>2365</v>
      </c>
      <c r="AM1841" t="s">
        <v>2365</v>
      </c>
      <c r="AN1841" t="s">
        <v>2365</v>
      </c>
      <c r="AQ1841" t="s">
        <v>553</v>
      </c>
      <c r="AR1841" t="s">
        <v>2365</v>
      </c>
      <c r="AS1841" t="s">
        <v>2365</v>
      </c>
      <c r="AT1841" t="s">
        <v>2365</v>
      </c>
      <c r="AU1841" t="s">
        <v>2365</v>
      </c>
      <c r="AV1841" t="s">
        <v>2365</v>
      </c>
      <c r="AW1841" t="s">
        <v>2365</v>
      </c>
      <c r="AX1841" t="s">
        <v>2365</v>
      </c>
      <c r="AY1841" t="s">
        <v>2365</v>
      </c>
      <c r="AZ1841" t="s">
        <v>2365</v>
      </c>
      <c r="BA1841" t="s">
        <v>2365</v>
      </c>
      <c r="BB1841" t="s">
        <v>2365</v>
      </c>
      <c r="BC1841" t="s">
        <v>2365</v>
      </c>
      <c r="BD1841" t="s">
        <v>2366</v>
      </c>
      <c r="BE1841" t="s">
        <v>2365</v>
      </c>
      <c r="BF1841" t="s">
        <v>2365</v>
      </c>
      <c r="BG1841" t="s">
        <v>2365</v>
      </c>
      <c r="BH1841" t="s">
        <v>2365</v>
      </c>
      <c r="BI1841" t="s">
        <v>2366</v>
      </c>
      <c r="BJ1841" t="s">
        <v>2365</v>
      </c>
      <c r="BK1841" t="s">
        <v>2365</v>
      </c>
      <c r="BL1841" t="s">
        <v>2365</v>
      </c>
      <c r="BM1841" t="s">
        <v>2365</v>
      </c>
      <c r="BO1841">
        <v>1</v>
      </c>
      <c r="BP1841">
        <v>11</v>
      </c>
      <c r="BQ1841" t="s">
        <v>2369</v>
      </c>
      <c r="BR1841" t="s">
        <v>1487</v>
      </c>
      <c r="BU1841">
        <v>67330000</v>
      </c>
      <c r="BV1841">
        <v>0</v>
      </c>
      <c r="BW1841">
        <v>67330000</v>
      </c>
      <c r="BX1841">
        <v>-67330000</v>
      </c>
      <c r="BY1841">
        <v>0</v>
      </c>
      <c r="BZ1841">
        <v>0</v>
      </c>
      <c r="CA1841">
        <v>0</v>
      </c>
      <c r="CB1841">
        <v>0</v>
      </c>
      <c r="CC1841">
        <v>0</v>
      </c>
      <c r="CD1841">
        <v>0</v>
      </c>
      <c r="CE1841">
        <v>0</v>
      </c>
      <c r="CF1841">
        <v>0</v>
      </c>
      <c r="CG1841">
        <v>0</v>
      </c>
      <c r="CH1841">
        <v>0</v>
      </c>
      <c r="CI1841">
        <v>0</v>
      </c>
      <c r="CJ1841">
        <v>0</v>
      </c>
      <c r="CK1841">
        <v>0</v>
      </c>
      <c r="CL1841">
        <v>0</v>
      </c>
      <c r="CM1841">
        <v>0</v>
      </c>
      <c r="CR1841" t="s">
        <v>2328</v>
      </c>
      <c r="CS1841" s="1369" t="str">
        <f>INDEX([8]Sheet1!$H:$H,MATCH(CR:CR,[8]Sheet1!$AU:$AU,0))</f>
        <v>Water Distribution</v>
      </c>
    </row>
    <row r="1842" spans="1:97" x14ac:dyDescent="0.2">
      <c r="A1842" t="s">
        <v>5020</v>
      </c>
      <c r="B1842">
        <v>1940</v>
      </c>
      <c r="C1842" t="s">
        <v>5020</v>
      </c>
      <c r="D1842">
        <v>54940</v>
      </c>
      <c r="E1842" t="s">
        <v>4903</v>
      </c>
      <c r="F1842" t="s">
        <v>2364</v>
      </c>
      <c r="G1842" t="s">
        <v>2364</v>
      </c>
      <c r="H1842" t="s">
        <v>2365</v>
      </c>
      <c r="I1842" t="s">
        <v>2365</v>
      </c>
      <c r="J1842" t="s">
        <v>2365</v>
      </c>
      <c r="K1842" t="s">
        <v>2365</v>
      </c>
      <c r="L1842">
        <v>1200</v>
      </c>
      <c r="M1842" t="s">
        <v>1480</v>
      </c>
      <c r="N1842">
        <v>1204</v>
      </c>
      <c r="O1842" t="s">
        <v>1487</v>
      </c>
      <c r="P1842" t="s">
        <v>2366</v>
      </c>
      <c r="Q1842" t="s">
        <v>2364</v>
      </c>
      <c r="R1842" t="s">
        <v>2364</v>
      </c>
      <c r="S1842" t="s">
        <v>553</v>
      </c>
      <c r="T1842" t="s">
        <v>2175</v>
      </c>
      <c r="U1842">
        <v>120</v>
      </c>
      <c r="V1842" t="s">
        <v>691</v>
      </c>
      <c r="W1842">
        <v>120</v>
      </c>
      <c r="X1842" t="s">
        <v>691</v>
      </c>
      <c r="Y1842" t="s">
        <v>2365</v>
      </c>
      <c r="Z1842" t="s">
        <v>2365</v>
      </c>
      <c r="AA1842" t="s">
        <v>2365</v>
      </c>
      <c r="AB1842" t="s">
        <v>2365</v>
      </c>
      <c r="AC1842" s="813" t="s">
        <v>2365</v>
      </c>
      <c r="AD1842" s="813" t="s">
        <v>2365</v>
      </c>
      <c r="AE1842" s="813" t="s">
        <v>2365</v>
      </c>
      <c r="AF1842" t="s">
        <v>2365</v>
      </c>
      <c r="AG1842" t="s">
        <v>2365</v>
      </c>
      <c r="AH1842" t="s">
        <v>2365</v>
      </c>
      <c r="AI1842" t="s">
        <v>2365</v>
      </c>
      <c r="AJ1842" t="s">
        <v>2365</v>
      </c>
      <c r="AK1842" t="s">
        <v>2365</v>
      </c>
      <c r="AL1842" t="s">
        <v>2365</v>
      </c>
      <c r="AM1842" t="s">
        <v>2365</v>
      </c>
      <c r="AN1842" t="s">
        <v>2365</v>
      </c>
      <c r="AR1842" t="s">
        <v>2365</v>
      </c>
      <c r="AS1842" t="s">
        <v>2365</v>
      </c>
      <c r="AT1842" t="s">
        <v>2365</v>
      </c>
      <c r="AU1842" t="s">
        <v>2365</v>
      </c>
      <c r="AV1842" t="s">
        <v>2365</v>
      </c>
      <c r="AW1842" t="s">
        <v>2365</v>
      </c>
      <c r="AX1842" t="s">
        <v>2365</v>
      </c>
      <c r="AY1842" t="s">
        <v>2365</v>
      </c>
      <c r="AZ1842" t="s">
        <v>2365</v>
      </c>
      <c r="BA1842" t="s">
        <v>2365</v>
      </c>
      <c r="BB1842" t="s">
        <v>2365</v>
      </c>
      <c r="BC1842" t="s">
        <v>2365</v>
      </c>
      <c r="BD1842" t="s">
        <v>2366</v>
      </c>
      <c r="BE1842" t="s">
        <v>2365</v>
      </c>
      <c r="BF1842" t="s">
        <v>2365</v>
      </c>
      <c r="BG1842" t="s">
        <v>2365</v>
      </c>
      <c r="BH1842" t="s">
        <v>2365</v>
      </c>
      <c r="BI1842" t="s">
        <v>2366</v>
      </c>
      <c r="BJ1842" t="s">
        <v>2365</v>
      </c>
      <c r="BK1842" t="s">
        <v>2365</v>
      </c>
      <c r="BL1842" t="s">
        <v>2365</v>
      </c>
      <c r="BM1842" t="s">
        <v>2365</v>
      </c>
      <c r="BO1842">
        <v>1</v>
      </c>
      <c r="BP1842">
        <v>11</v>
      </c>
      <c r="BQ1842" t="s">
        <v>2369</v>
      </c>
      <c r="BR1842" t="s">
        <v>1487</v>
      </c>
      <c r="BU1842">
        <v>0</v>
      </c>
      <c r="BV1842">
        <v>0</v>
      </c>
      <c r="BW1842">
        <v>0</v>
      </c>
      <c r="BX1842">
        <v>0</v>
      </c>
      <c r="BY1842">
        <v>0</v>
      </c>
      <c r="BZ1842">
        <v>0</v>
      </c>
      <c r="CA1842">
        <v>0</v>
      </c>
      <c r="CB1842">
        <v>0</v>
      </c>
      <c r="CC1842">
        <v>0</v>
      </c>
      <c r="CD1842">
        <v>0</v>
      </c>
      <c r="CE1842">
        <v>0</v>
      </c>
      <c r="CF1842">
        <v>0</v>
      </c>
      <c r="CG1842">
        <v>0</v>
      </c>
      <c r="CH1842">
        <v>0</v>
      </c>
      <c r="CI1842">
        <v>0</v>
      </c>
      <c r="CJ1842">
        <v>0</v>
      </c>
      <c r="CK1842">
        <v>0</v>
      </c>
      <c r="CL1842">
        <v>0</v>
      </c>
      <c r="CM1842">
        <v>0</v>
      </c>
      <c r="CR1842" t="s">
        <v>2328</v>
      </c>
      <c r="CS1842" s="1369" t="str">
        <f>INDEX([8]Sheet1!$H:$H,MATCH(CR:CR,[8]Sheet1!$AU:$AU,0))</f>
        <v>Water Distribution</v>
      </c>
    </row>
    <row r="1843" spans="1:97" x14ac:dyDescent="0.2">
      <c r="A1843" t="s">
        <v>5021</v>
      </c>
      <c r="B1843">
        <v>1941</v>
      </c>
      <c r="C1843" t="s">
        <v>5021</v>
      </c>
      <c r="D1843">
        <v>54941</v>
      </c>
      <c r="E1843" t="s">
        <v>2405</v>
      </c>
      <c r="F1843" t="s">
        <v>2364</v>
      </c>
      <c r="G1843" t="s">
        <v>2364</v>
      </c>
      <c r="H1843" t="s">
        <v>2365</v>
      </c>
      <c r="I1843" t="s">
        <v>2365</v>
      </c>
      <c r="J1843" t="s">
        <v>2365</v>
      </c>
      <c r="K1843" t="s">
        <v>2365</v>
      </c>
      <c r="L1843">
        <v>1200</v>
      </c>
      <c r="M1843" t="s">
        <v>1480</v>
      </c>
      <c r="N1843">
        <v>1204</v>
      </c>
      <c r="O1843" t="s">
        <v>1487</v>
      </c>
      <c r="P1843" t="s">
        <v>2366</v>
      </c>
      <c r="Q1843" t="s">
        <v>2364</v>
      </c>
      <c r="R1843" t="s">
        <v>2364</v>
      </c>
      <c r="S1843" t="s">
        <v>553</v>
      </c>
      <c r="T1843" t="s">
        <v>2175</v>
      </c>
      <c r="U1843">
        <v>120</v>
      </c>
      <c r="V1843" t="s">
        <v>691</v>
      </c>
      <c r="W1843">
        <v>120</v>
      </c>
      <c r="X1843" t="s">
        <v>691</v>
      </c>
      <c r="Y1843" t="s">
        <v>2179</v>
      </c>
      <c r="Z1843" t="s">
        <v>650</v>
      </c>
      <c r="AA1843" t="s">
        <v>2179</v>
      </c>
      <c r="AB1843" t="s">
        <v>650</v>
      </c>
      <c r="AC1843" s="813" t="s">
        <v>2365</v>
      </c>
      <c r="AD1843" s="813" t="s">
        <v>2365</v>
      </c>
      <c r="AE1843" s="813" t="s">
        <v>2365</v>
      </c>
      <c r="AF1843" t="s">
        <v>2365</v>
      </c>
      <c r="AG1843" t="s">
        <v>2365</v>
      </c>
      <c r="AH1843" t="s">
        <v>2365</v>
      </c>
      <c r="AI1843" t="s">
        <v>2365</v>
      </c>
      <c r="AJ1843" t="s">
        <v>2365</v>
      </c>
      <c r="AK1843" t="s">
        <v>2365</v>
      </c>
      <c r="AL1843" t="s">
        <v>2365</v>
      </c>
      <c r="AM1843" t="s">
        <v>2365</v>
      </c>
      <c r="AN1843" t="s">
        <v>2365</v>
      </c>
      <c r="AQ1843" t="s">
        <v>553</v>
      </c>
      <c r="AR1843" t="s">
        <v>2365</v>
      </c>
      <c r="AS1843" t="s">
        <v>2365</v>
      </c>
      <c r="AT1843" t="s">
        <v>2365</v>
      </c>
      <c r="AU1843" t="s">
        <v>2365</v>
      </c>
      <c r="AV1843" t="s">
        <v>2365</v>
      </c>
      <c r="AW1843" t="s">
        <v>2365</v>
      </c>
      <c r="AX1843" t="s">
        <v>2365</v>
      </c>
      <c r="AY1843" t="s">
        <v>2365</v>
      </c>
      <c r="AZ1843" t="s">
        <v>2365</v>
      </c>
      <c r="BA1843" t="s">
        <v>2365</v>
      </c>
      <c r="BB1843" t="s">
        <v>2365</v>
      </c>
      <c r="BC1843" t="s">
        <v>2365</v>
      </c>
      <c r="BD1843" t="s">
        <v>2366</v>
      </c>
      <c r="BE1843" t="s">
        <v>2365</v>
      </c>
      <c r="BF1843" t="s">
        <v>2365</v>
      </c>
      <c r="BG1843" t="s">
        <v>2365</v>
      </c>
      <c r="BH1843" t="s">
        <v>2365</v>
      </c>
      <c r="BI1843" t="s">
        <v>2366</v>
      </c>
      <c r="BJ1843" t="s">
        <v>2365</v>
      </c>
      <c r="BK1843" t="s">
        <v>2365</v>
      </c>
      <c r="BL1843" t="s">
        <v>2365</v>
      </c>
      <c r="BM1843" t="s">
        <v>2365</v>
      </c>
      <c r="BO1843">
        <v>1</v>
      </c>
      <c r="BP1843">
        <v>11</v>
      </c>
      <c r="BQ1843" t="s">
        <v>2369</v>
      </c>
      <c r="BR1843" t="s">
        <v>1487</v>
      </c>
      <c r="BU1843">
        <v>1179234</v>
      </c>
      <c r="BV1843">
        <v>0</v>
      </c>
      <c r="BW1843">
        <v>1179234</v>
      </c>
      <c r="BX1843">
        <v>-1179234</v>
      </c>
      <c r="BY1843">
        <v>0</v>
      </c>
      <c r="BZ1843">
        <v>0</v>
      </c>
      <c r="CA1843">
        <v>0</v>
      </c>
      <c r="CB1843">
        <v>0</v>
      </c>
      <c r="CC1843">
        <v>0</v>
      </c>
      <c r="CD1843">
        <v>0</v>
      </c>
      <c r="CE1843">
        <v>0</v>
      </c>
      <c r="CF1843">
        <v>0</v>
      </c>
      <c r="CG1843">
        <v>0</v>
      </c>
      <c r="CH1843">
        <v>0</v>
      </c>
      <c r="CI1843">
        <v>0</v>
      </c>
      <c r="CJ1843">
        <v>0</v>
      </c>
      <c r="CK1843">
        <v>0</v>
      </c>
      <c r="CL1843">
        <v>0</v>
      </c>
      <c r="CM1843">
        <v>0</v>
      </c>
      <c r="CR1843" t="s">
        <v>2328</v>
      </c>
      <c r="CS1843" s="1369" t="str">
        <f>INDEX([8]Sheet1!$H:$H,MATCH(CR:CR,[8]Sheet1!$AU:$AU,0))</f>
        <v>Water Distribution</v>
      </c>
    </row>
    <row r="1844" spans="1:97" x14ac:dyDescent="0.2">
      <c r="A1844" t="s">
        <v>5022</v>
      </c>
      <c r="B1844">
        <v>1942</v>
      </c>
      <c r="C1844" t="s">
        <v>5022</v>
      </c>
      <c r="D1844">
        <v>54942</v>
      </c>
      <c r="E1844" t="s">
        <v>3372</v>
      </c>
      <c r="F1844">
        <v>1600</v>
      </c>
      <c r="G1844" t="s">
        <v>650</v>
      </c>
      <c r="H1844">
        <v>1600</v>
      </c>
      <c r="I1844" t="s">
        <v>1799</v>
      </c>
      <c r="J1844" t="s">
        <v>2365</v>
      </c>
      <c r="K1844" t="s">
        <v>2365</v>
      </c>
      <c r="L1844">
        <v>1200</v>
      </c>
      <c r="M1844" t="s">
        <v>1480</v>
      </c>
      <c r="N1844">
        <v>1204</v>
      </c>
      <c r="O1844" t="s">
        <v>1487</v>
      </c>
      <c r="P1844" t="s">
        <v>2366</v>
      </c>
      <c r="Q1844" t="s">
        <v>2364</v>
      </c>
      <c r="R1844" t="s">
        <v>2364</v>
      </c>
      <c r="S1844" t="s">
        <v>553</v>
      </c>
      <c r="T1844" t="s">
        <v>1811</v>
      </c>
      <c r="U1844" t="s">
        <v>2365</v>
      </c>
      <c r="V1844" t="s">
        <v>2365</v>
      </c>
      <c r="W1844" t="s">
        <v>2365</v>
      </c>
      <c r="X1844" t="s">
        <v>2365</v>
      </c>
      <c r="Y1844" t="s">
        <v>2365</v>
      </c>
      <c r="Z1844" t="s">
        <v>2365</v>
      </c>
      <c r="AA1844" t="s">
        <v>2365</v>
      </c>
      <c r="AB1844" t="s">
        <v>2365</v>
      </c>
      <c r="AC1844" s="813" t="s">
        <v>2365</v>
      </c>
      <c r="AD1844" s="813" t="s">
        <v>2365</v>
      </c>
      <c r="AE1844" s="813" t="s">
        <v>2365</v>
      </c>
      <c r="AF1844" t="s">
        <v>2365</v>
      </c>
      <c r="AG1844" t="s">
        <v>2365</v>
      </c>
      <c r="AH1844" t="s">
        <v>2365</v>
      </c>
      <c r="AI1844" t="s">
        <v>2365</v>
      </c>
      <c r="AJ1844" t="s">
        <v>2365</v>
      </c>
      <c r="AK1844" t="s">
        <v>2365</v>
      </c>
      <c r="AL1844" t="s">
        <v>2365</v>
      </c>
      <c r="AM1844" t="s">
        <v>2365</v>
      </c>
      <c r="AN1844" t="s">
        <v>2365</v>
      </c>
      <c r="AR1844" t="s">
        <v>2365</v>
      </c>
      <c r="AS1844" t="s">
        <v>2365</v>
      </c>
      <c r="AT1844" t="s">
        <v>2365</v>
      </c>
      <c r="AU1844" t="s">
        <v>2365</v>
      </c>
      <c r="AV1844" t="s">
        <v>2365</v>
      </c>
      <c r="AW1844" t="s">
        <v>2365</v>
      </c>
      <c r="AX1844" t="s">
        <v>2365</v>
      </c>
      <c r="AY1844" t="s">
        <v>2365</v>
      </c>
      <c r="AZ1844" t="s">
        <v>2365</v>
      </c>
      <c r="BA1844" t="s">
        <v>2365</v>
      </c>
      <c r="BB1844" t="s">
        <v>2365</v>
      </c>
      <c r="BC1844" t="s">
        <v>2365</v>
      </c>
      <c r="BD1844" t="s">
        <v>2366</v>
      </c>
      <c r="BE1844" t="s">
        <v>2365</v>
      </c>
      <c r="BF1844" t="s">
        <v>2365</v>
      </c>
      <c r="BG1844" t="s">
        <v>2365</v>
      </c>
      <c r="BH1844" t="s">
        <v>2365</v>
      </c>
      <c r="BI1844" t="s">
        <v>2366</v>
      </c>
      <c r="BJ1844" t="s">
        <v>2365</v>
      </c>
      <c r="BK1844" t="s">
        <v>2365</v>
      </c>
      <c r="BL1844" t="s">
        <v>2365</v>
      </c>
      <c r="BM1844" t="s">
        <v>2365</v>
      </c>
      <c r="BO1844">
        <v>1</v>
      </c>
      <c r="BP1844">
        <v>11</v>
      </c>
      <c r="BQ1844" t="s">
        <v>2369</v>
      </c>
      <c r="BR1844" t="s">
        <v>1487</v>
      </c>
      <c r="BU1844">
        <v>0</v>
      </c>
      <c r="BV1844">
        <v>0</v>
      </c>
      <c r="BW1844">
        <v>0</v>
      </c>
      <c r="BX1844">
        <v>0</v>
      </c>
      <c r="BY1844">
        <v>0</v>
      </c>
      <c r="BZ1844">
        <v>0</v>
      </c>
      <c r="CA1844">
        <v>0</v>
      </c>
      <c r="CB1844">
        <v>0</v>
      </c>
      <c r="CC1844">
        <v>0</v>
      </c>
      <c r="CD1844">
        <v>0</v>
      </c>
      <c r="CE1844">
        <v>0</v>
      </c>
      <c r="CF1844">
        <v>0</v>
      </c>
      <c r="CG1844">
        <v>0</v>
      </c>
      <c r="CH1844">
        <v>0</v>
      </c>
      <c r="CI1844">
        <v>0</v>
      </c>
      <c r="CJ1844">
        <v>0</v>
      </c>
      <c r="CK1844">
        <v>0</v>
      </c>
      <c r="CL1844">
        <v>0</v>
      </c>
      <c r="CM1844">
        <v>0</v>
      </c>
      <c r="CR1844" t="s">
        <v>2324</v>
      </c>
      <c r="CS1844" s="1369" t="str">
        <f>INDEX([8]Sheet1!$H:$H,MATCH(CR:CR,[8]Sheet1!$AU:$AU,0))</f>
        <v>Finance</v>
      </c>
    </row>
    <row r="1845" spans="1:97" x14ac:dyDescent="0.2">
      <c r="A1845" t="s">
        <v>5023</v>
      </c>
      <c r="B1845">
        <v>1943</v>
      </c>
      <c r="C1845" t="s">
        <v>5023</v>
      </c>
      <c r="D1845">
        <v>54943</v>
      </c>
      <c r="E1845" t="s">
        <v>2447</v>
      </c>
      <c r="F1845">
        <v>1600</v>
      </c>
      <c r="G1845" t="s">
        <v>650</v>
      </c>
      <c r="H1845">
        <v>1600</v>
      </c>
      <c r="I1845" t="s">
        <v>1799</v>
      </c>
      <c r="J1845" t="s">
        <v>2365</v>
      </c>
      <c r="K1845" t="s">
        <v>2365</v>
      </c>
      <c r="L1845">
        <v>1200</v>
      </c>
      <c r="M1845" t="s">
        <v>1480</v>
      </c>
      <c r="N1845">
        <v>1204</v>
      </c>
      <c r="O1845" t="s">
        <v>1487</v>
      </c>
      <c r="P1845" t="s">
        <v>2366</v>
      </c>
      <c r="Q1845" t="s">
        <v>2364</v>
      </c>
      <c r="R1845" t="s">
        <v>2364</v>
      </c>
      <c r="S1845" t="s">
        <v>553</v>
      </c>
      <c r="T1845" t="s">
        <v>1811</v>
      </c>
      <c r="U1845" t="s">
        <v>2365</v>
      </c>
      <c r="V1845" t="s">
        <v>2365</v>
      </c>
      <c r="W1845" t="s">
        <v>2365</v>
      </c>
      <c r="X1845" t="s">
        <v>2365</v>
      </c>
      <c r="Y1845" t="s">
        <v>2365</v>
      </c>
      <c r="Z1845" t="s">
        <v>2365</v>
      </c>
      <c r="AA1845" t="s">
        <v>2365</v>
      </c>
      <c r="AB1845" t="s">
        <v>2365</v>
      </c>
      <c r="AC1845" s="813" t="s">
        <v>2365</v>
      </c>
      <c r="AD1845" s="813" t="s">
        <v>2365</v>
      </c>
      <c r="AE1845" s="813" t="s">
        <v>2365</v>
      </c>
      <c r="AF1845" t="s">
        <v>2365</v>
      </c>
      <c r="AG1845" t="s">
        <v>2365</v>
      </c>
      <c r="AH1845" t="s">
        <v>2365</v>
      </c>
      <c r="AI1845" t="s">
        <v>2365</v>
      </c>
      <c r="AJ1845" t="s">
        <v>2365</v>
      </c>
      <c r="AK1845" t="s">
        <v>2365</v>
      </c>
      <c r="AL1845" t="s">
        <v>2365</v>
      </c>
      <c r="AM1845" t="s">
        <v>2365</v>
      </c>
      <c r="AN1845" t="s">
        <v>2365</v>
      </c>
      <c r="AR1845" t="s">
        <v>2365</v>
      </c>
      <c r="AS1845" t="s">
        <v>2365</v>
      </c>
      <c r="AT1845" t="s">
        <v>2365</v>
      </c>
      <c r="AU1845" t="s">
        <v>2365</v>
      </c>
      <c r="AV1845" t="s">
        <v>2365</v>
      </c>
      <c r="AW1845" t="s">
        <v>2365</v>
      </c>
      <c r="AX1845" t="s">
        <v>2365</v>
      </c>
      <c r="AY1845" t="s">
        <v>2365</v>
      </c>
      <c r="AZ1845" t="s">
        <v>2365</v>
      </c>
      <c r="BA1845" t="s">
        <v>2365</v>
      </c>
      <c r="BB1845" t="s">
        <v>2365</v>
      </c>
      <c r="BC1845" t="s">
        <v>2365</v>
      </c>
      <c r="BD1845" t="s">
        <v>2366</v>
      </c>
      <c r="BE1845" t="s">
        <v>2365</v>
      </c>
      <c r="BF1845" t="s">
        <v>2365</v>
      </c>
      <c r="BG1845" t="s">
        <v>2365</v>
      </c>
      <c r="BH1845" t="s">
        <v>2365</v>
      </c>
      <c r="BI1845" t="s">
        <v>2366</v>
      </c>
      <c r="BJ1845" t="s">
        <v>2365</v>
      </c>
      <c r="BK1845" t="s">
        <v>2365</v>
      </c>
      <c r="BL1845" t="s">
        <v>2365</v>
      </c>
      <c r="BM1845" t="s">
        <v>2365</v>
      </c>
      <c r="BO1845">
        <v>1</v>
      </c>
      <c r="BP1845">
        <v>11</v>
      </c>
      <c r="BQ1845" t="s">
        <v>2369</v>
      </c>
      <c r="BR1845" t="s">
        <v>1487</v>
      </c>
      <c r="BU1845">
        <v>0</v>
      </c>
      <c r="BV1845">
        <v>0</v>
      </c>
      <c r="BW1845">
        <v>0</v>
      </c>
      <c r="BX1845">
        <v>0</v>
      </c>
      <c r="BY1845">
        <v>0</v>
      </c>
      <c r="BZ1845">
        <v>0</v>
      </c>
      <c r="CA1845">
        <v>0</v>
      </c>
      <c r="CB1845">
        <v>0</v>
      </c>
      <c r="CC1845">
        <v>0</v>
      </c>
      <c r="CD1845">
        <v>-443.48</v>
      </c>
      <c r="CE1845">
        <v>0</v>
      </c>
      <c r="CF1845">
        <v>0</v>
      </c>
      <c r="CG1845">
        <v>0</v>
      </c>
      <c r="CH1845">
        <v>0</v>
      </c>
      <c r="CI1845">
        <v>0</v>
      </c>
      <c r="CJ1845">
        <v>0</v>
      </c>
      <c r="CK1845">
        <v>0</v>
      </c>
      <c r="CL1845">
        <v>0</v>
      </c>
      <c r="CM1845">
        <v>0</v>
      </c>
      <c r="CR1845" t="s">
        <v>2324</v>
      </c>
      <c r="CS1845" s="1369" t="str">
        <f>INDEX([8]Sheet1!$H:$H,MATCH(CR:CR,[8]Sheet1!$AU:$AU,0))</f>
        <v>Finance</v>
      </c>
    </row>
    <row r="1846" spans="1:97" x14ac:dyDescent="0.2">
      <c r="A1846" t="s">
        <v>5024</v>
      </c>
      <c r="B1846">
        <v>1944</v>
      </c>
      <c r="C1846" t="s">
        <v>5024</v>
      </c>
      <c r="D1846">
        <v>54944</v>
      </c>
      <c r="E1846" t="s">
        <v>3402</v>
      </c>
      <c r="F1846">
        <v>1600</v>
      </c>
      <c r="G1846" t="s">
        <v>650</v>
      </c>
      <c r="H1846">
        <v>1600</v>
      </c>
      <c r="I1846" t="s">
        <v>1799</v>
      </c>
      <c r="J1846" t="s">
        <v>2365</v>
      </c>
      <c r="K1846" t="s">
        <v>2365</v>
      </c>
      <c r="L1846">
        <v>1200</v>
      </c>
      <c r="M1846" t="s">
        <v>1480</v>
      </c>
      <c r="N1846">
        <v>1204</v>
      </c>
      <c r="O1846" t="s">
        <v>1487</v>
      </c>
      <c r="P1846" t="s">
        <v>2366</v>
      </c>
      <c r="Q1846" t="s">
        <v>2364</v>
      </c>
      <c r="R1846" t="s">
        <v>2364</v>
      </c>
      <c r="S1846" t="s">
        <v>553</v>
      </c>
      <c r="T1846" t="s">
        <v>1811</v>
      </c>
      <c r="U1846" t="s">
        <v>2365</v>
      </c>
      <c r="V1846" t="s">
        <v>2365</v>
      </c>
      <c r="W1846" t="s">
        <v>2365</v>
      </c>
      <c r="X1846" t="s">
        <v>2365</v>
      </c>
      <c r="Y1846" t="s">
        <v>2365</v>
      </c>
      <c r="Z1846" t="s">
        <v>2365</v>
      </c>
      <c r="AA1846" t="s">
        <v>2365</v>
      </c>
      <c r="AB1846" t="s">
        <v>2365</v>
      </c>
      <c r="AC1846" s="813" t="s">
        <v>2365</v>
      </c>
      <c r="AD1846" s="813" t="s">
        <v>2365</v>
      </c>
      <c r="AE1846" s="813" t="s">
        <v>2365</v>
      </c>
      <c r="AF1846" t="s">
        <v>2365</v>
      </c>
      <c r="AG1846" t="s">
        <v>2365</v>
      </c>
      <c r="AH1846" t="s">
        <v>2365</v>
      </c>
      <c r="AI1846" t="s">
        <v>2365</v>
      </c>
      <c r="AJ1846" t="s">
        <v>2365</v>
      </c>
      <c r="AK1846" t="s">
        <v>2365</v>
      </c>
      <c r="AL1846" t="s">
        <v>2365</v>
      </c>
      <c r="AM1846" t="s">
        <v>2365</v>
      </c>
      <c r="AN1846" t="s">
        <v>2365</v>
      </c>
      <c r="AR1846" t="s">
        <v>2365</v>
      </c>
      <c r="AS1846" t="s">
        <v>2365</v>
      </c>
      <c r="AT1846" t="s">
        <v>2365</v>
      </c>
      <c r="AU1846" t="s">
        <v>2365</v>
      </c>
      <c r="AV1846" t="s">
        <v>2365</v>
      </c>
      <c r="AW1846" t="s">
        <v>2365</v>
      </c>
      <c r="AX1846" t="s">
        <v>2365</v>
      </c>
      <c r="AY1846" t="s">
        <v>2365</v>
      </c>
      <c r="AZ1846" t="s">
        <v>2365</v>
      </c>
      <c r="BA1846" t="s">
        <v>2365</v>
      </c>
      <c r="BB1846" t="s">
        <v>2365</v>
      </c>
      <c r="BC1846" t="s">
        <v>2365</v>
      </c>
      <c r="BD1846" t="s">
        <v>2366</v>
      </c>
      <c r="BE1846" t="s">
        <v>2365</v>
      </c>
      <c r="BF1846" t="s">
        <v>2365</v>
      </c>
      <c r="BG1846" t="s">
        <v>2365</v>
      </c>
      <c r="BH1846" t="s">
        <v>2365</v>
      </c>
      <c r="BI1846" t="s">
        <v>2366</v>
      </c>
      <c r="BJ1846" t="s">
        <v>2365</v>
      </c>
      <c r="BK1846" t="s">
        <v>2365</v>
      </c>
      <c r="BL1846" t="s">
        <v>2365</v>
      </c>
      <c r="BM1846" t="s">
        <v>2365</v>
      </c>
      <c r="BO1846">
        <v>1</v>
      </c>
      <c r="BP1846">
        <v>11</v>
      </c>
      <c r="BQ1846" t="s">
        <v>2369</v>
      </c>
      <c r="BR1846" t="s">
        <v>1487</v>
      </c>
      <c r="BU1846">
        <v>0</v>
      </c>
      <c r="BV1846">
        <v>0</v>
      </c>
      <c r="BW1846">
        <v>0</v>
      </c>
      <c r="BX1846">
        <v>0</v>
      </c>
      <c r="BY1846">
        <v>0</v>
      </c>
      <c r="BZ1846">
        <v>0</v>
      </c>
      <c r="CA1846">
        <v>0</v>
      </c>
      <c r="CB1846">
        <v>0</v>
      </c>
      <c r="CC1846">
        <v>0</v>
      </c>
      <c r="CD1846">
        <v>0</v>
      </c>
      <c r="CE1846">
        <v>0</v>
      </c>
      <c r="CF1846">
        <v>0</v>
      </c>
      <c r="CG1846">
        <v>0</v>
      </c>
      <c r="CH1846">
        <v>0</v>
      </c>
      <c r="CI1846">
        <v>0</v>
      </c>
      <c r="CJ1846">
        <v>0</v>
      </c>
      <c r="CK1846">
        <v>0</v>
      </c>
      <c r="CL1846">
        <v>0</v>
      </c>
      <c r="CM1846">
        <v>0</v>
      </c>
      <c r="CR1846" t="s">
        <v>2324</v>
      </c>
      <c r="CS1846" s="1369" t="str">
        <f>INDEX([8]Sheet1!$H:$H,MATCH(CR:CR,[8]Sheet1!$AU:$AU,0))</f>
        <v>Finance</v>
      </c>
    </row>
    <row r="1847" spans="1:97" x14ac:dyDescent="0.2">
      <c r="A1847" t="s">
        <v>5025</v>
      </c>
      <c r="B1847">
        <v>1945</v>
      </c>
      <c r="C1847" t="s">
        <v>5025</v>
      </c>
      <c r="D1847">
        <v>54945</v>
      </c>
      <c r="E1847" t="s">
        <v>4901</v>
      </c>
      <c r="F1847" t="s">
        <v>2364</v>
      </c>
      <c r="G1847" t="s">
        <v>2364</v>
      </c>
      <c r="H1847" t="s">
        <v>2365</v>
      </c>
      <c r="I1847" t="s">
        <v>2365</v>
      </c>
      <c r="J1847" t="s">
        <v>2365</v>
      </c>
      <c r="K1847" t="s">
        <v>2365</v>
      </c>
      <c r="L1847">
        <v>1200</v>
      </c>
      <c r="M1847" t="s">
        <v>1480</v>
      </c>
      <c r="N1847">
        <v>1204</v>
      </c>
      <c r="O1847" t="s">
        <v>1487</v>
      </c>
      <c r="P1847" t="s">
        <v>2366</v>
      </c>
      <c r="Q1847" t="s">
        <v>2364</v>
      </c>
      <c r="R1847" t="s">
        <v>2364</v>
      </c>
      <c r="S1847" t="s">
        <v>553</v>
      </c>
      <c r="T1847" t="s">
        <v>2175</v>
      </c>
      <c r="U1847">
        <v>120</v>
      </c>
      <c r="V1847" t="s">
        <v>691</v>
      </c>
      <c r="W1847">
        <v>120</v>
      </c>
      <c r="X1847" t="s">
        <v>691</v>
      </c>
      <c r="Y1847" t="s">
        <v>2365</v>
      </c>
      <c r="Z1847" t="s">
        <v>2365</v>
      </c>
      <c r="AA1847" t="s">
        <v>2365</v>
      </c>
      <c r="AB1847" t="s">
        <v>2365</v>
      </c>
      <c r="AC1847" s="813">
        <v>200</v>
      </c>
      <c r="AD1847" s="813" t="s">
        <v>4443</v>
      </c>
      <c r="AE1847" s="813">
        <v>480</v>
      </c>
      <c r="AF1847" t="s">
        <v>569</v>
      </c>
      <c r="AG1847" t="s">
        <v>2365</v>
      </c>
      <c r="AH1847" t="s">
        <v>2365</v>
      </c>
      <c r="AI1847" t="s">
        <v>2365</v>
      </c>
      <c r="AJ1847" t="s">
        <v>2365</v>
      </c>
      <c r="AK1847" t="s">
        <v>2365</v>
      </c>
      <c r="AL1847" t="s">
        <v>2365</v>
      </c>
      <c r="AM1847" t="s">
        <v>2365</v>
      </c>
      <c r="AN1847" t="s">
        <v>2365</v>
      </c>
      <c r="AR1847" t="s">
        <v>2365</v>
      </c>
      <c r="AS1847" t="s">
        <v>2365</v>
      </c>
      <c r="AT1847" t="s">
        <v>2365</v>
      </c>
      <c r="AU1847" t="s">
        <v>2365</v>
      </c>
      <c r="AV1847" t="s">
        <v>2365</v>
      </c>
      <c r="AW1847" t="s">
        <v>2365</v>
      </c>
      <c r="AX1847" t="s">
        <v>2365</v>
      </c>
      <c r="AY1847" t="s">
        <v>2365</v>
      </c>
      <c r="AZ1847" t="s">
        <v>2365</v>
      </c>
      <c r="BA1847" t="s">
        <v>2365</v>
      </c>
      <c r="BB1847" t="s">
        <v>2365</v>
      </c>
      <c r="BC1847" t="s">
        <v>2365</v>
      </c>
      <c r="BD1847" t="s">
        <v>2366</v>
      </c>
      <c r="BE1847" t="s">
        <v>2365</v>
      </c>
      <c r="BF1847" t="s">
        <v>2365</v>
      </c>
      <c r="BG1847" t="s">
        <v>2365</v>
      </c>
      <c r="BH1847" t="s">
        <v>2365</v>
      </c>
      <c r="BI1847" t="s">
        <v>2366</v>
      </c>
      <c r="BJ1847" t="s">
        <v>2365</v>
      </c>
      <c r="BK1847" t="s">
        <v>2365</v>
      </c>
      <c r="BL1847" t="s">
        <v>2365</v>
      </c>
      <c r="BM1847" t="s">
        <v>2365</v>
      </c>
      <c r="BO1847">
        <v>1</v>
      </c>
      <c r="BP1847">
        <v>11</v>
      </c>
      <c r="BQ1847" t="s">
        <v>2369</v>
      </c>
      <c r="BR1847" t="s">
        <v>1487</v>
      </c>
      <c r="BU1847">
        <v>0</v>
      </c>
      <c r="BV1847">
        <v>0</v>
      </c>
      <c r="BW1847">
        <v>0</v>
      </c>
      <c r="BX1847">
        <v>0</v>
      </c>
      <c r="BY1847">
        <v>0</v>
      </c>
      <c r="BZ1847">
        <v>0</v>
      </c>
      <c r="CA1847">
        <v>0</v>
      </c>
      <c r="CB1847">
        <v>0</v>
      </c>
      <c r="CC1847">
        <v>0</v>
      </c>
      <c r="CD1847">
        <v>0</v>
      </c>
      <c r="CE1847">
        <v>0</v>
      </c>
      <c r="CF1847">
        <v>0</v>
      </c>
      <c r="CG1847">
        <v>0</v>
      </c>
      <c r="CH1847">
        <v>0</v>
      </c>
      <c r="CI1847">
        <v>0</v>
      </c>
      <c r="CJ1847">
        <v>0</v>
      </c>
      <c r="CK1847">
        <v>0</v>
      </c>
      <c r="CL1847">
        <v>0</v>
      </c>
      <c r="CM1847">
        <v>0</v>
      </c>
      <c r="CR1847" t="s">
        <v>2324</v>
      </c>
      <c r="CS1847" s="1369" t="str">
        <f>INDEX([8]Sheet1!$H:$H,MATCH(CR:CR,[8]Sheet1!$AU:$AU,0))</f>
        <v>Finance</v>
      </c>
    </row>
    <row r="1848" spans="1:97" x14ac:dyDescent="0.2">
      <c r="A1848" t="s">
        <v>5026</v>
      </c>
      <c r="B1848">
        <v>1946</v>
      </c>
      <c r="C1848" t="s">
        <v>5026</v>
      </c>
      <c r="D1848">
        <v>54946</v>
      </c>
      <c r="E1848" t="s">
        <v>4903</v>
      </c>
      <c r="F1848" t="s">
        <v>2364</v>
      </c>
      <c r="G1848" t="s">
        <v>2364</v>
      </c>
      <c r="H1848" t="s">
        <v>2365</v>
      </c>
      <c r="I1848" t="s">
        <v>2365</v>
      </c>
      <c r="J1848" t="s">
        <v>2365</v>
      </c>
      <c r="K1848" t="s">
        <v>2365</v>
      </c>
      <c r="L1848">
        <v>1200</v>
      </c>
      <c r="M1848" t="s">
        <v>1480</v>
      </c>
      <c r="N1848">
        <v>1204</v>
      </c>
      <c r="O1848" t="s">
        <v>1487</v>
      </c>
      <c r="P1848" t="s">
        <v>2366</v>
      </c>
      <c r="Q1848" t="s">
        <v>2364</v>
      </c>
      <c r="R1848" t="s">
        <v>2364</v>
      </c>
      <c r="S1848" t="s">
        <v>553</v>
      </c>
      <c r="T1848" t="s">
        <v>2175</v>
      </c>
      <c r="U1848">
        <v>120</v>
      </c>
      <c r="V1848" t="s">
        <v>691</v>
      </c>
      <c r="W1848">
        <v>120</v>
      </c>
      <c r="X1848" t="s">
        <v>691</v>
      </c>
      <c r="Y1848" t="s">
        <v>2365</v>
      </c>
      <c r="Z1848" t="s">
        <v>2365</v>
      </c>
      <c r="AA1848" t="s">
        <v>2365</v>
      </c>
      <c r="AB1848" t="s">
        <v>2365</v>
      </c>
      <c r="AC1848" s="813" t="s">
        <v>2365</v>
      </c>
      <c r="AD1848" s="813" t="s">
        <v>2365</v>
      </c>
      <c r="AE1848" s="813" t="s">
        <v>2365</v>
      </c>
      <c r="AF1848" t="s">
        <v>2365</v>
      </c>
      <c r="AG1848" t="s">
        <v>2365</v>
      </c>
      <c r="AH1848" t="s">
        <v>2365</v>
      </c>
      <c r="AI1848" t="s">
        <v>2365</v>
      </c>
      <c r="AJ1848" t="s">
        <v>2365</v>
      </c>
      <c r="AK1848" t="s">
        <v>2365</v>
      </c>
      <c r="AL1848" t="s">
        <v>2365</v>
      </c>
      <c r="AM1848" t="s">
        <v>2365</v>
      </c>
      <c r="AN1848" t="s">
        <v>2365</v>
      </c>
      <c r="AR1848" t="s">
        <v>2365</v>
      </c>
      <c r="AS1848" t="s">
        <v>2365</v>
      </c>
      <c r="AT1848" t="s">
        <v>2365</v>
      </c>
      <c r="AU1848" t="s">
        <v>2365</v>
      </c>
      <c r="AV1848" t="s">
        <v>2365</v>
      </c>
      <c r="AW1848" t="s">
        <v>2365</v>
      </c>
      <c r="AX1848" t="s">
        <v>2365</v>
      </c>
      <c r="AY1848" t="s">
        <v>2365</v>
      </c>
      <c r="AZ1848" t="s">
        <v>2365</v>
      </c>
      <c r="BA1848" t="s">
        <v>2365</v>
      </c>
      <c r="BB1848" t="s">
        <v>2365</v>
      </c>
      <c r="BC1848" t="s">
        <v>2365</v>
      </c>
      <c r="BD1848" t="s">
        <v>2366</v>
      </c>
      <c r="BE1848" t="s">
        <v>2365</v>
      </c>
      <c r="BF1848" t="s">
        <v>2365</v>
      </c>
      <c r="BG1848" t="s">
        <v>2365</v>
      </c>
      <c r="BH1848" t="s">
        <v>2365</v>
      </c>
      <c r="BI1848" t="s">
        <v>2366</v>
      </c>
      <c r="BJ1848" t="s">
        <v>2365</v>
      </c>
      <c r="BK1848" t="s">
        <v>2365</v>
      </c>
      <c r="BL1848" t="s">
        <v>2365</v>
      </c>
      <c r="BM1848" t="s">
        <v>2365</v>
      </c>
      <c r="BO1848">
        <v>1</v>
      </c>
      <c r="BP1848">
        <v>11</v>
      </c>
      <c r="BQ1848" t="s">
        <v>2369</v>
      </c>
      <c r="BR1848" t="s">
        <v>1487</v>
      </c>
      <c r="BU1848">
        <v>0</v>
      </c>
      <c r="BV1848">
        <v>0</v>
      </c>
      <c r="BW1848">
        <v>0</v>
      </c>
      <c r="BX1848">
        <v>0</v>
      </c>
      <c r="BY1848">
        <v>0</v>
      </c>
      <c r="BZ1848">
        <v>0</v>
      </c>
      <c r="CA1848">
        <v>0</v>
      </c>
      <c r="CB1848">
        <v>0</v>
      </c>
      <c r="CC1848">
        <v>0</v>
      </c>
      <c r="CD1848">
        <v>0</v>
      </c>
      <c r="CE1848">
        <v>0</v>
      </c>
      <c r="CF1848">
        <v>0</v>
      </c>
      <c r="CG1848">
        <v>0</v>
      </c>
      <c r="CH1848">
        <v>0</v>
      </c>
      <c r="CI1848">
        <v>0</v>
      </c>
      <c r="CJ1848">
        <v>0</v>
      </c>
      <c r="CK1848">
        <v>0</v>
      </c>
      <c r="CL1848">
        <v>0</v>
      </c>
      <c r="CM1848">
        <v>0</v>
      </c>
      <c r="CR1848" t="s">
        <v>2324</v>
      </c>
      <c r="CS1848" s="1369" t="str">
        <f>INDEX([8]Sheet1!$H:$H,MATCH(CR:CR,[8]Sheet1!$AU:$AU,0))</f>
        <v>Finance</v>
      </c>
    </row>
    <row r="1849" spans="1:97" x14ac:dyDescent="0.2">
      <c r="A1849" t="s">
        <v>5027</v>
      </c>
      <c r="B1849">
        <v>1947</v>
      </c>
      <c r="C1849" t="s">
        <v>5027</v>
      </c>
      <c r="D1849">
        <v>54947</v>
      </c>
      <c r="E1849" t="s">
        <v>2419</v>
      </c>
      <c r="F1849" t="s">
        <v>2364</v>
      </c>
      <c r="G1849" t="s">
        <v>2364</v>
      </c>
      <c r="H1849" t="s">
        <v>2365</v>
      </c>
      <c r="I1849" t="s">
        <v>2365</v>
      </c>
      <c r="J1849" t="s">
        <v>2365</v>
      </c>
      <c r="K1849" t="s">
        <v>2365</v>
      </c>
      <c r="L1849">
        <v>1200</v>
      </c>
      <c r="M1849" t="s">
        <v>1480</v>
      </c>
      <c r="N1849">
        <v>1204</v>
      </c>
      <c r="O1849" t="s">
        <v>1487</v>
      </c>
      <c r="P1849" t="s">
        <v>2366</v>
      </c>
      <c r="Q1849" t="s">
        <v>2364</v>
      </c>
      <c r="R1849" t="s">
        <v>2364</v>
      </c>
      <c r="S1849" t="s">
        <v>553</v>
      </c>
      <c r="T1849" t="s">
        <v>2175</v>
      </c>
      <c r="U1849">
        <v>120</v>
      </c>
      <c r="V1849" t="s">
        <v>691</v>
      </c>
      <c r="W1849">
        <v>120</v>
      </c>
      <c r="X1849" t="s">
        <v>691</v>
      </c>
      <c r="Y1849" t="s">
        <v>4994</v>
      </c>
      <c r="Z1849" t="s">
        <v>650</v>
      </c>
      <c r="AA1849" t="s">
        <v>4994</v>
      </c>
      <c r="AB1849" t="s">
        <v>650</v>
      </c>
      <c r="AC1849" s="813" t="s">
        <v>2365</v>
      </c>
      <c r="AD1849" s="813" t="s">
        <v>2365</v>
      </c>
      <c r="AE1849" s="813" t="s">
        <v>2365</v>
      </c>
      <c r="AF1849" t="s">
        <v>2365</v>
      </c>
      <c r="AG1849" t="s">
        <v>2365</v>
      </c>
      <c r="AH1849" t="s">
        <v>2365</v>
      </c>
      <c r="AI1849" t="s">
        <v>2365</v>
      </c>
      <c r="AJ1849" t="s">
        <v>2365</v>
      </c>
      <c r="AK1849" t="s">
        <v>2365</v>
      </c>
      <c r="AL1849" t="s">
        <v>2365</v>
      </c>
      <c r="AM1849" t="s">
        <v>2365</v>
      </c>
      <c r="AN1849" t="s">
        <v>2365</v>
      </c>
      <c r="AQ1849" t="s">
        <v>2423</v>
      </c>
      <c r="AR1849" t="s">
        <v>2365</v>
      </c>
      <c r="AS1849" t="s">
        <v>2365</v>
      </c>
      <c r="AT1849" t="s">
        <v>2365</v>
      </c>
      <c r="AU1849" t="s">
        <v>2365</v>
      </c>
      <c r="AV1849" t="s">
        <v>2365</v>
      </c>
      <c r="AW1849" t="s">
        <v>2365</v>
      </c>
      <c r="AX1849" t="s">
        <v>2365</v>
      </c>
      <c r="AY1849" t="s">
        <v>2365</v>
      </c>
      <c r="AZ1849" t="s">
        <v>2365</v>
      </c>
      <c r="BA1849" t="s">
        <v>2365</v>
      </c>
      <c r="BB1849" t="s">
        <v>2365</v>
      </c>
      <c r="BC1849" t="s">
        <v>2365</v>
      </c>
      <c r="BD1849" t="s">
        <v>2366</v>
      </c>
      <c r="BE1849" t="s">
        <v>2365</v>
      </c>
      <c r="BF1849" t="s">
        <v>2365</v>
      </c>
      <c r="BG1849" t="s">
        <v>2365</v>
      </c>
      <c r="BH1849" t="s">
        <v>2365</v>
      </c>
      <c r="BI1849" t="s">
        <v>2366</v>
      </c>
      <c r="BJ1849" t="s">
        <v>2365</v>
      </c>
      <c r="BK1849" t="s">
        <v>2365</v>
      </c>
      <c r="BL1849" t="s">
        <v>2365</v>
      </c>
      <c r="BM1849" t="s">
        <v>2365</v>
      </c>
      <c r="BO1849">
        <v>1</v>
      </c>
      <c r="BP1849">
        <v>11</v>
      </c>
      <c r="BQ1849" t="s">
        <v>2369</v>
      </c>
      <c r="BR1849" t="s">
        <v>1487</v>
      </c>
      <c r="BU1849">
        <v>-1179234</v>
      </c>
      <c r="BV1849">
        <v>0</v>
      </c>
      <c r="BW1849">
        <v>-1179234</v>
      </c>
      <c r="BX1849">
        <v>1179234</v>
      </c>
      <c r="BY1849">
        <v>0</v>
      </c>
      <c r="BZ1849">
        <v>0</v>
      </c>
      <c r="CA1849">
        <v>0</v>
      </c>
      <c r="CB1849">
        <v>0</v>
      </c>
      <c r="CC1849">
        <v>0</v>
      </c>
      <c r="CD1849">
        <v>0</v>
      </c>
      <c r="CE1849">
        <v>0</v>
      </c>
      <c r="CF1849">
        <v>0</v>
      </c>
      <c r="CG1849">
        <v>0</v>
      </c>
      <c r="CH1849">
        <v>0</v>
      </c>
      <c r="CI1849">
        <v>0</v>
      </c>
      <c r="CJ1849">
        <v>0</v>
      </c>
      <c r="CK1849">
        <v>0</v>
      </c>
      <c r="CL1849">
        <v>0</v>
      </c>
      <c r="CM1849">
        <v>0</v>
      </c>
      <c r="CR1849" t="s">
        <v>2324</v>
      </c>
      <c r="CS1849" s="1369" t="str">
        <f>INDEX([8]Sheet1!$H:$H,MATCH(CR:CR,[8]Sheet1!$AU:$AU,0))</f>
        <v>Finance</v>
      </c>
    </row>
    <row r="1850" spans="1:97" x14ac:dyDescent="0.2">
      <c r="A1850" t="s">
        <v>5028</v>
      </c>
      <c r="B1850">
        <v>1948</v>
      </c>
      <c r="C1850" t="s">
        <v>5028</v>
      </c>
      <c r="D1850">
        <v>54948</v>
      </c>
      <c r="E1850" t="s">
        <v>2405</v>
      </c>
      <c r="F1850" t="s">
        <v>2364</v>
      </c>
      <c r="G1850" t="s">
        <v>2364</v>
      </c>
      <c r="H1850" t="s">
        <v>2365</v>
      </c>
      <c r="I1850" t="s">
        <v>2365</v>
      </c>
      <c r="J1850" t="s">
        <v>2365</v>
      </c>
      <c r="K1850" t="s">
        <v>2365</v>
      </c>
      <c r="L1850">
        <v>1200</v>
      </c>
      <c r="M1850" t="s">
        <v>1480</v>
      </c>
      <c r="N1850">
        <v>1204</v>
      </c>
      <c r="O1850" t="s">
        <v>1487</v>
      </c>
      <c r="P1850" t="s">
        <v>2366</v>
      </c>
      <c r="Q1850" t="s">
        <v>2364</v>
      </c>
      <c r="R1850" t="s">
        <v>2364</v>
      </c>
      <c r="S1850" t="s">
        <v>553</v>
      </c>
      <c r="T1850" t="s">
        <v>2175</v>
      </c>
      <c r="U1850">
        <v>120</v>
      </c>
      <c r="V1850" t="s">
        <v>691</v>
      </c>
      <c r="W1850">
        <v>120</v>
      </c>
      <c r="X1850" t="s">
        <v>691</v>
      </c>
      <c r="Y1850" t="s">
        <v>2179</v>
      </c>
      <c r="Z1850" t="s">
        <v>650</v>
      </c>
      <c r="AA1850" t="s">
        <v>2179</v>
      </c>
      <c r="AB1850" t="s">
        <v>650</v>
      </c>
      <c r="AC1850" s="813" t="s">
        <v>2365</v>
      </c>
      <c r="AD1850" s="813" t="s">
        <v>2365</v>
      </c>
      <c r="AE1850" s="813" t="s">
        <v>2365</v>
      </c>
      <c r="AF1850" t="s">
        <v>2365</v>
      </c>
      <c r="AG1850" t="s">
        <v>2365</v>
      </c>
      <c r="AH1850" t="s">
        <v>2365</v>
      </c>
      <c r="AI1850" t="s">
        <v>2365</v>
      </c>
      <c r="AJ1850" t="s">
        <v>2365</v>
      </c>
      <c r="AK1850" t="s">
        <v>2365</v>
      </c>
      <c r="AL1850" t="s">
        <v>2365</v>
      </c>
      <c r="AM1850" t="s">
        <v>2365</v>
      </c>
      <c r="AN1850" t="s">
        <v>2365</v>
      </c>
      <c r="AQ1850" t="s">
        <v>553</v>
      </c>
      <c r="AR1850" t="s">
        <v>2365</v>
      </c>
      <c r="AS1850" t="s">
        <v>2365</v>
      </c>
      <c r="AT1850" t="s">
        <v>2365</v>
      </c>
      <c r="AU1850" t="s">
        <v>2365</v>
      </c>
      <c r="AV1850" t="s">
        <v>2365</v>
      </c>
      <c r="AW1850" t="s">
        <v>2365</v>
      </c>
      <c r="AX1850" t="s">
        <v>2365</v>
      </c>
      <c r="AY1850" t="s">
        <v>2365</v>
      </c>
      <c r="AZ1850" t="s">
        <v>2365</v>
      </c>
      <c r="BA1850" t="s">
        <v>2365</v>
      </c>
      <c r="BB1850" t="s">
        <v>2365</v>
      </c>
      <c r="BC1850" t="s">
        <v>2365</v>
      </c>
      <c r="BD1850" t="s">
        <v>2366</v>
      </c>
      <c r="BE1850" t="s">
        <v>2365</v>
      </c>
      <c r="BF1850" t="s">
        <v>2365</v>
      </c>
      <c r="BG1850" t="s">
        <v>2365</v>
      </c>
      <c r="BH1850" t="s">
        <v>2365</v>
      </c>
      <c r="BI1850" t="s">
        <v>2366</v>
      </c>
      <c r="BJ1850" t="s">
        <v>2365</v>
      </c>
      <c r="BK1850" t="s">
        <v>2365</v>
      </c>
      <c r="BL1850" t="s">
        <v>2365</v>
      </c>
      <c r="BM1850" t="s">
        <v>2365</v>
      </c>
      <c r="BO1850">
        <v>1</v>
      </c>
      <c r="BP1850">
        <v>11</v>
      </c>
      <c r="BQ1850" t="s">
        <v>2369</v>
      </c>
      <c r="BR1850" t="s">
        <v>1487</v>
      </c>
      <c r="BU1850">
        <v>0</v>
      </c>
      <c r="BV1850">
        <v>0</v>
      </c>
      <c r="BW1850">
        <v>0</v>
      </c>
      <c r="BX1850">
        <v>0</v>
      </c>
      <c r="BY1850">
        <v>0</v>
      </c>
      <c r="BZ1850">
        <v>0</v>
      </c>
      <c r="CA1850">
        <v>0</v>
      </c>
      <c r="CB1850">
        <v>0</v>
      </c>
      <c r="CC1850">
        <v>0</v>
      </c>
      <c r="CD1850">
        <v>0</v>
      </c>
      <c r="CE1850">
        <v>0</v>
      </c>
      <c r="CF1850">
        <v>0</v>
      </c>
      <c r="CG1850">
        <v>0</v>
      </c>
      <c r="CH1850">
        <v>0</v>
      </c>
      <c r="CI1850">
        <v>0</v>
      </c>
      <c r="CJ1850">
        <v>0</v>
      </c>
      <c r="CK1850">
        <v>0</v>
      </c>
      <c r="CL1850">
        <v>0</v>
      </c>
      <c r="CM1850">
        <v>0</v>
      </c>
      <c r="CR1850" t="s">
        <v>2324</v>
      </c>
      <c r="CS1850" s="1369" t="str">
        <f>INDEX([8]Sheet1!$H:$H,MATCH(CR:CR,[8]Sheet1!$AU:$AU,0))</f>
        <v>Finance</v>
      </c>
    </row>
    <row r="1851" spans="1:97" x14ac:dyDescent="0.2">
      <c r="A1851" t="s">
        <v>5029</v>
      </c>
      <c r="B1851">
        <v>1949</v>
      </c>
      <c r="C1851" t="s">
        <v>5029</v>
      </c>
      <c r="D1851">
        <v>54949</v>
      </c>
      <c r="E1851" t="s">
        <v>4898</v>
      </c>
      <c r="F1851" t="s">
        <v>2364</v>
      </c>
      <c r="G1851" t="s">
        <v>2364</v>
      </c>
      <c r="H1851" t="s">
        <v>2365</v>
      </c>
      <c r="I1851" t="s">
        <v>2365</v>
      </c>
      <c r="J1851" t="s">
        <v>2365</v>
      </c>
      <c r="K1851" t="s">
        <v>2365</v>
      </c>
      <c r="L1851">
        <v>1200</v>
      </c>
      <c r="M1851" t="s">
        <v>1480</v>
      </c>
      <c r="N1851">
        <v>1204</v>
      </c>
      <c r="O1851" t="s">
        <v>1487</v>
      </c>
      <c r="P1851" t="s">
        <v>2366</v>
      </c>
      <c r="Q1851" t="s">
        <v>2364</v>
      </c>
      <c r="R1851" t="s">
        <v>2364</v>
      </c>
      <c r="S1851" t="s">
        <v>553</v>
      </c>
      <c r="T1851" t="s">
        <v>2175</v>
      </c>
      <c r="U1851">
        <v>120</v>
      </c>
      <c r="V1851" t="s">
        <v>691</v>
      </c>
      <c r="W1851">
        <v>120</v>
      </c>
      <c r="X1851" t="s">
        <v>691</v>
      </c>
      <c r="Y1851" t="s">
        <v>2365</v>
      </c>
      <c r="Z1851" t="s">
        <v>2365</v>
      </c>
      <c r="AA1851" t="s">
        <v>2365</v>
      </c>
      <c r="AB1851" t="s">
        <v>2365</v>
      </c>
      <c r="AC1851" s="813">
        <v>420</v>
      </c>
      <c r="AD1851" s="813" t="s">
        <v>4866</v>
      </c>
      <c r="AE1851" s="813">
        <v>560</v>
      </c>
      <c r="AF1851" t="s">
        <v>4866</v>
      </c>
      <c r="AG1851" t="s">
        <v>2365</v>
      </c>
      <c r="AH1851" t="s">
        <v>2365</v>
      </c>
      <c r="AI1851" t="s">
        <v>2365</v>
      </c>
      <c r="AJ1851" t="s">
        <v>2365</v>
      </c>
      <c r="AK1851" s="1373" t="s">
        <v>2365</v>
      </c>
      <c r="AL1851" t="s">
        <v>2365</v>
      </c>
      <c r="AM1851" t="s">
        <v>2365</v>
      </c>
      <c r="AN1851" t="s">
        <v>2365</v>
      </c>
      <c r="AR1851" t="s">
        <v>2365</v>
      </c>
      <c r="AS1851" t="s">
        <v>2365</v>
      </c>
      <c r="AT1851" t="s">
        <v>2365</v>
      </c>
      <c r="AU1851" t="s">
        <v>2365</v>
      </c>
      <c r="AV1851" t="s">
        <v>2365</v>
      </c>
      <c r="AW1851" t="s">
        <v>2365</v>
      </c>
      <c r="AX1851" t="s">
        <v>2365</v>
      </c>
      <c r="AY1851" t="s">
        <v>2365</v>
      </c>
      <c r="AZ1851" t="s">
        <v>2365</v>
      </c>
      <c r="BA1851" t="s">
        <v>2365</v>
      </c>
      <c r="BB1851" t="s">
        <v>2365</v>
      </c>
      <c r="BC1851" t="s">
        <v>2365</v>
      </c>
      <c r="BD1851" t="s">
        <v>2366</v>
      </c>
      <c r="BE1851" t="s">
        <v>2365</v>
      </c>
      <c r="BF1851" t="s">
        <v>2365</v>
      </c>
      <c r="BG1851" t="s">
        <v>2365</v>
      </c>
      <c r="BH1851" t="s">
        <v>2365</v>
      </c>
      <c r="BI1851" t="s">
        <v>2366</v>
      </c>
      <c r="BJ1851" t="s">
        <v>2365</v>
      </c>
      <c r="BK1851" t="s">
        <v>2365</v>
      </c>
      <c r="BL1851" t="s">
        <v>2365</v>
      </c>
      <c r="BM1851" t="s">
        <v>2365</v>
      </c>
      <c r="BO1851">
        <v>1</v>
      </c>
      <c r="BP1851">
        <v>11</v>
      </c>
      <c r="BQ1851" t="s">
        <v>2369</v>
      </c>
      <c r="BR1851" t="s">
        <v>1487</v>
      </c>
      <c r="BU1851">
        <v>0</v>
      </c>
      <c r="BV1851">
        <v>0</v>
      </c>
      <c r="BW1851">
        <v>0</v>
      </c>
      <c r="BX1851">
        <v>0</v>
      </c>
      <c r="BY1851">
        <v>0</v>
      </c>
      <c r="BZ1851">
        <v>0</v>
      </c>
      <c r="CA1851">
        <v>0</v>
      </c>
      <c r="CB1851">
        <v>0</v>
      </c>
      <c r="CC1851">
        <v>0</v>
      </c>
      <c r="CD1851">
        <v>0</v>
      </c>
      <c r="CE1851">
        <v>0</v>
      </c>
      <c r="CF1851">
        <v>0</v>
      </c>
      <c r="CG1851">
        <v>0</v>
      </c>
      <c r="CH1851">
        <v>0</v>
      </c>
      <c r="CI1851">
        <v>0</v>
      </c>
      <c r="CJ1851">
        <v>0</v>
      </c>
      <c r="CK1851">
        <v>0</v>
      </c>
      <c r="CL1851">
        <v>0</v>
      </c>
      <c r="CM1851">
        <v>0</v>
      </c>
      <c r="CR1851" t="s">
        <v>2324</v>
      </c>
      <c r="CS1851" s="1369" t="str">
        <f>INDEX([8]Sheet1!$H:$H,MATCH(CR:CR,[8]Sheet1!$AU:$AU,0))</f>
        <v>Finance</v>
      </c>
    </row>
    <row r="1852" spans="1:97" x14ac:dyDescent="0.2">
      <c r="A1852" t="s">
        <v>5030</v>
      </c>
      <c r="B1852">
        <v>1950</v>
      </c>
      <c r="C1852" t="s">
        <v>5030</v>
      </c>
      <c r="D1852">
        <v>54966</v>
      </c>
      <c r="E1852" t="s">
        <v>5031</v>
      </c>
      <c r="F1852" t="s">
        <v>2364</v>
      </c>
      <c r="G1852" t="s">
        <v>2364</v>
      </c>
      <c r="H1852" t="s">
        <v>2365</v>
      </c>
      <c r="I1852" t="s">
        <v>2365</v>
      </c>
      <c r="J1852" t="s">
        <v>2365</v>
      </c>
      <c r="K1852" t="s">
        <v>2365</v>
      </c>
      <c r="L1852">
        <v>1200</v>
      </c>
      <c r="M1852" t="s">
        <v>1480</v>
      </c>
      <c r="N1852">
        <v>1204</v>
      </c>
      <c r="O1852" t="s">
        <v>1487</v>
      </c>
      <c r="P1852" t="s">
        <v>2366</v>
      </c>
      <c r="Q1852" t="s">
        <v>2364</v>
      </c>
      <c r="R1852" t="s">
        <v>2364</v>
      </c>
      <c r="S1852" t="s">
        <v>553</v>
      </c>
      <c r="T1852" t="s">
        <v>2367</v>
      </c>
      <c r="U1852">
        <v>360</v>
      </c>
      <c r="V1852" t="s">
        <v>2368</v>
      </c>
      <c r="W1852">
        <v>360</v>
      </c>
      <c r="X1852" t="s">
        <v>711</v>
      </c>
      <c r="Y1852" t="s">
        <v>2365</v>
      </c>
      <c r="Z1852" t="s">
        <v>2365</v>
      </c>
      <c r="AA1852" t="s">
        <v>2365</v>
      </c>
      <c r="AB1852" t="s">
        <v>2365</v>
      </c>
      <c r="AC1852" s="813" t="s">
        <v>2365</v>
      </c>
      <c r="AD1852" s="813" t="s">
        <v>2365</v>
      </c>
      <c r="AE1852" s="813" t="s">
        <v>2365</v>
      </c>
      <c r="AF1852" t="s">
        <v>2365</v>
      </c>
      <c r="AG1852" t="s">
        <v>2365</v>
      </c>
      <c r="AH1852" t="s">
        <v>2365</v>
      </c>
      <c r="AI1852" t="s">
        <v>2365</v>
      </c>
      <c r="AJ1852" t="s">
        <v>2365</v>
      </c>
      <c r="AK1852" s="1373">
        <v>361</v>
      </c>
      <c r="AL1852" t="s">
        <v>1804</v>
      </c>
      <c r="AM1852">
        <v>361</v>
      </c>
      <c r="AN1852" t="s">
        <v>1804</v>
      </c>
      <c r="AR1852" t="s">
        <v>2365</v>
      </c>
      <c r="AS1852" t="s">
        <v>2365</v>
      </c>
      <c r="AT1852" t="s">
        <v>2365</v>
      </c>
      <c r="AU1852" t="s">
        <v>2365</v>
      </c>
      <c r="AV1852" t="s">
        <v>2365</v>
      </c>
      <c r="AW1852" t="s">
        <v>2365</v>
      </c>
      <c r="AX1852" t="s">
        <v>2365</v>
      </c>
      <c r="AY1852" t="s">
        <v>2365</v>
      </c>
      <c r="AZ1852" t="s">
        <v>2365</v>
      </c>
      <c r="BA1852" t="s">
        <v>2365</v>
      </c>
      <c r="BB1852" t="s">
        <v>2365</v>
      </c>
      <c r="BC1852" t="s">
        <v>2365</v>
      </c>
      <c r="BD1852" t="s">
        <v>2366</v>
      </c>
      <c r="BE1852" t="s">
        <v>2365</v>
      </c>
      <c r="BF1852" t="s">
        <v>2365</v>
      </c>
      <c r="BG1852" t="s">
        <v>2365</v>
      </c>
      <c r="BH1852" t="s">
        <v>2365</v>
      </c>
      <c r="BI1852" t="s">
        <v>2366</v>
      </c>
      <c r="BJ1852" t="s">
        <v>2365</v>
      </c>
      <c r="BK1852" t="s">
        <v>2365</v>
      </c>
      <c r="BL1852" t="s">
        <v>2365</v>
      </c>
      <c r="BM1852" t="s">
        <v>2365</v>
      </c>
      <c r="BO1852">
        <v>1</v>
      </c>
      <c r="BP1852">
        <v>11</v>
      </c>
      <c r="BQ1852" t="s">
        <v>2369</v>
      </c>
      <c r="BR1852" t="s">
        <v>1487</v>
      </c>
      <c r="BU1852">
        <v>-3069600</v>
      </c>
      <c r="BV1852">
        <v>0</v>
      </c>
      <c r="BW1852">
        <v>-3069600</v>
      </c>
      <c r="BX1852">
        <v>-3069600</v>
      </c>
      <c r="BY1852">
        <v>0</v>
      </c>
      <c r="BZ1852">
        <v>0</v>
      </c>
      <c r="CA1852">
        <v>0</v>
      </c>
      <c r="CB1852">
        <v>0</v>
      </c>
      <c r="CC1852">
        <v>0</v>
      </c>
      <c r="CD1852">
        <v>0</v>
      </c>
      <c r="CE1852">
        <v>0</v>
      </c>
      <c r="CF1852">
        <v>0</v>
      </c>
      <c r="CG1852">
        <v>0</v>
      </c>
      <c r="CH1852">
        <v>0</v>
      </c>
      <c r="CI1852">
        <v>0</v>
      </c>
      <c r="CJ1852">
        <v>0</v>
      </c>
      <c r="CK1852">
        <v>0</v>
      </c>
      <c r="CL1852">
        <v>0</v>
      </c>
      <c r="CM1852">
        <v>0</v>
      </c>
      <c r="CR1852" t="s">
        <v>2324</v>
      </c>
      <c r="CS1852" s="1369" t="str">
        <f>INDEX([8]Sheet1!$H:$H,MATCH(CR:CR,[8]Sheet1!$AU:$AU,0))</f>
        <v>Finance</v>
      </c>
    </row>
    <row r="1853" spans="1:97" x14ac:dyDescent="0.2">
      <c r="A1853" t="s">
        <v>5032</v>
      </c>
      <c r="B1853">
        <v>1951</v>
      </c>
      <c r="C1853" t="s">
        <v>5032</v>
      </c>
      <c r="D1853">
        <v>54967</v>
      </c>
      <c r="E1853" t="s">
        <v>2363</v>
      </c>
      <c r="F1853" t="s">
        <v>2364</v>
      </c>
      <c r="G1853" t="s">
        <v>2364</v>
      </c>
      <c r="H1853" t="s">
        <v>2365</v>
      </c>
      <c r="I1853" t="s">
        <v>2365</v>
      </c>
      <c r="J1853" t="s">
        <v>2365</v>
      </c>
      <c r="K1853" t="s">
        <v>2365</v>
      </c>
      <c r="L1853">
        <v>1200</v>
      </c>
      <c r="M1853" t="s">
        <v>1480</v>
      </c>
      <c r="N1853">
        <v>1204</v>
      </c>
      <c r="O1853" t="s">
        <v>1487</v>
      </c>
      <c r="P1853" t="s">
        <v>2366</v>
      </c>
      <c r="Q1853" t="s">
        <v>2364</v>
      </c>
      <c r="R1853" t="s">
        <v>2364</v>
      </c>
      <c r="S1853" t="s">
        <v>553</v>
      </c>
      <c r="T1853" t="s">
        <v>2367</v>
      </c>
      <c r="U1853">
        <v>360</v>
      </c>
      <c r="V1853" t="s">
        <v>2368</v>
      </c>
      <c r="W1853">
        <v>360</v>
      </c>
      <c r="X1853" t="s">
        <v>711</v>
      </c>
      <c r="Y1853" t="s">
        <v>2365</v>
      </c>
      <c r="Z1853" t="s">
        <v>2365</v>
      </c>
      <c r="AA1853" t="s">
        <v>2365</v>
      </c>
      <c r="AB1853" t="s">
        <v>2365</v>
      </c>
      <c r="AC1853" s="813" t="s">
        <v>2365</v>
      </c>
      <c r="AD1853" s="813" t="s">
        <v>2365</v>
      </c>
      <c r="AE1853" s="813" t="s">
        <v>2365</v>
      </c>
      <c r="AF1853" t="s">
        <v>2365</v>
      </c>
      <c r="AG1853" t="s">
        <v>2365</v>
      </c>
      <c r="AH1853" t="s">
        <v>2365</v>
      </c>
      <c r="AI1853" t="s">
        <v>2365</v>
      </c>
      <c r="AJ1853" t="s">
        <v>2365</v>
      </c>
      <c r="AK1853" s="1373">
        <v>361</v>
      </c>
      <c r="AL1853" t="s">
        <v>1804</v>
      </c>
      <c r="AM1853">
        <v>361</v>
      </c>
      <c r="AN1853" t="s">
        <v>1804</v>
      </c>
      <c r="AR1853" t="s">
        <v>2365</v>
      </c>
      <c r="AS1853" t="s">
        <v>2365</v>
      </c>
      <c r="AT1853" t="s">
        <v>2365</v>
      </c>
      <c r="AU1853" t="s">
        <v>2365</v>
      </c>
      <c r="AV1853" t="s">
        <v>2365</v>
      </c>
      <c r="AW1853" t="s">
        <v>2365</v>
      </c>
      <c r="AX1853" t="s">
        <v>2365</v>
      </c>
      <c r="AY1853" t="s">
        <v>2365</v>
      </c>
      <c r="AZ1853" t="s">
        <v>2365</v>
      </c>
      <c r="BA1853" t="s">
        <v>2365</v>
      </c>
      <c r="BB1853" t="s">
        <v>2365</v>
      </c>
      <c r="BC1853" t="s">
        <v>2365</v>
      </c>
      <c r="BD1853" t="s">
        <v>2366</v>
      </c>
      <c r="BE1853" t="s">
        <v>2365</v>
      </c>
      <c r="BF1853" t="s">
        <v>2365</v>
      </c>
      <c r="BG1853" t="s">
        <v>2365</v>
      </c>
      <c r="BH1853" t="s">
        <v>2365</v>
      </c>
      <c r="BI1853" t="s">
        <v>2366</v>
      </c>
      <c r="BJ1853" t="s">
        <v>2365</v>
      </c>
      <c r="BK1853" t="s">
        <v>2365</v>
      </c>
      <c r="BL1853" t="s">
        <v>2365</v>
      </c>
      <c r="BM1853" t="s">
        <v>2365</v>
      </c>
      <c r="BO1853">
        <v>1</v>
      </c>
      <c r="BP1853">
        <v>11</v>
      </c>
      <c r="BQ1853" t="s">
        <v>2369</v>
      </c>
      <c r="BR1853" t="s">
        <v>1487</v>
      </c>
      <c r="BU1853">
        <v>0</v>
      </c>
      <c r="BV1853">
        <v>0</v>
      </c>
      <c r="BW1853">
        <v>0</v>
      </c>
      <c r="BX1853">
        <v>0</v>
      </c>
      <c r="BY1853">
        <v>0</v>
      </c>
      <c r="BZ1853">
        <v>0</v>
      </c>
      <c r="CA1853">
        <v>0</v>
      </c>
      <c r="CB1853">
        <v>0</v>
      </c>
      <c r="CC1853">
        <v>0</v>
      </c>
      <c r="CD1853">
        <v>0</v>
      </c>
      <c r="CE1853">
        <v>0</v>
      </c>
      <c r="CF1853">
        <v>0</v>
      </c>
      <c r="CG1853">
        <v>0</v>
      </c>
      <c r="CH1853">
        <v>0</v>
      </c>
      <c r="CI1853">
        <v>0</v>
      </c>
      <c r="CJ1853">
        <v>0</v>
      </c>
      <c r="CK1853">
        <v>0</v>
      </c>
      <c r="CL1853">
        <v>0</v>
      </c>
      <c r="CM1853">
        <v>0</v>
      </c>
      <c r="CR1853" t="s">
        <v>2320</v>
      </c>
      <c r="CS1853" s="1369" t="str">
        <f>INDEX([8]Sheet1!$H:$H,MATCH(CR:CR,[8]Sheet1!$AU:$AU,0))</f>
        <v>Administrative and Corporate Support</v>
      </c>
    </row>
    <row r="1854" spans="1:97" x14ac:dyDescent="0.2">
      <c r="A1854" t="s">
        <v>5033</v>
      </c>
      <c r="B1854">
        <v>1952</v>
      </c>
      <c r="C1854" t="s">
        <v>5033</v>
      </c>
      <c r="D1854">
        <v>54968</v>
      </c>
      <c r="E1854" t="s">
        <v>5034</v>
      </c>
      <c r="F1854" t="s">
        <v>2364</v>
      </c>
      <c r="G1854" t="s">
        <v>2364</v>
      </c>
      <c r="H1854" t="s">
        <v>2365</v>
      </c>
      <c r="I1854" t="s">
        <v>2365</v>
      </c>
      <c r="J1854" t="s">
        <v>2365</v>
      </c>
      <c r="K1854" t="s">
        <v>2365</v>
      </c>
      <c r="L1854">
        <v>1200</v>
      </c>
      <c r="M1854" t="s">
        <v>1480</v>
      </c>
      <c r="N1854">
        <v>1204</v>
      </c>
      <c r="O1854" t="s">
        <v>1487</v>
      </c>
      <c r="P1854" t="s">
        <v>2366</v>
      </c>
      <c r="Q1854" t="s">
        <v>2364</v>
      </c>
      <c r="R1854" t="s">
        <v>2364</v>
      </c>
      <c r="S1854" t="s">
        <v>553</v>
      </c>
      <c r="T1854" t="s">
        <v>2367</v>
      </c>
      <c r="U1854">
        <v>360</v>
      </c>
      <c r="V1854" t="s">
        <v>2368</v>
      </c>
      <c r="W1854">
        <v>360</v>
      </c>
      <c r="X1854" t="s">
        <v>711</v>
      </c>
      <c r="Y1854" t="s">
        <v>2365</v>
      </c>
      <c r="Z1854" t="s">
        <v>2365</v>
      </c>
      <c r="AA1854" t="s">
        <v>2365</v>
      </c>
      <c r="AB1854" t="s">
        <v>2365</v>
      </c>
      <c r="AC1854" s="813" t="s">
        <v>2365</v>
      </c>
      <c r="AD1854" s="813" t="s">
        <v>2365</v>
      </c>
      <c r="AE1854" s="813" t="s">
        <v>2365</v>
      </c>
      <c r="AF1854" t="s">
        <v>2365</v>
      </c>
      <c r="AG1854" t="s">
        <v>2365</v>
      </c>
      <c r="AH1854" t="s">
        <v>2365</v>
      </c>
      <c r="AI1854" t="s">
        <v>2365</v>
      </c>
      <c r="AJ1854" t="s">
        <v>2365</v>
      </c>
      <c r="AK1854" s="1373">
        <v>361</v>
      </c>
      <c r="AL1854" t="s">
        <v>1804</v>
      </c>
      <c r="AM1854">
        <v>361</v>
      </c>
      <c r="AN1854" t="s">
        <v>1804</v>
      </c>
      <c r="AR1854" t="s">
        <v>2365</v>
      </c>
      <c r="AS1854" t="s">
        <v>2365</v>
      </c>
      <c r="AT1854" t="s">
        <v>2365</v>
      </c>
      <c r="AU1854" t="s">
        <v>2365</v>
      </c>
      <c r="AV1854" t="s">
        <v>2365</v>
      </c>
      <c r="AW1854" t="s">
        <v>2365</v>
      </c>
      <c r="AX1854" t="s">
        <v>2365</v>
      </c>
      <c r="AY1854" t="s">
        <v>2365</v>
      </c>
      <c r="AZ1854" t="s">
        <v>2365</v>
      </c>
      <c r="BA1854" t="s">
        <v>2365</v>
      </c>
      <c r="BB1854" t="s">
        <v>2365</v>
      </c>
      <c r="BC1854" t="s">
        <v>2365</v>
      </c>
      <c r="BD1854" t="s">
        <v>2366</v>
      </c>
      <c r="BE1854" t="s">
        <v>2365</v>
      </c>
      <c r="BF1854" t="s">
        <v>2365</v>
      </c>
      <c r="BG1854" t="s">
        <v>2365</v>
      </c>
      <c r="BH1854" t="s">
        <v>2365</v>
      </c>
      <c r="BI1854" t="s">
        <v>2366</v>
      </c>
      <c r="BJ1854" t="s">
        <v>2365</v>
      </c>
      <c r="BK1854" t="s">
        <v>2365</v>
      </c>
      <c r="BL1854" t="s">
        <v>2365</v>
      </c>
      <c r="BM1854" t="s">
        <v>2365</v>
      </c>
      <c r="BO1854">
        <v>1</v>
      </c>
      <c r="BP1854">
        <v>11</v>
      </c>
      <c r="BQ1854" t="s">
        <v>2369</v>
      </c>
      <c r="BR1854" t="s">
        <v>1487</v>
      </c>
      <c r="BU1854">
        <v>1932192</v>
      </c>
      <c r="BV1854">
        <v>0</v>
      </c>
      <c r="BW1854">
        <v>1932192</v>
      </c>
      <c r="BX1854">
        <v>-1932192</v>
      </c>
      <c r="BY1854">
        <v>0</v>
      </c>
      <c r="BZ1854">
        <v>0</v>
      </c>
      <c r="CA1854">
        <v>0</v>
      </c>
      <c r="CB1854">
        <v>0</v>
      </c>
      <c r="CC1854">
        <v>0</v>
      </c>
      <c r="CD1854">
        <v>0</v>
      </c>
      <c r="CE1854">
        <v>0</v>
      </c>
      <c r="CF1854">
        <v>0</v>
      </c>
      <c r="CG1854">
        <v>0</v>
      </c>
      <c r="CH1854">
        <v>580815.94999999995</v>
      </c>
      <c r="CI1854">
        <v>0</v>
      </c>
      <c r="CJ1854">
        <v>0</v>
      </c>
      <c r="CK1854">
        <v>0</v>
      </c>
      <c r="CL1854">
        <v>0</v>
      </c>
      <c r="CM1854">
        <v>0</v>
      </c>
      <c r="CR1854" t="s">
        <v>2324</v>
      </c>
      <c r="CS1854" s="1369" t="str">
        <f>INDEX([8]Sheet1!$H:$H,MATCH(CR:CR,[8]Sheet1!$AU:$AU,0))</f>
        <v>Finance</v>
      </c>
    </row>
    <row r="1855" spans="1:97" x14ac:dyDescent="0.2">
      <c r="A1855" t="s">
        <v>5035</v>
      </c>
      <c r="B1855">
        <v>1953</v>
      </c>
      <c r="C1855" t="s">
        <v>5035</v>
      </c>
      <c r="D1855">
        <v>54969</v>
      </c>
      <c r="E1855" t="s">
        <v>5036</v>
      </c>
      <c r="F1855" t="s">
        <v>2364</v>
      </c>
      <c r="G1855" t="s">
        <v>2364</v>
      </c>
      <c r="H1855" t="s">
        <v>2365</v>
      </c>
      <c r="I1855" t="s">
        <v>2365</v>
      </c>
      <c r="J1855" t="s">
        <v>2365</v>
      </c>
      <c r="K1855" t="s">
        <v>2365</v>
      </c>
      <c r="L1855">
        <v>1200</v>
      </c>
      <c r="M1855" t="s">
        <v>1480</v>
      </c>
      <c r="N1855">
        <v>1204</v>
      </c>
      <c r="O1855" t="s">
        <v>1487</v>
      </c>
      <c r="P1855" t="s">
        <v>2366</v>
      </c>
      <c r="Q1855" t="s">
        <v>2364</v>
      </c>
      <c r="R1855" t="s">
        <v>2364</v>
      </c>
      <c r="S1855" t="s">
        <v>553</v>
      </c>
      <c r="T1855" t="s">
        <v>2367</v>
      </c>
      <c r="U1855">
        <v>360</v>
      </c>
      <c r="V1855" t="s">
        <v>2368</v>
      </c>
      <c r="W1855">
        <v>360</v>
      </c>
      <c r="X1855" t="s">
        <v>711</v>
      </c>
      <c r="Y1855" t="s">
        <v>2365</v>
      </c>
      <c r="Z1855" t="s">
        <v>2365</v>
      </c>
      <c r="AA1855" t="s">
        <v>2365</v>
      </c>
      <c r="AB1855" t="s">
        <v>2365</v>
      </c>
      <c r="AC1855" s="813" t="s">
        <v>2365</v>
      </c>
      <c r="AD1855" s="813" t="s">
        <v>2365</v>
      </c>
      <c r="AE1855" s="813" t="s">
        <v>2365</v>
      </c>
      <c r="AF1855" t="s">
        <v>2365</v>
      </c>
      <c r="AG1855" t="s">
        <v>2365</v>
      </c>
      <c r="AH1855" t="s">
        <v>2365</v>
      </c>
      <c r="AI1855" t="s">
        <v>2365</v>
      </c>
      <c r="AJ1855" t="s">
        <v>2365</v>
      </c>
      <c r="AK1855" s="1373">
        <v>361</v>
      </c>
      <c r="AL1855" t="s">
        <v>1804</v>
      </c>
      <c r="AM1855">
        <v>361</v>
      </c>
      <c r="AN1855" t="s">
        <v>1804</v>
      </c>
      <c r="AR1855" t="s">
        <v>2365</v>
      </c>
      <c r="AS1855" t="s">
        <v>2365</v>
      </c>
      <c r="AT1855" t="s">
        <v>2365</v>
      </c>
      <c r="AU1855" t="s">
        <v>2365</v>
      </c>
      <c r="AV1855" t="s">
        <v>2365</v>
      </c>
      <c r="AW1855" t="s">
        <v>2365</v>
      </c>
      <c r="AX1855" t="s">
        <v>2365</v>
      </c>
      <c r="AY1855" t="s">
        <v>2365</v>
      </c>
      <c r="AZ1855" t="s">
        <v>2365</v>
      </c>
      <c r="BA1855" t="s">
        <v>2365</v>
      </c>
      <c r="BB1855" t="s">
        <v>2365</v>
      </c>
      <c r="BC1855" t="s">
        <v>2365</v>
      </c>
      <c r="BD1855" t="s">
        <v>2366</v>
      </c>
      <c r="BE1855" t="s">
        <v>2365</v>
      </c>
      <c r="BF1855" t="s">
        <v>2365</v>
      </c>
      <c r="BG1855" t="s">
        <v>2365</v>
      </c>
      <c r="BH1855" t="s">
        <v>2365</v>
      </c>
      <c r="BI1855" t="s">
        <v>2366</v>
      </c>
      <c r="BJ1855" t="s">
        <v>2365</v>
      </c>
      <c r="BK1855" t="s">
        <v>2365</v>
      </c>
      <c r="BL1855" t="s">
        <v>2365</v>
      </c>
      <c r="BM1855" t="s">
        <v>2365</v>
      </c>
      <c r="BO1855">
        <v>1</v>
      </c>
      <c r="BP1855">
        <v>11</v>
      </c>
      <c r="BQ1855" t="s">
        <v>2369</v>
      </c>
      <c r="BR1855" t="s">
        <v>1487</v>
      </c>
      <c r="BU1855">
        <v>0</v>
      </c>
      <c r="BV1855">
        <v>0</v>
      </c>
      <c r="BW1855">
        <v>0</v>
      </c>
      <c r="BX1855">
        <v>0</v>
      </c>
      <c r="BY1855">
        <v>0</v>
      </c>
      <c r="BZ1855">
        <v>0</v>
      </c>
      <c r="CA1855">
        <v>0</v>
      </c>
      <c r="CB1855">
        <v>0</v>
      </c>
      <c r="CC1855">
        <v>0</v>
      </c>
      <c r="CD1855">
        <v>0</v>
      </c>
      <c r="CE1855">
        <v>0</v>
      </c>
      <c r="CF1855">
        <v>0</v>
      </c>
      <c r="CG1855">
        <v>0</v>
      </c>
      <c r="CH1855">
        <v>0</v>
      </c>
      <c r="CI1855">
        <v>0</v>
      </c>
      <c r="CJ1855">
        <v>0</v>
      </c>
      <c r="CK1855">
        <v>0</v>
      </c>
      <c r="CL1855">
        <v>0</v>
      </c>
      <c r="CM1855">
        <v>0</v>
      </c>
      <c r="CR1855" t="s">
        <v>2320</v>
      </c>
      <c r="CS1855" s="1369" t="str">
        <f>INDEX([8]Sheet1!$H:$H,MATCH(CR:CR,[8]Sheet1!$AU:$AU,0))</f>
        <v>Administrative and Corporate Support</v>
      </c>
    </row>
    <row r="1856" spans="1:97" x14ac:dyDescent="0.2">
      <c r="A1856" t="s">
        <v>5037</v>
      </c>
      <c r="B1856">
        <v>1954</v>
      </c>
      <c r="C1856" t="s">
        <v>5037</v>
      </c>
      <c r="D1856">
        <v>54970</v>
      </c>
      <c r="E1856" t="s">
        <v>5038</v>
      </c>
      <c r="F1856" t="s">
        <v>2364</v>
      </c>
      <c r="G1856" t="s">
        <v>2364</v>
      </c>
      <c r="H1856" t="s">
        <v>2365</v>
      </c>
      <c r="I1856" t="s">
        <v>2365</v>
      </c>
      <c r="J1856" t="s">
        <v>2365</v>
      </c>
      <c r="K1856" t="s">
        <v>2365</v>
      </c>
      <c r="L1856">
        <v>1200</v>
      </c>
      <c r="M1856" t="s">
        <v>1480</v>
      </c>
      <c r="N1856">
        <v>1204</v>
      </c>
      <c r="O1856" t="s">
        <v>1487</v>
      </c>
      <c r="P1856" t="s">
        <v>2366</v>
      </c>
      <c r="Q1856" t="s">
        <v>2364</v>
      </c>
      <c r="R1856" t="s">
        <v>2364</v>
      </c>
      <c r="S1856" t="s">
        <v>553</v>
      </c>
      <c r="T1856" t="s">
        <v>2367</v>
      </c>
      <c r="U1856" t="s">
        <v>2366</v>
      </c>
      <c r="V1856" t="s">
        <v>2366</v>
      </c>
      <c r="W1856" t="s">
        <v>2366</v>
      </c>
      <c r="X1856" t="s">
        <v>2366</v>
      </c>
      <c r="Y1856" t="s">
        <v>2365</v>
      </c>
      <c r="Z1856" t="s">
        <v>2365</v>
      </c>
      <c r="AA1856" t="s">
        <v>2365</v>
      </c>
      <c r="AB1856" t="s">
        <v>2365</v>
      </c>
      <c r="AC1856" s="813" t="s">
        <v>2365</v>
      </c>
      <c r="AD1856" s="813" t="s">
        <v>2365</v>
      </c>
      <c r="AE1856" s="813" t="s">
        <v>2365</v>
      </c>
      <c r="AF1856" t="s">
        <v>2365</v>
      </c>
      <c r="AG1856" t="s">
        <v>2365</v>
      </c>
      <c r="AH1856" t="s">
        <v>2365</v>
      </c>
      <c r="AI1856" t="s">
        <v>2365</v>
      </c>
      <c r="AJ1856" t="s">
        <v>2365</v>
      </c>
      <c r="AK1856" s="1373" t="s">
        <v>2365</v>
      </c>
      <c r="AL1856" t="s">
        <v>2365</v>
      </c>
      <c r="AM1856" t="s">
        <v>2365</v>
      </c>
      <c r="AN1856" t="s">
        <v>2365</v>
      </c>
      <c r="AR1856" t="s">
        <v>2365</v>
      </c>
      <c r="AS1856" t="s">
        <v>2365</v>
      </c>
      <c r="AT1856" t="s">
        <v>2365</v>
      </c>
      <c r="AU1856" t="s">
        <v>2365</v>
      </c>
      <c r="AV1856" t="s">
        <v>2365</v>
      </c>
      <c r="AW1856" t="s">
        <v>2365</v>
      </c>
      <c r="AX1856" t="s">
        <v>2365</v>
      </c>
      <c r="AY1856" t="s">
        <v>2365</v>
      </c>
      <c r="AZ1856" t="s">
        <v>2365</v>
      </c>
      <c r="BA1856" t="s">
        <v>2365</v>
      </c>
      <c r="BB1856" t="s">
        <v>2365</v>
      </c>
      <c r="BC1856" t="s">
        <v>2365</v>
      </c>
      <c r="BD1856" t="s">
        <v>2366</v>
      </c>
      <c r="BE1856" t="s">
        <v>2365</v>
      </c>
      <c r="BF1856" t="s">
        <v>2365</v>
      </c>
      <c r="BG1856" t="s">
        <v>2365</v>
      </c>
      <c r="BH1856" t="s">
        <v>2365</v>
      </c>
      <c r="BI1856" t="s">
        <v>2366</v>
      </c>
      <c r="BJ1856" t="s">
        <v>2365</v>
      </c>
      <c r="BK1856" t="s">
        <v>2365</v>
      </c>
      <c r="BL1856" t="s">
        <v>2365</v>
      </c>
      <c r="BM1856" t="s">
        <v>2365</v>
      </c>
      <c r="BO1856">
        <v>1</v>
      </c>
      <c r="BP1856">
        <v>11</v>
      </c>
      <c r="BQ1856" t="s">
        <v>2369</v>
      </c>
      <c r="BR1856" t="s">
        <v>1487</v>
      </c>
      <c r="BU1856">
        <v>0</v>
      </c>
      <c r="BV1856">
        <v>0</v>
      </c>
      <c r="BW1856">
        <v>0</v>
      </c>
      <c r="BX1856">
        <v>0</v>
      </c>
      <c r="BY1856">
        <v>0</v>
      </c>
      <c r="BZ1856">
        <v>0</v>
      </c>
      <c r="CA1856">
        <v>0</v>
      </c>
      <c r="CB1856">
        <v>0</v>
      </c>
      <c r="CC1856">
        <v>0</v>
      </c>
      <c r="CD1856">
        <v>0</v>
      </c>
      <c r="CE1856">
        <v>0</v>
      </c>
      <c r="CF1856">
        <v>0</v>
      </c>
      <c r="CG1856">
        <v>0</v>
      </c>
      <c r="CH1856">
        <v>0</v>
      </c>
      <c r="CI1856">
        <v>0</v>
      </c>
      <c r="CJ1856">
        <v>0</v>
      </c>
      <c r="CK1856">
        <v>0</v>
      </c>
      <c r="CL1856">
        <v>0</v>
      </c>
      <c r="CM1856">
        <v>0</v>
      </c>
      <c r="CR1856" t="s">
        <v>2320</v>
      </c>
      <c r="CS1856" s="1369" t="str">
        <f>INDEX([8]Sheet1!$H:$H,MATCH(CR:CR,[8]Sheet1!$AU:$AU,0))</f>
        <v>Administrative and Corporate Support</v>
      </c>
    </row>
    <row r="1857" spans="1:97" x14ac:dyDescent="0.2">
      <c r="A1857" t="s">
        <v>5039</v>
      </c>
      <c r="B1857">
        <v>1955</v>
      </c>
      <c r="C1857" t="s">
        <v>5039</v>
      </c>
      <c r="D1857">
        <v>54971</v>
      </c>
      <c r="E1857" t="s">
        <v>5040</v>
      </c>
      <c r="F1857" t="s">
        <v>2364</v>
      </c>
      <c r="G1857" t="s">
        <v>2364</v>
      </c>
      <c r="H1857" t="s">
        <v>2365</v>
      </c>
      <c r="I1857" t="s">
        <v>2365</v>
      </c>
      <c r="J1857" t="s">
        <v>2365</v>
      </c>
      <c r="K1857" t="s">
        <v>2365</v>
      </c>
      <c r="L1857">
        <v>1200</v>
      </c>
      <c r="M1857" t="s">
        <v>1480</v>
      </c>
      <c r="N1857">
        <v>1204</v>
      </c>
      <c r="O1857" t="s">
        <v>1487</v>
      </c>
      <c r="P1857" t="s">
        <v>2366</v>
      </c>
      <c r="Q1857" t="s">
        <v>2364</v>
      </c>
      <c r="R1857" t="s">
        <v>2364</v>
      </c>
      <c r="S1857" t="s">
        <v>553</v>
      </c>
      <c r="T1857" t="s">
        <v>2367</v>
      </c>
      <c r="U1857" t="s">
        <v>2366</v>
      </c>
      <c r="V1857" t="s">
        <v>2366</v>
      </c>
      <c r="W1857" t="s">
        <v>2366</v>
      </c>
      <c r="X1857" t="s">
        <v>2366</v>
      </c>
      <c r="Y1857" t="s">
        <v>2365</v>
      </c>
      <c r="Z1857" t="s">
        <v>2365</v>
      </c>
      <c r="AA1857" t="s">
        <v>2365</v>
      </c>
      <c r="AB1857" t="s">
        <v>2365</v>
      </c>
      <c r="AC1857" s="813" t="s">
        <v>2365</v>
      </c>
      <c r="AD1857" s="813" t="s">
        <v>2365</v>
      </c>
      <c r="AE1857" s="813" t="s">
        <v>2365</v>
      </c>
      <c r="AF1857" t="s">
        <v>2365</v>
      </c>
      <c r="AG1857" t="s">
        <v>2365</v>
      </c>
      <c r="AH1857" t="s">
        <v>2365</v>
      </c>
      <c r="AI1857" t="s">
        <v>2365</v>
      </c>
      <c r="AJ1857" t="s">
        <v>2365</v>
      </c>
      <c r="AK1857" s="1373" t="s">
        <v>2365</v>
      </c>
      <c r="AL1857" t="s">
        <v>2365</v>
      </c>
      <c r="AM1857" t="s">
        <v>2365</v>
      </c>
      <c r="AN1857" t="s">
        <v>2365</v>
      </c>
      <c r="AR1857" t="s">
        <v>2365</v>
      </c>
      <c r="AS1857" t="s">
        <v>2365</v>
      </c>
      <c r="AT1857" t="s">
        <v>2365</v>
      </c>
      <c r="AU1857" t="s">
        <v>2365</v>
      </c>
      <c r="AV1857" t="s">
        <v>2365</v>
      </c>
      <c r="AW1857" t="s">
        <v>2365</v>
      </c>
      <c r="AX1857" t="s">
        <v>2365</v>
      </c>
      <c r="AY1857" t="s">
        <v>2365</v>
      </c>
      <c r="AZ1857" t="s">
        <v>2365</v>
      </c>
      <c r="BA1857" t="s">
        <v>2365</v>
      </c>
      <c r="BB1857" t="s">
        <v>2365</v>
      </c>
      <c r="BC1857" t="s">
        <v>2365</v>
      </c>
      <c r="BD1857" t="s">
        <v>2366</v>
      </c>
      <c r="BE1857" t="s">
        <v>2365</v>
      </c>
      <c r="BF1857" t="s">
        <v>2365</v>
      </c>
      <c r="BG1857" t="s">
        <v>2365</v>
      </c>
      <c r="BH1857" t="s">
        <v>2365</v>
      </c>
      <c r="BI1857" t="s">
        <v>2366</v>
      </c>
      <c r="BJ1857" t="s">
        <v>2365</v>
      </c>
      <c r="BK1857" t="s">
        <v>2365</v>
      </c>
      <c r="BL1857" t="s">
        <v>2365</v>
      </c>
      <c r="BM1857" t="s">
        <v>2365</v>
      </c>
      <c r="BO1857">
        <v>1</v>
      </c>
      <c r="BP1857">
        <v>11</v>
      </c>
      <c r="BQ1857" t="s">
        <v>2369</v>
      </c>
      <c r="BR1857" t="s">
        <v>1487</v>
      </c>
      <c r="BU1857">
        <v>0</v>
      </c>
      <c r="BV1857">
        <v>0</v>
      </c>
      <c r="BW1857">
        <v>0</v>
      </c>
      <c r="BX1857">
        <v>0</v>
      </c>
      <c r="BY1857">
        <v>0</v>
      </c>
      <c r="BZ1857">
        <v>0</v>
      </c>
      <c r="CA1857">
        <v>0</v>
      </c>
      <c r="CB1857">
        <v>0</v>
      </c>
      <c r="CC1857">
        <v>0</v>
      </c>
      <c r="CD1857">
        <v>0</v>
      </c>
      <c r="CE1857">
        <v>0</v>
      </c>
      <c r="CF1857">
        <v>0</v>
      </c>
      <c r="CG1857">
        <v>0</v>
      </c>
      <c r="CH1857">
        <v>0</v>
      </c>
      <c r="CI1857">
        <v>0</v>
      </c>
      <c r="CJ1857">
        <v>0</v>
      </c>
      <c r="CK1857">
        <v>0</v>
      </c>
      <c r="CL1857">
        <v>0</v>
      </c>
      <c r="CM1857">
        <v>0</v>
      </c>
      <c r="CR1857" t="s">
        <v>2320</v>
      </c>
      <c r="CS1857" s="1369" t="str">
        <f>INDEX([8]Sheet1!$H:$H,MATCH(CR:CR,[8]Sheet1!$AU:$AU,0))</f>
        <v>Administrative and Corporate Support</v>
      </c>
    </row>
    <row r="1858" spans="1:97" x14ac:dyDescent="0.2">
      <c r="A1858" t="s">
        <v>5041</v>
      </c>
      <c r="B1858">
        <v>1956</v>
      </c>
      <c r="C1858" t="s">
        <v>5041</v>
      </c>
      <c r="D1858">
        <v>54972</v>
      </c>
      <c r="E1858" t="s">
        <v>4708</v>
      </c>
      <c r="F1858" t="s">
        <v>2364</v>
      </c>
      <c r="G1858" t="s">
        <v>2364</v>
      </c>
      <c r="H1858" t="s">
        <v>2365</v>
      </c>
      <c r="I1858" t="s">
        <v>2365</v>
      </c>
      <c r="J1858" t="s">
        <v>2365</v>
      </c>
      <c r="K1858" t="s">
        <v>2365</v>
      </c>
      <c r="L1858">
        <v>1200</v>
      </c>
      <c r="M1858" t="s">
        <v>1480</v>
      </c>
      <c r="N1858">
        <v>1204</v>
      </c>
      <c r="O1858" t="s">
        <v>1487</v>
      </c>
      <c r="P1858" t="s">
        <v>2366</v>
      </c>
      <c r="Q1858" t="s">
        <v>2364</v>
      </c>
      <c r="R1858" t="s">
        <v>2364</v>
      </c>
      <c r="S1858" t="s">
        <v>553</v>
      </c>
      <c r="T1858" t="s">
        <v>2367</v>
      </c>
      <c r="U1858" t="s">
        <v>2366</v>
      </c>
      <c r="V1858" t="s">
        <v>2366</v>
      </c>
      <c r="W1858" t="s">
        <v>2366</v>
      </c>
      <c r="X1858" t="s">
        <v>2366</v>
      </c>
      <c r="Y1858" t="s">
        <v>2365</v>
      </c>
      <c r="Z1858" t="s">
        <v>2365</v>
      </c>
      <c r="AA1858" t="s">
        <v>2365</v>
      </c>
      <c r="AB1858" t="s">
        <v>2365</v>
      </c>
      <c r="AC1858" s="813" t="s">
        <v>2365</v>
      </c>
      <c r="AD1858" s="813" t="s">
        <v>2365</v>
      </c>
      <c r="AE1858" s="813" t="s">
        <v>2365</v>
      </c>
      <c r="AF1858" t="s">
        <v>2365</v>
      </c>
      <c r="AG1858" t="s">
        <v>2365</v>
      </c>
      <c r="AH1858" t="s">
        <v>2365</v>
      </c>
      <c r="AI1858" t="s">
        <v>2365</v>
      </c>
      <c r="AJ1858" t="s">
        <v>2365</v>
      </c>
      <c r="AK1858" s="1373" t="s">
        <v>2365</v>
      </c>
      <c r="AL1858" t="s">
        <v>2365</v>
      </c>
      <c r="AM1858" t="s">
        <v>2365</v>
      </c>
      <c r="AN1858" t="s">
        <v>2365</v>
      </c>
      <c r="AR1858" t="s">
        <v>2365</v>
      </c>
      <c r="AS1858" t="s">
        <v>2365</v>
      </c>
      <c r="AT1858" t="s">
        <v>2365</v>
      </c>
      <c r="AU1858" t="s">
        <v>2365</v>
      </c>
      <c r="AV1858" t="s">
        <v>2365</v>
      </c>
      <c r="AW1858" t="s">
        <v>2365</v>
      </c>
      <c r="AX1858" t="s">
        <v>2365</v>
      </c>
      <c r="AY1858" t="s">
        <v>2365</v>
      </c>
      <c r="AZ1858" t="s">
        <v>2365</v>
      </c>
      <c r="BA1858" t="s">
        <v>2365</v>
      </c>
      <c r="BB1858" t="s">
        <v>2365</v>
      </c>
      <c r="BC1858" t="s">
        <v>2365</v>
      </c>
      <c r="BD1858" t="s">
        <v>2366</v>
      </c>
      <c r="BE1858" t="s">
        <v>2365</v>
      </c>
      <c r="BF1858" t="s">
        <v>2365</v>
      </c>
      <c r="BG1858" t="s">
        <v>2365</v>
      </c>
      <c r="BH1858" t="s">
        <v>2365</v>
      </c>
      <c r="BI1858" t="s">
        <v>2366</v>
      </c>
      <c r="BJ1858" t="s">
        <v>2365</v>
      </c>
      <c r="BK1858" t="s">
        <v>2365</v>
      </c>
      <c r="BL1858" t="s">
        <v>2365</v>
      </c>
      <c r="BM1858" t="s">
        <v>2365</v>
      </c>
      <c r="BO1858">
        <v>1</v>
      </c>
      <c r="BP1858">
        <v>11</v>
      </c>
      <c r="BQ1858" t="s">
        <v>2369</v>
      </c>
      <c r="BR1858" t="s">
        <v>1487</v>
      </c>
      <c r="BU1858">
        <v>0</v>
      </c>
      <c r="BV1858">
        <v>0</v>
      </c>
      <c r="BW1858">
        <v>0</v>
      </c>
      <c r="BX1858">
        <v>0</v>
      </c>
      <c r="BY1858">
        <v>0</v>
      </c>
      <c r="BZ1858">
        <v>0</v>
      </c>
      <c r="CA1858">
        <v>0</v>
      </c>
      <c r="CB1858">
        <v>0</v>
      </c>
      <c r="CC1858">
        <v>0</v>
      </c>
      <c r="CD1858">
        <v>0</v>
      </c>
      <c r="CE1858">
        <v>0</v>
      </c>
      <c r="CF1858">
        <v>0</v>
      </c>
      <c r="CG1858">
        <v>0</v>
      </c>
      <c r="CH1858">
        <v>0</v>
      </c>
      <c r="CI1858">
        <v>0</v>
      </c>
      <c r="CJ1858">
        <v>0</v>
      </c>
      <c r="CK1858">
        <v>0</v>
      </c>
      <c r="CL1858">
        <v>0</v>
      </c>
      <c r="CM1858">
        <v>0</v>
      </c>
      <c r="CR1858" t="s">
        <v>2320</v>
      </c>
      <c r="CS1858" s="1369" t="str">
        <f>INDEX([8]Sheet1!$H:$H,MATCH(CR:CR,[8]Sheet1!$AU:$AU,0))</f>
        <v>Administrative and Corporate Support</v>
      </c>
    </row>
    <row r="1859" spans="1:97" x14ac:dyDescent="0.2">
      <c r="A1859" t="s">
        <v>5042</v>
      </c>
      <c r="B1859">
        <v>1957</v>
      </c>
      <c r="C1859" t="s">
        <v>5042</v>
      </c>
      <c r="D1859">
        <v>54973</v>
      </c>
      <c r="E1859" t="s">
        <v>5043</v>
      </c>
      <c r="F1859" t="s">
        <v>2364</v>
      </c>
      <c r="G1859" t="s">
        <v>2364</v>
      </c>
      <c r="H1859" t="s">
        <v>2365</v>
      </c>
      <c r="I1859" t="s">
        <v>2365</v>
      </c>
      <c r="J1859" t="s">
        <v>2365</v>
      </c>
      <c r="K1859" t="s">
        <v>2365</v>
      </c>
      <c r="L1859">
        <v>1200</v>
      </c>
      <c r="M1859" t="s">
        <v>1480</v>
      </c>
      <c r="N1859">
        <v>1204</v>
      </c>
      <c r="O1859" t="s">
        <v>1487</v>
      </c>
      <c r="P1859" t="s">
        <v>2366</v>
      </c>
      <c r="Q1859" t="s">
        <v>2364</v>
      </c>
      <c r="R1859" t="s">
        <v>2364</v>
      </c>
      <c r="S1859" t="s">
        <v>553</v>
      </c>
      <c r="T1859" t="s">
        <v>2367</v>
      </c>
      <c r="U1859" t="s">
        <v>2366</v>
      </c>
      <c r="V1859" t="s">
        <v>2366</v>
      </c>
      <c r="W1859" t="s">
        <v>2366</v>
      </c>
      <c r="X1859" t="s">
        <v>2366</v>
      </c>
      <c r="Y1859" t="s">
        <v>2365</v>
      </c>
      <c r="Z1859" t="s">
        <v>2365</v>
      </c>
      <c r="AA1859" t="s">
        <v>2365</v>
      </c>
      <c r="AB1859" t="s">
        <v>2365</v>
      </c>
      <c r="AC1859" s="813" t="s">
        <v>2365</v>
      </c>
      <c r="AD1859" s="813" t="s">
        <v>2365</v>
      </c>
      <c r="AE1859" s="813" t="s">
        <v>2365</v>
      </c>
      <c r="AF1859" t="s">
        <v>2365</v>
      </c>
      <c r="AG1859" t="s">
        <v>2365</v>
      </c>
      <c r="AH1859" t="s">
        <v>2365</v>
      </c>
      <c r="AI1859" t="s">
        <v>2365</v>
      </c>
      <c r="AJ1859" t="s">
        <v>2365</v>
      </c>
      <c r="AK1859" t="s">
        <v>2365</v>
      </c>
      <c r="AL1859" t="s">
        <v>2365</v>
      </c>
      <c r="AM1859" t="s">
        <v>2365</v>
      </c>
      <c r="AN1859" t="s">
        <v>2365</v>
      </c>
      <c r="AR1859" t="s">
        <v>2365</v>
      </c>
      <c r="AS1859" t="s">
        <v>2365</v>
      </c>
      <c r="AT1859" t="s">
        <v>2365</v>
      </c>
      <c r="AU1859" t="s">
        <v>2365</v>
      </c>
      <c r="AV1859" t="s">
        <v>2365</v>
      </c>
      <c r="AW1859" t="s">
        <v>2365</v>
      </c>
      <c r="AX1859" t="s">
        <v>2365</v>
      </c>
      <c r="AY1859" t="s">
        <v>2365</v>
      </c>
      <c r="AZ1859" t="s">
        <v>2365</v>
      </c>
      <c r="BA1859" t="s">
        <v>2365</v>
      </c>
      <c r="BB1859" t="s">
        <v>2365</v>
      </c>
      <c r="BC1859" t="s">
        <v>2365</v>
      </c>
      <c r="BD1859" t="s">
        <v>2366</v>
      </c>
      <c r="BE1859" t="s">
        <v>2365</v>
      </c>
      <c r="BF1859" t="s">
        <v>2365</v>
      </c>
      <c r="BG1859" t="s">
        <v>2365</v>
      </c>
      <c r="BH1859" t="s">
        <v>2365</v>
      </c>
      <c r="BI1859" t="s">
        <v>2366</v>
      </c>
      <c r="BJ1859" t="s">
        <v>2365</v>
      </c>
      <c r="BK1859" t="s">
        <v>2365</v>
      </c>
      <c r="BL1859" t="s">
        <v>2365</v>
      </c>
      <c r="BM1859" t="s">
        <v>2365</v>
      </c>
      <c r="BO1859">
        <v>1</v>
      </c>
      <c r="BP1859">
        <v>11</v>
      </c>
      <c r="BQ1859" t="s">
        <v>2369</v>
      </c>
      <c r="BR1859" t="s">
        <v>1487</v>
      </c>
      <c r="BU1859">
        <v>0</v>
      </c>
      <c r="BV1859">
        <v>0</v>
      </c>
      <c r="BW1859">
        <v>0</v>
      </c>
      <c r="BX1859">
        <v>0</v>
      </c>
      <c r="BY1859">
        <v>0</v>
      </c>
      <c r="BZ1859">
        <v>0</v>
      </c>
      <c r="CA1859">
        <v>0</v>
      </c>
      <c r="CB1859">
        <v>0</v>
      </c>
      <c r="CC1859">
        <v>0</v>
      </c>
      <c r="CD1859">
        <v>0</v>
      </c>
      <c r="CE1859">
        <v>0</v>
      </c>
      <c r="CF1859">
        <v>0</v>
      </c>
      <c r="CG1859">
        <v>0</v>
      </c>
      <c r="CH1859">
        <v>0</v>
      </c>
      <c r="CI1859">
        <v>0</v>
      </c>
      <c r="CJ1859">
        <v>0</v>
      </c>
      <c r="CK1859">
        <v>0</v>
      </c>
      <c r="CL1859">
        <v>0</v>
      </c>
      <c r="CM1859">
        <v>0</v>
      </c>
      <c r="CR1859" t="s">
        <v>2333</v>
      </c>
      <c r="CS1859" s="1369" t="str">
        <f>INDEX([8]Sheet1!$H:$H,MATCH(CR:CR,[8]Sheet1!$AU:$AU,0))</f>
        <v>Municipal Manager, Town Secretary and Chief Executive</v>
      </c>
    </row>
    <row r="1860" spans="1:97" x14ac:dyDescent="0.2">
      <c r="A1860" t="s">
        <v>5044</v>
      </c>
      <c r="B1860">
        <v>1958</v>
      </c>
      <c r="C1860" t="s">
        <v>5044</v>
      </c>
      <c r="D1860">
        <v>54974</v>
      </c>
      <c r="E1860" t="s">
        <v>5045</v>
      </c>
      <c r="F1860" t="s">
        <v>2364</v>
      </c>
      <c r="G1860" t="s">
        <v>2364</v>
      </c>
      <c r="H1860" t="s">
        <v>2365</v>
      </c>
      <c r="I1860" t="s">
        <v>2365</v>
      </c>
      <c r="J1860" t="s">
        <v>2365</v>
      </c>
      <c r="K1860" t="s">
        <v>2365</v>
      </c>
      <c r="L1860">
        <v>1200</v>
      </c>
      <c r="M1860" t="s">
        <v>1480</v>
      </c>
      <c r="N1860">
        <v>1204</v>
      </c>
      <c r="O1860" t="s">
        <v>1487</v>
      </c>
      <c r="P1860" t="s">
        <v>2366</v>
      </c>
      <c r="Q1860" t="s">
        <v>2364</v>
      </c>
      <c r="R1860" t="s">
        <v>2364</v>
      </c>
      <c r="S1860" t="s">
        <v>553</v>
      </c>
      <c r="T1860" t="s">
        <v>2367</v>
      </c>
      <c r="U1860" t="s">
        <v>2366</v>
      </c>
      <c r="V1860" t="s">
        <v>2366</v>
      </c>
      <c r="W1860" t="s">
        <v>2366</v>
      </c>
      <c r="X1860" t="s">
        <v>2366</v>
      </c>
      <c r="Y1860" t="s">
        <v>2365</v>
      </c>
      <c r="Z1860" t="s">
        <v>2365</v>
      </c>
      <c r="AA1860" t="s">
        <v>2365</v>
      </c>
      <c r="AB1860" t="s">
        <v>2365</v>
      </c>
      <c r="AC1860" s="813" t="s">
        <v>2365</v>
      </c>
      <c r="AD1860" s="813" t="s">
        <v>2365</v>
      </c>
      <c r="AE1860" s="813" t="s">
        <v>2365</v>
      </c>
      <c r="AF1860" t="s">
        <v>2365</v>
      </c>
      <c r="AG1860" t="s">
        <v>2365</v>
      </c>
      <c r="AH1860" t="s">
        <v>2365</v>
      </c>
      <c r="AI1860" t="s">
        <v>2365</v>
      </c>
      <c r="AJ1860" t="s">
        <v>2365</v>
      </c>
      <c r="AK1860" s="1373" t="s">
        <v>2365</v>
      </c>
      <c r="AL1860" t="s">
        <v>2365</v>
      </c>
      <c r="AM1860" t="s">
        <v>2365</v>
      </c>
      <c r="AN1860" t="s">
        <v>2365</v>
      </c>
      <c r="AR1860" t="s">
        <v>2365</v>
      </c>
      <c r="AS1860" t="s">
        <v>2365</v>
      </c>
      <c r="AT1860" t="s">
        <v>2365</v>
      </c>
      <c r="AU1860" t="s">
        <v>2365</v>
      </c>
      <c r="AV1860" t="s">
        <v>2365</v>
      </c>
      <c r="AW1860" t="s">
        <v>2365</v>
      </c>
      <c r="AX1860" t="s">
        <v>2365</v>
      </c>
      <c r="AY1860" t="s">
        <v>2365</v>
      </c>
      <c r="AZ1860" t="s">
        <v>2365</v>
      </c>
      <c r="BA1860" t="s">
        <v>2365</v>
      </c>
      <c r="BB1860" t="s">
        <v>2365</v>
      </c>
      <c r="BC1860" t="s">
        <v>2365</v>
      </c>
      <c r="BD1860" t="s">
        <v>2366</v>
      </c>
      <c r="BE1860" t="s">
        <v>2365</v>
      </c>
      <c r="BF1860" t="s">
        <v>2365</v>
      </c>
      <c r="BG1860" t="s">
        <v>2365</v>
      </c>
      <c r="BH1860" t="s">
        <v>2365</v>
      </c>
      <c r="BI1860" t="s">
        <v>2366</v>
      </c>
      <c r="BJ1860" t="s">
        <v>2365</v>
      </c>
      <c r="BK1860" t="s">
        <v>2365</v>
      </c>
      <c r="BL1860" t="s">
        <v>2365</v>
      </c>
      <c r="BM1860" t="s">
        <v>2365</v>
      </c>
      <c r="BO1860">
        <v>1</v>
      </c>
      <c r="BP1860">
        <v>11</v>
      </c>
      <c r="BQ1860" t="s">
        <v>2369</v>
      </c>
      <c r="BR1860" t="s">
        <v>1487</v>
      </c>
      <c r="BU1860">
        <v>0</v>
      </c>
      <c r="BV1860">
        <v>0</v>
      </c>
      <c r="BW1860">
        <v>0</v>
      </c>
      <c r="BX1860">
        <v>0</v>
      </c>
      <c r="BY1860">
        <v>0</v>
      </c>
      <c r="BZ1860">
        <v>0</v>
      </c>
      <c r="CA1860">
        <v>0</v>
      </c>
      <c r="CB1860">
        <v>0</v>
      </c>
      <c r="CC1860">
        <v>0</v>
      </c>
      <c r="CD1860">
        <v>0</v>
      </c>
      <c r="CE1860">
        <v>0</v>
      </c>
      <c r="CF1860">
        <v>0</v>
      </c>
      <c r="CG1860">
        <v>0</v>
      </c>
      <c r="CH1860">
        <v>0</v>
      </c>
      <c r="CI1860">
        <v>0</v>
      </c>
      <c r="CJ1860">
        <v>0</v>
      </c>
      <c r="CK1860">
        <v>0</v>
      </c>
      <c r="CL1860">
        <v>0</v>
      </c>
      <c r="CM1860">
        <v>0</v>
      </c>
      <c r="CR1860" t="s">
        <v>2324</v>
      </c>
      <c r="CS1860" s="1369" t="str">
        <f>INDEX([8]Sheet1!$H:$H,MATCH(CR:CR,[8]Sheet1!$AU:$AU,0))</f>
        <v>Finance</v>
      </c>
    </row>
    <row r="1861" spans="1:97" x14ac:dyDescent="0.2">
      <c r="A1861" t="s">
        <v>5046</v>
      </c>
      <c r="B1861">
        <v>1959</v>
      </c>
      <c r="C1861" t="s">
        <v>5046</v>
      </c>
      <c r="D1861">
        <v>54975</v>
      </c>
      <c r="E1861" t="s">
        <v>5047</v>
      </c>
      <c r="F1861" t="s">
        <v>2364</v>
      </c>
      <c r="G1861" t="s">
        <v>2364</v>
      </c>
      <c r="H1861" t="s">
        <v>2365</v>
      </c>
      <c r="I1861" t="s">
        <v>2365</v>
      </c>
      <c r="J1861" t="s">
        <v>2365</v>
      </c>
      <c r="K1861" t="s">
        <v>2365</v>
      </c>
      <c r="L1861">
        <v>1200</v>
      </c>
      <c r="M1861" t="s">
        <v>1480</v>
      </c>
      <c r="N1861">
        <v>1204</v>
      </c>
      <c r="O1861" t="s">
        <v>1487</v>
      </c>
      <c r="P1861" t="s">
        <v>2366</v>
      </c>
      <c r="Q1861" t="s">
        <v>2364</v>
      </c>
      <c r="R1861" t="s">
        <v>2364</v>
      </c>
      <c r="S1861" t="s">
        <v>553</v>
      </c>
      <c r="T1861" t="s">
        <v>2367</v>
      </c>
      <c r="U1861" t="s">
        <v>2366</v>
      </c>
      <c r="V1861" t="s">
        <v>2366</v>
      </c>
      <c r="W1861" t="s">
        <v>2366</v>
      </c>
      <c r="X1861" t="s">
        <v>2366</v>
      </c>
      <c r="Y1861" t="s">
        <v>2365</v>
      </c>
      <c r="Z1861" t="s">
        <v>2365</v>
      </c>
      <c r="AA1861" t="s">
        <v>2365</v>
      </c>
      <c r="AB1861" t="s">
        <v>2365</v>
      </c>
      <c r="AC1861" s="813" t="s">
        <v>2365</v>
      </c>
      <c r="AD1861" s="813" t="s">
        <v>2365</v>
      </c>
      <c r="AE1861" s="813" t="s">
        <v>2365</v>
      </c>
      <c r="AF1861" t="s">
        <v>2365</v>
      </c>
      <c r="AG1861" t="s">
        <v>2365</v>
      </c>
      <c r="AH1861" t="s">
        <v>2365</v>
      </c>
      <c r="AI1861" t="s">
        <v>2365</v>
      </c>
      <c r="AJ1861" t="s">
        <v>2365</v>
      </c>
      <c r="AK1861" s="1373" t="s">
        <v>2365</v>
      </c>
      <c r="AL1861" t="s">
        <v>2365</v>
      </c>
      <c r="AM1861" t="s">
        <v>2365</v>
      </c>
      <c r="AN1861" t="s">
        <v>2365</v>
      </c>
      <c r="AR1861" t="s">
        <v>2365</v>
      </c>
      <c r="AS1861" t="s">
        <v>2365</v>
      </c>
      <c r="AT1861" t="s">
        <v>2365</v>
      </c>
      <c r="AU1861" t="s">
        <v>2365</v>
      </c>
      <c r="AV1861" t="s">
        <v>2365</v>
      </c>
      <c r="AW1861" t="s">
        <v>2365</v>
      </c>
      <c r="AX1861" t="s">
        <v>2365</v>
      </c>
      <c r="AY1861" t="s">
        <v>2365</v>
      </c>
      <c r="AZ1861" t="s">
        <v>2365</v>
      </c>
      <c r="BA1861" t="s">
        <v>2365</v>
      </c>
      <c r="BB1861" t="s">
        <v>2365</v>
      </c>
      <c r="BC1861" t="s">
        <v>2365</v>
      </c>
      <c r="BD1861" t="s">
        <v>2366</v>
      </c>
      <c r="BE1861" t="s">
        <v>2365</v>
      </c>
      <c r="BF1861" t="s">
        <v>2365</v>
      </c>
      <c r="BG1861" t="s">
        <v>2365</v>
      </c>
      <c r="BH1861" t="s">
        <v>2365</v>
      </c>
      <c r="BI1861" t="s">
        <v>2366</v>
      </c>
      <c r="BJ1861" t="s">
        <v>2365</v>
      </c>
      <c r="BK1861" t="s">
        <v>2365</v>
      </c>
      <c r="BL1861" t="s">
        <v>2365</v>
      </c>
      <c r="BM1861" t="s">
        <v>2365</v>
      </c>
      <c r="BO1861">
        <v>1</v>
      </c>
      <c r="BP1861">
        <v>11</v>
      </c>
      <c r="BQ1861" t="s">
        <v>2369</v>
      </c>
      <c r="BR1861" t="s">
        <v>1487</v>
      </c>
      <c r="BU1861">
        <v>-2353095</v>
      </c>
      <c r="BV1861">
        <v>0</v>
      </c>
      <c r="BW1861">
        <v>-2353095</v>
      </c>
      <c r="BX1861">
        <v>-2353095</v>
      </c>
      <c r="BY1861">
        <v>0</v>
      </c>
      <c r="BZ1861">
        <v>0</v>
      </c>
      <c r="CA1861">
        <v>0</v>
      </c>
      <c r="CB1861">
        <v>0</v>
      </c>
      <c r="CC1861">
        <v>0</v>
      </c>
      <c r="CD1861">
        <v>0</v>
      </c>
      <c r="CE1861">
        <v>0</v>
      </c>
      <c r="CF1861">
        <v>0</v>
      </c>
      <c r="CG1861">
        <v>0</v>
      </c>
      <c r="CH1861">
        <v>0</v>
      </c>
      <c r="CI1861">
        <v>0</v>
      </c>
      <c r="CJ1861">
        <v>0</v>
      </c>
      <c r="CK1861">
        <v>0</v>
      </c>
      <c r="CL1861">
        <v>0</v>
      </c>
      <c r="CM1861">
        <v>0</v>
      </c>
      <c r="CR1861" t="s">
        <v>2328</v>
      </c>
      <c r="CS1861" s="1369" t="str">
        <f>INDEX([8]Sheet1!$H:$H,MATCH(CR:CR,[8]Sheet1!$AU:$AU,0))</f>
        <v>Water Distribution</v>
      </c>
    </row>
    <row r="1862" spans="1:97" x14ac:dyDescent="0.2">
      <c r="A1862" t="s">
        <v>5048</v>
      </c>
      <c r="B1862">
        <v>1960</v>
      </c>
      <c r="C1862" t="s">
        <v>5048</v>
      </c>
      <c r="D1862">
        <v>54976</v>
      </c>
      <c r="E1862" t="s">
        <v>5049</v>
      </c>
      <c r="F1862" t="s">
        <v>2364</v>
      </c>
      <c r="G1862" t="s">
        <v>2364</v>
      </c>
      <c r="H1862" t="s">
        <v>2365</v>
      </c>
      <c r="I1862" t="s">
        <v>2365</v>
      </c>
      <c r="J1862" t="s">
        <v>2365</v>
      </c>
      <c r="K1862" t="s">
        <v>2365</v>
      </c>
      <c r="L1862">
        <v>1200</v>
      </c>
      <c r="M1862" t="s">
        <v>1480</v>
      </c>
      <c r="N1862">
        <v>1206</v>
      </c>
      <c r="O1862" t="s">
        <v>996</v>
      </c>
      <c r="P1862" t="s">
        <v>2366</v>
      </c>
      <c r="Q1862" t="s">
        <v>2364</v>
      </c>
      <c r="R1862" t="s">
        <v>2364</v>
      </c>
      <c r="S1862" t="s">
        <v>553</v>
      </c>
      <c r="T1862" t="s">
        <v>2367</v>
      </c>
      <c r="U1862">
        <v>410</v>
      </c>
      <c r="V1862" t="s">
        <v>4381</v>
      </c>
      <c r="W1862">
        <v>410</v>
      </c>
      <c r="X1862" t="s">
        <v>712</v>
      </c>
      <c r="Y1862" t="s">
        <v>2365</v>
      </c>
      <c r="Z1862" t="s">
        <v>2365</v>
      </c>
      <c r="AA1862" t="s">
        <v>2365</v>
      </c>
      <c r="AB1862" t="s">
        <v>2365</v>
      </c>
      <c r="AC1862" s="813" t="s">
        <v>2365</v>
      </c>
      <c r="AD1862" s="813" t="s">
        <v>2365</v>
      </c>
      <c r="AE1862" s="813" t="s">
        <v>2365</v>
      </c>
      <c r="AF1862" t="s">
        <v>2365</v>
      </c>
      <c r="AG1862" t="s">
        <v>2365</v>
      </c>
      <c r="AH1862" t="s">
        <v>2365</v>
      </c>
      <c r="AI1862" t="s">
        <v>2365</v>
      </c>
      <c r="AJ1862" t="s">
        <v>2365</v>
      </c>
      <c r="AK1862" s="1373">
        <v>411</v>
      </c>
      <c r="AL1862" t="s">
        <v>1213</v>
      </c>
      <c r="AM1862">
        <v>411</v>
      </c>
      <c r="AN1862" t="s">
        <v>1213</v>
      </c>
      <c r="AR1862" t="s">
        <v>2365</v>
      </c>
      <c r="AS1862" t="s">
        <v>2365</v>
      </c>
      <c r="AT1862" t="s">
        <v>2365</v>
      </c>
      <c r="AU1862" t="s">
        <v>2365</v>
      </c>
      <c r="AV1862" t="s">
        <v>2365</v>
      </c>
      <c r="AW1862" t="s">
        <v>2365</v>
      </c>
      <c r="AX1862" t="s">
        <v>2365</v>
      </c>
      <c r="AY1862" t="s">
        <v>2365</v>
      </c>
      <c r="AZ1862" t="s">
        <v>2365</v>
      </c>
      <c r="BA1862" t="s">
        <v>2365</v>
      </c>
      <c r="BB1862" t="s">
        <v>2365</v>
      </c>
      <c r="BC1862" t="s">
        <v>2365</v>
      </c>
      <c r="BD1862" t="s">
        <v>2366</v>
      </c>
      <c r="BE1862" t="s">
        <v>2365</v>
      </c>
      <c r="BF1862" t="s">
        <v>2365</v>
      </c>
      <c r="BG1862" t="s">
        <v>2365</v>
      </c>
      <c r="BH1862" t="s">
        <v>2365</v>
      </c>
      <c r="BI1862" t="s">
        <v>2366</v>
      </c>
      <c r="BJ1862" t="s">
        <v>2365</v>
      </c>
      <c r="BK1862" t="s">
        <v>2365</v>
      </c>
      <c r="BL1862" t="s">
        <v>2365</v>
      </c>
      <c r="BM1862" t="s">
        <v>2365</v>
      </c>
      <c r="BO1862">
        <v>1</v>
      </c>
      <c r="BP1862">
        <v>15</v>
      </c>
      <c r="BQ1862" t="s">
        <v>2369</v>
      </c>
      <c r="BR1862" t="s">
        <v>996</v>
      </c>
      <c r="BU1862">
        <v>-2590571</v>
      </c>
      <c r="BV1862">
        <v>0</v>
      </c>
      <c r="BW1862">
        <v>-2590571</v>
      </c>
      <c r="BX1862">
        <v>-2590571</v>
      </c>
      <c r="BY1862">
        <v>0</v>
      </c>
      <c r="BZ1862">
        <v>0</v>
      </c>
      <c r="CA1862">
        <v>0</v>
      </c>
      <c r="CB1862">
        <v>0</v>
      </c>
      <c r="CC1862">
        <v>0</v>
      </c>
      <c r="CD1862">
        <v>0</v>
      </c>
      <c r="CE1862">
        <v>0</v>
      </c>
      <c r="CF1862">
        <v>0</v>
      </c>
      <c r="CG1862">
        <v>0</v>
      </c>
      <c r="CH1862">
        <v>0</v>
      </c>
      <c r="CI1862">
        <v>0</v>
      </c>
      <c r="CJ1862">
        <v>0</v>
      </c>
      <c r="CK1862">
        <v>0</v>
      </c>
      <c r="CL1862">
        <v>0</v>
      </c>
      <c r="CM1862">
        <v>0</v>
      </c>
      <c r="CR1862" t="s">
        <v>2328</v>
      </c>
      <c r="CS1862" s="1369" t="str">
        <f>INDEX([8]Sheet1!$H:$H,MATCH(CR:CR,[8]Sheet1!$AU:$AU,0))</f>
        <v>Water Distribution</v>
      </c>
    </row>
    <row r="1863" spans="1:97" x14ac:dyDescent="0.2">
      <c r="A1863" t="s">
        <v>5050</v>
      </c>
      <c r="B1863">
        <v>1961</v>
      </c>
      <c r="C1863" t="s">
        <v>5050</v>
      </c>
      <c r="D1863">
        <v>54977</v>
      </c>
      <c r="E1863" t="s">
        <v>5051</v>
      </c>
      <c r="F1863" t="s">
        <v>2364</v>
      </c>
      <c r="G1863" t="s">
        <v>2364</v>
      </c>
      <c r="H1863" t="s">
        <v>2365</v>
      </c>
      <c r="I1863" t="s">
        <v>2365</v>
      </c>
      <c r="J1863" t="s">
        <v>2365</v>
      </c>
      <c r="K1863" t="s">
        <v>2365</v>
      </c>
      <c r="L1863">
        <v>1200</v>
      </c>
      <c r="M1863" t="s">
        <v>1480</v>
      </c>
      <c r="N1863">
        <v>1206</v>
      </c>
      <c r="O1863" t="s">
        <v>996</v>
      </c>
      <c r="P1863" t="s">
        <v>2366</v>
      </c>
      <c r="Q1863" t="s">
        <v>2364</v>
      </c>
      <c r="R1863" t="s">
        <v>2364</v>
      </c>
      <c r="S1863" t="s">
        <v>553</v>
      </c>
      <c r="T1863" t="s">
        <v>2367</v>
      </c>
      <c r="U1863">
        <v>410</v>
      </c>
      <c r="V1863" t="s">
        <v>4381</v>
      </c>
      <c r="W1863">
        <v>410</v>
      </c>
      <c r="X1863" t="s">
        <v>712</v>
      </c>
      <c r="Y1863" t="s">
        <v>2365</v>
      </c>
      <c r="Z1863" t="s">
        <v>2365</v>
      </c>
      <c r="AA1863" t="s">
        <v>2365</v>
      </c>
      <c r="AB1863" t="s">
        <v>2365</v>
      </c>
      <c r="AC1863" s="813" t="s">
        <v>2365</v>
      </c>
      <c r="AD1863" s="813" t="s">
        <v>2365</v>
      </c>
      <c r="AE1863" s="813" t="s">
        <v>2365</v>
      </c>
      <c r="AF1863" t="s">
        <v>2365</v>
      </c>
      <c r="AG1863" t="s">
        <v>2365</v>
      </c>
      <c r="AH1863" t="s">
        <v>2365</v>
      </c>
      <c r="AI1863" t="s">
        <v>2365</v>
      </c>
      <c r="AJ1863" t="s">
        <v>2365</v>
      </c>
      <c r="AK1863">
        <v>411</v>
      </c>
      <c r="AL1863" t="s">
        <v>1213</v>
      </c>
      <c r="AM1863">
        <v>411</v>
      </c>
      <c r="AN1863" t="s">
        <v>1213</v>
      </c>
      <c r="AR1863" t="s">
        <v>2365</v>
      </c>
      <c r="AS1863" t="s">
        <v>2365</v>
      </c>
      <c r="AT1863" t="s">
        <v>2365</v>
      </c>
      <c r="AU1863" t="s">
        <v>2365</v>
      </c>
      <c r="AV1863" t="s">
        <v>2365</v>
      </c>
      <c r="AW1863" t="s">
        <v>2365</v>
      </c>
      <c r="AX1863" t="s">
        <v>2365</v>
      </c>
      <c r="AY1863" t="s">
        <v>2365</v>
      </c>
      <c r="AZ1863" t="s">
        <v>2365</v>
      </c>
      <c r="BA1863" t="s">
        <v>2365</v>
      </c>
      <c r="BB1863" t="s">
        <v>2365</v>
      </c>
      <c r="BC1863" t="s">
        <v>2365</v>
      </c>
      <c r="BD1863" t="s">
        <v>2366</v>
      </c>
      <c r="BE1863" t="s">
        <v>2365</v>
      </c>
      <c r="BF1863" t="s">
        <v>2365</v>
      </c>
      <c r="BG1863" t="s">
        <v>2365</v>
      </c>
      <c r="BH1863" t="s">
        <v>2365</v>
      </c>
      <c r="BI1863" t="s">
        <v>2366</v>
      </c>
      <c r="BJ1863" t="s">
        <v>2365</v>
      </c>
      <c r="BK1863" t="s">
        <v>2365</v>
      </c>
      <c r="BL1863" t="s">
        <v>2365</v>
      </c>
      <c r="BM1863" t="s">
        <v>2365</v>
      </c>
      <c r="BO1863">
        <v>1</v>
      </c>
      <c r="BP1863">
        <v>15</v>
      </c>
      <c r="BQ1863" t="s">
        <v>2369</v>
      </c>
      <c r="BR1863" t="s">
        <v>996</v>
      </c>
      <c r="BU1863">
        <v>0</v>
      </c>
      <c r="BV1863">
        <v>0</v>
      </c>
      <c r="BW1863">
        <v>0</v>
      </c>
      <c r="BX1863">
        <v>0</v>
      </c>
      <c r="BY1863">
        <v>0</v>
      </c>
      <c r="BZ1863">
        <v>0</v>
      </c>
      <c r="CA1863">
        <v>0</v>
      </c>
      <c r="CB1863">
        <v>0</v>
      </c>
      <c r="CC1863">
        <v>0</v>
      </c>
      <c r="CD1863">
        <v>0</v>
      </c>
      <c r="CE1863">
        <v>0</v>
      </c>
      <c r="CF1863">
        <v>0</v>
      </c>
      <c r="CG1863">
        <v>0</v>
      </c>
      <c r="CH1863">
        <v>0</v>
      </c>
      <c r="CI1863">
        <v>0</v>
      </c>
      <c r="CJ1863">
        <v>0</v>
      </c>
      <c r="CK1863">
        <v>0</v>
      </c>
      <c r="CL1863">
        <v>0</v>
      </c>
      <c r="CM1863">
        <v>0</v>
      </c>
      <c r="CR1863" t="s">
        <v>2328</v>
      </c>
      <c r="CS1863" s="1369" t="str">
        <f>INDEX([8]Sheet1!$H:$H,MATCH(CR:CR,[8]Sheet1!$AU:$AU,0))</f>
        <v>Water Distribution</v>
      </c>
    </row>
    <row r="1864" spans="1:97" x14ac:dyDescent="0.2">
      <c r="A1864" t="s">
        <v>5052</v>
      </c>
      <c r="B1864">
        <v>1962</v>
      </c>
      <c r="C1864" t="s">
        <v>5052</v>
      </c>
      <c r="D1864">
        <v>54978</v>
      </c>
      <c r="E1864" t="s">
        <v>5053</v>
      </c>
      <c r="F1864" t="s">
        <v>2364</v>
      </c>
      <c r="G1864" t="s">
        <v>2364</v>
      </c>
      <c r="H1864" t="s">
        <v>2365</v>
      </c>
      <c r="I1864" t="s">
        <v>2365</v>
      </c>
      <c r="J1864" t="s">
        <v>2365</v>
      </c>
      <c r="K1864" t="s">
        <v>2365</v>
      </c>
      <c r="L1864">
        <v>1200</v>
      </c>
      <c r="M1864" t="s">
        <v>1480</v>
      </c>
      <c r="N1864">
        <v>1206</v>
      </c>
      <c r="O1864" t="s">
        <v>996</v>
      </c>
      <c r="P1864" t="s">
        <v>2366</v>
      </c>
      <c r="Q1864" t="s">
        <v>2364</v>
      </c>
      <c r="R1864" t="s">
        <v>2364</v>
      </c>
      <c r="S1864" t="s">
        <v>553</v>
      </c>
      <c r="T1864" t="s">
        <v>2367</v>
      </c>
      <c r="U1864">
        <v>410</v>
      </c>
      <c r="V1864" t="s">
        <v>4381</v>
      </c>
      <c r="W1864">
        <v>410</v>
      </c>
      <c r="X1864" t="s">
        <v>712</v>
      </c>
      <c r="Y1864" t="s">
        <v>2365</v>
      </c>
      <c r="Z1864" t="s">
        <v>2365</v>
      </c>
      <c r="AA1864" t="s">
        <v>2365</v>
      </c>
      <c r="AB1864" t="s">
        <v>2365</v>
      </c>
      <c r="AC1864" s="813" t="s">
        <v>2365</v>
      </c>
      <c r="AD1864" s="813" t="s">
        <v>2365</v>
      </c>
      <c r="AE1864" s="813" t="s">
        <v>2365</v>
      </c>
      <c r="AF1864" t="s">
        <v>2365</v>
      </c>
      <c r="AG1864" t="s">
        <v>2365</v>
      </c>
      <c r="AH1864" t="s">
        <v>2365</v>
      </c>
      <c r="AI1864" t="s">
        <v>2365</v>
      </c>
      <c r="AJ1864" t="s">
        <v>2365</v>
      </c>
      <c r="AK1864" s="1373">
        <v>411</v>
      </c>
      <c r="AL1864" t="s">
        <v>1213</v>
      </c>
      <c r="AM1864">
        <v>411</v>
      </c>
      <c r="AN1864" t="s">
        <v>1213</v>
      </c>
      <c r="AR1864" t="s">
        <v>2365</v>
      </c>
      <c r="AS1864" t="s">
        <v>2365</v>
      </c>
      <c r="AT1864" t="s">
        <v>2365</v>
      </c>
      <c r="AU1864" t="s">
        <v>2365</v>
      </c>
      <c r="AV1864" t="s">
        <v>2365</v>
      </c>
      <c r="AW1864" t="s">
        <v>2365</v>
      </c>
      <c r="AX1864" t="s">
        <v>2365</v>
      </c>
      <c r="AY1864" t="s">
        <v>2365</v>
      </c>
      <c r="AZ1864" t="s">
        <v>2365</v>
      </c>
      <c r="BA1864" t="s">
        <v>2365</v>
      </c>
      <c r="BB1864" t="s">
        <v>2365</v>
      </c>
      <c r="BC1864" t="s">
        <v>2365</v>
      </c>
      <c r="BD1864" t="s">
        <v>2366</v>
      </c>
      <c r="BE1864" t="s">
        <v>2365</v>
      </c>
      <c r="BF1864" t="s">
        <v>2365</v>
      </c>
      <c r="BG1864" t="s">
        <v>2365</v>
      </c>
      <c r="BH1864" t="s">
        <v>2365</v>
      </c>
      <c r="BI1864" t="s">
        <v>2366</v>
      </c>
      <c r="BJ1864" t="s">
        <v>2365</v>
      </c>
      <c r="BK1864" t="s">
        <v>2365</v>
      </c>
      <c r="BL1864" t="s">
        <v>2365</v>
      </c>
      <c r="BM1864" t="s">
        <v>2365</v>
      </c>
      <c r="BO1864">
        <v>1</v>
      </c>
      <c r="BP1864">
        <v>15</v>
      </c>
      <c r="BQ1864" t="s">
        <v>2369</v>
      </c>
      <c r="BR1864" t="s">
        <v>996</v>
      </c>
      <c r="BU1864">
        <v>0</v>
      </c>
      <c r="BV1864">
        <v>0</v>
      </c>
      <c r="BW1864">
        <v>0</v>
      </c>
      <c r="BX1864">
        <v>0</v>
      </c>
      <c r="BY1864">
        <v>0</v>
      </c>
      <c r="BZ1864">
        <v>0</v>
      </c>
      <c r="CA1864">
        <v>0</v>
      </c>
      <c r="CB1864">
        <v>0</v>
      </c>
      <c r="CC1864">
        <v>0</v>
      </c>
      <c r="CD1864">
        <v>0</v>
      </c>
      <c r="CE1864">
        <v>0</v>
      </c>
      <c r="CF1864">
        <v>0</v>
      </c>
      <c r="CG1864">
        <v>0</v>
      </c>
      <c r="CH1864">
        <v>0</v>
      </c>
      <c r="CI1864">
        <v>0</v>
      </c>
      <c r="CJ1864">
        <v>0</v>
      </c>
      <c r="CK1864">
        <v>0</v>
      </c>
      <c r="CL1864">
        <v>0</v>
      </c>
      <c r="CM1864">
        <v>0</v>
      </c>
      <c r="CR1864" t="s">
        <v>2328</v>
      </c>
      <c r="CS1864" s="1369" t="str">
        <f>INDEX([8]Sheet1!$H:$H,MATCH(CR:CR,[8]Sheet1!$AU:$AU,0))</f>
        <v>Water Distribution</v>
      </c>
    </row>
    <row r="1865" spans="1:97" x14ac:dyDescent="0.2">
      <c r="A1865" t="s">
        <v>5054</v>
      </c>
      <c r="B1865">
        <v>1963</v>
      </c>
      <c r="C1865" t="s">
        <v>5054</v>
      </c>
      <c r="D1865">
        <v>54979</v>
      </c>
      <c r="E1865" t="s">
        <v>5055</v>
      </c>
      <c r="F1865" t="s">
        <v>2364</v>
      </c>
      <c r="G1865" t="s">
        <v>2364</v>
      </c>
      <c r="H1865" t="s">
        <v>2365</v>
      </c>
      <c r="I1865" t="s">
        <v>2365</v>
      </c>
      <c r="J1865" t="s">
        <v>2365</v>
      </c>
      <c r="K1865" t="s">
        <v>2365</v>
      </c>
      <c r="L1865">
        <v>1200</v>
      </c>
      <c r="M1865" t="s">
        <v>1480</v>
      </c>
      <c r="N1865">
        <v>1206</v>
      </c>
      <c r="O1865" t="s">
        <v>996</v>
      </c>
      <c r="P1865" t="s">
        <v>2366</v>
      </c>
      <c r="Q1865" t="s">
        <v>2364</v>
      </c>
      <c r="R1865" t="s">
        <v>2364</v>
      </c>
      <c r="S1865" t="s">
        <v>553</v>
      </c>
      <c r="T1865" t="s">
        <v>2367</v>
      </c>
      <c r="U1865">
        <v>410</v>
      </c>
      <c r="V1865" t="s">
        <v>4381</v>
      </c>
      <c r="W1865">
        <v>410</v>
      </c>
      <c r="X1865" t="s">
        <v>712</v>
      </c>
      <c r="Y1865" t="s">
        <v>2365</v>
      </c>
      <c r="Z1865" t="s">
        <v>2365</v>
      </c>
      <c r="AA1865" t="s">
        <v>2365</v>
      </c>
      <c r="AB1865" t="s">
        <v>2365</v>
      </c>
      <c r="AC1865" s="813" t="s">
        <v>2365</v>
      </c>
      <c r="AD1865" s="813" t="s">
        <v>2365</v>
      </c>
      <c r="AE1865" s="813" t="s">
        <v>2365</v>
      </c>
      <c r="AF1865" t="s">
        <v>2365</v>
      </c>
      <c r="AG1865" t="s">
        <v>2365</v>
      </c>
      <c r="AH1865" t="s">
        <v>2365</v>
      </c>
      <c r="AI1865" t="s">
        <v>2365</v>
      </c>
      <c r="AJ1865" t="s">
        <v>2365</v>
      </c>
      <c r="AK1865" s="1373">
        <v>411</v>
      </c>
      <c r="AL1865" t="s">
        <v>1213</v>
      </c>
      <c r="AM1865">
        <v>411</v>
      </c>
      <c r="AN1865" t="s">
        <v>1213</v>
      </c>
      <c r="AR1865" t="s">
        <v>2365</v>
      </c>
      <c r="AS1865" t="s">
        <v>2365</v>
      </c>
      <c r="AT1865" t="s">
        <v>2365</v>
      </c>
      <c r="AU1865" t="s">
        <v>2365</v>
      </c>
      <c r="AV1865" t="s">
        <v>2365</v>
      </c>
      <c r="AW1865" t="s">
        <v>2365</v>
      </c>
      <c r="AX1865" t="s">
        <v>2365</v>
      </c>
      <c r="AY1865" t="s">
        <v>2365</v>
      </c>
      <c r="AZ1865" t="s">
        <v>2365</v>
      </c>
      <c r="BA1865" t="s">
        <v>2365</v>
      </c>
      <c r="BB1865" t="s">
        <v>2365</v>
      </c>
      <c r="BC1865" t="s">
        <v>2365</v>
      </c>
      <c r="BD1865" t="s">
        <v>2366</v>
      </c>
      <c r="BE1865" t="s">
        <v>2365</v>
      </c>
      <c r="BF1865" t="s">
        <v>2365</v>
      </c>
      <c r="BG1865" t="s">
        <v>2365</v>
      </c>
      <c r="BH1865" t="s">
        <v>2365</v>
      </c>
      <c r="BI1865" t="s">
        <v>2366</v>
      </c>
      <c r="BJ1865" t="s">
        <v>2365</v>
      </c>
      <c r="BK1865" t="s">
        <v>2365</v>
      </c>
      <c r="BL1865" t="s">
        <v>2365</v>
      </c>
      <c r="BM1865" t="s">
        <v>2365</v>
      </c>
      <c r="BO1865">
        <v>1</v>
      </c>
      <c r="BP1865">
        <v>15</v>
      </c>
      <c r="BQ1865" t="s">
        <v>2369</v>
      </c>
      <c r="BR1865" t="s">
        <v>996</v>
      </c>
      <c r="BU1865">
        <v>0</v>
      </c>
      <c r="BV1865">
        <v>0</v>
      </c>
      <c r="BW1865">
        <v>0</v>
      </c>
      <c r="BX1865">
        <v>0</v>
      </c>
      <c r="BY1865">
        <v>0</v>
      </c>
      <c r="BZ1865">
        <v>0</v>
      </c>
      <c r="CA1865">
        <v>0</v>
      </c>
      <c r="CB1865">
        <v>0</v>
      </c>
      <c r="CC1865">
        <v>0</v>
      </c>
      <c r="CD1865">
        <v>0</v>
      </c>
      <c r="CE1865">
        <v>0</v>
      </c>
      <c r="CF1865">
        <v>0</v>
      </c>
      <c r="CG1865">
        <v>0</v>
      </c>
      <c r="CH1865">
        <v>0</v>
      </c>
      <c r="CI1865">
        <v>0</v>
      </c>
      <c r="CJ1865">
        <v>0</v>
      </c>
      <c r="CK1865">
        <v>0</v>
      </c>
      <c r="CL1865">
        <v>0</v>
      </c>
      <c r="CM1865">
        <v>0</v>
      </c>
      <c r="CR1865" t="s">
        <v>2328</v>
      </c>
      <c r="CS1865" s="1369" t="str">
        <f>INDEX([8]Sheet1!$H:$H,MATCH(CR:CR,[8]Sheet1!$AU:$AU,0))</f>
        <v>Water Distribution</v>
      </c>
    </row>
    <row r="1866" spans="1:97" x14ac:dyDescent="0.2">
      <c r="A1866" t="s">
        <v>5056</v>
      </c>
      <c r="B1866">
        <v>1964</v>
      </c>
      <c r="C1866" t="s">
        <v>5056</v>
      </c>
      <c r="D1866">
        <v>54980</v>
      </c>
      <c r="E1866" t="s">
        <v>4380</v>
      </c>
      <c r="F1866" t="s">
        <v>2364</v>
      </c>
      <c r="G1866" t="s">
        <v>2364</v>
      </c>
      <c r="H1866" t="s">
        <v>2365</v>
      </c>
      <c r="I1866" t="s">
        <v>2365</v>
      </c>
      <c r="J1866" t="s">
        <v>2365</v>
      </c>
      <c r="K1866" t="s">
        <v>2365</v>
      </c>
      <c r="L1866">
        <v>1200</v>
      </c>
      <c r="M1866" t="s">
        <v>1480</v>
      </c>
      <c r="N1866">
        <v>1206</v>
      </c>
      <c r="O1866" t="s">
        <v>996</v>
      </c>
      <c r="P1866" t="s">
        <v>2366</v>
      </c>
      <c r="Q1866" t="s">
        <v>2364</v>
      </c>
      <c r="R1866" t="s">
        <v>2364</v>
      </c>
      <c r="S1866" t="s">
        <v>553</v>
      </c>
      <c r="T1866" t="s">
        <v>2367</v>
      </c>
      <c r="U1866">
        <v>410</v>
      </c>
      <c r="V1866" t="s">
        <v>4381</v>
      </c>
      <c r="W1866">
        <v>410</v>
      </c>
      <c r="X1866" t="s">
        <v>712</v>
      </c>
      <c r="Y1866" t="s">
        <v>2365</v>
      </c>
      <c r="Z1866" t="s">
        <v>2365</v>
      </c>
      <c r="AA1866" t="s">
        <v>2365</v>
      </c>
      <c r="AB1866" t="s">
        <v>2365</v>
      </c>
      <c r="AC1866" s="813" t="s">
        <v>2365</v>
      </c>
      <c r="AD1866" s="813" t="s">
        <v>2365</v>
      </c>
      <c r="AE1866" s="813" t="s">
        <v>2365</v>
      </c>
      <c r="AF1866" t="s">
        <v>2365</v>
      </c>
      <c r="AG1866" t="s">
        <v>2365</v>
      </c>
      <c r="AH1866" t="s">
        <v>2365</v>
      </c>
      <c r="AI1866" t="s">
        <v>2365</v>
      </c>
      <c r="AJ1866" t="s">
        <v>2365</v>
      </c>
      <c r="AK1866">
        <v>411</v>
      </c>
      <c r="AL1866" t="s">
        <v>1213</v>
      </c>
      <c r="AM1866">
        <v>411</v>
      </c>
      <c r="AN1866" t="s">
        <v>1213</v>
      </c>
      <c r="AR1866" t="s">
        <v>2365</v>
      </c>
      <c r="AS1866" t="s">
        <v>2365</v>
      </c>
      <c r="AT1866" t="s">
        <v>2365</v>
      </c>
      <c r="AU1866" t="s">
        <v>2365</v>
      </c>
      <c r="AV1866" t="s">
        <v>2365</v>
      </c>
      <c r="AW1866" t="s">
        <v>2365</v>
      </c>
      <c r="AX1866" t="s">
        <v>2365</v>
      </c>
      <c r="AY1866" t="s">
        <v>2365</v>
      </c>
      <c r="AZ1866" t="s">
        <v>2365</v>
      </c>
      <c r="BA1866" t="s">
        <v>2365</v>
      </c>
      <c r="BB1866" t="s">
        <v>2365</v>
      </c>
      <c r="BC1866" t="s">
        <v>2365</v>
      </c>
      <c r="BD1866" t="s">
        <v>2366</v>
      </c>
      <c r="BE1866" t="s">
        <v>2365</v>
      </c>
      <c r="BF1866" t="s">
        <v>2365</v>
      </c>
      <c r="BG1866" t="s">
        <v>2365</v>
      </c>
      <c r="BH1866" t="s">
        <v>2365</v>
      </c>
      <c r="BI1866" t="s">
        <v>2366</v>
      </c>
      <c r="BJ1866" t="s">
        <v>2365</v>
      </c>
      <c r="BK1866" t="s">
        <v>2365</v>
      </c>
      <c r="BL1866" t="s">
        <v>2365</v>
      </c>
      <c r="BM1866" t="s">
        <v>2365</v>
      </c>
      <c r="BO1866">
        <v>1</v>
      </c>
      <c r="BP1866">
        <v>15</v>
      </c>
      <c r="BQ1866" t="s">
        <v>2369</v>
      </c>
      <c r="BR1866" t="s">
        <v>996</v>
      </c>
      <c r="BU1866">
        <v>-400000</v>
      </c>
      <c r="BV1866">
        <v>0</v>
      </c>
      <c r="BW1866">
        <v>-400000</v>
      </c>
      <c r="BX1866">
        <v>-400000</v>
      </c>
      <c r="BY1866">
        <v>0</v>
      </c>
      <c r="BZ1866">
        <v>0</v>
      </c>
      <c r="CA1866">
        <v>0</v>
      </c>
      <c r="CB1866">
        <v>0</v>
      </c>
      <c r="CC1866">
        <v>0</v>
      </c>
      <c r="CD1866">
        <v>0</v>
      </c>
      <c r="CE1866">
        <v>0</v>
      </c>
      <c r="CF1866">
        <v>0</v>
      </c>
      <c r="CG1866">
        <v>0</v>
      </c>
      <c r="CH1866">
        <v>0</v>
      </c>
      <c r="CI1866">
        <v>0</v>
      </c>
      <c r="CJ1866">
        <v>0</v>
      </c>
      <c r="CK1866">
        <v>0</v>
      </c>
      <c r="CL1866">
        <v>0</v>
      </c>
      <c r="CM1866">
        <v>0</v>
      </c>
      <c r="CR1866" t="s">
        <v>2328</v>
      </c>
      <c r="CS1866" s="1369" t="str">
        <f>INDEX([8]Sheet1!$H:$H,MATCH(CR:CR,[8]Sheet1!$AU:$AU,0))</f>
        <v>Water Distribution</v>
      </c>
    </row>
    <row r="1867" spans="1:97" x14ac:dyDescent="0.2">
      <c r="A1867" t="s">
        <v>5057</v>
      </c>
      <c r="B1867">
        <v>1965</v>
      </c>
      <c r="C1867" t="s">
        <v>5057</v>
      </c>
      <c r="D1867">
        <v>54981</v>
      </c>
      <c r="E1867" t="s">
        <v>5058</v>
      </c>
      <c r="F1867" t="s">
        <v>2364</v>
      </c>
      <c r="G1867" t="s">
        <v>2364</v>
      </c>
      <c r="H1867" t="s">
        <v>2365</v>
      </c>
      <c r="I1867" t="s">
        <v>2365</v>
      </c>
      <c r="J1867" t="s">
        <v>2365</v>
      </c>
      <c r="K1867" t="s">
        <v>2365</v>
      </c>
      <c r="L1867">
        <v>1200</v>
      </c>
      <c r="M1867" t="s">
        <v>1480</v>
      </c>
      <c r="N1867">
        <v>1206</v>
      </c>
      <c r="O1867" t="s">
        <v>996</v>
      </c>
      <c r="P1867" t="s">
        <v>2366</v>
      </c>
      <c r="Q1867" t="s">
        <v>2364</v>
      </c>
      <c r="R1867" t="s">
        <v>2364</v>
      </c>
      <c r="S1867" t="s">
        <v>553</v>
      </c>
      <c r="T1867" t="s">
        <v>2367</v>
      </c>
      <c r="U1867">
        <v>410</v>
      </c>
      <c r="V1867" t="s">
        <v>4381</v>
      </c>
      <c r="W1867">
        <v>410</v>
      </c>
      <c r="X1867" t="s">
        <v>712</v>
      </c>
      <c r="Y1867" t="s">
        <v>2365</v>
      </c>
      <c r="Z1867" t="s">
        <v>2365</v>
      </c>
      <c r="AA1867" t="s">
        <v>2365</v>
      </c>
      <c r="AB1867" t="s">
        <v>2365</v>
      </c>
      <c r="AC1867" s="813" t="s">
        <v>2365</v>
      </c>
      <c r="AD1867" s="813" t="s">
        <v>2365</v>
      </c>
      <c r="AE1867" s="813" t="s">
        <v>2365</v>
      </c>
      <c r="AF1867" t="s">
        <v>2365</v>
      </c>
      <c r="AG1867" t="s">
        <v>2365</v>
      </c>
      <c r="AH1867" t="s">
        <v>2365</v>
      </c>
      <c r="AI1867" t="s">
        <v>2365</v>
      </c>
      <c r="AJ1867" t="s">
        <v>2365</v>
      </c>
      <c r="AK1867">
        <v>411</v>
      </c>
      <c r="AL1867" t="s">
        <v>1213</v>
      </c>
      <c r="AM1867">
        <v>411</v>
      </c>
      <c r="AN1867" t="s">
        <v>1213</v>
      </c>
      <c r="AR1867" t="s">
        <v>2365</v>
      </c>
      <c r="AS1867" t="s">
        <v>2365</v>
      </c>
      <c r="AT1867" t="s">
        <v>2365</v>
      </c>
      <c r="AU1867" t="s">
        <v>2365</v>
      </c>
      <c r="AV1867" t="s">
        <v>2365</v>
      </c>
      <c r="AW1867" t="s">
        <v>2365</v>
      </c>
      <c r="AX1867" t="s">
        <v>2365</v>
      </c>
      <c r="AY1867" t="s">
        <v>2365</v>
      </c>
      <c r="AZ1867" t="s">
        <v>2365</v>
      </c>
      <c r="BA1867" t="s">
        <v>2365</v>
      </c>
      <c r="BB1867" t="s">
        <v>2365</v>
      </c>
      <c r="BC1867" t="s">
        <v>2365</v>
      </c>
      <c r="BD1867" t="s">
        <v>2366</v>
      </c>
      <c r="BE1867" t="s">
        <v>2365</v>
      </c>
      <c r="BF1867" t="s">
        <v>2365</v>
      </c>
      <c r="BG1867" t="s">
        <v>2365</v>
      </c>
      <c r="BH1867" t="s">
        <v>2365</v>
      </c>
      <c r="BI1867" t="s">
        <v>2366</v>
      </c>
      <c r="BJ1867" t="s">
        <v>2365</v>
      </c>
      <c r="BK1867" t="s">
        <v>2365</v>
      </c>
      <c r="BL1867" t="s">
        <v>2365</v>
      </c>
      <c r="BM1867" t="s">
        <v>2365</v>
      </c>
      <c r="BO1867">
        <v>1</v>
      </c>
      <c r="BP1867">
        <v>15</v>
      </c>
      <c r="BQ1867" t="s">
        <v>2369</v>
      </c>
      <c r="BR1867" t="s">
        <v>996</v>
      </c>
      <c r="BU1867">
        <v>0</v>
      </c>
      <c r="BV1867">
        <v>0</v>
      </c>
      <c r="BW1867">
        <v>0</v>
      </c>
      <c r="BX1867">
        <v>0</v>
      </c>
      <c r="BY1867">
        <v>0</v>
      </c>
      <c r="BZ1867">
        <v>0</v>
      </c>
      <c r="CA1867">
        <v>0</v>
      </c>
      <c r="CB1867">
        <v>0</v>
      </c>
      <c r="CC1867">
        <v>0</v>
      </c>
      <c r="CD1867">
        <v>0</v>
      </c>
      <c r="CE1867">
        <v>0</v>
      </c>
      <c r="CF1867">
        <v>0</v>
      </c>
      <c r="CG1867">
        <v>0</v>
      </c>
      <c r="CH1867">
        <v>0</v>
      </c>
      <c r="CI1867">
        <v>0</v>
      </c>
      <c r="CJ1867">
        <v>0</v>
      </c>
      <c r="CK1867">
        <v>0</v>
      </c>
      <c r="CL1867">
        <v>0</v>
      </c>
      <c r="CM1867">
        <v>0</v>
      </c>
      <c r="CR1867" t="s">
        <v>2320</v>
      </c>
      <c r="CS1867" s="1369" t="str">
        <f>INDEX([8]Sheet1!$H:$H,MATCH(CR:CR,[8]Sheet1!$AU:$AU,0))</f>
        <v>Administrative and Corporate Support</v>
      </c>
    </row>
    <row r="1868" spans="1:97" x14ac:dyDescent="0.2">
      <c r="A1868" t="s">
        <v>5059</v>
      </c>
      <c r="B1868">
        <v>1966</v>
      </c>
      <c r="C1868" t="s">
        <v>5059</v>
      </c>
      <c r="D1868">
        <v>54982</v>
      </c>
      <c r="E1868" t="s">
        <v>5060</v>
      </c>
      <c r="F1868" t="s">
        <v>2364</v>
      </c>
      <c r="G1868" t="s">
        <v>2364</v>
      </c>
      <c r="H1868" t="s">
        <v>2365</v>
      </c>
      <c r="I1868" t="s">
        <v>2365</v>
      </c>
      <c r="J1868" t="s">
        <v>2365</v>
      </c>
      <c r="K1868" t="s">
        <v>2365</v>
      </c>
      <c r="L1868">
        <v>1200</v>
      </c>
      <c r="M1868" t="s">
        <v>1480</v>
      </c>
      <c r="N1868">
        <v>1206</v>
      </c>
      <c r="O1868" t="s">
        <v>996</v>
      </c>
      <c r="P1868" t="s">
        <v>2366</v>
      </c>
      <c r="Q1868" t="s">
        <v>2364</v>
      </c>
      <c r="R1868" t="s">
        <v>2364</v>
      </c>
      <c r="S1868" t="s">
        <v>553</v>
      </c>
      <c r="T1868" t="s">
        <v>2367</v>
      </c>
      <c r="U1868">
        <v>410</v>
      </c>
      <c r="V1868" t="s">
        <v>4381</v>
      </c>
      <c r="W1868">
        <v>410</v>
      </c>
      <c r="X1868" t="s">
        <v>712</v>
      </c>
      <c r="Y1868" t="s">
        <v>2365</v>
      </c>
      <c r="Z1868" t="s">
        <v>2365</v>
      </c>
      <c r="AA1868" t="s">
        <v>2365</v>
      </c>
      <c r="AB1868" t="s">
        <v>2365</v>
      </c>
      <c r="AC1868" s="813" t="s">
        <v>2365</v>
      </c>
      <c r="AD1868" s="813" t="s">
        <v>2365</v>
      </c>
      <c r="AE1868" s="813" t="s">
        <v>2365</v>
      </c>
      <c r="AF1868" t="s">
        <v>2365</v>
      </c>
      <c r="AG1868" t="s">
        <v>2365</v>
      </c>
      <c r="AH1868" t="s">
        <v>2365</v>
      </c>
      <c r="AI1868" t="s">
        <v>2365</v>
      </c>
      <c r="AJ1868" t="s">
        <v>2365</v>
      </c>
      <c r="AK1868">
        <v>411</v>
      </c>
      <c r="AL1868" t="s">
        <v>1213</v>
      </c>
      <c r="AM1868">
        <v>411</v>
      </c>
      <c r="AN1868" t="s">
        <v>1213</v>
      </c>
      <c r="AR1868" t="s">
        <v>2365</v>
      </c>
      <c r="AS1868" t="s">
        <v>2365</v>
      </c>
      <c r="AT1868" t="s">
        <v>2365</v>
      </c>
      <c r="AU1868" t="s">
        <v>2365</v>
      </c>
      <c r="AV1868" t="s">
        <v>2365</v>
      </c>
      <c r="AW1868" t="s">
        <v>2365</v>
      </c>
      <c r="AX1868" t="s">
        <v>2365</v>
      </c>
      <c r="AY1868" t="s">
        <v>2365</v>
      </c>
      <c r="AZ1868" t="s">
        <v>2365</v>
      </c>
      <c r="BA1868" t="s">
        <v>2365</v>
      </c>
      <c r="BB1868" t="s">
        <v>2365</v>
      </c>
      <c r="BC1868" t="s">
        <v>2365</v>
      </c>
      <c r="BD1868" t="s">
        <v>2366</v>
      </c>
      <c r="BE1868" t="s">
        <v>2365</v>
      </c>
      <c r="BF1868" t="s">
        <v>2365</v>
      </c>
      <c r="BG1868" t="s">
        <v>2365</v>
      </c>
      <c r="BH1868" t="s">
        <v>2365</v>
      </c>
      <c r="BI1868" t="s">
        <v>2366</v>
      </c>
      <c r="BJ1868" t="s">
        <v>2365</v>
      </c>
      <c r="BK1868" t="s">
        <v>2365</v>
      </c>
      <c r="BL1868" t="s">
        <v>2365</v>
      </c>
      <c r="BM1868" t="s">
        <v>2365</v>
      </c>
      <c r="BO1868">
        <v>1</v>
      </c>
      <c r="BP1868">
        <v>15</v>
      </c>
      <c r="BQ1868" t="s">
        <v>2369</v>
      </c>
      <c r="BR1868" t="s">
        <v>996</v>
      </c>
      <c r="BU1868">
        <v>0</v>
      </c>
      <c r="BV1868">
        <v>0</v>
      </c>
      <c r="BW1868">
        <v>0</v>
      </c>
      <c r="BX1868">
        <v>0</v>
      </c>
      <c r="BY1868">
        <v>0</v>
      </c>
      <c r="BZ1868">
        <v>0</v>
      </c>
      <c r="CA1868">
        <v>0</v>
      </c>
      <c r="CB1868">
        <v>0</v>
      </c>
      <c r="CC1868">
        <v>0</v>
      </c>
      <c r="CD1868">
        <v>0</v>
      </c>
      <c r="CE1868">
        <v>0</v>
      </c>
      <c r="CF1868">
        <v>0</v>
      </c>
      <c r="CG1868">
        <v>0</v>
      </c>
      <c r="CH1868">
        <v>0</v>
      </c>
      <c r="CI1868">
        <v>0</v>
      </c>
      <c r="CJ1868">
        <v>0</v>
      </c>
      <c r="CK1868">
        <v>0</v>
      </c>
      <c r="CL1868">
        <v>0</v>
      </c>
      <c r="CM1868">
        <v>0</v>
      </c>
      <c r="CR1868" t="s">
        <v>2324</v>
      </c>
      <c r="CS1868" s="1369" t="str">
        <f>INDEX([8]Sheet1!$H:$H,MATCH(CR:CR,[8]Sheet1!$AU:$AU,0))</f>
        <v>Finance</v>
      </c>
    </row>
    <row r="1869" spans="1:97" x14ac:dyDescent="0.2">
      <c r="A1869" t="s">
        <v>5061</v>
      </c>
      <c r="B1869">
        <v>1967</v>
      </c>
      <c r="C1869" t="s">
        <v>5061</v>
      </c>
      <c r="D1869">
        <v>54983</v>
      </c>
      <c r="E1869" t="s">
        <v>5062</v>
      </c>
      <c r="F1869" t="s">
        <v>2364</v>
      </c>
      <c r="G1869" t="s">
        <v>2364</v>
      </c>
      <c r="H1869" t="s">
        <v>2365</v>
      </c>
      <c r="I1869" t="s">
        <v>2365</v>
      </c>
      <c r="J1869" t="s">
        <v>2365</v>
      </c>
      <c r="K1869" t="s">
        <v>2365</v>
      </c>
      <c r="L1869">
        <v>1200</v>
      </c>
      <c r="M1869" t="s">
        <v>1480</v>
      </c>
      <c r="N1869">
        <v>1206</v>
      </c>
      <c r="O1869" t="s">
        <v>996</v>
      </c>
      <c r="P1869" t="s">
        <v>2366</v>
      </c>
      <c r="Q1869" t="s">
        <v>2364</v>
      </c>
      <c r="R1869" t="s">
        <v>2364</v>
      </c>
      <c r="S1869" t="s">
        <v>553</v>
      </c>
      <c r="T1869" t="s">
        <v>2367</v>
      </c>
      <c r="U1869">
        <v>410</v>
      </c>
      <c r="V1869" t="s">
        <v>4381</v>
      </c>
      <c r="W1869">
        <v>410</v>
      </c>
      <c r="X1869" t="s">
        <v>712</v>
      </c>
      <c r="Y1869" t="s">
        <v>2365</v>
      </c>
      <c r="Z1869" t="s">
        <v>2365</v>
      </c>
      <c r="AA1869" t="s">
        <v>2365</v>
      </c>
      <c r="AB1869" t="s">
        <v>2365</v>
      </c>
      <c r="AC1869" s="813" t="s">
        <v>2365</v>
      </c>
      <c r="AD1869" s="813" t="s">
        <v>2365</v>
      </c>
      <c r="AE1869" s="813" t="s">
        <v>2365</v>
      </c>
      <c r="AF1869" t="s">
        <v>2365</v>
      </c>
      <c r="AG1869" t="s">
        <v>2365</v>
      </c>
      <c r="AH1869" t="s">
        <v>2365</v>
      </c>
      <c r="AI1869" t="s">
        <v>2365</v>
      </c>
      <c r="AJ1869" t="s">
        <v>2365</v>
      </c>
      <c r="AK1869">
        <v>411</v>
      </c>
      <c r="AL1869" t="s">
        <v>1213</v>
      </c>
      <c r="AM1869">
        <v>411</v>
      </c>
      <c r="AN1869" t="s">
        <v>1213</v>
      </c>
      <c r="AR1869" t="s">
        <v>2365</v>
      </c>
      <c r="AS1869" t="s">
        <v>2365</v>
      </c>
      <c r="AT1869" t="s">
        <v>2365</v>
      </c>
      <c r="AU1869" t="s">
        <v>2365</v>
      </c>
      <c r="AV1869" t="s">
        <v>2365</v>
      </c>
      <c r="AW1869" t="s">
        <v>2365</v>
      </c>
      <c r="AX1869" t="s">
        <v>2365</v>
      </c>
      <c r="AY1869" t="s">
        <v>2365</v>
      </c>
      <c r="AZ1869" t="s">
        <v>2365</v>
      </c>
      <c r="BA1869" t="s">
        <v>2365</v>
      </c>
      <c r="BB1869" t="s">
        <v>2365</v>
      </c>
      <c r="BC1869" t="s">
        <v>2365</v>
      </c>
      <c r="BD1869" t="s">
        <v>2366</v>
      </c>
      <c r="BE1869" t="s">
        <v>2365</v>
      </c>
      <c r="BF1869" t="s">
        <v>2365</v>
      </c>
      <c r="BG1869" t="s">
        <v>2365</v>
      </c>
      <c r="BH1869" t="s">
        <v>2365</v>
      </c>
      <c r="BI1869" t="s">
        <v>2366</v>
      </c>
      <c r="BJ1869" t="s">
        <v>2365</v>
      </c>
      <c r="BK1869" t="s">
        <v>2365</v>
      </c>
      <c r="BL1869" t="s">
        <v>2365</v>
      </c>
      <c r="BM1869" t="s">
        <v>2365</v>
      </c>
      <c r="BO1869">
        <v>1</v>
      </c>
      <c r="BP1869">
        <v>15</v>
      </c>
      <c r="BQ1869" t="s">
        <v>2369</v>
      </c>
      <c r="BR1869" t="s">
        <v>996</v>
      </c>
      <c r="BU1869">
        <v>-500000</v>
      </c>
      <c r="BV1869">
        <v>0</v>
      </c>
      <c r="BW1869">
        <v>-500000</v>
      </c>
      <c r="BX1869">
        <v>-500000</v>
      </c>
      <c r="BY1869">
        <v>0</v>
      </c>
      <c r="BZ1869">
        <v>0</v>
      </c>
      <c r="CA1869">
        <v>0</v>
      </c>
      <c r="CB1869">
        <v>0</v>
      </c>
      <c r="CC1869">
        <v>0</v>
      </c>
      <c r="CD1869">
        <v>0</v>
      </c>
      <c r="CE1869">
        <v>0</v>
      </c>
      <c r="CF1869">
        <v>0</v>
      </c>
      <c r="CG1869">
        <v>0</v>
      </c>
      <c r="CH1869">
        <v>0</v>
      </c>
      <c r="CI1869">
        <v>0</v>
      </c>
      <c r="CJ1869">
        <v>0</v>
      </c>
      <c r="CK1869">
        <v>0</v>
      </c>
      <c r="CL1869">
        <v>0</v>
      </c>
      <c r="CM1869">
        <v>0</v>
      </c>
      <c r="CR1869" t="s">
        <v>2324</v>
      </c>
      <c r="CS1869" s="1369" t="str">
        <f>INDEX([8]Sheet1!$H:$H,MATCH(CR:CR,[8]Sheet1!$AU:$AU,0))</f>
        <v>Finance</v>
      </c>
    </row>
    <row r="1870" spans="1:97" x14ac:dyDescent="0.2">
      <c r="A1870" t="s">
        <v>5063</v>
      </c>
      <c r="B1870">
        <v>1968</v>
      </c>
      <c r="C1870" t="s">
        <v>5063</v>
      </c>
      <c r="D1870">
        <v>54984</v>
      </c>
      <c r="E1870" t="s">
        <v>5064</v>
      </c>
      <c r="F1870" t="s">
        <v>2364</v>
      </c>
      <c r="G1870" t="s">
        <v>2364</v>
      </c>
      <c r="H1870" t="s">
        <v>2365</v>
      </c>
      <c r="I1870" t="s">
        <v>2365</v>
      </c>
      <c r="J1870" t="s">
        <v>2365</v>
      </c>
      <c r="K1870" t="s">
        <v>2365</v>
      </c>
      <c r="L1870">
        <v>1200</v>
      </c>
      <c r="M1870" t="s">
        <v>1480</v>
      </c>
      <c r="N1870">
        <v>1206</v>
      </c>
      <c r="O1870" t="s">
        <v>996</v>
      </c>
      <c r="P1870" t="s">
        <v>2366</v>
      </c>
      <c r="Q1870" t="s">
        <v>2364</v>
      </c>
      <c r="R1870" t="s">
        <v>2364</v>
      </c>
      <c r="S1870" t="s">
        <v>553</v>
      </c>
      <c r="T1870" t="s">
        <v>2367</v>
      </c>
      <c r="U1870">
        <v>410</v>
      </c>
      <c r="V1870" t="s">
        <v>4381</v>
      </c>
      <c r="W1870">
        <v>410</v>
      </c>
      <c r="X1870" t="s">
        <v>712</v>
      </c>
      <c r="Y1870" t="s">
        <v>2365</v>
      </c>
      <c r="Z1870" t="s">
        <v>2365</v>
      </c>
      <c r="AA1870" t="s">
        <v>2365</v>
      </c>
      <c r="AB1870" t="s">
        <v>2365</v>
      </c>
      <c r="AC1870" s="813" t="s">
        <v>2365</v>
      </c>
      <c r="AD1870" s="813" t="s">
        <v>2365</v>
      </c>
      <c r="AE1870" s="813" t="s">
        <v>2365</v>
      </c>
      <c r="AF1870" t="s">
        <v>2365</v>
      </c>
      <c r="AG1870" t="s">
        <v>2365</v>
      </c>
      <c r="AH1870" t="s">
        <v>2365</v>
      </c>
      <c r="AI1870" t="s">
        <v>2365</v>
      </c>
      <c r="AJ1870" t="s">
        <v>2365</v>
      </c>
      <c r="AK1870">
        <v>411</v>
      </c>
      <c r="AL1870" t="s">
        <v>1213</v>
      </c>
      <c r="AM1870">
        <v>411</v>
      </c>
      <c r="AN1870" t="s">
        <v>1213</v>
      </c>
      <c r="AR1870" t="s">
        <v>2365</v>
      </c>
      <c r="AS1870" t="s">
        <v>2365</v>
      </c>
      <c r="AT1870" t="s">
        <v>2365</v>
      </c>
      <c r="AU1870" t="s">
        <v>2365</v>
      </c>
      <c r="AV1870" t="s">
        <v>2365</v>
      </c>
      <c r="AW1870" t="s">
        <v>2365</v>
      </c>
      <c r="AX1870" t="s">
        <v>2365</v>
      </c>
      <c r="AY1870" t="s">
        <v>2365</v>
      </c>
      <c r="AZ1870" t="s">
        <v>2365</v>
      </c>
      <c r="BA1870" t="s">
        <v>2365</v>
      </c>
      <c r="BB1870" t="s">
        <v>2365</v>
      </c>
      <c r="BC1870" t="s">
        <v>2365</v>
      </c>
      <c r="BD1870" t="s">
        <v>2366</v>
      </c>
      <c r="BE1870" t="s">
        <v>2365</v>
      </c>
      <c r="BF1870" t="s">
        <v>2365</v>
      </c>
      <c r="BG1870" t="s">
        <v>2365</v>
      </c>
      <c r="BH1870" t="s">
        <v>2365</v>
      </c>
      <c r="BI1870" t="s">
        <v>2366</v>
      </c>
      <c r="BJ1870" t="s">
        <v>2365</v>
      </c>
      <c r="BK1870" t="s">
        <v>2365</v>
      </c>
      <c r="BL1870" t="s">
        <v>2365</v>
      </c>
      <c r="BM1870" t="s">
        <v>2365</v>
      </c>
      <c r="BO1870">
        <v>1</v>
      </c>
      <c r="BP1870">
        <v>15</v>
      </c>
      <c r="BQ1870" t="s">
        <v>2369</v>
      </c>
      <c r="BR1870" t="s">
        <v>996</v>
      </c>
      <c r="BU1870">
        <v>-1619624</v>
      </c>
      <c r="BV1870">
        <v>0</v>
      </c>
      <c r="BW1870">
        <v>-1619624</v>
      </c>
      <c r="BX1870">
        <v>-1619624</v>
      </c>
      <c r="BY1870">
        <v>0</v>
      </c>
      <c r="BZ1870">
        <v>0</v>
      </c>
      <c r="CA1870">
        <v>0</v>
      </c>
      <c r="CB1870">
        <v>0</v>
      </c>
      <c r="CC1870">
        <v>0</v>
      </c>
      <c r="CD1870">
        <v>0</v>
      </c>
      <c r="CE1870">
        <v>0</v>
      </c>
      <c r="CF1870">
        <v>0</v>
      </c>
      <c r="CG1870">
        <v>0</v>
      </c>
      <c r="CH1870">
        <v>0</v>
      </c>
      <c r="CI1870">
        <v>0</v>
      </c>
      <c r="CJ1870">
        <v>0</v>
      </c>
      <c r="CK1870">
        <v>0</v>
      </c>
      <c r="CL1870">
        <v>0</v>
      </c>
      <c r="CM1870">
        <v>0</v>
      </c>
      <c r="CR1870" t="s">
        <v>2324</v>
      </c>
      <c r="CS1870" s="1369" t="str">
        <f>INDEX([8]Sheet1!$H:$H,MATCH(CR:CR,[8]Sheet1!$AU:$AU,0))</f>
        <v>Finance</v>
      </c>
    </row>
    <row r="1871" spans="1:97" x14ac:dyDescent="0.2">
      <c r="A1871" t="s">
        <v>5065</v>
      </c>
      <c r="B1871">
        <v>1969</v>
      </c>
      <c r="C1871" t="s">
        <v>5065</v>
      </c>
      <c r="D1871">
        <v>54985</v>
      </c>
      <c r="E1871" t="s">
        <v>5066</v>
      </c>
      <c r="F1871" t="s">
        <v>2364</v>
      </c>
      <c r="G1871" t="s">
        <v>2364</v>
      </c>
      <c r="H1871" t="s">
        <v>2365</v>
      </c>
      <c r="I1871" t="s">
        <v>2365</v>
      </c>
      <c r="J1871" t="s">
        <v>2365</v>
      </c>
      <c r="K1871" t="s">
        <v>2365</v>
      </c>
      <c r="L1871">
        <v>1200</v>
      </c>
      <c r="M1871" t="s">
        <v>1480</v>
      </c>
      <c r="N1871">
        <v>1206</v>
      </c>
      <c r="O1871" t="s">
        <v>996</v>
      </c>
      <c r="P1871" t="s">
        <v>2366</v>
      </c>
      <c r="Q1871" t="s">
        <v>2364</v>
      </c>
      <c r="R1871" t="s">
        <v>2364</v>
      </c>
      <c r="S1871" t="s">
        <v>553</v>
      </c>
      <c r="T1871" t="s">
        <v>2367</v>
      </c>
      <c r="U1871">
        <v>410</v>
      </c>
      <c r="V1871" t="s">
        <v>4381</v>
      </c>
      <c r="W1871">
        <v>410</v>
      </c>
      <c r="X1871" t="s">
        <v>712</v>
      </c>
      <c r="Y1871" t="s">
        <v>2365</v>
      </c>
      <c r="Z1871" t="s">
        <v>2365</v>
      </c>
      <c r="AA1871" t="s">
        <v>2365</v>
      </c>
      <c r="AB1871" t="s">
        <v>2365</v>
      </c>
      <c r="AC1871" s="813" t="s">
        <v>2365</v>
      </c>
      <c r="AD1871" s="813" t="s">
        <v>2365</v>
      </c>
      <c r="AE1871" s="813" t="s">
        <v>2365</v>
      </c>
      <c r="AF1871" t="s">
        <v>2365</v>
      </c>
      <c r="AG1871" t="s">
        <v>2365</v>
      </c>
      <c r="AH1871" t="s">
        <v>2365</v>
      </c>
      <c r="AI1871" t="s">
        <v>2365</v>
      </c>
      <c r="AJ1871" t="s">
        <v>2365</v>
      </c>
      <c r="AK1871">
        <v>411</v>
      </c>
      <c r="AL1871" t="s">
        <v>1213</v>
      </c>
      <c r="AM1871">
        <v>411</v>
      </c>
      <c r="AN1871" t="s">
        <v>1213</v>
      </c>
      <c r="AR1871" t="s">
        <v>2365</v>
      </c>
      <c r="AS1871" t="s">
        <v>2365</v>
      </c>
      <c r="AT1871" t="s">
        <v>2365</v>
      </c>
      <c r="AU1871" t="s">
        <v>2365</v>
      </c>
      <c r="AV1871" t="s">
        <v>2365</v>
      </c>
      <c r="AW1871" t="s">
        <v>2365</v>
      </c>
      <c r="AX1871" t="s">
        <v>2365</v>
      </c>
      <c r="AY1871" t="s">
        <v>2365</v>
      </c>
      <c r="AZ1871" t="s">
        <v>2365</v>
      </c>
      <c r="BA1871" t="s">
        <v>2365</v>
      </c>
      <c r="BB1871" t="s">
        <v>2365</v>
      </c>
      <c r="BC1871" t="s">
        <v>2365</v>
      </c>
      <c r="BD1871" t="s">
        <v>2366</v>
      </c>
      <c r="BE1871" t="s">
        <v>2365</v>
      </c>
      <c r="BF1871" t="s">
        <v>2365</v>
      </c>
      <c r="BG1871" t="s">
        <v>2365</v>
      </c>
      <c r="BH1871" t="s">
        <v>2365</v>
      </c>
      <c r="BI1871" t="s">
        <v>2366</v>
      </c>
      <c r="BJ1871" t="s">
        <v>2365</v>
      </c>
      <c r="BK1871" t="s">
        <v>2365</v>
      </c>
      <c r="BL1871" t="s">
        <v>2365</v>
      </c>
      <c r="BM1871" t="s">
        <v>2365</v>
      </c>
      <c r="BO1871">
        <v>1</v>
      </c>
      <c r="BP1871">
        <v>15</v>
      </c>
      <c r="BQ1871" t="s">
        <v>2369</v>
      </c>
      <c r="BR1871" t="s">
        <v>996</v>
      </c>
      <c r="BU1871">
        <v>0</v>
      </c>
      <c r="BV1871">
        <v>0</v>
      </c>
      <c r="BW1871">
        <v>0</v>
      </c>
      <c r="BX1871">
        <v>0</v>
      </c>
      <c r="BY1871">
        <v>0</v>
      </c>
      <c r="BZ1871">
        <v>0</v>
      </c>
      <c r="CA1871">
        <v>0</v>
      </c>
      <c r="CB1871">
        <v>0</v>
      </c>
      <c r="CC1871">
        <v>0</v>
      </c>
      <c r="CD1871">
        <v>0</v>
      </c>
      <c r="CE1871">
        <v>0</v>
      </c>
      <c r="CF1871">
        <v>0</v>
      </c>
      <c r="CG1871">
        <v>0</v>
      </c>
      <c r="CH1871">
        <v>0</v>
      </c>
      <c r="CI1871">
        <v>0</v>
      </c>
      <c r="CJ1871">
        <v>0</v>
      </c>
      <c r="CK1871">
        <v>0</v>
      </c>
      <c r="CL1871">
        <v>0</v>
      </c>
      <c r="CM1871">
        <v>0</v>
      </c>
      <c r="CR1871" t="s">
        <v>2324</v>
      </c>
      <c r="CS1871" s="1369" t="str">
        <f>INDEX([8]Sheet1!$H:$H,MATCH(CR:CR,[8]Sheet1!$AU:$AU,0))</f>
        <v>Finance</v>
      </c>
    </row>
    <row r="1872" spans="1:97" x14ac:dyDescent="0.2">
      <c r="A1872" t="s">
        <v>5067</v>
      </c>
      <c r="B1872">
        <v>1970</v>
      </c>
      <c r="C1872" t="s">
        <v>5067</v>
      </c>
      <c r="D1872">
        <v>54986</v>
      </c>
      <c r="E1872" t="s">
        <v>5068</v>
      </c>
      <c r="F1872" t="s">
        <v>2364</v>
      </c>
      <c r="G1872" t="s">
        <v>2364</v>
      </c>
      <c r="H1872" t="s">
        <v>2365</v>
      </c>
      <c r="I1872" t="s">
        <v>2365</v>
      </c>
      <c r="J1872" t="s">
        <v>2365</v>
      </c>
      <c r="K1872" t="s">
        <v>2365</v>
      </c>
      <c r="L1872">
        <v>1200</v>
      </c>
      <c r="M1872" t="s">
        <v>1480</v>
      </c>
      <c r="N1872">
        <v>1204</v>
      </c>
      <c r="O1872" t="s">
        <v>1487</v>
      </c>
      <c r="P1872" t="s">
        <v>2366</v>
      </c>
      <c r="Q1872" t="s">
        <v>2364</v>
      </c>
      <c r="R1872" t="s">
        <v>2364</v>
      </c>
      <c r="S1872" t="s">
        <v>553</v>
      </c>
      <c r="T1872" t="s">
        <v>2175</v>
      </c>
      <c r="U1872">
        <v>140</v>
      </c>
      <c r="V1872" t="s">
        <v>693</v>
      </c>
      <c r="W1872">
        <v>140</v>
      </c>
      <c r="X1872" t="s">
        <v>693</v>
      </c>
      <c r="Y1872" t="s">
        <v>2365</v>
      </c>
      <c r="Z1872" t="s">
        <v>2365</v>
      </c>
      <c r="AA1872" t="s">
        <v>2365</v>
      </c>
      <c r="AB1872" t="s">
        <v>2365</v>
      </c>
      <c r="AC1872" s="813" t="s">
        <v>2365</v>
      </c>
      <c r="AD1872" s="813" t="s">
        <v>2365</v>
      </c>
      <c r="AE1872" s="813" t="s">
        <v>2365</v>
      </c>
      <c r="AF1872" t="s">
        <v>2365</v>
      </c>
      <c r="AG1872" t="s">
        <v>2365</v>
      </c>
      <c r="AH1872" t="s">
        <v>2365</v>
      </c>
      <c r="AI1872" t="s">
        <v>2365</v>
      </c>
      <c r="AJ1872" t="s">
        <v>2365</v>
      </c>
      <c r="AK1872" t="s">
        <v>2366</v>
      </c>
      <c r="AL1872" t="s">
        <v>2366</v>
      </c>
      <c r="AM1872" t="s">
        <v>2366</v>
      </c>
      <c r="AN1872" t="s">
        <v>2366</v>
      </c>
      <c r="AR1872" t="s">
        <v>2365</v>
      </c>
      <c r="AS1872" t="s">
        <v>2365</v>
      </c>
      <c r="AT1872" t="s">
        <v>2365</v>
      </c>
      <c r="AU1872" t="s">
        <v>2365</v>
      </c>
      <c r="AV1872" t="s">
        <v>2365</v>
      </c>
      <c r="AW1872" t="s">
        <v>2365</v>
      </c>
      <c r="AX1872" t="s">
        <v>2365</v>
      </c>
      <c r="AY1872" t="s">
        <v>2365</v>
      </c>
      <c r="AZ1872" t="s">
        <v>2365</v>
      </c>
      <c r="BA1872" t="s">
        <v>2365</v>
      </c>
      <c r="BB1872" t="s">
        <v>2365</v>
      </c>
      <c r="BC1872" t="s">
        <v>2365</v>
      </c>
      <c r="BD1872" t="s">
        <v>2366</v>
      </c>
      <c r="BE1872" t="s">
        <v>2365</v>
      </c>
      <c r="BF1872" t="s">
        <v>2365</v>
      </c>
      <c r="BG1872" t="s">
        <v>2365</v>
      </c>
      <c r="BH1872" t="s">
        <v>2365</v>
      </c>
      <c r="BI1872" t="s">
        <v>2366</v>
      </c>
      <c r="BJ1872" t="s">
        <v>2365</v>
      </c>
      <c r="BK1872" t="s">
        <v>2365</v>
      </c>
      <c r="BL1872" t="s">
        <v>2365</v>
      </c>
      <c r="BM1872" t="s">
        <v>2365</v>
      </c>
      <c r="BO1872">
        <v>1</v>
      </c>
      <c r="BP1872">
        <v>11</v>
      </c>
      <c r="BQ1872" t="s">
        <v>2369</v>
      </c>
      <c r="BR1872" t="s">
        <v>1487</v>
      </c>
      <c r="BU1872">
        <v>0</v>
      </c>
      <c r="BV1872">
        <v>0</v>
      </c>
      <c r="BW1872">
        <v>0</v>
      </c>
      <c r="BX1872">
        <v>0</v>
      </c>
      <c r="BY1872">
        <v>0</v>
      </c>
      <c r="BZ1872">
        <v>0</v>
      </c>
      <c r="CA1872">
        <v>0</v>
      </c>
      <c r="CB1872">
        <v>0</v>
      </c>
      <c r="CC1872">
        <v>0</v>
      </c>
      <c r="CD1872">
        <v>0</v>
      </c>
      <c r="CE1872">
        <v>0</v>
      </c>
      <c r="CF1872">
        <v>0</v>
      </c>
      <c r="CG1872">
        <v>0</v>
      </c>
      <c r="CH1872">
        <v>0</v>
      </c>
      <c r="CI1872">
        <v>0</v>
      </c>
      <c r="CJ1872">
        <v>0</v>
      </c>
      <c r="CK1872">
        <v>0</v>
      </c>
      <c r="CL1872">
        <v>0</v>
      </c>
      <c r="CM1872">
        <v>0</v>
      </c>
      <c r="CR1872" t="s">
        <v>2324</v>
      </c>
      <c r="CS1872" s="1369" t="str">
        <f>INDEX([8]Sheet1!$H:$H,MATCH(CR:CR,[8]Sheet1!$AU:$AU,0))</f>
        <v>Finance</v>
      </c>
    </row>
    <row r="1873" spans="1:97" x14ac:dyDescent="0.2">
      <c r="A1873" t="s">
        <v>5069</v>
      </c>
      <c r="B1873">
        <v>1971</v>
      </c>
      <c r="C1873" t="s">
        <v>5069</v>
      </c>
      <c r="D1873">
        <v>54987</v>
      </c>
      <c r="E1873" t="s">
        <v>5070</v>
      </c>
      <c r="F1873" t="s">
        <v>2364</v>
      </c>
      <c r="G1873" t="s">
        <v>2364</v>
      </c>
      <c r="H1873" t="s">
        <v>2365</v>
      </c>
      <c r="I1873" t="s">
        <v>2365</v>
      </c>
      <c r="J1873" t="s">
        <v>2365</v>
      </c>
      <c r="K1873" t="s">
        <v>2365</v>
      </c>
      <c r="L1873">
        <v>1200</v>
      </c>
      <c r="M1873" t="s">
        <v>1480</v>
      </c>
      <c r="N1873">
        <v>1204</v>
      </c>
      <c r="O1873" t="s">
        <v>1487</v>
      </c>
      <c r="P1873" t="s">
        <v>2366</v>
      </c>
      <c r="Q1873" t="s">
        <v>2364</v>
      </c>
      <c r="R1873" t="s">
        <v>2364</v>
      </c>
      <c r="S1873" t="s">
        <v>553</v>
      </c>
      <c r="T1873" t="s">
        <v>2175</v>
      </c>
      <c r="U1873">
        <v>140</v>
      </c>
      <c r="V1873" t="s">
        <v>693</v>
      </c>
      <c r="W1873">
        <v>140</v>
      </c>
      <c r="X1873" t="s">
        <v>693</v>
      </c>
      <c r="Y1873" t="s">
        <v>2365</v>
      </c>
      <c r="Z1873" t="s">
        <v>2365</v>
      </c>
      <c r="AA1873" t="s">
        <v>2365</v>
      </c>
      <c r="AB1873" t="s">
        <v>2365</v>
      </c>
      <c r="AC1873" s="813" t="s">
        <v>2365</v>
      </c>
      <c r="AD1873" s="813" t="s">
        <v>2365</v>
      </c>
      <c r="AE1873" s="813" t="s">
        <v>2365</v>
      </c>
      <c r="AF1873" t="s">
        <v>2365</v>
      </c>
      <c r="AG1873" t="s">
        <v>2365</v>
      </c>
      <c r="AH1873" t="s">
        <v>2365</v>
      </c>
      <c r="AI1873" t="s">
        <v>2365</v>
      </c>
      <c r="AJ1873" t="s">
        <v>2365</v>
      </c>
      <c r="AK1873" t="s">
        <v>2366</v>
      </c>
      <c r="AL1873" t="s">
        <v>2366</v>
      </c>
      <c r="AM1873" t="s">
        <v>2366</v>
      </c>
      <c r="AN1873" t="s">
        <v>2366</v>
      </c>
      <c r="AR1873" t="s">
        <v>2365</v>
      </c>
      <c r="AS1873" t="s">
        <v>2365</v>
      </c>
      <c r="AT1873" t="s">
        <v>2365</v>
      </c>
      <c r="AU1873" t="s">
        <v>2365</v>
      </c>
      <c r="AV1873" t="s">
        <v>2365</v>
      </c>
      <c r="AW1873" t="s">
        <v>2365</v>
      </c>
      <c r="AX1873" t="s">
        <v>2365</v>
      </c>
      <c r="AY1873" t="s">
        <v>2365</v>
      </c>
      <c r="AZ1873" t="s">
        <v>2365</v>
      </c>
      <c r="BA1873" t="s">
        <v>2365</v>
      </c>
      <c r="BB1873" t="s">
        <v>2365</v>
      </c>
      <c r="BC1873" t="s">
        <v>2365</v>
      </c>
      <c r="BD1873" t="s">
        <v>2366</v>
      </c>
      <c r="BE1873" t="s">
        <v>2365</v>
      </c>
      <c r="BF1873" t="s">
        <v>2365</v>
      </c>
      <c r="BG1873" t="s">
        <v>2365</v>
      </c>
      <c r="BH1873" t="s">
        <v>2365</v>
      </c>
      <c r="BI1873" t="s">
        <v>2366</v>
      </c>
      <c r="BJ1873" t="s">
        <v>2365</v>
      </c>
      <c r="BK1873" t="s">
        <v>2365</v>
      </c>
      <c r="BL1873" t="s">
        <v>2365</v>
      </c>
      <c r="BM1873" t="s">
        <v>2365</v>
      </c>
      <c r="BO1873">
        <v>1</v>
      </c>
      <c r="BP1873">
        <v>11</v>
      </c>
      <c r="BQ1873" t="s">
        <v>2369</v>
      </c>
      <c r="BR1873" t="s">
        <v>1487</v>
      </c>
      <c r="BU1873">
        <v>0</v>
      </c>
      <c r="BV1873">
        <v>0</v>
      </c>
      <c r="BW1873">
        <v>0</v>
      </c>
      <c r="BX1873">
        <v>0</v>
      </c>
      <c r="BY1873">
        <v>0</v>
      </c>
      <c r="BZ1873">
        <v>0</v>
      </c>
      <c r="CA1873">
        <v>0</v>
      </c>
      <c r="CB1873">
        <v>0</v>
      </c>
      <c r="CC1873">
        <v>0</v>
      </c>
      <c r="CD1873">
        <v>0</v>
      </c>
      <c r="CE1873">
        <v>0</v>
      </c>
      <c r="CF1873">
        <v>0</v>
      </c>
      <c r="CG1873">
        <v>0</v>
      </c>
      <c r="CH1873">
        <v>0</v>
      </c>
      <c r="CI1873">
        <v>0</v>
      </c>
      <c r="CJ1873">
        <v>0</v>
      </c>
      <c r="CK1873">
        <v>0</v>
      </c>
      <c r="CL1873">
        <v>0</v>
      </c>
      <c r="CM1873">
        <v>0</v>
      </c>
      <c r="CR1873" t="s">
        <v>2324</v>
      </c>
      <c r="CS1873" s="1369" t="str">
        <f>INDEX([8]Sheet1!$H:$H,MATCH(CR:CR,[8]Sheet1!$AU:$AU,0))</f>
        <v>Finance</v>
      </c>
    </row>
    <row r="1874" spans="1:97" x14ac:dyDescent="0.2">
      <c r="A1874" t="s">
        <v>5071</v>
      </c>
      <c r="B1874">
        <v>1972</v>
      </c>
      <c r="C1874" t="s">
        <v>5071</v>
      </c>
      <c r="D1874">
        <v>54988</v>
      </c>
      <c r="E1874" t="s">
        <v>5072</v>
      </c>
      <c r="F1874" t="s">
        <v>2364</v>
      </c>
      <c r="G1874" t="s">
        <v>2364</v>
      </c>
      <c r="H1874" t="s">
        <v>2365</v>
      </c>
      <c r="I1874" t="s">
        <v>2365</v>
      </c>
      <c r="J1874" t="s">
        <v>2365</v>
      </c>
      <c r="K1874" t="s">
        <v>2365</v>
      </c>
      <c r="L1874">
        <v>1200</v>
      </c>
      <c r="M1874" t="s">
        <v>1480</v>
      </c>
      <c r="N1874">
        <v>1204</v>
      </c>
      <c r="O1874" t="s">
        <v>1487</v>
      </c>
      <c r="P1874" t="s">
        <v>2366</v>
      </c>
      <c r="Q1874" t="s">
        <v>2364</v>
      </c>
      <c r="R1874" t="s">
        <v>2364</v>
      </c>
      <c r="S1874" t="s">
        <v>553</v>
      </c>
      <c r="T1874" t="s">
        <v>2175</v>
      </c>
      <c r="U1874">
        <v>140</v>
      </c>
      <c r="V1874" t="s">
        <v>693</v>
      </c>
      <c r="W1874">
        <v>140</v>
      </c>
      <c r="X1874" t="s">
        <v>693</v>
      </c>
      <c r="Y1874" t="s">
        <v>2365</v>
      </c>
      <c r="Z1874" t="s">
        <v>2365</v>
      </c>
      <c r="AA1874" t="s">
        <v>2365</v>
      </c>
      <c r="AB1874" t="s">
        <v>2365</v>
      </c>
      <c r="AC1874" s="813" t="s">
        <v>2365</v>
      </c>
      <c r="AD1874" s="813" t="s">
        <v>2365</v>
      </c>
      <c r="AE1874" s="813" t="s">
        <v>2365</v>
      </c>
      <c r="AF1874" t="s">
        <v>2365</v>
      </c>
      <c r="AG1874" t="s">
        <v>2365</v>
      </c>
      <c r="AH1874" t="s">
        <v>2365</v>
      </c>
      <c r="AI1874" t="s">
        <v>2365</v>
      </c>
      <c r="AJ1874" t="s">
        <v>2365</v>
      </c>
      <c r="AK1874" t="s">
        <v>2366</v>
      </c>
      <c r="AL1874" t="s">
        <v>2366</v>
      </c>
      <c r="AM1874" t="s">
        <v>2366</v>
      </c>
      <c r="AN1874" t="s">
        <v>2366</v>
      </c>
      <c r="AR1874" t="s">
        <v>2365</v>
      </c>
      <c r="AS1874" t="s">
        <v>2365</v>
      </c>
      <c r="AT1874" t="s">
        <v>2365</v>
      </c>
      <c r="AU1874" t="s">
        <v>2365</v>
      </c>
      <c r="AV1874" t="s">
        <v>2365</v>
      </c>
      <c r="AW1874" t="s">
        <v>2365</v>
      </c>
      <c r="AX1874" t="s">
        <v>2365</v>
      </c>
      <c r="AY1874" t="s">
        <v>2365</v>
      </c>
      <c r="AZ1874" t="s">
        <v>2365</v>
      </c>
      <c r="BA1874" t="s">
        <v>2365</v>
      </c>
      <c r="BB1874" t="s">
        <v>2365</v>
      </c>
      <c r="BC1874" t="s">
        <v>2365</v>
      </c>
      <c r="BD1874" t="s">
        <v>2366</v>
      </c>
      <c r="BE1874" t="s">
        <v>2365</v>
      </c>
      <c r="BF1874" t="s">
        <v>2365</v>
      </c>
      <c r="BG1874" t="s">
        <v>2365</v>
      </c>
      <c r="BH1874" t="s">
        <v>2365</v>
      </c>
      <c r="BI1874" t="s">
        <v>2366</v>
      </c>
      <c r="BJ1874" t="s">
        <v>2365</v>
      </c>
      <c r="BK1874" t="s">
        <v>2365</v>
      </c>
      <c r="BL1874" t="s">
        <v>2365</v>
      </c>
      <c r="BM1874" t="s">
        <v>2365</v>
      </c>
      <c r="BO1874">
        <v>1</v>
      </c>
      <c r="BP1874">
        <v>11</v>
      </c>
      <c r="BQ1874" t="s">
        <v>2369</v>
      </c>
      <c r="BR1874" t="s">
        <v>1487</v>
      </c>
      <c r="BU1874">
        <v>0</v>
      </c>
      <c r="BV1874">
        <v>0</v>
      </c>
      <c r="BW1874">
        <v>0</v>
      </c>
      <c r="BX1874">
        <v>0</v>
      </c>
      <c r="BY1874">
        <v>0</v>
      </c>
      <c r="BZ1874">
        <v>0</v>
      </c>
      <c r="CA1874">
        <v>0</v>
      </c>
      <c r="CB1874">
        <v>0</v>
      </c>
      <c r="CC1874">
        <v>0</v>
      </c>
      <c r="CD1874">
        <v>0</v>
      </c>
      <c r="CE1874">
        <v>0</v>
      </c>
      <c r="CF1874">
        <v>0</v>
      </c>
      <c r="CG1874">
        <v>0</v>
      </c>
      <c r="CH1874">
        <v>0</v>
      </c>
      <c r="CI1874">
        <v>0</v>
      </c>
      <c r="CJ1874">
        <v>0</v>
      </c>
      <c r="CK1874">
        <v>0</v>
      </c>
      <c r="CL1874">
        <v>0</v>
      </c>
      <c r="CM1874">
        <v>0</v>
      </c>
      <c r="CR1874" t="s">
        <v>2325</v>
      </c>
      <c r="CS1874" s="1369" t="str">
        <f>INDEX([8]Sheet1!$H:$H,MATCH(CR:CR,[8]Sheet1!$AU:$AU,0))</f>
        <v>Asset Management</v>
      </c>
    </row>
    <row r="1875" spans="1:97" x14ac:dyDescent="0.2">
      <c r="A1875" t="s">
        <v>5073</v>
      </c>
      <c r="B1875">
        <v>1973</v>
      </c>
      <c r="C1875" t="s">
        <v>5073</v>
      </c>
      <c r="D1875">
        <v>54989</v>
      </c>
      <c r="E1875" t="s">
        <v>5074</v>
      </c>
      <c r="F1875" t="s">
        <v>2364</v>
      </c>
      <c r="G1875" t="s">
        <v>2364</v>
      </c>
      <c r="H1875" t="s">
        <v>2365</v>
      </c>
      <c r="I1875" t="s">
        <v>2365</v>
      </c>
      <c r="J1875" t="s">
        <v>2365</v>
      </c>
      <c r="K1875" t="s">
        <v>2365</v>
      </c>
      <c r="L1875">
        <v>1200</v>
      </c>
      <c r="M1875" t="s">
        <v>1480</v>
      </c>
      <c r="N1875">
        <v>1204</v>
      </c>
      <c r="O1875" t="s">
        <v>1487</v>
      </c>
      <c r="P1875" t="s">
        <v>2366</v>
      </c>
      <c r="Q1875" t="s">
        <v>2364</v>
      </c>
      <c r="R1875" t="s">
        <v>2364</v>
      </c>
      <c r="S1875" t="s">
        <v>553</v>
      </c>
      <c r="T1875" t="s">
        <v>2175</v>
      </c>
      <c r="U1875">
        <v>140</v>
      </c>
      <c r="V1875" t="s">
        <v>693</v>
      </c>
      <c r="W1875">
        <v>140</v>
      </c>
      <c r="X1875" t="s">
        <v>693</v>
      </c>
      <c r="Y1875" t="s">
        <v>2365</v>
      </c>
      <c r="Z1875" t="s">
        <v>2365</v>
      </c>
      <c r="AA1875" t="s">
        <v>2365</v>
      </c>
      <c r="AB1875" t="s">
        <v>2365</v>
      </c>
      <c r="AC1875" s="813" t="s">
        <v>2365</v>
      </c>
      <c r="AD1875" s="813" t="s">
        <v>2365</v>
      </c>
      <c r="AE1875" s="813" t="s">
        <v>2365</v>
      </c>
      <c r="AF1875" t="s">
        <v>2365</v>
      </c>
      <c r="AG1875" t="s">
        <v>2365</v>
      </c>
      <c r="AH1875" t="s">
        <v>2365</v>
      </c>
      <c r="AI1875" t="s">
        <v>2365</v>
      </c>
      <c r="AJ1875" t="s">
        <v>2365</v>
      </c>
      <c r="AK1875" t="s">
        <v>2366</v>
      </c>
      <c r="AL1875" t="s">
        <v>2366</v>
      </c>
      <c r="AM1875" t="s">
        <v>2366</v>
      </c>
      <c r="AN1875" t="s">
        <v>2366</v>
      </c>
      <c r="AR1875" t="s">
        <v>2365</v>
      </c>
      <c r="AS1875" t="s">
        <v>2365</v>
      </c>
      <c r="AT1875" t="s">
        <v>2365</v>
      </c>
      <c r="AU1875" t="s">
        <v>2365</v>
      </c>
      <c r="AV1875" t="s">
        <v>2365</v>
      </c>
      <c r="AW1875" t="s">
        <v>2365</v>
      </c>
      <c r="AX1875" t="s">
        <v>2365</v>
      </c>
      <c r="AY1875" t="s">
        <v>2365</v>
      </c>
      <c r="AZ1875" t="s">
        <v>2365</v>
      </c>
      <c r="BA1875" t="s">
        <v>2365</v>
      </c>
      <c r="BB1875" t="s">
        <v>2365</v>
      </c>
      <c r="BC1875" t="s">
        <v>2365</v>
      </c>
      <c r="BD1875" t="s">
        <v>2366</v>
      </c>
      <c r="BE1875" t="s">
        <v>2365</v>
      </c>
      <c r="BF1875" t="s">
        <v>2365</v>
      </c>
      <c r="BG1875" t="s">
        <v>2365</v>
      </c>
      <c r="BH1875" t="s">
        <v>2365</v>
      </c>
      <c r="BI1875" t="s">
        <v>2366</v>
      </c>
      <c r="BJ1875" t="s">
        <v>2365</v>
      </c>
      <c r="BK1875" t="s">
        <v>2365</v>
      </c>
      <c r="BL1875" t="s">
        <v>2365</v>
      </c>
      <c r="BM1875" t="s">
        <v>2365</v>
      </c>
      <c r="BO1875">
        <v>1</v>
      </c>
      <c r="BP1875">
        <v>11</v>
      </c>
      <c r="BQ1875" t="s">
        <v>2369</v>
      </c>
      <c r="BR1875" t="s">
        <v>1487</v>
      </c>
      <c r="BU1875">
        <v>0</v>
      </c>
      <c r="BV1875">
        <v>0</v>
      </c>
      <c r="BW1875">
        <v>0</v>
      </c>
      <c r="BX1875">
        <v>0</v>
      </c>
      <c r="BY1875">
        <v>0</v>
      </c>
      <c r="BZ1875">
        <v>0</v>
      </c>
      <c r="CA1875">
        <v>0</v>
      </c>
      <c r="CB1875">
        <v>0</v>
      </c>
      <c r="CC1875">
        <v>0</v>
      </c>
      <c r="CD1875">
        <v>0</v>
      </c>
      <c r="CE1875">
        <v>0</v>
      </c>
      <c r="CF1875">
        <v>0</v>
      </c>
      <c r="CG1875">
        <v>0</v>
      </c>
      <c r="CH1875">
        <v>0</v>
      </c>
      <c r="CI1875">
        <v>0</v>
      </c>
      <c r="CJ1875">
        <v>0</v>
      </c>
      <c r="CK1875">
        <v>0</v>
      </c>
      <c r="CL1875">
        <v>0</v>
      </c>
      <c r="CM1875">
        <v>0</v>
      </c>
      <c r="CR1875" t="s">
        <v>2325</v>
      </c>
      <c r="CS1875" s="1369" t="str">
        <f>INDEX([8]Sheet1!$H:$H,MATCH(CR:CR,[8]Sheet1!$AU:$AU,0))</f>
        <v>Asset Management</v>
      </c>
    </row>
    <row r="1876" spans="1:97" x14ac:dyDescent="0.2">
      <c r="A1876" t="s">
        <v>5075</v>
      </c>
      <c r="B1876">
        <v>1974</v>
      </c>
      <c r="C1876" t="s">
        <v>5075</v>
      </c>
      <c r="D1876">
        <v>54990</v>
      </c>
      <c r="E1876" t="s">
        <v>5076</v>
      </c>
      <c r="F1876" t="s">
        <v>2364</v>
      </c>
      <c r="G1876" t="s">
        <v>2364</v>
      </c>
      <c r="H1876" t="s">
        <v>2365</v>
      </c>
      <c r="I1876" t="s">
        <v>2365</v>
      </c>
      <c r="J1876" t="s">
        <v>2365</v>
      </c>
      <c r="K1876" t="s">
        <v>2365</v>
      </c>
      <c r="L1876">
        <v>1200</v>
      </c>
      <c r="M1876" t="s">
        <v>1480</v>
      </c>
      <c r="N1876">
        <v>1204</v>
      </c>
      <c r="O1876" t="s">
        <v>1487</v>
      </c>
      <c r="P1876" t="s">
        <v>2366</v>
      </c>
      <c r="Q1876" t="s">
        <v>2364</v>
      </c>
      <c r="R1876" t="s">
        <v>2364</v>
      </c>
      <c r="S1876" t="s">
        <v>553</v>
      </c>
      <c r="T1876" t="s">
        <v>2175</v>
      </c>
      <c r="U1876">
        <v>140</v>
      </c>
      <c r="V1876" t="s">
        <v>693</v>
      </c>
      <c r="W1876">
        <v>140</v>
      </c>
      <c r="X1876" t="s">
        <v>693</v>
      </c>
      <c r="Y1876" t="s">
        <v>2365</v>
      </c>
      <c r="Z1876" t="s">
        <v>2365</v>
      </c>
      <c r="AA1876" t="s">
        <v>2365</v>
      </c>
      <c r="AB1876" t="s">
        <v>2365</v>
      </c>
      <c r="AC1876" s="813" t="s">
        <v>2365</v>
      </c>
      <c r="AD1876" s="813" t="s">
        <v>2365</v>
      </c>
      <c r="AE1876" s="813" t="s">
        <v>2365</v>
      </c>
      <c r="AF1876" t="s">
        <v>2365</v>
      </c>
      <c r="AG1876" t="s">
        <v>2365</v>
      </c>
      <c r="AH1876" t="s">
        <v>2365</v>
      </c>
      <c r="AI1876" t="s">
        <v>2365</v>
      </c>
      <c r="AJ1876" t="s">
        <v>2365</v>
      </c>
      <c r="AK1876" t="s">
        <v>2366</v>
      </c>
      <c r="AL1876" t="s">
        <v>2366</v>
      </c>
      <c r="AM1876" t="s">
        <v>2366</v>
      </c>
      <c r="AN1876" t="s">
        <v>2366</v>
      </c>
      <c r="AR1876" t="s">
        <v>2365</v>
      </c>
      <c r="AS1876" t="s">
        <v>2365</v>
      </c>
      <c r="AT1876" t="s">
        <v>2365</v>
      </c>
      <c r="AU1876" t="s">
        <v>2365</v>
      </c>
      <c r="AV1876" t="s">
        <v>2365</v>
      </c>
      <c r="AW1876" t="s">
        <v>2365</v>
      </c>
      <c r="AX1876" t="s">
        <v>2365</v>
      </c>
      <c r="AY1876" t="s">
        <v>2365</v>
      </c>
      <c r="AZ1876" t="s">
        <v>2365</v>
      </c>
      <c r="BA1876" t="s">
        <v>2365</v>
      </c>
      <c r="BB1876" t="s">
        <v>2365</v>
      </c>
      <c r="BC1876" t="s">
        <v>2365</v>
      </c>
      <c r="BD1876" t="s">
        <v>2366</v>
      </c>
      <c r="BE1876" t="s">
        <v>2365</v>
      </c>
      <c r="BF1876" t="s">
        <v>2365</v>
      </c>
      <c r="BG1876" t="s">
        <v>2365</v>
      </c>
      <c r="BH1876" t="s">
        <v>2365</v>
      </c>
      <c r="BI1876" t="s">
        <v>2366</v>
      </c>
      <c r="BJ1876" t="s">
        <v>2365</v>
      </c>
      <c r="BK1876" t="s">
        <v>2365</v>
      </c>
      <c r="BL1876" t="s">
        <v>2365</v>
      </c>
      <c r="BM1876" t="s">
        <v>2365</v>
      </c>
      <c r="BO1876">
        <v>1</v>
      </c>
      <c r="BP1876">
        <v>11</v>
      </c>
      <c r="BQ1876" t="s">
        <v>2369</v>
      </c>
      <c r="BR1876" t="s">
        <v>1487</v>
      </c>
      <c r="BU1876">
        <v>0</v>
      </c>
      <c r="BV1876">
        <v>0</v>
      </c>
      <c r="BW1876">
        <v>0</v>
      </c>
      <c r="BX1876">
        <v>0</v>
      </c>
      <c r="BY1876">
        <v>0</v>
      </c>
      <c r="BZ1876">
        <v>0</v>
      </c>
      <c r="CA1876">
        <v>0</v>
      </c>
      <c r="CB1876">
        <v>0</v>
      </c>
      <c r="CC1876">
        <v>0</v>
      </c>
      <c r="CD1876">
        <v>0</v>
      </c>
      <c r="CE1876">
        <v>0</v>
      </c>
      <c r="CF1876">
        <v>0</v>
      </c>
      <c r="CG1876">
        <v>0</v>
      </c>
      <c r="CH1876">
        <v>0</v>
      </c>
      <c r="CI1876">
        <v>0</v>
      </c>
      <c r="CJ1876">
        <v>0</v>
      </c>
      <c r="CK1876">
        <v>0</v>
      </c>
      <c r="CL1876">
        <v>0</v>
      </c>
      <c r="CM1876">
        <v>0</v>
      </c>
      <c r="CR1876" t="s">
        <v>2325</v>
      </c>
      <c r="CS1876" s="1369" t="str">
        <f>INDEX([8]Sheet1!$H:$H,MATCH(CR:CR,[8]Sheet1!$AU:$AU,0))</f>
        <v>Asset Management</v>
      </c>
    </row>
    <row r="1877" spans="1:97" x14ac:dyDescent="0.2">
      <c r="A1877" t="s">
        <v>5077</v>
      </c>
      <c r="B1877">
        <v>1975</v>
      </c>
      <c r="C1877" t="s">
        <v>5077</v>
      </c>
      <c r="D1877">
        <v>54991</v>
      </c>
      <c r="E1877" t="s">
        <v>5078</v>
      </c>
      <c r="F1877" t="s">
        <v>2364</v>
      </c>
      <c r="G1877" t="s">
        <v>2364</v>
      </c>
      <c r="H1877" t="s">
        <v>2365</v>
      </c>
      <c r="I1877" t="s">
        <v>2365</v>
      </c>
      <c r="J1877" t="s">
        <v>2365</v>
      </c>
      <c r="K1877" t="s">
        <v>2365</v>
      </c>
      <c r="L1877">
        <v>1200</v>
      </c>
      <c r="M1877" t="s">
        <v>1480</v>
      </c>
      <c r="N1877">
        <v>1204</v>
      </c>
      <c r="O1877" t="s">
        <v>1487</v>
      </c>
      <c r="P1877" t="s">
        <v>2366</v>
      </c>
      <c r="Q1877" t="s">
        <v>2364</v>
      </c>
      <c r="R1877" t="s">
        <v>2364</v>
      </c>
      <c r="S1877" t="s">
        <v>553</v>
      </c>
      <c r="T1877" t="s">
        <v>2175</v>
      </c>
      <c r="U1877">
        <v>140</v>
      </c>
      <c r="V1877" t="s">
        <v>693</v>
      </c>
      <c r="W1877">
        <v>140</v>
      </c>
      <c r="X1877" t="s">
        <v>693</v>
      </c>
      <c r="Y1877" t="s">
        <v>2365</v>
      </c>
      <c r="Z1877" t="s">
        <v>2365</v>
      </c>
      <c r="AA1877" t="s">
        <v>2365</v>
      </c>
      <c r="AB1877" t="s">
        <v>2365</v>
      </c>
      <c r="AC1877" s="813" t="s">
        <v>2365</v>
      </c>
      <c r="AD1877" s="813" t="s">
        <v>2365</v>
      </c>
      <c r="AE1877" s="813" t="s">
        <v>2365</v>
      </c>
      <c r="AF1877" t="s">
        <v>2365</v>
      </c>
      <c r="AG1877" t="s">
        <v>2365</v>
      </c>
      <c r="AH1877" t="s">
        <v>2365</v>
      </c>
      <c r="AI1877" t="s">
        <v>2365</v>
      </c>
      <c r="AJ1877" t="s">
        <v>2365</v>
      </c>
      <c r="AK1877" t="s">
        <v>2366</v>
      </c>
      <c r="AL1877" t="s">
        <v>2366</v>
      </c>
      <c r="AM1877" t="s">
        <v>2366</v>
      </c>
      <c r="AN1877" t="s">
        <v>2366</v>
      </c>
      <c r="AR1877" t="s">
        <v>2365</v>
      </c>
      <c r="AS1877" t="s">
        <v>2365</v>
      </c>
      <c r="AT1877" t="s">
        <v>2365</v>
      </c>
      <c r="AU1877" t="s">
        <v>2365</v>
      </c>
      <c r="AV1877" t="s">
        <v>2365</v>
      </c>
      <c r="AW1877" t="s">
        <v>2365</v>
      </c>
      <c r="AX1877" t="s">
        <v>2365</v>
      </c>
      <c r="AY1877" t="s">
        <v>2365</v>
      </c>
      <c r="AZ1877" t="s">
        <v>2365</v>
      </c>
      <c r="BA1877" t="s">
        <v>2365</v>
      </c>
      <c r="BB1877" t="s">
        <v>2365</v>
      </c>
      <c r="BC1877" t="s">
        <v>2365</v>
      </c>
      <c r="BD1877" t="s">
        <v>2366</v>
      </c>
      <c r="BE1877" t="s">
        <v>2365</v>
      </c>
      <c r="BF1877" t="s">
        <v>2365</v>
      </c>
      <c r="BG1877" t="s">
        <v>2365</v>
      </c>
      <c r="BH1877" t="s">
        <v>2365</v>
      </c>
      <c r="BI1877" t="s">
        <v>2366</v>
      </c>
      <c r="BJ1877" t="s">
        <v>2365</v>
      </c>
      <c r="BK1877" t="s">
        <v>2365</v>
      </c>
      <c r="BL1877" t="s">
        <v>2365</v>
      </c>
      <c r="BM1877" t="s">
        <v>2365</v>
      </c>
      <c r="BO1877">
        <v>1</v>
      </c>
      <c r="BP1877">
        <v>11</v>
      </c>
      <c r="BQ1877" t="s">
        <v>2369</v>
      </c>
      <c r="BR1877" t="s">
        <v>1487</v>
      </c>
      <c r="BU1877">
        <v>18359940</v>
      </c>
      <c r="BV1877">
        <v>0</v>
      </c>
      <c r="BW1877">
        <v>18359940</v>
      </c>
      <c r="BX1877">
        <v>-18359940</v>
      </c>
      <c r="BY1877">
        <v>0</v>
      </c>
      <c r="BZ1877">
        <v>0</v>
      </c>
      <c r="CA1877">
        <v>0</v>
      </c>
      <c r="CB1877">
        <v>0</v>
      </c>
      <c r="CC1877">
        <v>0</v>
      </c>
      <c r="CD1877">
        <v>0</v>
      </c>
      <c r="CE1877">
        <v>0</v>
      </c>
      <c r="CF1877">
        <v>0</v>
      </c>
      <c r="CG1877">
        <v>0</v>
      </c>
      <c r="CH1877">
        <v>0</v>
      </c>
      <c r="CI1877">
        <v>0</v>
      </c>
      <c r="CJ1877">
        <v>0</v>
      </c>
      <c r="CK1877">
        <v>0</v>
      </c>
      <c r="CL1877">
        <v>0</v>
      </c>
      <c r="CM1877">
        <v>0</v>
      </c>
      <c r="CR1877" t="s">
        <v>2325</v>
      </c>
      <c r="CS1877" s="1369" t="str">
        <f>INDEX([8]Sheet1!$H:$H,MATCH(CR:CR,[8]Sheet1!$AU:$AU,0))</f>
        <v>Asset Management</v>
      </c>
    </row>
    <row r="1878" spans="1:97" x14ac:dyDescent="0.2">
      <c r="A1878" t="s">
        <v>5079</v>
      </c>
      <c r="B1878">
        <v>1976</v>
      </c>
      <c r="C1878" t="s">
        <v>5079</v>
      </c>
      <c r="D1878">
        <v>54992</v>
      </c>
      <c r="E1878" t="s">
        <v>5080</v>
      </c>
      <c r="F1878" t="s">
        <v>2364</v>
      </c>
      <c r="G1878" t="s">
        <v>2364</v>
      </c>
      <c r="H1878" t="s">
        <v>2365</v>
      </c>
      <c r="I1878" t="s">
        <v>2365</v>
      </c>
      <c r="J1878" t="s">
        <v>2365</v>
      </c>
      <c r="K1878" t="s">
        <v>2365</v>
      </c>
      <c r="L1878">
        <v>4400</v>
      </c>
      <c r="M1878" t="s">
        <v>631</v>
      </c>
      <c r="N1878">
        <v>4403</v>
      </c>
      <c r="O1878" t="s">
        <v>1557</v>
      </c>
      <c r="P1878" t="s">
        <v>2366</v>
      </c>
      <c r="Q1878" t="s">
        <v>2364</v>
      </c>
      <c r="R1878" t="s">
        <v>2364</v>
      </c>
      <c r="S1878" t="s">
        <v>553</v>
      </c>
      <c r="T1878" t="s">
        <v>2175</v>
      </c>
      <c r="U1878">
        <v>140</v>
      </c>
      <c r="V1878" t="s">
        <v>693</v>
      </c>
      <c r="W1878">
        <v>140</v>
      </c>
      <c r="X1878" t="s">
        <v>693</v>
      </c>
      <c r="Y1878" t="s">
        <v>2365</v>
      </c>
      <c r="Z1878" t="s">
        <v>2365</v>
      </c>
      <c r="AA1878" t="s">
        <v>2365</v>
      </c>
      <c r="AB1878" t="s">
        <v>2365</v>
      </c>
      <c r="AC1878" s="813" t="s">
        <v>2365</v>
      </c>
      <c r="AD1878" s="813" t="s">
        <v>2365</v>
      </c>
      <c r="AE1878" s="813" t="s">
        <v>2365</v>
      </c>
      <c r="AF1878" t="s">
        <v>2365</v>
      </c>
      <c r="AG1878" t="s">
        <v>2365</v>
      </c>
      <c r="AH1878" t="s">
        <v>2365</v>
      </c>
      <c r="AI1878" t="s">
        <v>2365</v>
      </c>
      <c r="AJ1878" t="s">
        <v>2365</v>
      </c>
      <c r="AK1878" t="s">
        <v>2366</v>
      </c>
      <c r="AL1878" t="s">
        <v>2366</v>
      </c>
      <c r="AM1878" t="s">
        <v>2366</v>
      </c>
      <c r="AN1878" t="s">
        <v>2366</v>
      </c>
      <c r="AR1878" t="s">
        <v>2365</v>
      </c>
      <c r="AS1878" t="s">
        <v>2365</v>
      </c>
      <c r="AT1878" t="s">
        <v>2365</v>
      </c>
      <c r="AU1878" t="s">
        <v>2365</v>
      </c>
      <c r="AV1878" t="s">
        <v>2365</v>
      </c>
      <c r="AW1878" t="s">
        <v>2365</v>
      </c>
      <c r="AX1878" t="s">
        <v>2365</v>
      </c>
      <c r="AY1878" t="s">
        <v>2365</v>
      </c>
      <c r="AZ1878" t="s">
        <v>2365</v>
      </c>
      <c r="BA1878" t="s">
        <v>2365</v>
      </c>
      <c r="BB1878" t="s">
        <v>2365</v>
      </c>
      <c r="BC1878" t="s">
        <v>2365</v>
      </c>
      <c r="BD1878" t="s">
        <v>2366</v>
      </c>
      <c r="BE1878" t="s">
        <v>2365</v>
      </c>
      <c r="BF1878" t="s">
        <v>2365</v>
      </c>
      <c r="BG1878" t="s">
        <v>2365</v>
      </c>
      <c r="BH1878" t="s">
        <v>2365</v>
      </c>
      <c r="BI1878" t="s">
        <v>2366</v>
      </c>
      <c r="BJ1878" t="s">
        <v>2365</v>
      </c>
      <c r="BK1878" t="s">
        <v>2365</v>
      </c>
      <c r="BL1878" t="s">
        <v>2365</v>
      </c>
      <c r="BM1878" t="s">
        <v>2365</v>
      </c>
      <c r="BO1878">
        <v>12</v>
      </c>
      <c r="BP1878">
        <v>121</v>
      </c>
      <c r="BQ1878" t="s">
        <v>1369</v>
      </c>
      <c r="BR1878" t="s">
        <v>1557</v>
      </c>
      <c r="BU1878">
        <v>415898</v>
      </c>
      <c r="BV1878">
        <v>0</v>
      </c>
      <c r="BW1878">
        <v>415898</v>
      </c>
      <c r="BX1878">
        <v>-415898</v>
      </c>
      <c r="BY1878">
        <v>0</v>
      </c>
      <c r="BZ1878">
        <v>0</v>
      </c>
      <c r="CA1878">
        <v>0</v>
      </c>
      <c r="CB1878">
        <v>0</v>
      </c>
      <c r="CC1878">
        <v>0</v>
      </c>
      <c r="CD1878">
        <v>0</v>
      </c>
      <c r="CE1878">
        <v>0</v>
      </c>
      <c r="CF1878">
        <v>0</v>
      </c>
      <c r="CG1878">
        <v>0</v>
      </c>
      <c r="CH1878">
        <v>0</v>
      </c>
      <c r="CI1878">
        <v>0</v>
      </c>
      <c r="CJ1878">
        <v>0</v>
      </c>
      <c r="CK1878">
        <v>0</v>
      </c>
      <c r="CL1878">
        <v>0</v>
      </c>
      <c r="CM1878">
        <v>0</v>
      </c>
      <c r="CR1878" t="s">
        <v>2325</v>
      </c>
      <c r="CS1878" s="1369" t="str">
        <f>INDEX([8]Sheet1!$H:$H,MATCH(CR:CR,[8]Sheet1!$AU:$AU,0))</f>
        <v>Asset Management</v>
      </c>
    </row>
    <row r="1879" spans="1:97" x14ac:dyDescent="0.2">
      <c r="A1879" t="s">
        <v>5081</v>
      </c>
      <c r="B1879">
        <v>1977</v>
      </c>
      <c r="C1879" t="s">
        <v>5081</v>
      </c>
      <c r="D1879">
        <v>54950</v>
      </c>
      <c r="E1879" t="s">
        <v>5082</v>
      </c>
      <c r="F1879" t="s">
        <v>2364</v>
      </c>
      <c r="G1879" t="s">
        <v>2364</v>
      </c>
      <c r="H1879" t="s">
        <v>2365</v>
      </c>
      <c r="I1879" t="s">
        <v>2365</v>
      </c>
      <c r="J1879" t="s">
        <v>2365</v>
      </c>
      <c r="K1879" t="s">
        <v>2365</v>
      </c>
      <c r="L1879">
        <v>3200</v>
      </c>
      <c r="M1879" t="s">
        <v>625</v>
      </c>
      <c r="N1879">
        <v>3205</v>
      </c>
      <c r="O1879" t="s">
        <v>1002</v>
      </c>
      <c r="P1879" t="s">
        <v>2366</v>
      </c>
      <c r="Q1879">
        <v>2010</v>
      </c>
      <c r="R1879" t="s">
        <v>668</v>
      </c>
      <c r="S1879" t="s">
        <v>552</v>
      </c>
      <c r="T1879" t="s">
        <v>2175</v>
      </c>
      <c r="U1879">
        <v>240</v>
      </c>
      <c r="V1879" t="s">
        <v>2389</v>
      </c>
      <c r="W1879">
        <v>240</v>
      </c>
      <c r="X1879" t="s">
        <v>701</v>
      </c>
      <c r="Y1879" t="s">
        <v>2365</v>
      </c>
      <c r="Z1879" t="s">
        <v>2365</v>
      </c>
      <c r="AA1879" t="s">
        <v>2365</v>
      </c>
      <c r="AB1879" t="s">
        <v>2365</v>
      </c>
      <c r="AC1879" s="813" t="s">
        <v>2365</v>
      </c>
      <c r="AD1879" s="813" t="s">
        <v>2365</v>
      </c>
      <c r="AE1879" s="813" t="s">
        <v>2365</v>
      </c>
      <c r="AF1879" t="s">
        <v>2365</v>
      </c>
      <c r="AG1879" t="s">
        <v>2365</v>
      </c>
      <c r="AH1879" t="s">
        <v>2365</v>
      </c>
      <c r="AI1879" t="s">
        <v>2365</v>
      </c>
      <c r="AJ1879" t="s">
        <v>2365</v>
      </c>
      <c r="AK1879" s="1373">
        <v>241</v>
      </c>
      <c r="AL1879" t="s">
        <v>1203</v>
      </c>
      <c r="AM1879">
        <v>241</v>
      </c>
      <c r="AN1879" t="s">
        <v>1203</v>
      </c>
      <c r="AR1879">
        <v>120</v>
      </c>
      <c r="AS1879" t="s">
        <v>1002</v>
      </c>
      <c r="AT1879">
        <v>120</v>
      </c>
      <c r="AU1879" t="s">
        <v>1002</v>
      </c>
      <c r="AV1879" t="s">
        <v>2365</v>
      </c>
      <c r="AW1879" t="s">
        <v>2365</v>
      </c>
      <c r="AX1879" t="s">
        <v>2365</v>
      </c>
      <c r="AY1879" t="s">
        <v>2365</v>
      </c>
      <c r="AZ1879" t="s">
        <v>2365</v>
      </c>
      <c r="BA1879" t="s">
        <v>2365</v>
      </c>
      <c r="BB1879" t="s">
        <v>2365</v>
      </c>
      <c r="BC1879" t="s">
        <v>2365</v>
      </c>
      <c r="BD1879" t="s">
        <v>2366</v>
      </c>
      <c r="BE1879" t="s">
        <v>2365</v>
      </c>
      <c r="BF1879" t="s">
        <v>2365</v>
      </c>
      <c r="BG1879" t="s">
        <v>2365</v>
      </c>
      <c r="BH1879" t="s">
        <v>2365</v>
      </c>
      <c r="BI1879" t="s">
        <v>2366</v>
      </c>
      <c r="BJ1879" t="s">
        <v>2365</v>
      </c>
      <c r="BK1879" t="s">
        <v>2365</v>
      </c>
      <c r="BL1879" t="s">
        <v>2365</v>
      </c>
      <c r="BM1879" t="s">
        <v>2365</v>
      </c>
      <c r="BO1879">
        <v>7</v>
      </c>
      <c r="BP1879">
        <v>71</v>
      </c>
      <c r="BQ1879" t="s">
        <v>2665</v>
      </c>
      <c r="BR1879" t="s">
        <v>1002</v>
      </c>
      <c r="BU1879">
        <v>0</v>
      </c>
      <c r="BV1879">
        <v>0</v>
      </c>
      <c r="BW1879">
        <v>0</v>
      </c>
      <c r="BX1879">
        <v>0</v>
      </c>
      <c r="BY1879">
        <v>0</v>
      </c>
      <c r="BZ1879">
        <v>0</v>
      </c>
      <c r="CA1879">
        <v>0</v>
      </c>
      <c r="CB1879">
        <v>0</v>
      </c>
      <c r="CC1879">
        <v>0</v>
      </c>
      <c r="CD1879">
        <v>0</v>
      </c>
      <c r="CE1879">
        <v>0</v>
      </c>
      <c r="CF1879">
        <v>0</v>
      </c>
      <c r="CG1879">
        <v>0</v>
      </c>
      <c r="CH1879">
        <v>0</v>
      </c>
      <c r="CI1879">
        <v>0</v>
      </c>
      <c r="CJ1879">
        <v>0</v>
      </c>
      <c r="CK1879">
        <v>0</v>
      </c>
      <c r="CL1879">
        <v>0</v>
      </c>
      <c r="CM1879">
        <v>0</v>
      </c>
      <c r="CR1879" t="s">
        <v>2325</v>
      </c>
      <c r="CS1879" s="1369" t="str">
        <f>INDEX([8]Sheet1!$H:$H,MATCH(CR:CR,[8]Sheet1!$AU:$AU,0))</f>
        <v>Asset Management</v>
      </c>
    </row>
    <row r="1880" spans="1:97" x14ac:dyDescent="0.2">
      <c r="A1880" t="s">
        <v>5083</v>
      </c>
      <c r="B1880">
        <v>1978</v>
      </c>
      <c r="C1880" t="s">
        <v>5083</v>
      </c>
      <c r="D1880">
        <v>54951</v>
      </c>
      <c r="E1880" t="s">
        <v>4819</v>
      </c>
      <c r="F1880" t="s">
        <v>2364</v>
      </c>
      <c r="G1880" t="s">
        <v>2364</v>
      </c>
      <c r="H1880" t="s">
        <v>2365</v>
      </c>
      <c r="I1880" t="s">
        <v>2365</v>
      </c>
      <c r="J1880" t="s">
        <v>2365</v>
      </c>
      <c r="K1880" t="s">
        <v>2365</v>
      </c>
      <c r="L1880">
        <v>3200</v>
      </c>
      <c r="M1880" t="s">
        <v>625</v>
      </c>
      <c r="N1880">
        <v>3205</v>
      </c>
      <c r="O1880" t="s">
        <v>1002</v>
      </c>
      <c r="P1880" t="s">
        <v>2366</v>
      </c>
      <c r="Q1880">
        <v>2010</v>
      </c>
      <c r="R1880" t="s">
        <v>668</v>
      </c>
      <c r="S1880" t="s">
        <v>552</v>
      </c>
      <c r="T1880" t="s">
        <v>2175</v>
      </c>
      <c r="U1880">
        <v>240</v>
      </c>
      <c r="V1880" t="s">
        <v>2389</v>
      </c>
      <c r="W1880">
        <v>240</v>
      </c>
      <c r="X1880" t="s">
        <v>701</v>
      </c>
      <c r="Y1880" t="s">
        <v>2365</v>
      </c>
      <c r="Z1880" t="s">
        <v>2365</v>
      </c>
      <c r="AA1880" t="s">
        <v>2365</v>
      </c>
      <c r="AB1880" t="s">
        <v>2365</v>
      </c>
      <c r="AC1880" s="813" t="s">
        <v>2365</v>
      </c>
      <c r="AD1880" s="813" t="s">
        <v>2365</v>
      </c>
      <c r="AE1880" s="813" t="s">
        <v>2365</v>
      </c>
      <c r="AF1880" t="s">
        <v>2365</v>
      </c>
      <c r="AG1880" t="s">
        <v>2365</v>
      </c>
      <c r="AH1880" t="s">
        <v>2365</v>
      </c>
      <c r="AI1880" t="s">
        <v>2365</v>
      </c>
      <c r="AJ1880" t="s">
        <v>2365</v>
      </c>
      <c r="AK1880" s="1373">
        <v>241</v>
      </c>
      <c r="AL1880" t="s">
        <v>1203</v>
      </c>
      <c r="AM1880">
        <v>241</v>
      </c>
      <c r="AN1880" t="s">
        <v>1203</v>
      </c>
      <c r="AR1880">
        <v>120</v>
      </c>
      <c r="AS1880" t="s">
        <v>1002</v>
      </c>
      <c r="AT1880">
        <v>120</v>
      </c>
      <c r="AU1880" t="s">
        <v>1002</v>
      </c>
      <c r="AV1880" t="s">
        <v>2365</v>
      </c>
      <c r="AW1880" t="s">
        <v>2365</v>
      </c>
      <c r="AX1880" t="s">
        <v>2365</v>
      </c>
      <c r="AY1880" t="s">
        <v>2365</v>
      </c>
      <c r="AZ1880" t="s">
        <v>2365</v>
      </c>
      <c r="BA1880" t="s">
        <v>2365</v>
      </c>
      <c r="BB1880" t="s">
        <v>2365</v>
      </c>
      <c r="BC1880" t="s">
        <v>2365</v>
      </c>
      <c r="BD1880" t="s">
        <v>2366</v>
      </c>
      <c r="BE1880" t="s">
        <v>2365</v>
      </c>
      <c r="BF1880" t="s">
        <v>2365</v>
      </c>
      <c r="BG1880" t="s">
        <v>2365</v>
      </c>
      <c r="BH1880" t="s">
        <v>2365</v>
      </c>
      <c r="BI1880" t="s">
        <v>2366</v>
      </c>
      <c r="BJ1880" t="s">
        <v>2365</v>
      </c>
      <c r="BK1880" t="s">
        <v>2365</v>
      </c>
      <c r="BL1880" t="s">
        <v>2365</v>
      </c>
      <c r="BM1880" t="s">
        <v>2365</v>
      </c>
      <c r="BO1880">
        <v>7</v>
      </c>
      <c r="BP1880">
        <v>71</v>
      </c>
      <c r="BQ1880" t="s">
        <v>2665</v>
      </c>
      <c r="BR1880" t="s">
        <v>1002</v>
      </c>
      <c r="BU1880">
        <v>0</v>
      </c>
      <c r="BV1880">
        <v>0</v>
      </c>
      <c r="BW1880">
        <v>0</v>
      </c>
      <c r="BX1880">
        <v>0</v>
      </c>
      <c r="BY1880">
        <v>0</v>
      </c>
      <c r="BZ1880">
        <v>0</v>
      </c>
      <c r="CA1880">
        <v>0</v>
      </c>
      <c r="CB1880">
        <v>0</v>
      </c>
      <c r="CC1880">
        <v>0</v>
      </c>
      <c r="CD1880">
        <v>0</v>
      </c>
      <c r="CE1880">
        <v>0</v>
      </c>
      <c r="CF1880">
        <v>0</v>
      </c>
      <c r="CG1880">
        <v>0</v>
      </c>
      <c r="CH1880">
        <v>0</v>
      </c>
      <c r="CI1880">
        <v>0</v>
      </c>
      <c r="CJ1880">
        <v>0</v>
      </c>
      <c r="CK1880">
        <v>0</v>
      </c>
      <c r="CL1880">
        <v>0</v>
      </c>
      <c r="CM1880">
        <v>0</v>
      </c>
      <c r="CR1880" t="s">
        <v>2340</v>
      </c>
      <c r="CS1880" s="1369" t="str">
        <f>INDEX([8]Sheet1!$H:$H,MATCH(CR:CR,[8]Sheet1!$AU:$AU,0))</f>
        <v>Disaster Management</v>
      </c>
    </row>
    <row r="1881" spans="1:97" x14ac:dyDescent="0.2">
      <c r="A1881" t="s">
        <v>5084</v>
      </c>
      <c r="B1881">
        <v>1979</v>
      </c>
      <c r="C1881" t="s">
        <v>5084</v>
      </c>
      <c r="D1881">
        <v>54952</v>
      </c>
      <c r="E1881" t="s">
        <v>5085</v>
      </c>
      <c r="F1881" t="s">
        <v>2364</v>
      </c>
      <c r="G1881" t="s">
        <v>2364</v>
      </c>
      <c r="H1881" t="s">
        <v>2365</v>
      </c>
      <c r="I1881" t="s">
        <v>2365</v>
      </c>
      <c r="J1881" t="s">
        <v>2365</v>
      </c>
      <c r="K1881" t="s">
        <v>2365</v>
      </c>
      <c r="L1881">
        <v>3200</v>
      </c>
      <c r="M1881" t="s">
        <v>625</v>
      </c>
      <c r="N1881">
        <v>3205</v>
      </c>
      <c r="O1881" t="s">
        <v>1002</v>
      </c>
      <c r="P1881" t="s">
        <v>2366</v>
      </c>
      <c r="Q1881">
        <v>2010</v>
      </c>
      <c r="R1881" t="s">
        <v>668</v>
      </c>
      <c r="S1881" t="s">
        <v>552</v>
      </c>
      <c r="T1881" t="s">
        <v>2175</v>
      </c>
      <c r="U1881" t="s">
        <v>2366</v>
      </c>
      <c r="V1881" t="s">
        <v>2366</v>
      </c>
      <c r="W1881" t="s">
        <v>2366</v>
      </c>
      <c r="X1881" t="s">
        <v>2366</v>
      </c>
      <c r="Y1881" t="s">
        <v>2365</v>
      </c>
      <c r="Z1881" t="s">
        <v>2365</v>
      </c>
      <c r="AA1881" t="s">
        <v>2365</v>
      </c>
      <c r="AB1881" t="s">
        <v>2365</v>
      </c>
      <c r="AC1881" s="813" t="s">
        <v>2365</v>
      </c>
      <c r="AD1881" s="813" t="s">
        <v>2365</v>
      </c>
      <c r="AE1881" s="813" t="s">
        <v>2365</v>
      </c>
      <c r="AF1881" t="s">
        <v>2365</v>
      </c>
      <c r="AG1881" t="s">
        <v>2365</v>
      </c>
      <c r="AH1881" t="s">
        <v>2365</v>
      </c>
      <c r="AI1881" t="s">
        <v>2365</v>
      </c>
      <c r="AJ1881" t="s">
        <v>2365</v>
      </c>
      <c r="AK1881">
        <v>241</v>
      </c>
      <c r="AL1881" t="s">
        <v>1203</v>
      </c>
      <c r="AM1881">
        <v>241</v>
      </c>
      <c r="AN1881" t="s">
        <v>1203</v>
      </c>
      <c r="AR1881">
        <v>120</v>
      </c>
      <c r="AS1881" t="s">
        <v>1002</v>
      </c>
      <c r="AT1881">
        <v>120</v>
      </c>
      <c r="AU1881" t="s">
        <v>1002</v>
      </c>
      <c r="AV1881" t="s">
        <v>2365</v>
      </c>
      <c r="AW1881" t="s">
        <v>2365</v>
      </c>
      <c r="AX1881" t="s">
        <v>2365</v>
      </c>
      <c r="AY1881" t="s">
        <v>2365</v>
      </c>
      <c r="AZ1881" t="s">
        <v>2365</v>
      </c>
      <c r="BA1881" t="s">
        <v>2365</v>
      </c>
      <c r="BB1881" t="s">
        <v>2365</v>
      </c>
      <c r="BC1881" t="s">
        <v>2365</v>
      </c>
      <c r="BD1881" t="s">
        <v>2366</v>
      </c>
      <c r="BE1881" t="s">
        <v>2365</v>
      </c>
      <c r="BF1881" t="s">
        <v>2365</v>
      </c>
      <c r="BG1881" t="s">
        <v>2365</v>
      </c>
      <c r="BH1881" t="s">
        <v>2365</v>
      </c>
      <c r="BI1881" t="s">
        <v>2366</v>
      </c>
      <c r="BJ1881" t="s">
        <v>2365</v>
      </c>
      <c r="BK1881" t="s">
        <v>2365</v>
      </c>
      <c r="BL1881" t="s">
        <v>2365</v>
      </c>
      <c r="BM1881" t="s">
        <v>2365</v>
      </c>
      <c r="BO1881">
        <v>7</v>
      </c>
      <c r="BP1881">
        <v>71</v>
      </c>
      <c r="BQ1881" t="s">
        <v>2665</v>
      </c>
      <c r="BR1881" t="s">
        <v>1002</v>
      </c>
      <c r="BU1881">
        <v>0</v>
      </c>
      <c r="BV1881">
        <v>0</v>
      </c>
      <c r="BW1881">
        <v>0</v>
      </c>
      <c r="BX1881">
        <v>0</v>
      </c>
      <c r="BY1881">
        <v>0</v>
      </c>
      <c r="BZ1881">
        <v>0</v>
      </c>
      <c r="CA1881">
        <v>0</v>
      </c>
      <c r="CB1881">
        <v>0</v>
      </c>
      <c r="CC1881">
        <v>0</v>
      </c>
      <c r="CD1881">
        <v>0</v>
      </c>
      <c r="CE1881">
        <v>0</v>
      </c>
      <c r="CF1881">
        <v>0</v>
      </c>
      <c r="CG1881">
        <v>0</v>
      </c>
      <c r="CH1881">
        <v>0</v>
      </c>
      <c r="CI1881">
        <v>0</v>
      </c>
      <c r="CJ1881">
        <v>0</v>
      </c>
      <c r="CK1881">
        <v>0</v>
      </c>
      <c r="CL1881">
        <v>0</v>
      </c>
      <c r="CM1881">
        <v>0</v>
      </c>
      <c r="CR1881" t="s">
        <v>2340</v>
      </c>
      <c r="CS1881" s="1369" t="str">
        <f>INDEX([8]Sheet1!$H:$H,MATCH(CR:CR,[8]Sheet1!$AU:$AU,0))</f>
        <v>Disaster Management</v>
      </c>
    </row>
    <row r="1882" spans="1:97" x14ac:dyDescent="0.2">
      <c r="A1882" t="s">
        <v>5086</v>
      </c>
      <c r="B1882">
        <v>1980</v>
      </c>
      <c r="C1882" t="s">
        <v>5086</v>
      </c>
      <c r="D1882">
        <v>54953</v>
      </c>
      <c r="E1882" t="s">
        <v>2437</v>
      </c>
      <c r="F1882" t="s">
        <v>2364</v>
      </c>
      <c r="G1882" t="s">
        <v>2364</v>
      </c>
      <c r="H1882" t="s">
        <v>2365</v>
      </c>
      <c r="I1882" t="s">
        <v>2365</v>
      </c>
      <c r="J1882" t="s">
        <v>2365</v>
      </c>
      <c r="K1882" t="s">
        <v>2365</v>
      </c>
      <c r="L1882">
        <v>3200</v>
      </c>
      <c r="M1882" t="s">
        <v>625</v>
      </c>
      <c r="N1882">
        <v>3205</v>
      </c>
      <c r="O1882" t="s">
        <v>1002</v>
      </c>
      <c r="P1882" t="s">
        <v>1846</v>
      </c>
      <c r="Q1882">
        <v>2010</v>
      </c>
      <c r="R1882" t="s">
        <v>668</v>
      </c>
      <c r="S1882" t="s">
        <v>552</v>
      </c>
      <c r="T1882" t="s">
        <v>2175</v>
      </c>
      <c r="U1882">
        <v>240</v>
      </c>
      <c r="V1882" t="s">
        <v>2389</v>
      </c>
      <c r="W1882">
        <v>240</v>
      </c>
      <c r="X1882" t="s">
        <v>701</v>
      </c>
      <c r="Y1882" t="s">
        <v>2365</v>
      </c>
      <c r="Z1882" t="s">
        <v>2365</v>
      </c>
      <c r="AA1882" t="s">
        <v>2365</v>
      </c>
      <c r="AB1882" t="s">
        <v>2365</v>
      </c>
      <c r="AC1882" s="813" t="s">
        <v>2365</v>
      </c>
      <c r="AD1882" s="813" t="s">
        <v>2365</v>
      </c>
      <c r="AE1882" s="813" t="s">
        <v>2365</v>
      </c>
      <c r="AF1882" t="s">
        <v>2365</v>
      </c>
      <c r="AG1882" t="s">
        <v>2365</v>
      </c>
      <c r="AH1882" t="s">
        <v>2365</v>
      </c>
      <c r="AI1882" t="s">
        <v>2365</v>
      </c>
      <c r="AJ1882" t="s">
        <v>2365</v>
      </c>
      <c r="AK1882">
        <v>241</v>
      </c>
      <c r="AL1882" t="s">
        <v>1203</v>
      </c>
      <c r="AM1882">
        <v>241</v>
      </c>
      <c r="AN1882" t="s">
        <v>1203</v>
      </c>
      <c r="AR1882">
        <v>120</v>
      </c>
      <c r="AS1882" t="s">
        <v>1002</v>
      </c>
      <c r="AT1882">
        <v>120</v>
      </c>
      <c r="AU1882" t="s">
        <v>1002</v>
      </c>
      <c r="AV1882" t="s">
        <v>2365</v>
      </c>
      <c r="AW1882" t="s">
        <v>2365</v>
      </c>
      <c r="AX1882" t="s">
        <v>2365</v>
      </c>
      <c r="AY1882" t="s">
        <v>2365</v>
      </c>
      <c r="AZ1882" t="s">
        <v>2365</v>
      </c>
      <c r="BA1882" t="s">
        <v>2365</v>
      </c>
      <c r="BB1882" t="s">
        <v>2365</v>
      </c>
      <c r="BC1882" t="s">
        <v>2365</v>
      </c>
      <c r="BD1882" t="s">
        <v>2366</v>
      </c>
      <c r="BE1882" t="s">
        <v>2365</v>
      </c>
      <c r="BF1882" t="s">
        <v>2365</v>
      </c>
      <c r="BG1882" t="s">
        <v>2365</v>
      </c>
      <c r="BH1882" t="s">
        <v>2365</v>
      </c>
      <c r="BI1882" t="s">
        <v>2366</v>
      </c>
      <c r="BJ1882" t="s">
        <v>2365</v>
      </c>
      <c r="BK1882" t="s">
        <v>2365</v>
      </c>
      <c r="BL1882" t="s">
        <v>2365</v>
      </c>
      <c r="BM1882" t="s">
        <v>2365</v>
      </c>
      <c r="BO1882">
        <v>7</v>
      </c>
      <c r="BP1882">
        <v>71</v>
      </c>
      <c r="BQ1882" t="s">
        <v>2665</v>
      </c>
      <c r="BR1882" t="s">
        <v>1002</v>
      </c>
      <c r="BU1882">
        <v>3277883</v>
      </c>
      <c r="BV1882">
        <v>-765</v>
      </c>
      <c r="BW1882">
        <v>3277118</v>
      </c>
      <c r="BX1882">
        <v>0</v>
      </c>
      <c r="BY1882">
        <v>3277118</v>
      </c>
      <c r="BZ1882">
        <v>17027000</v>
      </c>
      <c r="CA1882">
        <v>17781000</v>
      </c>
      <c r="CB1882">
        <v>293989.73</v>
      </c>
      <c r="CC1882">
        <v>0</v>
      </c>
      <c r="CD1882">
        <v>486727.25</v>
      </c>
      <c r="CE1882">
        <v>1498361.83</v>
      </c>
      <c r="CF1882">
        <v>312852.74</v>
      </c>
      <c r="CG1882">
        <v>0</v>
      </c>
      <c r="CH1882">
        <v>0</v>
      </c>
      <c r="CI1882">
        <v>0</v>
      </c>
      <c r="CJ1882">
        <v>0</v>
      </c>
      <c r="CK1882">
        <v>0</v>
      </c>
      <c r="CL1882">
        <v>0</v>
      </c>
      <c r="CM1882">
        <v>0</v>
      </c>
      <c r="CR1882" t="s">
        <v>2335</v>
      </c>
      <c r="CS1882" s="1369" t="str">
        <f>INDEX([8]Sheet1!$H:$H,MATCH(CR:CR,[8]Sheet1!$AU:$AU,0))</f>
        <v>Economic Development/Planning</v>
      </c>
    </row>
    <row r="1883" spans="1:97" x14ac:dyDescent="0.2">
      <c r="A1883" t="s">
        <v>5087</v>
      </c>
      <c r="B1883">
        <v>1981</v>
      </c>
      <c r="C1883" t="s">
        <v>5087</v>
      </c>
      <c r="D1883">
        <v>54954</v>
      </c>
      <c r="E1883" t="s">
        <v>5082</v>
      </c>
      <c r="F1883" t="s">
        <v>2364</v>
      </c>
      <c r="G1883" t="s">
        <v>2364</v>
      </c>
      <c r="H1883" t="s">
        <v>2365</v>
      </c>
      <c r="I1883" t="s">
        <v>2365</v>
      </c>
      <c r="J1883" t="s">
        <v>2365</v>
      </c>
      <c r="K1883" t="s">
        <v>2365</v>
      </c>
      <c r="L1883">
        <v>3200</v>
      </c>
      <c r="M1883" t="s">
        <v>625</v>
      </c>
      <c r="N1883">
        <v>3205</v>
      </c>
      <c r="O1883" t="s">
        <v>1002</v>
      </c>
      <c r="P1883" t="s">
        <v>2366</v>
      </c>
      <c r="Q1883">
        <v>2010</v>
      </c>
      <c r="R1883" t="s">
        <v>668</v>
      </c>
      <c r="S1883" t="s">
        <v>552</v>
      </c>
      <c r="T1883" t="s">
        <v>2175</v>
      </c>
      <c r="U1883">
        <v>240</v>
      </c>
      <c r="V1883" t="s">
        <v>2389</v>
      </c>
      <c r="W1883">
        <v>240</v>
      </c>
      <c r="X1883" t="s">
        <v>701</v>
      </c>
      <c r="Y1883" t="s">
        <v>2365</v>
      </c>
      <c r="Z1883" t="s">
        <v>2365</v>
      </c>
      <c r="AA1883" t="s">
        <v>2365</v>
      </c>
      <c r="AB1883" t="s">
        <v>2365</v>
      </c>
      <c r="AC1883" s="813" t="s">
        <v>2365</v>
      </c>
      <c r="AD1883" s="813" t="s">
        <v>2365</v>
      </c>
      <c r="AE1883" s="813" t="s">
        <v>2365</v>
      </c>
      <c r="AF1883" t="s">
        <v>2365</v>
      </c>
      <c r="AG1883" t="s">
        <v>2365</v>
      </c>
      <c r="AH1883" t="s">
        <v>2365</v>
      </c>
      <c r="AI1883" t="s">
        <v>2365</v>
      </c>
      <c r="AJ1883" t="s">
        <v>2365</v>
      </c>
      <c r="AK1883">
        <v>241</v>
      </c>
      <c r="AL1883" t="s">
        <v>1203</v>
      </c>
      <c r="AM1883">
        <v>241</v>
      </c>
      <c r="AN1883" t="s">
        <v>1203</v>
      </c>
      <c r="AR1883">
        <v>120</v>
      </c>
      <c r="AS1883" t="s">
        <v>1002</v>
      </c>
      <c r="AT1883">
        <v>120</v>
      </c>
      <c r="AU1883" t="s">
        <v>1002</v>
      </c>
      <c r="AV1883" t="s">
        <v>2365</v>
      </c>
      <c r="AW1883" t="s">
        <v>2365</v>
      </c>
      <c r="AX1883" t="s">
        <v>2365</v>
      </c>
      <c r="AY1883" t="s">
        <v>2365</v>
      </c>
      <c r="AZ1883" t="s">
        <v>2365</v>
      </c>
      <c r="BA1883" t="s">
        <v>2365</v>
      </c>
      <c r="BB1883" t="s">
        <v>2365</v>
      </c>
      <c r="BC1883" t="s">
        <v>2365</v>
      </c>
      <c r="BD1883" t="s">
        <v>2366</v>
      </c>
      <c r="BE1883" t="s">
        <v>2365</v>
      </c>
      <c r="BF1883" t="s">
        <v>2365</v>
      </c>
      <c r="BG1883" t="s">
        <v>2365</v>
      </c>
      <c r="BH1883" t="s">
        <v>2365</v>
      </c>
      <c r="BI1883" t="s">
        <v>2366</v>
      </c>
      <c r="BJ1883" t="s">
        <v>2365</v>
      </c>
      <c r="BK1883" t="s">
        <v>2365</v>
      </c>
      <c r="BL1883" t="s">
        <v>2365</v>
      </c>
      <c r="BM1883" t="s">
        <v>2365</v>
      </c>
      <c r="BO1883">
        <v>7</v>
      </c>
      <c r="BP1883">
        <v>71</v>
      </c>
      <c r="BQ1883" t="s">
        <v>2665</v>
      </c>
      <c r="BR1883" t="s">
        <v>1002</v>
      </c>
      <c r="BU1883">
        <v>0</v>
      </c>
      <c r="BV1883">
        <v>0</v>
      </c>
      <c r="BW1883">
        <v>0</v>
      </c>
      <c r="BX1883">
        <v>0</v>
      </c>
      <c r="BY1883">
        <v>0</v>
      </c>
      <c r="BZ1883">
        <v>0</v>
      </c>
      <c r="CA1883">
        <v>0</v>
      </c>
      <c r="CB1883">
        <v>0</v>
      </c>
      <c r="CC1883">
        <v>0</v>
      </c>
      <c r="CD1883">
        <v>0</v>
      </c>
      <c r="CE1883">
        <v>0</v>
      </c>
      <c r="CF1883">
        <v>0</v>
      </c>
      <c r="CG1883">
        <v>0</v>
      </c>
      <c r="CH1883">
        <v>0</v>
      </c>
      <c r="CI1883">
        <v>0</v>
      </c>
      <c r="CJ1883">
        <v>0</v>
      </c>
      <c r="CK1883">
        <v>0</v>
      </c>
      <c r="CL1883">
        <v>0</v>
      </c>
      <c r="CM1883">
        <v>0</v>
      </c>
      <c r="CR1883" t="s">
        <v>2335</v>
      </c>
      <c r="CS1883" s="1369" t="str">
        <f>INDEX([8]Sheet1!$H:$H,MATCH(CR:CR,[8]Sheet1!$AU:$AU,0))</f>
        <v>Economic Development/Planning</v>
      </c>
    </row>
    <row r="1884" spans="1:97" x14ac:dyDescent="0.2">
      <c r="A1884" t="s">
        <v>5088</v>
      </c>
      <c r="B1884">
        <v>1982</v>
      </c>
      <c r="C1884" t="s">
        <v>5088</v>
      </c>
      <c r="D1884">
        <v>54955</v>
      </c>
      <c r="E1884" t="s">
        <v>2437</v>
      </c>
      <c r="F1884" t="s">
        <v>2364</v>
      </c>
      <c r="G1884" t="s">
        <v>2364</v>
      </c>
      <c r="H1884" t="s">
        <v>2365</v>
      </c>
      <c r="I1884" t="s">
        <v>2365</v>
      </c>
      <c r="J1884" t="s">
        <v>2365</v>
      </c>
      <c r="K1884" t="s">
        <v>2365</v>
      </c>
      <c r="L1884">
        <v>3200</v>
      </c>
      <c r="M1884" t="s">
        <v>625</v>
      </c>
      <c r="N1884">
        <v>3205</v>
      </c>
      <c r="O1884" t="s">
        <v>1002</v>
      </c>
      <c r="P1884" t="s">
        <v>1846</v>
      </c>
      <c r="Q1884">
        <v>2010</v>
      </c>
      <c r="R1884" t="s">
        <v>668</v>
      </c>
      <c r="S1884" t="s">
        <v>552</v>
      </c>
      <c r="T1884" t="s">
        <v>2175</v>
      </c>
      <c r="U1884">
        <v>240</v>
      </c>
      <c r="V1884" t="s">
        <v>2389</v>
      </c>
      <c r="W1884">
        <v>240</v>
      </c>
      <c r="X1884" t="s">
        <v>701</v>
      </c>
      <c r="Y1884" t="s">
        <v>2365</v>
      </c>
      <c r="Z1884" t="s">
        <v>2365</v>
      </c>
      <c r="AA1884" t="s">
        <v>2365</v>
      </c>
      <c r="AB1884" t="s">
        <v>2365</v>
      </c>
      <c r="AC1884" s="813" t="s">
        <v>2365</v>
      </c>
      <c r="AD1884" s="813" t="s">
        <v>2365</v>
      </c>
      <c r="AE1884" s="813" t="s">
        <v>2365</v>
      </c>
      <c r="AF1884" t="s">
        <v>2365</v>
      </c>
      <c r="AG1884" t="s">
        <v>2365</v>
      </c>
      <c r="AH1884" t="s">
        <v>2365</v>
      </c>
      <c r="AI1884" t="s">
        <v>2365</v>
      </c>
      <c r="AJ1884" t="s">
        <v>2365</v>
      </c>
      <c r="AK1884">
        <v>241</v>
      </c>
      <c r="AL1884" t="s">
        <v>1203</v>
      </c>
      <c r="AM1884">
        <v>241</v>
      </c>
      <c r="AN1884" t="s">
        <v>1203</v>
      </c>
      <c r="AR1884">
        <v>120</v>
      </c>
      <c r="AS1884" t="s">
        <v>1002</v>
      </c>
      <c r="AT1884">
        <v>120</v>
      </c>
      <c r="AU1884" t="s">
        <v>1002</v>
      </c>
      <c r="AV1884" t="s">
        <v>2365</v>
      </c>
      <c r="AW1884" t="s">
        <v>2365</v>
      </c>
      <c r="AX1884" t="s">
        <v>2365</v>
      </c>
      <c r="AY1884" t="s">
        <v>2365</v>
      </c>
      <c r="AZ1884" t="s">
        <v>2365</v>
      </c>
      <c r="BA1884" t="s">
        <v>2365</v>
      </c>
      <c r="BB1884" t="s">
        <v>2365</v>
      </c>
      <c r="BC1884" t="s">
        <v>2365</v>
      </c>
      <c r="BD1884" t="s">
        <v>2366</v>
      </c>
      <c r="BE1884" t="s">
        <v>2365</v>
      </c>
      <c r="BF1884" t="s">
        <v>2365</v>
      </c>
      <c r="BG1884" t="s">
        <v>2365</v>
      </c>
      <c r="BH1884" t="s">
        <v>2365</v>
      </c>
      <c r="BI1884" t="s">
        <v>2366</v>
      </c>
      <c r="BJ1884" t="s">
        <v>2365</v>
      </c>
      <c r="BK1884" t="s">
        <v>2365</v>
      </c>
      <c r="BL1884" t="s">
        <v>2365</v>
      </c>
      <c r="BM1884" t="s">
        <v>2365</v>
      </c>
      <c r="BO1884">
        <v>7</v>
      </c>
      <c r="BP1884">
        <v>71</v>
      </c>
      <c r="BQ1884" t="s">
        <v>2665</v>
      </c>
      <c r="BR1884" t="s">
        <v>1002</v>
      </c>
      <c r="BU1884">
        <v>0</v>
      </c>
      <c r="BV1884">
        <v>0</v>
      </c>
      <c r="BW1884">
        <v>0</v>
      </c>
      <c r="BX1884">
        <v>0</v>
      </c>
      <c r="BY1884">
        <v>0</v>
      </c>
      <c r="BZ1884">
        <v>0</v>
      </c>
      <c r="CA1884">
        <v>0</v>
      </c>
      <c r="CB1884">
        <v>0</v>
      </c>
      <c r="CC1884">
        <v>0</v>
      </c>
      <c r="CD1884">
        <v>0</v>
      </c>
      <c r="CE1884">
        <v>0</v>
      </c>
      <c r="CF1884">
        <v>0</v>
      </c>
      <c r="CG1884">
        <v>0</v>
      </c>
      <c r="CH1884">
        <v>0</v>
      </c>
      <c r="CI1884">
        <v>0</v>
      </c>
      <c r="CJ1884">
        <v>0</v>
      </c>
      <c r="CK1884">
        <v>0</v>
      </c>
      <c r="CL1884">
        <v>0</v>
      </c>
      <c r="CM1884">
        <v>0</v>
      </c>
      <c r="CR1884" t="s">
        <v>2335</v>
      </c>
      <c r="CS1884" s="1369" t="str">
        <f>INDEX([8]Sheet1!$H:$H,MATCH(CR:CR,[8]Sheet1!$AU:$AU,0))</f>
        <v>Economic Development/Planning</v>
      </c>
    </row>
    <row r="1885" spans="1:97" x14ac:dyDescent="0.2">
      <c r="A1885" t="s">
        <v>5089</v>
      </c>
      <c r="B1885">
        <v>1983</v>
      </c>
      <c r="C1885" t="s">
        <v>5089</v>
      </c>
      <c r="D1885">
        <v>54956</v>
      </c>
      <c r="E1885" t="s">
        <v>4819</v>
      </c>
      <c r="F1885" t="s">
        <v>2364</v>
      </c>
      <c r="G1885" t="s">
        <v>2364</v>
      </c>
      <c r="H1885" t="s">
        <v>2365</v>
      </c>
      <c r="I1885" t="s">
        <v>2365</v>
      </c>
      <c r="J1885" t="s">
        <v>2365</v>
      </c>
      <c r="K1885" t="s">
        <v>2365</v>
      </c>
      <c r="L1885">
        <v>3200</v>
      </c>
      <c r="M1885" t="s">
        <v>625</v>
      </c>
      <c r="N1885">
        <v>3205</v>
      </c>
      <c r="O1885" t="s">
        <v>1002</v>
      </c>
      <c r="P1885" t="s">
        <v>2366</v>
      </c>
      <c r="Q1885">
        <v>2010</v>
      </c>
      <c r="R1885" t="s">
        <v>668</v>
      </c>
      <c r="S1885" t="s">
        <v>552</v>
      </c>
      <c r="T1885" t="s">
        <v>2175</v>
      </c>
      <c r="U1885">
        <v>240</v>
      </c>
      <c r="V1885" t="s">
        <v>2389</v>
      </c>
      <c r="W1885">
        <v>240</v>
      </c>
      <c r="X1885" t="s">
        <v>701</v>
      </c>
      <c r="Y1885" t="s">
        <v>2365</v>
      </c>
      <c r="Z1885" t="s">
        <v>2365</v>
      </c>
      <c r="AA1885" t="s">
        <v>2365</v>
      </c>
      <c r="AB1885" t="s">
        <v>2365</v>
      </c>
      <c r="AC1885" s="813" t="s">
        <v>2365</v>
      </c>
      <c r="AD1885" s="813" t="s">
        <v>2365</v>
      </c>
      <c r="AE1885" s="813" t="s">
        <v>2365</v>
      </c>
      <c r="AF1885" t="s">
        <v>2365</v>
      </c>
      <c r="AG1885" t="s">
        <v>2365</v>
      </c>
      <c r="AH1885" t="s">
        <v>2365</v>
      </c>
      <c r="AI1885" t="s">
        <v>2365</v>
      </c>
      <c r="AJ1885" t="s">
        <v>2365</v>
      </c>
      <c r="AK1885">
        <v>241</v>
      </c>
      <c r="AL1885" t="s">
        <v>1203</v>
      </c>
      <c r="AM1885">
        <v>241</v>
      </c>
      <c r="AN1885" t="s">
        <v>1203</v>
      </c>
      <c r="AR1885">
        <v>120</v>
      </c>
      <c r="AS1885" t="s">
        <v>1002</v>
      </c>
      <c r="AT1885">
        <v>120</v>
      </c>
      <c r="AU1885" t="s">
        <v>1002</v>
      </c>
      <c r="AV1885" t="s">
        <v>2365</v>
      </c>
      <c r="AW1885" t="s">
        <v>2365</v>
      </c>
      <c r="AX1885" t="s">
        <v>2365</v>
      </c>
      <c r="AY1885" t="s">
        <v>2365</v>
      </c>
      <c r="AZ1885" t="s">
        <v>2365</v>
      </c>
      <c r="BA1885" t="s">
        <v>2365</v>
      </c>
      <c r="BB1885" t="s">
        <v>2365</v>
      </c>
      <c r="BC1885" t="s">
        <v>2365</v>
      </c>
      <c r="BD1885" t="s">
        <v>2366</v>
      </c>
      <c r="BE1885" t="s">
        <v>2365</v>
      </c>
      <c r="BF1885" t="s">
        <v>2365</v>
      </c>
      <c r="BG1885" t="s">
        <v>2365</v>
      </c>
      <c r="BH1885" t="s">
        <v>2365</v>
      </c>
      <c r="BI1885" t="s">
        <v>2366</v>
      </c>
      <c r="BJ1885" t="s">
        <v>2365</v>
      </c>
      <c r="BK1885" t="s">
        <v>2365</v>
      </c>
      <c r="BL1885" t="s">
        <v>2365</v>
      </c>
      <c r="BM1885" t="s">
        <v>2365</v>
      </c>
      <c r="BO1885">
        <v>7</v>
      </c>
      <c r="BP1885">
        <v>71</v>
      </c>
      <c r="BQ1885" t="s">
        <v>2665</v>
      </c>
      <c r="BR1885" t="s">
        <v>1002</v>
      </c>
      <c r="BU1885">
        <v>0</v>
      </c>
      <c r="BV1885">
        <v>0</v>
      </c>
      <c r="BW1885">
        <v>0</v>
      </c>
      <c r="BX1885">
        <v>0</v>
      </c>
      <c r="BY1885">
        <v>0</v>
      </c>
      <c r="BZ1885">
        <v>0</v>
      </c>
      <c r="CA1885">
        <v>0</v>
      </c>
      <c r="CB1885">
        <v>0</v>
      </c>
      <c r="CC1885">
        <v>0</v>
      </c>
      <c r="CD1885">
        <v>0</v>
      </c>
      <c r="CE1885">
        <v>0</v>
      </c>
      <c r="CF1885">
        <v>0</v>
      </c>
      <c r="CG1885">
        <v>0</v>
      </c>
      <c r="CH1885">
        <v>0</v>
      </c>
      <c r="CI1885">
        <v>0</v>
      </c>
      <c r="CJ1885">
        <v>0</v>
      </c>
      <c r="CK1885">
        <v>0</v>
      </c>
      <c r="CL1885">
        <v>0</v>
      </c>
      <c r="CM1885">
        <v>0</v>
      </c>
      <c r="CR1885" t="s">
        <v>2335</v>
      </c>
      <c r="CS1885" s="1369" t="str">
        <f>INDEX([8]Sheet1!$H:$H,MATCH(CR:CR,[8]Sheet1!$AU:$AU,0))</f>
        <v>Economic Development/Planning</v>
      </c>
    </row>
    <row r="1886" spans="1:97" x14ac:dyDescent="0.2">
      <c r="A1886" t="s">
        <v>5090</v>
      </c>
      <c r="B1886">
        <v>1984</v>
      </c>
      <c r="C1886" t="s">
        <v>5090</v>
      </c>
      <c r="D1886">
        <v>54957</v>
      </c>
      <c r="E1886" t="s">
        <v>5085</v>
      </c>
      <c r="F1886" t="s">
        <v>2364</v>
      </c>
      <c r="G1886" t="s">
        <v>2364</v>
      </c>
      <c r="H1886" t="s">
        <v>2365</v>
      </c>
      <c r="I1886" t="s">
        <v>2365</v>
      </c>
      <c r="J1886" t="s">
        <v>2365</v>
      </c>
      <c r="K1886" t="s">
        <v>2365</v>
      </c>
      <c r="L1886">
        <v>3200</v>
      </c>
      <c r="M1886" t="s">
        <v>625</v>
      </c>
      <c r="N1886">
        <v>3205</v>
      </c>
      <c r="O1886" t="s">
        <v>1002</v>
      </c>
      <c r="P1886" t="s">
        <v>2366</v>
      </c>
      <c r="Q1886">
        <v>2010</v>
      </c>
      <c r="R1886" t="s">
        <v>668</v>
      </c>
      <c r="S1886" t="s">
        <v>552</v>
      </c>
      <c r="T1886" t="s">
        <v>2175</v>
      </c>
      <c r="U1886" t="s">
        <v>2366</v>
      </c>
      <c r="V1886" t="s">
        <v>2366</v>
      </c>
      <c r="W1886" t="s">
        <v>2366</v>
      </c>
      <c r="X1886" t="s">
        <v>2366</v>
      </c>
      <c r="Y1886" t="s">
        <v>2365</v>
      </c>
      <c r="Z1886" t="s">
        <v>2365</v>
      </c>
      <c r="AA1886" t="s">
        <v>2365</v>
      </c>
      <c r="AB1886" t="s">
        <v>2365</v>
      </c>
      <c r="AC1886" s="813" t="s">
        <v>2365</v>
      </c>
      <c r="AD1886" s="813" t="s">
        <v>2365</v>
      </c>
      <c r="AE1886" s="813" t="s">
        <v>2365</v>
      </c>
      <c r="AF1886" t="s">
        <v>2365</v>
      </c>
      <c r="AG1886" t="s">
        <v>2365</v>
      </c>
      <c r="AH1886" t="s">
        <v>2365</v>
      </c>
      <c r="AI1886" t="s">
        <v>2365</v>
      </c>
      <c r="AJ1886" t="s">
        <v>2365</v>
      </c>
      <c r="AK1886">
        <v>241</v>
      </c>
      <c r="AL1886" t="s">
        <v>1203</v>
      </c>
      <c r="AM1886">
        <v>241</v>
      </c>
      <c r="AN1886" t="s">
        <v>1203</v>
      </c>
      <c r="AR1886">
        <v>120</v>
      </c>
      <c r="AS1886" t="s">
        <v>1002</v>
      </c>
      <c r="AT1886">
        <v>120</v>
      </c>
      <c r="AU1886" t="s">
        <v>1002</v>
      </c>
      <c r="AV1886" t="s">
        <v>2365</v>
      </c>
      <c r="AW1886" t="s">
        <v>2365</v>
      </c>
      <c r="AX1886" t="s">
        <v>2365</v>
      </c>
      <c r="AY1886" t="s">
        <v>2365</v>
      </c>
      <c r="AZ1886" t="s">
        <v>2365</v>
      </c>
      <c r="BA1886" t="s">
        <v>2365</v>
      </c>
      <c r="BB1886" t="s">
        <v>2365</v>
      </c>
      <c r="BC1886" t="s">
        <v>2365</v>
      </c>
      <c r="BD1886" t="s">
        <v>2366</v>
      </c>
      <c r="BE1886" t="s">
        <v>2365</v>
      </c>
      <c r="BF1886" t="s">
        <v>2365</v>
      </c>
      <c r="BG1886" t="s">
        <v>2365</v>
      </c>
      <c r="BH1886" t="s">
        <v>2365</v>
      </c>
      <c r="BI1886" t="s">
        <v>2366</v>
      </c>
      <c r="BJ1886" t="s">
        <v>2365</v>
      </c>
      <c r="BK1886" t="s">
        <v>2365</v>
      </c>
      <c r="BL1886" t="s">
        <v>2365</v>
      </c>
      <c r="BM1886" t="s">
        <v>2365</v>
      </c>
      <c r="BO1886">
        <v>7</v>
      </c>
      <c r="BP1886">
        <v>71</v>
      </c>
      <c r="BQ1886" t="s">
        <v>2665</v>
      </c>
      <c r="BR1886" t="s">
        <v>1002</v>
      </c>
      <c r="BU1886">
        <v>0</v>
      </c>
      <c r="BV1886">
        <v>0</v>
      </c>
      <c r="BW1886">
        <v>0</v>
      </c>
      <c r="BX1886">
        <v>0</v>
      </c>
      <c r="BY1886">
        <v>0</v>
      </c>
      <c r="BZ1886">
        <v>0</v>
      </c>
      <c r="CA1886">
        <v>0</v>
      </c>
      <c r="CB1886">
        <v>0</v>
      </c>
      <c r="CC1886">
        <v>0</v>
      </c>
      <c r="CD1886">
        <v>0</v>
      </c>
      <c r="CE1886">
        <v>0</v>
      </c>
      <c r="CF1886">
        <v>0</v>
      </c>
      <c r="CG1886">
        <v>0</v>
      </c>
      <c r="CH1886">
        <v>0</v>
      </c>
      <c r="CI1886">
        <v>0</v>
      </c>
      <c r="CJ1886">
        <v>0</v>
      </c>
      <c r="CK1886">
        <v>0</v>
      </c>
      <c r="CL1886">
        <v>0</v>
      </c>
      <c r="CM1886">
        <v>0</v>
      </c>
      <c r="CR1886" t="s">
        <v>2335</v>
      </c>
      <c r="CS1886" s="1369" t="str">
        <f>INDEX([8]Sheet1!$H:$H,MATCH(CR:CR,[8]Sheet1!$AU:$AU,0))</f>
        <v>Economic Development/Planning</v>
      </c>
    </row>
    <row r="1887" spans="1:97" x14ac:dyDescent="0.2">
      <c r="A1887" t="s">
        <v>5091</v>
      </c>
      <c r="B1887">
        <v>1985</v>
      </c>
      <c r="C1887" t="s">
        <v>5091</v>
      </c>
      <c r="D1887">
        <v>54958</v>
      </c>
      <c r="E1887" t="s">
        <v>4819</v>
      </c>
      <c r="F1887" t="s">
        <v>2364</v>
      </c>
      <c r="G1887" t="s">
        <v>2364</v>
      </c>
      <c r="H1887" t="s">
        <v>2365</v>
      </c>
      <c r="I1887" t="s">
        <v>2365</v>
      </c>
      <c r="J1887" t="s">
        <v>2365</v>
      </c>
      <c r="K1887" t="s">
        <v>2365</v>
      </c>
      <c r="L1887">
        <v>3200</v>
      </c>
      <c r="M1887" t="s">
        <v>625</v>
      </c>
      <c r="N1887">
        <v>3205</v>
      </c>
      <c r="O1887" t="s">
        <v>1002</v>
      </c>
      <c r="P1887" t="s">
        <v>2366</v>
      </c>
      <c r="Q1887">
        <v>2010</v>
      </c>
      <c r="R1887" t="s">
        <v>668</v>
      </c>
      <c r="S1887" t="s">
        <v>552</v>
      </c>
      <c r="T1887" t="s">
        <v>2175</v>
      </c>
      <c r="U1887">
        <v>240</v>
      </c>
      <c r="V1887" t="s">
        <v>2389</v>
      </c>
      <c r="W1887">
        <v>240</v>
      </c>
      <c r="X1887" t="s">
        <v>701</v>
      </c>
      <c r="Y1887" t="s">
        <v>2365</v>
      </c>
      <c r="Z1887" t="s">
        <v>2365</v>
      </c>
      <c r="AA1887" t="s">
        <v>2365</v>
      </c>
      <c r="AB1887" t="s">
        <v>2365</v>
      </c>
      <c r="AC1887" s="813" t="s">
        <v>2365</v>
      </c>
      <c r="AD1887" s="813" t="s">
        <v>2365</v>
      </c>
      <c r="AE1887" s="813" t="s">
        <v>2365</v>
      </c>
      <c r="AF1887" t="s">
        <v>2365</v>
      </c>
      <c r="AG1887" t="s">
        <v>2365</v>
      </c>
      <c r="AH1887" t="s">
        <v>2365</v>
      </c>
      <c r="AI1887" t="s">
        <v>2365</v>
      </c>
      <c r="AJ1887" t="s">
        <v>2365</v>
      </c>
      <c r="AK1887">
        <v>241</v>
      </c>
      <c r="AL1887" t="s">
        <v>1203</v>
      </c>
      <c r="AM1887">
        <v>241</v>
      </c>
      <c r="AN1887" t="s">
        <v>1203</v>
      </c>
      <c r="AR1887">
        <v>790</v>
      </c>
      <c r="AS1887" t="s">
        <v>1622</v>
      </c>
      <c r="AT1887">
        <v>790</v>
      </c>
      <c r="AU1887" t="s">
        <v>1622</v>
      </c>
      <c r="AV1887" t="s">
        <v>2365</v>
      </c>
      <c r="AW1887" t="s">
        <v>2365</v>
      </c>
      <c r="AX1887" t="s">
        <v>2365</v>
      </c>
      <c r="AY1887" t="s">
        <v>2365</v>
      </c>
      <c r="AZ1887" t="s">
        <v>2365</v>
      </c>
      <c r="BA1887" t="s">
        <v>2365</v>
      </c>
      <c r="BB1887" t="s">
        <v>2365</v>
      </c>
      <c r="BC1887" t="s">
        <v>2365</v>
      </c>
      <c r="BD1887" t="s">
        <v>2366</v>
      </c>
      <c r="BE1887" t="s">
        <v>2365</v>
      </c>
      <c r="BF1887" t="s">
        <v>2365</v>
      </c>
      <c r="BG1887" t="s">
        <v>2365</v>
      </c>
      <c r="BH1887" t="s">
        <v>2365</v>
      </c>
      <c r="BI1887" t="s">
        <v>2366</v>
      </c>
      <c r="BJ1887" t="s">
        <v>2365</v>
      </c>
      <c r="BK1887" t="s">
        <v>2365</v>
      </c>
      <c r="BL1887" t="s">
        <v>2365</v>
      </c>
      <c r="BM1887" t="s">
        <v>2365</v>
      </c>
      <c r="BO1887">
        <v>7</v>
      </c>
      <c r="BP1887">
        <v>71</v>
      </c>
      <c r="BQ1887" t="s">
        <v>2665</v>
      </c>
      <c r="BR1887" t="s">
        <v>1002</v>
      </c>
      <c r="BU1887">
        <v>0</v>
      </c>
      <c r="BV1887">
        <v>0</v>
      </c>
      <c r="BW1887" s="1371">
        <v>0</v>
      </c>
      <c r="BX1887" s="1372">
        <v>0</v>
      </c>
      <c r="BY1887">
        <v>0</v>
      </c>
      <c r="BZ1887">
        <v>0</v>
      </c>
      <c r="CA1887">
        <v>0</v>
      </c>
      <c r="CB1887">
        <v>0</v>
      </c>
      <c r="CC1887">
        <v>0</v>
      </c>
      <c r="CD1887">
        <v>0</v>
      </c>
      <c r="CE1887">
        <v>0</v>
      </c>
      <c r="CF1887">
        <v>0</v>
      </c>
      <c r="CG1887">
        <v>0</v>
      </c>
      <c r="CH1887">
        <v>0</v>
      </c>
      <c r="CI1887">
        <v>0</v>
      </c>
      <c r="CJ1887">
        <v>0</v>
      </c>
      <c r="CK1887">
        <v>0</v>
      </c>
      <c r="CL1887">
        <v>0</v>
      </c>
      <c r="CM1887">
        <v>0</v>
      </c>
      <c r="CR1887" t="s">
        <v>2324</v>
      </c>
      <c r="CS1887" s="1369" t="str">
        <f>INDEX([8]Sheet1!$H:$H,MATCH(CR:CR,[8]Sheet1!$AU:$AU,0))</f>
        <v>Finance</v>
      </c>
    </row>
    <row r="1888" spans="1:97" x14ac:dyDescent="0.2">
      <c r="A1888" t="s">
        <v>5092</v>
      </c>
      <c r="B1888">
        <v>1986</v>
      </c>
      <c r="C1888" t="s">
        <v>5092</v>
      </c>
      <c r="D1888">
        <v>54959</v>
      </c>
      <c r="E1888" t="s">
        <v>5085</v>
      </c>
      <c r="F1888" t="s">
        <v>2364</v>
      </c>
      <c r="G1888" t="s">
        <v>2364</v>
      </c>
      <c r="H1888" t="s">
        <v>2365</v>
      </c>
      <c r="I1888" t="s">
        <v>2365</v>
      </c>
      <c r="J1888" t="s">
        <v>2365</v>
      </c>
      <c r="K1888" t="s">
        <v>2365</v>
      </c>
      <c r="L1888">
        <v>3200</v>
      </c>
      <c r="M1888" t="s">
        <v>625</v>
      </c>
      <c r="N1888">
        <v>3205</v>
      </c>
      <c r="O1888" t="s">
        <v>1002</v>
      </c>
      <c r="P1888" t="s">
        <v>2366</v>
      </c>
      <c r="Q1888">
        <v>2010</v>
      </c>
      <c r="R1888" t="s">
        <v>668</v>
      </c>
      <c r="S1888" t="s">
        <v>552</v>
      </c>
      <c r="T1888" t="s">
        <v>2175</v>
      </c>
      <c r="U1888" t="s">
        <v>2366</v>
      </c>
      <c r="V1888" t="s">
        <v>2366</v>
      </c>
      <c r="W1888" t="s">
        <v>2366</v>
      </c>
      <c r="X1888" t="s">
        <v>2366</v>
      </c>
      <c r="Y1888" t="s">
        <v>2365</v>
      </c>
      <c r="Z1888" t="s">
        <v>2365</v>
      </c>
      <c r="AA1888" t="s">
        <v>2365</v>
      </c>
      <c r="AB1888" t="s">
        <v>2365</v>
      </c>
      <c r="AC1888" s="813" t="s">
        <v>2365</v>
      </c>
      <c r="AD1888" s="813" t="s">
        <v>2365</v>
      </c>
      <c r="AE1888" s="813" t="s">
        <v>2365</v>
      </c>
      <c r="AF1888" t="s">
        <v>2365</v>
      </c>
      <c r="AG1888" t="s">
        <v>2365</v>
      </c>
      <c r="AH1888" t="s">
        <v>2365</v>
      </c>
      <c r="AI1888" t="s">
        <v>2365</v>
      </c>
      <c r="AJ1888" t="s">
        <v>2365</v>
      </c>
      <c r="AK1888">
        <v>241</v>
      </c>
      <c r="AL1888" t="s">
        <v>1203</v>
      </c>
      <c r="AM1888">
        <v>241</v>
      </c>
      <c r="AN1888" t="s">
        <v>1203</v>
      </c>
      <c r="AR1888">
        <v>790</v>
      </c>
      <c r="AS1888" t="s">
        <v>1622</v>
      </c>
      <c r="AT1888">
        <v>790</v>
      </c>
      <c r="AU1888" t="s">
        <v>1622</v>
      </c>
      <c r="AV1888" t="s">
        <v>2365</v>
      </c>
      <c r="AW1888" t="s">
        <v>2365</v>
      </c>
      <c r="AX1888" t="s">
        <v>2365</v>
      </c>
      <c r="AY1888" t="s">
        <v>2365</v>
      </c>
      <c r="AZ1888" t="s">
        <v>2365</v>
      </c>
      <c r="BA1888" t="s">
        <v>2365</v>
      </c>
      <c r="BB1888" t="s">
        <v>2365</v>
      </c>
      <c r="BC1888" t="s">
        <v>2365</v>
      </c>
      <c r="BD1888" t="s">
        <v>2366</v>
      </c>
      <c r="BE1888" t="s">
        <v>2365</v>
      </c>
      <c r="BF1888" t="s">
        <v>2365</v>
      </c>
      <c r="BG1888" t="s">
        <v>2365</v>
      </c>
      <c r="BH1888" t="s">
        <v>2365</v>
      </c>
      <c r="BI1888" t="s">
        <v>2366</v>
      </c>
      <c r="BJ1888" t="s">
        <v>2365</v>
      </c>
      <c r="BK1888" t="s">
        <v>2365</v>
      </c>
      <c r="BL1888" t="s">
        <v>2365</v>
      </c>
      <c r="BM1888" t="s">
        <v>2365</v>
      </c>
      <c r="BO1888">
        <v>7</v>
      </c>
      <c r="BP1888">
        <v>71</v>
      </c>
      <c r="BQ1888" t="s">
        <v>2665</v>
      </c>
      <c r="BR1888" t="s">
        <v>1002</v>
      </c>
      <c r="BU1888">
        <v>0</v>
      </c>
      <c r="BV1888">
        <v>0</v>
      </c>
      <c r="BW1888">
        <v>0</v>
      </c>
      <c r="BX1888">
        <v>0</v>
      </c>
      <c r="BY1888">
        <v>0</v>
      </c>
      <c r="BZ1888">
        <v>0</v>
      </c>
      <c r="CA1888">
        <v>0</v>
      </c>
      <c r="CB1888">
        <v>0</v>
      </c>
      <c r="CC1888">
        <v>0</v>
      </c>
      <c r="CD1888">
        <v>0</v>
      </c>
      <c r="CE1888">
        <v>0</v>
      </c>
      <c r="CF1888">
        <v>0</v>
      </c>
      <c r="CG1888">
        <v>0</v>
      </c>
      <c r="CH1888">
        <v>0</v>
      </c>
      <c r="CI1888">
        <v>0</v>
      </c>
      <c r="CJ1888">
        <v>0</v>
      </c>
      <c r="CK1888">
        <v>0</v>
      </c>
      <c r="CL1888">
        <v>0</v>
      </c>
      <c r="CM1888">
        <v>0</v>
      </c>
      <c r="CR1888" t="s">
        <v>2320</v>
      </c>
      <c r="CS1888" s="1369" t="str">
        <f>INDEX([8]Sheet1!$H:$H,MATCH(CR:CR,[8]Sheet1!$AU:$AU,0))</f>
        <v>Administrative and Corporate Support</v>
      </c>
    </row>
    <row r="1889" spans="1:97" x14ac:dyDescent="0.2">
      <c r="A1889" t="s">
        <v>5093</v>
      </c>
      <c r="B1889">
        <v>1987</v>
      </c>
      <c r="C1889" t="s">
        <v>5093</v>
      </c>
      <c r="D1889">
        <v>54960</v>
      </c>
      <c r="E1889" t="s">
        <v>2437</v>
      </c>
      <c r="F1889" t="s">
        <v>2364</v>
      </c>
      <c r="G1889" t="s">
        <v>2364</v>
      </c>
      <c r="H1889" t="s">
        <v>2365</v>
      </c>
      <c r="I1889" t="s">
        <v>2365</v>
      </c>
      <c r="J1889" t="s">
        <v>2365</v>
      </c>
      <c r="K1889" t="s">
        <v>2365</v>
      </c>
      <c r="L1889">
        <v>3200</v>
      </c>
      <c r="M1889" t="s">
        <v>625</v>
      </c>
      <c r="N1889">
        <v>3205</v>
      </c>
      <c r="O1889" t="s">
        <v>1002</v>
      </c>
      <c r="P1889" t="s">
        <v>1846</v>
      </c>
      <c r="Q1889">
        <v>2010</v>
      </c>
      <c r="R1889" t="s">
        <v>668</v>
      </c>
      <c r="S1889" t="s">
        <v>552</v>
      </c>
      <c r="T1889" t="s">
        <v>2175</v>
      </c>
      <c r="U1889">
        <v>240</v>
      </c>
      <c r="V1889" t="s">
        <v>2389</v>
      </c>
      <c r="W1889">
        <v>240</v>
      </c>
      <c r="X1889" t="s">
        <v>701</v>
      </c>
      <c r="Y1889" t="s">
        <v>2365</v>
      </c>
      <c r="Z1889" t="s">
        <v>2365</v>
      </c>
      <c r="AA1889" t="s">
        <v>2365</v>
      </c>
      <c r="AB1889" t="s">
        <v>2365</v>
      </c>
      <c r="AC1889" s="813" t="s">
        <v>2365</v>
      </c>
      <c r="AD1889" s="813" t="s">
        <v>2365</v>
      </c>
      <c r="AE1889" s="813" t="s">
        <v>2365</v>
      </c>
      <c r="AF1889" t="s">
        <v>2365</v>
      </c>
      <c r="AG1889" t="s">
        <v>2365</v>
      </c>
      <c r="AH1889" t="s">
        <v>2365</v>
      </c>
      <c r="AI1889" t="s">
        <v>2365</v>
      </c>
      <c r="AJ1889" t="s">
        <v>2365</v>
      </c>
      <c r="AK1889">
        <v>241</v>
      </c>
      <c r="AL1889" t="s">
        <v>1203</v>
      </c>
      <c r="AM1889">
        <v>241</v>
      </c>
      <c r="AN1889" t="s">
        <v>1203</v>
      </c>
      <c r="AR1889">
        <v>790</v>
      </c>
      <c r="AS1889" t="s">
        <v>1622</v>
      </c>
      <c r="AT1889">
        <v>790</v>
      </c>
      <c r="AU1889" t="s">
        <v>1622</v>
      </c>
      <c r="AV1889" t="s">
        <v>2365</v>
      </c>
      <c r="AW1889" t="s">
        <v>2365</v>
      </c>
      <c r="AX1889" t="s">
        <v>2365</v>
      </c>
      <c r="AY1889" t="s">
        <v>2365</v>
      </c>
      <c r="AZ1889" t="s">
        <v>2365</v>
      </c>
      <c r="BA1889" t="s">
        <v>2365</v>
      </c>
      <c r="BB1889" t="s">
        <v>2365</v>
      </c>
      <c r="BC1889" t="s">
        <v>2365</v>
      </c>
      <c r="BD1889" t="s">
        <v>2366</v>
      </c>
      <c r="BE1889" t="s">
        <v>2365</v>
      </c>
      <c r="BF1889" t="s">
        <v>2365</v>
      </c>
      <c r="BG1889" t="s">
        <v>2365</v>
      </c>
      <c r="BH1889" t="s">
        <v>2365</v>
      </c>
      <c r="BI1889" t="s">
        <v>2366</v>
      </c>
      <c r="BJ1889" t="s">
        <v>2365</v>
      </c>
      <c r="BK1889" t="s">
        <v>2365</v>
      </c>
      <c r="BL1889" t="s">
        <v>2365</v>
      </c>
      <c r="BM1889" t="s">
        <v>2365</v>
      </c>
      <c r="BO1889">
        <v>7</v>
      </c>
      <c r="BP1889">
        <v>71</v>
      </c>
      <c r="BQ1889" t="s">
        <v>2665</v>
      </c>
      <c r="BR1889" t="s">
        <v>1002</v>
      </c>
      <c r="BU1889">
        <v>0</v>
      </c>
      <c r="BV1889">
        <v>0</v>
      </c>
      <c r="BW1889">
        <v>0</v>
      </c>
      <c r="BX1889">
        <v>0</v>
      </c>
      <c r="BY1889">
        <v>0</v>
      </c>
      <c r="BZ1889">
        <v>0</v>
      </c>
      <c r="CA1889">
        <v>0</v>
      </c>
      <c r="CB1889">
        <v>0</v>
      </c>
      <c r="CC1889">
        <v>0</v>
      </c>
      <c r="CD1889">
        <v>0</v>
      </c>
      <c r="CE1889">
        <v>0</v>
      </c>
      <c r="CF1889">
        <v>0</v>
      </c>
      <c r="CG1889">
        <v>0</v>
      </c>
      <c r="CH1889">
        <v>0</v>
      </c>
      <c r="CI1889">
        <v>0</v>
      </c>
      <c r="CJ1889">
        <v>0</v>
      </c>
      <c r="CK1889">
        <v>0</v>
      </c>
      <c r="CL1889">
        <v>0</v>
      </c>
      <c r="CM1889">
        <v>0</v>
      </c>
      <c r="CR1889" t="s">
        <v>2320</v>
      </c>
      <c r="CS1889" s="1369" t="str">
        <f>INDEX([8]Sheet1!$H:$H,MATCH(CR:CR,[8]Sheet1!$AU:$AU,0))</f>
        <v>Administrative and Corporate Support</v>
      </c>
    </row>
    <row r="1890" spans="1:97" x14ac:dyDescent="0.2">
      <c r="A1890" t="s">
        <v>5094</v>
      </c>
      <c r="B1890">
        <v>1988</v>
      </c>
      <c r="C1890" t="s">
        <v>5094</v>
      </c>
      <c r="D1890">
        <v>54961</v>
      </c>
      <c r="E1890" t="s">
        <v>5082</v>
      </c>
      <c r="F1890" t="s">
        <v>2364</v>
      </c>
      <c r="G1890" t="s">
        <v>2364</v>
      </c>
      <c r="H1890" t="s">
        <v>2365</v>
      </c>
      <c r="I1890" t="s">
        <v>2365</v>
      </c>
      <c r="J1890" t="s">
        <v>2365</v>
      </c>
      <c r="K1890" t="s">
        <v>2365</v>
      </c>
      <c r="L1890">
        <v>3200</v>
      </c>
      <c r="M1890" t="s">
        <v>625</v>
      </c>
      <c r="N1890">
        <v>3205</v>
      </c>
      <c r="O1890" t="s">
        <v>1002</v>
      </c>
      <c r="P1890" t="s">
        <v>2366</v>
      </c>
      <c r="Q1890">
        <v>2010</v>
      </c>
      <c r="R1890" t="s">
        <v>668</v>
      </c>
      <c r="S1890" t="s">
        <v>552</v>
      </c>
      <c r="T1890" t="s">
        <v>2175</v>
      </c>
      <c r="U1890">
        <v>240</v>
      </c>
      <c r="V1890" t="s">
        <v>2389</v>
      </c>
      <c r="W1890">
        <v>240</v>
      </c>
      <c r="X1890" t="s">
        <v>701</v>
      </c>
      <c r="Y1890" t="s">
        <v>2365</v>
      </c>
      <c r="Z1890" t="s">
        <v>2365</v>
      </c>
      <c r="AA1890" t="s">
        <v>2365</v>
      </c>
      <c r="AB1890" t="s">
        <v>2365</v>
      </c>
      <c r="AC1890" s="813" t="s">
        <v>2365</v>
      </c>
      <c r="AD1890" s="813" t="s">
        <v>2365</v>
      </c>
      <c r="AE1890" s="813" t="s">
        <v>2365</v>
      </c>
      <c r="AF1890" t="s">
        <v>2365</v>
      </c>
      <c r="AG1890" t="s">
        <v>2365</v>
      </c>
      <c r="AH1890" t="s">
        <v>2365</v>
      </c>
      <c r="AI1890" t="s">
        <v>2365</v>
      </c>
      <c r="AJ1890" t="s">
        <v>2365</v>
      </c>
      <c r="AK1890" s="1373">
        <v>241</v>
      </c>
      <c r="AL1890" t="s">
        <v>1203</v>
      </c>
      <c r="AM1890">
        <v>241</v>
      </c>
      <c r="AN1890" t="s">
        <v>1203</v>
      </c>
      <c r="AR1890">
        <v>790</v>
      </c>
      <c r="AS1890" t="s">
        <v>1622</v>
      </c>
      <c r="AT1890">
        <v>790</v>
      </c>
      <c r="AU1890" t="s">
        <v>1622</v>
      </c>
      <c r="AV1890" t="s">
        <v>2365</v>
      </c>
      <c r="AW1890" t="s">
        <v>2365</v>
      </c>
      <c r="AX1890" t="s">
        <v>2365</v>
      </c>
      <c r="AY1890" t="s">
        <v>2365</v>
      </c>
      <c r="AZ1890" t="s">
        <v>2365</v>
      </c>
      <c r="BA1890" t="s">
        <v>2365</v>
      </c>
      <c r="BB1890" t="s">
        <v>2365</v>
      </c>
      <c r="BC1890" t="s">
        <v>2365</v>
      </c>
      <c r="BD1890" t="s">
        <v>2366</v>
      </c>
      <c r="BE1890" t="s">
        <v>2365</v>
      </c>
      <c r="BF1890" t="s">
        <v>2365</v>
      </c>
      <c r="BG1890" t="s">
        <v>2365</v>
      </c>
      <c r="BH1890" t="s">
        <v>2365</v>
      </c>
      <c r="BI1890" t="s">
        <v>2366</v>
      </c>
      <c r="BJ1890" t="s">
        <v>2365</v>
      </c>
      <c r="BK1890" t="s">
        <v>2365</v>
      </c>
      <c r="BL1890" t="s">
        <v>2365</v>
      </c>
      <c r="BM1890" t="s">
        <v>2365</v>
      </c>
      <c r="BO1890">
        <v>7</v>
      </c>
      <c r="BP1890">
        <v>71</v>
      </c>
      <c r="BQ1890" t="s">
        <v>2665</v>
      </c>
      <c r="BR1890" t="s">
        <v>1002</v>
      </c>
      <c r="BU1890">
        <v>0</v>
      </c>
      <c r="BV1890">
        <v>0</v>
      </c>
      <c r="BW1890">
        <v>0</v>
      </c>
      <c r="BX1890">
        <v>0</v>
      </c>
      <c r="BY1890">
        <v>0</v>
      </c>
      <c r="BZ1890">
        <v>0</v>
      </c>
      <c r="CA1890">
        <v>0</v>
      </c>
      <c r="CB1890">
        <v>0</v>
      </c>
      <c r="CC1890">
        <v>0</v>
      </c>
      <c r="CD1890">
        <v>0</v>
      </c>
      <c r="CE1890">
        <v>0</v>
      </c>
      <c r="CF1890">
        <v>0</v>
      </c>
      <c r="CG1890">
        <v>0</v>
      </c>
      <c r="CH1890">
        <v>0</v>
      </c>
      <c r="CI1890">
        <v>0</v>
      </c>
      <c r="CJ1890">
        <v>0</v>
      </c>
      <c r="CK1890">
        <v>0</v>
      </c>
      <c r="CL1890">
        <v>0</v>
      </c>
      <c r="CM1890">
        <v>0</v>
      </c>
      <c r="CR1890" t="s">
        <v>2320</v>
      </c>
      <c r="CS1890" s="1369" t="str">
        <f>INDEX([8]Sheet1!$H:$H,MATCH(CR:CR,[8]Sheet1!$AU:$AU,0))</f>
        <v>Administrative and Corporate Support</v>
      </c>
    </row>
    <row r="1891" spans="1:97" x14ac:dyDescent="0.2">
      <c r="A1891" t="s">
        <v>5095</v>
      </c>
      <c r="B1891">
        <v>1989</v>
      </c>
      <c r="C1891" t="s">
        <v>5095</v>
      </c>
      <c r="D1891">
        <v>54962</v>
      </c>
      <c r="E1891" t="s">
        <v>2437</v>
      </c>
      <c r="F1891" t="s">
        <v>2364</v>
      </c>
      <c r="G1891" t="s">
        <v>2364</v>
      </c>
      <c r="H1891" t="s">
        <v>2365</v>
      </c>
      <c r="I1891" t="s">
        <v>2365</v>
      </c>
      <c r="J1891" t="s">
        <v>2365</v>
      </c>
      <c r="K1891" t="s">
        <v>2365</v>
      </c>
      <c r="L1891">
        <v>2100</v>
      </c>
      <c r="M1891" t="s">
        <v>618</v>
      </c>
      <c r="N1891">
        <v>2106</v>
      </c>
      <c r="O1891" t="s">
        <v>1499</v>
      </c>
      <c r="P1891" t="s">
        <v>1846</v>
      </c>
      <c r="Q1891">
        <v>2010</v>
      </c>
      <c r="R1891" t="s">
        <v>668</v>
      </c>
      <c r="S1891" t="s">
        <v>552</v>
      </c>
      <c r="T1891" t="s">
        <v>2175</v>
      </c>
      <c r="U1891">
        <v>240</v>
      </c>
      <c r="V1891" t="s">
        <v>2389</v>
      </c>
      <c r="W1891">
        <v>240</v>
      </c>
      <c r="X1891" t="s">
        <v>701</v>
      </c>
      <c r="Y1891" t="s">
        <v>2365</v>
      </c>
      <c r="Z1891" t="s">
        <v>2365</v>
      </c>
      <c r="AA1891" t="s">
        <v>2365</v>
      </c>
      <c r="AB1891" t="s">
        <v>2365</v>
      </c>
      <c r="AC1891" s="813" t="s">
        <v>2365</v>
      </c>
      <c r="AD1891" s="813" t="s">
        <v>2365</v>
      </c>
      <c r="AE1891" s="813" t="s">
        <v>2365</v>
      </c>
      <c r="AF1891" t="s">
        <v>2365</v>
      </c>
      <c r="AG1891" t="s">
        <v>2365</v>
      </c>
      <c r="AH1891" t="s">
        <v>2365</v>
      </c>
      <c r="AI1891" t="s">
        <v>2365</v>
      </c>
      <c r="AJ1891" t="s">
        <v>2365</v>
      </c>
      <c r="AK1891" s="1373">
        <v>241</v>
      </c>
      <c r="AL1891" t="s">
        <v>1203</v>
      </c>
      <c r="AM1891">
        <v>241</v>
      </c>
      <c r="AN1891" t="s">
        <v>1203</v>
      </c>
      <c r="AR1891">
        <v>790</v>
      </c>
      <c r="AS1891" t="s">
        <v>1622</v>
      </c>
      <c r="AT1891">
        <v>790</v>
      </c>
      <c r="AU1891" t="s">
        <v>1622</v>
      </c>
      <c r="AV1891" t="s">
        <v>2365</v>
      </c>
      <c r="AW1891" t="s">
        <v>2365</v>
      </c>
      <c r="AX1891" t="s">
        <v>2365</v>
      </c>
      <c r="AY1891" t="s">
        <v>2365</v>
      </c>
      <c r="AZ1891" t="s">
        <v>2365</v>
      </c>
      <c r="BA1891" t="s">
        <v>2365</v>
      </c>
      <c r="BB1891" t="s">
        <v>2365</v>
      </c>
      <c r="BC1891" t="s">
        <v>2365</v>
      </c>
      <c r="BD1891" t="s">
        <v>2366</v>
      </c>
      <c r="BE1891" t="s">
        <v>2365</v>
      </c>
      <c r="BF1891" t="s">
        <v>2365</v>
      </c>
      <c r="BG1891" t="s">
        <v>2365</v>
      </c>
      <c r="BH1891" t="s">
        <v>2365</v>
      </c>
      <c r="BI1891" t="s">
        <v>2366</v>
      </c>
      <c r="BJ1891" t="s">
        <v>2365</v>
      </c>
      <c r="BK1891" t="s">
        <v>2365</v>
      </c>
      <c r="BL1891" t="s">
        <v>2365</v>
      </c>
      <c r="BM1891" t="s">
        <v>2365</v>
      </c>
      <c r="BO1891">
        <v>5</v>
      </c>
      <c r="BP1891">
        <v>53</v>
      </c>
      <c r="BQ1891" t="s">
        <v>2438</v>
      </c>
      <c r="BR1891" t="s">
        <v>1499</v>
      </c>
      <c r="BU1891">
        <v>2953993</v>
      </c>
      <c r="BV1891">
        <v>0</v>
      </c>
      <c r="BW1891">
        <v>2953993</v>
      </c>
      <c r="BX1891">
        <v>-196000</v>
      </c>
      <c r="BY1891">
        <v>2757993</v>
      </c>
      <c r="BZ1891">
        <v>0</v>
      </c>
      <c r="CA1891">
        <v>0</v>
      </c>
      <c r="CB1891">
        <v>0</v>
      </c>
      <c r="CC1891">
        <v>0</v>
      </c>
      <c r="CD1891">
        <v>0</v>
      </c>
      <c r="CE1891">
        <v>0</v>
      </c>
      <c r="CF1891">
        <v>0</v>
      </c>
      <c r="CG1891">
        <v>0</v>
      </c>
      <c r="CH1891">
        <v>0</v>
      </c>
      <c r="CI1891">
        <v>162784.44</v>
      </c>
      <c r="CJ1891">
        <v>0</v>
      </c>
      <c r="CK1891">
        <v>0</v>
      </c>
      <c r="CL1891">
        <v>0</v>
      </c>
      <c r="CM1891">
        <v>0</v>
      </c>
      <c r="CR1891" t="s">
        <v>2320</v>
      </c>
      <c r="CS1891" s="1369" t="str">
        <f>INDEX([8]Sheet1!$H:$H,MATCH(CR:CR,[8]Sheet1!$AU:$AU,0))</f>
        <v>Administrative and Corporate Support</v>
      </c>
    </row>
    <row r="1892" spans="1:97" x14ac:dyDescent="0.2">
      <c r="A1892" t="s">
        <v>5096</v>
      </c>
      <c r="B1892">
        <v>1990</v>
      </c>
      <c r="C1892" t="s">
        <v>5096</v>
      </c>
      <c r="D1892">
        <v>54963</v>
      </c>
      <c r="E1892" t="s">
        <v>5082</v>
      </c>
      <c r="F1892" t="s">
        <v>2364</v>
      </c>
      <c r="G1892" t="s">
        <v>2364</v>
      </c>
      <c r="H1892" t="s">
        <v>2365</v>
      </c>
      <c r="I1892" t="s">
        <v>2365</v>
      </c>
      <c r="J1892" t="s">
        <v>2365</v>
      </c>
      <c r="K1892" t="s">
        <v>2365</v>
      </c>
      <c r="L1892">
        <v>2100</v>
      </c>
      <c r="M1892" t="s">
        <v>618</v>
      </c>
      <c r="N1892">
        <v>2106</v>
      </c>
      <c r="O1892" t="s">
        <v>1499</v>
      </c>
      <c r="P1892" t="s">
        <v>2366</v>
      </c>
      <c r="Q1892">
        <v>2010</v>
      </c>
      <c r="R1892" t="s">
        <v>668</v>
      </c>
      <c r="S1892" t="s">
        <v>552</v>
      </c>
      <c r="T1892" t="s">
        <v>2175</v>
      </c>
      <c r="U1892">
        <v>240</v>
      </c>
      <c r="V1892" t="s">
        <v>2389</v>
      </c>
      <c r="W1892">
        <v>240</v>
      </c>
      <c r="X1892" t="s">
        <v>701</v>
      </c>
      <c r="Y1892" t="s">
        <v>2365</v>
      </c>
      <c r="Z1892" t="s">
        <v>2365</v>
      </c>
      <c r="AA1892" t="s">
        <v>2365</v>
      </c>
      <c r="AB1892" t="s">
        <v>2365</v>
      </c>
      <c r="AC1892" s="813" t="s">
        <v>2365</v>
      </c>
      <c r="AD1892" s="813" t="s">
        <v>2365</v>
      </c>
      <c r="AE1892" s="813" t="s">
        <v>2365</v>
      </c>
      <c r="AF1892" t="s">
        <v>2365</v>
      </c>
      <c r="AG1892" t="s">
        <v>2365</v>
      </c>
      <c r="AH1892" t="s">
        <v>2365</v>
      </c>
      <c r="AI1892" t="s">
        <v>2365</v>
      </c>
      <c r="AJ1892" t="s">
        <v>2365</v>
      </c>
      <c r="AK1892" s="1373">
        <v>241</v>
      </c>
      <c r="AL1892" t="s">
        <v>1203</v>
      </c>
      <c r="AM1892">
        <v>241</v>
      </c>
      <c r="AN1892" t="s">
        <v>1203</v>
      </c>
      <c r="AR1892">
        <v>790</v>
      </c>
      <c r="AS1892" t="s">
        <v>1622</v>
      </c>
      <c r="AT1892">
        <v>790</v>
      </c>
      <c r="AU1892" t="s">
        <v>1622</v>
      </c>
      <c r="AV1892" t="s">
        <v>2365</v>
      </c>
      <c r="AW1892" t="s">
        <v>2365</v>
      </c>
      <c r="AX1892" t="s">
        <v>2365</v>
      </c>
      <c r="AY1892" t="s">
        <v>2365</v>
      </c>
      <c r="AZ1892" t="s">
        <v>2365</v>
      </c>
      <c r="BA1892" t="s">
        <v>2365</v>
      </c>
      <c r="BB1892" t="s">
        <v>2365</v>
      </c>
      <c r="BC1892" t="s">
        <v>2365</v>
      </c>
      <c r="BD1892" t="s">
        <v>2366</v>
      </c>
      <c r="BE1892" t="s">
        <v>2365</v>
      </c>
      <c r="BF1892" t="s">
        <v>2365</v>
      </c>
      <c r="BG1892" t="s">
        <v>2365</v>
      </c>
      <c r="BH1892" t="s">
        <v>2365</v>
      </c>
      <c r="BI1892" t="s">
        <v>2366</v>
      </c>
      <c r="BJ1892" t="s">
        <v>2365</v>
      </c>
      <c r="BK1892" t="s">
        <v>2365</v>
      </c>
      <c r="BL1892" t="s">
        <v>2365</v>
      </c>
      <c r="BM1892" t="s">
        <v>2365</v>
      </c>
      <c r="BO1892">
        <v>5</v>
      </c>
      <c r="BP1892">
        <v>53</v>
      </c>
      <c r="BQ1892" t="s">
        <v>2438</v>
      </c>
      <c r="BR1892" t="s">
        <v>1499</v>
      </c>
      <c r="BU1892">
        <v>0</v>
      </c>
      <c r="BV1892">
        <v>0</v>
      </c>
      <c r="BW1892">
        <v>0</v>
      </c>
      <c r="BX1892">
        <v>0</v>
      </c>
      <c r="BY1892">
        <v>0</v>
      </c>
      <c r="BZ1892">
        <v>0</v>
      </c>
      <c r="CA1892">
        <v>0</v>
      </c>
      <c r="CB1892">
        <v>0</v>
      </c>
      <c r="CC1892">
        <v>0</v>
      </c>
      <c r="CD1892">
        <v>0</v>
      </c>
      <c r="CE1892">
        <v>0</v>
      </c>
      <c r="CF1892">
        <v>0</v>
      </c>
      <c r="CG1892">
        <v>0</v>
      </c>
      <c r="CH1892">
        <v>0</v>
      </c>
      <c r="CI1892">
        <v>772793.87</v>
      </c>
      <c r="CJ1892">
        <v>0</v>
      </c>
      <c r="CK1892">
        <v>0</v>
      </c>
      <c r="CL1892">
        <v>0</v>
      </c>
      <c r="CM1892">
        <v>0</v>
      </c>
      <c r="CR1892" t="s">
        <v>2320</v>
      </c>
      <c r="CS1892" s="1369" t="str">
        <f>INDEX([8]Sheet1!$H:$H,MATCH(CR:CR,[8]Sheet1!$AU:$AU,0))</f>
        <v>Administrative and Corporate Support</v>
      </c>
    </row>
    <row r="1893" spans="1:97" x14ac:dyDescent="0.2">
      <c r="A1893" t="s">
        <v>5097</v>
      </c>
      <c r="B1893">
        <v>1991</v>
      </c>
      <c r="C1893" t="s">
        <v>5097</v>
      </c>
      <c r="D1893">
        <v>54964</v>
      </c>
      <c r="E1893" t="s">
        <v>4819</v>
      </c>
      <c r="F1893" t="s">
        <v>2364</v>
      </c>
      <c r="G1893" t="s">
        <v>2364</v>
      </c>
      <c r="H1893" t="s">
        <v>2365</v>
      </c>
      <c r="I1893" t="s">
        <v>2365</v>
      </c>
      <c r="J1893" t="s">
        <v>2365</v>
      </c>
      <c r="K1893" t="s">
        <v>2365</v>
      </c>
      <c r="L1893">
        <v>2100</v>
      </c>
      <c r="M1893" t="s">
        <v>618</v>
      </c>
      <c r="N1893">
        <v>2106</v>
      </c>
      <c r="O1893" t="s">
        <v>1499</v>
      </c>
      <c r="P1893" t="s">
        <v>2366</v>
      </c>
      <c r="Q1893">
        <v>2010</v>
      </c>
      <c r="R1893" t="s">
        <v>668</v>
      </c>
      <c r="S1893" t="s">
        <v>552</v>
      </c>
      <c r="T1893" t="s">
        <v>2175</v>
      </c>
      <c r="U1893">
        <v>240</v>
      </c>
      <c r="V1893" t="s">
        <v>2389</v>
      </c>
      <c r="W1893">
        <v>240</v>
      </c>
      <c r="X1893" t="s">
        <v>701</v>
      </c>
      <c r="Y1893" t="s">
        <v>2365</v>
      </c>
      <c r="Z1893" t="s">
        <v>2365</v>
      </c>
      <c r="AA1893" t="s">
        <v>2365</v>
      </c>
      <c r="AB1893" t="s">
        <v>2365</v>
      </c>
      <c r="AC1893" s="813" t="s">
        <v>2365</v>
      </c>
      <c r="AD1893" s="813" t="s">
        <v>2365</v>
      </c>
      <c r="AE1893" s="813" t="s">
        <v>2365</v>
      </c>
      <c r="AF1893" t="s">
        <v>2365</v>
      </c>
      <c r="AG1893" t="s">
        <v>2365</v>
      </c>
      <c r="AH1893" t="s">
        <v>2365</v>
      </c>
      <c r="AI1893" t="s">
        <v>2365</v>
      </c>
      <c r="AJ1893" t="s">
        <v>2365</v>
      </c>
      <c r="AK1893" s="1373">
        <v>241</v>
      </c>
      <c r="AL1893" t="s">
        <v>1203</v>
      </c>
      <c r="AM1893">
        <v>241</v>
      </c>
      <c r="AN1893" t="s">
        <v>1203</v>
      </c>
      <c r="AR1893">
        <v>790</v>
      </c>
      <c r="AS1893" t="s">
        <v>1622</v>
      </c>
      <c r="AT1893">
        <v>790</v>
      </c>
      <c r="AU1893" t="s">
        <v>1622</v>
      </c>
      <c r="AV1893" t="s">
        <v>2365</v>
      </c>
      <c r="AW1893" t="s">
        <v>2365</v>
      </c>
      <c r="AX1893" t="s">
        <v>2365</v>
      </c>
      <c r="AY1893" t="s">
        <v>2365</v>
      </c>
      <c r="AZ1893" t="s">
        <v>2365</v>
      </c>
      <c r="BA1893" t="s">
        <v>2365</v>
      </c>
      <c r="BB1893" t="s">
        <v>2365</v>
      </c>
      <c r="BC1893" t="s">
        <v>2365</v>
      </c>
      <c r="BD1893" t="s">
        <v>2366</v>
      </c>
      <c r="BE1893" t="s">
        <v>2365</v>
      </c>
      <c r="BF1893" t="s">
        <v>2365</v>
      </c>
      <c r="BG1893" t="s">
        <v>2365</v>
      </c>
      <c r="BH1893" t="s">
        <v>2365</v>
      </c>
      <c r="BI1893" t="s">
        <v>2366</v>
      </c>
      <c r="BJ1893" t="s">
        <v>2365</v>
      </c>
      <c r="BK1893" t="s">
        <v>2365</v>
      </c>
      <c r="BL1893" t="s">
        <v>2365</v>
      </c>
      <c r="BM1893" t="s">
        <v>2365</v>
      </c>
      <c r="BO1893">
        <v>5</v>
      </c>
      <c r="BP1893">
        <v>53</v>
      </c>
      <c r="BQ1893" t="s">
        <v>2438</v>
      </c>
      <c r="BR1893" t="s">
        <v>1499</v>
      </c>
      <c r="BU1893">
        <v>0</v>
      </c>
      <c r="BV1893">
        <v>0</v>
      </c>
      <c r="BW1893">
        <v>0</v>
      </c>
      <c r="BX1893">
        <v>0</v>
      </c>
      <c r="BY1893">
        <v>0</v>
      </c>
      <c r="BZ1893">
        <v>0</v>
      </c>
      <c r="CA1893">
        <v>0</v>
      </c>
      <c r="CB1893">
        <v>0</v>
      </c>
      <c r="CC1893">
        <v>0</v>
      </c>
      <c r="CD1893">
        <v>0</v>
      </c>
      <c r="CE1893">
        <v>0</v>
      </c>
      <c r="CF1893">
        <v>0</v>
      </c>
      <c r="CG1893">
        <v>0</v>
      </c>
      <c r="CH1893">
        <v>0</v>
      </c>
      <c r="CI1893">
        <v>0</v>
      </c>
      <c r="CJ1893">
        <v>0</v>
      </c>
      <c r="CK1893">
        <v>0</v>
      </c>
      <c r="CL1893">
        <v>0</v>
      </c>
      <c r="CM1893">
        <v>0</v>
      </c>
      <c r="CR1893" t="s">
        <v>2320</v>
      </c>
      <c r="CS1893" s="1369" t="str">
        <f>INDEX([8]Sheet1!$H:$H,MATCH(CR:CR,[8]Sheet1!$AU:$AU,0))</f>
        <v>Administrative and Corporate Support</v>
      </c>
    </row>
    <row r="1894" spans="1:97" x14ac:dyDescent="0.2">
      <c r="A1894" t="s">
        <v>5098</v>
      </c>
      <c r="B1894">
        <v>1992</v>
      </c>
      <c r="C1894" t="s">
        <v>5098</v>
      </c>
      <c r="D1894">
        <v>54965</v>
      </c>
      <c r="E1894" t="s">
        <v>5085</v>
      </c>
      <c r="F1894" t="s">
        <v>2364</v>
      </c>
      <c r="G1894" t="s">
        <v>2364</v>
      </c>
      <c r="H1894" t="s">
        <v>2365</v>
      </c>
      <c r="I1894" t="s">
        <v>2365</v>
      </c>
      <c r="J1894" t="s">
        <v>2365</v>
      </c>
      <c r="K1894" t="s">
        <v>2365</v>
      </c>
      <c r="L1894">
        <v>2100</v>
      </c>
      <c r="M1894" t="s">
        <v>618</v>
      </c>
      <c r="N1894">
        <v>2106</v>
      </c>
      <c r="O1894" t="s">
        <v>1499</v>
      </c>
      <c r="P1894" t="s">
        <v>2366</v>
      </c>
      <c r="Q1894">
        <v>2010</v>
      </c>
      <c r="R1894" t="s">
        <v>668</v>
      </c>
      <c r="S1894" t="s">
        <v>552</v>
      </c>
      <c r="T1894" t="s">
        <v>2175</v>
      </c>
      <c r="U1894" t="s">
        <v>2366</v>
      </c>
      <c r="V1894" t="s">
        <v>2366</v>
      </c>
      <c r="W1894" t="s">
        <v>2366</v>
      </c>
      <c r="X1894" t="s">
        <v>2366</v>
      </c>
      <c r="Y1894" t="s">
        <v>2365</v>
      </c>
      <c r="Z1894" t="s">
        <v>2365</v>
      </c>
      <c r="AA1894" t="s">
        <v>2365</v>
      </c>
      <c r="AB1894" t="s">
        <v>2365</v>
      </c>
      <c r="AC1894" s="813" t="s">
        <v>2365</v>
      </c>
      <c r="AD1894" s="813" t="s">
        <v>2365</v>
      </c>
      <c r="AE1894" s="813" t="s">
        <v>2365</v>
      </c>
      <c r="AF1894" t="s">
        <v>2365</v>
      </c>
      <c r="AG1894" t="s">
        <v>2365</v>
      </c>
      <c r="AH1894" t="s">
        <v>2365</v>
      </c>
      <c r="AI1894" t="s">
        <v>2365</v>
      </c>
      <c r="AJ1894" t="s">
        <v>2365</v>
      </c>
      <c r="AK1894" s="1373">
        <v>241</v>
      </c>
      <c r="AL1894" t="s">
        <v>1203</v>
      </c>
      <c r="AM1894">
        <v>241</v>
      </c>
      <c r="AN1894" t="s">
        <v>1203</v>
      </c>
      <c r="AR1894">
        <v>790</v>
      </c>
      <c r="AS1894" t="s">
        <v>1622</v>
      </c>
      <c r="AT1894">
        <v>790</v>
      </c>
      <c r="AU1894" t="s">
        <v>1622</v>
      </c>
      <c r="AV1894" t="s">
        <v>2365</v>
      </c>
      <c r="AW1894" t="s">
        <v>2365</v>
      </c>
      <c r="AX1894" t="s">
        <v>2365</v>
      </c>
      <c r="AY1894" t="s">
        <v>2365</v>
      </c>
      <c r="AZ1894" t="s">
        <v>2365</v>
      </c>
      <c r="BA1894" t="s">
        <v>2365</v>
      </c>
      <c r="BB1894" t="s">
        <v>2365</v>
      </c>
      <c r="BC1894" t="s">
        <v>2365</v>
      </c>
      <c r="BD1894" t="s">
        <v>2366</v>
      </c>
      <c r="BE1894" t="s">
        <v>2365</v>
      </c>
      <c r="BF1894" t="s">
        <v>2365</v>
      </c>
      <c r="BG1894" t="s">
        <v>2365</v>
      </c>
      <c r="BH1894" t="s">
        <v>2365</v>
      </c>
      <c r="BI1894" t="s">
        <v>2366</v>
      </c>
      <c r="BJ1894" t="s">
        <v>2365</v>
      </c>
      <c r="BK1894" t="s">
        <v>2365</v>
      </c>
      <c r="BL1894" t="s">
        <v>2365</v>
      </c>
      <c r="BM1894" t="s">
        <v>2365</v>
      </c>
      <c r="BO1894">
        <v>5</v>
      </c>
      <c r="BP1894">
        <v>53</v>
      </c>
      <c r="BQ1894" t="s">
        <v>2438</v>
      </c>
      <c r="BR1894" t="s">
        <v>1499</v>
      </c>
      <c r="BU1894">
        <v>0</v>
      </c>
      <c r="BV1894">
        <v>0</v>
      </c>
      <c r="BW1894">
        <v>0</v>
      </c>
      <c r="BX1894">
        <v>0</v>
      </c>
      <c r="BY1894">
        <v>0</v>
      </c>
      <c r="BZ1894">
        <v>0</v>
      </c>
      <c r="CA1894">
        <v>0</v>
      </c>
      <c r="CB1894">
        <v>0</v>
      </c>
      <c r="CC1894">
        <v>0</v>
      </c>
      <c r="CD1894">
        <v>0</v>
      </c>
      <c r="CE1894">
        <v>0</v>
      </c>
      <c r="CF1894">
        <v>0</v>
      </c>
      <c r="CG1894">
        <v>0</v>
      </c>
      <c r="CH1894">
        <v>0</v>
      </c>
      <c r="CI1894">
        <v>0</v>
      </c>
      <c r="CJ1894">
        <v>0</v>
      </c>
      <c r="CK1894">
        <v>0</v>
      </c>
      <c r="CL1894">
        <v>0</v>
      </c>
      <c r="CM1894">
        <v>0</v>
      </c>
      <c r="CR1894" t="s">
        <v>2327</v>
      </c>
      <c r="CS1894" s="1369" t="str">
        <f>INDEX([8]Sheet1!$H:$H,MATCH(CR:CR,[8]Sheet1!$AU:$AU,0))</f>
        <v>Education</v>
      </c>
    </row>
    <row r="1895" spans="1:97" x14ac:dyDescent="0.2">
      <c r="A1895" t="s">
        <v>5099</v>
      </c>
      <c r="B1895">
        <v>1993</v>
      </c>
      <c r="C1895" t="s">
        <v>5099</v>
      </c>
      <c r="D1895">
        <v>54993</v>
      </c>
      <c r="E1895" t="s">
        <v>5100</v>
      </c>
      <c r="F1895">
        <v>2100</v>
      </c>
      <c r="G1895" t="s">
        <v>565</v>
      </c>
      <c r="H1895">
        <v>210005</v>
      </c>
      <c r="I1895" t="s">
        <v>1377</v>
      </c>
      <c r="J1895" t="s">
        <v>2365</v>
      </c>
      <c r="K1895" t="s">
        <v>2365</v>
      </c>
      <c r="L1895">
        <v>1100</v>
      </c>
      <c r="M1895" t="s">
        <v>616</v>
      </c>
      <c r="N1895">
        <v>1110</v>
      </c>
      <c r="O1895" t="s">
        <v>995</v>
      </c>
      <c r="P1895" t="s">
        <v>2366</v>
      </c>
      <c r="Q1895" t="s">
        <v>2364</v>
      </c>
      <c r="R1895" t="s">
        <v>2364</v>
      </c>
      <c r="S1895" t="s">
        <v>1881</v>
      </c>
      <c r="T1895" t="s">
        <v>1812</v>
      </c>
      <c r="U1895" t="s">
        <v>2365</v>
      </c>
      <c r="V1895" t="s">
        <v>2365</v>
      </c>
      <c r="W1895" t="s">
        <v>2365</v>
      </c>
      <c r="X1895" t="s">
        <v>2365</v>
      </c>
      <c r="Y1895" t="s">
        <v>2365</v>
      </c>
      <c r="Z1895" t="s">
        <v>2365</v>
      </c>
      <c r="AA1895" t="s">
        <v>2365</v>
      </c>
      <c r="AB1895" t="s">
        <v>2365</v>
      </c>
      <c r="AC1895" s="813" t="s">
        <v>2365</v>
      </c>
      <c r="AD1895" s="813" t="s">
        <v>2365</v>
      </c>
      <c r="AE1895" s="813" t="s">
        <v>2365</v>
      </c>
      <c r="AF1895" t="s">
        <v>2365</v>
      </c>
      <c r="AG1895" t="s">
        <v>2365</v>
      </c>
      <c r="AH1895" t="s">
        <v>2365</v>
      </c>
      <c r="AI1895" t="s">
        <v>2365</v>
      </c>
      <c r="AJ1895" t="s">
        <v>2365</v>
      </c>
      <c r="AK1895" s="1373" t="s">
        <v>2365</v>
      </c>
      <c r="AL1895" t="s">
        <v>2365</v>
      </c>
      <c r="AM1895" t="s">
        <v>2365</v>
      </c>
      <c r="AN1895" t="s">
        <v>2365</v>
      </c>
      <c r="AR1895" t="s">
        <v>2365</v>
      </c>
      <c r="AS1895" t="s">
        <v>2365</v>
      </c>
      <c r="AT1895" t="s">
        <v>2365</v>
      </c>
      <c r="AU1895" t="s">
        <v>2365</v>
      </c>
      <c r="AV1895" t="s">
        <v>2365</v>
      </c>
      <c r="AW1895" t="s">
        <v>2365</v>
      </c>
      <c r="AX1895" t="s">
        <v>2365</v>
      </c>
      <c r="AY1895" t="s">
        <v>2365</v>
      </c>
      <c r="AZ1895" t="s">
        <v>2365</v>
      </c>
      <c r="BA1895" t="s">
        <v>2365</v>
      </c>
      <c r="BB1895" t="s">
        <v>2365</v>
      </c>
      <c r="BC1895" t="s">
        <v>2365</v>
      </c>
      <c r="BD1895" t="s">
        <v>2366</v>
      </c>
      <c r="BE1895" t="s">
        <v>2365</v>
      </c>
      <c r="BF1895" t="s">
        <v>2365</v>
      </c>
      <c r="BG1895" t="s">
        <v>2365</v>
      </c>
      <c r="BH1895" t="s">
        <v>2365</v>
      </c>
      <c r="BI1895" t="s">
        <v>2366</v>
      </c>
      <c r="BJ1895" t="s">
        <v>2365</v>
      </c>
      <c r="BK1895" t="s">
        <v>2365</v>
      </c>
      <c r="BL1895" t="s">
        <v>2365</v>
      </c>
      <c r="BM1895" t="s">
        <v>2365</v>
      </c>
      <c r="BO1895">
        <v>3</v>
      </c>
      <c r="BP1895">
        <v>32</v>
      </c>
      <c r="BQ1895" t="s">
        <v>2716</v>
      </c>
      <c r="BR1895" t="s">
        <v>995</v>
      </c>
      <c r="BU1895">
        <v>0</v>
      </c>
      <c r="BV1895">
        <v>0</v>
      </c>
      <c r="BW1895">
        <v>0</v>
      </c>
      <c r="BX1895">
        <v>0</v>
      </c>
      <c r="BY1895">
        <v>0</v>
      </c>
      <c r="BZ1895">
        <v>0</v>
      </c>
      <c r="CA1895">
        <v>0</v>
      </c>
      <c r="CB1895">
        <v>0</v>
      </c>
      <c r="CC1895">
        <v>0</v>
      </c>
      <c r="CD1895">
        <v>0</v>
      </c>
      <c r="CE1895">
        <v>0</v>
      </c>
      <c r="CF1895">
        <v>0</v>
      </c>
      <c r="CG1895">
        <v>0</v>
      </c>
      <c r="CH1895">
        <v>0</v>
      </c>
      <c r="CI1895">
        <v>0</v>
      </c>
      <c r="CJ1895">
        <v>0</v>
      </c>
      <c r="CK1895">
        <v>0</v>
      </c>
      <c r="CL1895">
        <v>0</v>
      </c>
      <c r="CM1895">
        <v>0</v>
      </c>
      <c r="CR1895" t="s">
        <v>2327</v>
      </c>
      <c r="CS1895" s="1369" t="str">
        <f>INDEX([8]Sheet1!$H:$H,MATCH(CR:CR,[8]Sheet1!$AU:$AU,0))</f>
        <v>Education</v>
      </c>
    </row>
    <row r="1896" spans="1:97" x14ac:dyDescent="0.2">
      <c r="A1896" t="s">
        <v>5101</v>
      </c>
      <c r="B1896">
        <v>1994</v>
      </c>
      <c r="C1896" t="s">
        <v>5101</v>
      </c>
      <c r="D1896">
        <v>54994</v>
      </c>
      <c r="E1896" t="s">
        <v>4846</v>
      </c>
      <c r="F1896" t="s">
        <v>2364</v>
      </c>
      <c r="G1896" t="s">
        <v>2364</v>
      </c>
      <c r="H1896" t="s">
        <v>2365</v>
      </c>
      <c r="I1896" t="s">
        <v>2365</v>
      </c>
      <c r="J1896" t="s">
        <v>2365</v>
      </c>
      <c r="K1896" t="s">
        <v>2365</v>
      </c>
      <c r="L1896">
        <v>1200</v>
      </c>
      <c r="M1896" t="s">
        <v>1480</v>
      </c>
      <c r="N1896">
        <v>1204</v>
      </c>
      <c r="O1896" t="s">
        <v>1487</v>
      </c>
      <c r="P1896" t="s">
        <v>2366</v>
      </c>
      <c r="Q1896" t="s">
        <v>2364</v>
      </c>
      <c r="R1896" t="s">
        <v>2364</v>
      </c>
      <c r="S1896" t="s">
        <v>553</v>
      </c>
      <c r="T1896" t="s">
        <v>2175</v>
      </c>
      <c r="U1896">
        <v>130</v>
      </c>
      <c r="V1896" t="s">
        <v>2652</v>
      </c>
      <c r="W1896">
        <v>130</v>
      </c>
      <c r="X1896" t="s">
        <v>2652</v>
      </c>
      <c r="Y1896" t="s">
        <v>2365</v>
      </c>
      <c r="Z1896" t="s">
        <v>2365</v>
      </c>
      <c r="AA1896" t="s">
        <v>2365</v>
      </c>
      <c r="AB1896" t="s">
        <v>2365</v>
      </c>
      <c r="AC1896" s="813" t="s">
        <v>2365</v>
      </c>
      <c r="AD1896" s="813" t="s">
        <v>2365</v>
      </c>
      <c r="AE1896" s="813" t="s">
        <v>2365</v>
      </c>
      <c r="AF1896" t="s">
        <v>2365</v>
      </c>
      <c r="AG1896" t="s">
        <v>2365</v>
      </c>
      <c r="AH1896" t="s">
        <v>2365</v>
      </c>
      <c r="AI1896" t="s">
        <v>2365</v>
      </c>
      <c r="AJ1896" t="s">
        <v>2365</v>
      </c>
      <c r="AK1896" s="1373" t="s">
        <v>2365</v>
      </c>
      <c r="AL1896" t="s">
        <v>2365</v>
      </c>
      <c r="AM1896" t="s">
        <v>2365</v>
      </c>
      <c r="AN1896" t="s">
        <v>2365</v>
      </c>
      <c r="AQ1896" t="s">
        <v>553</v>
      </c>
      <c r="AR1896" t="s">
        <v>2365</v>
      </c>
      <c r="AS1896" t="s">
        <v>2365</v>
      </c>
      <c r="AT1896" t="s">
        <v>2365</v>
      </c>
      <c r="AU1896" t="s">
        <v>2365</v>
      </c>
      <c r="AV1896" t="s">
        <v>2365</v>
      </c>
      <c r="AW1896" t="s">
        <v>2365</v>
      </c>
      <c r="AX1896" t="s">
        <v>2365</v>
      </c>
      <c r="AY1896" t="s">
        <v>2365</v>
      </c>
      <c r="AZ1896" t="s">
        <v>2365</v>
      </c>
      <c r="BA1896" t="s">
        <v>2365</v>
      </c>
      <c r="BB1896" t="s">
        <v>2365</v>
      </c>
      <c r="BC1896" t="s">
        <v>2365</v>
      </c>
      <c r="BD1896" t="s">
        <v>2366</v>
      </c>
      <c r="BE1896" t="s">
        <v>2365</v>
      </c>
      <c r="BF1896" t="s">
        <v>2365</v>
      </c>
      <c r="BG1896" t="s">
        <v>2365</v>
      </c>
      <c r="BH1896" t="s">
        <v>2365</v>
      </c>
      <c r="BI1896" t="s">
        <v>2366</v>
      </c>
      <c r="BJ1896" t="s">
        <v>2365</v>
      </c>
      <c r="BK1896" t="s">
        <v>2365</v>
      </c>
      <c r="BL1896" t="s">
        <v>2365</v>
      </c>
      <c r="BM1896" t="s">
        <v>2365</v>
      </c>
      <c r="BO1896">
        <v>1</v>
      </c>
      <c r="BP1896">
        <v>11</v>
      </c>
      <c r="BQ1896" t="s">
        <v>2369</v>
      </c>
      <c r="BR1896" t="s">
        <v>1487</v>
      </c>
      <c r="BU1896">
        <v>0</v>
      </c>
      <c r="BV1896">
        <v>0</v>
      </c>
      <c r="BW1896">
        <v>0</v>
      </c>
      <c r="BX1896">
        <v>0</v>
      </c>
      <c r="BY1896">
        <v>0</v>
      </c>
      <c r="BZ1896">
        <v>0</v>
      </c>
      <c r="CA1896">
        <v>0</v>
      </c>
      <c r="CB1896">
        <v>0</v>
      </c>
      <c r="CC1896">
        <v>0</v>
      </c>
      <c r="CD1896">
        <v>0</v>
      </c>
      <c r="CE1896">
        <v>0</v>
      </c>
      <c r="CF1896">
        <v>0</v>
      </c>
      <c r="CG1896">
        <v>0</v>
      </c>
      <c r="CH1896">
        <v>0</v>
      </c>
      <c r="CI1896">
        <v>0</v>
      </c>
      <c r="CJ1896">
        <v>0</v>
      </c>
      <c r="CK1896">
        <v>0</v>
      </c>
      <c r="CL1896">
        <v>0</v>
      </c>
      <c r="CM1896">
        <v>0</v>
      </c>
      <c r="CR1896" t="s">
        <v>2327</v>
      </c>
      <c r="CS1896" s="1369" t="str">
        <f>INDEX([8]Sheet1!$H:$H,MATCH(CR:CR,[8]Sheet1!$AU:$AU,0))</f>
        <v>Education</v>
      </c>
    </row>
    <row r="1897" spans="1:97" x14ac:dyDescent="0.2">
      <c r="A1897" t="s">
        <v>5102</v>
      </c>
      <c r="B1897">
        <v>1995</v>
      </c>
      <c r="C1897" t="s">
        <v>5102</v>
      </c>
      <c r="D1897">
        <v>54995</v>
      </c>
      <c r="E1897" t="s">
        <v>5103</v>
      </c>
      <c r="F1897">
        <v>3500</v>
      </c>
      <c r="G1897" t="s">
        <v>1476</v>
      </c>
      <c r="H1897">
        <v>3500</v>
      </c>
      <c r="I1897" t="s">
        <v>1476</v>
      </c>
      <c r="J1897" t="s">
        <v>2365</v>
      </c>
      <c r="K1897" t="s">
        <v>2365</v>
      </c>
      <c r="L1897">
        <v>1200</v>
      </c>
      <c r="M1897" t="s">
        <v>1480</v>
      </c>
      <c r="N1897">
        <v>1202</v>
      </c>
      <c r="O1897" t="s">
        <v>595</v>
      </c>
      <c r="P1897" t="s">
        <v>2366</v>
      </c>
      <c r="Q1897" t="s">
        <v>2364</v>
      </c>
      <c r="R1897" t="s">
        <v>2364</v>
      </c>
      <c r="S1897" t="s">
        <v>1881</v>
      </c>
      <c r="T1897" t="s">
        <v>1811</v>
      </c>
      <c r="U1897" t="s">
        <v>2365</v>
      </c>
      <c r="V1897" t="s">
        <v>2365</v>
      </c>
      <c r="W1897" t="s">
        <v>2365</v>
      </c>
      <c r="X1897" t="s">
        <v>2365</v>
      </c>
      <c r="Y1897" t="s">
        <v>2365</v>
      </c>
      <c r="Z1897" t="s">
        <v>2365</v>
      </c>
      <c r="AA1897" t="s">
        <v>2365</v>
      </c>
      <c r="AB1897" t="s">
        <v>2365</v>
      </c>
      <c r="AC1897" s="813" t="s">
        <v>2365</v>
      </c>
      <c r="AD1897" s="813" t="s">
        <v>2365</v>
      </c>
      <c r="AE1897" s="813" t="s">
        <v>2365</v>
      </c>
      <c r="AF1897" t="s">
        <v>2365</v>
      </c>
      <c r="AG1897" t="s">
        <v>2365</v>
      </c>
      <c r="AH1897" t="s">
        <v>2365</v>
      </c>
      <c r="AI1897" t="s">
        <v>2365</v>
      </c>
      <c r="AJ1897" t="s">
        <v>2365</v>
      </c>
      <c r="AK1897" s="1373" t="s">
        <v>2365</v>
      </c>
      <c r="AL1897" t="s">
        <v>2365</v>
      </c>
      <c r="AM1897" t="s">
        <v>2365</v>
      </c>
      <c r="AN1897" t="s">
        <v>2365</v>
      </c>
      <c r="AR1897" t="s">
        <v>2365</v>
      </c>
      <c r="AS1897" t="s">
        <v>2365</v>
      </c>
      <c r="AT1897" t="s">
        <v>2365</v>
      </c>
      <c r="AU1897" t="s">
        <v>2365</v>
      </c>
      <c r="AV1897" t="s">
        <v>2365</v>
      </c>
      <c r="AW1897" t="s">
        <v>2365</v>
      </c>
      <c r="AX1897" t="s">
        <v>2365</v>
      </c>
      <c r="AY1897" t="s">
        <v>2365</v>
      </c>
      <c r="AZ1897" t="s">
        <v>2365</v>
      </c>
      <c r="BA1897" t="s">
        <v>2365</v>
      </c>
      <c r="BB1897" t="s">
        <v>2365</v>
      </c>
      <c r="BC1897" t="s">
        <v>2365</v>
      </c>
      <c r="BD1897" t="s">
        <v>2366</v>
      </c>
      <c r="BE1897" t="s">
        <v>2365</v>
      </c>
      <c r="BF1897" t="s">
        <v>2365</v>
      </c>
      <c r="BG1897" t="s">
        <v>2365</v>
      </c>
      <c r="BH1897" t="s">
        <v>2365</v>
      </c>
      <c r="BI1897" t="s">
        <v>2366</v>
      </c>
      <c r="BJ1897" t="s">
        <v>2365</v>
      </c>
      <c r="BK1897" t="s">
        <v>2365</v>
      </c>
      <c r="BL1897" t="s">
        <v>2365</v>
      </c>
      <c r="BM1897" t="s">
        <v>2365</v>
      </c>
      <c r="BO1897">
        <v>1</v>
      </c>
      <c r="BP1897">
        <v>13</v>
      </c>
      <c r="BQ1897" t="s">
        <v>2369</v>
      </c>
      <c r="BR1897" t="s">
        <v>595</v>
      </c>
      <c r="BU1897">
        <v>0</v>
      </c>
      <c r="BV1897">
        <v>0</v>
      </c>
      <c r="BW1897">
        <v>0</v>
      </c>
      <c r="BX1897">
        <v>0</v>
      </c>
      <c r="BY1897">
        <v>0</v>
      </c>
      <c r="BZ1897">
        <v>0</v>
      </c>
      <c r="CA1897">
        <v>0</v>
      </c>
      <c r="CB1897">
        <v>0</v>
      </c>
      <c r="CC1897">
        <v>0</v>
      </c>
      <c r="CD1897">
        <v>0</v>
      </c>
      <c r="CE1897">
        <v>-10036.15</v>
      </c>
      <c r="CF1897">
        <v>0</v>
      </c>
      <c r="CG1897">
        <v>0</v>
      </c>
      <c r="CH1897">
        <v>0</v>
      </c>
      <c r="CI1897">
        <v>0</v>
      </c>
      <c r="CJ1897">
        <v>0</v>
      </c>
      <c r="CK1897">
        <v>0</v>
      </c>
      <c r="CL1897">
        <v>0</v>
      </c>
      <c r="CM1897">
        <v>0</v>
      </c>
      <c r="CR1897" t="s">
        <v>2327</v>
      </c>
      <c r="CS1897" s="1369" t="str">
        <f>INDEX([8]Sheet1!$H:$H,MATCH(CR:CR,[8]Sheet1!$AU:$AU,0))</f>
        <v>Education</v>
      </c>
    </row>
    <row r="1898" spans="1:97" x14ac:dyDescent="0.2">
      <c r="A1898" t="s">
        <v>5104</v>
      </c>
      <c r="B1898">
        <v>1996</v>
      </c>
      <c r="C1898" t="s">
        <v>5104</v>
      </c>
      <c r="D1898">
        <v>54996</v>
      </c>
      <c r="E1898" t="s">
        <v>2403</v>
      </c>
      <c r="F1898" t="s">
        <v>2364</v>
      </c>
      <c r="G1898" t="s">
        <v>2364</v>
      </c>
      <c r="H1898" t="s">
        <v>2365</v>
      </c>
      <c r="I1898" t="s">
        <v>2365</v>
      </c>
      <c r="J1898" t="s">
        <v>2365</v>
      </c>
      <c r="K1898" t="s">
        <v>2365</v>
      </c>
      <c r="L1898">
        <v>1200</v>
      </c>
      <c r="M1898" t="s">
        <v>1480</v>
      </c>
      <c r="N1898">
        <v>1204</v>
      </c>
      <c r="O1898" t="s">
        <v>1487</v>
      </c>
      <c r="P1898" t="s">
        <v>2366</v>
      </c>
      <c r="Q1898" t="s">
        <v>2364</v>
      </c>
      <c r="R1898" t="s">
        <v>2364</v>
      </c>
      <c r="S1898" t="s">
        <v>553</v>
      </c>
      <c r="T1898" t="s">
        <v>2175</v>
      </c>
      <c r="U1898">
        <v>240</v>
      </c>
      <c r="V1898" t="s">
        <v>2389</v>
      </c>
      <c r="W1898">
        <v>240</v>
      </c>
      <c r="X1898" t="s">
        <v>701</v>
      </c>
      <c r="Y1898" t="s">
        <v>2365</v>
      </c>
      <c r="Z1898" t="s">
        <v>2365</v>
      </c>
      <c r="AA1898" t="s">
        <v>2365</v>
      </c>
      <c r="AB1898" t="s">
        <v>2365</v>
      </c>
      <c r="AC1898" s="813" t="s">
        <v>2365</v>
      </c>
      <c r="AD1898" s="813" t="s">
        <v>2365</v>
      </c>
      <c r="AE1898" s="813" t="s">
        <v>2365</v>
      </c>
      <c r="AF1898" t="s">
        <v>2365</v>
      </c>
      <c r="AG1898">
        <v>1180</v>
      </c>
      <c r="AH1898" t="s">
        <v>1368</v>
      </c>
      <c r="AI1898">
        <v>1180</v>
      </c>
      <c r="AJ1898" t="s">
        <v>1368</v>
      </c>
      <c r="AK1898" s="1373">
        <v>243</v>
      </c>
      <c r="AL1898" t="s">
        <v>1205</v>
      </c>
      <c r="AM1898">
        <v>243</v>
      </c>
      <c r="AN1898" t="s">
        <v>1205</v>
      </c>
      <c r="AR1898" t="s">
        <v>2365</v>
      </c>
      <c r="AS1898" t="s">
        <v>2365</v>
      </c>
      <c r="AT1898" t="s">
        <v>2365</v>
      </c>
      <c r="AU1898" t="s">
        <v>2365</v>
      </c>
      <c r="AV1898" t="s">
        <v>2365</v>
      </c>
      <c r="AW1898" t="s">
        <v>2365</v>
      </c>
      <c r="AX1898" t="s">
        <v>2365</v>
      </c>
      <c r="AY1898" t="s">
        <v>2365</v>
      </c>
      <c r="AZ1898" t="s">
        <v>2365</v>
      </c>
      <c r="BA1898" t="s">
        <v>2365</v>
      </c>
      <c r="BB1898" t="s">
        <v>2365</v>
      </c>
      <c r="BC1898" t="s">
        <v>2365</v>
      </c>
      <c r="BD1898" t="s">
        <v>2366</v>
      </c>
      <c r="BE1898" t="s">
        <v>2365</v>
      </c>
      <c r="BF1898" t="s">
        <v>2365</v>
      </c>
      <c r="BG1898" t="s">
        <v>2365</v>
      </c>
      <c r="BH1898" t="s">
        <v>2365</v>
      </c>
      <c r="BI1898" t="s">
        <v>2366</v>
      </c>
      <c r="BJ1898" t="s">
        <v>2365</v>
      </c>
      <c r="BK1898" t="s">
        <v>2365</v>
      </c>
      <c r="BL1898" t="s">
        <v>2365</v>
      </c>
      <c r="BM1898" t="s">
        <v>2365</v>
      </c>
      <c r="BO1898">
        <v>1</v>
      </c>
      <c r="BP1898">
        <v>11</v>
      </c>
      <c r="BQ1898" t="s">
        <v>2369</v>
      </c>
      <c r="BR1898" t="s">
        <v>1487</v>
      </c>
      <c r="BU1898">
        <v>0</v>
      </c>
      <c r="BV1898">
        <v>0</v>
      </c>
      <c r="BW1898">
        <v>0</v>
      </c>
      <c r="BX1898">
        <v>0</v>
      </c>
      <c r="BY1898">
        <v>0</v>
      </c>
      <c r="BZ1898">
        <v>0</v>
      </c>
      <c r="CA1898">
        <v>0</v>
      </c>
      <c r="CB1898">
        <v>0</v>
      </c>
      <c r="CC1898">
        <v>0</v>
      </c>
      <c r="CD1898">
        <v>0</v>
      </c>
      <c r="CE1898">
        <v>0</v>
      </c>
      <c r="CF1898">
        <v>0</v>
      </c>
      <c r="CG1898">
        <v>0</v>
      </c>
      <c r="CH1898">
        <v>0</v>
      </c>
      <c r="CI1898">
        <v>0</v>
      </c>
      <c r="CJ1898">
        <v>0</v>
      </c>
      <c r="CK1898">
        <v>0</v>
      </c>
      <c r="CL1898">
        <v>0</v>
      </c>
      <c r="CM1898">
        <v>0</v>
      </c>
      <c r="CR1898" t="s">
        <v>2333</v>
      </c>
      <c r="CS1898" s="1369" t="str">
        <f>INDEX([8]Sheet1!$H:$H,MATCH(CR:CR,[8]Sheet1!$AU:$AU,0))</f>
        <v>Municipal Manager, Town Secretary and Chief Executive</v>
      </c>
    </row>
    <row r="1899" spans="1:97" x14ac:dyDescent="0.2">
      <c r="A1899" t="s">
        <v>5105</v>
      </c>
      <c r="B1899">
        <v>1997</v>
      </c>
      <c r="C1899" t="s">
        <v>5105</v>
      </c>
      <c r="D1899">
        <v>54997</v>
      </c>
      <c r="E1899" t="s">
        <v>3323</v>
      </c>
      <c r="F1899">
        <v>2300</v>
      </c>
      <c r="G1899" t="s">
        <v>566</v>
      </c>
      <c r="H1899" t="s">
        <v>3312</v>
      </c>
      <c r="I1899" t="s">
        <v>1163</v>
      </c>
      <c r="J1899">
        <v>2301</v>
      </c>
      <c r="K1899" t="s">
        <v>3313</v>
      </c>
      <c r="L1899">
        <v>1200</v>
      </c>
      <c r="M1899" t="s">
        <v>1480</v>
      </c>
      <c r="N1899">
        <v>1204</v>
      </c>
      <c r="O1899" t="s">
        <v>1487</v>
      </c>
      <c r="P1899" t="s">
        <v>2366</v>
      </c>
      <c r="Q1899" t="s">
        <v>2364</v>
      </c>
      <c r="R1899" t="s">
        <v>2364</v>
      </c>
      <c r="S1899" t="s">
        <v>553</v>
      </c>
      <c r="T1899" t="s">
        <v>1812</v>
      </c>
      <c r="U1899" t="s">
        <v>2365</v>
      </c>
      <c r="V1899" t="s">
        <v>2365</v>
      </c>
      <c r="W1899" t="s">
        <v>2365</v>
      </c>
      <c r="X1899" t="s">
        <v>2365</v>
      </c>
      <c r="Y1899" t="s">
        <v>2365</v>
      </c>
      <c r="Z1899" t="s">
        <v>2365</v>
      </c>
      <c r="AA1899" t="s">
        <v>2365</v>
      </c>
      <c r="AB1899" t="s">
        <v>2365</v>
      </c>
      <c r="AC1899" s="813" t="s">
        <v>2365</v>
      </c>
      <c r="AD1899" s="813" t="s">
        <v>2365</v>
      </c>
      <c r="AE1899" s="813" t="s">
        <v>2365</v>
      </c>
      <c r="AF1899" t="s">
        <v>2365</v>
      </c>
      <c r="AG1899" t="s">
        <v>2365</v>
      </c>
      <c r="AH1899" t="s">
        <v>2365</v>
      </c>
      <c r="AI1899" t="s">
        <v>2365</v>
      </c>
      <c r="AJ1899" t="s">
        <v>2365</v>
      </c>
      <c r="AK1899" s="1373" t="s">
        <v>2365</v>
      </c>
      <c r="AL1899" t="s">
        <v>2365</v>
      </c>
      <c r="AM1899" t="s">
        <v>2365</v>
      </c>
      <c r="AN1899" t="s">
        <v>2365</v>
      </c>
      <c r="AR1899" t="s">
        <v>2365</v>
      </c>
      <c r="AS1899" t="s">
        <v>2365</v>
      </c>
      <c r="AT1899" t="s">
        <v>2365</v>
      </c>
      <c r="AU1899" t="s">
        <v>2365</v>
      </c>
      <c r="AV1899" t="s">
        <v>2365</v>
      </c>
      <c r="AW1899" t="s">
        <v>2365</v>
      </c>
      <c r="AX1899" t="s">
        <v>2365</v>
      </c>
      <c r="AY1899" t="s">
        <v>2365</v>
      </c>
      <c r="AZ1899" t="s">
        <v>2365</v>
      </c>
      <c r="BA1899" t="s">
        <v>2365</v>
      </c>
      <c r="BB1899" t="s">
        <v>2365</v>
      </c>
      <c r="BC1899" t="s">
        <v>2365</v>
      </c>
      <c r="BD1899" t="s">
        <v>2366</v>
      </c>
      <c r="BE1899">
        <v>1200</v>
      </c>
      <c r="BF1899" t="s">
        <v>1652</v>
      </c>
      <c r="BG1899">
        <v>1200</v>
      </c>
      <c r="BH1899" t="s">
        <v>1652</v>
      </c>
      <c r="BI1899" t="s">
        <v>1907</v>
      </c>
      <c r="BJ1899" t="s">
        <v>2365</v>
      </c>
      <c r="BK1899" t="s">
        <v>2365</v>
      </c>
      <c r="BL1899" t="s">
        <v>2365</v>
      </c>
      <c r="BM1899" t="s">
        <v>2365</v>
      </c>
      <c r="BO1899">
        <v>1</v>
      </c>
      <c r="BP1899">
        <v>11</v>
      </c>
      <c r="BQ1899" t="s">
        <v>2369</v>
      </c>
      <c r="BR1899" t="s">
        <v>1487</v>
      </c>
      <c r="BU1899">
        <v>0</v>
      </c>
      <c r="BV1899">
        <v>0</v>
      </c>
      <c r="BW1899">
        <v>0</v>
      </c>
      <c r="BX1899">
        <v>0</v>
      </c>
      <c r="BY1899">
        <v>0</v>
      </c>
      <c r="BZ1899">
        <v>0</v>
      </c>
      <c r="CA1899">
        <v>0</v>
      </c>
      <c r="CB1899">
        <v>0</v>
      </c>
      <c r="CC1899">
        <v>0</v>
      </c>
      <c r="CD1899">
        <v>0</v>
      </c>
      <c r="CE1899">
        <v>0</v>
      </c>
      <c r="CF1899">
        <v>0</v>
      </c>
      <c r="CG1899">
        <v>0</v>
      </c>
      <c r="CH1899">
        <v>0</v>
      </c>
      <c r="CI1899">
        <v>0</v>
      </c>
      <c r="CJ1899">
        <v>0</v>
      </c>
      <c r="CK1899">
        <v>0</v>
      </c>
      <c r="CL1899">
        <v>0</v>
      </c>
      <c r="CM1899">
        <v>0</v>
      </c>
      <c r="CR1899" t="s">
        <v>2333</v>
      </c>
      <c r="CS1899" s="1369" t="str">
        <f>INDEX([8]Sheet1!$H:$H,MATCH(CR:CR,[8]Sheet1!$AU:$AU,0))</f>
        <v>Municipal Manager, Town Secretary and Chief Executive</v>
      </c>
    </row>
    <row r="1900" spans="1:97" x14ac:dyDescent="0.2">
      <c r="A1900" t="s">
        <v>5106</v>
      </c>
      <c r="B1900">
        <v>1998</v>
      </c>
      <c r="C1900" t="s">
        <v>5106</v>
      </c>
      <c r="D1900">
        <v>54998</v>
      </c>
      <c r="E1900" t="s">
        <v>4815</v>
      </c>
      <c r="F1900" t="s">
        <v>2364</v>
      </c>
      <c r="G1900" t="s">
        <v>2364</v>
      </c>
      <c r="H1900" t="s">
        <v>2365</v>
      </c>
      <c r="I1900" t="s">
        <v>2365</v>
      </c>
      <c r="J1900" t="s">
        <v>2365</v>
      </c>
      <c r="K1900" t="s">
        <v>2365</v>
      </c>
      <c r="L1900">
        <v>1200</v>
      </c>
      <c r="M1900" t="s">
        <v>1480</v>
      </c>
      <c r="N1900">
        <v>1204</v>
      </c>
      <c r="O1900" t="s">
        <v>1487</v>
      </c>
      <c r="P1900" t="s">
        <v>2366</v>
      </c>
      <c r="Q1900" t="s">
        <v>2364</v>
      </c>
      <c r="R1900" t="s">
        <v>2364</v>
      </c>
      <c r="S1900" t="s">
        <v>553</v>
      </c>
      <c r="T1900" t="s">
        <v>2175</v>
      </c>
      <c r="U1900">
        <v>240</v>
      </c>
      <c r="V1900" t="s">
        <v>2389</v>
      </c>
      <c r="W1900">
        <v>240</v>
      </c>
      <c r="X1900" t="s">
        <v>701</v>
      </c>
      <c r="Y1900" t="s">
        <v>2365</v>
      </c>
      <c r="Z1900" t="s">
        <v>2365</v>
      </c>
      <c r="AA1900" t="s">
        <v>2365</v>
      </c>
      <c r="AB1900" t="s">
        <v>2365</v>
      </c>
      <c r="AC1900" s="813" t="s">
        <v>2365</v>
      </c>
      <c r="AD1900" s="813" t="s">
        <v>2365</v>
      </c>
      <c r="AE1900" s="813" t="s">
        <v>2365</v>
      </c>
      <c r="AF1900" t="s">
        <v>2365</v>
      </c>
      <c r="AG1900">
        <v>1180</v>
      </c>
      <c r="AH1900" t="s">
        <v>1368</v>
      </c>
      <c r="AI1900">
        <v>1180</v>
      </c>
      <c r="AJ1900" t="s">
        <v>1368</v>
      </c>
      <c r="AK1900">
        <v>243</v>
      </c>
      <c r="AL1900" t="s">
        <v>1205</v>
      </c>
      <c r="AM1900">
        <v>243</v>
      </c>
      <c r="AN1900" t="s">
        <v>1205</v>
      </c>
      <c r="AR1900" t="s">
        <v>2365</v>
      </c>
      <c r="AS1900" t="s">
        <v>2365</v>
      </c>
      <c r="AT1900" t="s">
        <v>2365</v>
      </c>
      <c r="AU1900" t="s">
        <v>2365</v>
      </c>
      <c r="AV1900" t="s">
        <v>2365</v>
      </c>
      <c r="AW1900" t="s">
        <v>2365</v>
      </c>
      <c r="AX1900" t="s">
        <v>2365</v>
      </c>
      <c r="AY1900" t="s">
        <v>2365</v>
      </c>
      <c r="AZ1900" t="s">
        <v>2365</v>
      </c>
      <c r="BA1900" t="s">
        <v>2365</v>
      </c>
      <c r="BB1900" t="s">
        <v>2365</v>
      </c>
      <c r="BC1900" t="s">
        <v>2365</v>
      </c>
      <c r="BD1900" t="s">
        <v>2366</v>
      </c>
      <c r="BE1900" t="s">
        <v>2365</v>
      </c>
      <c r="BF1900" t="s">
        <v>2365</v>
      </c>
      <c r="BG1900" t="s">
        <v>2365</v>
      </c>
      <c r="BH1900" t="s">
        <v>2365</v>
      </c>
      <c r="BI1900" t="s">
        <v>2366</v>
      </c>
      <c r="BJ1900" t="s">
        <v>2365</v>
      </c>
      <c r="BK1900" t="s">
        <v>2365</v>
      </c>
      <c r="BL1900" t="s">
        <v>2365</v>
      </c>
      <c r="BM1900" t="s">
        <v>2365</v>
      </c>
      <c r="BO1900">
        <v>1</v>
      </c>
      <c r="BP1900">
        <v>11</v>
      </c>
      <c r="BQ1900" t="s">
        <v>2369</v>
      </c>
      <c r="BR1900" t="s">
        <v>1487</v>
      </c>
      <c r="BU1900">
        <v>0</v>
      </c>
      <c r="BV1900">
        <v>0</v>
      </c>
      <c r="BW1900">
        <v>0</v>
      </c>
      <c r="BX1900">
        <v>0</v>
      </c>
      <c r="BY1900">
        <v>0</v>
      </c>
      <c r="BZ1900">
        <v>0</v>
      </c>
      <c r="CA1900">
        <v>0</v>
      </c>
      <c r="CB1900">
        <v>0</v>
      </c>
      <c r="CC1900">
        <v>0</v>
      </c>
      <c r="CD1900">
        <v>0</v>
      </c>
      <c r="CE1900">
        <v>0</v>
      </c>
      <c r="CF1900">
        <v>0</v>
      </c>
      <c r="CG1900">
        <v>0</v>
      </c>
      <c r="CH1900">
        <v>0</v>
      </c>
      <c r="CI1900">
        <v>0</v>
      </c>
      <c r="CJ1900">
        <v>0</v>
      </c>
      <c r="CK1900">
        <v>0</v>
      </c>
      <c r="CL1900">
        <v>0</v>
      </c>
      <c r="CM1900">
        <v>0</v>
      </c>
      <c r="CR1900" t="s">
        <v>2333</v>
      </c>
      <c r="CS1900" s="1369" t="str">
        <f>INDEX([8]Sheet1!$H:$H,MATCH(CR:CR,[8]Sheet1!$AU:$AU,0))</f>
        <v>Municipal Manager, Town Secretary and Chief Executive</v>
      </c>
    </row>
    <row r="1901" spans="1:97" x14ac:dyDescent="0.2">
      <c r="A1901" t="s">
        <v>5107</v>
      </c>
      <c r="B1901">
        <v>1999</v>
      </c>
      <c r="C1901" t="s">
        <v>5107</v>
      </c>
      <c r="D1901">
        <v>54999</v>
      </c>
      <c r="E1901" t="s">
        <v>4850</v>
      </c>
      <c r="F1901">
        <v>2300</v>
      </c>
      <c r="G1901" t="s">
        <v>566</v>
      </c>
      <c r="H1901" t="s">
        <v>3312</v>
      </c>
      <c r="I1901" t="s">
        <v>1163</v>
      </c>
      <c r="J1901">
        <v>2302</v>
      </c>
      <c r="K1901" t="s">
        <v>4851</v>
      </c>
      <c r="L1901">
        <v>1200</v>
      </c>
      <c r="M1901" t="s">
        <v>1480</v>
      </c>
      <c r="N1901">
        <v>1204</v>
      </c>
      <c r="O1901" t="s">
        <v>1487</v>
      </c>
      <c r="P1901" t="s">
        <v>2366</v>
      </c>
      <c r="Q1901" t="s">
        <v>2364</v>
      </c>
      <c r="R1901" t="s">
        <v>2364</v>
      </c>
      <c r="S1901" t="s">
        <v>553</v>
      </c>
      <c r="T1901" t="s">
        <v>1812</v>
      </c>
      <c r="U1901" t="s">
        <v>2365</v>
      </c>
      <c r="V1901" t="s">
        <v>2365</v>
      </c>
      <c r="W1901" t="s">
        <v>2365</v>
      </c>
      <c r="X1901" t="s">
        <v>2365</v>
      </c>
      <c r="Y1901" t="s">
        <v>2365</v>
      </c>
      <c r="Z1901" t="s">
        <v>2365</v>
      </c>
      <c r="AA1901" t="s">
        <v>2365</v>
      </c>
      <c r="AB1901" t="s">
        <v>2365</v>
      </c>
      <c r="AC1901" s="813" t="s">
        <v>2365</v>
      </c>
      <c r="AD1901" s="813" t="s">
        <v>2365</v>
      </c>
      <c r="AE1901" s="813" t="s">
        <v>2365</v>
      </c>
      <c r="AF1901" t="s">
        <v>2365</v>
      </c>
      <c r="AG1901" t="s">
        <v>2365</v>
      </c>
      <c r="AH1901" t="s">
        <v>2365</v>
      </c>
      <c r="AI1901" t="s">
        <v>2365</v>
      </c>
      <c r="AJ1901" t="s">
        <v>2365</v>
      </c>
      <c r="AK1901" t="s">
        <v>2365</v>
      </c>
      <c r="AL1901" t="s">
        <v>2365</v>
      </c>
      <c r="AM1901" t="s">
        <v>2365</v>
      </c>
      <c r="AN1901" t="s">
        <v>2365</v>
      </c>
      <c r="AR1901" t="s">
        <v>2365</v>
      </c>
      <c r="AS1901" t="s">
        <v>2365</v>
      </c>
      <c r="AT1901" t="s">
        <v>2365</v>
      </c>
      <c r="AU1901" t="s">
        <v>2365</v>
      </c>
      <c r="AV1901" t="s">
        <v>2365</v>
      </c>
      <c r="AW1901" t="s">
        <v>2365</v>
      </c>
      <c r="AX1901" t="s">
        <v>2365</v>
      </c>
      <c r="AY1901" t="s">
        <v>2365</v>
      </c>
      <c r="AZ1901" t="s">
        <v>2365</v>
      </c>
      <c r="BA1901" t="s">
        <v>2365</v>
      </c>
      <c r="BB1901" t="s">
        <v>2365</v>
      </c>
      <c r="BC1901" t="s">
        <v>2365</v>
      </c>
      <c r="BD1901" t="s">
        <v>2366</v>
      </c>
      <c r="BE1901">
        <v>1430</v>
      </c>
      <c r="BF1901" t="s">
        <v>1671</v>
      </c>
      <c r="BG1901">
        <v>1430</v>
      </c>
      <c r="BH1901" t="s">
        <v>1671</v>
      </c>
      <c r="BI1901" t="s">
        <v>1907</v>
      </c>
      <c r="BJ1901" t="s">
        <v>2365</v>
      </c>
      <c r="BK1901" t="s">
        <v>2365</v>
      </c>
      <c r="BL1901" t="s">
        <v>2365</v>
      </c>
      <c r="BM1901" t="s">
        <v>2365</v>
      </c>
      <c r="BO1901">
        <v>1</v>
      </c>
      <c r="BP1901">
        <v>11</v>
      </c>
      <c r="BQ1901" t="s">
        <v>2369</v>
      </c>
      <c r="BR1901" t="s">
        <v>1487</v>
      </c>
      <c r="BU1901">
        <v>0</v>
      </c>
      <c r="BV1901">
        <v>0</v>
      </c>
      <c r="BW1901">
        <v>0</v>
      </c>
      <c r="BX1901">
        <v>0</v>
      </c>
      <c r="BY1901">
        <v>0</v>
      </c>
      <c r="BZ1901">
        <v>0</v>
      </c>
      <c r="CA1901">
        <v>0</v>
      </c>
      <c r="CB1901">
        <v>0</v>
      </c>
      <c r="CC1901">
        <v>0</v>
      </c>
      <c r="CD1901">
        <v>0</v>
      </c>
      <c r="CE1901">
        <v>0</v>
      </c>
      <c r="CF1901">
        <v>0</v>
      </c>
      <c r="CG1901">
        <v>0</v>
      </c>
      <c r="CH1901">
        <v>0</v>
      </c>
      <c r="CI1901">
        <v>0</v>
      </c>
      <c r="CJ1901">
        <v>0</v>
      </c>
      <c r="CK1901">
        <v>0</v>
      </c>
      <c r="CL1901">
        <v>0</v>
      </c>
      <c r="CM1901">
        <v>0</v>
      </c>
      <c r="CR1901" t="s">
        <v>2333</v>
      </c>
      <c r="CS1901" s="1369" t="str">
        <f>INDEX([8]Sheet1!$H:$H,MATCH(CR:CR,[8]Sheet1!$AU:$AU,0))</f>
        <v>Municipal Manager, Town Secretary and Chief Executive</v>
      </c>
    </row>
    <row r="1902" spans="1:97" x14ac:dyDescent="0.2">
      <c r="A1902" t="s">
        <v>5108</v>
      </c>
      <c r="B1902">
        <v>2000</v>
      </c>
      <c r="C1902" t="s">
        <v>5108</v>
      </c>
      <c r="D1902">
        <v>55000</v>
      </c>
      <c r="E1902" t="s">
        <v>4821</v>
      </c>
      <c r="F1902" t="s">
        <v>2364</v>
      </c>
      <c r="G1902" t="s">
        <v>2364</v>
      </c>
      <c r="H1902" t="s">
        <v>2365</v>
      </c>
      <c r="I1902" t="s">
        <v>2365</v>
      </c>
      <c r="J1902" t="s">
        <v>2365</v>
      </c>
      <c r="K1902" t="s">
        <v>2365</v>
      </c>
      <c r="L1902">
        <v>1200</v>
      </c>
      <c r="M1902" t="s">
        <v>1480</v>
      </c>
      <c r="N1902">
        <v>1204</v>
      </c>
      <c r="O1902" t="s">
        <v>1487</v>
      </c>
      <c r="P1902" t="s">
        <v>2366</v>
      </c>
      <c r="Q1902" t="s">
        <v>2364</v>
      </c>
      <c r="R1902" t="s">
        <v>2364</v>
      </c>
      <c r="S1902" t="s">
        <v>553</v>
      </c>
      <c r="T1902" t="s">
        <v>2175</v>
      </c>
      <c r="U1902">
        <v>240</v>
      </c>
      <c r="V1902" t="s">
        <v>2389</v>
      </c>
      <c r="W1902">
        <v>240</v>
      </c>
      <c r="X1902" t="s">
        <v>701</v>
      </c>
      <c r="Y1902" t="s">
        <v>2365</v>
      </c>
      <c r="Z1902" t="s">
        <v>2365</v>
      </c>
      <c r="AA1902" t="s">
        <v>2365</v>
      </c>
      <c r="AB1902" t="s">
        <v>2365</v>
      </c>
      <c r="AC1902" s="813" t="s">
        <v>2365</v>
      </c>
      <c r="AD1902" s="813" t="s">
        <v>2365</v>
      </c>
      <c r="AE1902" s="813" t="s">
        <v>2365</v>
      </c>
      <c r="AF1902" t="s">
        <v>2365</v>
      </c>
      <c r="AG1902">
        <v>1550</v>
      </c>
      <c r="AH1902" t="s">
        <v>1734</v>
      </c>
      <c r="AI1902">
        <v>1550</v>
      </c>
      <c r="AJ1902" t="s">
        <v>1734</v>
      </c>
      <c r="AK1902">
        <v>241</v>
      </c>
      <c r="AL1902" t="s">
        <v>1203</v>
      </c>
      <c r="AM1902">
        <v>241</v>
      </c>
      <c r="AN1902" t="s">
        <v>1203</v>
      </c>
      <c r="AR1902" t="s">
        <v>2365</v>
      </c>
      <c r="AS1902" t="s">
        <v>2365</v>
      </c>
      <c r="AT1902" t="s">
        <v>2365</v>
      </c>
      <c r="AU1902" t="s">
        <v>2365</v>
      </c>
      <c r="AV1902" t="s">
        <v>2365</v>
      </c>
      <c r="AW1902" t="s">
        <v>2365</v>
      </c>
      <c r="AX1902" t="s">
        <v>2365</v>
      </c>
      <c r="AY1902" t="s">
        <v>2365</v>
      </c>
      <c r="AZ1902" t="s">
        <v>2365</v>
      </c>
      <c r="BA1902" t="s">
        <v>2365</v>
      </c>
      <c r="BB1902" t="s">
        <v>2365</v>
      </c>
      <c r="BC1902" t="s">
        <v>2365</v>
      </c>
      <c r="BD1902" t="s">
        <v>2366</v>
      </c>
      <c r="BE1902" t="s">
        <v>2365</v>
      </c>
      <c r="BF1902" t="s">
        <v>2365</v>
      </c>
      <c r="BG1902" t="s">
        <v>2365</v>
      </c>
      <c r="BH1902" t="s">
        <v>2365</v>
      </c>
      <c r="BI1902" t="s">
        <v>2366</v>
      </c>
      <c r="BJ1902" t="s">
        <v>2365</v>
      </c>
      <c r="BK1902" t="s">
        <v>2365</v>
      </c>
      <c r="BL1902" t="s">
        <v>2365</v>
      </c>
      <c r="BM1902" t="s">
        <v>2365</v>
      </c>
      <c r="BO1902">
        <v>1</v>
      </c>
      <c r="BP1902">
        <v>11</v>
      </c>
      <c r="BQ1902" t="s">
        <v>2369</v>
      </c>
      <c r="BR1902" t="s">
        <v>1487</v>
      </c>
      <c r="BU1902">
        <v>0</v>
      </c>
      <c r="BV1902">
        <v>0</v>
      </c>
      <c r="BW1902">
        <v>0</v>
      </c>
      <c r="BX1902">
        <v>0</v>
      </c>
      <c r="BY1902">
        <v>0</v>
      </c>
      <c r="BZ1902">
        <v>0</v>
      </c>
      <c r="CA1902">
        <v>0</v>
      </c>
      <c r="CB1902">
        <v>0</v>
      </c>
      <c r="CC1902">
        <v>0</v>
      </c>
      <c r="CD1902">
        <v>0</v>
      </c>
      <c r="CE1902">
        <v>0</v>
      </c>
      <c r="CF1902">
        <v>0</v>
      </c>
      <c r="CG1902">
        <v>0</v>
      </c>
      <c r="CH1902">
        <v>0</v>
      </c>
      <c r="CI1902">
        <v>0</v>
      </c>
      <c r="CJ1902">
        <v>0</v>
      </c>
      <c r="CK1902">
        <v>0</v>
      </c>
      <c r="CL1902">
        <v>0</v>
      </c>
      <c r="CM1902">
        <v>0</v>
      </c>
      <c r="CR1902" t="s">
        <v>2319</v>
      </c>
      <c r="CS1902" s="1369" t="str">
        <f>INDEX([8]Sheet1!$H:$H,MATCH(CR:CR,[8]Sheet1!$AU:$AU,0))</f>
        <v>Mayor and Council</v>
      </c>
    </row>
    <row r="1903" spans="1:97" x14ac:dyDescent="0.2">
      <c r="A1903" t="s">
        <v>5109</v>
      </c>
      <c r="B1903">
        <v>2001</v>
      </c>
      <c r="C1903" t="s">
        <v>5109</v>
      </c>
      <c r="D1903">
        <v>55001</v>
      </c>
      <c r="E1903" t="s">
        <v>4450</v>
      </c>
      <c r="F1903">
        <v>2300</v>
      </c>
      <c r="G1903" t="s">
        <v>566</v>
      </c>
      <c r="H1903" t="s">
        <v>3312</v>
      </c>
      <c r="I1903" t="s">
        <v>1163</v>
      </c>
      <c r="J1903">
        <v>2301</v>
      </c>
      <c r="K1903" t="s">
        <v>3313</v>
      </c>
      <c r="L1903">
        <v>1200</v>
      </c>
      <c r="M1903" t="s">
        <v>1480</v>
      </c>
      <c r="N1903">
        <v>1204</v>
      </c>
      <c r="O1903" t="s">
        <v>1487</v>
      </c>
      <c r="P1903" t="s">
        <v>2366</v>
      </c>
      <c r="Q1903" t="s">
        <v>2364</v>
      </c>
      <c r="R1903" t="s">
        <v>2364</v>
      </c>
      <c r="S1903" t="s">
        <v>553</v>
      </c>
      <c r="T1903" t="s">
        <v>1812</v>
      </c>
      <c r="U1903" t="s">
        <v>2365</v>
      </c>
      <c r="V1903" t="s">
        <v>2365</v>
      </c>
      <c r="W1903" t="s">
        <v>2365</v>
      </c>
      <c r="X1903" t="s">
        <v>2365</v>
      </c>
      <c r="Y1903" t="s">
        <v>2365</v>
      </c>
      <c r="Z1903" t="s">
        <v>2365</v>
      </c>
      <c r="AA1903" t="s">
        <v>2365</v>
      </c>
      <c r="AB1903" t="s">
        <v>2365</v>
      </c>
      <c r="AC1903" s="813" t="s">
        <v>2365</v>
      </c>
      <c r="AD1903" s="813" t="s">
        <v>2365</v>
      </c>
      <c r="AE1903" s="813" t="s">
        <v>2365</v>
      </c>
      <c r="AF1903" t="s">
        <v>2365</v>
      </c>
      <c r="AG1903" t="s">
        <v>2365</v>
      </c>
      <c r="AH1903" t="s">
        <v>2365</v>
      </c>
      <c r="AI1903" t="s">
        <v>2365</v>
      </c>
      <c r="AJ1903" t="s">
        <v>2365</v>
      </c>
      <c r="AK1903" t="s">
        <v>2365</v>
      </c>
      <c r="AL1903" t="s">
        <v>2365</v>
      </c>
      <c r="AM1903" t="s">
        <v>2365</v>
      </c>
      <c r="AN1903" t="s">
        <v>2365</v>
      </c>
      <c r="AR1903" t="s">
        <v>2365</v>
      </c>
      <c r="AS1903" t="s">
        <v>2365</v>
      </c>
      <c r="AT1903" t="s">
        <v>2365</v>
      </c>
      <c r="AU1903" t="s">
        <v>2365</v>
      </c>
      <c r="AV1903" t="s">
        <v>2365</v>
      </c>
      <c r="AW1903" t="s">
        <v>2365</v>
      </c>
      <c r="AX1903" t="s">
        <v>2365</v>
      </c>
      <c r="AY1903" t="s">
        <v>2365</v>
      </c>
      <c r="AZ1903" t="s">
        <v>2365</v>
      </c>
      <c r="BA1903" t="s">
        <v>2365</v>
      </c>
      <c r="BB1903" t="s">
        <v>2365</v>
      </c>
      <c r="BC1903" t="s">
        <v>2365</v>
      </c>
      <c r="BD1903" t="s">
        <v>2366</v>
      </c>
      <c r="BE1903">
        <v>1470</v>
      </c>
      <c r="BF1903" t="s">
        <v>1674</v>
      </c>
      <c r="BG1903">
        <v>1470</v>
      </c>
      <c r="BH1903" t="s">
        <v>1674</v>
      </c>
      <c r="BI1903" t="s">
        <v>1907</v>
      </c>
      <c r="BJ1903" t="s">
        <v>2365</v>
      </c>
      <c r="BK1903" t="s">
        <v>2365</v>
      </c>
      <c r="BL1903" t="s">
        <v>2365</v>
      </c>
      <c r="BM1903" t="s">
        <v>2365</v>
      </c>
      <c r="BO1903">
        <v>1</v>
      </c>
      <c r="BP1903">
        <v>11</v>
      </c>
      <c r="BQ1903" t="s">
        <v>2369</v>
      </c>
      <c r="BR1903" t="s">
        <v>1487</v>
      </c>
      <c r="BU1903">
        <v>0</v>
      </c>
      <c r="BV1903">
        <v>0</v>
      </c>
      <c r="BW1903">
        <v>0</v>
      </c>
      <c r="BX1903">
        <v>0</v>
      </c>
      <c r="BY1903">
        <v>0</v>
      </c>
      <c r="BZ1903">
        <v>0</v>
      </c>
      <c r="CA1903">
        <v>0</v>
      </c>
      <c r="CB1903">
        <v>0</v>
      </c>
      <c r="CC1903">
        <v>0</v>
      </c>
      <c r="CD1903">
        <v>0</v>
      </c>
      <c r="CE1903">
        <v>0</v>
      </c>
      <c r="CF1903">
        <v>0</v>
      </c>
      <c r="CG1903">
        <v>0</v>
      </c>
      <c r="CH1903">
        <v>0</v>
      </c>
      <c r="CI1903">
        <v>0</v>
      </c>
      <c r="CJ1903">
        <v>0</v>
      </c>
      <c r="CK1903">
        <v>0</v>
      </c>
      <c r="CL1903">
        <v>0</v>
      </c>
      <c r="CM1903">
        <v>0</v>
      </c>
      <c r="CR1903" t="s">
        <v>2319</v>
      </c>
      <c r="CS1903" s="1369" t="str">
        <f>INDEX([8]Sheet1!$H:$H,MATCH(CR:CR,[8]Sheet1!$AU:$AU,0))</f>
        <v>Mayor and Council</v>
      </c>
    </row>
    <row r="1904" spans="1:97" x14ac:dyDescent="0.2">
      <c r="A1904" t="s">
        <v>5110</v>
      </c>
      <c r="B1904">
        <v>2002</v>
      </c>
      <c r="C1904" t="s">
        <v>5110</v>
      </c>
      <c r="D1904">
        <v>55002</v>
      </c>
      <c r="E1904" t="s">
        <v>3321</v>
      </c>
      <c r="F1904">
        <v>2300</v>
      </c>
      <c r="G1904" t="s">
        <v>566</v>
      </c>
      <c r="H1904" t="s">
        <v>3312</v>
      </c>
      <c r="I1904" t="s">
        <v>1163</v>
      </c>
      <c r="J1904">
        <v>2301</v>
      </c>
      <c r="K1904" t="s">
        <v>3313</v>
      </c>
      <c r="L1904">
        <v>1200</v>
      </c>
      <c r="M1904" t="s">
        <v>1480</v>
      </c>
      <c r="N1904">
        <v>1204</v>
      </c>
      <c r="O1904" t="s">
        <v>1487</v>
      </c>
      <c r="P1904" t="s">
        <v>2366</v>
      </c>
      <c r="Q1904" t="s">
        <v>2364</v>
      </c>
      <c r="R1904" t="s">
        <v>2364</v>
      </c>
      <c r="S1904" t="s">
        <v>553</v>
      </c>
      <c r="T1904" t="s">
        <v>1812</v>
      </c>
      <c r="U1904" t="s">
        <v>2365</v>
      </c>
      <c r="V1904" t="s">
        <v>2365</v>
      </c>
      <c r="W1904" t="s">
        <v>2365</v>
      </c>
      <c r="X1904" t="s">
        <v>2365</v>
      </c>
      <c r="Y1904" t="s">
        <v>2365</v>
      </c>
      <c r="Z1904" t="s">
        <v>2365</v>
      </c>
      <c r="AA1904" t="s">
        <v>2365</v>
      </c>
      <c r="AB1904" t="s">
        <v>2365</v>
      </c>
      <c r="AC1904" s="813" t="s">
        <v>2365</v>
      </c>
      <c r="AD1904" s="813" t="s">
        <v>2365</v>
      </c>
      <c r="AE1904" s="813" t="s">
        <v>2365</v>
      </c>
      <c r="AF1904" t="s">
        <v>2365</v>
      </c>
      <c r="AG1904" t="s">
        <v>2365</v>
      </c>
      <c r="AH1904" t="s">
        <v>2365</v>
      </c>
      <c r="AI1904" t="s">
        <v>2365</v>
      </c>
      <c r="AJ1904" t="s">
        <v>2365</v>
      </c>
      <c r="AK1904" t="s">
        <v>2365</v>
      </c>
      <c r="AL1904" t="s">
        <v>2365</v>
      </c>
      <c r="AM1904" t="s">
        <v>2365</v>
      </c>
      <c r="AN1904" t="s">
        <v>2365</v>
      </c>
      <c r="AR1904" t="s">
        <v>2365</v>
      </c>
      <c r="AS1904" t="s">
        <v>2365</v>
      </c>
      <c r="AT1904" t="s">
        <v>2365</v>
      </c>
      <c r="AU1904" t="s">
        <v>2365</v>
      </c>
      <c r="AV1904" t="s">
        <v>2365</v>
      </c>
      <c r="AW1904" t="s">
        <v>2365</v>
      </c>
      <c r="AX1904" t="s">
        <v>2365</v>
      </c>
      <c r="AY1904" t="s">
        <v>2365</v>
      </c>
      <c r="AZ1904" t="s">
        <v>2365</v>
      </c>
      <c r="BA1904" t="s">
        <v>2365</v>
      </c>
      <c r="BB1904" t="s">
        <v>2365</v>
      </c>
      <c r="BC1904" t="s">
        <v>2365</v>
      </c>
      <c r="BD1904" t="s">
        <v>2366</v>
      </c>
      <c r="BE1904">
        <v>1510</v>
      </c>
      <c r="BF1904" t="s">
        <v>1676</v>
      </c>
      <c r="BG1904">
        <v>1510</v>
      </c>
      <c r="BH1904" t="s">
        <v>1676</v>
      </c>
      <c r="BI1904" t="s">
        <v>1907</v>
      </c>
      <c r="BJ1904" t="s">
        <v>2365</v>
      </c>
      <c r="BK1904" t="s">
        <v>2365</v>
      </c>
      <c r="BL1904" t="s">
        <v>2365</v>
      </c>
      <c r="BM1904" t="s">
        <v>2365</v>
      </c>
      <c r="BO1904">
        <v>1</v>
      </c>
      <c r="BP1904">
        <v>11</v>
      </c>
      <c r="BQ1904" t="s">
        <v>2369</v>
      </c>
      <c r="BR1904" t="s">
        <v>1487</v>
      </c>
      <c r="BU1904">
        <v>0</v>
      </c>
      <c r="BV1904">
        <v>0</v>
      </c>
      <c r="BW1904">
        <v>0</v>
      </c>
      <c r="BX1904">
        <v>0</v>
      </c>
      <c r="BY1904">
        <v>0</v>
      </c>
      <c r="BZ1904">
        <v>0</v>
      </c>
      <c r="CA1904">
        <v>0</v>
      </c>
      <c r="CB1904">
        <v>0</v>
      </c>
      <c r="CC1904">
        <v>0</v>
      </c>
      <c r="CD1904">
        <v>0</v>
      </c>
      <c r="CE1904">
        <v>0</v>
      </c>
      <c r="CF1904">
        <v>0</v>
      </c>
      <c r="CG1904">
        <v>0</v>
      </c>
      <c r="CH1904">
        <v>0</v>
      </c>
      <c r="CI1904">
        <v>0</v>
      </c>
      <c r="CJ1904">
        <v>0</v>
      </c>
      <c r="CK1904">
        <v>0</v>
      </c>
      <c r="CL1904">
        <v>0</v>
      </c>
      <c r="CM1904">
        <v>0</v>
      </c>
      <c r="CR1904" t="s">
        <v>2319</v>
      </c>
      <c r="CS1904" s="1369" t="str">
        <f>INDEX([8]Sheet1!$H:$H,MATCH(CR:CR,[8]Sheet1!$AU:$AU,0))</f>
        <v>Mayor and Council</v>
      </c>
    </row>
    <row r="1905" spans="1:97" x14ac:dyDescent="0.2">
      <c r="A1905" t="s">
        <v>5111</v>
      </c>
      <c r="B1905">
        <v>2003</v>
      </c>
      <c r="C1905" t="s">
        <v>5111</v>
      </c>
      <c r="D1905">
        <v>55003</v>
      </c>
      <c r="E1905" t="s">
        <v>2393</v>
      </c>
      <c r="F1905" t="s">
        <v>2364</v>
      </c>
      <c r="G1905" t="s">
        <v>2364</v>
      </c>
      <c r="H1905" t="s">
        <v>2365</v>
      </c>
      <c r="I1905" t="s">
        <v>2365</v>
      </c>
      <c r="J1905" t="s">
        <v>2365</v>
      </c>
      <c r="K1905" t="s">
        <v>2365</v>
      </c>
      <c r="L1905">
        <v>1200</v>
      </c>
      <c r="M1905" t="s">
        <v>1480</v>
      </c>
      <c r="N1905">
        <v>1204</v>
      </c>
      <c r="O1905" t="s">
        <v>1487</v>
      </c>
      <c r="P1905" t="s">
        <v>2366</v>
      </c>
      <c r="Q1905" t="s">
        <v>2364</v>
      </c>
      <c r="R1905" t="s">
        <v>2364</v>
      </c>
      <c r="S1905" t="s">
        <v>553</v>
      </c>
      <c r="T1905" t="s">
        <v>2175</v>
      </c>
      <c r="U1905">
        <v>240</v>
      </c>
      <c r="V1905" t="s">
        <v>2389</v>
      </c>
      <c r="W1905">
        <v>240</v>
      </c>
      <c r="X1905" t="s">
        <v>701</v>
      </c>
      <c r="Y1905" t="s">
        <v>2365</v>
      </c>
      <c r="Z1905" t="s">
        <v>2365</v>
      </c>
      <c r="AA1905" t="s">
        <v>2365</v>
      </c>
      <c r="AB1905" t="s">
        <v>2365</v>
      </c>
      <c r="AC1905" s="813" t="s">
        <v>2365</v>
      </c>
      <c r="AD1905" s="813" t="s">
        <v>2365</v>
      </c>
      <c r="AE1905" s="813" t="s">
        <v>2365</v>
      </c>
      <c r="AF1905" t="s">
        <v>2365</v>
      </c>
      <c r="AG1905">
        <v>1510</v>
      </c>
      <c r="AH1905" t="s">
        <v>1676</v>
      </c>
      <c r="AI1905">
        <v>1510</v>
      </c>
      <c r="AJ1905" t="s">
        <v>1676</v>
      </c>
      <c r="AK1905">
        <v>243</v>
      </c>
      <c r="AL1905" t="s">
        <v>1205</v>
      </c>
      <c r="AM1905">
        <v>243</v>
      </c>
      <c r="AN1905" t="s">
        <v>1205</v>
      </c>
      <c r="AR1905" t="s">
        <v>2365</v>
      </c>
      <c r="AS1905" t="s">
        <v>2365</v>
      </c>
      <c r="AT1905" t="s">
        <v>2365</v>
      </c>
      <c r="AU1905" t="s">
        <v>2365</v>
      </c>
      <c r="AV1905" t="s">
        <v>2365</v>
      </c>
      <c r="AW1905" t="s">
        <v>2365</v>
      </c>
      <c r="AX1905" t="s">
        <v>2365</v>
      </c>
      <c r="AY1905" t="s">
        <v>2365</v>
      </c>
      <c r="AZ1905" t="s">
        <v>2365</v>
      </c>
      <c r="BA1905" t="s">
        <v>2365</v>
      </c>
      <c r="BB1905" t="s">
        <v>2365</v>
      </c>
      <c r="BC1905" t="s">
        <v>2365</v>
      </c>
      <c r="BD1905" t="s">
        <v>2366</v>
      </c>
      <c r="BE1905" t="s">
        <v>2365</v>
      </c>
      <c r="BF1905" t="s">
        <v>2365</v>
      </c>
      <c r="BG1905" t="s">
        <v>2365</v>
      </c>
      <c r="BH1905" t="s">
        <v>2365</v>
      </c>
      <c r="BI1905" t="s">
        <v>2366</v>
      </c>
      <c r="BJ1905" t="s">
        <v>2365</v>
      </c>
      <c r="BK1905" t="s">
        <v>2365</v>
      </c>
      <c r="BL1905" t="s">
        <v>2365</v>
      </c>
      <c r="BM1905" t="s">
        <v>2365</v>
      </c>
      <c r="BO1905">
        <v>1</v>
      </c>
      <c r="BP1905">
        <v>11</v>
      </c>
      <c r="BQ1905" t="s">
        <v>2369</v>
      </c>
      <c r="BR1905" t="s">
        <v>1487</v>
      </c>
      <c r="BU1905">
        <v>0</v>
      </c>
      <c r="BV1905">
        <v>0</v>
      </c>
      <c r="BW1905">
        <v>0</v>
      </c>
      <c r="BX1905">
        <v>0</v>
      </c>
      <c r="BY1905">
        <v>0</v>
      </c>
      <c r="BZ1905">
        <v>0</v>
      </c>
      <c r="CA1905">
        <v>0</v>
      </c>
      <c r="CB1905">
        <v>0</v>
      </c>
      <c r="CC1905">
        <v>0</v>
      </c>
      <c r="CD1905">
        <v>0</v>
      </c>
      <c r="CE1905">
        <v>0</v>
      </c>
      <c r="CF1905">
        <v>0</v>
      </c>
      <c r="CG1905">
        <v>0</v>
      </c>
      <c r="CH1905">
        <v>0</v>
      </c>
      <c r="CI1905">
        <v>0</v>
      </c>
      <c r="CJ1905">
        <v>0</v>
      </c>
      <c r="CK1905">
        <v>0</v>
      </c>
      <c r="CL1905">
        <v>0</v>
      </c>
      <c r="CM1905">
        <v>0</v>
      </c>
      <c r="CR1905" t="s">
        <v>2319</v>
      </c>
      <c r="CS1905" s="1369" t="str">
        <f>INDEX([8]Sheet1!$H:$H,MATCH(CR:CR,[8]Sheet1!$AU:$AU,0))</f>
        <v>Mayor and Council</v>
      </c>
    </row>
    <row r="1906" spans="1:97" x14ac:dyDescent="0.2">
      <c r="A1906" t="s">
        <v>5112</v>
      </c>
      <c r="B1906">
        <v>2004</v>
      </c>
      <c r="C1906" t="s">
        <v>5112</v>
      </c>
      <c r="D1906">
        <v>55004</v>
      </c>
      <c r="E1906" t="s">
        <v>4791</v>
      </c>
      <c r="F1906" t="s">
        <v>2364</v>
      </c>
      <c r="G1906" t="s">
        <v>2364</v>
      </c>
      <c r="H1906" t="s">
        <v>2365</v>
      </c>
      <c r="I1906" t="s">
        <v>2365</v>
      </c>
      <c r="J1906" t="s">
        <v>2365</v>
      </c>
      <c r="K1906" t="s">
        <v>2365</v>
      </c>
      <c r="L1906">
        <v>1200</v>
      </c>
      <c r="M1906" t="s">
        <v>1480</v>
      </c>
      <c r="N1906">
        <v>1204</v>
      </c>
      <c r="O1906" t="s">
        <v>1487</v>
      </c>
      <c r="P1906" t="s">
        <v>2366</v>
      </c>
      <c r="Q1906" t="s">
        <v>2364</v>
      </c>
      <c r="R1906" t="s">
        <v>2364</v>
      </c>
      <c r="S1906" t="s">
        <v>553</v>
      </c>
      <c r="T1906" t="s">
        <v>2175</v>
      </c>
      <c r="U1906">
        <v>240</v>
      </c>
      <c r="V1906" t="s">
        <v>2389</v>
      </c>
      <c r="W1906">
        <v>240</v>
      </c>
      <c r="X1906" t="s">
        <v>701</v>
      </c>
      <c r="Y1906" t="s">
        <v>2365</v>
      </c>
      <c r="Z1906" t="s">
        <v>2365</v>
      </c>
      <c r="AA1906" t="s">
        <v>2365</v>
      </c>
      <c r="AB1906" t="s">
        <v>2365</v>
      </c>
      <c r="AC1906" s="813" t="s">
        <v>2365</v>
      </c>
      <c r="AD1906" s="813" t="s">
        <v>2365</v>
      </c>
      <c r="AE1906" s="813" t="s">
        <v>2365</v>
      </c>
      <c r="AF1906" t="s">
        <v>2365</v>
      </c>
      <c r="AG1906">
        <v>1510</v>
      </c>
      <c r="AH1906" t="s">
        <v>1676</v>
      </c>
      <c r="AI1906">
        <v>1510</v>
      </c>
      <c r="AJ1906" t="s">
        <v>1676</v>
      </c>
      <c r="AK1906">
        <v>243</v>
      </c>
      <c r="AL1906" t="s">
        <v>1205</v>
      </c>
      <c r="AM1906">
        <v>243</v>
      </c>
      <c r="AN1906" t="s">
        <v>1205</v>
      </c>
      <c r="AR1906" t="s">
        <v>2365</v>
      </c>
      <c r="AS1906" t="s">
        <v>2365</v>
      </c>
      <c r="AT1906" t="s">
        <v>2365</v>
      </c>
      <c r="AU1906" t="s">
        <v>2365</v>
      </c>
      <c r="AV1906" t="s">
        <v>2365</v>
      </c>
      <c r="AW1906" t="s">
        <v>2365</v>
      </c>
      <c r="AX1906" t="s">
        <v>2365</v>
      </c>
      <c r="AY1906" t="s">
        <v>2365</v>
      </c>
      <c r="AZ1906" t="s">
        <v>2365</v>
      </c>
      <c r="BA1906" t="s">
        <v>2365</v>
      </c>
      <c r="BB1906" t="s">
        <v>2365</v>
      </c>
      <c r="BC1906" t="s">
        <v>2365</v>
      </c>
      <c r="BD1906" t="s">
        <v>2366</v>
      </c>
      <c r="BE1906" t="s">
        <v>2365</v>
      </c>
      <c r="BF1906" t="s">
        <v>2365</v>
      </c>
      <c r="BG1906" t="s">
        <v>2365</v>
      </c>
      <c r="BH1906" t="s">
        <v>2365</v>
      </c>
      <c r="BI1906" t="s">
        <v>2366</v>
      </c>
      <c r="BJ1906" t="s">
        <v>2365</v>
      </c>
      <c r="BK1906" t="s">
        <v>2365</v>
      </c>
      <c r="BL1906" t="s">
        <v>2365</v>
      </c>
      <c r="BM1906" t="s">
        <v>2365</v>
      </c>
      <c r="BO1906">
        <v>1</v>
      </c>
      <c r="BP1906">
        <v>11</v>
      </c>
      <c r="BQ1906" t="s">
        <v>2369</v>
      </c>
      <c r="BR1906" t="s">
        <v>1487</v>
      </c>
      <c r="BU1906">
        <v>0</v>
      </c>
      <c r="BV1906">
        <v>0</v>
      </c>
      <c r="BW1906" s="1371">
        <v>0</v>
      </c>
      <c r="BX1906" s="1372">
        <v>0</v>
      </c>
      <c r="BY1906">
        <v>0</v>
      </c>
      <c r="BZ1906">
        <v>0</v>
      </c>
      <c r="CA1906">
        <v>0</v>
      </c>
      <c r="CB1906">
        <v>0</v>
      </c>
      <c r="CC1906">
        <v>0</v>
      </c>
      <c r="CD1906">
        <v>0</v>
      </c>
      <c r="CE1906">
        <v>0</v>
      </c>
      <c r="CF1906">
        <v>0</v>
      </c>
      <c r="CG1906">
        <v>0</v>
      </c>
      <c r="CH1906">
        <v>0</v>
      </c>
      <c r="CI1906">
        <v>0</v>
      </c>
      <c r="CJ1906">
        <v>0</v>
      </c>
      <c r="CK1906">
        <v>0</v>
      </c>
      <c r="CL1906">
        <v>0</v>
      </c>
      <c r="CM1906">
        <v>0</v>
      </c>
      <c r="CR1906" t="s">
        <v>2324</v>
      </c>
      <c r="CS1906" s="1369" t="str">
        <f>INDEX([8]Sheet1!$H:$H,MATCH(CR:CR,[8]Sheet1!$AU:$AU,0))</f>
        <v>Finance</v>
      </c>
    </row>
    <row r="1907" spans="1:97" x14ac:dyDescent="0.2">
      <c r="A1907" t="s">
        <v>5113</v>
      </c>
      <c r="B1907">
        <v>2005</v>
      </c>
      <c r="C1907" t="s">
        <v>5113</v>
      </c>
      <c r="D1907">
        <v>55005</v>
      </c>
      <c r="E1907" t="s">
        <v>4797</v>
      </c>
      <c r="F1907" t="s">
        <v>2364</v>
      </c>
      <c r="G1907" t="s">
        <v>2364</v>
      </c>
      <c r="H1907" t="s">
        <v>2365</v>
      </c>
      <c r="I1907" t="s">
        <v>2365</v>
      </c>
      <c r="J1907" t="s">
        <v>2365</v>
      </c>
      <c r="K1907" t="s">
        <v>2365</v>
      </c>
      <c r="L1907">
        <v>1200</v>
      </c>
      <c r="M1907" t="s">
        <v>1480</v>
      </c>
      <c r="N1907">
        <v>1204</v>
      </c>
      <c r="O1907" t="s">
        <v>1487</v>
      </c>
      <c r="P1907" t="s">
        <v>2366</v>
      </c>
      <c r="Q1907" t="s">
        <v>2364</v>
      </c>
      <c r="R1907" t="s">
        <v>2364</v>
      </c>
      <c r="S1907" t="s">
        <v>553</v>
      </c>
      <c r="T1907" t="s">
        <v>2175</v>
      </c>
      <c r="U1907">
        <v>240</v>
      </c>
      <c r="V1907" t="s">
        <v>2389</v>
      </c>
      <c r="W1907">
        <v>240</v>
      </c>
      <c r="X1907" t="s">
        <v>701</v>
      </c>
      <c r="Y1907" t="s">
        <v>2365</v>
      </c>
      <c r="Z1907" t="s">
        <v>2365</v>
      </c>
      <c r="AA1907" t="s">
        <v>2365</v>
      </c>
      <c r="AB1907" t="s">
        <v>2365</v>
      </c>
      <c r="AC1907" s="813" t="s">
        <v>2365</v>
      </c>
      <c r="AD1907" s="813" t="s">
        <v>2365</v>
      </c>
      <c r="AE1907" s="813" t="s">
        <v>2365</v>
      </c>
      <c r="AF1907" t="s">
        <v>2365</v>
      </c>
      <c r="AG1907">
        <v>1490</v>
      </c>
      <c r="AH1907" t="s">
        <v>1675</v>
      </c>
      <c r="AI1907">
        <v>1490</v>
      </c>
      <c r="AJ1907" t="s">
        <v>1675</v>
      </c>
      <c r="AK1907" s="1373">
        <v>241</v>
      </c>
      <c r="AL1907" t="s">
        <v>1203</v>
      </c>
      <c r="AM1907">
        <v>241</v>
      </c>
      <c r="AN1907" t="s">
        <v>1203</v>
      </c>
      <c r="AR1907" t="s">
        <v>2365</v>
      </c>
      <c r="AS1907" t="s">
        <v>2365</v>
      </c>
      <c r="AT1907" t="s">
        <v>2365</v>
      </c>
      <c r="AU1907" t="s">
        <v>2365</v>
      </c>
      <c r="AV1907" t="s">
        <v>2365</v>
      </c>
      <c r="AW1907" t="s">
        <v>2365</v>
      </c>
      <c r="AX1907" t="s">
        <v>2365</v>
      </c>
      <c r="AY1907" t="s">
        <v>2365</v>
      </c>
      <c r="AZ1907" t="s">
        <v>2365</v>
      </c>
      <c r="BA1907" t="s">
        <v>2365</v>
      </c>
      <c r="BB1907" t="s">
        <v>2365</v>
      </c>
      <c r="BC1907" t="s">
        <v>2365</v>
      </c>
      <c r="BD1907" t="s">
        <v>2366</v>
      </c>
      <c r="BE1907" t="s">
        <v>2365</v>
      </c>
      <c r="BF1907" t="s">
        <v>2365</v>
      </c>
      <c r="BG1907" t="s">
        <v>2365</v>
      </c>
      <c r="BH1907" t="s">
        <v>2365</v>
      </c>
      <c r="BI1907" t="s">
        <v>2366</v>
      </c>
      <c r="BJ1907" t="s">
        <v>2365</v>
      </c>
      <c r="BK1907" t="s">
        <v>2365</v>
      </c>
      <c r="BL1907" t="s">
        <v>2365</v>
      </c>
      <c r="BM1907" t="s">
        <v>2365</v>
      </c>
      <c r="BO1907">
        <v>1</v>
      </c>
      <c r="BP1907">
        <v>11</v>
      </c>
      <c r="BQ1907" t="s">
        <v>2369</v>
      </c>
      <c r="BR1907" t="s">
        <v>1487</v>
      </c>
      <c r="BU1907">
        <v>0</v>
      </c>
      <c r="BV1907">
        <v>0</v>
      </c>
      <c r="BW1907">
        <v>0</v>
      </c>
      <c r="BX1907">
        <v>0</v>
      </c>
      <c r="BY1907">
        <v>0</v>
      </c>
      <c r="BZ1907">
        <v>0</v>
      </c>
      <c r="CA1907">
        <v>0</v>
      </c>
      <c r="CB1907">
        <v>0</v>
      </c>
      <c r="CC1907">
        <v>0</v>
      </c>
      <c r="CD1907">
        <v>0</v>
      </c>
      <c r="CE1907">
        <v>0</v>
      </c>
      <c r="CF1907">
        <v>0</v>
      </c>
      <c r="CG1907">
        <v>0</v>
      </c>
      <c r="CH1907">
        <v>0</v>
      </c>
      <c r="CI1907">
        <v>0</v>
      </c>
      <c r="CJ1907">
        <v>0</v>
      </c>
      <c r="CK1907">
        <v>0</v>
      </c>
      <c r="CL1907">
        <v>0</v>
      </c>
      <c r="CM1907">
        <v>0</v>
      </c>
      <c r="CR1907" t="s">
        <v>2324</v>
      </c>
      <c r="CS1907" s="1369" t="str">
        <f>INDEX([8]Sheet1!$H:$H,MATCH(CR:CR,[8]Sheet1!$AU:$AU,0))</f>
        <v>Finance</v>
      </c>
    </row>
    <row r="1908" spans="1:97" x14ac:dyDescent="0.2">
      <c r="A1908" t="s">
        <v>5114</v>
      </c>
      <c r="B1908">
        <v>2006</v>
      </c>
      <c r="C1908" t="s">
        <v>5114</v>
      </c>
      <c r="D1908">
        <v>55006</v>
      </c>
      <c r="E1908" t="s">
        <v>4793</v>
      </c>
      <c r="F1908" t="s">
        <v>2364</v>
      </c>
      <c r="G1908" t="s">
        <v>2364</v>
      </c>
      <c r="H1908" t="s">
        <v>2365</v>
      </c>
      <c r="I1908" t="s">
        <v>2365</v>
      </c>
      <c r="J1908" t="s">
        <v>2365</v>
      </c>
      <c r="K1908" t="s">
        <v>2365</v>
      </c>
      <c r="L1908">
        <v>1200</v>
      </c>
      <c r="M1908" t="s">
        <v>1480</v>
      </c>
      <c r="N1908">
        <v>1204</v>
      </c>
      <c r="O1908" t="s">
        <v>1487</v>
      </c>
      <c r="P1908" t="s">
        <v>2366</v>
      </c>
      <c r="Q1908" t="s">
        <v>2364</v>
      </c>
      <c r="R1908" t="s">
        <v>2364</v>
      </c>
      <c r="S1908" t="s">
        <v>553</v>
      </c>
      <c r="T1908" t="s">
        <v>2175</v>
      </c>
      <c r="U1908">
        <v>240</v>
      </c>
      <c r="V1908" t="s">
        <v>2389</v>
      </c>
      <c r="W1908">
        <v>240</v>
      </c>
      <c r="X1908" t="s">
        <v>701</v>
      </c>
      <c r="Y1908" t="s">
        <v>2365</v>
      </c>
      <c r="Z1908" t="s">
        <v>2365</v>
      </c>
      <c r="AA1908" t="s">
        <v>2365</v>
      </c>
      <c r="AB1908" t="s">
        <v>2365</v>
      </c>
      <c r="AC1908" s="813" t="s">
        <v>2365</v>
      </c>
      <c r="AD1908" s="813" t="s">
        <v>2365</v>
      </c>
      <c r="AE1908" s="813" t="s">
        <v>2365</v>
      </c>
      <c r="AF1908" t="s">
        <v>2365</v>
      </c>
      <c r="AG1908">
        <v>1490</v>
      </c>
      <c r="AH1908" t="s">
        <v>1675</v>
      </c>
      <c r="AI1908">
        <v>1490</v>
      </c>
      <c r="AJ1908" t="s">
        <v>1675</v>
      </c>
      <c r="AK1908" s="1373">
        <v>243</v>
      </c>
      <c r="AL1908" t="s">
        <v>1205</v>
      </c>
      <c r="AM1908">
        <v>243</v>
      </c>
      <c r="AN1908" t="s">
        <v>1205</v>
      </c>
      <c r="AR1908" t="s">
        <v>2365</v>
      </c>
      <c r="AS1908" t="s">
        <v>2365</v>
      </c>
      <c r="AT1908" t="s">
        <v>2365</v>
      </c>
      <c r="AU1908" t="s">
        <v>2365</v>
      </c>
      <c r="AV1908" t="s">
        <v>2365</v>
      </c>
      <c r="AW1908" t="s">
        <v>2365</v>
      </c>
      <c r="AX1908" t="s">
        <v>2365</v>
      </c>
      <c r="AY1908" t="s">
        <v>2365</v>
      </c>
      <c r="AZ1908" t="s">
        <v>2365</v>
      </c>
      <c r="BA1908" t="s">
        <v>2365</v>
      </c>
      <c r="BB1908" t="s">
        <v>2365</v>
      </c>
      <c r="BC1908" t="s">
        <v>2365</v>
      </c>
      <c r="BD1908" t="s">
        <v>2366</v>
      </c>
      <c r="BE1908" t="s">
        <v>2365</v>
      </c>
      <c r="BF1908" t="s">
        <v>2365</v>
      </c>
      <c r="BG1908" t="s">
        <v>2365</v>
      </c>
      <c r="BH1908" t="s">
        <v>2365</v>
      </c>
      <c r="BI1908" t="s">
        <v>2366</v>
      </c>
      <c r="BJ1908" t="s">
        <v>2365</v>
      </c>
      <c r="BK1908" t="s">
        <v>2365</v>
      </c>
      <c r="BL1908" t="s">
        <v>2365</v>
      </c>
      <c r="BM1908" t="s">
        <v>2365</v>
      </c>
      <c r="BO1908">
        <v>1</v>
      </c>
      <c r="BP1908">
        <v>11</v>
      </c>
      <c r="BQ1908" t="s">
        <v>2369</v>
      </c>
      <c r="BR1908" t="s">
        <v>1487</v>
      </c>
      <c r="BU1908">
        <v>0</v>
      </c>
      <c r="BV1908">
        <v>0</v>
      </c>
      <c r="BW1908">
        <v>0</v>
      </c>
      <c r="BX1908">
        <v>0</v>
      </c>
      <c r="BY1908">
        <v>0</v>
      </c>
      <c r="BZ1908">
        <v>0</v>
      </c>
      <c r="CA1908">
        <v>0</v>
      </c>
      <c r="CB1908">
        <v>0</v>
      </c>
      <c r="CC1908">
        <v>0</v>
      </c>
      <c r="CD1908">
        <v>0</v>
      </c>
      <c r="CE1908">
        <v>0</v>
      </c>
      <c r="CF1908">
        <v>0</v>
      </c>
      <c r="CG1908">
        <v>0</v>
      </c>
      <c r="CH1908">
        <v>0</v>
      </c>
      <c r="CI1908">
        <v>0</v>
      </c>
      <c r="CJ1908">
        <v>0</v>
      </c>
      <c r="CK1908">
        <v>0</v>
      </c>
      <c r="CL1908">
        <v>0</v>
      </c>
      <c r="CM1908">
        <v>0</v>
      </c>
      <c r="CR1908" t="s">
        <v>2324</v>
      </c>
      <c r="CS1908" s="1369" t="str">
        <f>INDEX([8]Sheet1!$H:$H,MATCH(CR:CR,[8]Sheet1!$AU:$AU,0))</f>
        <v>Finance</v>
      </c>
    </row>
    <row r="1909" spans="1:97" x14ac:dyDescent="0.2">
      <c r="A1909" t="s">
        <v>5115</v>
      </c>
      <c r="B1909">
        <v>2007</v>
      </c>
      <c r="C1909" t="s">
        <v>5115</v>
      </c>
      <c r="D1909">
        <v>55007</v>
      </c>
      <c r="E1909" t="s">
        <v>2391</v>
      </c>
      <c r="F1909" t="s">
        <v>2364</v>
      </c>
      <c r="G1909" t="s">
        <v>2364</v>
      </c>
      <c r="H1909" t="s">
        <v>2365</v>
      </c>
      <c r="I1909" t="s">
        <v>2365</v>
      </c>
      <c r="J1909" t="s">
        <v>2365</v>
      </c>
      <c r="K1909" t="s">
        <v>2365</v>
      </c>
      <c r="L1909">
        <v>1200</v>
      </c>
      <c r="M1909" t="s">
        <v>1480</v>
      </c>
      <c r="N1909">
        <v>1204</v>
      </c>
      <c r="O1909" t="s">
        <v>1487</v>
      </c>
      <c r="P1909" t="s">
        <v>2366</v>
      </c>
      <c r="Q1909" t="s">
        <v>2364</v>
      </c>
      <c r="R1909" t="s">
        <v>2364</v>
      </c>
      <c r="S1909" t="s">
        <v>553</v>
      </c>
      <c r="T1909" t="s">
        <v>2175</v>
      </c>
      <c r="U1909">
        <v>240</v>
      </c>
      <c r="V1909" t="s">
        <v>2389</v>
      </c>
      <c r="W1909">
        <v>240</v>
      </c>
      <c r="X1909" t="s">
        <v>701</v>
      </c>
      <c r="Y1909" t="s">
        <v>2365</v>
      </c>
      <c r="Z1909" t="s">
        <v>2365</v>
      </c>
      <c r="AA1909" t="s">
        <v>2365</v>
      </c>
      <c r="AB1909" t="s">
        <v>2365</v>
      </c>
      <c r="AC1909" s="813" t="s">
        <v>2365</v>
      </c>
      <c r="AD1909" s="813" t="s">
        <v>2365</v>
      </c>
      <c r="AE1909" s="813" t="s">
        <v>2365</v>
      </c>
      <c r="AF1909" t="s">
        <v>2365</v>
      </c>
      <c r="AG1909">
        <v>1490</v>
      </c>
      <c r="AH1909" t="s">
        <v>1675</v>
      </c>
      <c r="AI1909">
        <v>1490</v>
      </c>
      <c r="AJ1909" t="s">
        <v>1675</v>
      </c>
      <c r="AK1909" s="1373">
        <v>243</v>
      </c>
      <c r="AL1909" t="s">
        <v>1205</v>
      </c>
      <c r="AM1909">
        <v>243</v>
      </c>
      <c r="AN1909" t="s">
        <v>1205</v>
      </c>
      <c r="AR1909" t="s">
        <v>2365</v>
      </c>
      <c r="AS1909" t="s">
        <v>2365</v>
      </c>
      <c r="AT1909" t="s">
        <v>2365</v>
      </c>
      <c r="AU1909" t="s">
        <v>2365</v>
      </c>
      <c r="AV1909" t="s">
        <v>2365</v>
      </c>
      <c r="AW1909" t="s">
        <v>2365</v>
      </c>
      <c r="AX1909" t="s">
        <v>2365</v>
      </c>
      <c r="AY1909" t="s">
        <v>2365</v>
      </c>
      <c r="AZ1909" t="s">
        <v>2365</v>
      </c>
      <c r="BA1909" t="s">
        <v>2365</v>
      </c>
      <c r="BB1909" t="s">
        <v>2365</v>
      </c>
      <c r="BC1909" t="s">
        <v>2365</v>
      </c>
      <c r="BD1909" t="s">
        <v>2366</v>
      </c>
      <c r="BE1909" t="s">
        <v>2365</v>
      </c>
      <c r="BF1909" t="s">
        <v>2365</v>
      </c>
      <c r="BG1909" t="s">
        <v>2365</v>
      </c>
      <c r="BH1909" t="s">
        <v>2365</v>
      </c>
      <c r="BI1909" t="s">
        <v>2366</v>
      </c>
      <c r="BJ1909" t="s">
        <v>2365</v>
      </c>
      <c r="BK1909" t="s">
        <v>2365</v>
      </c>
      <c r="BL1909" t="s">
        <v>2365</v>
      </c>
      <c r="BM1909" t="s">
        <v>2365</v>
      </c>
      <c r="BO1909">
        <v>1</v>
      </c>
      <c r="BP1909">
        <v>11</v>
      </c>
      <c r="BQ1909" t="s">
        <v>2369</v>
      </c>
      <c r="BR1909" t="s">
        <v>1487</v>
      </c>
      <c r="BU1909">
        <v>0</v>
      </c>
      <c r="BV1909">
        <v>0</v>
      </c>
      <c r="BW1909">
        <v>0</v>
      </c>
      <c r="BX1909">
        <v>0</v>
      </c>
      <c r="BY1909">
        <v>0</v>
      </c>
      <c r="BZ1909">
        <v>0</v>
      </c>
      <c r="CA1909">
        <v>0</v>
      </c>
      <c r="CB1909">
        <v>0</v>
      </c>
      <c r="CC1909">
        <v>0</v>
      </c>
      <c r="CD1909">
        <v>0</v>
      </c>
      <c r="CE1909">
        <v>0</v>
      </c>
      <c r="CF1909">
        <v>0</v>
      </c>
      <c r="CG1909">
        <v>0</v>
      </c>
      <c r="CH1909">
        <v>0</v>
      </c>
      <c r="CI1909">
        <v>0</v>
      </c>
      <c r="CJ1909">
        <v>0</v>
      </c>
      <c r="CK1909">
        <v>0</v>
      </c>
      <c r="CL1909">
        <v>0</v>
      </c>
      <c r="CM1909">
        <v>0</v>
      </c>
      <c r="CR1909" t="s">
        <v>2324</v>
      </c>
      <c r="CS1909" s="1369" t="str">
        <f>INDEX([8]Sheet1!$H:$H,MATCH(CR:CR,[8]Sheet1!$AU:$AU,0))</f>
        <v>Finance</v>
      </c>
    </row>
    <row r="1910" spans="1:97" x14ac:dyDescent="0.2">
      <c r="A1910" t="s">
        <v>5116</v>
      </c>
      <c r="B1910">
        <v>2008</v>
      </c>
      <c r="C1910" t="s">
        <v>5116</v>
      </c>
      <c r="D1910">
        <v>55008</v>
      </c>
      <c r="E1910" t="s">
        <v>4805</v>
      </c>
      <c r="F1910" t="s">
        <v>2364</v>
      </c>
      <c r="G1910" t="s">
        <v>2364</v>
      </c>
      <c r="H1910" t="s">
        <v>2365</v>
      </c>
      <c r="I1910" t="s">
        <v>2365</v>
      </c>
      <c r="J1910" t="s">
        <v>2365</v>
      </c>
      <c r="K1910" t="s">
        <v>2365</v>
      </c>
      <c r="L1910">
        <v>1200</v>
      </c>
      <c r="M1910" t="s">
        <v>1480</v>
      </c>
      <c r="N1910">
        <v>1204</v>
      </c>
      <c r="O1910" t="s">
        <v>1487</v>
      </c>
      <c r="P1910" t="s">
        <v>2366</v>
      </c>
      <c r="Q1910" t="s">
        <v>2364</v>
      </c>
      <c r="R1910" t="s">
        <v>2364</v>
      </c>
      <c r="S1910" t="s">
        <v>553</v>
      </c>
      <c r="T1910" t="s">
        <v>2175</v>
      </c>
      <c r="U1910">
        <v>240</v>
      </c>
      <c r="V1910" t="s">
        <v>2389</v>
      </c>
      <c r="W1910">
        <v>240</v>
      </c>
      <c r="X1910" t="s">
        <v>701</v>
      </c>
      <c r="Y1910" t="s">
        <v>2365</v>
      </c>
      <c r="Z1910" t="s">
        <v>2365</v>
      </c>
      <c r="AA1910" t="s">
        <v>2365</v>
      </c>
      <c r="AB1910" t="s">
        <v>2365</v>
      </c>
      <c r="AC1910" s="813" t="s">
        <v>2365</v>
      </c>
      <c r="AD1910" s="813" t="s">
        <v>2365</v>
      </c>
      <c r="AE1910" s="813" t="s">
        <v>2365</v>
      </c>
      <c r="AF1910" t="s">
        <v>2365</v>
      </c>
      <c r="AG1910">
        <v>1470</v>
      </c>
      <c r="AH1910" t="s">
        <v>1674</v>
      </c>
      <c r="AI1910">
        <v>1470</v>
      </c>
      <c r="AJ1910" t="s">
        <v>1674</v>
      </c>
      <c r="AK1910" s="1373">
        <v>241</v>
      </c>
      <c r="AL1910" t="s">
        <v>1203</v>
      </c>
      <c r="AM1910">
        <v>241</v>
      </c>
      <c r="AN1910" t="s">
        <v>1203</v>
      </c>
      <c r="AR1910" t="s">
        <v>2365</v>
      </c>
      <c r="AS1910" t="s">
        <v>2365</v>
      </c>
      <c r="AT1910" t="s">
        <v>2365</v>
      </c>
      <c r="AU1910" t="s">
        <v>2365</v>
      </c>
      <c r="AV1910" t="s">
        <v>2365</v>
      </c>
      <c r="AW1910" t="s">
        <v>2365</v>
      </c>
      <c r="AX1910" t="s">
        <v>2365</v>
      </c>
      <c r="AY1910" t="s">
        <v>2365</v>
      </c>
      <c r="AZ1910" t="s">
        <v>2365</v>
      </c>
      <c r="BA1910" t="s">
        <v>2365</v>
      </c>
      <c r="BB1910" t="s">
        <v>2365</v>
      </c>
      <c r="BC1910" t="s">
        <v>2365</v>
      </c>
      <c r="BD1910" t="s">
        <v>2366</v>
      </c>
      <c r="BE1910" t="s">
        <v>2365</v>
      </c>
      <c r="BF1910" t="s">
        <v>2365</v>
      </c>
      <c r="BG1910" t="s">
        <v>2365</v>
      </c>
      <c r="BH1910" t="s">
        <v>2365</v>
      </c>
      <c r="BI1910" t="s">
        <v>2366</v>
      </c>
      <c r="BJ1910" t="s">
        <v>2365</v>
      </c>
      <c r="BK1910" t="s">
        <v>2365</v>
      </c>
      <c r="BL1910" t="s">
        <v>2365</v>
      </c>
      <c r="BM1910" t="s">
        <v>2365</v>
      </c>
      <c r="BO1910">
        <v>1</v>
      </c>
      <c r="BP1910">
        <v>11</v>
      </c>
      <c r="BQ1910" t="s">
        <v>2369</v>
      </c>
      <c r="BR1910" t="s">
        <v>1487</v>
      </c>
      <c r="BU1910">
        <v>0</v>
      </c>
      <c r="BV1910">
        <v>0</v>
      </c>
      <c r="BW1910">
        <v>0</v>
      </c>
      <c r="BX1910">
        <v>0</v>
      </c>
      <c r="BY1910">
        <v>0</v>
      </c>
      <c r="BZ1910">
        <v>0</v>
      </c>
      <c r="CA1910">
        <v>0</v>
      </c>
      <c r="CB1910">
        <v>0</v>
      </c>
      <c r="CC1910">
        <v>0</v>
      </c>
      <c r="CD1910">
        <v>0</v>
      </c>
      <c r="CE1910">
        <v>0</v>
      </c>
      <c r="CF1910">
        <v>0</v>
      </c>
      <c r="CG1910">
        <v>0</v>
      </c>
      <c r="CH1910">
        <v>0</v>
      </c>
      <c r="CI1910">
        <v>0</v>
      </c>
      <c r="CJ1910">
        <v>0</v>
      </c>
      <c r="CK1910">
        <v>0</v>
      </c>
      <c r="CL1910">
        <v>0</v>
      </c>
      <c r="CM1910">
        <v>0</v>
      </c>
      <c r="CR1910" t="s">
        <v>2324</v>
      </c>
      <c r="CS1910" s="1369" t="str">
        <f>INDEX([8]Sheet1!$H:$H,MATCH(CR:CR,[8]Sheet1!$AU:$AU,0))</f>
        <v>Finance</v>
      </c>
    </row>
    <row r="1911" spans="1:97" x14ac:dyDescent="0.2">
      <c r="A1911" t="s">
        <v>5117</v>
      </c>
      <c r="B1911">
        <v>2009</v>
      </c>
      <c r="C1911" t="s">
        <v>5117</v>
      </c>
      <c r="D1911">
        <v>55009</v>
      </c>
      <c r="E1911" t="s">
        <v>4807</v>
      </c>
      <c r="F1911" t="s">
        <v>2364</v>
      </c>
      <c r="G1911" t="s">
        <v>2364</v>
      </c>
      <c r="H1911" t="s">
        <v>2365</v>
      </c>
      <c r="I1911" t="s">
        <v>2365</v>
      </c>
      <c r="J1911" t="s">
        <v>2365</v>
      </c>
      <c r="K1911" t="s">
        <v>2365</v>
      </c>
      <c r="L1911">
        <v>1200</v>
      </c>
      <c r="M1911" t="s">
        <v>1480</v>
      </c>
      <c r="N1911">
        <v>1204</v>
      </c>
      <c r="O1911" t="s">
        <v>1487</v>
      </c>
      <c r="P1911" t="s">
        <v>2366</v>
      </c>
      <c r="Q1911" t="s">
        <v>2364</v>
      </c>
      <c r="R1911" t="s">
        <v>2364</v>
      </c>
      <c r="S1911" t="s">
        <v>553</v>
      </c>
      <c r="T1911" t="s">
        <v>2175</v>
      </c>
      <c r="U1911">
        <v>240</v>
      </c>
      <c r="V1911" t="s">
        <v>2389</v>
      </c>
      <c r="W1911">
        <v>240</v>
      </c>
      <c r="X1911" t="s">
        <v>701</v>
      </c>
      <c r="Y1911" t="s">
        <v>2365</v>
      </c>
      <c r="Z1911" t="s">
        <v>2365</v>
      </c>
      <c r="AA1911" t="s">
        <v>2365</v>
      </c>
      <c r="AB1911" t="s">
        <v>2365</v>
      </c>
      <c r="AC1911" s="813" t="s">
        <v>2365</v>
      </c>
      <c r="AD1911" s="813" t="s">
        <v>2365</v>
      </c>
      <c r="AE1911" s="813" t="s">
        <v>2365</v>
      </c>
      <c r="AF1911" t="s">
        <v>2365</v>
      </c>
      <c r="AG1911">
        <v>1470</v>
      </c>
      <c r="AH1911" t="s">
        <v>1674</v>
      </c>
      <c r="AI1911">
        <v>1470</v>
      </c>
      <c r="AJ1911" t="s">
        <v>1674</v>
      </c>
      <c r="AK1911" s="1373">
        <v>243</v>
      </c>
      <c r="AL1911" t="s">
        <v>1205</v>
      </c>
      <c r="AM1911">
        <v>243</v>
      </c>
      <c r="AN1911" t="s">
        <v>1205</v>
      </c>
      <c r="AR1911" t="s">
        <v>2365</v>
      </c>
      <c r="AS1911" t="s">
        <v>2365</v>
      </c>
      <c r="AT1911" t="s">
        <v>2365</v>
      </c>
      <c r="AU1911" t="s">
        <v>2365</v>
      </c>
      <c r="AV1911" t="s">
        <v>2365</v>
      </c>
      <c r="AW1911" t="s">
        <v>2365</v>
      </c>
      <c r="AX1911" t="s">
        <v>2365</v>
      </c>
      <c r="AY1911" t="s">
        <v>2365</v>
      </c>
      <c r="AZ1911" t="s">
        <v>2365</v>
      </c>
      <c r="BA1911" t="s">
        <v>2365</v>
      </c>
      <c r="BB1911" t="s">
        <v>2365</v>
      </c>
      <c r="BC1911" t="s">
        <v>2365</v>
      </c>
      <c r="BD1911" t="s">
        <v>2366</v>
      </c>
      <c r="BE1911" t="s">
        <v>2365</v>
      </c>
      <c r="BF1911" t="s">
        <v>2365</v>
      </c>
      <c r="BG1911" t="s">
        <v>2365</v>
      </c>
      <c r="BH1911" t="s">
        <v>2365</v>
      </c>
      <c r="BI1911" t="s">
        <v>2366</v>
      </c>
      <c r="BJ1911" t="s">
        <v>2365</v>
      </c>
      <c r="BK1911" t="s">
        <v>2365</v>
      </c>
      <c r="BL1911" t="s">
        <v>2365</v>
      </c>
      <c r="BM1911" t="s">
        <v>2365</v>
      </c>
      <c r="BO1911">
        <v>1</v>
      </c>
      <c r="BP1911">
        <v>11</v>
      </c>
      <c r="BQ1911" t="s">
        <v>2369</v>
      </c>
      <c r="BR1911" t="s">
        <v>1487</v>
      </c>
      <c r="BU1911">
        <v>0</v>
      </c>
      <c r="BV1911">
        <v>0</v>
      </c>
      <c r="BW1911">
        <v>0</v>
      </c>
      <c r="BX1911">
        <v>0</v>
      </c>
      <c r="BY1911">
        <v>0</v>
      </c>
      <c r="BZ1911">
        <v>0</v>
      </c>
      <c r="CA1911">
        <v>0</v>
      </c>
      <c r="CB1911">
        <v>0</v>
      </c>
      <c r="CC1911">
        <v>0</v>
      </c>
      <c r="CD1911">
        <v>0</v>
      </c>
      <c r="CE1911">
        <v>0</v>
      </c>
      <c r="CF1911">
        <v>0</v>
      </c>
      <c r="CG1911">
        <v>0</v>
      </c>
      <c r="CH1911">
        <v>0</v>
      </c>
      <c r="CI1911">
        <v>0</v>
      </c>
      <c r="CJ1911">
        <v>0</v>
      </c>
      <c r="CK1911">
        <v>0</v>
      </c>
      <c r="CL1911">
        <v>0</v>
      </c>
      <c r="CM1911">
        <v>0</v>
      </c>
      <c r="CR1911" t="s">
        <v>2324</v>
      </c>
      <c r="CS1911" s="1369" t="str">
        <f>INDEX([8]Sheet1!$H:$H,MATCH(CR:CR,[8]Sheet1!$AU:$AU,0))</f>
        <v>Finance</v>
      </c>
    </row>
    <row r="1912" spans="1:97" x14ac:dyDescent="0.2">
      <c r="A1912" t="s">
        <v>5118</v>
      </c>
      <c r="B1912">
        <v>2010</v>
      </c>
      <c r="C1912" t="s">
        <v>5118</v>
      </c>
      <c r="D1912">
        <v>55010</v>
      </c>
      <c r="E1912" t="s">
        <v>2388</v>
      </c>
      <c r="F1912" t="s">
        <v>2364</v>
      </c>
      <c r="G1912" t="s">
        <v>2364</v>
      </c>
      <c r="H1912" t="s">
        <v>2365</v>
      </c>
      <c r="I1912" t="s">
        <v>2365</v>
      </c>
      <c r="J1912" t="s">
        <v>2365</v>
      </c>
      <c r="K1912" t="s">
        <v>2365</v>
      </c>
      <c r="L1912">
        <v>1200</v>
      </c>
      <c r="M1912" t="s">
        <v>1480</v>
      </c>
      <c r="N1912">
        <v>1204</v>
      </c>
      <c r="O1912" t="s">
        <v>1487</v>
      </c>
      <c r="P1912" t="s">
        <v>2366</v>
      </c>
      <c r="Q1912" t="s">
        <v>2364</v>
      </c>
      <c r="R1912" t="s">
        <v>2364</v>
      </c>
      <c r="S1912" t="s">
        <v>553</v>
      </c>
      <c r="T1912" t="s">
        <v>2175</v>
      </c>
      <c r="U1912">
        <v>240</v>
      </c>
      <c r="V1912" t="s">
        <v>2389</v>
      </c>
      <c r="W1912">
        <v>240</v>
      </c>
      <c r="X1912" t="s">
        <v>701</v>
      </c>
      <c r="Y1912" t="s">
        <v>2365</v>
      </c>
      <c r="Z1912" t="s">
        <v>2365</v>
      </c>
      <c r="AA1912" t="s">
        <v>2365</v>
      </c>
      <c r="AB1912" t="s">
        <v>2365</v>
      </c>
      <c r="AC1912" s="813" t="s">
        <v>2365</v>
      </c>
      <c r="AD1912" s="813" t="s">
        <v>2365</v>
      </c>
      <c r="AE1912" s="813" t="s">
        <v>2365</v>
      </c>
      <c r="AF1912" t="s">
        <v>2365</v>
      </c>
      <c r="AG1912">
        <v>1470</v>
      </c>
      <c r="AH1912" t="s">
        <v>1674</v>
      </c>
      <c r="AI1912">
        <v>1470</v>
      </c>
      <c r="AJ1912" t="s">
        <v>1674</v>
      </c>
      <c r="AK1912">
        <v>243</v>
      </c>
      <c r="AL1912" t="s">
        <v>1205</v>
      </c>
      <c r="AM1912">
        <v>243</v>
      </c>
      <c r="AN1912" t="s">
        <v>1205</v>
      </c>
      <c r="AR1912" t="s">
        <v>2365</v>
      </c>
      <c r="AS1912" t="s">
        <v>2365</v>
      </c>
      <c r="AT1912" t="s">
        <v>2365</v>
      </c>
      <c r="AU1912" t="s">
        <v>2365</v>
      </c>
      <c r="AV1912" t="s">
        <v>2365</v>
      </c>
      <c r="AW1912" t="s">
        <v>2365</v>
      </c>
      <c r="AX1912" t="s">
        <v>2365</v>
      </c>
      <c r="AY1912" t="s">
        <v>2365</v>
      </c>
      <c r="AZ1912" t="s">
        <v>2365</v>
      </c>
      <c r="BA1912" t="s">
        <v>2365</v>
      </c>
      <c r="BB1912" t="s">
        <v>2365</v>
      </c>
      <c r="BC1912" t="s">
        <v>2365</v>
      </c>
      <c r="BD1912" t="s">
        <v>2366</v>
      </c>
      <c r="BE1912" t="s">
        <v>2365</v>
      </c>
      <c r="BF1912" t="s">
        <v>2365</v>
      </c>
      <c r="BG1912" t="s">
        <v>2365</v>
      </c>
      <c r="BH1912" t="s">
        <v>2365</v>
      </c>
      <c r="BI1912" t="s">
        <v>2366</v>
      </c>
      <c r="BJ1912" t="s">
        <v>2365</v>
      </c>
      <c r="BK1912" t="s">
        <v>2365</v>
      </c>
      <c r="BL1912" t="s">
        <v>2365</v>
      </c>
      <c r="BM1912" t="s">
        <v>2365</v>
      </c>
      <c r="BO1912">
        <v>1</v>
      </c>
      <c r="BP1912">
        <v>11</v>
      </c>
      <c r="BQ1912" t="s">
        <v>2369</v>
      </c>
      <c r="BR1912" t="s">
        <v>1487</v>
      </c>
      <c r="BU1912">
        <v>0</v>
      </c>
      <c r="BV1912">
        <v>0</v>
      </c>
      <c r="BW1912">
        <v>0</v>
      </c>
      <c r="BX1912">
        <v>0</v>
      </c>
      <c r="BY1912">
        <v>0</v>
      </c>
      <c r="BZ1912">
        <v>0</v>
      </c>
      <c r="CA1912">
        <v>0</v>
      </c>
      <c r="CB1912">
        <v>0</v>
      </c>
      <c r="CC1912">
        <v>0</v>
      </c>
      <c r="CD1912">
        <v>0</v>
      </c>
      <c r="CE1912">
        <v>0</v>
      </c>
      <c r="CF1912">
        <v>0</v>
      </c>
      <c r="CG1912">
        <v>0</v>
      </c>
      <c r="CH1912">
        <v>0</v>
      </c>
      <c r="CI1912">
        <v>0</v>
      </c>
      <c r="CJ1912">
        <v>0</v>
      </c>
      <c r="CK1912">
        <v>0</v>
      </c>
      <c r="CL1912">
        <v>0</v>
      </c>
      <c r="CM1912">
        <v>0</v>
      </c>
      <c r="CR1912" t="s">
        <v>2324</v>
      </c>
      <c r="CS1912" s="1369" t="str">
        <f>INDEX([8]Sheet1!$H:$H,MATCH(CR:CR,[8]Sheet1!$AU:$AU,0))</f>
        <v>Finance</v>
      </c>
    </row>
    <row r="1913" spans="1:97" x14ac:dyDescent="0.2">
      <c r="A1913" t="s">
        <v>5119</v>
      </c>
      <c r="B1913">
        <v>2011</v>
      </c>
      <c r="C1913" t="s">
        <v>5119</v>
      </c>
      <c r="D1913">
        <v>55011</v>
      </c>
      <c r="E1913" t="s">
        <v>4274</v>
      </c>
      <c r="F1913" t="s">
        <v>2364</v>
      </c>
      <c r="G1913" t="s">
        <v>2364</v>
      </c>
      <c r="H1913" t="s">
        <v>2365</v>
      </c>
      <c r="I1913" t="s">
        <v>2365</v>
      </c>
      <c r="J1913" t="s">
        <v>2365</v>
      </c>
      <c r="K1913" t="s">
        <v>2365</v>
      </c>
      <c r="L1913">
        <v>1200</v>
      </c>
      <c r="M1913" t="s">
        <v>1480</v>
      </c>
      <c r="N1913">
        <v>1204</v>
      </c>
      <c r="O1913" t="s">
        <v>1487</v>
      </c>
      <c r="P1913" t="s">
        <v>2366</v>
      </c>
      <c r="Q1913" t="s">
        <v>2364</v>
      </c>
      <c r="R1913" t="s">
        <v>2364</v>
      </c>
      <c r="S1913" t="s">
        <v>553</v>
      </c>
      <c r="T1913" t="s">
        <v>2175</v>
      </c>
      <c r="U1913">
        <v>270</v>
      </c>
      <c r="V1913" t="s">
        <v>2372</v>
      </c>
      <c r="W1913">
        <v>270</v>
      </c>
      <c r="X1913" t="s">
        <v>704</v>
      </c>
      <c r="Y1913" t="s">
        <v>2365</v>
      </c>
      <c r="Z1913" t="s">
        <v>2365</v>
      </c>
      <c r="AA1913" t="s">
        <v>2365</v>
      </c>
      <c r="AB1913" t="s">
        <v>2365</v>
      </c>
      <c r="AC1913" s="813" t="s">
        <v>2365</v>
      </c>
      <c r="AD1913" s="813" t="s">
        <v>2365</v>
      </c>
      <c r="AE1913" s="813" t="s">
        <v>2365</v>
      </c>
      <c r="AF1913" t="s">
        <v>2365</v>
      </c>
      <c r="AG1913">
        <v>1370</v>
      </c>
      <c r="AH1913" t="s">
        <v>1665</v>
      </c>
      <c r="AI1913">
        <v>1370</v>
      </c>
      <c r="AJ1913" t="s">
        <v>1665</v>
      </c>
      <c r="AK1913" t="s">
        <v>2365</v>
      </c>
      <c r="AL1913" t="s">
        <v>2365</v>
      </c>
      <c r="AM1913" t="s">
        <v>2365</v>
      </c>
      <c r="AN1913" t="s">
        <v>2365</v>
      </c>
      <c r="AR1913" t="s">
        <v>2365</v>
      </c>
      <c r="AS1913" t="s">
        <v>2365</v>
      </c>
      <c r="AT1913" t="s">
        <v>2365</v>
      </c>
      <c r="AU1913" t="s">
        <v>2365</v>
      </c>
      <c r="AV1913" t="s">
        <v>2365</v>
      </c>
      <c r="AW1913" t="s">
        <v>2365</v>
      </c>
      <c r="AX1913" t="s">
        <v>2365</v>
      </c>
      <c r="AY1913" t="s">
        <v>2365</v>
      </c>
      <c r="AZ1913" t="s">
        <v>2365</v>
      </c>
      <c r="BA1913" t="s">
        <v>2365</v>
      </c>
      <c r="BB1913" t="s">
        <v>2365</v>
      </c>
      <c r="BC1913" t="s">
        <v>2365</v>
      </c>
      <c r="BD1913" t="s">
        <v>2366</v>
      </c>
      <c r="BE1913" t="s">
        <v>2365</v>
      </c>
      <c r="BF1913" t="s">
        <v>2365</v>
      </c>
      <c r="BG1913" t="s">
        <v>2365</v>
      </c>
      <c r="BH1913" t="s">
        <v>2365</v>
      </c>
      <c r="BI1913" t="s">
        <v>2366</v>
      </c>
      <c r="BJ1913" t="s">
        <v>2365</v>
      </c>
      <c r="BK1913" t="s">
        <v>2365</v>
      </c>
      <c r="BL1913" t="s">
        <v>2365</v>
      </c>
      <c r="BM1913" t="s">
        <v>2365</v>
      </c>
      <c r="BO1913">
        <v>1</v>
      </c>
      <c r="BP1913">
        <v>11</v>
      </c>
      <c r="BQ1913" t="s">
        <v>2369</v>
      </c>
      <c r="BR1913" t="s">
        <v>1487</v>
      </c>
      <c r="BU1913">
        <v>0</v>
      </c>
      <c r="BV1913">
        <v>0</v>
      </c>
      <c r="BW1913">
        <v>0</v>
      </c>
      <c r="BX1913">
        <v>0</v>
      </c>
      <c r="BY1913">
        <v>0</v>
      </c>
      <c r="BZ1913">
        <v>0</v>
      </c>
      <c r="CA1913">
        <v>0</v>
      </c>
      <c r="CB1913">
        <v>0</v>
      </c>
      <c r="CC1913">
        <v>0</v>
      </c>
      <c r="CD1913">
        <v>0</v>
      </c>
      <c r="CE1913">
        <v>0</v>
      </c>
      <c r="CF1913">
        <v>0</v>
      </c>
      <c r="CG1913">
        <v>0</v>
      </c>
      <c r="CH1913">
        <v>0</v>
      </c>
      <c r="CI1913">
        <v>0</v>
      </c>
      <c r="CJ1913">
        <v>0</v>
      </c>
      <c r="CK1913">
        <v>0</v>
      </c>
      <c r="CL1913">
        <v>0</v>
      </c>
      <c r="CM1913">
        <v>0</v>
      </c>
      <c r="CR1913" t="s">
        <v>2324</v>
      </c>
      <c r="CS1913" s="1369" t="str">
        <f>INDEX([8]Sheet1!$H:$H,MATCH(CR:CR,[8]Sheet1!$AU:$AU,0))</f>
        <v>Finance</v>
      </c>
    </row>
    <row r="1914" spans="1:97" x14ac:dyDescent="0.2">
      <c r="A1914" t="s">
        <v>5120</v>
      </c>
      <c r="B1914">
        <v>2012</v>
      </c>
      <c r="C1914" t="s">
        <v>5120</v>
      </c>
      <c r="D1914">
        <v>55012</v>
      </c>
      <c r="E1914" t="s">
        <v>5121</v>
      </c>
      <c r="F1914" t="s">
        <v>2364</v>
      </c>
      <c r="G1914" t="s">
        <v>2364</v>
      </c>
      <c r="H1914" t="s">
        <v>2365</v>
      </c>
      <c r="I1914" t="s">
        <v>2365</v>
      </c>
      <c r="J1914" t="s">
        <v>2365</v>
      </c>
      <c r="K1914" t="s">
        <v>2365</v>
      </c>
      <c r="L1914">
        <v>1200</v>
      </c>
      <c r="M1914" t="s">
        <v>1480</v>
      </c>
      <c r="N1914">
        <v>1204</v>
      </c>
      <c r="O1914" t="s">
        <v>1487</v>
      </c>
      <c r="P1914" t="s">
        <v>2366</v>
      </c>
      <c r="Q1914" t="s">
        <v>2364</v>
      </c>
      <c r="R1914" t="s">
        <v>2364</v>
      </c>
      <c r="S1914" t="s">
        <v>553</v>
      </c>
      <c r="T1914" t="s">
        <v>2175</v>
      </c>
      <c r="U1914">
        <v>270</v>
      </c>
      <c r="V1914" t="s">
        <v>2372</v>
      </c>
      <c r="W1914">
        <v>270</v>
      </c>
      <c r="X1914" t="s">
        <v>704</v>
      </c>
      <c r="Y1914" t="s">
        <v>2365</v>
      </c>
      <c r="Z1914" t="s">
        <v>2365</v>
      </c>
      <c r="AA1914" t="s">
        <v>2365</v>
      </c>
      <c r="AB1914" t="s">
        <v>2365</v>
      </c>
      <c r="AC1914" s="813" t="s">
        <v>2365</v>
      </c>
      <c r="AD1914" s="813" t="s">
        <v>2365</v>
      </c>
      <c r="AE1914" s="813" t="s">
        <v>2365</v>
      </c>
      <c r="AF1914" t="s">
        <v>2365</v>
      </c>
      <c r="AG1914">
        <v>1370</v>
      </c>
      <c r="AH1914" t="s">
        <v>1665</v>
      </c>
      <c r="AI1914">
        <v>1370</v>
      </c>
      <c r="AJ1914" t="s">
        <v>1665</v>
      </c>
      <c r="AK1914" t="s">
        <v>2365</v>
      </c>
      <c r="AL1914" t="s">
        <v>2365</v>
      </c>
      <c r="AM1914" t="s">
        <v>2365</v>
      </c>
      <c r="AN1914" t="s">
        <v>2365</v>
      </c>
      <c r="AR1914" t="s">
        <v>2365</v>
      </c>
      <c r="AS1914" t="s">
        <v>2365</v>
      </c>
      <c r="AT1914" t="s">
        <v>2365</v>
      </c>
      <c r="AU1914" t="s">
        <v>2365</v>
      </c>
      <c r="AV1914" t="s">
        <v>2365</v>
      </c>
      <c r="AW1914" t="s">
        <v>2365</v>
      </c>
      <c r="AX1914" t="s">
        <v>2365</v>
      </c>
      <c r="AY1914" t="s">
        <v>2365</v>
      </c>
      <c r="AZ1914" t="s">
        <v>2365</v>
      </c>
      <c r="BA1914" t="s">
        <v>2365</v>
      </c>
      <c r="BB1914" t="s">
        <v>2365</v>
      </c>
      <c r="BC1914" t="s">
        <v>2365</v>
      </c>
      <c r="BD1914" t="s">
        <v>2366</v>
      </c>
      <c r="BE1914" t="s">
        <v>2365</v>
      </c>
      <c r="BF1914" t="s">
        <v>2365</v>
      </c>
      <c r="BG1914" t="s">
        <v>2365</v>
      </c>
      <c r="BH1914" t="s">
        <v>2365</v>
      </c>
      <c r="BI1914" t="s">
        <v>2366</v>
      </c>
      <c r="BJ1914" t="s">
        <v>2365</v>
      </c>
      <c r="BK1914" t="s">
        <v>2365</v>
      </c>
      <c r="BL1914" t="s">
        <v>2365</v>
      </c>
      <c r="BM1914" t="s">
        <v>2365</v>
      </c>
      <c r="BO1914">
        <v>1</v>
      </c>
      <c r="BP1914">
        <v>11</v>
      </c>
      <c r="BQ1914" t="s">
        <v>2369</v>
      </c>
      <c r="BR1914" t="s">
        <v>1487</v>
      </c>
      <c r="BU1914">
        <v>0</v>
      </c>
      <c r="BV1914">
        <v>0</v>
      </c>
      <c r="BW1914">
        <v>0</v>
      </c>
      <c r="BX1914">
        <v>0</v>
      </c>
      <c r="BY1914">
        <v>0</v>
      </c>
      <c r="BZ1914">
        <v>0</v>
      </c>
      <c r="CA1914">
        <v>0</v>
      </c>
      <c r="CB1914">
        <v>0</v>
      </c>
      <c r="CC1914">
        <v>0</v>
      </c>
      <c r="CD1914">
        <v>0</v>
      </c>
      <c r="CE1914">
        <v>0</v>
      </c>
      <c r="CF1914">
        <v>0</v>
      </c>
      <c r="CG1914">
        <v>0</v>
      </c>
      <c r="CH1914">
        <v>0</v>
      </c>
      <c r="CI1914">
        <v>0</v>
      </c>
      <c r="CJ1914">
        <v>0</v>
      </c>
      <c r="CK1914">
        <v>0</v>
      </c>
      <c r="CL1914">
        <v>0</v>
      </c>
      <c r="CM1914">
        <v>0</v>
      </c>
      <c r="CR1914" t="s">
        <v>2324</v>
      </c>
      <c r="CS1914" s="1369" t="str">
        <f>INDEX([8]Sheet1!$H:$H,MATCH(CR:CR,[8]Sheet1!$AU:$AU,0))</f>
        <v>Finance</v>
      </c>
    </row>
    <row r="1915" spans="1:97" x14ac:dyDescent="0.2">
      <c r="A1915" t="s">
        <v>5122</v>
      </c>
      <c r="B1915">
        <v>2013</v>
      </c>
      <c r="C1915" t="s">
        <v>5122</v>
      </c>
      <c r="D1915">
        <v>55013</v>
      </c>
      <c r="E1915" t="s">
        <v>2691</v>
      </c>
      <c r="F1915" t="s">
        <v>2364</v>
      </c>
      <c r="G1915" t="s">
        <v>2364</v>
      </c>
      <c r="H1915" t="s">
        <v>2365</v>
      </c>
      <c r="I1915" t="s">
        <v>2365</v>
      </c>
      <c r="J1915" t="s">
        <v>2365</v>
      </c>
      <c r="K1915" t="s">
        <v>2365</v>
      </c>
      <c r="L1915">
        <v>3200</v>
      </c>
      <c r="M1915" t="s">
        <v>625</v>
      </c>
      <c r="N1915">
        <v>3205</v>
      </c>
      <c r="O1915" t="s">
        <v>1002</v>
      </c>
      <c r="P1915" t="s">
        <v>1846</v>
      </c>
      <c r="Q1915">
        <v>2080</v>
      </c>
      <c r="R1915" t="s">
        <v>579</v>
      </c>
      <c r="S1915" t="s">
        <v>552</v>
      </c>
      <c r="T1915" t="s">
        <v>2175</v>
      </c>
      <c r="U1915">
        <v>240</v>
      </c>
      <c r="V1915" t="s">
        <v>2389</v>
      </c>
      <c r="W1915">
        <v>240</v>
      </c>
      <c r="X1915" t="s">
        <v>701</v>
      </c>
      <c r="Y1915" t="s">
        <v>2365</v>
      </c>
      <c r="Z1915" t="s">
        <v>2365</v>
      </c>
      <c r="AA1915" t="s">
        <v>2365</v>
      </c>
      <c r="AB1915" t="s">
        <v>2365</v>
      </c>
      <c r="AC1915" s="813" t="s">
        <v>2365</v>
      </c>
      <c r="AD1915" s="813" t="s">
        <v>2365</v>
      </c>
      <c r="AE1915" s="813" t="s">
        <v>2365</v>
      </c>
      <c r="AF1915" t="s">
        <v>2365</v>
      </c>
      <c r="AG1915">
        <v>110</v>
      </c>
      <c r="AH1915" t="s">
        <v>1568</v>
      </c>
      <c r="AI1915">
        <v>110</v>
      </c>
      <c r="AJ1915" t="s">
        <v>1568</v>
      </c>
      <c r="AK1915">
        <v>241</v>
      </c>
      <c r="AL1915" t="s">
        <v>1203</v>
      </c>
      <c r="AM1915">
        <v>241</v>
      </c>
      <c r="AN1915" t="s">
        <v>1203</v>
      </c>
      <c r="AR1915">
        <v>120</v>
      </c>
      <c r="AS1915" t="s">
        <v>1002</v>
      </c>
      <c r="AT1915">
        <v>120</v>
      </c>
      <c r="AU1915" t="s">
        <v>1002</v>
      </c>
      <c r="AV1915" t="s">
        <v>2365</v>
      </c>
      <c r="AW1915" t="s">
        <v>2365</v>
      </c>
      <c r="AX1915" t="s">
        <v>2365</v>
      </c>
      <c r="AY1915" t="s">
        <v>2365</v>
      </c>
      <c r="AZ1915" t="s">
        <v>2365</v>
      </c>
      <c r="BA1915" t="s">
        <v>2365</v>
      </c>
      <c r="BB1915" t="s">
        <v>2365</v>
      </c>
      <c r="BC1915" t="s">
        <v>2365</v>
      </c>
      <c r="BD1915" t="s">
        <v>2366</v>
      </c>
      <c r="BE1915" t="s">
        <v>2365</v>
      </c>
      <c r="BF1915" t="s">
        <v>2365</v>
      </c>
      <c r="BG1915" t="s">
        <v>2365</v>
      </c>
      <c r="BH1915" t="s">
        <v>2365</v>
      </c>
      <c r="BI1915" t="s">
        <v>2366</v>
      </c>
      <c r="BJ1915" t="s">
        <v>2365</v>
      </c>
      <c r="BK1915" t="s">
        <v>2365</v>
      </c>
      <c r="BL1915" t="s">
        <v>2365</v>
      </c>
      <c r="BM1915" t="s">
        <v>2365</v>
      </c>
      <c r="BO1915">
        <v>7</v>
      </c>
      <c r="BP1915">
        <v>71</v>
      </c>
      <c r="BQ1915" t="s">
        <v>2665</v>
      </c>
      <c r="BR1915" t="s">
        <v>1002</v>
      </c>
      <c r="BU1915">
        <v>0</v>
      </c>
      <c r="BV1915">
        <v>1129150</v>
      </c>
      <c r="BW1915">
        <v>1129150</v>
      </c>
      <c r="BX1915">
        <v>-1129150</v>
      </c>
      <c r="BY1915">
        <v>0</v>
      </c>
      <c r="BZ1915">
        <v>0</v>
      </c>
      <c r="CA1915">
        <v>0</v>
      </c>
      <c r="CB1915">
        <v>0</v>
      </c>
      <c r="CC1915">
        <v>0</v>
      </c>
      <c r="CD1915">
        <v>0</v>
      </c>
      <c r="CE1915">
        <v>574550</v>
      </c>
      <c r="CF1915">
        <v>0</v>
      </c>
      <c r="CG1915">
        <v>0</v>
      </c>
      <c r="CH1915">
        <v>0</v>
      </c>
      <c r="CI1915">
        <v>0</v>
      </c>
      <c r="CJ1915">
        <v>0</v>
      </c>
      <c r="CK1915">
        <v>0</v>
      </c>
      <c r="CL1915">
        <v>0</v>
      </c>
      <c r="CM1915">
        <v>0</v>
      </c>
      <c r="CR1915" t="s">
        <v>2324</v>
      </c>
      <c r="CS1915" s="1369" t="str">
        <f>INDEX([8]Sheet1!$H:$H,MATCH(CR:CR,[8]Sheet1!$AU:$AU,0))</f>
        <v>Finance</v>
      </c>
    </row>
    <row r="1916" spans="1:97" x14ac:dyDescent="0.2">
      <c r="A1916" t="s">
        <v>5123</v>
      </c>
      <c r="B1916">
        <v>2014</v>
      </c>
      <c r="C1916" t="s">
        <v>5123</v>
      </c>
      <c r="D1916">
        <v>55014</v>
      </c>
      <c r="E1916" t="s">
        <v>2691</v>
      </c>
      <c r="F1916" t="s">
        <v>2364</v>
      </c>
      <c r="G1916" t="s">
        <v>2364</v>
      </c>
      <c r="H1916" t="s">
        <v>2365</v>
      </c>
      <c r="I1916" t="s">
        <v>2365</v>
      </c>
      <c r="J1916" t="s">
        <v>2365</v>
      </c>
      <c r="K1916" t="s">
        <v>2365</v>
      </c>
      <c r="L1916">
        <v>3200</v>
      </c>
      <c r="M1916" t="s">
        <v>625</v>
      </c>
      <c r="N1916">
        <v>3205</v>
      </c>
      <c r="O1916" t="s">
        <v>1002</v>
      </c>
      <c r="P1916" t="s">
        <v>1846</v>
      </c>
      <c r="Q1916">
        <v>2080</v>
      </c>
      <c r="R1916" t="s">
        <v>579</v>
      </c>
      <c r="S1916" t="s">
        <v>552</v>
      </c>
      <c r="T1916" t="s">
        <v>2175</v>
      </c>
      <c r="U1916">
        <v>240</v>
      </c>
      <c r="V1916" t="s">
        <v>2389</v>
      </c>
      <c r="W1916">
        <v>240</v>
      </c>
      <c r="X1916" t="s">
        <v>701</v>
      </c>
      <c r="Y1916" t="s">
        <v>2365</v>
      </c>
      <c r="Z1916" t="s">
        <v>2365</v>
      </c>
      <c r="AA1916" t="s">
        <v>2365</v>
      </c>
      <c r="AB1916" t="s">
        <v>2365</v>
      </c>
      <c r="AC1916" s="813" t="s">
        <v>2365</v>
      </c>
      <c r="AD1916" s="813" t="s">
        <v>2365</v>
      </c>
      <c r="AE1916" s="813" t="s">
        <v>2365</v>
      </c>
      <c r="AF1916" t="s">
        <v>2365</v>
      </c>
      <c r="AG1916">
        <v>110</v>
      </c>
      <c r="AH1916" t="s">
        <v>1568</v>
      </c>
      <c r="AI1916">
        <v>110</v>
      </c>
      <c r="AJ1916" t="s">
        <v>1568</v>
      </c>
      <c r="AK1916">
        <v>241</v>
      </c>
      <c r="AL1916" t="s">
        <v>1203</v>
      </c>
      <c r="AM1916">
        <v>241</v>
      </c>
      <c r="AN1916" t="s">
        <v>1203</v>
      </c>
      <c r="AR1916">
        <v>120</v>
      </c>
      <c r="AS1916" t="s">
        <v>1002</v>
      </c>
      <c r="AT1916">
        <v>120</v>
      </c>
      <c r="AU1916" t="s">
        <v>1002</v>
      </c>
      <c r="AV1916" t="s">
        <v>2365</v>
      </c>
      <c r="AW1916" t="s">
        <v>2365</v>
      </c>
      <c r="AX1916" t="s">
        <v>2365</v>
      </c>
      <c r="AY1916" t="s">
        <v>2365</v>
      </c>
      <c r="AZ1916" t="s">
        <v>2365</v>
      </c>
      <c r="BA1916" t="s">
        <v>2365</v>
      </c>
      <c r="BB1916" t="s">
        <v>2365</v>
      </c>
      <c r="BC1916" t="s">
        <v>2365</v>
      </c>
      <c r="BD1916" t="s">
        <v>2366</v>
      </c>
      <c r="BE1916" t="s">
        <v>2365</v>
      </c>
      <c r="BF1916" t="s">
        <v>2365</v>
      </c>
      <c r="BG1916" t="s">
        <v>2365</v>
      </c>
      <c r="BH1916" t="s">
        <v>2365</v>
      </c>
      <c r="BI1916" t="s">
        <v>2366</v>
      </c>
      <c r="BJ1916" t="s">
        <v>2365</v>
      </c>
      <c r="BK1916" t="s">
        <v>2365</v>
      </c>
      <c r="BL1916" t="s">
        <v>2365</v>
      </c>
      <c r="BM1916" t="s">
        <v>2365</v>
      </c>
      <c r="BO1916">
        <v>7</v>
      </c>
      <c r="BP1916">
        <v>71</v>
      </c>
      <c r="BQ1916" t="s">
        <v>2665</v>
      </c>
      <c r="BR1916" t="s">
        <v>1002</v>
      </c>
      <c r="BU1916">
        <v>0</v>
      </c>
      <c r="BV1916">
        <v>0</v>
      </c>
      <c r="BW1916">
        <v>0</v>
      </c>
      <c r="BX1916">
        <v>938675</v>
      </c>
      <c r="BY1916">
        <v>938675</v>
      </c>
      <c r="BZ1916">
        <v>0</v>
      </c>
      <c r="CA1916">
        <v>0</v>
      </c>
      <c r="CB1916">
        <v>0</v>
      </c>
      <c r="CC1916">
        <v>0</v>
      </c>
      <c r="CD1916">
        <v>0</v>
      </c>
      <c r="CE1916">
        <v>938675</v>
      </c>
      <c r="CF1916">
        <v>0</v>
      </c>
      <c r="CG1916">
        <v>0</v>
      </c>
      <c r="CH1916">
        <v>0</v>
      </c>
      <c r="CI1916">
        <v>0</v>
      </c>
      <c r="CJ1916">
        <v>0</v>
      </c>
      <c r="CK1916">
        <v>0</v>
      </c>
      <c r="CL1916">
        <v>0</v>
      </c>
      <c r="CM1916">
        <v>0</v>
      </c>
      <c r="CR1916" t="s">
        <v>2324</v>
      </c>
      <c r="CS1916" s="1369" t="str">
        <f>INDEX([8]Sheet1!$H:$H,MATCH(CR:CR,[8]Sheet1!$AU:$AU,0))</f>
        <v>Finance</v>
      </c>
    </row>
    <row r="1917" spans="1:97" x14ac:dyDescent="0.2">
      <c r="A1917" t="s">
        <v>5124</v>
      </c>
      <c r="B1917">
        <v>2015</v>
      </c>
      <c r="C1917" t="s">
        <v>5124</v>
      </c>
      <c r="D1917">
        <v>55015</v>
      </c>
      <c r="E1917" t="s">
        <v>2691</v>
      </c>
      <c r="F1917" t="s">
        <v>2364</v>
      </c>
      <c r="G1917" t="s">
        <v>2364</v>
      </c>
      <c r="H1917" t="s">
        <v>2365</v>
      </c>
      <c r="I1917" t="s">
        <v>2365</v>
      </c>
      <c r="J1917" t="s">
        <v>2365</v>
      </c>
      <c r="K1917" t="s">
        <v>2365</v>
      </c>
      <c r="L1917">
        <v>3200</v>
      </c>
      <c r="M1917" t="s">
        <v>625</v>
      </c>
      <c r="N1917">
        <v>3205</v>
      </c>
      <c r="O1917" t="s">
        <v>1002</v>
      </c>
      <c r="P1917" t="s">
        <v>1846</v>
      </c>
      <c r="Q1917">
        <v>2080</v>
      </c>
      <c r="R1917" t="s">
        <v>579</v>
      </c>
      <c r="S1917" t="s">
        <v>552</v>
      </c>
      <c r="T1917" t="s">
        <v>2175</v>
      </c>
      <c r="U1917">
        <v>240</v>
      </c>
      <c r="V1917" t="s">
        <v>2389</v>
      </c>
      <c r="W1917">
        <v>240</v>
      </c>
      <c r="X1917" t="s">
        <v>701</v>
      </c>
      <c r="Y1917" t="s">
        <v>2365</v>
      </c>
      <c r="Z1917" t="s">
        <v>2365</v>
      </c>
      <c r="AA1917" t="s">
        <v>2365</v>
      </c>
      <c r="AB1917" t="s">
        <v>2365</v>
      </c>
      <c r="AC1917" s="813" t="s">
        <v>2365</v>
      </c>
      <c r="AD1917" s="813" t="s">
        <v>2365</v>
      </c>
      <c r="AE1917" s="813" t="s">
        <v>2365</v>
      </c>
      <c r="AF1917" t="s">
        <v>2365</v>
      </c>
      <c r="AG1917">
        <v>110</v>
      </c>
      <c r="AH1917" t="s">
        <v>1568</v>
      </c>
      <c r="AI1917">
        <v>110</v>
      </c>
      <c r="AJ1917" t="s">
        <v>1568</v>
      </c>
      <c r="AK1917">
        <v>241</v>
      </c>
      <c r="AL1917" t="s">
        <v>1203</v>
      </c>
      <c r="AM1917">
        <v>241</v>
      </c>
      <c r="AN1917" t="s">
        <v>1203</v>
      </c>
      <c r="AR1917">
        <v>120</v>
      </c>
      <c r="AS1917" t="s">
        <v>1002</v>
      </c>
      <c r="AT1917">
        <v>120</v>
      </c>
      <c r="AU1917" t="s">
        <v>1002</v>
      </c>
      <c r="AV1917" t="s">
        <v>2365</v>
      </c>
      <c r="AW1917" t="s">
        <v>2365</v>
      </c>
      <c r="AX1917" t="s">
        <v>2365</v>
      </c>
      <c r="AY1917" t="s">
        <v>2365</v>
      </c>
      <c r="AZ1917" t="s">
        <v>2365</v>
      </c>
      <c r="BA1917" t="s">
        <v>2365</v>
      </c>
      <c r="BB1917" t="s">
        <v>2365</v>
      </c>
      <c r="BC1917" t="s">
        <v>2365</v>
      </c>
      <c r="BD1917" t="s">
        <v>2366</v>
      </c>
      <c r="BE1917" t="s">
        <v>2365</v>
      </c>
      <c r="BF1917" t="s">
        <v>2365</v>
      </c>
      <c r="BG1917" t="s">
        <v>2365</v>
      </c>
      <c r="BH1917" t="s">
        <v>2365</v>
      </c>
      <c r="BI1917" t="s">
        <v>2366</v>
      </c>
      <c r="BJ1917" t="s">
        <v>2365</v>
      </c>
      <c r="BK1917" t="s">
        <v>2365</v>
      </c>
      <c r="BL1917" t="s">
        <v>2365</v>
      </c>
      <c r="BM1917" t="s">
        <v>2365</v>
      </c>
      <c r="BO1917">
        <v>7</v>
      </c>
      <c r="BP1917">
        <v>71</v>
      </c>
      <c r="BQ1917" t="s">
        <v>2665</v>
      </c>
      <c r="BR1917" t="s">
        <v>1002</v>
      </c>
      <c r="BU1917">
        <v>0</v>
      </c>
      <c r="BV1917">
        <v>930580</v>
      </c>
      <c r="BW1917">
        <v>930580</v>
      </c>
      <c r="BX1917">
        <v>-19048</v>
      </c>
      <c r="BY1917">
        <v>911532</v>
      </c>
      <c r="BZ1917">
        <v>0</v>
      </c>
      <c r="CA1917">
        <v>0</v>
      </c>
      <c r="CB1917">
        <v>0</v>
      </c>
      <c r="CC1917">
        <v>0</v>
      </c>
      <c r="CD1917">
        <v>0</v>
      </c>
      <c r="CE1917">
        <v>740100</v>
      </c>
      <c r="CF1917">
        <v>0</v>
      </c>
      <c r="CG1917">
        <v>0</v>
      </c>
      <c r="CH1917">
        <v>0</v>
      </c>
      <c r="CI1917">
        <v>0</v>
      </c>
      <c r="CJ1917">
        <v>0</v>
      </c>
      <c r="CK1917">
        <v>0</v>
      </c>
      <c r="CL1917">
        <v>0</v>
      </c>
      <c r="CM1917">
        <v>0</v>
      </c>
      <c r="CR1917" t="s">
        <v>2328</v>
      </c>
      <c r="CS1917" s="1369" t="str">
        <f>INDEX([8]Sheet1!$H:$H,MATCH(CR:CR,[8]Sheet1!$AU:$AU,0))</f>
        <v>Water Distribution</v>
      </c>
    </row>
    <row r="1918" spans="1:97" x14ac:dyDescent="0.2">
      <c r="A1918" t="s">
        <v>5125</v>
      </c>
      <c r="B1918">
        <v>2016</v>
      </c>
      <c r="C1918" t="s">
        <v>5125</v>
      </c>
      <c r="D1918">
        <v>55016</v>
      </c>
      <c r="E1918" t="s">
        <v>2691</v>
      </c>
      <c r="F1918" t="s">
        <v>2364</v>
      </c>
      <c r="G1918" t="s">
        <v>2364</v>
      </c>
      <c r="H1918" t="s">
        <v>2365</v>
      </c>
      <c r="I1918" t="s">
        <v>2365</v>
      </c>
      <c r="J1918" t="s">
        <v>2365</v>
      </c>
      <c r="K1918" t="s">
        <v>2365</v>
      </c>
      <c r="L1918">
        <v>3200</v>
      </c>
      <c r="M1918" t="s">
        <v>625</v>
      </c>
      <c r="N1918">
        <v>3205</v>
      </c>
      <c r="O1918" t="s">
        <v>1002</v>
      </c>
      <c r="P1918" t="s">
        <v>1846</v>
      </c>
      <c r="Q1918">
        <v>2080</v>
      </c>
      <c r="R1918" t="s">
        <v>579</v>
      </c>
      <c r="S1918" t="s">
        <v>552</v>
      </c>
      <c r="T1918" t="s">
        <v>2175</v>
      </c>
      <c r="U1918">
        <v>240</v>
      </c>
      <c r="V1918" t="s">
        <v>2389</v>
      </c>
      <c r="W1918">
        <v>240</v>
      </c>
      <c r="X1918" t="s">
        <v>701</v>
      </c>
      <c r="Y1918" t="s">
        <v>2365</v>
      </c>
      <c r="Z1918" t="s">
        <v>2365</v>
      </c>
      <c r="AA1918" t="s">
        <v>2365</v>
      </c>
      <c r="AB1918" t="s">
        <v>2365</v>
      </c>
      <c r="AC1918" s="813" t="s">
        <v>2365</v>
      </c>
      <c r="AD1918" s="813" t="s">
        <v>2365</v>
      </c>
      <c r="AE1918" s="813" t="s">
        <v>2365</v>
      </c>
      <c r="AF1918" t="s">
        <v>2365</v>
      </c>
      <c r="AG1918">
        <v>110</v>
      </c>
      <c r="AH1918" t="s">
        <v>1568</v>
      </c>
      <c r="AI1918">
        <v>110</v>
      </c>
      <c r="AJ1918" t="s">
        <v>1568</v>
      </c>
      <c r="AK1918">
        <v>241</v>
      </c>
      <c r="AL1918" t="s">
        <v>1203</v>
      </c>
      <c r="AM1918">
        <v>241</v>
      </c>
      <c r="AN1918" t="s">
        <v>1203</v>
      </c>
      <c r="AR1918">
        <v>120</v>
      </c>
      <c r="AS1918" t="s">
        <v>1002</v>
      </c>
      <c r="AT1918">
        <v>120</v>
      </c>
      <c r="AU1918" t="s">
        <v>1002</v>
      </c>
      <c r="AV1918" t="s">
        <v>2365</v>
      </c>
      <c r="AW1918" t="s">
        <v>2365</v>
      </c>
      <c r="AX1918" t="s">
        <v>2365</v>
      </c>
      <c r="AY1918" t="s">
        <v>2365</v>
      </c>
      <c r="AZ1918" t="s">
        <v>2365</v>
      </c>
      <c r="BA1918" t="s">
        <v>2365</v>
      </c>
      <c r="BB1918" t="s">
        <v>2365</v>
      </c>
      <c r="BC1918" t="s">
        <v>2365</v>
      </c>
      <c r="BD1918" t="s">
        <v>2366</v>
      </c>
      <c r="BE1918" t="s">
        <v>2365</v>
      </c>
      <c r="BF1918" t="s">
        <v>2365</v>
      </c>
      <c r="BG1918" t="s">
        <v>2365</v>
      </c>
      <c r="BH1918" t="s">
        <v>2365</v>
      </c>
      <c r="BI1918" t="s">
        <v>2366</v>
      </c>
      <c r="BJ1918" t="s">
        <v>2365</v>
      </c>
      <c r="BK1918" t="s">
        <v>2365</v>
      </c>
      <c r="BL1918" t="s">
        <v>2365</v>
      </c>
      <c r="BM1918" t="s">
        <v>2365</v>
      </c>
      <c r="BO1918">
        <v>7</v>
      </c>
      <c r="BP1918">
        <v>71</v>
      </c>
      <c r="BQ1918" t="s">
        <v>2665</v>
      </c>
      <c r="BR1918" t="s">
        <v>1002</v>
      </c>
      <c r="BU1918">
        <v>0</v>
      </c>
      <c r="BV1918">
        <v>970280</v>
      </c>
      <c r="BW1918">
        <v>970280</v>
      </c>
      <c r="BX1918">
        <v>-19048</v>
      </c>
      <c r="BY1918">
        <v>951232</v>
      </c>
      <c r="BZ1918">
        <v>0</v>
      </c>
      <c r="CA1918">
        <v>0</v>
      </c>
      <c r="CB1918">
        <v>0</v>
      </c>
      <c r="CC1918">
        <v>0</v>
      </c>
      <c r="CD1918">
        <v>0</v>
      </c>
      <c r="CE1918">
        <v>779800</v>
      </c>
      <c r="CF1918">
        <v>0</v>
      </c>
      <c r="CG1918">
        <v>0</v>
      </c>
      <c r="CH1918">
        <v>0</v>
      </c>
      <c r="CI1918">
        <v>0</v>
      </c>
      <c r="CJ1918">
        <v>0</v>
      </c>
      <c r="CK1918">
        <v>0</v>
      </c>
      <c r="CL1918">
        <v>0</v>
      </c>
      <c r="CM1918">
        <v>0</v>
      </c>
      <c r="CR1918" t="s">
        <v>2328</v>
      </c>
      <c r="CS1918" s="1369" t="str">
        <f>INDEX([8]Sheet1!$H:$H,MATCH(CR:CR,[8]Sheet1!$AU:$AU,0))</f>
        <v>Water Distribution</v>
      </c>
    </row>
    <row r="1919" spans="1:97" x14ac:dyDescent="0.2">
      <c r="A1919" t="s">
        <v>5126</v>
      </c>
      <c r="B1919">
        <v>2017</v>
      </c>
      <c r="C1919" t="s">
        <v>5126</v>
      </c>
      <c r="D1919">
        <v>55017</v>
      </c>
      <c r="E1919" t="s">
        <v>2691</v>
      </c>
      <c r="F1919" t="s">
        <v>2364</v>
      </c>
      <c r="G1919" t="s">
        <v>2364</v>
      </c>
      <c r="H1919" t="s">
        <v>2365</v>
      </c>
      <c r="I1919" t="s">
        <v>2365</v>
      </c>
      <c r="J1919" t="s">
        <v>2365</v>
      </c>
      <c r="K1919" t="s">
        <v>2365</v>
      </c>
      <c r="L1919">
        <v>3200</v>
      </c>
      <c r="M1919" t="s">
        <v>625</v>
      </c>
      <c r="N1919">
        <v>3205</v>
      </c>
      <c r="O1919" t="s">
        <v>1002</v>
      </c>
      <c r="P1919" t="s">
        <v>1846</v>
      </c>
      <c r="Q1919">
        <v>2080</v>
      </c>
      <c r="R1919" t="s">
        <v>579</v>
      </c>
      <c r="S1919" t="s">
        <v>552</v>
      </c>
      <c r="T1919" t="s">
        <v>2175</v>
      </c>
      <c r="U1919">
        <v>240</v>
      </c>
      <c r="V1919" t="s">
        <v>2389</v>
      </c>
      <c r="W1919">
        <v>240</v>
      </c>
      <c r="X1919" t="s">
        <v>701</v>
      </c>
      <c r="Y1919" t="s">
        <v>2365</v>
      </c>
      <c r="Z1919" t="s">
        <v>2365</v>
      </c>
      <c r="AA1919" t="s">
        <v>2365</v>
      </c>
      <c r="AB1919" t="s">
        <v>2365</v>
      </c>
      <c r="AC1919" s="813" t="s">
        <v>2365</v>
      </c>
      <c r="AD1919" s="813" t="s">
        <v>2365</v>
      </c>
      <c r="AE1919" s="813" t="s">
        <v>2365</v>
      </c>
      <c r="AF1919" t="s">
        <v>2365</v>
      </c>
      <c r="AG1919">
        <v>110</v>
      </c>
      <c r="AH1919" t="s">
        <v>1568</v>
      </c>
      <c r="AI1919">
        <v>110</v>
      </c>
      <c r="AJ1919" t="s">
        <v>1568</v>
      </c>
      <c r="AK1919">
        <v>241</v>
      </c>
      <c r="AL1919" t="s">
        <v>1203</v>
      </c>
      <c r="AM1919">
        <v>241</v>
      </c>
      <c r="AN1919" t="s">
        <v>1203</v>
      </c>
      <c r="AR1919">
        <v>120</v>
      </c>
      <c r="AS1919" t="s">
        <v>1002</v>
      </c>
      <c r="AT1919">
        <v>120</v>
      </c>
      <c r="AU1919" t="s">
        <v>1002</v>
      </c>
      <c r="AV1919" t="s">
        <v>2365</v>
      </c>
      <c r="AW1919" t="s">
        <v>2365</v>
      </c>
      <c r="AX1919" t="s">
        <v>2365</v>
      </c>
      <c r="AY1919" t="s">
        <v>2365</v>
      </c>
      <c r="AZ1919" t="s">
        <v>2365</v>
      </c>
      <c r="BA1919" t="s">
        <v>2365</v>
      </c>
      <c r="BB1919" t="s">
        <v>2365</v>
      </c>
      <c r="BC1919" t="s">
        <v>2365</v>
      </c>
      <c r="BD1919" t="s">
        <v>2366</v>
      </c>
      <c r="BE1919" t="s">
        <v>2365</v>
      </c>
      <c r="BF1919" t="s">
        <v>2365</v>
      </c>
      <c r="BG1919" t="s">
        <v>2365</v>
      </c>
      <c r="BH1919" t="s">
        <v>2365</v>
      </c>
      <c r="BI1919" t="s">
        <v>2366</v>
      </c>
      <c r="BJ1919" t="s">
        <v>2365</v>
      </c>
      <c r="BK1919" t="s">
        <v>2365</v>
      </c>
      <c r="BL1919" t="s">
        <v>2365</v>
      </c>
      <c r="BM1919" t="s">
        <v>2365</v>
      </c>
      <c r="BO1919">
        <v>7</v>
      </c>
      <c r="BP1919">
        <v>71</v>
      </c>
      <c r="BQ1919" t="s">
        <v>2665</v>
      </c>
      <c r="BR1919" t="s">
        <v>1002</v>
      </c>
      <c r="BU1919">
        <v>0</v>
      </c>
      <c r="BV1919">
        <v>819730</v>
      </c>
      <c r="BW1919">
        <v>819730</v>
      </c>
      <c r="BX1919">
        <v>-19048</v>
      </c>
      <c r="BY1919">
        <v>800682</v>
      </c>
      <c r="BZ1919">
        <v>0</v>
      </c>
      <c r="CA1919">
        <v>0</v>
      </c>
      <c r="CB1919">
        <v>0</v>
      </c>
      <c r="CC1919">
        <v>0</v>
      </c>
      <c r="CD1919">
        <v>0</v>
      </c>
      <c r="CE1919">
        <v>629250</v>
      </c>
      <c r="CF1919">
        <v>0</v>
      </c>
      <c r="CG1919">
        <v>0</v>
      </c>
      <c r="CH1919">
        <v>0</v>
      </c>
      <c r="CI1919">
        <v>0</v>
      </c>
      <c r="CJ1919">
        <v>0</v>
      </c>
      <c r="CK1919">
        <v>0</v>
      </c>
      <c r="CL1919">
        <v>0</v>
      </c>
      <c r="CM1919">
        <v>0</v>
      </c>
      <c r="CR1919" t="s">
        <v>2328</v>
      </c>
      <c r="CS1919" s="1369" t="str">
        <f>INDEX([8]Sheet1!$H:$H,MATCH(CR:CR,[8]Sheet1!$AU:$AU,0))</f>
        <v>Water Distribution</v>
      </c>
    </row>
    <row r="1920" spans="1:97" x14ac:dyDescent="0.2">
      <c r="A1920" t="s">
        <v>5127</v>
      </c>
      <c r="B1920">
        <v>2018</v>
      </c>
      <c r="C1920" t="s">
        <v>5127</v>
      </c>
      <c r="D1920">
        <v>55018</v>
      </c>
      <c r="E1920" t="s">
        <v>2691</v>
      </c>
      <c r="F1920" t="s">
        <v>2364</v>
      </c>
      <c r="G1920" t="s">
        <v>2364</v>
      </c>
      <c r="H1920" t="s">
        <v>2365</v>
      </c>
      <c r="I1920" t="s">
        <v>2365</v>
      </c>
      <c r="J1920" t="s">
        <v>2365</v>
      </c>
      <c r="K1920" t="s">
        <v>2365</v>
      </c>
      <c r="L1920">
        <v>3200</v>
      </c>
      <c r="M1920" t="s">
        <v>625</v>
      </c>
      <c r="N1920">
        <v>3205</v>
      </c>
      <c r="O1920" t="s">
        <v>1002</v>
      </c>
      <c r="P1920" t="s">
        <v>1846</v>
      </c>
      <c r="Q1920">
        <v>2080</v>
      </c>
      <c r="R1920" t="s">
        <v>579</v>
      </c>
      <c r="S1920" t="s">
        <v>552</v>
      </c>
      <c r="T1920" t="s">
        <v>2175</v>
      </c>
      <c r="U1920">
        <v>240</v>
      </c>
      <c r="V1920" t="s">
        <v>2389</v>
      </c>
      <c r="W1920">
        <v>240</v>
      </c>
      <c r="X1920" t="s">
        <v>701</v>
      </c>
      <c r="Y1920" t="s">
        <v>2365</v>
      </c>
      <c r="Z1920" t="s">
        <v>2365</v>
      </c>
      <c r="AA1920" t="s">
        <v>2365</v>
      </c>
      <c r="AB1920" t="s">
        <v>2365</v>
      </c>
      <c r="AC1920" s="813" t="s">
        <v>2365</v>
      </c>
      <c r="AD1920" s="813" t="s">
        <v>2365</v>
      </c>
      <c r="AE1920" s="813" t="s">
        <v>2365</v>
      </c>
      <c r="AF1920" t="s">
        <v>2365</v>
      </c>
      <c r="AG1920">
        <v>110</v>
      </c>
      <c r="AH1920" t="s">
        <v>1568</v>
      </c>
      <c r="AI1920">
        <v>110</v>
      </c>
      <c r="AJ1920" t="s">
        <v>1568</v>
      </c>
      <c r="AK1920">
        <v>241</v>
      </c>
      <c r="AL1920" t="s">
        <v>1203</v>
      </c>
      <c r="AM1920">
        <v>241</v>
      </c>
      <c r="AN1920" t="s">
        <v>1203</v>
      </c>
      <c r="AR1920">
        <v>120</v>
      </c>
      <c r="AS1920" t="s">
        <v>1002</v>
      </c>
      <c r="AT1920">
        <v>120</v>
      </c>
      <c r="AU1920" t="s">
        <v>1002</v>
      </c>
      <c r="AV1920" t="s">
        <v>2365</v>
      </c>
      <c r="AW1920" t="s">
        <v>2365</v>
      </c>
      <c r="AX1920" t="s">
        <v>2365</v>
      </c>
      <c r="AY1920" t="s">
        <v>2365</v>
      </c>
      <c r="AZ1920" t="s">
        <v>2365</v>
      </c>
      <c r="BA1920" t="s">
        <v>2365</v>
      </c>
      <c r="BB1920" t="s">
        <v>2365</v>
      </c>
      <c r="BC1920" t="s">
        <v>2365</v>
      </c>
      <c r="BD1920" t="s">
        <v>2366</v>
      </c>
      <c r="BE1920" t="s">
        <v>2365</v>
      </c>
      <c r="BF1920" t="s">
        <v>2365</v>
      </c>
      <c r="BG1920" t="s">
        <v>2365</v>
      </c>
      <c r="BH1920" t="s">
        <v>2365</v>
      </c>
      <c r="BI1920" t="s">
        <v>2366</v>
      </c>
      <c r="BJ1920" t="s">
        <v>2365</v>
      </c>
      <c r="BK1920" t="s">
        <v>2365</v>
      </c>
      <c r="BL1920" t="s">
        <v>2365</v>
      </c>
      <c r="BM1920" t="s">
        <v>2365</v>
      </c>
      <c r="BO1920">
        <v>7</v>
      </c>
      <c r="BP1920">
        <v>71</v>
      </c>
      <c r="BQ1920" t="s">
        <v>2665</v>
      </c>
      <c r="BR1920" t="s">
        <v>1002</v>
      </c>
      <c r="BU1920">
        <v>0</v>
      </c>
      <c r="BV1920">
        <v>1630230</v>
      </c>
      <c r="BW1920">
        <v>1630230</v>
      </c>
      <c r="BX1920">
        <v>409520</v>
      </c>
      <c r="BY1920">
        <v>2039750</v>
      </c>
      <c r="BZ1920">
        <v>0</v>
      </c>
      <c r="CA1920">
        <v>0</v>
      </c>
      <c r="CB1920">
        <v>0</v>
      </c>
      <c r="CC1920">
        <v>0</v>
      </c>
      <c r="CD1920">
        <v>0</v>
      </c>
      <c r="CE1920">
        <v>600000</v>
      </c>
      <c r="CF1920">
        <v>1439750</v>
      </c>
      <c r="CG1920">
        <v>0</v>
      </c>
      <c r="CH1920">
        <v>0</v>
      </c>
      <c r="CI1920">
        <v>0</v>
      </c>
      <c r="CJ1920">
        <v>0</v>
      </c>
      <c r="CK1920">
        <v>0</v>
      </c>
      <c r="CL1920">
        <v>0</v>
      </c>
      <c r="CM1920">
        <v>0</v>
      </c>
      <c r="CR1920" t="s">
        <v>2328</v>
      </c>
      <c r="CS1920" s="1369" t="str">
        <f>INDEX([8]Sheet1!$H:$H,MATCH(CR:CR,[8]Sheet1!$AU:$AU,0))</f>
        <v>Water Distribution</v>
      </c>
    </row>
    <row r="1921" spans="1:97" x14ac:dyDescent="0.2">
      <c r="A1921" t="s">
        <v>5128</v>
      </c>
      <c r="B1921">
        <v>2019</v>
      </c>
      <c r="C1921" t="s">
        <v>5128</v>
      </c>
      <c r="D1921">
        <v>55019</v>
      </c>
      <c r="E1921" t="s">
        <v>4789</v>
      </c>
      <c r="F1921" t="s">
        <v>2364</v>
      </c>
      <c r="G1921" t="s">
        <v>2364</v>
      </c>
      <c r="H1921" t="s">
        <v>2365</v>
      </c>
      <c r="I1921" t="s">
        <v>2365</v>
      </c>
      <c r="J1921" t="s">
        <v>2365</v>
      </c>
      <c r="K1921" t="s">
        <v>2365</v>
      </c>
      <c r="L1921">
        <v>1200</v>
      </c>
      <c r="M1921" t="s">
        <v>1480</v>
      </c>
      <c r="N1921">
        <v>1204</v>
      </c>
      <c r="O1921" t="s">
        <v>1487</v>
      </c>
      <c r="P1921" t="s">
        <v>2366</v>
      </c>
      <c r="Q1921" t="s">
        <v>2364</v>
      </c>
      <c r="R1921" t="s">
        <v>2364</v>
      </c>
      <c r="S1921" t="s">
        <v>553</v>
      </c>
      <c r="T1921" t="s">
        <v>2175</v>
      </c>
      <c r="U1921">
        <v>240</v>
      </c>
      <c r="V1921" t="s">
        <v>2389</v>
      </c>
      <c r="W1921">
        <v>240</v>
      </c>
      <c r="X1921" t="s">
        <v>701</v>
      </c>
      <c r="Y1921" t="s">
        <v>2365</v>
      </c>
      <c r="Z1921" t="s">
        <v>2365</v>
      </c>
      <c r="AA1921" t="s">
        <v>2365</v>
      </c>
      <c r="AB1921" t="s">
        <v>2365</v>
      </c>
      <c r="AC1921" s="813" t="s">
        <v>2365</v>
      </c>
      <c r="AD1921" s="813" t="s">
        <v>2365</v>
      </c>
      <c r="AE1921" s="813" t="s">
        <v>2365</v>
      </c>
      <c r="AF1921" t="s">
        <v>2365</v>
      </c>
      <c r="AG1921">
        <v>1510</v>
      </c>
      <c r="AH1921" t="s">
        <v>1676</v>
      </c>
      <c r="AI1921">
        <v>1510</v>
      </c>
      <c r="AJ1921" t="s">
        <v>1676</v>
      </c>
      <c r="AK1921">
        <v>241</v>
      </c>
      <c r="AL1921" t="s">
        <v>1203</v>
      </c>
      <c r="AM1921">
        <v>241</v>
      </c>
      <c r="AN1921" t="s">
        <v>1203</v>
      </c>
      <c r="AR1921" t="s">
        <v>2365</v>
      </c>
      <c r="AS1921" t="s">
        <v>2365</v>
      </c>
      <c r="AT1921" t="s">
        <v>2365</v>
      </c>
      <c r="AU1921" t="s">
        <v>2365</v>
      </c>
      <c r="AV1921" t="s">
        <v>2365</v>
      </c>
      <c r="AW1921" t="s">
        <v>2365</v>
      </c>
      <c r="AX1921" t="s">
        <v>2365</v>
      </c>
      <c r="AY1921" t="s">
        <v>2365</v>
      </c>
      <c r="AZ1921" t="s">
        <v>2365</v>
      </c>
      <c r="BA1921" t="s">
        <v>2365</v>
      </c>
      <c r="BB1921" t="s">
        <v>2365</v>
      </c>
      <c r="BC1921" t="s">
        <v>2365</v>
      </c>
      <c r="BD1921" t="s">
        <v>2366</v>
      </c>
      <c r="BE1921" t="s">
        <v>2365</v>
      </c>
      <c r="BF1921" t="s">
        <v>2365</v>
      </c>
      <c r="BG1921" t="s">
        <v>2365</v>
      </c>
      <c r="BH1921" t="s">
        <v>2365</v>
      </c>
      <c r="BI1921" t="s">
        <v>2366</v>
      </c>
      <c r="BJ1921" t="s">
        <v>2365</v>
      </c>
      <c r="BK1921" t="s">
        <v>2365</v>
      </c>
      <c r="BL1921" t="s">
        <v>2365</v>
      </c>
      <c r="BM1921" t="s">
        <v>2365</v>
      </c>
      <c r="BO1921">
        <v>1</v>
      </c>
      <c r="BP1921">
        <v>11</v>
      </c>
      <c r="BQ1921" t="s">
        <v>2369</v>
      </c>
      <c r="BR1921" t="s">
        <v>1487</v>
      </c>
      <c r="BU1921">
        <v>0</v>
      </c>
      <c r="BV1921">
        <v>0</v>
      </c>
      <c r="BW1921">
        <v>0</v>
      </c>
      <c r="BX1921">
        <v>0</v>
      </c>
      <c r="BY1921">
        <v>0</v>
      </c>
      <c r="BZ1921">
        <v>0</v>
      </c>
      <c r="CA1921">
        <v>0</v>
      </c>
      <c r="CB1921">
        <v>0</v>
      </c>
      <c r="CC1921">
        <v>0</v>
      </c>
      <c r="CD1921">
        <v>0</v>
      </c>
      <c r="CE1921">
        <v>0</v>
      </c>
      <c r="CF1921">
        <v>0</v>
      </c>
      <c r="CG1921">
        <v>0</v>
      </c>
      <c r="CH1921">
        <v>0</v>
      </c>
      <c r="CI1921">
        <v>0</v>
      </c>
      <c r="CJ1921">
        <v>0</v>
      </c>
      <c r="CK1921">
        <v>0</v>
      </c>
      <c r="CL1921">
        <v>0</v>
      </c>
      <c r="CM1921">
        <v>0</v>
      </c>
      <c r="CR1921" t="s">
        <v>2328</v>
      </c>
      <c r="CS1921" s="1369" t="str">
        <f>INDEX([8]Sheet1!$H:$H,MATCH(CR:CR,[8]Sheet1!$AU:$AU,0))</f>
        <v>Water Distribution</v>
      </c>
    </row>
    <row r="1922" spans="1:97" x14ac:dyDescent="0.2">
      <c r="A1922" t="s">
        <v>5129</v>
      </c>
      <c r="B1922">
        <v>2020</v>
      </c>
      <c r="C1922" t="s">
        <v>5129</v>
      </c>
      <c r="D1922">
        <v>55020</v>
      </c>
      <c r="E1922" t="s">
        <v>5130</v>
      </c>
      <c r="F1922">
        <v>1600</v>
      </c>
      <c r="G1922" t="s">
        <v>650</v>
      </c>
      <c r="H1922">
        <v>1600</v>
      </c>
      <c r="I1922" t="s">
        <v>1799</v>
      </c>
      <c r="J1922" t="s">
        <v>2365</v>
      </c>
      <c r="K1922" t="s">
        <v>2365</v>
      </c>
      <c r="L1922">
        <v>1200</v>
      </c>
      <c r="M1922" t="s">
        <v>1480</v>
      </c>
      <c r="N1922">
        <v>1210</v>
      </c>
      <c r="O1922" t="s">
        <v>998</v>
      </c>
      <c r="P1922" t="s">
        <v>2366</v>
      </c>
      <c r="Q1922" t="s">
        <v>2364</v>
      </c>
      <c r="R1922" t="s">
        <v>2364</v>
      </c>
      <c r="S1922" t="s">
        <v>553</v>
      </c>
      <c r="T1922" t="s">
        <v>1811</v>
      </c>
      <c r="U1922" t="s">
        <v>2365</v>
      </c>
      <c r="V1922" t="s">
        <v>2365</v>
      </c>
      <c r="W1922" t="s">
        <v>2365</v>
      </c>
      <c r="X1922" t="s">
        <v>2365</v>
      </c>
      <c r="Y1922" t="s">
        <v>2365</v>
      </c>
      <c r="Z1922" t="s">
        <v>2365</v>
      </c>
      <c r="AA1922" t="s">
        <v>2365</v>
      </c>
      <c r="AB1922" t="s">
        <v>2365</v>
      </c>
      <c r="AC1922" s="813" t="s">
        <v>2365</v>
      </c>
      <c r="AD1922" s="813" t="s">
        <v>2365</v>
      </c>
      <c r="AE1922" s="813" t="s">
        <v>2365</v>
      </c>
      <c r="AF1922" t="s">
        <v>2365</v>
      </c>
      <c r="AG1922" t="s">
        <v>2365</v>
      </c>
      <c r="AH1922" t="s">
        <v>2365</v>
      </c>
      <c r="AI1922" t="s">
        <v>2365</v>
      </c>
      <c r="AJ1922" t="s">
        <v>2365</v>
      </c>
      <c r="AK1922" t="s">
        <v>2365</v>
      </c>
      <c r="AL1922" t="s">
        <v>2365</v>
      </c>
      <c r="AM1922" t="s">
        <v>2365</v>
      </c>
      <c r="AN1922" t="s">
        <v>2365</v>
      </c>
      <c r="AR1922" t="s">
        <v>2365</v>
      </c>
      <c r="AS1922" t="s">
        <v>2365</v>
      </c>
      <c r="AT1922" t="s">
        <v>2365</v>
      </c>
      <c r="AU1922" t="s">
        <v>2365</v>
      </c>
      <c r="AV1922" t="s">
        <v>2365</v>
      </c>
      <c r="AW1922" t="s">
        <v>2365</v>
      </c>
      <c r="AX1922" t="s">
        <v>2365</v>
      </c>
      <c r="AY1922" t="s">
        <v>2365</v>
      </c>
      <c r="AZ1922" t="s">
        <v>2365</v>
      </c>
      <c r="BA1922" t="s">
        <v>2365</v>
      </c>
      <c r="BB1922" t="s">
        <v>2365</v>
      </c>
      <c r="BC1922" t="s">
        <v>2365</v>
      </c>
      <c r="BD1922" t="s">
        <v>2366</v>
      </c>
      <c r="BE1922" t="s">
        <v>2365</v>
      </c>
      <c r="BF1922" t="s">
        <v>2365</v>
      </c>
      <c r="BG1922" t="s">
        <v>2365</v>
      </c>
      <c r="BH1922" t="s">
        <v>2365</v>
      </c>
      <c r="BI1922" t="s">
        <v>2366</v>
      </c>
      <c r="BJ1922" t="s">
        <v>2365</v>
      </c>
      <c r="BK1922" t="s">
        <v>2365</v>
      </c>
      <c r="BL1922" t="s">
        <v>2365</v>
      </c>
      <c r="BM1922" t="s">
        <v>2365</v>
      </c>
      <c r="BO1922">
        <v>1</v>
      </c>
      <c r="BP1922">
        <v>16</v>
      </c>
      <c r="BQ1922" t="s">
        <v>2369</v>
      </c>
      <c r="BR1922" t="s">
        <v>998</v>
      </c>
      <c r="BU1922">
        <v>0</v>
      </c>
      <c r="BV1922">
        <v>0</v>
      </c>
      <c r="BW1922">
        <v>0</v>
      </c>
      <c r="BX1922">
        <v>0</v>
      </c>
      <c r="BY1922">
        <v>0</v>
      </c>
      <c r="BZ1922">
        <v>0</v>
      </c>
      <c r="CA1922">
        <v>0</v>
      </c>
      <c r="CB1922">
        <v>0</v>
      </c>
      <c r="CC1922">
        <v>0</v>
      </c>
      <c r="CD1922">
        <v>0</v>
      </c>
      <c r="CE1922">
        <v>0</v>
      </c>
      <c r="CF1922">
        <v>0</v>
      </c>
      <c r="CG1922">
        <v>0</v>
      </c>
      <c r="CH1922">
        <v>0</v>
      </c>
      <c r="CI1922">
        <v>0</v>
      </c>
      <c r="CJ1922">
        <v>0</v>
      </c>
      <c r="CK1922">
        <v>0</v>
      </c>
      <c r="CL1922">
        <v>0</v>
      </c>
      <c r="CM1922">
        <v>0</v>
      </c>
      <c r="CR1922" t="s">
        <v>2328</v>
      </c>
      <c r="CS1922" s="1369" t="str">
        <f>INDEX([8]Sheet1!$H:$H,MATCH(CR:CR,[8]Sheet1!$AU:$AU,0))</f>
        <v>Water Distribution</v>
      </c>
    </row>
    <row r="1923" spans="1:97" x14ac:dyDescent="0.2">
      <c r="A1923" t="s">
        <v>5131</v>
      </c>
      <c r="B1923">
        <v>2021</v>
      </c>
      <c r="C1923" t="s">
        <v>5131</v>
      </c>
      <c r="D1923">
        <v>55021</v>
      </c>
      <c r="E1923" t="s">
        <v>5132</v>
      </c>
      <c r="F1923" t="s">
        <v>2364</v>
      </c>
      <c r="G1923" t="s">
        <v>2364</v>
      </c>
      <c r="H1923" t="s">
        <v>2365</v>
      </c>
      <c r="I1923" t="s">
        <v>2365</v>
      </c>
      <c r="J1923" t="s">
        <v>2365</v>
      </c>
      <c r="K1923" t="s">
        <v>2365</v>
      </c>
      <c r="L1923">
        <v>1200</v>
      </c>
      <c r="M1923" t="s">
        <v>1480</v>
      </c>
      <c r="N1923">
        <v>1202</v>
      </c>
      <c r="O1923" t="s">
        <v>595</v>
      </c>
      <c r="P1923" t="s">
        <v>2366</v>
      </c>
      <c r="Q1923" t="s">
        <v>2364</v>
      </c>
      <c r="R1923" t="s">
        <v>2364</v>
      </c>
      <c r="S1923" t="s">
        <v>553</v>
      </c>
      <c r="T1923" t="s">
        <v>2175</v>
      </c>
      <c r="U1923">
        <v>170</v>
      </c>
      <c r="V1923" t="s">
        <v>696</v>
      </c>
      <c r="W1923">
        <v>170</v>
      </c>
      <c r="X1923" t="s">
        <v>696</v>
      </c>
      <c r="Y1923" t="s">
        <v>2365</v>
      </c>
      <c r="Z1923" t="s">
        <v>2365</v>
      </c>
      <c r="AA1923" t="s">
        <v>2365</v>
      </c>
      <c r="AB1923" t="s">
        <v>2365</v>
      </c>
      <c r="AC1923" s="813" t="s">
        <v>2365</v>
      </c>
      <c r="AD1923" s="813" t="s">
        <v>2365</v>
      </c>
      <c r="AE1923" s="813" t="s">
        <v>2365</v>
      </c>
      <c r="AF1923" t="s">
        <v>2365</v>
      </c>
      <c r="AG1923" t="s">
        <v>2365</v>
      </c>
      <c r="AH1923" t="s">
        <v>2365</v>
      </c>
      <c r="AI1923" t="s">
        <v>2365</v>
      </c>
      <c r="AJ1923" t="s">
        <v>2365</v>
      </c>
      <c r="AK1923" t="s">
        <v>2365</v>
      </c>
      <c r="AL1923" t="s">
        <v>2365</v>
      </c>
      <c r="AM1923" t="s">
        <v>2365</v>
      </c>
      <c r="AN1923" t="s">
        <v>2365</v>
      </c>
      <c r="AR1923" t="s">
        <v>2365</v>
      </c>
      <c r="AS1923" t="s">
        <v>2365</v>
      </c>
      <c r="AT1923" t="s">
        <v>2365</v>
      </c>
      <c r="AU1923" t="s">
        <v>2365</v>
      </c>
      <c r="AV1923" t="s">
        <v>2365</v>
      </c>
      <c r="AW1923" t="s">
        <v>2365</v>
      </c>
      <c r="AX1923" t="s">
        <v>2365</v>
      </c>
      <c r="AY1923" t="s">
        <v>2365</v>
      </c>
      <c r="AZ1923" t="s">
        <v>2365</v>
      </c>
      <c r="BA1923" t="s">
        <v>2365</v>
      </c>
      <c r="BB1923" t="s">
        <v>2365</v>
      </c>
      <c r="BC1923" t="s">
        <v>2365</v>
      </c>
      <c r="BD1923" t="s">
        <v>2366</v>
      </c>
      <c r="BE1923" t="s">
        <v>2365</v>
      </c>
      <c r="BF1923" t="s">
        <v>2365</v>
      </c>
      <c r="BG1923" t="s">
        <v>2365</v>
      </c>
      <c r="BH1923" t="s">
        <v>2365</v>
      </c>
      <c r="BI1923" t="s">
        <v>2366</v>
      </c>
      <c r="BJ1923" t="s">
        <v>2365</v>
      </c>
      <c r="BK1923" t="s">
        <v>2365</v>
      </c>
      <c r="BL1923" t="s">
        <v>2365</v>
      </c>
      <c r="BM1923" t="s">
        <v>2365</v>
      </c>
      <c r="BO1923">
        <v>1</v>
      </c>
      <c r="BP1923">
        <v>13</v>
      </c>
      <c r="BQ1923" t="s">
        <v>2369</v>
      </c>
      <c r="BR1923" t="s">
        <v>595</v>
      </c>
      <c r="BU1923">
        <v>0</v>
      </c>
      <c r="BV1923">
        <v>0</v>
      </c>
      <c r="BW1923">
        <v>0</v>
      </c>
      <c r="BX1923">
        <v>0</v>
      </c>
      <c r="BY1923">
        <v>0</v>
      </c>
      <c r="BZ1923">
        <v>0</v>
      </c>
      <c r="CA1923">
        <v>0</v>
      </c>
      <c r="CB1923">
        <v>0</v>
      </c>
      <c r="CC1923">
        <v>0</v>
      </c>
      <c r="CD1923">
        <v>0</v>
      </c>
      <c r="CE1923">
        <v>0</v>
      </c>
      <c r="CF1923">
        <v>0</v>
      </c>
      <c r="CG1923">
        <v>0</v>
      </c>
      <c r="CH1923">
        <v>0</v>
      </c>
      <c r="CI1923">
        <v>0</v>
      </c>
      <c r="CJ1923">
        <v>0</v>
      </c>
      <c r="CK1923">
        <v>0</v>
      </c>
      <c r="CL1923">
        <v>0</v>
      </c>
      <c r="CM1923">
        <v>0</v>
      </c>
      <c r="CR1923" t="s">
        <v>2328</v>
      </c>
      <c r="CS1923" s="1369" t="str">
        <f>INDEX([8]Sheet1!$H:$H,MATCH(CR:CR,[8]Sheet1!$AU:$AU,0))</f>
        <v>Water Distribution</v>
      </c>
    </row>
    <row r="1924" spans="1:97" x14ac:dyDescent="0.2">
      <c r="A1924" t="s">
        <v>5133</v>
      </c>
      <c r="B1924">
        <v>2022</v>
      </c>
      <c r="C1924" t="s">
        <v>5133</v>
      </c>
      <c r="D1924">
        <v>55022</v>
      </c>
      <c r="E1924" t="s">
        <v>5134</v>
      </c>
      <c r="F1924" t="s">
        <v>2364</v>
      </c>
      <c r="G1924" t="s">
        <v>2364</v>
      </c>
      <c r="H1924" t="s">
        <v>2365</v>
      </c>
      <c r="I1924" t="s">
        <v>2365</v>
      </c>
      <c r="J1924" t="s">
        <v>2365</v>
      </c>
      <c r="K1924" t="s">
        <v>2365</v>
      </c>
      <c r="L1924">
        <v>1200</v>
      </c>
      <c r="M1924" t="s">
        <v>1480</v>
      </c>
      <c r="N1924">
        <v>1202</v>
      </c>
      <c r="O1924" t="s">
        <v>595</v>
      </c>
      <c r="P1924" t="s">
        <v>2366</v>
      </c>
      <c r="Q1924" t="s">
        <v>2364</v>
      </c>
      <c r="R1924" t="s">
        <v>2364</v>
      </c>
      <c r="S1924" t="s">
        <v>553</v>
      </c>
      <c r="T1924" t="s">
        <v>2175</v>
      </c>
      <c r="U1924">
        <v>170</v>
      </c>
      <c r="V1924" t="s">
        <v>696</v>
      </c>
      <c r="W1924">
        <v>170</v>
      </c>
      <c r="X1924" t="s">
        <v>696</v>
      </c>
      <c r="Y1924" t="s">
        <v>2365</v>
      </c>
      <c r="Z1924" t="s">
        <v>2365</v>
      </c>
      <c r="AA1924" t="s">
        <v>2365</v>
      </c>
      <c r="AB1924" t="s">
        <v>2365</v>
      </c>
      <c r="AC1924" s="813" t="s">
        <v>2365</v>
      </c>
      <c r="AD1924" s="813" t="s">
        <v>2365</v>
      </c>
      <c r="AE1924" s="813" t="s">
        <v>2365</v>
      </c>
      <c r="AF1924" t="s">
        <v>2365</v>
      </c>
      <c r="AG1924" t="s">
        <v>2365</v>
      </c>
      <c r="AH1924" t="s">
        <v>2365</v>
      </c>
      <c r="AI1924" t="s">
        <v>2365</v>
      </c>
      <c r="AJ1924" t="s">
        <v>2365</v>
      </c>
      <c r="AK1924" t="s">
        <v>2365</v>
      </c>
      <c r="AL1924" t="s">
        <v>2365</v>
      </c>
      <c r="AM1924" t="s">
        <v>2365</v>
      </c>
      <c r="AN1924" t="s">
        <v>2365</v>
      </c>
      <c r="AR1924" t="s">
        <v>2365</v>
      </c>
      <c r="AS1924" t="s">
        <v>2365</v>
      </c>
      <c r="AT1924" t="s">
        <v>2365</v>
      </c>
      <c r="AU1924" t="s">
        <v>2365</v>
      </c>
      <c r="AV1924" t="s">
        <v>2365</v>
      </c>
      <c r="AW1924" t="s">
        <v>2365</v>
      </c>
      <c r="AX1924" t="s">
        <v>2365</v>
      </c>
      <c r="AY1924" t="s">
        <v>2365</v>
      </c>
      <c r="AZ1924" t="s">
        <v>2365</v>
      </c>
      <c r="BA1924" t="s">
        <v>2365</v>
      </c>
      <c r="BB1924" t="s">
        <v>2365</v>
      </c>
      <c r="BC1924" t="s">
        <v>2365</v>
      </c>
      <c r="BD1924" t="s">
        <v>2366</v>
      </c>
      <c r="BE1924" t="s">
        <v>2365</v>
      </c>
      <c r="BF1924" t="s">
        <v>2365</v>
      </c>
      <c r="BG1924" t="s">
        <v>2365</v>
      </c>
      <c r="BH1924" t="s">
        <v>2365</v>
      </c>
      <c r="BI1924" t="s">
        <v>2366</v>
      </c>
      <c r="BJ1924" t="s">
        <v>2365</v>
      </c>
      <c r="BK1924" t="s">
        <v>2365</v>
      </c>
      <c r="BL1924" t="s">
        <v>2365</v>
      </c>
      <c r="BM1924" t="s">
        <v>2365</v>
      </c>
      <c r="BO1924">
        <v>1</v>
      </c>
      <c r="BP1924">
        <v>13</v>
      </c>
      <c r="BQ1924" t="s">
        <v>2369</v>
      </c>
      <c r="BR1924" t="s">
        <v>595</v>
      </c>
      <c r="BU1924">
        <v>0</v>
      </c>
      <c r="BV1924">
        <v>0</v>
      </c>
      <c r="BW1924">
        <v>0</v>
      </c>
      <c r="BX1924">
        <v>0</v>
      </c>
      <c r="BY1924">
        <v>0</v>
      </c>
      <c r="BZ1924">
        <v>0</v>
      </c>
      <c r="CA1924">
        <v>0</v>
      </c>
      <c r="CB1924">
        <v>0</v>
      </c>
      <c r="CC1924">
        <v>0</v>
      </c>
      <c r="CD1924">
        <v>0</v>
      </c>
      <c r="CE1924">
        <v>0</v>
      </c>
      <c r="CF1924">
        <v>0</v>
      </c>
      <c r="CG1924">
        <v>0</v>
      </c>
      <c r="CH1924">
        <v>0</v>
      </c>
      <c r="CI1924">
        <v>0</v>
      </c>
      <c r="CJ1924">
        <v>0</v>
      </c>
      <c r="CK1924">
        <v>0</v>
      </c>
      <c r="CL1924">
        <v>0</v>
      </c>
      <c r="CM1924">
        <v>0</v>
      </c>
      <c r="CR1924" t="s">
        <v>2328</v>
      </c>
      <c r="CS1924" s="1369" t="str">
        <f>INDEX([8]Sheet1!$H:$H,MATCH(CR:CR,[8]Sheet1!$AU:$AU,0))</f>
        <v>Water Distribution</v>
      </c>
    </row>
    <row r="1925" spans="1:97" x14ac:dyDescent="0.2">
      <c r="A1925" t="s">
        <v>5135</v>
      </c>
      <c r="B1925">
        <v>2023</v>
      </c>
      <c r="C1925" t="s">
        <v>5135</v>
      </c>
      <c r="D1925">
        <v>55023</v>
      </c>
      <c r="E1925" t="s">
        <v>5136</v>
      </c>
      <c r="F1925" t="s">
        <v>2364</v>
      </c>
      <c r="G1925" t="s">
        <v>2364</v>
      </c>
      <c r="H1925" t="s">
        <v>2365</v>
      </c>
      <c r="I1925" t="s">
        <v>2365</v>
      </c>
      <c r="J1925" t="s">
        <v>2365</v>
      </c>
      <c r="K1925" t="s">
        <v>2365</v>
      </c>
      <c r="L1925">
        <v>1200</v>
      </c>
      <c r="M1925" t="s">
        <v>1480</v>
      </c>
      <c r="N1925">
        <v>1202</v>
      </c>
      <c r="O1925" t="s">
        <v>595</v>
      </c>
      <c r="P1925" t="s">
        <v>2366</v>
      </c>
      <c r="Q1925" t="s">
        <v>2364</v>
      </c>
      <c r="R1925" t="s">
        <v>2364</v>
      </c>
      <c r="S1925" t="s">
        <v>553</v>
      </c>
      <c r="T1925" t="s">
        <v>2175</v>
      </c>
      <c r="U1925">
        <v>170</v>
      </c>
      <c r="V1925" t="s">
        <v>696</v>
      </c>
      <c r="W1925">
        <v>170</v>
      </c>
      <c r="X1925" t="s">
        <v>696</v>
      </c>
      <c r="Y1925" t="s">
        <v>2365</v>
      </c>
      <c r="Z1925" t="s">
        <v>2365</v>
      </c>
      <c r="AA1925" t="s">
        <v>2365</v>
      </c>
      <c r="AB1925" t="s">
        <v>2365</v>
      </c>
      <c r="AC1925" s="813" t="s">
        <v>2365</v>
      </c>
      <c r="AD1925" s="813" t="s">
        <v>2365</v>
      </c>
      <c r="AE1925" s="813" t="s">
        <v>2365</v>
      </c>
      <c r="AF1925" t="s">
        <v>2365</v>
      </c>
      <c r="AG1925" t="s">
        <v>2365</v>
      </c>
      <c r="AH1925" t="s">
        <v>2365</v>
      </c>
      <c r="AI1925" t="s">
        <v>2365</v>
      </c>
      <c r="AJ1925" t="s">
        <v>2365</v>
      </c>
      <c r="AK1925" t="s">
        <v>2365</v>
      </c>
      <c r="AL1925" t="s">
        <v>2365</v>
      </c>
      <c r="AM1925" t="s">
        <v>2365</v>
      </c>
      <c r="AN1925" t="s">
        <v>2365</v>
      </c>
      <c r="AR1925" t="s">
        <v>2365</v>
      </c>
      <c r="AS1925" t="s">
        <v>2365</v>
      </c>
      <c r="AT1925" t="s">
        <v>2365</v>
      </c>
      <c r="AU1925" t="s">
        <v>2365</v>
      </c>
      <c r="AV1925" t="s">
        <v>2365</v>
      </c>
      <c r="AW1925" t="s">
        <v>2365</v>
      </c>
      <c r="AX1925" t="s">
        <v>2365</v>
      </c>
      <c r="AY1925" t="s">
        <v>2365</v>
      </c>
      <c r="AZ1925" t="s">
        <v>2365</v>
      </c>
      <c r="BA1925" t="s">
        <v>2365</v>
      </c>
      <c r="BB1925" t="s">
        <v>2365</v>
      </c>
      <c r="BC1925" t="s">
        <v>2365</v>
      </c>
      <c r="BD1925" t="s">
        <v>2366</v>
      </c>
      <c r="BE1925" t="s">
        <v>2365</v>
      </c>
      <c r="BF1925" t="s">
        <v>2365</v>
      </c>
      <c r="BG1925" t="s">
        <v>2365</v>
      </c>
      <c r="BH1925" t="s">
        <v>2365</v>
      </c>
      <c r="BI1925" t="s">
        <v>2366</v>
      </c>
      <c r="BJ1925" t="s">
        <v>2365</v>
      </c>
      <c r="BK1925" t="s">
        <v>2365</v>
      </c>
      <c r="BL1925" t="s">
        <v>2365</v>
      </c>
      <c r="BM1925" t="s">
        <v>2365</v>
      </c>
      <c r="BO1925">
        <v>1</v>
      </c>
      <c r="BP1925">
        <v>13</v>
      </c>
      <c r="BQ1925" t="s">
        <v>2369</v>
      </c>
      <c r="BR1925" t="s">
        <v>595</v>
      </c>
      <c r="BU1925">
        <v>0</v>
      </c>
      <c r="BV1925">
        <v>0</v>
      </c>
      <c r="BW1925">
        <v>0</v>
      </c>
      <c r="BX1925">
        <v>0</v>
      </c>
      <c r="BY1925">
        <v>0</v>
      </c>
      <c r="BZ1925">
        <v>0</v>
      </c>
      <c r="CA1925">
        <v>0</v>
      </c>
      <c r="CB1925">
        <v>0</v>
      </c>
      <c r="CC1925">
        <v>0</v>
      </c>
      <c r="CD1925">
        <v>0</v>
      </c>
      <c r="CE1925">
        <v>0</v>
      </c>
      <c r="CF1925">
        <v>0</v>
      </c>
      <c r="CG1925">
        <v>0</v>
      </c>
      <c r="CH1925">
        <v>81.099999999999994</v>
      </c>
      <c r="CI1925">
        <v>0</v>
      </c>
      <c r="CJ1925">
        <v>0</v>
      </c>
      <c r="CK1925">
        <v>0</v>
      </c>
      <c r="CL1925">
        <v>0</v>
      </c>
      <c r="CM1925">
        <v>0</v>
      </c>
      <c r="CR1925" t="s">
        <v>2328</v>
      </c>
      <c r="CS1925" s="1369" t="str">
        <f>INDEX([8]Sheet1!$H:$H,MATCH(CR:CR,[8]Sheet1!$AU:$AU,0))</f>
        <v>Water Distribution</v>
      </c>
    </row>
    <row r="1926" spans="1:97" x14ac:dyDescent="0.2">
      <c r="A1926" t="s">
        <v>5137</v>
      </c>
      <c r="B1926">
        <v>2024</v>
      </c>
      <c r="C1926" t="s">
        <v>5137</v>
      </c>
      <c r="D1926">
        <v>55024</v>
      </c>
      <c r="E1926" t="s">
        <v>5138</v>
      </c>
      <c r="F1926" t="s">
        <v>2364</v>
      </c>
      <c r="G1926" t="s">
        <v>2364</v>
      </c>
      <c r="H1926" t="s">
        <v>2365</v>
      </c>
      <c r="I1926" t="s">
        <v>2365</v>
      </c>
      <c r="J1926" t="s">
        <v>2365</v>
      </c>
      <c r="K1926" t="s">
        <v>2365</v>
      </c>
      <c r="L1926">
        <v>1200</v>
      </c>
      <c r="M1926" t="s">
        <v>1480</v>
      </c>
      <c r="N1926">
        <v>1202</v>
      </c>
      <c r="O1926" t="s">
        <v>595</v>
      </c>
      <c r="P1926" t="s">
        <v>2366</v>
      </c>
      <c r="Q1926" t="s">
        <v>2364</v>
      </c>
      <c r="R1926" t="s">
        <v>2364</v>
      </c>
      <c r="S1926" t="s">
        <v>553</v>
      </c>
      <c r="T1926" t="s">
        <v>2175</v>
      </c>
      <c r="U1926">
        <v>170</v>
      </c>
      <c r="V1926" t="s">
        <v>696</v>
      </c>
      <c r="W1926">
        <v>170</v>
      </c>
      <c r="X1926" t="s">
        <v>696</v>
      </c>
      <c r="Y1926" t="s">
        <v>2365</v>
      </c>
      <c r="Z1926" t="s">
        <v>2365</v>
      </c>
      <c r="AA1926" t="s">
        <v>2365</v>
      </c>
      <c r="AB1926" t="s">
        <v>2365</v>
      </c>
      <c r="AC1926" s="813" t="s">
        <v>2365</v>
      </c>
      <c r="AD1926" s="813" t="s">
        <v>2365</v>
      </c>
      <c r="AE1926" s="813" t="s">
        <v>2365</v>
      </c>
      <c r="AF1926" t="s">
        <v>2365</v>
      </c>
      <c r="AG1926" t="s">
        <v>2365</v>
      </c>
      <c r="AH1926" t="s">
        <v>2365</v>
      </c>
      <c r="AI1926" t="s">
        <v>2365</v>
      </c>
      <c r="AJ1926" t="s">
        <v>2365</v>
      </c>
      <c r="AK1926" t="s">
        <v>2365</v>
      </c>
      <c r="AL1926" t="s">
        <v>2365</v>
      </c>
      <c r="AM1926" t="s">
        <v>2365</v>
      </c>
      <c r="AN1926" t="s">
        <v>2365</v>
      </c>
      <c r="AR1926" t="s">
        <v>2365</v>
      </c>
      <c r="AS1926" t="s">
        <v>2365</v>
      </c>
      <c r="AT1926" t="s">
        <v>2365</v>
      </c>
      <c r="AU1926" t="s">
        <v>2365</v>
      </c>
      <c r="AV1926" t="s">
        <v>2365</v>
      </c>
      <c r="AW1926" t="s">
        <v>2365</v>
      </c>
      <c r="AX1926" t="s">
        <v>2365</v>
      </c>
      <c r="AY1926" t="s">
        <v>2365</v>
      </c>
      <c r="AZ1926" t="s">
        <v>2365</v>
      </c>
      <c r="BA1926" t="s">
        <v>2365</v>
      </c>
      <c r="BB1926" t="s">
        <v>2365</v>
      </c>
      <c r="BC1926" t="s">
        <v>2365</v>
      </c>
      <c r="BD1926" t="s">
        <v>2366</v>
      </c>
      <c r="BE1926" t="s">
        <v>2365</v>
      </c>
      <c r="BF1926" t="s">
        <v>2365</v>
      </c>
      <c r="BG1926" t="s">
        <v>2365</v>
      </c>
      <c r="BH1926" t="s">
        <v>2365</v>
      </c>
      <c r="BI1926" t="s">
        <v>2366</v>
      </c>
      <c r="BJ1926" t="s">
        <v>2365</v>
      </c>
      <c r="BK1926" t="s">
        <v>2365</v>
      </c>
      <c r="BL1926" t="s">
        <v>2365</v>
      </c>
      <c r="BM1926" t="s">
        <v>2365</v>
      </c>
      <c r="BO1926">
        <v>1</v>
      </c>
      <c r="BP1926">
        <v>13</v>
      </c>
      <c r="BQ1926" t="s">
        <v>2369</v>
      </c>
      <c r="BR1926" t="s">
        <v>595</v>
      </c>
      <c r="BU1926">
        <v>0</v>
      </c>
      <c r="BV1926">
        <v>0</v>
      </c>
      <c r="BW1926">
        <v>0</v>
      </c>
      <c r="BX1926">
        <v>0</v>
      </c>
      <c r="BY1926">
        <v>0</v>
      </c>
      <c r="BZ1926">
        <v>0</v>
      </c>
      <c r="CA1926">
        <v>0</v>
      </c>
      <c r="CB1926">
        <v>0</v>
      </c>
      <c r="CC1926">
        <v>0</v>
      </c>
      <c r="CD1926">
        <v>0</v>
      </c>
      <c r="CE1926">
        <v>0</v>
      </c>
      <c r="CF1926">
        <v>0</v>
      </c>
      <c r="CG1926">
        <v>0</v>
      </c>
      <c r="CH1926">
        <v>0</v>
      </c>
      <c r="CI1926">
        <v>0</v>
      </c>
      <c r="CJ1926">
        <v>0</v>
      </c>
      <c r="CK1926">
        <v>0</v>
      </c>
      <c r="CL1926">
        <v>0</v>
      </c>
      <c r="CM1926">
        <v>0</v>
      </c>
      <c r="CR1926" t="s">
        <v>2328</v>
      </c>
      <c r="CS1926" s="1369" t="str">
        <f>INDEX([8]Sheet1!$H:$H,MATCH(CR:CR,[8]Sheet1!$AU:$AU,0))</f>
        <v>Water Distribution</v>
      </c>
    </row>
    <row r="1927" spans="1:97" x14ac:dyDescent="0.2">
      <c r="A1927" t="s">
        <v>5139</v>
      </c>
      <c r="B1927">
        <v>2025</v>
      </c>
      <c r="C1927" t="s">
        <v>5139</v>
      </c>
      <c r="D1927">
        <v>55025</v>
      </c>
      <c r="E1927" t="s">
        <v>3786</v>
      </c>
      <c r="F1927" t="s">
        <v>2364</v>
      </c>
      <c r="G1927" t="s">
        <v>2364</v>
      </c>
      <c r="H1927" t="s">
        <v>2365</v>
      </c>
      <c r="I1927" t="s">
        <v>2365</v>
      </c>
      <c r="J1927" t="s">
        <v>2365</v>
      </c>
      <c r="K1927" t="s">
        <v>2365</v>
      </c>
      <c r="L1927">
        <v>1200</v>
      </c>
      <c r="M1927" t="s">
        <v>1480</v>
      </c>
      <c r="N1927">
        <v>1202</v>
      </c>
      <c r="O1927" t="s">
        <v>595</v>
      </c>
      <c r="P1927" t="s">
        <v>2366</v>
      </c>
      <c r="Q1927" t="s">
        <v>2364</v>
      </c>
      <c r="R1927" t="s">
        <v>2364</v>
      </c>
      <c r="S1927" t="s">
        <v>553</v>
      </c>
      <c r="T1927" t="s">
        <v>2175</v>
      </c>
      <c r="U1927">
        <v>170</v>
      </c>
      <c r="V1927" t="s">
        <v>696</v>
      </c>
      <c r="W1927">
        <v>170</v>
      </c>
      <c r="X1927" t="s">
        <v>696</v>
      </c>
      <c r="Y1927" t="s">
        <v>2365</v>
      </c>
      <c r="Z1927" t="s">
        <v>2365</v>
      </c>
      <c r="AA1927" t="s">
        <v>2365</v>
      </c>
      <c r="AB1927" t="s">
        <v>2365</v>
      </c>
      <c r="AC1927" s="813" t="s">
        <v>2365</v>
      </c>
      <c r="AD1927" s="813" t="s">
        <v>2365</v>
      </c>
      <c r="AE1927" s="813" t="s">
        <v>2365</v>
      </c>
      <c r="AF1927" t="s">
        <v>2365</v>
      </c>
      <c r="AG1927" t="s">
        <v>2365</v>
      </c>
      <c r="AH1927" t="s">
        <v>2365</v>
      </c>
      <c r="AI1927" t="s">
        <v>2365</v>
      </c>
      <c r="AJ1927" t="s">
        <v>2365</v>
      </c>
      <c r="AK1927" t="s">
        <v>2365</v>
      </c>
      <c r="AL1927" t="s">
        <v>2365</v>
      </c>
      <c r="AM1927" t="s">
        <v>2365</v>
      </c>
      <c r="AN1927" t="s">
        <v>2365</v>
      </c>
      <c r="AR1927" t="s">
        <v>2365</v>
      </c>
      <c r="AS1927" t="s">
        <v>2365</v>
      </c>
      <c r="AT1927" t="s">
        <v>2365</v>
      </c>
      <c r="AU1927" t="s">
        <v>2365</v>
      </c>
      <c r="AV1927" t="s">
        <v>2365</v>
      </c>
      <c r="AW1927" t="s">
        <v>2365</v>
      </c>
      <c r="AX1927" t="s">
        <v>2365</v>
      </c>
      <c r="AY1927" t="s">
        <v>2365</v>
      </c>
      <c r="AZ1927" t="s">
        <v>2365</v>
      </c>
      <c r="BA1927" t="s">
        <v>2365</v>
      </c>
      <c r="BB1927" t="s">
        <v>2365</v>
      </c>
      <c r="BC1927" t="s">
        <v>2365</v>
      </c>
      <c r="BD1927" t="s">
        <v>2366</v>
      </c>
      <c r="BE1927" t="s">
        <v>2365</v>
      </c>
      <c r="BF1927" t="s">
        <v>2365</v>
      </c>
      <c r="BG1927" t="s">
        <v>2365</v>
      </c>
      <c r="BH1927" t="s">
        <v>2365</v>
      </c>
      <c r="BI1927" t="s">
        <v>2366</v>
      </c>
      <c r="BJ1927" t="s">
        <v>2365</v>
      </c>
      <c r="BK1927" t="s">
        <v>2365</v>
      </c>
      <c r="BL1927" t="s">
        <v>2365</v>
      </c>
      <c r="BM1927" t="s">
        <v>2365</v>
      </c>
      <c r="BO1927">
        <v>1</v>
      </c>
      <c r="BP1927">
        <v>13</v>
      </c>
      <c r="BQ1927" t="s">
        <v>2369</v>
      </c>
      <c r="BR1927" t="s">
        <v>595</v>
      </c>
      <c r="BU1927">
        <v>0</v>
      </c>
      <c r="BV1927">
        <v>0</v>
      </c>
      <c r="BW1927">
        <v>0</v>
      </c>
      <c r="BX1927">
        <v>0</v>
      </c>
      <c r="BY1927">
        <v>0</v>
      </c>
      <c r="BZ1927">
        <v>0</v>
      </c>
      <c r="CA1927">
        <v>0</v>
      </c>
      <c r="CB1927">
        <v>0</v>
      </c>
      <c r="CC1927">
        <v>0</v>
      </c>
      <c r="CD1927">
        <v>0</v>
      </c>
      <c r="CE1927">
        <v>0</v>
      </c>
      <c r="CF1927">
        <v>0</v>
      </c>
      <c r="CG1927">
        <v>0</v>
      </c>
      <c r="CH1927">
        <v>0</v>
      </c>
      <c r="CI1927">
        <v>0</v>
      </c>
      <c r="CJ1927">
        <v>0</v>
      </c>
      <c r="CK1927">
        <v>0</v>
      </c>
      <c r="CL1927">
        <v>0</v>
      </c>
      <c r="CM1927">
        <v>0</v>
      </c>
      <c r="CR1927" t="s">
        <v>2328</v>
      </c>
      <c r="CS1927" s="1369" t="str">
        <f>INDEX([8]Sheet1!$H:$H,MATCH(CR:CR,[8]Sheet1!$AU:$AU,0))</f>
        <v>Water Distribution</v>
      </c>
    </row>
    <row r="1928" spans="1:97" x14ac:dyDescent="0.2">
      <c r="A1928" t="s">
        <v>5140</v>
      </c>
      <c r="B1928">
        <v>2026</v>
      </c>
      <c r="C1928" t="s">
        <v>5140</v>
      </c>
      <c r="D1928">
        <v>55026</v>
      </c>
      <c r="E1928" t="s">
        <v>5141</v>
      </c>
      <c r="F1928" t="s">
        <v>2364</v>
      </c>
      <c r="G1928" t="s">
        <v>2364</v>
      </c>
      <c r="H1928" t="s">
        <v>2365</v>
      </c>
      <c r="I1928" t="s">
        <v>2365</v>
      </c>
      <c r="J1928" t="s">
        <v>2365</v>
      </c>
      <c r="K1928" t="s">
        <v>2365</v>
      </c>
      <c r="L1928">
        <v>1200</v>
      </c>
      <c r="M1928" t="s">
        <v>1480</v>
      </c>
      <c r="N1928">
        <v>1201</v>
      </c>
      <c r="O1928" t="s">
        <v>1486</v>
      </c>
      <c r="P1928" t="s">
        <v>2366</v>
      </c>
      <c r="Q1928" t="s">
        <v>2364</v>
      </c>
      <c r="R1928" t="s">
        <v>2364</v>
      </c>
      <c r="S1928" t="s">
        <v>553</v>
      </c>
      <c r="T1928" t="s">
        <v>2367</v>
      </c>
      <c r="U1928">
        <v>360</v>
      </c>
      <c r="V1928" t="s">
        <v>2368</v>
      </c>
      <c r="W1928">
        <v>360</v>
      </c>
      <c r="X1928" t="s">
        <v>711</v>
      </c>
      <c r="Y1928" t="s">
        <v>2365</v>
      </c>
      <c r="Z1928" t="s">
        <v>2365</v>
      </c>
      <c r="AA1928" t="s">
        <v>2365</v>
      </c>
      <c r="AB1928" t="s">
        <v>2365</v>
      </c>
      <c r="AC1928" s="813" t="s">
        <v>2365</v>
      </c>
      <c r="AD1928" s="813" t="s">
        <v>2365</v>
      </c>
      <c r="AE1928" s="813" t="s">
        <v>2365</v>
      </c>
      <c r="AF1928" t="s">
        <v>2365</v>
      </c>
      <c r="AG1928" t="s">
        <v>2365</v>
      </c>
      <c r="AH1928" t="s">
        <v>2365</v>
      </c>
      <c r="AI1928" t="s">
        <v>2365</v>
      </c>
      <c r="AJ1928" t="s">
        <v>2365</v>
      </c>
      <c r="AK1928">
        <v>363</v>
      </c>
      <c r="AL1928" t="s">
        <v>748</v>
      </c>
      <c r="AM1928">
        <v>363</v>
      </c>
      <c r="AN1928" t="s">
        <v>748</v>
      </c>
      <c r="AR1928" t="s">
        <v>2365</v>
      </c>
      <c r="AS1928" t="s">
        <v>2365</v>
      </c>
      <c r="AT1928" t="s">
        <v>2365</v>
      </c>
      <c r="AU1928" t="s">
        <v>2365</v>
      </c>
      <c r="AV1928" t="s">
        <v>2365</v>
      </c>
      <c r="AW1928" t="s">
        <v>2365</v>
      </c>
      <c r="AX1928" t="s">
        <v>2365</v>
      </c>
      <c r="AY1928" t="s">
        <v>2365</v>
      </c>
      <c r="AZ1928" t="s">
        <v>2365</v>
      </c>
      <c r="BA1928" t="s">
        <v>2365</v>
      </c>
      <c r="BB1928" t="s">
        <v>2365</v>
      </c>
      <c r="BC1928" t="s">
        <v>2365</v>
      </c>
      <c r="BD1928" t="s">
        <v>2366</v>
      </c>
      <c r="BE1928" t="s">
        <v>2365</v>
      </c>
      <c r="BF1928" t="s">
        <v>2365</v>
      </c>
      <c r="BG1928" t="s">
        <v>2365</v>
      </c>
      <c r="BH1928" t="s">
        <v>2365</v>
      </c>
      <c r="BI1928" t="s">
        <v>2366</v>
      </c>
      <c r="BJ1928" t="s">
        <v>2365</v>
      </c>
      <c r="BK1928" t="s">
        <v>2365</v>
      </c>
      <c r="BL1928" t="s">
        <v>2365</v>
      </c>
      <c r="BM1928" t="s">
        <v>2365</v>
      </c>
      <c r="BO1928">
        <v>1</v>
      </c>
      <c r="BP1928">
        <v>14</v>
      </c>
      <c r="BQ1928" t="s">
        <v>2369</v>
      </c>
      <c r="BR1928" t="s">
        <v>1486</v>
      </c>
      <c r="BU1928">
        <v>0</v>
      </c>
      <c r="BV1928">
        <v>0</v>
      </c>
      <c r="BW1928">
        <v>0</v>
      </c>
      <c r="BX1928">
        <v>0</v>
      </c>
      <c r="BY1928">
        <v>0</v>
      </c>
      <c r="BZ1928">
        <v>0</v>
      </c>
      <c r="CA1928">
        <v>0</v>
      </c>
      <c r="CB1928">
        <v>0</v>
      </c>
      <c r="CC1928">
        <v>0</v>
      </c>
      <c r="CD1928">
        <v>0</v>
      </c>
      <c r="CE1928">
        <v>0</v>
      </c>
      <c r="CF1928">
        <v>0</v>
      </c>
      <c r="CG1928">
        <v>0</v>
      </c>
      <c r="CH1928">
        <v>0</v>
      </c>
      <c r="CI1928">
        <v>0</v>
      </c>
      <c r="CJ1928">
        <v>0</v>
      </c>
      <c r="CK1928">
        <v>0</v>
      </c>
      <c r="CL1928">
        <v>0</v>
      </c>
      <c r="CM1928">
        <v>0</v>
      </c>
      <c r="CR1928" t="s">
        <v>2328</v>
      </c>
      <c r="CS1928" s="1369" t="str">
        <f>INDEX([8]Sheet1!$H:$H,MATCH(CR:CR,[8]Sheet1!$AU:$AU,0))</f>
        <v>Water Distribution</v>
      </c>
    </row>
    <row r="1929" spans="1:97" x14ac:dyDescent="0.2">
      <c r="A1929" t="s">
        <v>5142</v>
      </c>
      <c r="B1929">
        <v>2027</v>
      </c>
      <c r="C1929" t="s">
        <v>5142</v>
      </c>
      <c r="D1929">
        <v>55028</v>
      </c>
      <c r="E1929" t="s">
        <v>4702</v>
      </c>
      <c r="F1929">
        <v>2000</v>
      </c>
      <c r="G1929" t="s">
        <v>652</v>
      </c>
      <c r="H1929" t="s">
        <v>2559</v>
      </c>
      <c r="I1929" t="s">
        <v>1376</v>
      </c>
      <c r="J1929">
        <v>2006</v>
      </c>
      <c r="K1929" t="s">
        <v>1376</v>
      </c>
      <c r="L1929">
        <v>2100</v>
      </c>
      <c r="M1929" t="s">
        <v>618</v>
      </c>
      <c r="N1929">
        <v>2106</v>
      </c>
      <c r="O1929" t="s">
        <v>1499</v>
      </c>
      <c r="P1929" t="s">
        <v>2366</v>
      </c>
      <c r="Q1929" t="s">
        <v>2364</v>
      </c>
      <c r="R1929" t="s">
        <v>2364</v>
      </c>
      <c r="S1929" t="s">
        <v>1881</v>
      </c>
      <c r="T1929" t="s">
        <v>1812</v>
      </c>
      <c r="U1929" t="s">
        <v>2365</v>
      </c>
      <c r="V1929" t="s">
        <v>2365</v>
      </c>
      <c r="W1929" t="s">
        <v>2365</v>
      </c>
      <c r="X1929" t="s">
        <v>2365</v>
      </c>
      <c r="Y1929" t="s">
        <v>2365</v>
      </c>
      <c r="Z1929" t="s">
        <v>2365</v>
      </c>
      <c r="AA1929" t="s">
        <v>2365</v>
      </c>
      <c r="AB1929" t="s">
        <v>2365</v>
      </c>
      <c r="AC1929" s="813" t="s">
        <v>2365</v>
      </c>
      <c r="AD1929" s="813" t="s">
        <v>2365</v>
      </c>
      <c r="AE1929" s="813" t="s">
        <v>2365</v>
      </c>
      <c r="AF1929" t="s">
        <v>2365</v>
      </c>
      <c r="AG1929" t="s">
        <v>2365</v>
      </c>
      <c r="AH1929" t="s">
        <v>2365</v>
      </c>
      <c r="AI1929" t="s">
        <v>2365</v>
      </c>
      <c r="AJ1929" t="s">
        <v>2365</v>
      </c>
      <c r="AK1929" t="s">
        <v>2365</v>
      </c>
      <c r="AL1929" t="s">
        <v>2365</v>
      </c>
      <c r="AM1929" t="s">
        <v>2365</v>
      </c>
      <c r="AN1929" t="s">
        <v>2365</v>
      </c>
      <c r="AR1929" t="s">
        <v>2365</v>
      </c>
      <c r="AS1929" t="s">
        <v>2365</v>
      </c>
      <c r="AT1929" t="s">
        <v>2365</v>
      </c>
      <c r="AU1929" t="s">
        <v>2365</v>
      </c>
      <c r="AV1929" t="s">
        <v>2365</v>
      </c>
      <c r="AW1929" t="s">
        <v>2365</v>
      </c>
      <c r="AX1929" t="s">
        <v>2365</v>
      </c>
      <c r="AY1929" t="s">
        <v>2365</v>
      </c>
      <c r="AZ1929" t="s">
        <v>2365</v>
      </c>
      <c r="BA1929" t="s">
        <v>2365</v>
      </c>
      <c r="BB1929" t="s">
        <v>2365</v>
      </c>
      <c r="BC1929" t="s">
        <v>2365</v>
      </c>
      <c r="BD1929" t="s">
        <v>2366</v>
      </c>
      <c r="BE1929" t="s">
        <v>2365</v>
      </c>
      <c r="BF1929" t="s">
        <v>2365</v>
      </c>
      <c r="BG1929" t="s">
        <v>2365</v>
      </c>
      <c r="BH1929" t="s">
        <v>2365</v>
      </c>
      <c r="BI1929" t="s">
        <v>2366</v>
      </c>
      <c r="BJ1929" t="s">
        <v>2365</v>
      </c>
      <c r="BK1929" t="s">
        <v>2365</v>
      </c>
      <c r="BL1929" t="s">
        <v>2365</v>
      </c>
      <c r="BM1929" t="s">
        <v>2365</v>
      </c>
      <c r="BN1929" t="s">
        <v>2176</v>
      </c>
      <c r="BO1929">
        <v>5</v>
      </c>
      <c r="BP1929">
        <v>53</v>
      </c>
      <c r="BQ1929" t="s">
        <v>2438</v>
      </c>
      <c r="BR1929" t="s">
        <v>1499</v>
      </c>
      <c r="BU1929">
        <v>0</v>
      </c>
      <c r="BV1929">
        <v>0</v>
      </c>
      <c r="BW1929">
        <v>0</v>
      </c>
      <c r="BX1929">
        <v>0</v>
      </c>
      <c r="BY1929">
        <v>0</v>
      </c>
      <c r="BZ1929">
        <v>0</v>
      </c>
      <c r="CA1929">
        <v>0</v>
      </c>
      <c r="CB1929">
        <v>0</v>
      </c>
      <c r="CC1929">
        <v>0</v>
      </c>
      <c r="CD1929">
        <v>0</v>
      </c>
      <c r="CE1929">
        <v>0</v>
      </c>
      <c r="CF1929">
        <v>0</v>
      </c>
      <c r="CG1929">
        <v>0</v>
      </c>
      <c r="CH1929">
        <v>0</v>
      </c>
      <c r="CI1929">
        <v>0</v>
      </c>
      <c r="CJ1929">
        <v>0</v>
      </c>
      <c r="CK1929">
        <v>0</v>
      </c>
      <c r="CL1929">
        <v>0</v>
      </c>
      <c r="CM1929">
        <v>0</v>
      </c>
      <c r="CR1929" t="s">
        <v>2328</v>
      </c>
      <c r="CS1929" s="1369" t="str">
        <f>INDEX([8]Sheet1!$H:$H,MATCH(CR:CR,[8]Sheet1!$AU:$AU,0))</f>
        <v>Water Distribution</v>
      </c>
    </row>
    <row r="1930" spans="1:97" x14ac:dyDescent="0.2">
      <c r="A1930" t="s">
        <v>5143</v>
      </c>
      <c r="B1930">
        <v>2028</v>
      </c>
      <c r="C1930" t="s">
        <v>5143</v>
      </c>
      <c r="D1930">
        <v>55027</v>
      </c>
      <c r="E1930" t="s">
        <v>2691</v>
      </c>
      <c r="F1930" t="s">
        <v>2364</v>
      </c>
      <c r="G1930" t="s">
        <v>2364</v>
      </c>
      <c r="H1930" t="s">
        <v>2365</v>
      </c>
      <c r="I1930" t="s">
        <v>2365</v>
      </c>
      <c r="J1930" t="s">
        <v>2365</v>
      </c>
      <c r="K1930" t="s">
        <v>2365</v>
      </c>
      <c r="L1930">
        <v>3200</v>
      </c>
      <c r="M1930" t="s">
        <v>625</v>
      </c>
      <c r="N1930">
        <v>3205</v>
      </c>
      <c r="O1930" t="s">
        <v>1002</v>
      </c>
      <c r="P1930" t="s">
        <v>1846</v>
      </c>
      <c r="Q1930">
        <v>2080</v>
      </c>
      <c r="R1930" t="s">
        <v>579</v>
      </c>
      <c r="S1930" t="s">
        <v>552</v>
      </c>
      <c r="T1930" t="s">
        <v>2175</v>
      </c>
      <c r="U1930">
        <v>240</v>
      </c>
      <c r="V1930" t="s">
        <v>2389</v>
      </c>
      <c r="W1930">
        <v>240</v>
      </c>
      <c r="X1930" t="s">
        <v>701</v>
      </c>
      <c r="Y1930" t="s">
        <v>2365</v>
      </c>
      <c r="Z1930" t="s">
        <v>2365</v>
      </c>
      <c r="AA1930" t="s">
        <v>2365</v>
      </c>
      <c r="AB1930" t="s">
        <v>2365</v>
      </c>
      <c r="AC1930" s="813" t="s">
        <v>2365</v>
      </c>
      <c r="AD1930" s="813" t="s">
        <v>2365</v>
      </c>
      <c r="AE1930" s="813" t="s">
        <v>2365</v>
      </c>
      <c r="AF1930" t="s">
        <v>2365</v>
      </c>
      <c r="AG1930">
        <v>110</v>
      </c>
      <c r="AH1930" t="s">
        <v>1568</v>
      </c>
      <c r="AI1930">
        <v>110</v>
      </c>
      <c r="AJ1930" t="s">
        <v>1568</v>
      </c>
      <c r="AK1930">
        <v>241</v>
      </c>
      <c r="AL1930" t="s">
        <v>1203</v>
      </c>
      <c r="AM1930">
        <v>241</v>
      </c>
      <c r="AN1930" t="s">
        <v>1203</v>
      </c>
      <c r="AR1930">
        <v>120</v>
      </c>
      <c r="AS1930" t="s">
        <v>1002</v>
      </c>
      <c r="AT1930">
        <v>120</v>
      </c>
      <c r="AU1930" t="s">
        <v>1002</v>
      </c>
      <c r="AV1930" t="s">
        <v>2365</v>
      </c>
      <c r="AW1930" t="s">
        <v>2365</v>
      </c>
      <c r="AX1930" t="s">
        <v>2365</v>
      </c>
      <c r="AY1930" t="s">
        <v>2365</v>
      </c>
      <c r="AZ1930" t="s">
        <v>2365</v>
      </c>
      <c r="BA1930" t="s">
        <v>2365</v>
      </c>
      <c r="BB1930" t="s">
        <v>2365</v>
      </c>
      <c r="BC1930" t="s">
        <v>2365</v>
      </c>
      <c r="BD1930" t="s">
        <v>2366</v>
      </c>
      <c r="BE1930" t="s">
        <v>2365</v>
      </c>
      <c r="BF1930" t="s">
        <v>2365</v>
      </c>
      <c r="BG1930" t="s">
        <v>2365</v>
      </c>
      <c r="BH1930" t="s">
        <v>2365</v>
      </c>
      <c r="BI1930" t="s">
        <v>2366</v>
      </c>
      <c r="BJ1930" t="s">
        <v>2365</v>
      </c>
      <c r="BK1930" t="s">
        <v>2365</v>
      </c>
      <c r="BL1930" t="s">
        <v>2365</v>
      </c>
      <c r="BM1930" t="s">
        <v>2365</v>
      </c>
      <c r="BO1930">
        <v>7</v>
      </c>
      <c r="BP1930">
        <v>71</v>
      </c>
      <c r="BQ1930" t="s">
        <v>2665</v>
      </c>
      <c r="BR1930" t="s">
        <v>1002</v>
      </c>
      <c r="BU1930">
        <v>0</v>
      </c>
      <c r="BV1930">
        <v>765030</v>
      </c>
      <c r="BW1930">
        <v>765030</v>
      </c>
      <c r="BX1930">
        <v>-19048</v>
      </c>
      <c r="BY1930">
        <v>745982</v>
      </c>
      <c r="BZ1930">
        <v>0</v>
      </c>
      <c r="CA1930">
        <v>0</v>
      </c>
      <c r="CB1930">
        <v>0</v>
      </c>
      <c r="CC1930">
        <v>0</v>
      </c>
      <c r="CD1930">
        <v>0</v>
      </c>
      <c r="CE1930">
        <v>0</v>
      </c>
      <c r="CF1930">
        <v>0</v>
      </c>
      <c r="CG1930">
        <v>0</v>
      </c>
      <c r="CH1930">
        <v>0</v>
      </c>
      <c r="CI1930">
        <v>0</v>
      </c>
      <c r="CJ1930">
        <v>0</v>
      </c>
      <c r="CK1930">
        <v>0</v>
      </c>
      <c r="CL1930">
        <v>0</v>
      </c>
      <c r="CM1930">
        <v>0</v>
      </c>
      <c r="CR1930" t="s">
        <v>2328</v>
      </c>
      <c r="CS1930" s="1369" t="str">
        <f>INDEX([8]Sheet1!$H:$H,MATCH(CR:CR,[8]Sheet1!$AU:$AU,0))</f>
        <v>Water Distribution</v>
      </c>
    </row>
    <row r="1931" spans="1:97" x14ac:dyDescent="0.2">
      <c r="A1931" t="s">
        <v>5144</v>
      </c>
      <c r="B1931">
        <v>2029</v>
      </c>
      <c r="C1931" t="s">
        <v>5144</v>
      </c>
      <c r="D1931">
        <v>55029</v>
      </c>
      <c r="E1931" t="s">
        <v>2437</v>
      </c>
      <c r="F1931" t="s">
        <v>2364</v>
      </c>
      <c r="G1931" t="s">
        <v>2364</v>
      </c>
      <c r="H1931" t="s">
        <v>2365</v>
      </c>
      <c r="I1931" t="s">
        <v>2365</v>
      </c>
      <c r="J1931" t="s">
        <v>2365</v>
      </c>
      <c r="K1931" t="s">
        <v>2365</v>
      </c>
      <c r="L1931">
        <v>3200</v>
      </c>
      <c r="M1931" t="s">
        <v>625</v>
      </c>
      <c r="N1931">
        <v>3205</v>
      </c>
      <c r="O1931" t="s">
        <v>1002</v>
      </c>
      <c r="P1931" t="s">
        <v>1846</v>
      </c>
      <c r="Q1931">
        <v>2080</v>
      </c>
      <c r="R1931" t="s">
        <v>579</v>
      </c>
      <c r="S1931" t="s">
        <v>552</v>
      </c>
      <c r="T1931" t="s">
        <v>2175</v>
      </c>
      <c r="U1931">
        <v>240</v>
      </c>
      <c r="V1931" t="s">
        <v>2389</v>
      </c>
      <c r="W1931">
        <v>240</v>
      </c>
      <c r="X1931" t="s">
        <v>701</v>
      </c>
      <c r="Y1931" t="s">
        <v>2365</v>
      </c>
      <c r="Z1931" t="s">
        <v>2365</v>
      </c>
      <c r="AA1931" t="s">
        <v>2365</v>
      </c>
      <c r="AB1931" t="s">
        <v>2365</v>
      </c>
      <c r="AC1931" s="813" t="s">
        <v>2365</v>
      </c>
      <c r="AD1931" s="813" t="s">
        <v>2365</v>
      </c>
      <c r="AE1931" s="813" t="s">
        <v>2365</v>
      </c>
      <c r="AF1931" t="s">
        <v>2365</v>
      </c>
      <c r="AG1931" t="s">
        <v>2365</v>
      </c>
      <c r="AH1931" t="s">
        <v>2365</v>
      </c>
      <c r="AI1931" t="s">
        <v>2365</v>
      </c>
      <c r="AJ1931" t="s">
        <v>2365</v>
      </c>
      <c r="AK1931">
        <v>241</v>
      </c>
      <c r="AL1931" t="s">
        <v>1203</v>
      </c>
      <c r="AM1931">
        <v>241</v>
      </c>
      <c r="AN1931" t="s">
        <v>1203</v>
      </c>
      <c r="AR1931">
        <v>120</v>
      </c>
      <c r="AS1931" t="s">
        <v>1002</v>
      </c>
      <c r="AT1931">
        <v>120</v>
      </c>
      <c r="AU1931" t="s">
        <v>1002</v>
      </c>
      <c r="AV1931" t="s">
        <v>2365</v>
      </c>
      <c r="AW1931" t="s">
        <v>2365</v>
      </c>
      <c r="AX1931" t="s">
        <v>2365</v>
      </c>
      <c r="AY1931" t="s">
        <v>2365</v>
      </c>
      <c r="AZ1931" t="s">
        <v>2365</v>
      </c>
      <c r="BA1931" t="s">
        <v>2365</v>
      </c>
      <c r="BB1931" t="s">
        <v>2365</v>
      </c>
      <c r="BC1931" t="s">
        <v>2365</v>
      </c>
      <c r="BD1931" t="s">
        <v>2366</v>
      </c>
      <c r="BE1931" t="s">
        <v>2365</v>
      </c>
      <c r="BF1931" t="s">
        <v>2365</v>
      </c>
      <c r="BG1931" t="s">
        <v>2365</v>
      </c>
      <c r="BH1931" t="s">
        <v>2365</v>
      </c>
      <c r="BI1931" t="s">
        <v>2366</v>
      </c>
      <c r="BJ1931" t="s">
        <v>2365</v>
      </c>
      <c r="BK1931" t="s">
        <v>2365</v>
      </c>
      <c r="BL1931" t="s">
        <v>2365</v>
      </c>
      <c r="BM1931" t="s">
        <v>2365</v>
      </c>
      <c r="BO1931">
        <v>7</v>
      </c>
      <c r="BP1931">
        <v>71</v>
      </c>
      <c r="BQ1931" t="s">
        <v>2665</v>
      </c>
      <c r="BR1931" t="s">
        <v>1002</v>
      </c>
      <c r="BU1931">
        <v>0</v>
      </c>
      <c r="BV1931">
        <v>1479750</v>
      </c>
      <c r="BW1931">
        <v>1479750</v>
      </c>
      <c r="BX1931">
        <v>-1479750</v>
      </c>
      <c r="BY1931">
        <v>0</v>
      </c>
      <c r="BZ1931">
        <v>0</v>
      </c>
      <c r="CA1931">
        <v>0</v>
      </c>
      <c r="CB1931">
        <v>0</v>
      </c>
      <c r="CC1931">
        <v>0</v>
      </c>
      <c r="CD1931">
        <v>0</v>
      </c>
      <c r="CE1931">
        <v>0</v>
      </c>
      <c r="CF1931">
        <v>2022625</v>
      </c>
      <c r="CG1931">
        <v>0</v>
      </c>
      <c r="CH1931">
        <v>0</v>
      </c>
      <c r="CI1931">
        <v>0</v>
      </c>
      <c r="CJ1931">
        <v>0</v>
      </c>
      <c r="CK1931">
        <v>0</v>
      </c>
      <c r="CL1931">
        <v>0</v>
      </c>
      <c r="CM1931">
        <v>0</v>
      </c>
      <c r="CR1931" t="s">
        <v>2328</v>
      </c>
      <c r="CS1931" s="1369" t="str">
        <f>INDEX([8]Sheet1!$H:$H,MATCH(CR:CR,[8]Sheet1!$AU:$AU,0))</f>
        <v>Water Distribution</v>
      </c>
    </row>
    <row r="1932" spans="1:97" x14ac:dyDescent="0.2">
      <c r="A1932" t="s">
        <v>5145</v>
      </c>
      <c r="B1932">
        <v>2030</v>
      </c>
      <c r="C1932" t="s">
        <v>5145</v>
      </c>
      <c r="D1932">
        <v>55030</v>
      </c>
      <c r="E1932" t="s">
        <v>5146</v>
      </c>
      <c r="F1932" t="s">
        <v>2364</v>
      </c>
      <c r="G1932" t="s">
        <v>2364</v>
      </c>
      <c r="H1932" t="s">
        <v>2365</v>
      </c>
      <c r="I1932" t="s">
        <v>2365</v>
      </c>
      <c r="J1932" t="s">
        <v>2365</v>
      </c>
      <c r="K1932" t="s">
        <v>2365</v>
      </c>
      <c r="L1932">
        <v>1200</v>
      </c>
      <c r="M1932" t="s">
        <v>1480</v>
      </c>
      <c r="N1932">
        <v>1204</v>
      </c>
      <c r="O1932" t="s">
        <v>1487</v>
      </c>
      <c r="P1932" t="s">
        <v>2366</v>
      </c>
      <c r="Q1932" t="s">
        <v>2364</v>
      </c>
      <c r="R1932" t="s">
        <v>2364</v>
      </c>
      <c r="S1932" t="s">
        <v>553</v>
      </c>
      <c r="T1932" t="s">
        <v>2175</v>
      </c>
      <c r="U1932">
        <v>130</v>
      </c>
      <c r="V1932" t="s">
        <v>2652</v>
      </c>
      <c r="W1932">
        <v>130</v>
      </c>
      <c r="X1932" t="s">
        <v>2652</v>
      </c>
      <c r="Y1932" t="s">
        <v>2365</v>
      </c>
      <c r="Z1932" t="s">
        <v>2365</v>
      </c>
      <c r="AA1932" t="s">
        <v>2365</v>
      </c>
      <c r="AB1932" t="s">
        <v>2365</v>
      </c>
      <c r="AC1932" s="813" t="s">
        <v>2365</v>
      </c>
      <c r="AD1932" s="813" t="s">
        <v>2365</v>
      </c>
      <c r="AE1932" s="813" t="s">
        <v>2365</v>
      </c>
      <c r="AF1932" t="s">
        <v>2365</v>
      </c>
      <c r="AG1932" t="s">
        <v>2365</v>
      </c>
      <c r="AH1932" t="s">
        <v>2365</v>
      </c>
      <c r="AI1932" t="s">
        <v>2365</v>
      </c>
      <c r="AJ1932" t="s">
        <v>2365</v>
      </c>
      <c r="AK1932" t="s">
        <v>2365</v>
      </c>
      <c r="AL1932" t="s">
        <v>2365</v>
      </c>
      <c r="AM1932" t="s">
        <v>2365</v>
      </c>
      <c r="AN1932" t="s">
        <v>2365</v>
      </c>
      <c r="AQ1932" t="s">
        <v>553</v>
      </c>
      <c r="AR1932" t="s">
        <v>2365</v>
      </c>
      <c r="AS1932" t="s">
        <v>2365</v>
      </c>
      <c r="AT1932" t="s">
        <v>2365</v>
      </c>
      <c r="AU1932" t="s">
        <v>2365</v>
      </c>
      <c r="AV1932" t="s">
        <v>2365</v>
      </c>
      <c r="AW1932" t="s">
        <v>2365</v>
      </c>
      <c r="AX1932" t="s">
        <v>2365</v>
      </c>
      <c r="AY1932" t="s">
        <v>2365</v>
      </c>
      <c r="AZ1932" t="s">
        <v>2365</v>
      </c>
      <c r="BA1932" t="s">
        <v>2365</v>
      </c>
      <c r="BB1932" t="s">
        <v>2365</v>
      </c>
      <c r="BC1932" t="s">
        <v>2365</v>
      </c>
      <c r="BD1932" t="s">
        <v>2366</v>
      </c>
      <c r="BE1932" t="s">
        <v>2365</v>
      </c>
      <c r="BF1932" t="s">
        <v>2365</v>
      </c>
      <c r="BG1932" t="s">
        <v>2365</v>
      </c>
      <c r="BH1932" t="s">
        <v>2365</v>
      </c>
      <c r="BI1932" t="s">
        <v>2366</v>
      </c>
      <c r="BJ1932" t="s">
        <v>2365</v>
      </c>
      <c r="BK1932" t="s">
        <v>2365</v>
      </c>
      <c r="BL1932" t="s">
        <v>2365</v>
      </c>
      <c r="BM1932" t="s">
        <v>2365</v>
      </c>
      <c r="BO1932">
        <v>1</v>
      </c>
      <c r="BP1932">
        <v>11</v>
      </c>
      <c r="BQ1932" t="s">
        <v>2369</v>
      </c>
      <c r="BR1932" t="s">
        <v>1487</v>
      </c>
      <c r="BS1932">
        <v>8</v>
      </c>
      <c r="BU1932">
        <v>0</v>
      </c>
      <c r="BV1932">
        <v>0</v>
      </c>
      <c r="BW1932">
        <v>0</v>
      </c>
      <c r="BX1932">
        <v>0</v>
      </c>
      <c r="BY1932">
        <v>0</v>
      </c>
      <c r="BZ1932">
        <v>0</v>
      </c>
      <c r="CA1932">
        <v>0</v>
      </c>
      <c r="CB1932">
        <v>0</v>
      </c>
      <c r="CC1932">
        <v>0</v>
      </c>
      <c r="CD1932">
        <v>0</v>
      </c>
      <c r="CE1932">
        <v>0</v>
      </c>
      <c r="CF1932">
        <v>0</v>
      </c>
      <c r="CG1932">
        <v>0</v>
      </c>
      <c r="CH1932">
        <v>0</v>
      </c>
      <c r="CI1932">
        <v>0</v>
      </c>
      <c r="CJ1932">
        <v>0</v>
      </c>
      <c r="CK1932">
        <v>0</v>
      </c>
      <c r="CL1932">
        <v>0</v>
      </c>
      <c r="CM1932">
        <v>0</v>
      </c>
      <c r="CR1932" t="s">
        <v>2328</v>
      </c>
      <c r="CS1932" s="1369" t="str">
        <f>INDEX([8]Sheet1!$H:$H,MATCH(CR:CR,[8]Sheet1!$AU:$AU,0))</f>
        <v>Water Distribution</v>
      </c>
    </row>
    <row r="1933" spans="1:97" x14ac:dyDescent="0.2">
      <c r="A1933" t="s">
        <v>5147</v>
      </c>
      <c r="B1933">
        <v>2031</v>
      </c>
      <c r="C1933" t="s">
        <v>5147</v>
      </c>
      <c r="D1933">
        <v>55031</v>
      </c>
      <c r="E1933" t="s">
        <v>4864</v>
      </c>
      <c r="F1933" t="s">
        <v>2364</v>
      </c>
      <c r="G1933" t="s">
        <v>2364</v>
      </c>
      <c r="H1933" t="s">
        <v>2365</v>
      </c>
      <c r="I1933" t="s">
        <v>2365</v>
      </c>
      <c r="J1933" t="s">
        <v>2365</v>
      </c>
      <c r="K1933" t="s">
        <v>2365</v>
      </c>
      <c r="L1933">
        <v>1200</v>
      </c>
      <c r="M1933" t="s">
        <v>1480</v>
      </c>
      <c r="N1933">
        <v>1204</v>
      </c>
      <c r="O1933" t="s">
        <v>1487</v>
      </c>
      <c r="P1933" t="s">
        <v>2366</v>
      </c>
      <c r="Q1933" t="s">
        <v>2364</v>
      </c>
      <c r="R1933" t="s">
        <v>2364</v>
      </c>
      <c r="S1933" t="s">
        <v>553</v>
      </c>
      <c r="T1933" t="s">
        <v>2175</v>
      </c>
      <c r="U1933">
        <v>130</v>
      </c>
      <c r="V1933" t="s">
        <v>2652</v>
      </c>
      <c r="W1933">
        <v>130</v>
      </c>
      <c r="X1933" t="s">
        <v>2652</v>
      </c>
      <c r="Y1933" t="s">
        <v>2365</v>
      </c>
      <c r="Z1933" t="s">
        <v>2365</v>
      </c>
      <c r="AA1933" t="s">
        <v>2365</v>
      </c>
      <c r="AB1933" t="s">
        <v>2365</v>
      </c>
      <c r="AC1933" s="813" t="s">
        <v>2365</v>
      </c>
      <c r="AD1933" s="813" t="s">
        <v>2365</v>
      </c>
      <c r="AE1933" s="813" t="s">
        <v>2365</v>
      </c>
      <c r="AF1933" t="s">
        <v>2365</v>
      </c>
      <c r="AG1933" t="s">
        <v>2365</v>
      </c>
      <c r="AH1933" t="s">
        <v>2365</v>
      </c>
      <c r="AI1933" t="s">
        <v>2365</v>
      </c>
      <c r="AJ1933" t="s">
        <v>2365</v>
      </c>
      <c r="AK1933" t="s">
        <v>2365</v>
      </c>
      <c r="AL1933" t="s">
        <v>2365</v>
      </c>
      <c r="AM1933" t="s">
        <v>2365</v>
      </c>
      <c r="AN1933" t="s">
        <v>2365</v>
      </c>
      <c r="AQ1933" t="s">
        <v>553</v>
      </c>
      <c r="AR1933" t="s">
        <v>2365</v>
      </c>
      <c r="AS1933" t="s">
        <v>2365</v>
      </c>
      <c r="AT1933" t="s">
        <v>2365</v>
      </c>
      <c r="AU1933" t="s">
        <v>2365</v>
      </c>
      <c r="AV1933" t="s">
        <v>2365</v>
      </c>
      <c r="AW1933" t="s">
        <v>2365</v>
      </c>
      <c r="AX1933" t="s">
        <v>2365</v>
      </c>
      <c r="AY1933" t="s">
        <v>2365</v>
      </c>
      <c r="AZ1933" t="s">
        <v>2365</v>
      </c>
      <c r="BA1933" t="s">
        <v>2365</v>
      </c>
      <c r="BB1933" t="s">
        <v>2365</v>
      </c>
      <c r="BC1933" t="s">
        <v>2365</v>
      </c>
      <c r="BD1933" t="s">
        <v>2366</v>
      </c>
      <c r="BE1933" t="s">
        <v>2365</v>
      </c>
      <c r="BF1933" t="s">
        <v>2365</v>
      </c>
      <c r="BG1933" t="s">
        <v>2365</v>
      </c>
      <c r="BH1933" t="s">
        <v>2365</v>
      </c>
      <c r="BI1933" t="s">
        <v>2366</v>
      </c>
      <c r="BJ1933" t="s">
        <v>2365</v>
      </c>
      <c r="BK1933" t="s">
        <v>2365</v>
      </c>
      <c r="BL1933" t="s">
        <v>2365</v>
      </c>
      <c r="BM1933" t="s">
        <v>2365</v>
      </c>
      <c r="BO1933">
        <v>1</v>
      </c>
      <c r="BP1933">
        <v>11</v>
      </c>
      <c r="BQ1933" t="s">
        <v>2369</v>
      </c>
      <c r="BR1933" t="s">
        <v>1487</v>
      </c>
      <c r="BU1933">
        <v>0</v>
      </c>
      <c r="BV1933">
        <v>0</v>
      </c>
      <c r="BW1933">
        <v>0</v>
      </c>
      <c r="BX1933">
        <v>0</v>
      </c>
      <c r="BY1933">
        <v>0</v>
      </c>
      <c r="BZ1933">
        <v>0</v>
      </c>
      <c r="CA1933">
        <v>0</v>
      </c>
      <c r="CB1933">
        <v>0</v>
      </c>
      <c r="CC1933">
        <v>0</v>
      </c>
      <c r="CD1933">
        <v>0</v>
      </c>
      <c r="CE1933">
        <v>0</v>
      </c>
      <c r="CF1933">
        <v>0</v>
      </c>
      <c r="CG1933">
        <v>0</v>
      </c>
      <c r="CH1933">
        <v>0</v>
      </c>
      <c r="CI1933">
        <v>0</v>
      </c>
      <c r="CJ1933">
        <v>0</v>
      </c>
      <c r="CK1933">
        <v>0</v>
      </c>
      <c r="CL1933">
        <v>0</v>
      </c>
      <c r="CM1933">
        <v>0</v>
      </c>
      <c r="CR1933" t="s">
        <v>2328</v>
      </c>
      <c r="CS1933" s="1369" t="str">
        <f>INDEX([8]Sheet1!$H:$H,MATCH(CR:CR,[8]Sheet1!$AU:$AU,0))</f>
        <v>Water Distribution</v>
      </c>
    </row>
    <row r="1934" spans="1:97" x14ac:dyDescent="0.2">
      <c r="A1934" t="s">
        <v>5148</v>
      </c>
      <c r="B1934">
        <v>2032</v>
      </c>
      <c r="C1934" t="s">
        <v>5148</v>
      </c>
      <c r="D1934">
        <v>55032</v>
      </c>
      <c r="E1934" t="s">
        <v>4898</v>
      </c>
      <c r="F1934" t="s">
        <v>2364</v>
      </c>
      <c r="G1934" t="s">
        <v>2364</v>
      </c>
      <c r="H1934" t="s">
        <v>2365</v>
      </c>
      <c r="I1934" t="s">
        <v>2365</v>
      </c>
      <c r="J1934" t="s">
        <v>2365</v>
      </c>
      <c r="K1934" t="s">
        <v>2365</v>
      </c>
      <c r="L1934">
        <v>1200</v>
      </c>
      <c r="M1934" t="s">
        <v>1480</v>
      </c>
      <c r="N1934">
        <v>1204</v>
      </c>
      <c r="O1934" t="s">
        <v>1487</v>
      </c>
      <c r="P1934" t="s">
        <v>2366</v>
      </c>
      <c r="Q1934" t="s">
        <v>2364</v>
      </c>
      <c r="R1934" t="s">
        <v>2364</v>
      </c>
      <c r="S1934" t="s">
        <v>553</v>
      </c>
      <c r="T1934" t="s">
        <v>2175</v>
      </c>
      <c r="U1934">
        <v>120</v>
      </c>
      <c r="V1934" t="s">
        <v>691</v>
      </c>
      <c r="W1934">
        <v>120</v>
      </c>
      <c r="X1934" t="s">
        <v>691</v>
      </c>
      <c r="Y1934" t="s">
        <v>2365</v>
      </c>
      <c r="Z1934" t="s">
        <v>2365</v>
      </c>
      <c r="AA1934" t="s">
        <v>2365</v>
      </c>
      <c r="AB1934" t="s">
        <v>2365</v>
      </c>
      <c r="AC1934" s="813" t="s">
        <v>2365</v>
      </c>
      <c r="AD1934" s="813" t="s">
        <v>2365</v>
      </c>
      <c r="AE1934" s="813" t="s">
        <v>2365</v>
      </c>
      <c r="AF1934" t="s">
        <v>2365</v>
      </c>
      <c r="AG1934" t="s">
        <v>2365</v>
      </c>
      <c r="AH1934" t="s">
        <v>2365</v>
      </c>
      <c r="AI1934" t="s">
        <v>2365</v>
      </c>
      <c r="AJ1934" t="s">
        <v>2365</v>
      </c>
      <c r="AK1934" t="s">
        <v>2365</v>
      </c>
      <c r="AL1934" t="s">
        <v>2365</v>
      </c>
      <c r="AM1934" t="s">
        <v>2365</v>
      </c>
      <c r="AN1934" t="s">
        <v>2365</v>
      </c>
      <c r="AR1934" t="s">
        <v>2365</v>
      </c>
      <c r="AS1934" t="s">
        <v>2365</v>
      </c>
      <c r="AT1934" t="s">
        <v>2365</v>
      </c>
      <c r="AU1934" t="s">
        <v>2365</v>
      </c>
      <c r="AV1934" t="s">
        <v>2365</v>
      </c>
      <c r="AW1934" t="s">
        <v>2365</v>
      </c>
      <c r="AX1934" t="s">
        <v>2365</v>
      </c>
      <c r="AY1934" t="s">
        <v>2365</v>
      </c>
      <c r="AZ1934" t="s">
        <v>2365</v>
      </c>
      <c r="BA1934" t="s">
        <v>2365</v>
      </c>
      <c r="BB1934" t="s">
        <v>2365</v>
      </c>
      <c r="BC1934" t="s">
        <v>2365</v>
      </c>
      <c r="BD1934" t="s">
        <v>2366</v>
      </c>
      <c r="BE1934" t="s">
        <v>2365</v>
      </c>
      <c r="BF1934" t="s">
        <v>2365</v>
      </c>
      <c r="BG1934" t="s">
        <v>2365</v>
      </c>
      <c r="BH1934" t="s">
        <v>2365</v>
      </c>
      <c r="BI1934" t="s">
        <v>2366</v>
      </c>
      <c r="BJ1934" t="s">
        <v>2365</v>
      </c>
      <c r="BK1934" t="s">
        <v>2365</v>
      </c>
      <c r="BL1934" t="s">
        <v>2365</v>
      </c>
      <c r="BM1934" t="s">
        <v>2365</v>
      </c>
      <c r="BO1934">
        <v>1</v>
      </c>
      <c r="BP1934">
        <v>11</v>
      </c>
      <c r="BQ1934" t="s">
        <v>2369</v>
      </c>
      <c r="BR1934" t="s">
        <v>1487</v>
      </c>
      <c r="BU1934">
        <v>0</v>
      </c>
      <c r="BV1934">
        <v>0</v>
      </c>
      <c r="BW1934">
        <v>0</v>
      </c>
      <c r="BX1934">
        <v>0</v>
      </c>
      <c r="BY1934">
        <v>0</v>
      </c>
      <c r="BZ1934">
        <v>0</v>
      </c>
      <c r="CA1934">
        <v>0</v>
      </c>
      <c r="CB1934">
        <v>0</v>
      </c>
      <c r="CC1934">
        <v>0</v>
      </c>
      <c r="CD1934">
        <v>0</v>
      </c>
      <c r="CE1934">
        <v>0</v>
      </c>
      <c r="CF1934">
        <v>0</v>
      </c>
      <c r="CG1934">
        <v>0</v>
      </c>
      <c r="CH1934">
        <v>0</v>
      </c>
      <c r="CI1934">
        <v>0</v>
      </c>
      <c r="CJ1934">
        <v>0</v>
      </c>
      <c r="CK1934">
        <v>0</v>
      </c>
      <c r="CL1934">
        <v>0</v>
      </c>
      <c r="CM1934">
        <v>0</v>
      </c>
      <c r="CR1934" t="s">
        <v>2328</v>
      </c>
      <c r="CS1934" s="1369" t="str">
        <f>INDEX([8]Sheet1!$H:$H,MATCH(CR:CR,[8]Sheet1!$AU:$AU,0))</f>
        <v>Water Distribution</v>
      </c>
    </row>
    <row r="1935" spans="1:97" x14ac:dyDescent="0.2">
      <c r="A1935" t="s">
        <v>5149</v>
      </c>
      <c r="B1935">
        <v>2033</v>
      </c>
      <c r="C1935" t="s">
        <v>5149</v>
      </c>
      <c r="D1935">
        <v>55033</v>
      </c>
      <c r="E1935" t="s">
        <v>4898</v>
      </c>
      <c r="F1935" t="s">
        <v>2364</v>
      </c>
      <c r="G1935" t="s">
        <v>2364</v>
      </c>
      <c r="H1935" t="s">
        <v>2365</v>
      </c>
      <c r="I1935" t="s">
        <v>2365</v>
      </c>
      <c r="J1935" t="s">
        <v>2365</v>
      </c>
      <c r="K1935" t="s">
        <v>2365</v>
      </c>
      <c r="L1935">
        <v>1200</v>
      </c>
      <c r="M1935" t="s">
        <v>1480</v>
      </c>
      <c r="N1935">
        <v>1204</v>
      </c>
      <c r="O1935" t="s">
        <v>1487</v>
      </c>
      <c r="P1935" t="s">
        <v>2366</v>
      </c>
      <c r="Q1935" t="s">
        <v>2364</v>
      </c>
      <c r="R1935" t="s">
        <v>2364</v>
      </c>
      <c r="S1935" t="s">
        <v>553</v>
      </c>
      <c r="T1935" t="s">
        <v>2175</v>
      </c>
      <c r="U1935">
        <v>120</v>
      </c>
      <c r="V1935" t="s">
        <v>691</v>
      </c>
      <c r="W1935">
        <v>120</v>
      </c>
      <c r="X1935" t="s">
        <v>691</v>
      </c>
      <c r="Y1935" t="s">
        <v>2365</v>
      </c>
      <c r="Z1935" t="s">
        <v>2365</v>
      </c>
      <c r="AA1935" t="s">
        <v>2365</v>
      </c>
      <c r="AB1935" t="s">
        <v>2365</v>
      </c>
      <c r="AC1935" s="813" t="s">
        <v>2365</v>
      </c>
      <c r="AD1935" s="813" t="s">
        <v>2365</v>
      </c>
      <c r="AE1935" s="813" t="s">
        <v>2365</v>
      </c>
      <c r="AF1935" t="s">
        <v>2365</v>
      </c>
      <c r="AG1935" t="s">
        <v>2365</v>
      </c>
      <c r="AH1935" t="s">
        <v>2365</v>
      </c>
      <c r="AI1935" t="s">
        <v>2365</v>
      </c>
      <c r="AJ1935" t="s">
        <v>2365</v>
      </c>
      <c r="AK1935" t="s">
        <v>2365</v>
      </c>
      <c r="AL1935" t="s">
        <v>2365</v>
      </c>
      <c r="AM1935" t="s">
        <v>2365</v>
      </c>
      <c r="AN1935" t="s">
        <v>2365</v>
      </c>
      <c r="AR1935" t="s">
        <v>2365</v>
      </c>
      <c r="AS1935" t="s">
        <v>2365</v>
      </c>
      <c r="AT1935" t="s">
        <v>2365</v>
      </c>
      <c r="AU1935" t="s">
        <v>2365</v>
      </c>
      <c r="AV1935" t="s">
        <v>2365</v>
      </c>
      <c r="AW1935" t="s">
        <v>2365</v>
      </c>
      <c r="AX1935" t="s">
        <v>2365</v>
      </c>
      <c r="AY1935" t="s">
        <v>2365</v>
      </c>
      <c r="AZ1935" t="s">
        <v>2365</v>
      </c>
      <c r="BA1935" t="s">
        <v>2365</v>
      </c>
      <c r="BB1935" t="s">
        <v>2365</v>
      </c>
      <c r="BC1935" t="s">
        <v>2365</v>
      </c>
      <c r="BD1935" t="s">
        <v>2366</v>
      </c>
      <c r="BE1935" t="s">
        <v>2365</v>
      </c>
      <c r="BF1935" t="s">
        <v>2365</v>
      </c>
      <c r="BG1935" t="s">
        <v>2365</v>
      </c>
      <c r="BH1935" t="s">
        <v>2365</v>
      </c>
      <c r="BI1935" t="s">
        <v>2366</v>
      </c>
      <c r="BJ1935" t="s">
        <v>2365</v>
      </c>
      <c r="BK1935" t="s">
        <v>2365</v>
      </c>
      <c r="BL1935" t="s">
        <v>2365</v>
      </c>
      <c r="BM1935" t="s">
        <v>2365</v>
      </c>
      <c r="BO1935">
        <v>1</v>
      </c>
      <c r="BP1935">
        <v>11</v>
      </c>
      <c r="BQ1935" t="s">
        <v>2369</v>
      </c>
      <c r="BR1935" t="s">
        <v>1487</v>
      </c>
      <c r="BU1935">
        <v>0</v>
      </c>
      <c r="BV1935">
        <v>0</v>
      </c>
      <c r="BW1935">
        <v>0</v>
      </c>
      <c r="BX1935">
        <v>0</v>
      </c>
      <c r="BY1935">
        <v>0</v>
      </c>
      <c r="BZ1935">
        <v>0</v>
      </c>
      <c r="CA1935">
        <v>0</v>
      </c>
      <c r="CB1935">
        <v>0</v>
      </c>
      <c r="CC1935">
        <v>0</v>
      </c>
      <c r="CD1935">
        <v>0</v>
      </c>
      <c r="CE1935">
        <v>0</v>
      </c>
      <c r="CF1935">
        <v>0</v>
      </c>
      <c r="CG1935">
        <v>0</v>
      </c>
      <c r="CH1935">
        <v>0</v>
      </c>
      <c r="CI1935">
        <v>0</v>
      </c>
      <c r="CJ1935">
        <v>0</v>
      </c>
      <c r="CK1935">
        <v>0</v>
      </c>
      <c r="CL1935">
        <v>0</v>
      </c>
      <c r="CM1935">
        <v>0</v>
      </c>
      <c r="CR1935" t="s">
        <v>2328</v>
      </c>
      <c r="CS1935" s="1369" t="str">
        <f>INDEX([8]Sheet1!$H:$H,MATCH(CR:CR,[8]Sheet1!$AU:$AU,0))</f>
        <v>Water Distribution</v>
      </c>
    </row>
    <row r="1936" spans="1:97" x14ac:dyDescent="0.2">
      <c r="A1936" t="s">
        <v>5150</v>
      </c>
      <c r="B1936">
        <v>2034</v>
      </c>
      <c r="C1936" t="s">
        <v>5150</v>
      </c>
      <c r="D1936">
        <v>55034</v>
      </c>
      <c r="E1936" t="s">
        <v>4898</v>
      </c>
      <c r="F1936" t="s">
        <v>2364</v>
      </c>
      <c r="G1936" t="s">
        <v>2364</v>
      </c>
      <c r="H1936" t="s">
        <v>2365</v>
      </c>
      <c r="I1936" t="s">
        <v>2365</v>
      </c>
      <c r="J1936" t="s">
        <v>2365</v>
      </c>
      <c r="K1936" t="s">
        <v>2365</v>
      </c>
      <c r="L1936">
        <v>1200</v>
      </c>
      <c r="M1936" t="s">
        <v>1480</v>
      </c>
      <c r="N1936">
        <v>1204</v>
      </c>
      <c r="O1936" t="s">
        <v>1487</v>
      </c>
      <c r="P1936" t="s">
        <v>2366</v>
      </c>
      <c r="Q1936" t="s">
        <v>2364</v>
      </c>
      <c r="R1936" t="s">
        <v>2364</v>
      </c>
      <c r="S1936" t="s">
        <v>553</v>
      </c>
      <c r="T1936" t="s">
        <v>2175</v>
      </c>
      <c r="U1936">
        <v>120</v>
      </c>
      <c r="V1936" t="s">
        <v>691</v>
      </c>
      <c r="W1936">
        <v>120</v>
      </c>
      <c r="X1936" t="s">
        <v>691</v>
      </c>
      <c r="Y1936" t="s">
        <v>2365</v>
      </c>
      <c r="Z1936" t="s">
        <v>2365</v>
      </c>
      <c r="AA1936" t="s">
        <v>2365</v>
      </c>
      <c r="AB1936" t="s">
        <v>2365</v>
      </c>
      <c r="AC1936" s="813" t="s">
        <v>2365</v>
      </c>
      <c r="AD1936" s="813" t="s">
        <v>2365</v>
      </c>
      <c r="AE1936" s="813" t="s">
        <v>2365</v>
      </c>
      <c r="AF1936" t="s">
        <v>2365</v>
      </c>
      <c r="AG1936" t="s">
        <v>2365</v>
      </c>
      <c r="AH1936" t="s">
        <v>2365</v>
      </c>
      <c r="AI1936" t="s">
        <v>2365</v>
      </c>
      <c r="AJ1936" t="s">
        <v>2365</v>
      </c>
      <c r="AK1936" s="1373" t="s">
        <v>2365</v>
      </c>
      <c r="AL1936" t="s">
        <v>2365</v>
      </c>
      <c r="AM1936" t="s">
        <v>2365</v>
      </c>
      <c r="AN1936" t="s">
        <v>2365</v>
      </c>
      <c r="AR1936" t="s">
        <v>2365</v>
      </c>
      <c r="AS1936" t="s">
        <v>2365</v>
      </c>
      <c r="AT1936" t="s">
        <v>2365</v>
      </c>
      <c r="AU1936" t="s">
        <v>2365</v>
      </c>
      <c r="AV1936" t="s">
        <v>2365</v>
      </c>
      <c r="AW1936" t="s">
        <v>2365</v>
      </c>
      <c r="AX1936" t="s">
        <v>2365</v>
      </c>
      <c r="AY1936" t="s">
        <v>2365</v>
      </c>
      <c r="AZ1936" t="s">
        <v>2365</v>
      </c>
      <c r="BA1936" t="s">
        <v>2365</v>
      </c>
      <c r="BB1936" t="s">
        <v>2365</v>
      </c>
      <c r="BC1936" t="s">
        <v>2365</v>
      </c>
      <c r="BD1936" t="s">
        <v>2366</v>
      </c>
      <c r="BE1936" t="s">
        <v>2365</v>
      </c>
      <c r="BF1936" t="s">
        <v>2365</v>
      </c>
      <c r="BG1936" t="s">
        <v>2365</v>
      </c>
      <c r="BH1936" t="s">
        <v>2365</v>
      </c>
      <c r="BI1936" t="s">
        <v>2366</v>
      </c>
      <c r="BJ1936" t="s">
        <v>2365</v>
      </c>
      <c r="BK1936" t="s">
        <v>2365</v>
      </c>
      <c r="BL1936" t="s">
        <v>2365</v>
      </c>
      <c r="BM1936" t="s">
        <v>2365</v>
      </c>
      <c r="BO1936">
        <v>1</v>
      </c>
      <c r="BP1936">
        <v>11</v>
      </c>
      <c r="BQ1936" t="s">
        <v>2369</v>
      </c>
      <c r="BR1936" t="s">
        <v>1487</v>
      </c>
      <c r="BU1936">
        <v>0</v>
      </c>
      <c r="BV1936">
        <v>0</v>
      </c>
      <c r="BW1936">
        <v>0</v>
      </c>
      <c r="BX1936">
        <v>0</v>
      </c>
      <c r="BY1936">
        <v>0</v>
      </c>
      <c r="BZ1936">
        <v>0</v>
      </c>
      <c r="CA1936">
        <v>0</v>
      </c>
      <c r="CB1936">
        <v>0</v>
      </c>
      <c r="CC1936">
        <v>0</v>
      </c>
      <c r="CD1936">
        <v>0</v>
      </c>
      <c r="CE1936">
        <v>0</v>
      </c>
      <c r="CF1936">
        <v>0</v>
      </c>
      <c r="CG1936">
        <v>0</v>
      </c>
      <c r="CH1936">
        <v>0</v>
      </c>
      <c r="CI1936">
        <v>0</v>
      </c>
      <c r="CJ1936">
        <v>0</v>
      </c>
      <c r="CK1936">
        <v>0</v>
      </c>
      <c r="CL1936">
        <v>0</v>
      </c>
      <c r="CM1936">
        <v>0</v>
      </c>
      <c r="CR1936" t="s">
        <v>2328</v>
      </c>
      <c r="CS1936" s="1369" t="str">
        <f>INDEX([8]Sheet1!$H:$H,MATCH(CR:CR,[8]Sheet1!$AU:$AU,0))</f>
        <v>Water Distribution</v>
      </c>
    </row>
    <row r="1937" spans="1:97" x14ac:dyDescent="0.2">
      <c r="A1937" t="s">
        <v>5151</v>
      </c>
      <c r="B1937">
        <v>2035</v>
      </c>
      <c r="C1937" t="s">
        <v>5151</v>
      </c>
      <c r="D1937">
        <v>55035</v>
      </c>
      <c r="E1937" t="s">
        <v>4864</v>
      </c>
      <c r="F1937" t="s">
        <v>2364</v>
      </c>
      <c r="G1937" t="s">
        <v>2364</v>
      </c>
      <c r="H1937" t="s">
        <v>2365</v>
      </c>
      <c r="I1937" t="s">
        <v>2365</v>
      </c>
      <c r="J1937" t="s">
        <v>2365</v>
      </c>
      <c r="K1937" t="s">
        <v>2365</v>
      </c>
      <c r="L1937">
        <v>1200</v>
      </c>
      <c r="M1937" t="s">
        <v>1480</v>
      </c>
      <c r="N1937">
        <v>1204</v>
      </c>
      <c r="O1937" t="s">
        <v>1487</v>
      </c>
      <c r="P1937" t="s">
        <v>2366</v>
      </c>
      <c r="Q1937" t="s">
        <v>2364</v>
      </c>
      <c r="R1937" t="s">
        <v>2364</v>
      </c>
      <c r="S1937" t="s">
        <v>553</v>
      </c>
      <c r="T1937" t="s">
        <v>2175</v>
      </c>
      <c r="U1937">
        <v>130</v>
      </c>
      <c r="V1937" t="s">
        <v>2652</v>
      </c>
      <c r="W1937">
        <v>130</v>
      </c>
      <c r="X1937" t="s">
        <v>2652</v>
      </c>
      <c r="Y1937" t="s">
        <v>2365</v>
      </c>
      <c r="Z1937" t="s">
        <v>2365</v>
      </c>
      <c r="AA1937" t="s">
        <v>2365</v>
      </c>
      <c r="AB1937" t="s">
        <v>2365</v>
      </c>
      <c r="AC1937" s="813" t="s">
        <v>2365</v>
      </c>
      <c r="AD1937" s="813" t="s">
        <v>2365</v>
      </c>
      <c r="AE1937" s="813" t="s">
        <v>2365</v>
      </c>
      <c r="AF1937" t="s">
        <v>2365</v>
      </c>
      <c r="AG1937" t="s">
        <v>2365</v>
      </c>
      <c r="AH1937" t="s">
        <v>2365</v>
      </c>
      <c r="AI1937" t="s">
        <v>2365</v>
      </c>
      <c r="AJ1937" t="s">
        <v>2365</v>
      </c>
      <c r="AK1937" t="s">
        <v>2365</v>
      </c>
      <c r="AL1937" t="s">
        <v>2365</v>
      </c>
      <c r="AM1937" t="s">
        <v>2365</v>
      </c>
      <c r="AN1937" t="s">
        <v>2365</v>
      </c>
      <c r="AQ1937" t="s">
        <v>553</v>
      </c>
      <c r="AR1937" t="s">
        <v>2365</v>
      </c>
      <c r="AS1937" t="s">
        <v>2365</v>
      </c>
      <c r="AT1937" t="s">
        <v>2365</v>
      </c>
      <c r="AU1937" t="s">
        <v>2365</v>
      </c>
      <c r="AV1937" t="s">
        <v>2365</v>
      </c>
      <c r="AW1937" t="s">
        <v>2365</v>
      </c>
      <c r="AX1937" t="s">
        <v>2365</v>
      </c>
      <c r="AY1937" t="s">
        <v>2365</v>
      </c>
      <c r="AZ1937" t="s">
        <v>2365</v>
      </c>
      <c r="BA1937" t="s">
        <v>2365</v>
      </c>
      <c r="BB1937" t="s">
        <v>2365</v>
      </c>
      <c r="BC1937" t="s">
        <v>2365</v>
      </c>
      <c r="BD1937" t="s">
        <v>2366</v>
      </c>
      <c r="BE1937" t="s">
        <v>2365</v>
      </c>
      <c r="BF1937" t="s">
        <v>2365</v>
      </c>
      <c r="BG1937" t="s">
        <v>2365</v>
      </c>
      <c r="BH1937" t="s">
        <v>2365</v>
      </c>
      <c r="BI1937" t="s">
        <v>2366</v>
      </c>
      <c r="BJ1937" t="s">
        <v>2365</v>
      </c>
      <c r="BK1937" t="s">
        <v>2365</v>
      </c>
      <c r="BL1937" t="s">
        <v>2365</v>
      </c>
      <c r="BM1937" t="s">
        <v>2365</v>
      </c>
      <c r="BO1937">
        <v>1</v>
      </c>
      <c r="BP1937">
        <v>11</v>
      </c>
      <c r="BQ1937" t="s">
        <v>2369</v>
      </c>
      <c r="BR1937" t="s">
        <v>1487</v>
      </c>
      <c r="BU1937">
        <v>0</v>
      </c>
      <c r="BV1937">
        <v>0</v>
      </c>
      <c r="BW1937">
        <v>0</v>
      </c>
      <c r="BX1937">
        <v>0</v>
      </c>
      <c r="BY1937">
        <v>0</v>
      </c>
      <c r="BZ1937">
        <v>0</v>
      </c>
      <c r="CA1937">
        <v>0</v>
      </c>
      <c r="CB1937">
        <v>0</v>
      </c>
      <c r="CC1937">
        <v>0</v>
      </c>
      <c r="CD1937">
        <v>0</v>
      </c>
      <c r="CE1937">
        <v>0</v>
      </c>
      <c r="CF1937">
        <v>0</v>
      </c>
      <c r="CG1937">
        <v>0</v>
      </c>
      <c r="CH1937">
        <v>0</v>
      </c>
      <c r="CI1937">
        <v>0</v>
      </c>
      <c r="CJ1937">
        <v>0</v>
      </c>
      <c r="CK1937">
        <v>0</v>
      </c>
      <c r="CL1937">
        <v>0</v>
      </c>
      <c r="CM1937">
        <v>0</v>
      </c>
      <c r="CR1937" t="s">
        <v>2328</v>
      </c>
      <c r="CS1937" s="1369" t="str">
        <f>INDEX([8]Sheet1!$H:$H,MATCH(CR:CR,[8]Sheet1!$AU:$AU,0))</f>
        <v>Water Distribution</v>
      </c>
    </row>
    <row r="1938" spans="1:97" x14ac:dyDescent="0.2">
      <c r="A1938" t="s">
        <v>5152</v>
      </c>
      <c r="B1938">
        <v>2036</v>
      </c>
      <c r="C1938" t="s">
        <v>5152</v>
      </c>
      <c r="D1938">
        <v>55036</v>
      </c>
      <c r="E1938" t="s">
        <v>5153</v>
      </c>
      <c r="F1938" t="s">
        <v>2364</v>
      </c>
      <c r="G1938" t="s">
        <v>2364</v>
      </c>
      <c r="H1938" t="s">
        <v>2365</v>
      </c>
      <c r="I1938" t="s">
        <v>2365</v>
      </c>
      <c r="J1938" t="s">
        <v>2365</v>
      </c>
      <c r="K1938" t="s">
        <v>2365</v>
      </c>
      <c r="L1938">
        <v>1200</v>
      </c>
      <c r="M1938" t="s">
        <v>1480</v>
      </c>
      <c r="N1938">
        <v>1204</v>
      </c>
      <c r="O1938" t="s">
        <v>1487</v>
      </c>
      <c r="P1938" t="s">
        <v>2366</v>
      </c>
      <c r="Q1938" t="s">
        <v>2364</v>
      </c>
      <c r="R1938" t="s">
        <v>2364</v>
      </c>
      <c r="S1938" t="s">
        <v>553</v>
      </c>
      <c r="T1938" t="s">
        <v>2175</v>
      </c>
      <c r="U1938">
        <v>140</v>
      </c>
      <c r="V1938" t="s">
        <v>693</v>
      </c>
      <c r="W1938">
        <v>140</v>
      </c>
      <c r="X1938" t="s">
        <v>693</v>
      </c>
      <c r="Y1938" t="s">
        <v>2365</v>
      </c>
      <c r="Z1938" t="s">
        <v>2365</v>
      </c>
      <c r="AA1938" t="s">
        <v>2365</v>
      </c>
      <c r="AB1938" t="s">
        <v>2365</v>
      </c>
      <c r="AC1938" s="813" t="s">
        <v>2365</v>
      </c>
      <c r="AD1938" s="813" t="s">
        <v>2365</v>
      </c>
      <c r="AE1938" s="813" t="s">
        <v>2365</v>
      </c>
      <c r="AF1938" t="s">
        <v>2365</v>
      </c>
      <c r="AG1938" t="s">
        <v>2365</v>
      </c>
      <c r="AH1938" t="s">
        <v>2365</v>
      </c>
      <c r="AI1938" t="s">
        <v>2365</v>
      </c>
      <c r="AJ1938" t="s">
        <v>2365</v>
      </c>
      <c r="AK1938" t="s">
        <v>2366</v>
      </c>
      <c r="AL1938" t="s">
        <v>2366</v>
      </c>
      <c r="AM1938" t="s">
        <v>2366</v>
      </c>
      <c r="AN1938" t="s">
        <v>2366</v>
      </c>
      <c r="AR1938" t="s">
        <v>2365</v>
      </c>
      <c r="AS1938" t="s">
        <v>2365</v>
      </c>
      <c r="AT1938" t="s">
        <v>2365</v>
      </c>
      <c r="AU1938" t="s">
        <v>2365</v>
      </c>
      <c r="AV1938" t="s">
        <v>2365</v>
      </c>
      <c r="AW1938" t="s">
        <v>2365</v>
      </c>
      <c r="AX1938" t="s">
        <v>2365</v>
      </c>
      <c r="AY1938" t="s">
        <v>2365</v>
      </c>
      <c r="AZ1938" t="s">
        <v>2365</v>
      </c>
      <c r="BA1938" t="s">
        <v>2365</v>
      </c>
      <c r="BB1938" t="s">
        <v>2365</v>
      </c>
      <c r="BC1938" t="s">
        <v>2365</v>
      </c>
      <c r="BD1938" t="s">
        <v>2366</v>
      </c>
      <c r="BE1938" t="s">
        <v>2365</v>
      </c>
      <c r="BF1938" t="s">
        <v>2365</v>
      </c>
      <c r="BG1938" t="s">
        <v>2365</v>
      </c>
      <c r="BH1938" t="s">
        <v>2365</v>
      </c>
      <c r="BI1938" t="s">
        <v>2366</v>
      </c>
      <c r="BJ1938" t="s">
        <v>2365</v>
      </c>
      <c r="BK1938" t="s">
        <v>2365</v>
      </c>
      <c r="BL1938" t="s">
        <v>2365</v>
      </c>
      <c r="BM1938" t="s">
        <v>2365</v>
      </c>
      <c r="BO1938">
        <v>1</v>
      </c>
      <c r="BP1938">
        <v>11</v>
      </c>
      <c r="BQ1938" t="s">
        <v>2369</v>
      </c>
      <c r="BR1938" t="s">
        <v>1487</v>
      </c>
      <c r="BU1938">
        <v>0</v>
      </c>
      <c r="BV1938">
        <v>0</v>
      </c>
      <c r="BW1938">
        <v>0</v>
      </c>
      <c r="BX1938">
        <v>0</v>
      </c>
      <c r="BY1938">
        <v>0</v>
      </c>
      <c r="BZ1938">
        <v>0</v>
      </c>
      <c r="CA1938">
        <v>0</v>
      </c>
      <c r="CB1938">
        <v>0</v>
      </c>
      <c r="CC1938">
        <v>0</v>
      </c>
      <c r="CD1938">
        <v>0</v>
      </c>
      <c r="CE1938">
        <v>0</v>
      </c>
      <c r="CF1938">
        <v>0</v>
      </c>
      <c r="CG1938">
        <v>0</v>
      </c>
      <c r="CH1938">
        <v>0</v>
      </c>
      <c r="CI1938">
        <v>0</v>
      </c>
      <c r="CJ1938">
        <v>0</v>
      </c>
      <c r="CK1938">
        <v>0</v>
      </c>
      <c r="CL1938">
        <v>0</v>
      </c>
      <c r="CM1938">
        <v>0</v>
      </c>
      <c r="CR1938" t="s">
        <v>2328</v>
      </c>
      <c r="CS1938" s="1369" t="str">
        <f>INDEX([8]Sheet1!$H:$H,MATCH(CR:CR,[8]Sheet1!$AU:$AU,0))</f>
        <v>Water Distribution</v>
      </c>
    </row>
    <row r="1939" spans="1:97" x14ac:dyDescent="0.2">
      <c r="A1939" t="s">
        <v>5154</v>
      </c>
      <c r="B1939">
        <v>2037</v>
      </c>
      <c r="C1939" t="s">
        <v>5154</v>
      </c>
      <c r="D1939">
        <v>55037</v>
      </c>
      <c r="E1939" t="s">
        <v>5155</v>
      </c>
      <c r="F1939" t="s">
        <v>2364</v>
      </c>
      <c r="G1939" t="s">
        <v>2364</v>
      </c>
      <c r="H1939" t="s">
        <v>2365</v>
      </c>
      <c r="I1939" t="s">
        <v>2365</v>
      </c>
      <c r="J1939" t="s">
        <v>2365</v>
      </c>
      <c r="K1939" t="s">
        <v>2365</v>
      </c>
      <c r="L1939">
        <v>1200</v>
      </c>
      <c r="M1939" t="s">
        <v>1480</v>
      </c>
      <c r="N1939">
        <v>1204</v>
      </c>
      <c r="O1939" t="s">
        <v>1487</v>
      </c>
      <c r="P1939" t="s">
        <v>2366</v>
      </c>
      <c r="Q1939" t="s">
        <v>2364</v>
      </c>
      <c r="R1939" t="s">
        <v>2364</v>
      </c>
      <c r="S1939" t="s">
        <v>553</v>
      </c>
      <c r="T1939" t="s">
        <v>2175</v>
      </c>
      <c r="U1939" t="s">
        <v>2366</v>
      </c>
      <c r="V1939" t="s">
        <v>2366</v>
      </c>
      <c r="W1939" t="s">
        <v>2366</v>
      </c>
      <c r="X1939" t="s">
        <v>2366</v>
      </c>
      <c r="Y1939" t="s">
        <v>2365</v>
      </c>
      <c r="Z1939" t="s">
        <v>2365</v>
      </c>
      <c r="AA1939" t="s">
        <v>2365</v>
      </c>
      <c r="AB1939" t="s">
        <v>2365</v>
      </c>
      <c r="AC1939" s="813" t="s">
        <v>2365</v>
      </c>
      <c r="AD1939" s="813" t="s">
        <v>2365</v>
      </c>
      <c r="AE1939" s="813" t="s">
        <v>2365</v>
      </c>
      <c r="AF1939" t="s">
        <v>2365</v>
      </c>
      <c r="AG1939" t="s">
        <v>2365</v>
      </c>
      <c r="AH1939" t="s">
        <v>2365</v>
      </c>
      <c r="AI1939" t="s">
        <v>2365</v>
      </c>
      <c r="AJ1939" t="s">
        <v>2365</v>
      </c>
      <c r="AK1939">
        <v>145</v>
      </c>
      <c r="AL1939" t="s">
        <v>1198</v>
      </c>
      <c r="AM1939">
        <v>145</v>
      </c>
      <c r="AN1939" t="s">
        <v>1198</v>
      </c>
      <c r="AR1939" t="s">
        <v>2365</v>
      </c>
      <c r="AS1939" t="s">
        <v>2365</v>
      </c>
      <c r="AT1939" t="s">
        <v>2365</v>
      </c>
      <c r="AU1939" t="s">
        <v>2365</v>
      </c>
      <c r="AV1939" t="s">
        <v>2365</v>
      </c>
      <c r="AW1939" t="s">
        <v>2365</v>
      </c>
      <c r="AX1939" t="s">
        <v>2365</v>
      </c>
      <c r="AY1939" t="s">
        <v>2365</v>
      </c>
      <c r="AZ1939" t="s">
        <v>2365</v>
      </c>
      <c r="BA1939" t="s">
        <v>2365</v>
      </c>
      <c r="BB1939" t="s">
        <v>2365</v>
      </c>
      <c r="BC1939" t="s">
        <v>2365</v>
      </c>
      <c r="BD1939" t="s">
        <v>2366</v>
      </c>
      <c r="BE1939" t="s">
        <v>2365</v>
      </c>
      <c r="BF1939" t="s">
        <v>2365</v>
      </c>
      <c r="BG1939" t="s">
        <v>2365</v>
      </c>
      <c r="BH1939" t="s">
        <v>2365</v>
      </c>
      <c r="BI1939" t="s">
        <v>2366</v>
      </c>
      <c r="BJ1939" t="s">
        <v>2365</v>
      </c>
      <c r="BK1939" t="s">
        <v>2365</v>
      </c>
      <c r="BL1939" t="s">
        <v>2365</v>
      </c>
      <c r="BM1939" t="s">
        <v>2365</v>
      </c>
      <c r="BO1939">
        <v>1</v>
      </c>
      <c r="BP1939">
        <v>11</v>
      </c>
      <c r="BQ1939" t="s">
        <v>2369</v>
      </c>
      <c r="BR1939" t="s">
        <v>1487</v>
      </c>
      <c r="BU1939">
        <v>0</v>
      </c>
      <c r="BV1939">
        <v>0</v>
      </c>
      <c r="BW1939">
        <v>0</v>
      </c>
      <c r="BX1939">
        <v>0</v>
      </c>
      <c r="BY1939">
        <v>0</v>
      </c>
      <c r="BZ1939">
        <v>0</v>
      </c>
      <c r="CA1939">
        <v>0</v>
      </c>
      <c r="CB1939">
        <v>0</v>
      </c>
      <c r="CC1939">
        <v>0</v>
      </c>
      <c r="CD1939">
        <v>0</v>
      </c>
      <c r="CE1939">
        <v>0</v>
      </c>
      <c r="CF1939">
        <v>0</v>
      </c>
      <c r="CG1939">
        <v>0</v>
      </c>
      <c r="CH1939">
        <v>0</v>
      </c>
      <c r="CI1939">
        <v>0</v>
      </c>
      <c r="CJ1939">
        <v>0</v>
      </c>
      <c r="CK1939">
        <v>0</v>
      </c>
      <c r="CL1939">
        <v>0</v>
      </c>
      <c r="CM1939">
        <v>0</v>
      </c>
      <c r="CR1939" t="s">
        <v>2328</v>
      </c>
      <c r="CS1939" s="1369" t="str">
        <f>INDEX([8]Sheet1!$H:$H,MATCH(CR:CR,[8]Sheet1!$AU:$AU,0))</f>
        <v>Water Distribution</v>
      </c>
    </row>
    <row r="1940" spans="1:97" x14ac:dyDescent="0.2">
      <c r="A1940" t="s">
        <v>5156</v>
      </c>
      <c r="B1940">
        <v>2038</v>
      </c>
      <c r="C1940" t="s">
        <v>5156</v>
      </c>
      <c r="D1940">
        <v>55038</v>
      </c>
      <c r="E1940" t="s">
        <v>5157</v>
      </c>
      <c r="F1940" t="s">
        <v>2364</v>
      </c>
      <c r="G1940" t="s">
        <v>2364</v>
      </c>
      <c r="H1940" t="s">
        <v>2365</v>
      </c>
      <c r="I1940" t="s">
        <v>2365</v>
      </c>
      <c r="J1940" t="s">
        <v>2365</v>
      </c>
      <c r="K1940" t="s">
        <v>2365</v>
      </c>
      <c r="L1940">
        <v>1200</v>
      </c>
      <c r="M1940" t="s">
        <v>1480</v>
      </c>
      <c r="N1940">
        <v>1204</v>
      </c>
      <c r="O1940" t="s">
        <v>1487</v>
      </c>
      <c r="P1940" t="s">
        <v>2366</v>
      </c>
      <c r="Q1940" t="s">
        <v>2364</v>
      </c>
      <c r="R1940" t="s">
        <v>2364</v>
      </c>
      <c r="S1940" t="s">
        <v>553</v>
      </c>
      <c r="T1940" t="s">
        <v>2175</v>
      </c>
      <c r="U1940" t="s">
        <v>2366</v>
      </c>
      <c r="V1940" t="s">
        <v>2366</v>
      </c>
      <c r="W1940" t="s">
        <v>2366</v>
      </c>
      <c r="X1940" t="s">
        <v>2366</v>
      </c>
      <c r="Y1940" t="s">
        <v>2365</v>
      </c>
      <c r="Z1940" t="s">
        <v>2365</v>
      </c>
      <c r="AA1940" t="s">
        <v>2365</v>
      </c>
      <c r="AB1940" t="s">
        <v>2365</v>
      </c>
      <c r="AC1940" s="813" t="s">
        <v>2365</v>
      </c>
      <c r="AD1940" s="813" t="s">
        <v>2365</v>
      </c>
      <c r="AE1940" s="813" t="s">
        <v>2365</v>
      </c>
      <c r="AF1940" t="s">
        <v>2365</v>
      </c>
      <c r="AG1940" t="s">
        <v>2365</v>
      </c>
      <c r="AH1940" t="s">
        <v>2365</v>
      </c>
      <c r="AI1940" t="s">
        <v>2365</v>
      </c>
      <c r="AJ1940" t="s">
        <v>2365</v>
      </c>
      <c r="AK1940">
        <v>145</v>
      </c>
      <c r="AL1940" t="s">
        <v>1198</v>
      </c>
      <c r="AM1940">
        <v>145</v>
      </c>
      <c r="AN1940" t="s">
        <v>1198</v>
      </c>
      <c r="AR1940" t="s">
        <v>2365</v>
      </c>
      <c r="AS1940" t="s">
        <v>2365</v>
      </c>
      <c r="AT1940" t="s">
        <v>2365</v>
      </c>
      <c r="AU1940" t="s">
        <v>2365</v>
      </c>
      <c r="AV1940" t="s">
        <v>2365</v>
      </c>
      <c r="AW1940" t="s">
        <v>2365</v>
      </c>
      <c r="AX1940" t="s">
        <v>2365</v>
      </c>
      <c r="AY1940" t="s">
        <v>2365</v>
      </c>
      <c r="AZ1940" t="s">
        <v>2365</v>
      </c>
      <c r="BA1940" t="s">
        <v>2365</v>
      </c>
      <c r="BB1940" t="s">
        <v>2365</v>
      </c>
      <c r="BC1940" t="s">
        <v>2365</v>
      </c>
      <c r="BD1940" t="s">
        <v>2366</v>
      </c>
      <c r="BE1940" t="s">
        <v>2365</v>
      </c>
      <c r="BF1940" t="s">
        <v>2365</v>
      </c>
      <c r="BG1940" t="s">
        <v>2365</v>
      </c>
      <c r="BH1940" t="s">
        <v>2365</v>
      </c>
      <c r="BI1940" t="s">
        <v>2366</v>
      </c>
      <c r="BJ1940" t="s">
        <v>2365</v>
      </c>
      <c r="BK1940" t="s">
        <v>2365</v>
      </c>
      <c r="BL1940" t="s">
        <v>2365</v>
      </c>
      <c r="BM1940" t="s">
        <v>2365</v>
      </c>
      <c r="BO1940">
        <v>1</v>
      </c>
      <c r="BP1940">
        <v>11</v>
      </c>
      <c r="BQ1940" t="s">
        <v>2369</v>
      </c>
      <c r="BR1940" t="s">
        <v>1487</v>
      </c>
      <c r="BU1940">
        <v>0</v>
      </c>
      <c r="BV1940">
        <v>0</v>
      </c>
      <c r="BW1940">
        <v>0</v>
      </c>
      <c r="BX1940">
        <v>0</v>
      </c>
      <c r="BY1940">
        <v>0</v>
      </c>
      <c r="BZ1940">
        <v>0</v>
      </c>
      <c r="CA1940">
        <v>0</v>
      </c>
      <c r="CB1940">
        <v>0</v>
      </c>
      <c r="CC1940">
        <v>0</v>
      </c>
      <c r="CD1940">
        <v>0</v>
      </c>
      <c r="CE1940">
        <v>0</v>
      </c>
      <c r="CF1940">
        <v>0</v>
      </c>
      <c r="CG1940">
        <v>0</v>
      </c>
      <c r="CH1940">
        <v>0</v>
      </c>
      <c r="CI1940">
        <v>0</v>
      </c>
      <c r="CJ1940">
        <v>0</v>
      </c>
      <c r="CK1940">
        <v>0</v>
      </c>
      <c r="CL1940">
        <v>0</v>
      </c>
      <c r="CM1940">
        <v>0</v>
      </c>
      <c r="CR1940" t="s">
        <v>2337</v>
      </c>
      <c r="CS1940" s="1369" t="str">
        <f>INDEX([8]Sheet1!$H:$H,MATCH(CR:CR,[8]Sheet1!$AU:$AU,0))</f>
        <v>Corporate Wide Strategic Planning (IDPs, LEDs)</v>
      </c>
    </row>
    <row r="1941" spans="1:97" x14ac:dyDescent="0.2">
      <c r="A1941" t="s">
        <v>5158</v>
      </c>
      <c r="B1941">
        <v>2039</v>
      </c>
      <c r="C1941" t="s">
        <v>5158</v>
      </c>
      <c r="D1941">
        <v>55039</v>
      </c>
      <c r="E1941" t="s">
        <v>5159</v>
      </c>
      <c r="F1941" t="s">
        <v>2364</v>
      </c>
      <c r="G1941" t="s">
        <v>2364</v>
      </c>
      <c r="H1941" t="s">
        <v>2365</v>
      </c>
      <c r="I1941" t="s">
        <v>2365</v>
      </c>
      <c r="J1941" t="s">
        <v>2365</v>
      </c>
      <c r="K1941" t="s">
        <v>2365</v>
      </c>
      <c r="L1941">
        <v>1200</v>
      </c>
      <c r="M1941" t="s">
        <v>1480</v>
      </c>
      <c r="N1941">
        <v>1204</v>
      </c>
      <c r="O1941" t="s">
        <v>1487</v>
      </c>
      <c r="P1941" t="s">
        <v>2366</v>
      </c>
      <c r="Q1941" t="s">
        <v>2364</v>
      </c>
      <c r="R1941" t="s">
        <v>2364</v>
      </c>
      <c r="S1941" t="s">
        <v>553</v>
      </c>
      <c r="T1941" t="s">
        <v>2175</v>
      </c>
      <c r="U1941" t="s">
        <v>2366</v>
      </c>
      <c r="V1941" t="s">
        <v>2366</v>
      </c>
      <c r="W1941" t="s">
        <v>2366</v>
      </c>
      <c r="X1941" t="s">
        <v>2366</v>
      </c>
      <c r="Y1941" t="s">
        <v>2365</v>
      </c>
      <c r="Z1941" t="s">
        <v>2365</v>
      </c>
      <c r="AA1941" t="s">
        <v>2365</v>
      </c>
      <c r="AB1941" t="s">
        <v>2365</v>
      </c>
      <c r="AC1941" s="813" t="s">
        <v>2365</v>
      </c>
      <c r="AD1941" s="813" t="s">
        <v>2365</v>
      </c>
      <c r="AE1941" s="813" t="s">
        <v>2365</v>
      </c>
      <c r="AF1941" t="s">
        <v>2365</v>
      </c>
      <c r="AG1941" t="s">
        <v>2365</v>
      </c>
      <c r="AH1941" t="s">
        <v>2365</v>
      </c>
      <c r="AI1941" t="s">
        <v>2365</v>
      </c>
      <c r="AJ1941" t="s">
        <v>2365</v>
      </c>
      <c r="AK1941">
        <v>145</v>
      </c>
      <c r="AL1941" t="s">
        <v>1198</v>
      </c>
      <c r="AM1941">
        <v>145</v>
      </c>
      <c r="AN1941" t="s">
        <v>1198</v>
      </c>
      <c r="AR1941" t="s">
        <v>2365</v>
      </c>
      <c r="AS1941" t="s">
        <v>2365</v>
      </c>
      <c r="AT1941" t="s">
        <v>2365</v>
      </c>
      <c r="AU1941" t="s">
        <v>2365</v>
      </c>
      <c r="AV1941" t="s">
        <v>2365</v>
      </c>
      <c r="AW1941" t="s">
        <v>2365</v>
      </c>
      <c r="AX1941" t="s">
        <v>2365</v>
      </c>
      <c r="AY1941" t="s">
        <v>2365</v>
      </c>
      <c r="AZ1941" t="s">
        <v>2365</v>
      </c>
      <c r="BA1941" t="s">
        <v>2365</v>
      </c>
      <c r="BB1941" t="s">
        <v>2365</v>
      </c>
      <c r="BC1941" t="s">
        <v>2365</v>
      </c>
      <c r="BD1941" t="s">
        <v>2366</v>
      </c>
      <c r="BE1941" t="s">
        <v>2365</v>
      </c>
      <c r="BF1941" t="s">
        <v>2365</v>
      </c>
      <c r="BG1941" t="s">
        <v>2365</v>
      </c>
      <c r="BH1941" t="s">
        <v>2365</v>
      </c>
      <c r="BI1941" t="s">
        <v>2366</v>
      </c>
      <c r="BJ1941" t="s">
        <v>2365</v>
      </c>
      <c r="BK1941" t="s">
        <v>2365</v>
      </c>
      <c r="BL1941" t="s">
        <v>2365</v>
      </c>
      <c r="BM1941" t="s">
        <v>2365</v>
      </c>
      <c r="BO1941">
        <v>1</v>
      </c>
      <c r="BP1941">
        <v>11</v>
      </c>
      <c r="BQ1941" t="s">
        <v>2369</v>
      </c>
      <c r="BR1941" t="s">
        <v>1487</v>
      </c>
      <c r="BU1941">
        <v>0</v>
      </c>
      <c r="BV1941">
        <v>0</v>
      </c>
      <c r="BW1941">
        <v>0</v>
      </c>
      <c r="BX1941">
        <v>0</v>
      </c>
      <c r="BY1941">
        <v>0</v>
      </c>
      <c r="BZ1941">
        <v>0</v>
      </c>
      <c r="CA1941">
        <v>0</v>
      </c>
      <c r="CB1941">
        <v>0</v>
      </c>
      <c r="CC1941">
        <v>0</v>
      </c>
      <c r="CD1941">
        <v>0</v>
      </c>
      <c r="CE1941">
        <v>0</v>
      </c>
      <c r="CF1941">
        <v>0</v>
      </c>
      <c r="CG1941">
        <v>0</v>
      </c>
      <c r="CH1941">
        <v>0</v>
      </c>
      <c r="CI1941">
        <v>0</v>
      </c>
      <c r="CJ1941">
        <v>0</v>
      </c>
      <c r="CK1941">
        <v>0</v>
      </c>
      <c r="CL1941">
        <v>0</v>
      </c>
      <c r="CM1941">
        <v>0</v>
      </c>
      <c r="CR1941" t="s">
        <v>2337</v>
      </c>
      <c r="CS1941" s="1369" t="str">
        <f>INDEX([8]Sheet1!$H:$H,MATCH(CR:CR,[8]Sheet1!$AU:$AU,0))</f>
        <v>Corporate Wide Strategic Planning (IDPs, LEDs)</v>
      </c>
    </row>
    <row r="1942" spans="1:97" x14ac:dyDescent="0.2">
      <c r="A1942" t="s">
        <v>5160</v>
      </c>
      <c r="B1942">
        <v>2040</v>
      </c>
      <c r="C1942" t="s">
        <v>5160</v>
      </c>
      <c r="D1942">
        <v>55040</v>
      </c>
      <c r="E1942" t="s">
        <v>5161</v>
      </c>
      <c r="F1942" t="s">
        <v>2364</v>
      </c>
      <c r="G1942" t="s">
        <v>2364</v>
      </c>
      <c r="H1942" t="s">
        <v>2365</v>
      </c>
      <c r="I1942" t="s">
        <v>2365</v>
      </c>
      <c r="J1942" t="s">
        <v>2365</v>
      </c>
      <c r="K1942" t="s">
        <v>2365</v>
      </c>
      <c r="L1942">
        <v>1200</v>
      </c>
      <c r="M1942" t="s">
        <v>1480</v>
      </c>
      <c r="N1942">
        <v>1204</v>
      </c>
      <c r="O1942" t="s">
        <v>1487</v>
      </c>
      <c r="P1942" t="s">
        <v>2366</v>
      </c>
      <c r="Q1942" t="s">
        <v>2364</v>
      </c>
      <c r="R1942" t="s">
        <v>2364</v>
      </c>
      <c r="S1942" t="s">
        <v>553</v>
      </c>
      <c r="T1942" t="s">
        <v>2175</v>
      </c>
      <c r="U1942">
        <v>150</v>
      </c>
      <c r="V1942" t="s">
        <v>694</v>
      </c>
      <c r="W1942">
        <v>150</v>
      </c>
      <c r="X1942" t="s">
        <v>694</v>
      </c>
      <c r="Y1942" t="s">
        <v>2365</v>
      </c>
      <c r="Z1942" t="s">
        <v>2365</v>
      </c>
      <c r="AA1942" t="s">
        <v>2365</v>
      </c>
      <c r="AB1942" t="s">
        <v>2365</v>
      </c>
      <c r="AC1942" s="813" t="s">
        <v>2365</v>
      </c>
      <c r="AD1942" s="813" t="s">
        <v>2365</v>
      </c>
      <c r="AE1942" s="813" t="s">
        <v>2365</v>
      </c>
      <c r="AF1942" t="s">
        <v>2365</v>
      </c>
      <c r="AG1942" t="s">
        <v>2365</v>
      </c>
      <c r="AH1942" t="s">
        <v>2365</v>
      </c>
      <c r="AI1942" t="s">
        <v>2365</v>
      </c>
      <c r="AJ1942" t="s">
        <v>2365</v>
      </c>
      <c r="AK1942" t="s">
        <v>2365</v>
      </c>
      <c r="AL1942" t="s">
        <v>2365</v>
      </c>
      <c r="AM1942" t="s">
        <v>2365</v>
      </c>
      <c r="AN1942" t="s">
        <v>2365</v>
      </c>
      <c r="AR1942" t="s">
        <v>2365</v>
      </c>
      <c r="AS1942" t="s">
        <v>2365</v>
      </c>
      <c r="AT1942" t="s">
        <v>2365</v>
      </c>
      <c r="AU1942" t="s">
        <v>2365</v>
      </c>
      <c r="AV1942" t="s">
        <v>2365</v>
      </c>
      <c r="AW1942" t="s">
        <v>2365</v>
      </c>
      <c r="AX1942" t="s">
        <v>2365</v>
      </c>
      <c r="AY1942" t="s">
        <v>2365</v>
      </c>
      <c r="AZ1942" t="s">
        <v>2365</v>
      </c>
      <c r="BA1942" t="s">
        <v>2365</v>
      </c>
      <c r="BB1942" t="s">
        <v>2365</v>
      </c>
      <c r="BC1942" t="s">
        <v>2365</v>
      </c>
      <c r="BD1942" t="s">
        <v>2366</v>
      </c>
      <c r="BE1942" t="s">
        <v>2365</v>
      </c>
      <c r="BF1942" t="s">
        <v>2365</v>
      </c>
      <c r="BG1942" t="s">
        <v>2365</v>
      </c>
      <c r="BH1942" t="s">
        <v>2365</v>
      </c>
      <c r="BI1942" t="s">
        <v>2366</v>
      </c>
      <c r="BJ1942" t="s">
        <v>2365</v>
      </c>
      <c r="BK1942" t="s">
        <v>2365</v>
      </c>
      <c r="BL1942" t="s">
        <v>2365</v>
      </c>
      <c r="BM1942" t="s">
        <v>2365</v>
      </c>
      <c r="BO1942">
        <v>1</v>
      </c>
      <c r="BP1942">
        <v>11</v>
      </c>
      <c r="BQ1942" t="s">
        <v>2369</v>
      </c>
      <c r="BR1942" t="s">
        <v>1487</v>
      </c>
      <c r="BU1942">
        <v>0</v>
      </c>
      <c r="BV1942">
        <v>0</v>
      </c>
      <c r="BW1942">
        <v>0</v>
      </c>
      <c r="BX1942">
        <v>0</v>
      </c>
      <c r="BY1942">
        <v>0</v>
      </c>
      <c r="BZ1942">
        <v>0</v>
      </c>
      <c r="CA1942">
        <v>0</v>
      </c>
      <c r="CB1942">
        <v>0</v>
      </c>
      <c r="CC1942">
        <v>0</v>
      </c>
      <c r="CD1942">
        <v>0</v>
      </c>
      <c r="CE1942">
        <v>0</v>
      </c>
      <c r="CF1942">
        <v>0</v>
      </c>
      <c r="CG1942">
        <v>0</v>
      </c>
      <c r="CH1942">
        <v>0</v>
      </c>
      <c r="CI1942">
        <v>0</v>
      </c>
      <c r="CJ1942">
        <v>0</v>
      </c>
      <c r="CK1942">
        <v>0</v>
      </c>
      <c r="CL1942">
        <v>0</v>
      </c>
      <c r="CM1942">
        <v>0</v>
      </c>
      <c r="CR1942" t="s">
        <v>2324</v>
      </c>
      <c r="CS1942" s="1369" t="str">
        <f>INDEX([8]Sheet1!$H:$H,MATCH(CR:CR,[8]Sheet1!$AU:$AU,0))</f>
        <v>Finance</v>
      </c>
    </row>
    <row r="1943" spans="1:97" x14ac:dyDescent="0.2">
      <c r="A1943" t="s">
        <v>5162</v>
      </c>
      <c r="B1943">
        <v>2041</v>
      </c>
      <c r="C1943" t="s">
        <v>5162</v>
      </c>
      <c r="D1943">
        <v>55041</v>
      </c>
      <c r="E1943" t="s">
        <v>5163</v>
      </c>
      <c r="F1943" t="s">
        <v>2364</v>
      </c>
      <c r="G1943" t="s">
        <v>2364</v>
      </c>
      <c r="H1943" s="1373" t="s">
        <v>2365</v>
      </c>
      <c r="I1943" t="s">
        <v>2365</v>
      </c>
      <c r="J1943" t="s">
        <v>2365</v>
      </c>
      <c r="K1943" t="s">
        <v>2365</v>
      </c>
      <c r="L1943" s="1373">
        <v>1200</v>
      </c>
      <c r="M1943" t="s">
        <v>1480</v>
      </c>
      <c r="N1943">
        <v>1204</v>
      </c>
      <c r="O1943" t="s">
        <v>1487</v>
      </c>
      <c r="P1943" t="s">
        <v>2366</v>
      </c>
      <c r="Q1943" t="s">
        <v>2364</v>
      </c>
      <c r="R1943" t="s">
        <v>2364</v>
      </c>
      <c r="S1943" t="s">
        <v>553</v>
      </c>
      <c r="T1943" t="s">
        <v>2175</v>
      </c>
      <c r="U1943">
        <v>140</v>
      </c>
      <c r="V1943" t="s">
        <v>693</v>
      </c>
      <c r="W1943">
        <v>140</v>
      </c>
      <c r="X1943" t="s">
        <v>693</v>
      </c>
      <c r="Y1943" t="s">
        <v>2365</v>
      </c>
      <c r="Z1943" t="s">
        <v>2365</v>
      </c>
      <c r="AA1943" t="s">
        <v>2365</v>
      </c>
      <c r="AB1943" t="s">
        <v>2365</v>
      </c>
      <c r="AC1943" s="813" t="s">
        <v>2365</v>
      </c>
      <c r="AD1943" s="813" t="s">
        <v>2365</v>
      </c>
      <c r="AE1943" s="813" t="s">
        <v>2365</v>
      </c>
      <c r="AF1943" t="s">
        <v>2365</v>
      </c>
      <c r="AG1943" t="s">
        <v>2365</v>
      </c>
      <c r="AH1943" t="s">
        <v>2365</v>
      </c>
      <c r="AI1943" t="s">
        <v>2365</v>
      </c>
      <c r="AJ1943" t="s">
        <v>2365</v>
      </c>
      <c r="AK1943" t="s">
        <v>2366</v>
      </c>
      <c r="AL1943" t="s">
        <v>2366</v>
      </c>
      <c r="AM1943" t="s">
        <v>2366</v>
      </c>
      <c r="AN1943" t="s">
        <v>2366</v>
      </c>
      <c r="AR1943" t="s">
        <v>2365</v>
      </c>
      <c r="AS1943" t="s">
        <v>2365</v>
      </c>
      <c r="AT1943" t="s">
        <v>2365</v>
      </c>
      <c r="AU1943" t="s">
        <v>2365</v>
      </c>
      <c r="AV1943" t="s">
        <v>2365</v>
      </c>
      <c r="AW1943" t="s">
        <v>2365</v>
      </c>
      <c r="AX1943" t="s">
        <v>2365</v>
      </c>
      <c r="AY1943" t="s">
        <v>2365</v>
      </c>
      <c r="AZ1943" t="s">
        <v>2365</v>
      </c>
      <c r="BA1943" t="s">
        <v>2365</v>
      </c>
      <c r="BB1943" t="s">
        <v>2365</v>
      </c>
      <c r="BC1943" t="s">
        <v>2365</v>
      </c>
      <c r="BD1943" t="s">
        <v>2366</v>
      </c>
      <c r="BE1943" t="s">
        <v>2365</v>
      </c>
      <c r="BF1943" t="s">
        <v>2365</v>
      </c>
      <c r="BG1943" t="s">
        <v>2365</v>
      </c>
      <c r="BH1943" t="s">
        <v>2365</v>
      </c>
      <c r="BI1943" t="s">
        <v>2366</v>
      </c>
      <c r="BJ1943" t="s">
        <v>2365</v>
      </c>
      <c r="BK1943" t="s">
        <v>2365</v>
      </c>
      <c r="BL1943" t="s">
        <v>2365</v>
      </c>
      <c r="BM1943" t="s">
        <v>2365</v>
      </c>
      <c r="BO1943">
        <v>1</v>
      </c>
      <c r="BP1943">
        <v>11</v>
      </c>
      <c r="BQ1943" t="s">
        <v>2369</v>
      </c>
      <c r="BR1943" t="s">
        <v>1487</v>
      </c>
      <c r="BU1943" s="1371">
        <v>0</v>
      </c>
      <c r="BV1943" s="1371">
        <v>0</v>
      </c>
      <c r="BW1943" s="1371">
        <v>0</v>
      </c>
      <c r="BX1943" s="1371">
        <v>0</v>
      </c>
      <c r="BY1943" s="1371">
        <v>0</v>
      </c>
      <c r="BZ1943">
        <v>0</v>
      </c>
      <c r="CA1943">
        <v>0</v>
      </c>
      <c r="CB1943">
        <v>0</v>
      </c>
      <c r="CC1943">
        <v>0</v>
      </c>
      <c r="CD1943">
        <v>0</v>
      </c>
      <c r="CE1943">
        <v>0</v>
      </c>
      <c r="CF1943">
        <v>0</v>
      </c>
      <c r="CG1943">
        <v>0</v>
      </c>
      <c r="CH1943">
        <v>0</v>
      </c>
      <c r="CI1943">
        <v>0</v>
      </c>
      <c r="CJ1943">
        <v>0</v>
      </c>
      <c r="CK1943">
        <v>0</v>
      </c>
      <c r="CL1943">
        <v>0</v>
      </c>
      <c r="CM1943">
        <v>0</v>
      </c>
      <c r="CR1943" t="s">
        <v>2324</v>
      </c>
      <c r="CS1943" s="1369" t="str">
        <f>INDEX([8]Sheet1!$H:$H,MATCH(CR:CR,[8]Sheet1!$AU:$AU,0))</f>
        <v>Finance</v>
      </c>
    </row>
    <row r="1944" spans="1:97" x14ac:dyDescent="0.2">
      <c r="A1944" t="s">
        <v>5164</v>
      </c>
      <c r="B1944">
        <v>2042</v>
      </c>
      <c r="C1944" t="s">
        <v>5164</v>
      </c>
      <c r="D1944">
        <v>55042</v>
      </c>
      <c r="E1944" t="s">
        <v>5165</v>
      </c>
      <c r="F1944" t="s">
        <v>2364</v>
      </c>
      <c r="G1944" t="s">
        <v>2364</v>
      </c>
      <c r="H1944" s="1373" t="s">
        <v>2365</v>
      </c>
      <c r="I1944" t="s">
        <v>2365</v>
      </c>
      <c r="J1944" t="s">
        <v>2365</v>
      </c>
      <c r="K1944" t="s">
        <v>2365</v>
      </c>
      <c r="L1944" s="1373">
        <v>1200</v>
      </c>
      <c r="M1944" t="s">
        <v>1480</v>
      </c>
      <c r="N1944">
        <v>1204</v>
      </c>
      <c r="O1944" t="s">
        <v>1487</v>
      </c>
      <c r="P1944" t="s">
        <v>2366</v>
      </c>
      <c r="Q1944" t="s">
        <v>2364</v>
      </c>
      <c r="R1944" t="s">
        <v>2364</v>
      </c>
      <c r="S1944" t="s">
        <v>553</v>
      </c>
      <c r="T1944" t="s">
        <v>2175</v>
      </c>
      <c r="U1944" t="s">
        <v>2366</v>
      </c>
      <c r="V1944" t="s">
        <v>2366</v>
      </c>
      <c r="W1944" t="s">
        <v>2366</v>
      </c>
      <c r="X1944" t="s">
        <v>2366</v>
      </c>
      <c r="Y1944" t="s">
        <v>2365</v>
      </c>
      <c r="Z1944" t="s">
        <v>2365</v>
      </c>
      <c r="AA1944" t="s">
        <v>2365</v>
      </c>
      <c r="AB1944" t="s">
        <v>2365</v>
      </c>
      <c r="AC1944" s="813" t="s">
        <v>2365</v>
      </c>
      <c r="AD1944" s="813" t="s">
        <v>2365</v>
      </c>
      <c r="AE1944" s="813" t="s">
        <v>2365</v>
      </c>
      <c r="AF1944" t="s">
        <v>2365</v>
      </c>
      <c r="AG1944" t="s">
        <v>2365</v>
      </c>
      <c r="AH1944" t="s">
        <v>2365</v>
      </c>
      <c r="AI1944" t="s">
        <v>2365</v>
      </c>
      <c r="AJ1944" t="s">
        <v>2365</v>
      </c>
      <c r="AK1944">
        <v>145</v>
      </c>
      <c r="AL1944" t="s">
        <v>1198</v>
      </c>
      <c r="AM1944">
        <v>145</v>
      </c>
      <c r="AN1944" t="s">
        <v>1198</v>
      </c>
      <c r="AR1944" t="s">
        <v>2365</v>
      </c>
      <c r="AS1944" t="s">
        <v>2365</v>
      </c>
      <c r="AT1944" t="s">
        <v>2365</v>
      </c>
      <c r="AU1944" t="s">
        <v>2365</v>
      </c>
      <c r="AV1944" t="s">
        <v>2365</v>
      </c>
      <c r="AW1944" t="s">
        <v>2365</v>
      </c>
      <c r="AX1944" t="s">
        <v>2365</v>
      </c>
      <c r="AY1944" t="s">
        <v>2365</v>
      </c>
      <c r="AZ1944" t="s">
        <v>2365</v>
      </c>
      <c r="BA1944" t="s">
        <v>2365</v>
      </c>
      <c r="BB1944" t="s">
        <v>2365</v>
      </c>
      <c r="BC1944" t="s">
        <v>2365</v>
      </c>
      <c r="BD1944" t="s">
        <v>2366</v>
      </c>
      <c r="BE1944" t="s">
        <v>2365</v>
      </c>
      <c r="BF1944" t="s">
        <v>2365</v>
      </c>
      <c r="BG1944" t="s">
        <v>2365</v>
      </c>
      <c r="BH1944" t="s">
        <v>2365</v>
      </c>
      <c r="BI1944" t="s">
        <v>2366</v>
      </c>
      <c r="BJ1944" t="s">
        <v>2365</v>
      </c>
      <c r="BK1944" t="s">
        <v>2365</v>
      </c>
      <c r="BL1944" t="s">
        <v>2365</v>
      </c>
      <c r="BM1944" t="s">
        <v>2365</v>
      </c>
      <c r="BO1944">
        <v>1</v>
      </c>
      <c r="BP1944">
        <v>11</v>
      </c>
      <c r="BQ1944" t="s">
        <v>2369</v>
      </c>
      <c r="BR1944" t="s">
        <v>1487</v>
      </c>
      <c r="BU1944" s="1371">
        <v>0</v>
      </c>
      <c r="BV1944" s="1371">
        <v>0</v>
      </c>
      <c r="BW1944" s="1371">
        <v>0</v>
      </c>
      <c r="BX1944" s="1371">
        <v>0</v>
      </c>
      <c r="BY1944" s="1371">
        <v>0</v>
      </c>
      <c r="BZ1944">
        <v>0</v>
      </c>
      <c r="CA1944">
        <v>0</v>
      </c>
      <c r="CB1944">
        <v>0</v>
      </c>
      <c r="CC1944">
        <v>0</v>
      </c>
      <c r="CD1944">
        <v>0</v>
      </c>
      <c r="CE1944">
        <v>0</v>
      </c>
      <c r="CF1944">
        <v>0</v>
      </c>
      <c r="CG1944">
        <v>0</v>
      </c>
      <c r="CH1944">
        <v>0</v>
      </c>
      <c r="CI1944">
        <v>0</v>
      </c>
      <c r="CJ1944">
        <v>0</v>
      </c>
      <c r="CK1944">
        <v>0</v>
      </c>
      <c r="CL1944">
        <v>0</v>
      </c>
      <c r="CM1944">
        <v>0</v>
      </c>
      <c r="CR1944" t="s">
        <v>2324</v>
      </c>
      <c r="CS1944" s="1369" t="str">
        <f>INDEX([8]Sheet1!$H:$H,MATCH(CR:CR,[8]Sheet1!$AU:$AU,0))</f>
        <v>Finance</v>
      </c>
    </row>
    <row r="1945" spans="1:97" x14ac:dyDescent="0.2">
      <c r="A1945" t="s">
        <v>5166</v>
      </c>
      <c r="B1945">
        <v>2043</v>
      </c>
      <c r="C1945" t="s">
        <v>5166</v>
      </c>
      <c r="D1945">
        <v>55043</v>
      </c>
      <c r="E1945" t="s">
        <v>5167</v>
      </c>
      <c r="F1945" t="s">
        <v>2364</v>
      </c>
      <c r="G1945" t="s">
        <v>2364</v>
      </c>
      <c r="H1945" s="1373" t="s">
        <v>2365</v>
      </c>
      <c r="I1945" t="s">
        <v>2365</v>
      </c>
      <c r="J1945" t="s">
        <v>2365</v>
      </c>
      <c r="K1945" t="s">
        <v>2365</v>
      </c>
      <c r="L1945" s="1373">
        <v>1200</v>
      </c>
      <c r="M1945" t="s">
        <v>1480</v>
      </c>
      <c r="N1945">
        <v>1204</v>
      </c>
      <c r="O1945" t="s">
        <v>1487</v>
      </c>
      <c r="P1945" t="s">
        <v>2366</v>
      </c>
      <c r="Q1945" t="s">
        <v>2364</v>
      </c>
      <c r="R1945" t="s">
        <v>2364</v>
      </c>
      <c r="S1945" t="s">
        <v>553</v>
      </c>
      <c r="T1945" t="s">
        <v>2175</v>
      </c>
      <c r="U1945">
        <v>140</v>
      </c>
      <c r="V1945" t="s">
        <v>693</v>
      </c>
      <c r="W1945">
        <v>140</v>
      </c>
      <c r="X1945" t="s">
        <v>693</v>
      </c>
      <c r="Y1945" t="s">
        <v>2365</v>
      </c>
      <c r="Z1945" t="s">
        <v>2365</v>
      </c>
      <c r="AA1945" t="s">
        <v>2365</v>
      </c>
      <c r="AB1945" t="s">
        <v>2365</v>
      </c>
      <c r="AC1945" s="813" t="s">
        <v>2365</v>
      </c>
      <c r="AD1945" s="813" t="s">
        <v>2365</v>
      </c>
      <c r="AE1945" s="813" t="s">
        <v>2365</v>
      </c>
      <c r="AF1945" t="s">
        <v>2365</v>
      </c>
      <c r="AG1945" t="s">
        <v>2365</v>
      </c>
      <c r="AH1945" t="s">
        <v>2365</v>
      </c>
      <c r="AI1945" t="s">
        <v>2365</v>
      </c>
      <c r="AJ1945" t="s">
        <v>2365</v>
      </c>
      <c r="AK1945" t="s">
        <v>2366</v>
      </c>
      <c r="AL1945" t="s">
        <v>2366</v>
      </c>
      <c r="AM1945" t="s">
        <v>2366</v>
      </c>
      <c r="AN1945" t="s">
        <v>2366</v>
      </c>
      <c r="AR1945" t="s">
        <v>2365</v>
      </c>
      <c r="AS1945" t="s">
        <v>2365</v>
      </c>
      <c r="AT1945" t="s">
        <v>2365</v>
      </c>
      <c r="AU1945" t="s">
        <v>2365</v>
      </c>
      <c r="AV1945" t="s">
        <v>2365</v>
      </c>
      <c r="AW1945" t="s">
        <v>2365</v>
      </c>
      <c r="AX1945" t="s">
        <v>2365</v>
      </c>
      <c r="AY1945" t="s">
        <v>2365</v>
      </c>
      <c r="AZ1945" t="s">
        <v>2365</v>
      </c>
      <c r="BA1945" t="s">
        <v>2365</v>
      </c>
      <c r="BB1945" t="s">
        <v>2365</v>
      </c>
      <c r="BC1945" t="s">
        <v>2365</v>
      </c>
      <c r="BD1945" t="s">
        <v>2366</v>
      </c>
      <c r="BE1945" t="s">
        <v>2365</v>
      </c>
      <c r="BF1945" t="s">
        <v>2365</v>
      </c>
      <c r="BG1945" t="s">
        <v>2365</v>
      </c>
      <c r="BH1945" t="s">
        <v>2365</v>
      </c>
      <c r="BI1945" t="s">
        <v>2366</v>
      </c>
      <c r="BJ1945" t="s">
        <v>2365</v>
      </c>
      <c r="BK1945" t="s">
        <v>2365</v>
      </c>
      <c r="BL1945" t="s">
        <v>2365</v>
      </c>
      <c r="BM1945" t="s">
        <v>2365</v>
      </c>
      <c r="BO1945">
        <v>1</v>
      </c>
      <c r="BP1945">
        <v>11</v>
      </c>
      <c r="BQ1945" t="s">
        <v>2369</v>
      </c>
      <c r="BR1945" t="s">
        <v>1487</v>
      </c>
      <c r="BU1945" s="1371">
        <v>0</v>
      </c>
      <c r="BV1945" s="1371">
        <v>0</v>
      </c>
      <c r="BW1945" s="1371">
        <v>0</v>
      </c>
      <c r="BX1945" s="1371">
        <v>0</v>
      </c>
      <c r="BY1945" s="1371">
        <v>0</v>
      </c>
      <c r="BZ1945">
        <v>0</v>
      </c>
      <c r="CA1945">
        <v>0</v>
      </c>
      <c r="CB1945">
        <v>0</v>
      </c>
      <c r="CC1945">
        <v>0</v>
      </c>
      <c r="CD1945">
        <v>0</v>
      </c>
      <c r="CE1945">
        <v>0</v>
      </c>
      <c r="CF1945">
        <v>0</v>
      </c>
      <c r="CG1945">
        <v>0</v>
      </c>
      <c r="CH1945">
        <v>0</v>
      </c>
      <c r="CI1945">
        <v>0</v>
      </c>
      <c r="CJ1945">
        <v>0</v>
      </c>
      <c r="CK1945">
        <v>0</v>
      </c>
      <c r="CL1945">
        <v>0</v>
      </c>
      <c r="CM1945">
        <v>0</v>
      </c>
      <c r="CR1945" t="s">
        <v>2324</v>
      </c>
      <c r="CS1945" s="1369" t="str">
        <f>INDEX([8]Sheet1!$H:$H,MATCH(CR:CR,[8]Sheet1!$AU:$AU,0))</f>
        <v>Finance</v>
      </c>
    </row>
    <row r="1946" spans="1:97" x14ac:dyDescent="0.2">
      <c r="A1946" t="s">
        <v>5168</v>
      </c>
      <c r="B1946">
        <v>2044</v>
      </c>
      <c r="C1946" t="s">
        <v>5168</v>
      </c>
      <c r="D1946">
        <v>55044</v>
      </c>
      <c r="E1946" t="s">
        <v>5169</v>
      </c>
      <c r="F1946" t="s">
        <v>2364</v>
      </c>
      <c r="G1946" t="s">
        <v>2364</v>
      </c>
      <c r="H1946" t="s">
        <v>2365</v>
      </c>
      <c r="I1946" t="s">
        <v>2365</v>
      </c>
      <c r="J1946" t="s">
        <v>2365</v>
      </c>
      <c r="K1946" t="s">
        <v>2365</v>
      </c>
      <c r="L1946">
        <v>1200</v>
      </c>
      <c r="M1946" t="s">
        <v>1480</v>
      </c>
      <c r="N1946">
        <v>1204</v>
      </c>
      <c r="O1946" t="s">
        <v>1487</v>
      </c>
      <c r="P1946" t="s">
        <v>2366</v>
      </c>
      <c r="Q1946" t="s">
        <v>2364</v>
      </c>
      <c r="R1946" t="s">
        <v>2364</v>
      </c>
      <c r="S1946" t="s">
        <v>553</v>
      </c>
      <c r="T1946" t="s">
        <v>2175</v>
      </c>
      <c r="U1946" t="s">
        <v>2366</v>
      </c>
      <c r="V1946" t="s">
        <v>2366</v>
      </c>
      <c r="W1946" t="s">
        <v>2366</v>
      </c>
      <c r="X1946" t="s">
        <v>2366</v>
      </c>
      <c r="Y1946" t="s">
        <v>2365</v>
      </c>
      <c r="Z1946" t="s">
        <v>2365</v>
      </c>
      <c r="AA1946" t="s">
        <v>2365</v>
      </c>
      <c r="AB1946" t="s">
        <v>2365</v>
      </c>
      <c r="AC1946" s="813" t="s">
        <v>2365</v>
      </c>
      <c r="AD1946" s="813" t="s">
        <v>2365</v>
      </c>
      <c r="AE1946" s="813" t="s">
        <v>2365</v>
      </c>
      <c r="AF1946" t="s">
        <v>2365</v>
      </c>
      <c r="AG1946" t="s">
        <v>2365</v>
      </c>
      <c r="AH1946" t="s">
        <v>2365</v>
      </c>
      <c r="AI1946" t="s">
        <v>2365</v>
      </c>
      <c r="AJ1946" t="s">
        <v>2365</v>
      </c>
      <c r="AK1946">
        <v>145</v>
      </c>
      <c r="AL1946" t="s">
        <v>1198</v>
      </c>
      <c r="AM1946">
        <v>145</v>
      </c>
      <c r="AN1946" t="s">
        <v>1198</v>
      </c>
      <c r="AR1946" t="s">
        <v>2365</v>
      </c>
      <c r="AS1946" t="s">
        <v>2365</v>
      </c>
      <c r="AT1946" t="s">
        <v>2365</v>
      </c>
      <c r="AU1946" t="s">
        <v>2365</v>
      </c>
      <c r="AV1946" t="s">
        <v>2365</v>
      </c>
      <c r="AW1946" t="s">
        <v>2365</v>
      </c>
      <c r="AX1946" t="s">
        <v>2365</v>
      </c>
      <c r="AY1946" t="s">
        <v>2365</v>
      </c>
      <c r="AZ1946" t="s">
        <v>2365</v>
      </c>
      <c r="BA1946" t="s">
        <v>2365</v>
      </c>
      <c r="BB1946" t="s">
        <v>2365</v>
      </c>
      <c r="BC1946" t="s">
        <v>2365</v>
      </c>
      <c r="BD1946" t="s">
        <v>2366</v>
      </c>
      <c r="BE1946" t="s">
        <v>2365</v>
      </c>
      <c r="BF1946" t="s">
        <v>2365</v>
      </c>
      <c r="BG1946" t="s">
        <v>2365</v>
      </c>
      <c r="BH1946" t="s">
        <v>2365</v>
      </c>
      <c r="BI1946" t="s">
        <v>2366</v>
      </c>
      <c r="BJ1946" t="s">
        <v>2365</v>
      </c>
      <c r="BK1946" t="s">
        <v>2365</v>
      </c>
      <c r="BL1946" t="s">
        <v>2365</v>
      </c>
      <c r="BM1946" t="s">
        <v>2365</v>
      </c>
      <c r="BO1946">
        <v>1</v>
      </c>
      <c r="BP1946">
        <v>11</v>
      </c>
      <c r="BQ1946" t="s">
        <v>2369</v>
      </c>
      <c r="BR1946" t="s">
        <v>1487</v>
      </c>
      <c r="BU1946">
        <v>0</v>
      </c>
      <c r="BV1946">
        <v>0</v>
      </c>
      <c r="BW1946">
        <v>0</v>
      </c>
      <c r="BX1946">
        <v>0</v>
      </c>
      <c r="BY1946">
        <v>0</v>
      </c>
      <c r="BZ1946">
        <v>0</v>
      </c>
      <c r="CA1946">
        <v>0</v>
      </c>
      <c r="CB1946">
        <v>0</v>
      </c>
      <c r="CC1946">
        <v>0</v>
      </c>
      <c r="CD1946">
        <v>0</v>
      </c>
      <c r="CE1946">
        <v>0</v>
      </c>
      <c r="CF1946">
        <v>0</v>
      </c>
      <c r="CG1946">
        <v>0</v>
      </c>
      <c r="CH1946">
        <v>0</v>
      </c>
      <c r="CI1946">
        <v>0</v>
      </c>
      <c r="CJ1946">
        <v>0</v>
      </c>
      <c r="CK1946">
        <v>0</v>
      </c>
      <c r="CL1946">
        <v>0</v>
      </c>
      <c r="CM1946">
        <v>0</v>
      </c>
      <c r="CR1946" t="s">
        <v>2324</v>
      </c>
      <c r="CS1946" s="1369" t="str">
        <f>INDEX([8]Sheet1!$H:$H,MATCH(CR:CR,[8]Sheet1!$AU:$AU,0))</f>
        <v>Finance</v>
      </c>
    </row>
    <row r="1947" spans="1:97" x14ac:dyDescent="0.2">
      <c r="A1947" t="s">
        <v>5170</v>
      </c>
      <c r="B1947">
        <v>2045</v>
      </c>
      <c r="C1947" t="s">
        <v>5170</v>
      </c>
      <c r="D1947">
        <v>55045</v>
      </c>
      <c r="E1947" t="s">
        <v>5171</v>
      </c>
      <c r="F1947" t="s">
        <v>2364</v>
      </c>
      <c r="G1947" t="s">
        <v>2364</v>
      </c>
      <c r="H1947" t="s">
        <v>2365</v>
      </c>
      <c r="I1947" t="s">
        <v>2365</v>
      </c>
      <c r="J1947" t="s">
        <v>2365</v>
      </c>
      <c r="K1947" t="s">
        <v>2365</v>
      </c>
      <c r="L1947">
        <v>1200</v>
      </c>
      <c r="M1947" t="s">
        <v>1480</v>
      </c>
      <c r="N1947">
        <v>1204</v>
      </c>
      <c r="O1947" t="s">
        <v>1487</v>
      </c>
      <c r="P1947" t="s">
        <v>2366</v>
      </c>
      <c r="Q1947" t="s">
        <v>2364</v>
      </c>
      <c r="R1947" t="s">
        <v>2364</v>
      </c>
      <c r="S1947" t="s">
        <v>553</v>
      </c>
      <c r="T1947" t="s">
        <v>2175</v>
      </c>
      <c r="U1947" t="s">
        <v>2366</v>
      </c>
      <c r="V1947" t="s">
        <v>2366</v>
      </c>
      <c r="W1947" t="s">
        <v>2366</v>
      </c>
      <c r="X1947" t="s">
        <v>2366</v>
      </c>
      <c r="Y1947" t="s">
        <v>2365</v>
      </c>
      <c r="Z1947" t="s">
        <v>2365</v>
      </c>
      <c r="AA1947" t="s">
        <v>2365</v>
      </c>
      <c r="AB1947" t="s">
        <v>2365</v>
      </c>
      <c r="AC1947" s="813" t="s">
        <v>2365</v>
      </c>
      <c r="AD1947" s="813" t="s">
        <v>2365</v>
      </c>
      <c r="AE1947" s="813" t="s">
        <v>2365</v>
      </c>
      <c r="AF1947" t="s">
        <v>2365</v>
      </c>
      <c r="AG1947" t="s">
        <v>2365</v>
      </c>
      <c r="AH1947" t="s">
        <v>2365</v>
      </c>
      <c r="AI1947" t="s">
        <v>2365</v>
      </c>
      <c r="AJ1947" t="s">
        <v>2365</v>
      </c>
      <c r="AK1947">
        <v>145</v>
      </c>
      <c r="AL1947" t="s">
        <v>1198</v>
      </c>
      <c r="AM1947">
        <v>145</v>
      </c>
      <c r="AN1947" t="s">
        <v>1198</v>
      </c>
      <c r="AR1947" t="s">
        <v>2365</v>
      </c>
      <c r="AS1947" t="s">
        <v>2365</v>
      </c>
      <c r="AT1947" t="s">
        <v>2365</v>
      </c>
      <c r="AU1947" t="s">
        <v>2365</v>
      </c>
      <c r="AV1947" t="s">
        <v>2365</v>
      </c>
      <c r="AW1947" t="s">
        <v>2365</v>
      </c>
      <c r="AX1947" t="s">
        <v>2365</v>
      </c>
      <c r="AY1947" t="s">
        <v>2365</v>
      </c>
      <c r="AZ1947" t="s">
        <v>2365</v>
      </c>
      <c r="BA1947" t="s">
        <v>2365</v>
      </c>
      <c r="BB1947" t="s">
        <v>2365</v>
      </c>
      <c r="BC1947" t="s">
        <v>2365</v>
      </c>
      <c r="BD1947" t="s">
        <v>2366</v>
      </c>
      <c r="BE1947" t="s">
        <v>2365</v>
      </c>
      <c r="BF1947" t="s">
        <v>2365</v>
      </c>
      <c r="BG1947" t="s">
        <v>2365</v>
      </c>
      <c r="BH1947" t="s">
        <v>2365</v>
      </c>
      <c r="BI1947" t="s">
        <v>2366</v>
      </c>
      <c r="BJ1947" t="s">
        <v>2365</v>
      </c>
      <c r="BK1947" t="s">
        <v>2365</v>
      </c>
      <c r="BL1947" t="s">
        <v>2365</v>
      </c>
      <c r="BM1947" t="s">
        <v>2365</v>
      </c>
      <c r="BO1947">
        <v>1</v>
      </c>
      <c r="BP1947">
        <v>11</v>
      </c>
      <c r="BQ1947" t="s">
        <v>2369</v>
      </c>
      <c r="BR1947" t="s">
        <v>1487</v>
      </c>
      <c r="BU1947">
        <v>0</v>
      </c>
      <c r="BV1947">
        <v>0</v>
      </c>
      <c r="BW1947">
        <v>0</v>
      </c>
      <c r="BX1947">
        <v>0</v>
      </c>
      <c r="BY1947">
        <v>0</v>
      </c>
      <c r="BZ1947">
        <v>0</v>
      </c>
      <c r="CA1947">
        <v>0</v>
      </c>
      <c r="CB1947">
        <v>0</v>
      </c>
      <c r="CC1947">
        <v>0</v>
      </c>
      <c r="CD1947">
        <v>0</v>
      </c>
      <c r="CE1947">
        <v>0</v>
      </c>
      <c r="CF1947">
        <v>0</v>
      </c>
      <c r="CG1947">
        <v>0</v>
      </c>
      <c r="CH1947">
        <v>0</v>
      </c>
      <c r="CI1947">
        <v>0</v>
      </c>
      <c r="CJ1947">
        <v>0</v>
      </c>
      <c r="CK1947">
        <v>0</v>
      </c>
      <c r="CL1947">
        <v>0</v>
      </c>
      <c r="CM1947">
        <v>0</v>
      </c>
      <c r="CR1947" t="s">
        <v>2324</v>
      </c>
      <c r="CS1947" s="1369" t="str">
        <f>INDEX([8]Sheet1!$H:$H,MATCH(CR:CR,[8]Sheet1!$AU:$AU,0))</f>
        <v>Finance</v>
      </c>
    </row>
    <row r="1948" spans="1:97" x14ac:dyDescent="0.2">
      <c r="A1948" t="s">
        <v>5172</v>
      </c>
      <c r="B1948">
        <v>2046</v>
      </c>
      <c r="C1948" t="s">
        <v>5172</v>
      </c>
      <c r="D1948">
        <v>55046</v>
      </c>
      <c r="E1948" t="s">
        <v>5173</v>
      </c>
      <c r="F1948" t="s">
        <v>2364</v>
      </c>
      <c r="G1948" t="s">
        <v>2364</v>
      </c>
      <c r="H1948" t="s">
        <v>2365</v>
      </c>
      <c r="I1948" t="s">
        <v>2365</v>
      </c>
      <c r="J1948" t="s">
        <v>2365</v>
      </c>
      <c r="K1948" t="s">
        <v>2365</v>
      </c>
      <c r="L1948">
        <v>1200</v>
      </c>
      <c r="M1948" t="s">
        <v>1480</v>
      </c>
      <c r="N1948">
        <v>1204</v>
      </c>
      <c r="O1948" t="s">
        <v>1487</v>
      </c>
      <c r="P1948" t="s">
        <v>2366</v>
      </c>
      <c r="Q1948" t="s">
        <v>2364</v>
      </c>
      <c r="R1948" t="s">
        <v>2364</v>
      </c>
      <c r="S1948" t="s">
        <v>553</v>
      </c>
      <c r="T1948" t="s">
        <v>2175</v>
      </c>
      <c r="U1948">
        <v>170</v>
      </c>
      <c r="V1948" t="s">
        <v>696</v>
      </c>
      <c r="W1948">
        <v>170</v>
      </c>
      <c r="X1948" t="s">
        <v>696</v>
      </c>
      <c r="Y1948" t="s">
        <v>2365</v>
      </c>
      <c r="Z1948" t="s">
        <v>2365</v>
      </c>
      <c r="AA1948" t="s">
        <v>2365</v>
      </c>
      <c r="AB1948" t="s">
        <v>2365</v>
      </c>
      <c r="AC1948" s="813" t="s">
        <v>2365</v>
      </c>
      <c r="AD1948" s="813" t="s">
        <v>2365</v>
      </c>
      <c r="AE1948" s="813" t="s">
        <v>2365</v>
      </c>
      <c r="AF1948" t="s">
        <v>2365</v>
      </c>
      <c r="AG1948" t="s">
        <v>2365</v>
      </c>
      <c r="AH1948" t="s">
        <v>2365</v>
      </c>
      <c r="AI1948" t="s">
        <v>2365</v>
      </c>
      <c r="AJ1948" t="s">
        <v>2365</v>
      </c>
      <c r="AK1948" s="1373" t="s">
        <v>2365</v>
      </c>
      <c r="AL1948" t="s">
        <v>2365</v>
      </c>
      <c r="AM1948" t="s">
        <v>2365</v>
      </c>
      <c r="AN1948" t="s">
        <v>2365</v>
      </c>
      <c r="AR1948" t="s">
        <v>2365</v>
      </c>
      <c r="AS1948" t="s">
        <v>2365</v>
      </c>
      <c r="AT1948" t="s">
        <v>2365</v>
      </c>
      <c r="AU1948" t="s">
        <v>2365</v>
      </c>
      <c r="AV1948" t="s">
        <v>2365</v>
      </c>
      <c r="AW1948" t="s">
        <v>2365</v>
      </c>
      <c r="AX1948" t="s">
        <v>2365</v>
      </c>
      <c r="AY1948" t="s">
        <v>2365</v>
      </c>
      <c r="AZ1948" t="s">
        <v>2365</v>
      </c>
      <c r="BA1948" t="s">
        <v>2365</v>
      </c>
      <c r="BB1948" t="s">
        <v>2365</v>
      </c>
      <c r="BC1948" t="s">
        <v>2365</v>
      </c>
      <c r="BD1948" t="s">
        <v>2366</v>
      </c>
      <c r="BE1948" t="s">
        <v>2365</v>
      </c>
      <c r="BF1948" t="s">
        <v>2365</v>
      </c>
      <c r="BG1948" t="s">
        <v>2365</v>
      </c>
      <c r="BH1948" t="s">
        <v>2365</v>
      </c>
      <c r="BI1948" t="s">
        <v>2366</v>
      </c>
      <c r="BJ1948" t="s">
        <v>2365</v>
      </c>
      <c r="BK1948" t="s">
        <v>2365</v>
      </c>
      <c r="BL1948" t="s">
        <v>2365</v>
      </c>
      <c r="BM1948" t="s">
        <v>2365</v>
      </c>
      <c r="BO1948">
        <v>1</v>
      </c>
      <c r="BP1948">
        <v>11</v>
      </c>
      <c r="BQ1948" t="s">
        <v>2369</v>
      </c>
      <c r="BR1948" t="s">
        <v>1487</v>
      </c>
      <c r="BU1948">
        <v>0</v>
      </c>
      <c r="BV1948">
        <v>0</v>
      </c>
      <c r="BW1948">
        <v>0</v>
      </c>
      <c r="BX1948">
        <v>0</v>
      </c>
      <c r="BY1948">
        <v>0</v>
      </c>
      <c r="BZ1948">
        <v>0</v>
      </c>
      <c r="CA1948">
        <v>0</v>
      </c>
      <c r="CB1948">
        <v>0</v>
      </c>
      <c r="CC1948">
        <v>0</v>
      </c>
      <c r="CD1948">
        <v>0</v>
      </c>
      <c r="CE1948">
        <v>0</v>
      </c>
      <c r="CF1948">
        <v>0</v>
      </c>
      <c r="CG1948">
        <v>0</v>
      </c>
      <c r="CH1948">
        <v>0</v>
      </c>
      <c r="CI1948">
        <v>0</v>
      </c>
      <c r="CJ1948">
        <v>0</v>
      </c>
      <c r="CK1948">
        <v>0</v>
      </c>
      <c r="CL1948">
        <v>0</v>
      </c>
      <c r="CM1948">
        <v>0</v>
      </c>
      <c r="CR1948" t="s">
        <v>2348</v>
      </c>
      <c r="CS1948" s="1369" t="str">
        <f>INDEX([8]Sheet1!$H:$H,MATCH(CR:CR,[8]Sheet1!$AU:$AU,0))</f>
        <v>Community Halls and Facilities</v>
      </c>
    </row>
    <row r="1949" spans="1:97" x14ac:dyDescent="0.2">
      <c r="A1949" t="s">
        <v>5174</v>
      </c>
      <c r="B1949">
        <v>2047</v>
      </c>
      <c r="C1949" t="s">
        <v>5174</v>
      </c>
      <c r="D1949">
        <v>55047</v>
      </c>
      <c r="E1949" t="s">
        <v>5175</v>
      </c>
      <c r="F1949" t="s">
        <v>2364</v>
      </c>
      <c r="G1949" t="s">
        <v>2364</v>
      </c>
      <c r="H1949" t="s">
        <v>2365</v>
      </c>
      <c r="I1949" t="s">
        <v>2365</v>
      </c>
      <c r="J1949" t="s">
        <v>2365</v>
      </c>
      <c r="K1949" t="s">
        <v>2365</v>
      </c>
      <c r="L1949">
        <v>1200</v>
      </c>
      <c r="M1949" t="s">
        <v>1480</v>
      </c>
      <c r="N1949">
        <v>1204</v>
      </c>
      <c r="O1949" t="s">
        <v>1487</v>
      </c>
      <c r="P1949" t="s">
        <v>2366</v>
      </c>
      <c r="Q1949" t="s">
        <v>2364</v>
      </c>
      <c r="R1949" t="s">
        <v>2364</v>
      </c>
      <c r="S1949" t="s">
        <v>553</v>
      </c>
      <c r="T1949" t="s">
        <v>2175</v>
      </c>
      <c r="U1949">
        <v>170</v>
      </c>
      <c r="V1949" t="s">
        <v>696</v>
      </c>
      <c r="W1949">
        <v>170</v>
      </c>
      <c r="X1949" t="s">
        <v>696</v>
      </c>
      <c r="Y1949" t="s">
        <v>2365</v>
      </c>
      <c r="Z1949" t="s">
        <v>2365</v>
      </c>
      <c r="AA1949" t="s">
        <v>2365</v>
      </c>
      <c r="AB1949" t="s">
        <v>2365</v>
      </c>
      <c r="AC1949" s="813" t="s">
        <v>2365</v>
      </c>
      <c r="AD1949" s="813" t="s">
        <v>2365</v>
      </c>
      <c r="AE1949" s="813" t="s">
        <v>2365</v>
      </c>
      <c r="AF1949" t="s">
        <v>2365</v>
      </c>
      <c r="AG1949" t="s">
        <v>2365</v>
      </c>
      <c r="AH1949" t="s">
        <v>2365</v>
      </c>
      <c r="AI1949" t="s">
        <v>2365</v>
      </c>
      <c r="AJ1949" t="s">
        <v>2365</v>
      </c>
      <c r="AK1949" t="s">
        <v>2365</v>
      </c>
      <c r="AL1949" t="s">
        <v>2365</v>
      </c>
      <c r="AM1949" t="s">
        <v>2365</v>
      </c>
      <c r="AN1949" t="s">
        <v>2365</v>
      </c>
      <c r="AR1949" t="s">
        <v>2365</v>
      </c>
      <c r="AS1949" t="s">
        <v>2365</v>
      </c>
      <c r="AT1949" t="s">
        <v>2365</v>
      </c>
      <c r="AU1949" t="s">
        <v>2365</v>
      </c>
      <c r="AV1949" t="s">
        <v>2365</v>
      </c>
      <c r="AW1949" t="s">
        <v>2365</v>
      </c>
      <c r="AX1949" t="s">
        <v>2365</v>
      </c>
      <c r="AY1949" t="s">
        <v>2365</v>
      </c>
      <c r="AZ1949" t="s">
        <v>2365</v>
      </c>
      <c r="BA1949" t="s">
        <v>2365</v>
      </c>
      <c r="BB1949" t="s">
        <v>2365</v>
      </c>
      <c r="BC1949" t="s">
        <v>2365</v>
      </c>
      <c r="BD1949" t="s">
        <v>2366</v>
      </c>
      <c r="BE1949" t="s">
        <v>2365</v>
      </c>
      <c r="BF1949" t="s">
        <v>2365</v>
      </c>
      <c r="BG1949" t="s">
        <v>2365</v>
      </c>
      <c r="BH1949" t="s">
        <v>2365</v>
      </c>
      <c r="BI1949" t="s">
        <v>2366</v>
      </c>
      <c r="BJ1949" t="s">
        <v>2365</v>
      </c>
      <c r="BK1949" t="s">
        <v>2365</v>
      </c>
      <c r="BL1949" t="s">
        <v>2365</v>
      </c>
      <c r="BM1949" t="s">
        <v>2365</v>
      </c>
      <c r="BO1949">
        <v>1</v>
      </c>
      <c r="BP1949">
        <v>11</v>
      </c>
      <c r="BQ1949" t="s">
        <v>2369</v>
      </c>
      <c r="BR1949" t="s">
        <v>1487</v>
      </c>
      <c r="BU1949">
        <v>0</v>
      </c>
      <c r="BV1949">
        <v>0</v>
      </c>
      <c r="BW1949">
        <v>0</v>
      </c>
      <c r="BX1949">
        <v>0</v>
      </c>
      <c r="BY1949">
        <v>0</v>
      </c>
      <c r="BZ1949">
        <v>0</v>
      </c>
      <c r="CA1949">
        <v>0</v>
      </c>
      <c r="CB1949">
        <v>0</v>
      </c>
      <c r="CC1949">
        <v>0</v>
      </c>
      <c r="CD1949">
        <v>0</v>
      </c>
      <c r="CE1949">
        <v>0</v>
      </c>
      <c r="CF1949">
        <v>0</v>
      </c>
      <c r="CG1949">
        <v>0</v>
      </c>
      <c r="CH1949">
        <v>0</v>
      </c>
      <c r="CI1949">
        <v>0</v>
      </c>
      <c r="CJ1949">
        <v>0</v>
      </c>
      <c r="CK1949">
        <v>0</v>
      </c>
      <c r="CL1949">
        <v>0</v>
      </c>
      <c r="CM1949">
        <v>0</v>
      </c>
      <c r="CR1949" t="s">
        <v>2330</v>
      </c>
      <c r="CS1949" s="1369" t="str">
        <f>INDEX([8]Sheet1!$H:$H,MATCH(CR:CR,[8]Sheet1!$AU:$AU,0))</f>
        <v>Water Treatment</v>
      </c>
    </row>
    <row r="1950" spans="1:97" x14ac:dyDescent="0.2">
      <c r="A1950" t="s">
        <v>5176</v>
      </c>
      <c r="B1950">
        <v>2048</v>
      </c>
      <c r="C1950" t="s">
        <v>5176</v>
      </c>
      <c r="D1950">
        <v>55048</v>
      </c>
      <c r="E1950" t="s">
        <v>5177</v>
      </c>
      <c r="F1950" t="s">
        <v>2364</v>
      </c>
      <c r="G1950" t="s">
        <v>2364</v>
      </c>
      <c r="H1950" t="s">
        <v>2365</v>
      </c>
      <c r="I1950" t="s">
        <v>2365</v>
      </c>
      <c r="J1950" t="s">
        <v>2365</v>
      </c>
      <c r="K1950" t="s">
        <v>2365</v>
      </c>
      <c r="L1950">
        <v>1200</v>
      </c>
      <c r="M1950" t="s">
        <v>1480</v>
      </c>
      <c r="N1950">
        <v>1204</v>
      </c>
      <c r="O1950" t="s">
        <v>1487</v>
      </c>
      <c r="P1950" t="s">
        <v>2366</v>
      </c>
      <c r="Q1950" t="s">
        <v>2364</v>
      </c>
      <c r="R1950" t="s">
        <v>2364</v>
      </c>
      <c r="S1950" t="s">
        <v>553</v>
      </c>
      <c r="T1950" t="s">
        <v>2175</v>
      </c>
      <c r="U1950">
        <v>140</v>
      </c>
      <c r="V1950" t="s">
        <v>693</v>
      </c>
      <c r="W1950">
        <v>140</v>
      </c>
      <c r="X1950" t="s">
        <v>693</v>
      </c>
      <c r="Y1950" t="s">
        <v>2365</v>
      </c>
      <c r="Z1950" t="s">
        <v>2365</v>
      </c>
      <c r="AA1950" t="s">
        <v>2365</v>
      </c>
      <c r="AB1950" t="s">
        <v>2365</v>
      </c>
      <c r="AC1950" s="813" t="s">
        <v>2365</v>
      </c>
      <c r="AD1950" s="813" t="s">
        <v>2365</v>
      </c>
      <c r="AE1950" s="813" t="s">
        <v>2365</v>
      </c>
      <c r="AF1950" t="s">
        <v>2365</v>
      </c>
      <c r="AG1950" t="s">
        <v>2365</v>
      </c>
      <c r="AH1950" t="s">
        <v>2365</v>
      </c>
      <c r="AI1950" t="s">
        <v>2365</v>
      </c>
      <c r="AJ1950" t="s">
        <v>2365</v>
      </c>
      <c r="AK1950" t="s">
        <v>2366</v>
      </c>
      <c r="AL1950" t="s">
        <v>2366</v>
      </c>
      <c r="AM1950" t="s">
        <v>2366</v>
      </c>
      <c r="AN1950" t="s">
        <v>2366</v>
      </c>
      <c r="AR1950" t="s">
        <v>2365</v>
      </c>
      <c r="AS1950" t="s">
        <v>2365</v>
      </c>
      <c r="AT1950" t="s">
        <v>2365</v>
      </c>
      <c r="AU1950" t="s">
        <v>2365</v>
      </c>
      <c r="AV1950" t="s">
        <v>2365</v>
      </c>
      <c r="AW1950" t="s">
        <v>2365</v>
      </c>
      <c r="AX1950" t="s">
        <v>2365</v>
      </c>
      <c r="AY1950" t="s">
        <v>2365</v>
      </c>
      <c r="AZ1950" t="s">
        <v>2365</v>
      </c>
      <c r="BA1950" t="s">
        <v>2365</v>
      </c>
      <c r="BB1950" t="s">
        <v>2365</v>
      </c>
      <c r="BC1950" t="s">
        <v>2365</v>
      </c>
      <c r="BD1950" t="s">
        <v>2366</v>
      </c>
      <c r="BE1950" t="s">
        <v>2365</v>
      </c>
      <c r="BF1950" t="s">
        <v>2365</v>
      </c>
      <c r="BG1950" t="s">
        <v>2365</v>
      </c>
      <c r="BH1950" t="s">
        <v>2365</v>
      </c>
      <c r="BI1950" t="s">
        <v>2366</v>
      </c>
      <c r="BJ1950" t="s">
        <v>2365</v>
      </c>
      <c r="BK1950" t="s">
        <v>2365</v>
      </c>
      <c r="BL1950" t="s">
        <v>2365</v>
      </c>
      <c r="BM1950" t="s">
        <v>2365</v>
      </c>
      <c r="BO1950">
        <v>1</v>
      </c>
      <c r="BP1950">
        <v>11</v>
      </c>
      <c r="BQ1950" t="s">
        <v>2369</v>
      </c>
      <c r="BR1950" t="s">
        <v>1487</v>
      </c>
      <c r="BU1950">
        <v>0</v>
      </c>
      <c r="BV1950">
        <v>0</v>
      </c>
      <c r="BW1950">
        <v>0</v>
      </c>
      <c r="BX1950">
        <v>0</v>
      </c>
      <c r="BY1950">
        <v>0</v>
      </c>
      <c r="BZ1950">
        <v>0</v>
      </c>
      <c r="CA1950">
        <v>0</v>
      </c>
      <c r="CB1950">
        <v>0</v>
      </c>
      <c r="CC1950">
        <v>0</v>
      </c>
      <c r="CD1950">
        <v>0</v>
      </c>
      <c r="CE1950">
        <v>0</v>
      </c>
      <c r="CF1950">
        <v>0</v>
      </c>
      <c r="CG1950">
        <v>0</v>
      </c>
      <c r="CH1950">
        <v>0</v>
      </c>
      <c r="CI1950">
        <v>0</v>
      </c>
      <c r="CJ1950">
        <v>0</v>
      </c>
      <c r="CK1950">
        <v>0</v>
      </c>
      <c r="CL1950">
        <v>0</v>
      </c>
      <c r="CM1950">
        <v>0</v>
      </c>
      <c r="CR1950" t="s">
        <v>2328</v>
      </c>
      <c r="CS1950" s="1369" t="str">
        <f>INDEX([8]Sheet1!$H:$H,MATCH(CR:CR,[8]Sheet1!$AU:$AU,0))</f>
        <v>Water Distribution</v>
      </c>
    </row>
    <row r="1951" spans="1:97" x14ac:dyDescent="0.2">
      <c r="A1951" t="s">
        <v>5178</v>
      </c>
      <c r="B1951">
        <v>2049</v>
      </c>
      <c r="C1951" t="s">
        <v>5178</v>
      </c>
      <c r="D1951">
        <v>55049</v>
      </c>
      <c r="E1951" t="s">
        <v>5179</v>
      </c>
      <c r="F1951" t="s">
        <v>2364</v>
      </c>
      <c r="G1951" t="s">
        <v>2364</v>
      </c>
      <c r="H1951" t="s">
        <v>2365</v>
      </c>
      <c r="I1951" t="s">
        <v>2365</v>
      </c>
      <c r="J1951" t="s">
        <v>2365</v>
      </c>
      <c r="K1951" t="s">
        <v>2365</v>
      </c>
      <c r="L1951">
        <v>1200</v>
      </c>
      <c r="M1951" t="s">
        <v>1480</v>
      </c>
      <c r="N1951">
        <v>1204</v>
      </c>
      <c r="O1951" t="s">
        <v>1487</v>
      </c>
      <c r="P1951" t="s">
        <v>2366</v>
      </c>
      <c r="Q1951" t="s">
        <v>2364</v>
      </c>
      <c r="R1951" t="s">
        <v>2364</v>
      </c>
      <c r="S1951" t="s">
        <v>553</v>
      </c>
      <c r="T1951" t="s">
        <v>2175</v>
      </c>
      <c r="U1951">
        <v>140</v>
      </c>
      <c r="V1951" t="s">
        <v>693</v>
      </c>
      <c r="W1951">
        <v>140</v>
      </c>
      <c r="X1951" t="s">
        <v>693</v>
      </c>
      <c r="Y1951" t="s">
        <v>2365</v>
      </c>
      <c r="Z1951" t="s">
        <v>2365</v>
      </c>
      <c r="AA1951" t="s">
        <v>2365</v>
      </c>
      <c r="AB1951" t="s">
        <v>2365</v>
      </c>
      <c r="AC1951" s="813" t="s">
        <v>2365</v>
      </c>
      <c r="AD1951" s="813" t="s">
        <v>2365</v>
      </c>
      <c r="AE1951" s="813" t="s">
        <v>2365</v>
      </c>
      <c r="AF1951" t="s">
        <v>2365</v>
      </c>
      <c r="AG1951" t="s">
        <v>2365</v>
      </c>
      <c r="AH1951" t="s">
        <v>2365</v>
      </c>
      <c r="AI1951" t="s">
        <v>2365</v>
      </c>
      <c r="AJ1951" t="s">
        <v>2365</v>
      </c>
      <c r="AK1951" t="s">
        <v>2366</v>
      </c>
      <c r="AL1951" t="s">
        <v>2366</v>
      </c>
      <c r="AM1951" t="s">
        <v>2366</v>
      </c>
      <c r="AN1951" t="s">
        <v>2366</v>
      </c>
      <c r="AR1951" t="s">
        <v>2365</v>
      </c>
      <c r="AS1951" t="s">
        <v>2365</v>
      </c>
      <c r="AT1951" t="s">
        <v>2365</v>
      </c>
      <c r="AU1951" t="s">
        <v>2365</v>
      </c>
      <c r="AV1951" t="s">
        <v>2365</v>
      </c>
      <c r="AW1951" t="s">
        <v>2365</v>
      </c>
      <c r="AX1951" t="s">
        <v>2365</v>
      </c>
      <c r="AY1951" t="s">
        <v>2365</v>
      </c>
      <c r="AZ1951" t="s">
        <v>2365</v>
      </c>
      <c r="BA1951" t="s">
        <v>2365</v>
      </c>
      <c r="BB1951" t="s">
        <v>2365</v>
      </c>
      <c r="BC1951" t="s">
        <v>2365</v>
      </c>
      <c r="BD1951" t="s">
        <v>2366</v>
      </c>
      <c r="BE1951" t="s">
        <v>2365</v>
      </c>
      <c r="BF1951" t="s">
        <v>2365</v>
      </c>
      <c r="BG1951" t="s">
        <v>2365</v>
      </c>
      <c r="BH1951" t="s">
        <v>2365</v>
      </c>
      <c r="BI1951" t="s">
        <v>2366</v>
      </c>
      <c r="BJ1951" t="s">
        <v>2365</v>
      </c>
      <c r="BK1951" t="s">
        <v>2365</v>
      </c>
      <c r="BL1951" t="s">
        <v>2365</v>
      </c>
      <c r="BM1951" t="s">
        <v>2365</v>
      </c>
      <c r="BO1951">
        <v>1</v>
      </c>
      <c r="BP1951">
        <v>11</v>
      </c>
      <c r="BQ1951" t="s">
        <v>2369</v>
      </c>
      <c r="BR1951" t="s">
        <v>1487</v>
      </c>
      <c r="BU1951">
        <v>0</v>
      </c>
      <c r="BV1951">
        <v>0</v>
      </c>
      <c r="BW1951">
        <v>0</v>
      </c>
      <c r="BX1951">
        <v>0</v>
      </c>
      <c r="BY1951">
        <v>0</v>
      </c>
      <c r="BZ1951">
        <v>0</v>
      </c>
      <c r="CA1951">
        <v>0</v>
      </c>
      <c r="CB1951">
        <v>0</v>
      </c>
      <c r="CC1951">
        <v>0</v>
      </c>
      <c r="CD1951">
        <v>0</v>
      </c>
      <c r="CE1951">
        <v>0</v>
      </c>
      <c r="CF1951">
        <v>0</v>
      </c>
      <c r="CG1951">
        <v>0</v>
      </c>
      <c r="CH1951">
        <v>0</v>
      </c>
      <c r="CI1951">
        <v>0</v>
      </c>
      <c r="CJ1951">
        <v>0</v>
      </c>
      <c r="CK1951">
        <v>0</v>
      </c>
      <c r="CL1951">
        <v>0</v>
      </c>
      <c r="CM1951">
        <v>0</v>
      </c>
      <c r="CR1951" t="s">
        <v>2328</v>
      </c>
      <c r="CS1951" s="1369" t="str">
        <f>INDEX([8]Sheet1!$H:$H,MATCH(CR:CR,[8]Sheet1!$AU:$AU,0))</f>
        <v>Water Distribution</v>
      </c>
    </row>
    <row r="1952" spans="1:97" x14ac:dyDescent="0.2">
      <c r="A1952" t="s">
        <v>5180</v>
      </c>
      <c r="B1952">
        <v>2050</v>
      </c>
      <c r="C1952" t="s">
        <v>5180</v>
      </c>
      <c r="D1952">
        <v>55050</v>
      </c>
      <c r="E1952" t="s">
        <v>5181</v>
      </c>
      <c r="F1952" t="s">
        <v>2364</v>
      </c>
      <c r="G1952" t="s">
        <v>2364</v>
      </c>
      <c r="H1952" t="s">
        <v>2365</v>
      </c>
      <c r="I1952" t="s">
        <v>2365</v>
      </c>
      <c r="J1952" t="s">
        <v>2365</v>
      </c>
      <c r="K1952" t="s">
        <v>2365</v>
      </c>
      <c r="L1952">
        <v>1200</v>
      </c>
      <c r="M1952" t="s">
        <v>1480</v>
      </c>
      <c r="N1952">
        <v>1204</v>
      </c>
      <c r="O1952" t="s">
        <v>1487</v>
      </c>
      <c r="P1952" t="s">
        <v>2366</v>
      </c>
      <c r="Q1952" t="s">
        <v>2364</v>
      </c>
      <c r="R1952" t="s">
        <v>2364</v>
      </c>
      <c r="S1952" t="s">
        <v>553</v>
      </c>
      <c r="T1952" t="s">
        <v>2175</v>
      </c>
      <c r="U1952">
        <v>150</v>
      </c>
      <c r="V1952" t="s">
        <v>694</v>
      </c>
      <c r="W1952">
        <v>150</v>
      </c>
      <c r="X1952" t="s">
        <v>694</v>
      </c>
      <c r="Y1952" t="s">
        <v>2365</v>
      </c>
      <c r="Z1952" t="s">
        <v>2365</v>
      </c>
      <c r="AA1952" t="s">
        <v>2365</v>
      </c>
      <c r="AB1952" t="s">
        <v>2365</v>
      </c>
      <c r="AC1952" s="813" t="s">
        <v>2365</v>
      </c>
      <c r="AD1952" s="813" t="s">
        <v>2365</v>
      </c>
      <c r="AE1952" s="813" t="s">
        <v>2365</v>
      </c>
      <c r="AF1952" t="s">
        <v>2365</v>
      </c>
      <c r="AG1952" t="s">
        <v>2365</v>
      </c>
      <c r="AH1952" t="s">
        <v>2365</v>
      </c>
      <c r="AI1952" t="s">
        <v>2365</v>
      </c>
      <c r="AJ1952" t="s">
        <v>2365</v>
      </c>
      <c r="AK1952" t="s">
        <v>2365</v>
      </c>
      <c r="AL1952" t="s">
        <v>2365</v>
      </c>
      <c r="AM1952" t="s">
        <v>2365</v>
      </c>
      <c r="AN1952" t="s">
        <v>2365</v>
      </c>
      <c r="AR1952" t="s">
        <v>2365</v>
      </c>
      <c r="AS1952" t="s">
        <v>2365</v>
      </c>
      <c r="AT1952" t="s">
        <v>2365</v>
      </c>
      <c r="AU1952" t="s">
        <v>2365</v>
      </c>
      <c r="AV1952" t="s">
        <v>2365</v>
      </c>
      <c r="AW1952" t="s">
        <v>2365</v>
      </c>
      <c r="AX1952" t="s">
        <v>2365</v>
      </c>
      <c r="AY1952" t="s">
        <v>2365</v>
      </c>
      <c r="AZ1952" t="s">
        <v>2365</v>
      </c>
      <c r="BA1952" t="s">
        <v>2365</v>
      </c>
      <c r="BB1952" t="s">
        <v>2365</v>
      </c>
      <c r="BC1952" t="s">
        <v>2365</v>
      </c>
      <c r="BD1952" t="s">
        <v>2366</v>
      </c>
      <c r="BE1952" t="s">
        <v>2365</v>
      </c>
      <c r="BF1952" t="s">
        <v>2365</v>
      </c>
      <c r="BG1952" t="s">
        <v>2365</v>
      </c>
      <c r="BH1952" t="s">
        <v>2365</v>
      </c>
      <c r="BI1952" t="s">
        <v>2366</v>
      </c>
      <c r="BJ1952" t="s">
        <v>2365</v>
      </c>
      <c r="BK1952" t="s">
        <v>2365</v>
      </c>
      <c r="BL1952" t="s">
        <v>2365</v>
      </c>
      <c r="BM1952" t="s">
        <v>2365</v>
      </c>
      <c r="BO1952">
        <v>1</v>
      </c>
      <c r="BP1952">
        <v>11</v>
      </c>
      <c r="BQ1952" t="s">
        <v>2369</v>
      </c>
      <c r="BR1952" t="s">
        <v>1487</v>
      </c>
      <c r="BU1952">
        <v>0</v>
      </c>
      <c r="BV1952">
        <v>0</v>
      </c>
      <c r="BW1952">
        <v>0</v>
      </c>
      <c r="BX1952">
        <v>0</v>
      </c>
      <c r="BY1952">
        <v>0</v>
      </c>
      <c r="BZ1952">
        <v>0</v>
      </c>
      <c r="CA1952">
        <v>0</v>
      </c>
      <c r="CB1952">
        <v>0</v>
      </c>
      <c r="CC1952">
        <v>0</v>
      </c>
      <c r="CD1952">
        <v>0</v>
      </c>
      <c r="CE1952">
        <v>0</v>
      </c>
      <c r="CF1952">
        <v>0</v>
      </c>
      <c r="CG1952">
        <v>0</v>
      </c>
      <c r="CH1952">
        <v>0</v>
      </c>
      <c r="CI1952">
        <v>0</v>
      </c>
      <c r="CJ1952">
        <v>0</v>
      </c>
      <c r="CK1952">
        <v>0</v>
      </c>
      <c r="CL1952">
        <v>0</v>
      </c>
      <c r="CM1952">
        <v>0</v>
      </c>
      <c r="CR1952" t="s">
        <v>2330</v>
      </c>
      <c r="CS1952" s="1369" t="str">
        <f>INDEX([8]Sheet1!$H:$H,MATCH(CR:CR,[8]Sheet1!$AU:$AU,0))</f>
        <v>Water Treatment</v>
      </c>
    </row>
    <row r="1953" spans="1:97" x14ac:dyDescent="0.2">
      <c r="A1953" t="s">
        <v>5182</v>
      </c>
      <c r="B1953">
        <v>2051</v>
      </c>
      <c r="C1953" t="s">
        <v>5182</v>
      </c>
      <c r="D1953">
        <v>55051</v>
      </c>
      <c r="E1953" t="s">
        <v>5183</v>
      </c>
      <c r="F1953" t="s">
        <v>2364</v>
      </c>
      <c r="G1953" t="s">
        <v>2364</v>
      </c>
      <c r="H1953" t="s">
        <v>2365</v>
      </c>
      <c r="I1953" t="s">
        <v>2365</v>
      </c>
      <c r="J1953" t="s">
        <v>2365</v>
      </c>
      <c r="K1953" t="s">
        <v>2365</v>
      </c>
      <c r="L1953">
        <v>1200</v>
      </c>
      <c r="M1953" t="s">
        <v>1480</v>
      </c>
      <c r="N1953">
        <v>1204</v>
      </c>
      <c r="O1953" t="s">
        <v>1487</v>
      </c>
      <c r="P1953" t="s">
        <v>2366</v>
      </c>
      <c r="Q1953" t="s">
        <v>2364</v>
      </c>
      <c r="R1953" t="s">
        <v>2364</v>
      </c>
      <c r="S1953" t="s">
        <v>553</v>
      </c>
      <c r="T1953" t="s">
        <v>2175</v>
      </c>
      <c r="U1953">
        <v>140</v>
      </c>
      <c r="V1953" t="s">
        <v>693</v>
      </c>
      <c r="W1953">
        <v>140</v>
      </c>
      <c r="X1953" t="s">
        <v>693</v>
      </c>
      <c r="Y1953" t="s">
        <v>2365</v>
      </c>
      <c r="Z1953" t="s">
        <v>2365</v>
      </c>
      <c r="AA1953" t="s">
        <v>2365</v>
      </c>
      <c r="AB1953" t="s">
        <v>2365</v>
      </c>
      <c r="AC1953" s="813" t="s">
        <v>2365</v>
      </c>
      <c r="AD1953" s="813" t="s">
        <v>2365</v>
      </c>
      <c r="AE1953" s="813" t="s">
        <v>2365</v>
      </c>
      <c r="AF1953" t="s">
        <v>2365</v>
      </c>
      <c r="AG1953" t="s">
        <v>2365</v>
      </c>
      <c r="AH1953" t="s">
        <v>2365</v>
      </c>
      <c r="AI1953" t="s">
        <v>2365</v>
      </c>
      <c r="AJ1953" t="s">
        <v>2365</v>
      </c>
      <c r="AK1953" t="s">
        <v>2366</v>
      </c>
      <c r="AL1953" t="s">
        <v>2366</v>
      </c>
      <c r="AM1953" t="s">
        <v>2366</v>
      </c>
      <c r="AN1953" t="s">
        <v>2366</v>
      </c>
      <c r="AR1953" t="s">
        <v>2365</v>
      </c>
      <c r="AS1953" t="s">
        <v>2365</v>
      </c>
      <c r="AT1953" t="s">
        <v>2365</v>
      </c>
      <c r="AU1953" t="s">
        <v>2365</v>
      </c>
      <c r="AV1953" t="s">
        <v>2365</v>
      </c>
      <c r="AW1953" t="s">
        <v>2365</v>
      </c>
      <c r="AX1953" t="s">
        <v>2365</v>
      </c>
      <c r="AY1953" t="s">
        <v>2365</v>
      </c>
      <c r="AZ1953" t="s">
        <v>2365</v>
      </c>
      <c r="BA1953" t="s">
        <v>2365</v>
      </c>
      <c r="BB1953" t="s">
        <v>2365</v>
      </c>
      <c r="BC1953" t="s">
        <v>2365</v>
      </c>
      <c r="BD1953" t="s">
        <v>2366</v>
      </c>
      <c r="BE1953" t="s">
        <v>2365</v>
      </c>
      <c r="BF1953" t="s">
        <v>2365</v>
      </c>
      <c r="BG1953" t="s">
        <v>2365</v>
      </c>
      <c r="BH1953" t="s">
        <v>2365</v>
      </c>
      <c r="BI1953" t="s">
        <v>2366</v>
      </c>
      <c r="BJ1953" t="s">
        <v>2365</v>
      </c>
      <c r="BK1953" t="s">
        <v>2365</v>
      </c>
      <c r="BL1953" t="s">
        <v>2365</v>
      </c>
      <c r="BM1953" t="s">
        <v>2365</v>
      </c>
      <c r="BO1953">
        <v>1</v>
      </c>
      <c r="BP1953">
        <v>11</v>
      </c>
      <c r="BQ1953" t="s">
        <v>2369</v>
      </c>
      <c r="BR1953" t="s">
        <v>1487</v>
      </c>
      <c r="BU1953">
        <v>0</v>
      </c>
      <c r="BV1953">
        <v>0</v>
      </c>
      <c r="BW1953">
        <v>0</v>
      </c>
      <c r="BX1953">
        <v>0</v>
      </c>
      <c r="BY1953">
        <v>0</v>
      </c>
      <c r="BZ1953">
        <v>0</v>
      </c>
      <c r="CA1953">
        <v>0</v>
      </c>
      <c r="CB1953">
        <v>0</v>
      </c>
      <c r="CC1953">
        <v>0</v>
      </c>
      <c r="CD1953">
        <v>0</v>
      </c>
      <c r="CE1953">
        <v>0</v>
      </c>
      <c r="CF1953">
        <v>0</v>
      </c>
      <c r="CG1953">
        <v>0</v>
      </c>
      <c r="CH1953">
        <v>0</v>
      </c>
      <c r="CI1953">
        <v>0</v>
      </c>
      <c r="CJ1953">
        <v>0</v>
      </c>
      <c r="CK1953">
        <v>0</v>
      </c>
      <c r="CL1953">
        <v>0</v>
      </c>
      <c r="CM1953">
        <v>0</v>
      </c>
      <c r="CR1953" t="s">
        <v>2330</v>
      </c>
      <c r="CS1953" s="1369" t="str">
        <f>INDEX([8]Sheet1!$H:$H,MATCH(CR:CR,[8]Sheet1!$AU:$AU,0))</f>
        <v>Water Treatment</v>
      </c>
    </row>
    <row r="1954" spans="1:97" x14ac:dyDescent="0.2">
      <c r="A1954" t="s">
        <v>5184</v>
      </c>
      <c r="B1954">
        <v>2052</v>
      </c>
      <c r="C1954" t="s">
        <v>5184</v>
      </c>
      <c r="D1954">
        <v>55052</v>
      </c>
      <c r="E1954" t="s">
        <v>5185</v>
      </c>
      <c r="F1954" t="s">
        <v>2364</v>
      </c>
      <c r="G1954" t="s">
        <v>2364</v>
      </c>
      <c r="H1954" t="s">
        <v>2365</v>
      </c>
      <c r="I1954" t="s">
        <v>2365</v>
      </c>
      <c r="J1954" t="s">
        <v>2365</v>
      </c>
      <c r="K1954" t="s">
        <v>2365</v>
      </c>
      <c r="L1954">
        <v>1200</v>
      </c>
      <c r="M1954" t="s">
        <v>1480</v>
      </c>
      <c r="N1954">
        <v>1204</v>
      </c>
      <c r="O1954" t="s">
        <v>1487</v>
      </c>
      <c r="P1954" t="s">
        <v>2366</v>
      </c>
      <c r="Q1954" t="s">
        <v>2364</v>
      </c>
      <c r="R1954" t="s">
        <v>2364</v>
      </c>
      <c r="S1954" t="s">
        <v>553</v>
      </c>
      <c r="T1954" t="s">
        <v>2175</v>
      </c>
      <c r="U1954" t="s">
        <v>2366</v>
      </c>
      <c r="V1954" t="s">
        <v>2366</v>
      </c>
      <c r="W1954" t="s">
        <v>2366</v>
      </c>
      <c r="X1954" t="s">
        <v>2366</v>
      </c>
      <c r="Y1954" t="s">
        <v>2365</v>
      </c>
      <c r="Z1954" t="s">
        <v>2365</v>
      </c>
      <c r="AA1954" t="s">
        <v>2365</v>
      </c>
      <c r="AB1954" t="s">
        <v>2365</v>
      </c>
      <c r="AC1954" s="813" t="s">
        <v>2365</v>
      </c>
      <c r="AD1954" s="813" t="s">
        <v>2365</v>
      </c>
      <c r="AE1954" s="813" t="s">
        <v>2365</v>
      </c>
      <c r="AF1954" t="s">
        <v>2365</v>
      </c>
      <c r="AG1954" t="s">
        <v>2365</v>
      </c>
      <c r="AH1954" t="s">
        <v>2365</v>
      </c>
      <c r="AI1954" t="s">
        <v>2365</v>
      </c>
      <c r="AJ1954" t="s">
        <v>2365</v>
      </c>
      <c r="AK1954">
        <v>145</v>
      </c>
      <c r="AL1954" t="s">
        <v>1198</v>
      </c>
      <c r="AM1954">
        <v>145</v>
      </c>
      <c r="AN1954" t="s">
        <v>1198</v>
      </c>
      <c r="AR1954" t="s">
        <v>2365</v>
      </c>
      <c r="AS1954" t="s">
        <v>2365</v>
      </c>
      <c r="AT1954" t="s">
        <v>2365</v>
      </c>
      <c r="AU1954" t="s">
        <v>2365</v>
      </c>
      <c r="AV1954" t="s">
        <v>2365</v>
      </c>
      <c r="AW1954" t="s">
        <v>2365</v>
      </c>
      <c r="AX1954" t="s">
        <v>2365</v>
      </c>
      <c r="AY1954" t="s">
        <v>2365</v>
      </c>
      <c r="AZ1954" t="s">
        <v>2365</v>
      </c>
      <c r="BA1954" t="s">
        <v>2365</v>
      </c>
      <c r="BB1954" t="s">
        <v>2365</v>
      </c>
      <c r="BC1954" t="s">
        <v>2365</v>
      </c>
      <c r="BD1954" t="s">
        <v>2366</v>
      </c>
      <c r="BE1954" t="s">
        <v>2365</v>
      </c>
      <c r="BF1954" t="s">
        <v>2365</v>
      </c>
      <c r="BG1954" t="s">
        <v>2365</v>
      </c>
      <c r="BH1954" t="s">
        <v>2365</v>
      </c>
      <c r="BI1954" t="s">
        <v>2366</v>
      </c>
      <c r="BJ1954" t="s">
        <v>2365</v>
      </c>
      <c r="BK1954" t="s">
        <v>2365</v>
      </c>
      <c r="BL1954" t="s">
        <v>2365</v>
      </c>
      <c r="BM1954" t="s">
        <v>2365</v>
      </c>
      <c r="BO1954">
        <v>1</v>
      </c>
      <c r="BP1954">
        <v>11</v>
      </c>
      <c r="BQ1954" t="s">
        <v>2369</v>
      </c>
      <c r="BR1954" t="s">
        <v>1487</v>
      </c>
      <c r="BU1954">
        <v>0</v>
      </c>
      <c r="BV1954">
        <v>0</v>
      </c>
      <c r="BW1954">
        <v>0</v>
      </c>
      <c r="BX1954">
        <v>0</v>
      </c>
      <c r="BY1954">
        <v>0</v>
      </c>
      <c r="BZ1954">
        <v>0</v>
      </c>
      <c r="CA1954">
        <v>0</v>
      </c>
      <c r="CB1954">
        <v>0</v>
      </c>
      <c r="CC1954">
        <v>0</v>
      </c>
      <c r="CD1954">
        <v>0</v>
      </c>
      <c r="CE1954">
        <v>0</v>
      </c>
      <c r="CF1954">
        <v>0</v>
      </c>
      <c r="CG1954">
        <v>0</v>
      </c>
      <c r="CH1954">
        <v>0</v>
      </c>
      <c r="CI1954">
        <v>0</v>
      </c>
      <c r="CJ1954">
        <v>0</v>
      </c>
      <c r="CK1954">
        <v>0</v>
      </c>
      <c r="CL1954">
        <v>0</v>
      </c>
      <c r="CM1954">
        <v>0</v>
      </c>
      <c r="CR1954" t="s">
        <v>2330</v>
      </c>
      <c r="CS1954" s="1369" t="str">
        <f>INDEX([8]Sheet1!$H:$H,MATCH(CR:CR,[8]Sheet1!$AU:$AU,0))</f>
        <v>Water Treatment</v>
      </c>
    </row>
    <row r="1955" spans="1:97" x14ac:dyDescent="0.2">
      <c r="A1955" t="s">
        <v>5186</v>
      </c>
      <c r="B1955">
        <v>2053</v>
      </c>
      <c r="C1955" t="s">
        <v>5186</v>
      </c>
      <c r="D1955">
        <v>55053</v>
      </c>
      <c r="E1955" t="s">
        <v>5187</v>
      </c>
      <c r="F1955" t="s">
        <v>2364</v>
      </c>
      <c r="G1955" t="s">
        <v>2364</v>
      </c>
      <c r="H1955" t="s">
        <v>2365</v>
      </c>
      <c r="I1955" t="s">
        <v>2365</v>
      </c>
      <c r="J1955" t="s">
        <v>2365</v>
      </c>
      <c r="K1955" t="s">
        <v>2365</v>
      </c>
      <c r="L1955">
        <v>1200</v>
      </c>
      <c r="M1955" t="s">
        <v>1480</v>
      </c>
      <c r="N1955">
        <v>1204</v>
      </c>
      <c r="O1955" t="s">
        <v>1487</v>
      </c>
      <c r="P1955" t="s">
        <v>2366</v>
      </c>
      <c r="Q1955" t="s">
        <v>2364</v>
      </c>
      <c r="R1955" t="s">
        <v>2364</v>
      </c>
      <c r="S1955" t="s">
        <v>553</v>
      </c>
      <c r="T1955" t="s">
        <v>2175</v>
      </c>
      <c r="U1955" t="s">
        <v>2366</v>
      </c>
      <c r="V1955" t="s">
        <v>2366</v>
      </c>
      <c r="W1955" t="s">
        <v>2366</v>
      </c>
      <c r="X1955" t="s">
        <v>2366</v>
      </c>
      <c r="Y1955" t="s">
        <v>2365</v>
      </c>
      <c r="Z1955" t="s">
        <v>2365</v>
      </c>
      <c r="AA1955" t="s">
        <v>2365</v>
      </c>
      <c r="AB1955" t="s">
        <v>2365</v>
      </c>
      <c r="AC1955" s="813" t="s">
        <v>2365</v>
      </c>
      <c r="AD1955" s="813" t="s">
        <v>2365</v>
      </c>
      <c r="AE1955" s="813" t="s">
        <v>2365</v>
      </c>
      <c r="AF1955" t="s">
        <v>2365</v>
      </c>
      <c r="AG1955" t="s">
        <v>2365</v>
      </c>
      <c r="AH1955" t="s">
        <v>2365</v>
      </c>
      <c r="AI1955" t="s">
        <v>2365</v>
      </c>
      <c r="AJ1955" t="s">
        <v>2365</v>
      </c>
      <c r="AK1955">
        <v>145</v>
      </c>
      <c r="AL1955" t="s">
        <v>1198</v>
      </c>
      <c r="AM1955">
        <v>145</v>
      </c>
      <c r="AN1955" t="s">
        <v>1198</v>
      </c>
      <c r="AR1955" t="s">
        <v>2365</v>
      </c>
      <c r="AS1955" t="s">
        <v>2365</v>
      </c>
      <c r="AT1955" t="s">
        <v>2365</v>
      </c>
      <c r="AU1955" t="s">
        <v>2365</v>
      </c>
      <c r="AV1955" t="s">
        <v>2365</v>
      </c>
      <c r="AW1955" t="s">
        <v>2365</v>
      </c>
      <c r="AX1955" t="s">
        <v>2365</v>
      </c>
      <c r="AY1955" t="s">
        <v>2365</v>
      </c>
      <c r="AZ1955" t="s">
        <v>2365</v>
      </c>
      <c r="BA1955" t="s">
        <v>2365</v>
      </c>
      <c r="BB1955" t="s">
        <v>2365</v>
      </c>
      <c r="BC1955" t="s">
        <v>2365</v>
      </c>
      <c r="BD1955" t="s">
        <v>2366</v>
      </c>
      <c r="BE1955" t="s">
        <v>2365</v>
      </c>
      <c r="BF1955" t="s">
        <v>2365</v>
      </c>
      <c r="BG1955" t="s">
        <v>2365</v>
      </c>
      <c r="BH1955" t="s">
        <v>2365</v>
      </c>
      <c r="BI1955" t="s">
        <v>2366</v>
      </c>
      <c r="BJ1955" t="s">
        <v>2365</v>
      </c>
      <c r="BK1955" t="s">
        <v>2365</v>
      </c>
      <c r="BL1955" t="s">
        <v>2365</v>
      </c>
      <c r="BM1955" t="s">
        <v>2365</v>
      </c>
      <c r="BO1955">
        <v>1</v>
      </c>
      <c r="BP1955">
        <v>11</v>
      </c>
      <c r="BQ1955" t="s">
        <v>2369</v>
      </c>
      <c r="BR1955" t="s">
        <v>1487</v>
      </c>
      <c r="BU1955">
        <v>0</v>
      </c>
      <c r="BV1955">
        <v>0</v>
      </c>
      <c r="BW1955">
        <v>0</v>
      </c>
      <c r="BX1955">
        <v>0</v>
      </c>
      <c r="BY1955">
        <v>0</v>
      </c>
      <c r="BZ1955">
        <v>0</v>
      </c>
      <c r="CA1955">
        <v>0</v>
      </c>
      <c r="CB1955">
        <v>0</v>
      </c>
      <c r="CC1955">
        <v>0</v>
      </c>
      <c r="CD1955">
        <v>0</v>
      </c>
      <c r="CE1955">
        <v>0</v>
      </c>
      <c r="CF1955">
        <v>0</v>
      </c>
      <c r="CG1955">
        <v>0</v>
      </c>
      <c r="CH1955">
        <v>0</v>
      </c>
      <c r="CI1955">
        <v>0</v>
      </c>
      <c r="CJ1955">
        <v>0</v>
      </c>
      <c r="CK1955">
        <v>0</v>
      </c>
      <c r="CL1955">
        <v>0</v>
      </c>
      <c r="CM1955">
        <v>0</v>
      </c>
      <c r="CR1955" t="s">
        <v>2330</v>
      </c>
      <c r="CS1955" s="1369" t="str">
        <f>INDEX([8]Sheet1!$H:$H,MATCH(CR:CR,[8]Sheet1!$AU:$AU,0))</f>
        <v>Water Treatment</v>
      </c>
    </row>
    <row r="1956" spans="1:97" x14ac:dyDescent="0.2">
      <c r="A1956" t="s">
        <v>5188</v>
      </c>
      <c r="B1956">
        <v>2054</v>
      </c>
      <c r="C1956" t="s">
        <v>5188</v>
      </c>
      <c r="D1956">
        <v>55054</v>
      </c>
      <c r="E1956" t="s">
        <v>5189</v>
      </c>
      <c r="F1956" t="s">
        <v>2364</v>
      </c>
      <c r="G1956" t="s">
        <v>2364</v>
      </c>
      <c r="H1956" s="1373" t="s">
        <v>2365</v>
      </c>
      <c r="I1956" t="s">
        <v>2365</v>
      </c>
      <c r="J1956" t="s">
        <v>2365</v>
      </c>
      <c r="K1956" t="s">
        <v>2365</v>
      </c>
      <c r="L1956" s="1373">
        <v>1200</v>
      </c>
      <c r="M1956" t="s">
        <v>1480</v>
      </c>
      <c r="N1956">
        <v>1204</v>
      </c>
      <c r="O1956" t="s">
        <v>1487</v>
      </c>
      <c r="P1956" t="s">
        <v>2366</v>
      </c>
      <c r="Q1956" t="s">
        <v>2364</v>
      </c>
      <c r="R1956" t="s">
        <v>2364</v>
      </c>
      <c r="S1956" t="s">
        <v>553</v>
      </c>
      <c r="T1956" t="s">
        <v>2175</v>
      </c>
      <c r="U1956">
        <v>140</v>
      </c>
      <c r="V1956" t="s">
        <v>693</v>
      </c>
      <c r="W1956">
        <v>140</v>
      </c>
      <c r="X1956" t="s">
        <v>693</v>
      </c>
      <c r="Y1956" t="s">
        <v>2365</v>
      </c>
      <c r="Z1956" t="s">
        <v>2365</v>
      </c>
      <c r="AA1956" t="s">
        <v>2365</v>
      </c>
      <c r="AB1956" t="s">
        <v>2365</v>
      </c>
      <c r="AC1956" s="813" t="s">
        <v>2365</v>
      </c>
      <c r="AD1956" s="813" t="s">
        <v>2365</v>
      </c>
      <c r="AE1956" s="813" t="s">
        <v>2365</v>
      </c>
      <c r="AF1956" t="s">
        <v>2365</v>
      </c>
      <c r="AG1956" t="s">
        <v>2365</v>
      </c>
      <c r="AH1956" t="s">
        <v>2365</v>
      </c>
      <c r="AI1956" t="s">
        <v>2365</v>
      </c>
      <c r="AJ1956" t="s">
        <v>2365</v>
      </c>
      <c r="AK1956" t="s">
        <v>2366</v>
      </c>
      <c r="AL1956" t="s">
        <v>2366</v>
      </c>
      <c r="AM1956" t="s">
        <v>2366</v>
      </c>
      <c r="AN1956" t="s">
        <v>2366</v>
      </c>
      <c r="AR1956" t="s">
        <v>2365</v>
      </c>
      <c r="AS1956" t="s">
        <v>2365</v>
      </c>
      <c r="AT1956" t="s">
        <v>2365</v>
      </c>
      <c r="AU1956" t="s">
        <v>2365</v>
      </c>
      <c r="AV1956" t="s">
        <v>2365</v>
      </c>
      <c r="AW1956" t="s">
        <v>2365</v>
      </c>
      <c r="AX1956" t="s">
        <v>2365</v>
      </c>
      <c r="AY1956" t="s">
        <v>2365</v>
      </c>
      <c r="AZ1956" t="s">
        <v>2365</v>
      </c>
      <c r="BA1956" t="s">
        <v>2365</v>
      </c>
      <c r="BB1956" t="s">
        <v>2365</v>
      </c>
      <c r="BC1956" t="s">
        <v>2365</v>
      </c>
      <c r="BD1956" t="s">
        <v>2366</v>
      </c>
      <c r="BE1956" t="s">
        <v>2365</v>
      </c>
      <c r="BF1956" t="s">
        <v>2365</v>
      </c>
      <c r="BG1956" t="s">
        <v>2365</v>
      </c>
      <c r="BH1956" t="s">
        <v>2365</v>
      </c>
      <c r="BI1956" t="s">
        <v>2366</v>
      </c>
      <c r="BJ1956" t="s">
        <v>2365</v>
      </c>
      <c r="BK1956" t="s">
        <v>2365</v>
      </c>
      <c r="BL1956" t="s">
        <v>2365</v>
      </c>
      <c r="BM1956" t="s">
        <v>2365</v>
      </c>
      <c r="BO1956">
        <v>1</v>
      </c>
      <c r="BP1956">
        <v>11</v>
      </c>
      <c r="BQ1956" t="s">
        <v>2369</v>
      </c>
      <c r="BR1956" t="s">
        <v>1487</v>
      </c>
      <c r="BU1956" s="1371">
        <v>0</v>
      </c>
      <c r="BV1956" s="1371">
        <v>0</v>
      </c>
      <c r="BW1956" s="1371">
        <v>0</v>
      </c>
      <c r="BX1956" s="1371">
        <v>0</v>
      </c>
      <c r="BY1956" s="1371">
        <v>0</v>
      </c>
      <c r="BZ1956">
        <v>0</v>
      </c>
      <c r="CA1956">
        <v>0</v>
      </c>
      <c r="CB1956">
        <v>0</v>
      </c>
      <c r="CC1956">
        <v>0</v>
      </c>
      <c r="CD1956">
        <v>0</v>
      </c>
      <c r="CE1956">
        <v>0</v>
      </c>
      <c r="CF1956">
        <v>0</v>
      </c>
      <c r="CG1956">
        <v>0</v>
      </c>
      <c r="CH1956">
        <v>0</v>
      </c>
      <c r="CI1956">
        <v>0</v>
      </c>
      <c r="CJ1956">
        <v>0</v>
      </c>
      <c r="CK1956">
        <v>0</v>
      </c>
      <c r="CL1956">
        <v>0</v>
      </c>
      <c r="CM1956">
        <v>0</v>
      </c>
      <c r="CR1956" t="s">
        <v>2330</v>
      </c>
      <c r="CS1956" s="1369" t="str">
        <f>INDEX([8]Sheet1!$H:$H,MATCH(CR:CR,[8]Sheet1!$AU:$AU,0))</f>
        <v>Water Treatment</v>
      </c>
    </row>
    <row r="1957" spans="1:97" x14ac:dyDescent="0.2">
      <c r="A1957" t="s">
        <v>5190</v>
      </c>
      <c r="B1957">
        <v>2055</v>
      </c>
      <c r="C1957" t="s">
        <v>5190</v>
      </c>
      <c r="D1957">
        <v>55055</v>
      </c>
      <c r="E1957" t="s">
        <v>5191</v>
      </c>
      <c r="F1957" t="s">
        <v>2364</v>
      </c>
      <c r="G1957" t="s">
        <v>2364</v>
      </c>
      <c r="H1957" s="1373" t="s">
        <v>2365</v>
      </c>
      <c r="I1957" t="s">
        <v>2365</v>
      </c>
      <c r="J1957" t="s">
        <v>2365</v>
      </c>
      <c r="K1957" t="s">
        <v>2365</v>
      </c>
      <c r="L1957" s="1373">
        <v>1200</v>
      </c>
      <c r="M1957" t="s">
        <v>1480</v>
      </c>
      <c r="N1957">
        <v>1204</v>
      </c>
      <c r="O1957" t="s">
        <v>1487</v>
      </c>
      <c r="P1957" t="s">
        <v>2366</v>
      </c>
      <c r="Q1957" t="s">
        <v>2364</v>
      </c>
      <c r="R1957" t="s">
        <v>2364</v>
      </c>
      <c r="S1957" t="s">
        <v>553</v>
      </c>
      <c r="T1957" t="s">
        <v>2175</v>
      </c>
      <c r="U1957">
        <v>140</v>
      </c>
      <c r="V1957" t="s">
        <v>693</v>
      </c>
      <c r="W1957">
        <v>140</v>
      </c>
      <c r="X1957" t="s">
        <v>693</v>
      </c>
      <c r="Y1957" t="s">
        <v>2365</v>
      </c>
      <c r="Z1957" t="s">
        <v>2365</v>
      </c>
      <c r="AA1957" t="s">
        <v>2365</v>
      </c>
      <c r="AB1957" t="s">
        <v>2365</v>
      </c>
      <c r="AC1957" s="813" t="s">
        <v>2365</v>
      </c>
      <c r="AD1957" s="813" t="s">
        <v>2365</v>
      </c>
      <c r="AE1957" s="813" t="s">
        <v>2365</v>
      </c>
      <c r="AF1957" t="s">
        <v>2365</v>
      </c>
      <c r="AG1957" t="s">
        <v>2365</v>
      </c>
      <c r="AH1957" t="s">
        <v>2365</v>
      </c>
      <c r="AI1957" t="s">
        <v>2365</v>
      </c>
      <c r="AJ1957" t="s">
        <v>2365</v>
      </c>
      <c r="AK1957" t="s">
        <v>2366</v>
      </c>
      <c r="AL1957" t="s">
        <v>2366</v>
      </c>
      <c r="AM1957" t="s">
        <v>2366</v>
      </c>
      <c r="AN1957" t="s">
        <v>2366</v>
      </c>
      <c r="AR1957" t="s">
        <v>2365</v>
      </c>
      <c r="AS1957" t="s">
        <v>2365</v>
      </c>
      <c r="AT1957" t="s">
        <v>2365</v>
      </c>
      <c r="AU1957" t="s">
        <v>2365</v>
      </c>
      <c r="AV1957" t="s">
        <v>2365</v>
      </c>
      <c r="AW1957" t="s">
        <v>2365</v>
      </c>
      <c r="AX1957" t="s">
        <v>2365</v>
      </c>
      <c r="AY1957" t="s">
        <v>2365</v>
      </c>
      <c r="AZ1957" t="s">
        <v>2365</v>
      </c>
      <c r="BA1957" t="s">
        <v>2365</v>
      </c>
      <c r="BB1957" t="s">
        <v>2365</v>
      </c>
      <c r="BC1957" t="s">
        <v>2365</v>
      </c>
      <c r="BD1957" t="s">
        <v>2366</v>
      </c>
      <c r="BE1957" t="s">
        <v>2365</v>
      </c>
      <c r="BF1957" t="s">
        <v>2365</v>
      </c>
      <c r="BG1957" t="s">
        <v>2365</v>
      </c>
      <c r="BH1957" t="s">
        <v>2365</v>
      </c>
      <c r="BI1957" t="s">
        <v>2366</v>
      </c>
      <c r="BJ1957" t="s">
        <v>2365</v>
      </c>
      <c r="BK1957" t="s">
        <v>2365</v>
      </c>
      <c r="BL1957" t="s">
        <v>2365</v>
      </c>
      <c r="BM1957" t="s">
        <v>2365</v>
      </c>
      <c r="BO1957">
        <v>1</v>
      </c>
      <c r="BP1957">
        <v>11</v>
      </c>
      <c r="BQ1957" t="s">
        <v>2369</v>
      </c>
      <c r="BR1957" t="s">
        <v>1487</v>
      </c>
      <c r="BU1957" s="1371">
        <v>0</v>
      </c>
      <c r="BV1957" s="1371">
        <v>0</v>
      </c>
      <c r="BW1957" s="1371">
        <v>0</v>
      </c>
      <c r="BX1957" s="1371">
        <v>0</v>
      </c>
      <c r="BY1957" s="1371">
        <v>0</v>
      </c>
      <c r="BZ1957">
        <v>0</v>
      </c>
      <c r="CA1957">
        <v>0</v>
      </c>
      <c r="CB1957">
        <v>0</v>
      </c>
      <c r="CC1957">
        <v>0</v>
      </c>
      <c r="CD1957">
        <v>0</v>
      </c>
      <c r="CE1957">
        <v>0</v>
      </c>
      <c r="CF1957">
        <v>0</v>
      </c>
      <c r="CG1957">
        <v>0</v>
      </c>
      <c r="CH1957">
        <v>0</v>
      </c>
      <c r="CI1957">
        <v>0</v>
      </c>
      <c r="CJ1957">
        <v>0</v>
      </c>
      <c r="CK1957">
        <v>0</v>
      </c>
      <c r="CL1957">
        <v>0</v>
      </c>
      <c r="CM1957">
        <v>0</v>
      </c>
      <c r="CR1957" t="s">
        <v>2330</v>
      </c>
      <c r="CS1957" s="1369" t="str">
        <f>INDEX([8]Sheet1!$H:$H,MATCH(CR:CR,[8]Sheet1!$AU:$AU,0))</f>
        <v>Water Treatment</v>
      </c>
    </row>
    <row r="1958" spans="1:97" x14ac:dyDescent="0.2">
      <c r="A1958" t="s">
        <v>5192</v>
      </c>
      <c r="B1958">
        <v>2056</v>
      </c>
      <c r="C1958" t="s">
        <v>5192</v>
      </c>
      <c r="D1958">
        <v>55056</v>
      </c>
      <c r="E1958" t="s">
        <v>5193</v>
      </c>
      <c r="F1958" t="s">
        <v>2364</v>
      </c>
      <c r="G1958" t="s">
        <v>2364</v>
      </c>
      <c r="H1958" s="1373" t="s">
        <v>2365</v>
      </c>
      <c r="I1958" t="s">
        <v>2365</v>
      </c>
      <c r="J1958" t="s">
        <v>2365</v>
      </c>
      <c r="K1958" t="s">
        <v>2365</v>
      </c>
      <c r="L1958" s="1373">
        <v>1200</v>
      </c>
      <c r="M1958" t="s">
        <v>1480</v>
      </c>
      <c r="N1958">
        <v>1204</v>
      </c>
      <c r="O1958" t="s">
        <v>1487</v>
      </c>
      <c r="P1958" t="s">
        <v>2366</v>
      </c>
      <c r="Q1958" t="s">
        <v>2364</v>
      </c>
      <c r="R1958" t="s">
        <v>2364</v>
      </c>
      <c r="S1958" t="s">
        <v>553</v>
      </c>
      <c r="T1958" t="s">
        <v>2175</v>
      </c>
      <c r="U1958" t="s">
        <v>2366</v>
      </c>
      <c r="V1958" t="s">
        <v>2366</v>
      </c>
      <c r="W1958" t="s">
        <v>2366</v>
      </c>
      <c r="X1958" t="s">
        <v>2366</v>
      </c>
      <c r="Y1958" t="s">
        <v>2365</v>
      </c>
      <c r="Z1958" t="s">
        <v>2365</v>
      </c>
      <c r="AA1958" t="s">
        <v>2365</v>
      </c>
      <c r="AB1958" t="s">
        <v>2365</v>
      </c>
      <c r="AC1958" s="813" t="s">
        <v>2365</v>
      </c>
      <c r="AD1958" s="813" t="s">
        <v>2365</v>
      </c>
      <c r="AE1958" s="813" t="s">
        <v>2365</v>
      </c>
      <c r="AF1958" t="s">
        <v>2365</v>
      </c>
      <c r="AG1958" t="s">
        <v>2365</v>
      </c>
      <c r="AH1958" t="s">
        <v>2365</v>
      </c>
      <c r="AI1958" t="s">
        <v>2365</v>
      </c>
      <c r="AJ1958" t="s">
        <v>2365</v>
      </c>
      <c r="AK1958">
        <v>145</v>
      </c>
      <c r="AL1958" t="s">
        <v>1198</v>
      </c>
      <c r="AM1958">
        <v>145</v>
      </c>
      <c r="AN1958" t="s">
        <v>1198</v>
      </c>
      <c r="AR1958" t="s">
        <v>2365</v>
      </c>
      <c r="AS1958" t="s">
        <v>2365</v>
      </c>
      <c r="AT1958" t="s">
        <v>2365</v>
      </c>
      <c r="AU1958" t="s">
        <v>2365</v>
      </c>
      <c r="AV1958" t="s">
        <v>2365</v>
      </c>
      <c r="AW1958" t="s">
        <v>2365</v>
      </c>
      <c r="AX1958" t="s">
        <v>2365</v>
      </c>
      <c r="AY1958" t="s">
        <v>2365</v>
      </c>
      <c r="AZ1958" t="s">
        <v>2365</v>
      </c>
      <c r="BA1958" t="s">
        <v>2365</v>
      </c>
      <c r="BB1958" t="s">
        <v>2365</v>
      </c>
      <c r="BC1958" t="s">
        <v>2365</v>
      </c>
      <c r="BD1958" t="s">
        <v>2366</v>
      </c>
      <c r="BE1958" t="s">
        <v>2365</v>
      </c>
      <c r="BF1958" t="s">
        <v>2365</v>
      </c>
      <c r="BG1958" t="s">
        <v>2365</v>
      </c>
      <c r="BH1958" t="s">
        <v>2365</v>
      </c>
      <c r="BI1958" t="s">
        <v>2366</v>
      </c>
      <c r="BJ1958" t="s">
        <v>2365</v>
      </c>
      <c r="BK1958" t="s">
        <v>2365</v>
      </c>
      <c r="BL1958" t="s">
        <v>2365</v>
      </c>
      <c r="BM1958" t="s">
        <v>2365</v>
      </c>
      <c r="BO1958">
        <v>1</v>
      </c>
      <c r="BP1958">
        <v>11</v>
      </c>
      <c r="BQ1958" t="s">
        <v>2369</v>
      </c>
      <c r="BR1958" t="s">
        <v>1487</v>
      </c>
      <c r="BU1958" s="1371">
        <v>0</v>
      </c>
      <c r="BV1958" s="1371">
        <v>0</v>
      </c>
      <c r="BW1958" s="1371">
        <v>0</v>
      </c>
      <c r="BX1958" s="1371">
        <v>0</v>
      </c>
      <c r="BY1958" s="1371">
        <v>0</v>
      </c>
      <c r="BZ1958">
        <v>0</v>
      </c>
      <c r="CA1958">
        <v>0</v>
      </c>
      <c r="CB1958">
        <v>0</v>
      </c>
      <c r="CC1958">
        <v>0</v>
      </c>
      <c r="CD1958">
        <v>0</v>
      </c>
      <c r="CE1958">
        <v>0</v>
      </c>
      <c r="CF1958">
        <v>0</v>
      </c>
      <c r="CG1958">
        <v>0</v>
      </c>
      <c r="CH1958">
        <v>0</v>
      </c>
      <c r="CI1958">
        <v>0</v>
      </c>
      <c r="CJ1958">
        <v>0</v>
      </c>
      <c r="CK1958">
        <v>0</v>
      </c>
      <c r="CL1958">
        <v>0</v>
      </c>
      <c r="CM1958">
        <v>0</v>
      </c>
      <c r="CR1958" t="s">
        <v>2330</v>
      </c>
      <c r="CS1958" s="1369" t="str">
        <f>INDEX([8]Sheet1!$H:$H,MATCH(CR:CR,[8]Sheet1!$AU:$AU,0))</f>
        <v>Water Treatment</v>
      </c>
    </row>
    <row r="1959" spans="1:97" x14ac:dyDescent="0.2">
      <c r="A1959" t="s">
        <v>5194</v>
      </c>
      <c r="B1959">
        <v>2057</v>
      </c>
      <c r="C1959" t="s">
        <v>5194</v>
      </c>
      <c r="D1959">
        <v>55057</v>
      </c>
      <c r="E1959" t="s">
        <v>5195</v>
      </c>
      <c r="F1959" t="s">
        <v>2364</v>
      </c>
      <c r="G1959" t="s">
        <v>2364</v>
      </c>
      <c r="H1959" t="s">
        <v>2365</v>
      </c>
      <c r="I1959" t="s">
        <v>2365</v>
      </c>
      <c r="J1959" t="s">
        <v>2365</v>
      </c>
      <c r="K1959" t="s">
        <v>2365</v>
      </c>
      <c r="L1959">
        <v>1200</v>
      </c>
      <c r="M1959" t="s">
        <v>1480</v>
      </c>
      <c r="N1959">
        <v>1204</v>
      </c>
      <c r="O1959" t="s">
        <v>1487</v>
      </c>
      <c r="P1959" t="s">
        <v>2366</v>
      </c>
      <c r="Q1959" t="s">
        <v>2364</v>
      </c>
      <c r="R1959" t="s">
        <v>2364</v>
      </c>
      <c r="S1959" t="s">
        <v>553</v>
      </c>
      <c r="T1959" t="s">
        <v>2175</v>
      </c>
      <c r="U1959">
        <v>140</v>
      </c>
      <c r="V1959" t="s">
        <v>693</v>
      </c>
      <c r="W1959">
        <v>140</v>
      </c>
      <c r="X1959" t="s">
        <v>693</v>
      </c>
      <c r="Y1959" t="s">
        <v>2365</v>
      </c>
      <c r="Z1959" t="s">
        <v>2365</v>
      </c>
      <c r="AA1959" t="s">
        <v>2365</v>
      </c>
      <c r="AB1959" t="s">
        <v>2365</v>
      </c>
      <c r="AC1959" s="813" t="s">
        <v>2365</v>
      </c>
      <c r="AD1959" s="813" t="s">
        <v>2365</v>
      </c>
      <c r="AE1959" s="813" t="s">
        <v>2365</v>
      </c>
      <c r="AF1959" t="s">
        <v>2365</v>
      </c>
      <c r="AG1959" t="s">
        <v>2365</v>
      </c>
      <c r="AH1959" t="s">
        <v>2365</v>
      </c>
      <c r="AI1959" t="s">
        <v>2365</v>
      </c>
      <c r="AJ1959" t="s">
        <v>2365</v>
      </c>
      <c r="AK1959" t="s">
        <v>2366</v>
      </c>
      <c r="AL1959" t="s">
        <v>2366</v>
      </c>
      <c r="AM1959" t="s">
        <v>2366</v>
      </c>
      <c r="AN1959" t="s">
        <v>2366</v>
      </c>
      <c r="AR1959" t="s">
        <v>2365</v>
      </c>
      <c r="AS1959" t="s">
        <v>2365</v>
      </c>
      <c r="AT1959" t="s">
        <v>2365</v>
      </c>
      <c r="AU1959" t="s">
        <v>2365</v>
      </c>
      <c r="AV1959" t="s">
        <v>2365</v>
      </c>
      <c r="AW1959" t="s">
        <v>2365</v>
      </c>
      <c r="AX1959" t="s">
        <v>2365</v>
      </c>
      <c r="AY1959" t="s">
        <v>2365</v>
      </c>
      <c r="AZ1959" t="s">
        <v>2365</v>
      </c>
      <c r="BA1959" t="s">
        <v>2365</v>
      </c>
      <c r="BB1959" t="s">
        <v>2365</v>
      </c>
      <c r="BC1959" t="s">
        <v>2365</v>
      </c>
      <c r="BD1959" t="s">
        <v>2366</v>
      </c>
      <c r="BE1959" t="s">
        <v>2365</v>
      </c>
      <c r="BF1959" t="s">
        <v>2365</v>
      </c>
      <c r="BG1959" t="s">
        <v>2365</v>
      </c>
      <c r="BH1959" t="s">
        <v>2365</v>
      </c>
      <c r="BI1959" t="s">
        <v>2366</v>
      </c>
      <c r="BJ1959" t="s">
        <v>2365</v>
      </c>
      <c r="BK1959" t="s">
        <v>2365</v>
      </c>
      <c r="BL1959" t="s">
        <v>2365</v>
      </c>
      <c r="BM1959" t="s">
        <v>2365</v>
      </c>
      <c r="BO1959">
        <v>1</v>
      </c>
      <c r="BP1959">
        <v>11</v>
      </c>
      <c r="BQ1959" t="s">
        <v>2369</v>
      </c>
      <c r="BR1959" t="s">
        <v>1487</v>
      </c>
      <c r="BU1959">
        <v>0</v>
      </c>
      <c r="BV1959">
        <v>0</v>
      </c>
      <c r="BW1959">
        <v>0</v>
      </c>
      <c r="BX1959">
        <v>0</v>
      </c>
      <c r="BY1959">
        <v>0</v>
      </c>
      <c r="BZ1959">
        <v>0</v>
      </c>
      <c r="CA1959">
        <v>0</v>
      </c>
      <c r="CB1959">
        <v>0</v>
      </c>
      <c r="CC1959">
        <v>0</v>
      </c>
      <c r="CD1959">
        <v>0</v>
      </c>
      <c r="CE1959">
        <v>0</v>
      </c>
      <c r="CF1959">
        <v>0</v>
      </c>
      <c r="CG1959">
        <v>0</v>
      </c>
      <c r="CH1959">
        <v>0</v>
      </c>
      <c r="CI1959">
        <v>0</v>
      </c>
      <c r="CJ1959">
        <v>0</v>
      </c>
      <c r="CK1959">
        <v>0</v>
      </c>
      <c r="CL1959">
        <v>0</v>
      </c>
      <c r="CM1959">
        <v>0</v>
      </c>
      <c r="CR1959" t="s">
        <v>2324</v>
      </c>
      <c r="CS1959" s="1369" t="str">
        <f>INDEX([8]Sheet1!$H:$H,MATCH(CR:CR,[8]Sheet1!$AU:$AU,0))</f>
        <v>Finance</v>
      </c>
    </row>
    <row r="1960" spans="1:97" x14ac:dyDescent="0.2">
      <c r="A1960" t="s">
        <v>5196</v>
      </c>
      <c r="B1960">
        <v>2058</v>
      </c>
      <c r="C1960" t="s">
        <v>5196</v>
      </c>
      <c r="D1960">
        <v>55058</v>
      </c>
      <c r="E1960" t="s">
        <v>5197</v>
      </c>
      <c r="F1960" t="s">
        <v>2364</v>
      </c>
      <c r="G1960" t="s">
        <v>2364</v>
      </c>
      <c r="H1960" t="s">
        <v>2365</v>
      </c>
      <c r="I1960" t="s">
        <v>2365</v>
      </c>
      <c r="J1960" t="s">
        <v>2365</v>
      </c>
      <c r="K1960" t="s">
        <v>2365</v>
      </c>
      <c r="L1960">
        <v>1200</v>
      </c>
      <c r="M1960" t="s">
        <v>1480</v>
      </c>
      <c r="N1960">
        <v>1204</v>
      </c>
      <c r="O1960" t="s">
        <v>1487</v>
      </c>
      <c r="P1960" t="s">
        <v>2366</v>
      </c>
      <c r="Q1960" t="s">
        <v>2364</v>
      </c>
      <c r="R1960" t="s">
        <v>2364</v>
      </c>
      <c r="S1960" t="s">
        <v>553</v>
      </c>
      <c r="T1960" t="s">
        <v>2175</v>
      </c>
      <c r="U1960" t="s">
        <v>2366</v>
      </c>
      <c r="V1960" t="s">
        <v>2366</v>
      </c>
      <c r="W1960" t="s">
        <v>2366</v>
      </c>
      <c r="X1960" t="s">
        <v>2366</v>
      </c>
      <c r="Y1960" t="s">
        <v>2365</v>
      </c>
      <c r="Z1960" t="s">
        <v>2365</v>
      </c>
      <c r="AA1960" t="s">
        <v>2365</v>
      </c>
      <c r="AB1960" t="s">
        <v>2365</v>
      </c>
      <c r="AC1960" s="813" t="s">
        <v>2365</v>
      </c>
      <c r="AD1960" s="813" t="s">
        <v>2365</v>
      </c>
      <c r="AE1960" s="813" t="s">
        <v>2365</v>
      </c>
      <c r="AF1960" t="s">
        <v>2365</v>
      </c>
      <c r="AG1960" t="s">
        <v>2365</v>
      </c>
      <c r="AH1960" t="s">
        <v>2365</v>
      </c>
      <c r="AI1960" t="s">
        <v>2365</v>
      </c>
      <c r="AJ1960" t="s">
        <v>2365</v>
      </c>
      <c r="AK1960">
        <v>145</v>
      </c>
      <c r="AL1960" t="s">
        <v>1198</v>
      </c>
      <c r="AM1960">
        <v>145</v>
      </c>
      <c r="AN1960" t="s">
        <v>1198</v>
      </c>
      <c r="AR1960" t="s">
        <v>2365</v>
      </c>
      <c r="AS1960" t="s">
        <v>2365</v>
      </c>
      <c r="AT1960" t="s">
        <v>2365</v>
      </c>
      <c r="AU1960" t="s">
        <v>2365</v>
      </c>
      <c r="AV1960" t="s">
        <v>2365</v>
      </c>
      <c r="AW1960" t="s">
        <v>2365</v>
      </c>
      <c r="AX1960" t="s">
        <v>2365</v>
      </c>
      <c r="AY1960" t="s">
        <v>2365</v>
      </c>
      <c r="AZ1960" t="s">
        <v>2365</v>
      </c>
      <c r="BA1960" t="s">
        <v>2365</v>
      </c>
      <c r="BB1960" t="s">
        <v>2365</v>
      </c>
      <c r="BC1960" t="s">
        <v>2365</v>
      </c>
      <c r="BD1960" t="s">
        <v>2366</v>
      </c>
      <c r="BE1960" t="s">
        <v>2365</v>
      </c>
      <c r="BF1960" t="s">
        <v>2365</v>
      </c>
      <c r="BG1960" t="s">
        <v>2365</v>
      </c>
      <c r="BH1960" t="s">
        <v>2365</v>
      </c>
      <c r="BI1960" t="s">
        <v>2366</v>
      </c>
      <c r="BJ1960" t="s">
        <v>2365</v>
      </c>
      <c r="BK1960" t="s">
        <v>2365</v>
      </c>
      <c r="BL1960" t="s">
        <v>2365</v>
      </c>
      <c r="BM1960" t="s">
        <v>2365</v>
      </c>
      <c r="BO1960">
        <v>1</v>
      </c>
      <c r="BP1960">
        <v>11</v>
      </c>
      <c r="BQ1960" t="s">
        <v>2369</v>
      </c>
      <c r="BR1960" t="s">
        <v>1487</v>
      </c>
      <c r="BU1960">
        <v>0</v>
      </c>
      <c r="BV1960">
        <v>0</v>
      </c>
      <c r="BW1960">
        <v>0</v>
      </c>
      <c r="BX1960">
        <v>0</v>
      </c>
      <c r="BY1960">
        <v>0</v>
      </c>
      <c r="BZ1960">
        <v>0</v>
      </c>
      <c r="CA1960">
        <v>0</v>
      </c>
      <c r="CB1960">
        <v>0</v>
      </c>
      <c r="CC1960">
        <v>0</v>
      </c>
      <c r="CD1960">
        <v>0</v>
      </c>
      <c r="CE1960">
        <v>0</v>
      </c>
      <c r="CF1960">
        <v>0</v>
      </c>
      <c r="CG1960">
        <v>0</v>
      </c>
      <c r="CH1960">
        <v>0</v>
      </c>
      <c r="CI1960">
        <v>0</v>
      </c>
      <c r="CJ1960">
        <v>0</v>
      </c>
      <c r="CK1960">
        <v>0</v>
      </c>
      <c r="CL1960">
        <v>0</v>
      </c>
      <c r="CM1960">
        <v>0</v>
      </c>
      <c r="CR1960" t="s">
        <v>2320</v>
      </c>
      <c r="CS1960" s="1369" t="str">
        <f>INDEX([8]Sheet1!$H:$H,MATCH(CR:CR,[8]Sheet1!$AU:$AU,0))</f>
        <v>Administrative and Corporate Support</v>
      </c>
    </row>
    <row r="1961" spans="1:97" x14ac:dyDescent="0.2">
      <c r="A1961" t="s">
        <v>5198</v>
      </c>
      <c r="B1961">
        <v>2059</v>
      </c>
      <c r="C1961" t="s">
        <v>5198</v>
      </c>
      <c r="D1961">
        <v>55059</v>
      </c>
      <c r="E1961" t="s">
        <v>5199</v>
      </c>
      <c r="F1961" t="s">
        <v>2364</v>
      </c>
      <c r="G1961" t="s">
        <v>2364</v>
      </c>
      <c r="H1961" t="s">
        <v>2365</v>
      </c>
      <c r="I1961" t="s">
        <v>2365</v>
      </c>
      <c r="J1961" t="s">
        <v>2365</v>
      </c>
      <c r="K1961" t="s">
        <v>2365</v>
      </c>
      <c r="L1961">
        <v>1200</v>
      </c>
      <c r="M1961" t="s">
        <v>1480</v>
      </c>
      <c r="N1961">
        <v>1204</v>
      </c>
      <c r="O1961" t="s">
        <v>1487</v>
      </c>
      <c r="P1961" t="s">
        <v>2366</v>
      </c>
      <c r="Q1961" t="s">
        <v>2364</v>
      </c>
      <c r="R1961" t="s">
        <v>2364</v>
      </c>
      <c r="S1961" t="s">
        <v>553</v>
      </c>
      <c r="T1961" t="s">
        <v>2175</v>
      </c>
      <c r="U1961">
        <v>140</v>
      </c>
      <c r="V1961" t="s">
        <v>693</v>
      </c>
      <c r="W1961">
        <v>140</v>
      </c>
      <c r="X1961" t="s">
        <v>693</v>
      </c>
      <c r="Y1961" t="s">
        <v>2365</v>
      </c>
      <c r="Z1961" t="s">
        <v>2365</v>
      </c>
      <c r="AA1961" t="s">
        <v>2365</v>
      </c>
      <c r="AB1961" t="s">
        <v>2365</v>
      </c>
      <c r="AC1961" s="813" t="s">
        <v>2365</v>
      </c>
      <c r="AD1961" s="813" t="s">
        <v>2365</v>
      </c>
      <c r="AE1961" s="813" t="s">
        <v>2365</v>
      </c>
      <c r="AF1961" t="s">
        <v>2365</v>
      </c>
      <c r="AG1961" t="s">
        <v>2365</v>
      </c>
      <c r="AH1961" t="s">
        <v>2365</v>
      </c>
      <c r="AI1961" t="s">
        <v>2365</v>
      </c>
      <c r="AJ1961" t="s">
        <v>2365</v>
      </c>
      <c r="AK1961" t="s">
        <v>2366</v>
      </c>
      <c r="AL1961" t="s">
        <v>2366</v>
      </c>
      <c r="AM1961" t="s">
        <v>2366</v>
      </c>
      <c r="AN1961" t="s">
        <v>2366</v>
      </c>
      <c r="AR1961" t="s">
        <v>2365</v>
      </c>
      <c r="AS1961" t="s">
        <v>2365</v>
      </c>
      <c r="AT1961" t="s">
        <v>2365</v>
      </c>
      <c r="AU1961" t="s">
        <v>2365</v>
      </c>
      <c r="AV1961" t="s">
        <v>2365</v>
      </c>
      <c r="AW1961" t="s">
        <v>2365</v>
      </c>
      <c r="AX1961" t="s">
        <v>2365</v>
      </c>
      <c r="AY1961" t="s">
        <v>2365</v>
      </c>
      <c r="AZ1961" t="s">
        <v>2365</v>
      </c>
      <c r="BA1961" t="s">
        <v>2365</v>
      </c>
      <c r="BB1961" t="s">
        <v>2365</v>
      </c>
      <c r="BC1961" t="s">
        <v>2365</v>
      </c>
      <c r="BD1961" t="s">
        <v>2366</v>
      </c>
      <c r="BE1961" t="s">
        <v>2365</v>
      </c>
      <c r="BF1961" t="s">
        <v>2365</v>
      </c>
      <c r="BG1961" t="s">
        <v>2365</v>
      </c>
      <c r="BH1961" t="s">
        <v>2365</v>
      </c>
      <c r="BI1961" t="s">
        <v>2366</v>
      </c>
      <c r="BJ1961" t="s">
        <v>2365</v>
      </c>
      <c r="BK1961" t="s">
        <v>2365</v>
      </c>
      <c r="BL1961" t="s">
        <v>2365</v>
      </c>
      <c r="BM1961" t="s">
        <v>2365</v>
      </c>
      <c r="BO1961">
        <v>1</v>
      </c>
      <c r="BP1961">
        <v>11</v>
      </c>
      <c r="BQ1961" t="s">
        <v>2369</v>
      </c>
      <c r="BR1961" t="s">
        <v>1487</v>
      </c>
      <c r="BU1961">
        <v>0</v>
      </c>
      <c r="BV1961">
        <v>0</v>
      </c>
      <c r="BW1961">
        <v>0</v>
      </c>
      <c r="BX1961">
        <v>0</v>
      </c>
      <c r="BY1961">
        <v>0</v>
      </c>
      <c r="BZ1961">
        <v>0</v>
      </c>
      <c r="CA1961">
        <v>0</v>
      </c>
      <c r="CB1961">
        <v>0</v>
      </c>
      <c r="CC1961">
        <v>0</v>
      </c>
      <c r="CD1961">
        <v>0</v>
      </c>
      <c r="CE1961">
        <v>0</v>
      </c>
      <c r="CF1961">
        <v>0</v>
      </c>
      <c r="CG1961">
        <v>0</v>
      </c>
      <c r="CH1961">
        <v>0</v>
      </c>
      <c r="CI1961">
        <v>0</v>
      </c>
      <c r="CJ1961">
        <v>0</v>
      </c>
      <c r="CK1961">
        <v>0</v>
      </c>
      <c r="CL1961">
        <v>0</v>
      </c>
      <c r="CM1961">
        <v>0</v>
      </c>
      <c r="CR1961" t="s">
        <v>2328</v>
      </c>
      <c r="CS1961" s="1369" t="str">
        <f>INDEX([8]Sheet1!$H:$H,MATCH(CR:CR,[8]Sheet1!$AU:$AU,0))</f>
        <v>Water Distribution</v>
      </c>
    </row>
    <row r="1962" spans="1:97" x14ac:dyDescent="0.2">
      <c r="A1962" t="s">
        <v>5200</v>
      </c>
      <c r="B1962">
        <v>2060</v>
      </c>
      <c r="C1962" t="s">
        <v>5200</v>
      </c>
      <c r="D1962">
        <v>55060</v>
      </c>
      <c r="E1962" t="s">
        <v>5201</v>
      </c>
      <c r="F1962" t="s">
        <v>2364</v>
      </c>
      <c r="G1962" t="s">
        <v>2364</v>
      </c>
      <c r="H1962" t="s">
        <v>2365</v>
      </c>
      <c r="I1962" t="s">
        <v>2365</v>
      </c>
      <c r="J1962" t="s">
        <v>2365</v>
      </c>
      <c r="K1962" t="s">
        <v>2365</v>
      </c>
      <c r="L1962">
        <v>1200</v>
      </c>
      <c r="M1962" t="s">
        <v>1480</v>
      </c>
      <c r="N1962">
        <v>1204</v>
      </c>
      <c r="O1962" t="s">
        <v>1487</v>
      </c>
      <c r="P1962" t="s">
        <v>2366</v>
      </c>
      <c r="Q1962" t="s">
        <v>2364</v>
      </c>
      <c r="R1962" t="s">
        <v>2364</v>
      </c>
      <c r="S1962" t="s">
        <v>553</v>
      </c>
      <c r="T1962" t="s">
        <v>2175</v>
      </c>
      <c r="U1962" t="s">
        <v>2366</v>
      </c>
      <c r="V1962" t="s">
        <v>2366</v>
      </c>
      <c r="W1962" t="s">
        <v>2366</v>
      </c>
      <c r="X1962" t="s">
        <v>2366</v>
      </c>
      <c r="Y1962" t="s">
        <v>2365</v>
      </c>
      <c r="Z1962" t="s">
        <v>2365</v>
      </c>
      <c r="AA1962" t="s">
        <v>2365</v>
      </c>
      <c r="AB1962" t="s">
        <v>2365</v>
      </c>
      <c r="AC1962" s="813" t="s">
        <v>2365</v>
      </c>
      <c r="AD1962" s="813" t="s">
        <v>2365</v>
      </c>
      <c r="AE1962" s="813" t="s">
        <v>2365</v>
      </c>
      <c r="AF1962" t="s">
        <v>2365</v>
      </c>
      <c r="AG1962" t="s">
        <v>2365</v>
      </c>
      <c r="AH1962" t="s">
        <v>2365</v>
      </c>
      <c r="AI1962" t="s">
        <v>2365</v>
      </c>
      <c r="AJ1962" t="s">
        <v>2365</v>
      </c>
      <c r="AK1962">
        <v>145</v>
      </c>
      <c r="AL1962" t="s">
        <v>1198</v>
      </c>
      <c r="AM1962">
        <v>145</v>
      </c>
      <c r="AN1962" t="s">
        <v>1198</v>
      </c>
      <c r="AR1962" t="s">
        <v>2365</v>
      </c>
      <c r="AS1962" t="s">
        <v>2365</v>
      </c>
      <c r="AT1962" t="s">
        <v>2365</v>
      </c>
      <c r="AU1962" t="s">
        <v>2365</v>
      </c>
      <c r="AV1962" t="s">
        <v>2365</v>
      </c>
      <c r="AW1962" t="s">
        <v>2365</v>
      </c>
      <c r="AX1962" t="s">
        <v>2365</v>
      </c>
      <c r="AY1962" t="s">
        <v>2365</v>
      </c>
      <c r="AZ1962" t="s">
        <v>2365</v>
      </c>
      <c r="BA1962" t="s">
        <v>2365</v>
      </c>
      <c r="BB1962" t="s">
        <v>2365</v>
      </c>
      <c r="BC1962" t="s">
        <v>2365</v>
      </c>
      <c r="BD1962" t="s">
        <v>2366</v>
      </c>
      <c r="BE1962" t="s">
        <v>2365</v>
      </c>
      <c r="BF1962" t="s">
        <v>2365</v>
      </c>
      <c r="BG1962" t="s">
        <v>2365</v>
      </c>
      <c r="BH1962" t="s">
        <v>2365</v>
      </c>
      <c r="BI1962" t="s">
        <v>2366</v>
      </c>
      <c r="BJ1962" t="s">
        <v>2365</v>
      </c>
      <c r="BK1962" t="s">
        <v>2365</v>
      </c>
      <c r="BL1962" t="s">
        <v>2365</v>
      </c>
      <c r="BM1962" t="s">
        <v>2365</v>
      </c>
      <c r="BO1962">
        <v>1</v>
      </c>
      <c r="BP1962">
        <v>11</v>
      </c>
      <c r="BQ1962" t="s">
        <v>2369</v>
      </c>
      <c r="BR1962" t="s">
        <v>1487</v>
      </c>
      <c r="BU1962">
        <v>0</v>
      </c>
      <c r="BV1962">
        <v>0</v>
      </c>
      <c r="BW1962">
        <v>0</v>
      </c>
      <c r="BX1962">
        <v>0</v>
      </c>
      <c r="BY1962">
        <v>0</v>
      </c>
      <c r="BZ1962">
        <v>0</v>
      </c>
      <c r="CA1962">
        <v>0</v>
      </c>
      <c r="CB1962">
        <v>0</v>
      </c>
      <c r="CC1962">
        <v>0</v>
      </c>
      <c r="CD1962">
        <v>0</v>
      </c>
      <c r="CE1962">
        <v>0</v>
      </c>
      <c r="CF1962">
        <v>0</v>
      </c>
      <c r="CG1962">
        <v>0</v>
      </c>
      <c r="CH1962">
        <v>0</v>
      </c>
      <c r="CI1962">
        <v>0</v>
      </c>
      <c r="CJ1962">
        <v>0</v>
      </c>
      <c r="CK1962">
        <v>0</v>
      </c>
      <c r="CL1962">
        <v>0</v>
      </c>
      <c r="CM1962">
        <v>0</v>
      </c>
      <c r="CR1962" t="s">
        <v>2324</v>
      </c>
      <c r="CS1962" s="1369" t="str">
        <f>INDEX([8]Sheet1!$H:$H,MATCH(CR:CR,[8]Sheet1!$AU:$AU,0))</f>
        <v>Finance</v>
      </c>
    </row>
    <row r="1963" spans="1:97" x14ac:dyDescent="0.2">
      <c r="A1963" t="s">
        <v>5202</v>
      </c>
      <c r="B1963">
        <v>2061</v>
      </c>
      <c r="C1963" t="s">
        <v>5202</v>
      </c>
      <c r="D1963">
        <v>55061</v>
      </c>
      <c r="E1963" t="s">
        <v>5203</v>
      </c>
      <c r="F1963" t="s">
        <v>2364</v>
      </c>
      <c r="G1963" t="s">
        <v>2364</v>
      </c>
      <c r="H1963" t="s">
        <v>2365</v>
      </c>
      <c r="I1963" t="s">
        <v>2365</v>
      </c>
      <c r="J1963" t="s">
        <v>2365</v>
      </c>
      <c r="K1963" t="s">
        <v>2365</v>
      </c>
      <c r="L1963">
        <v>1200</v>
      </c>
      <c r="M1963" t="s">
        <v>1480</v>
      </c>
      <c r="N1963">
        <v>1204</v>
      </c>
      <c r="O1963" t="s">
        <v>1487</v>
      </c>
      <c r="P1963" t="s">
        <v>2366</v>
      </c>
      <c r="Q1963" t="s">
        <v>2364</v>
      </c>
      <c r="R1963" t="s">
        <v>2364</v>
      </c>
      <c r="S1963" t="s">
        <v>553</v>
      </c>
      <c r="T1963" t="s">
        <v>2175</v>
      </c>
      <c r="U1963" t="s">
        <v>2366</v>
      </c>
      <c r="V1963" t="s">
        <v>2366</v>
      </c>
      <c r="W1963" t="s">
        <v>2366</v>
      </c>
      <c r="X1963" t="s">
        <v>2366</v>
      </c>
      <c r="Y1963" t="s">
        <v>2365</v>
      </c>
      <c r="Z1963" t="s">
        <v>2365</v>
      </c>
      <c r="AA1963" t="s">
        <v>2365</v>
      </c>
      <c r="AB1963" t="s">
        <v>2365</v>
      </c>
      <c r="AC1963" s="813" t="s">
        <v>2365</v>
      </c>
      <c r="AD1963" s="813" t="s">
        <v>2365</v>
      </c>
      <c r="AE1963" s="813" t="s">
        <v>2365</v>
      </c>
      <c r="AF1963" t="s">
        <v>2365</v>
      </c>
      <c r="AG1963" t="s">
        <v>2365</v>
      </c>
      <c r="AH1963" t="s">
        <v>2365</v>
      </c>
      <c r="AI1963" t="s">
        <v>2365</v>
      </c>
      <c r="AJ1963" t="s">
        <v>2365</v>
      </c>
      <c r="AK1963">
        <v>145</v>
      </c>
      <c r="AL1963" t="s">
        <v>1198</v>
      </c>
      <c r="AM1963">
        <v>145</v>
      </c>
      <c r="AN1963" t="s">
        <v>1198</v>
      </c>
      <c r="AR1963" t="s">
        <v>2365</v>
      </c>
      <c r="AS1963" t="s">
        <v>2365</v>
      </c>
      <c r="AT1963" t="s">
        <v>2365</v>
      </c>
      <c r="AU1963" t="s">
        <v>2365</v>
      </c>
      <c r="AV1963" t="s">
        <v>2365</v>
      </c>
      <c r="AW1963" t="s">
        <v>2365</v>
      </c>
      <c r="AX1963" t="s">
        <v>2365</v>
      </c>
      <c r="AY1963" t="s">
        <v>2365</v>
      </c>
      <c r="AZ1963" t="s">
        <v>2365</v>
      </c>
      <c r="BA1963" t="s">
        <v>2365</v>
      </c>
      <c r="BB1963" t="s">
        <v>2365</v>
      </c>
      <c r="BC1963" t="s">
        <v>2365</v>
      </c>
      <c r="BD1963" t="s">
        <v>2366</v>
      </c>
      <c r="BE1963" t="s">
        <v>2365</v>
      </c>
      <c r="BF1963" t="s">
        <v>2365</v>
      </c>
      <c r="BG1963" t="s">
        <v>2365</v>
      </c>
      <c r="BH1963" t="s">
        <v>2365</v>
      </c>
      <c r="BI1963" t="s">
        <v>2366</v>
      </c>
      <c r="BJ1963" t="s">
        <v>2365</v>
      </c>
      <c r="BK1963" t="s">
        <v>2365</v>
      </c>
      <c r="BL1963" t="s">
        <v>2365</v>
      </c>
      <c r="BM1963" t="s">
        <v>2365</v>
      </c>
      <c r="BO1963">
        <v>1</v>
      </c>
      <c r="BP1963">
        <v>11</v>
      </c>
      <c r="BQ1963" t="s">
        <v>2369</v>
      </c>
      <c r="BR1963" t="s">
        <v>1487</v>
      </c>
      <c r="BU1963">
        <v>0</v>
      </c>
      <c r="BV1963">
        <v>0</v>
      </c>
      <c r="BW1963">
        <v>0</v>
      </c>
      <c r="BX1963">
        <v>0</v>
      </c>
      <c r="BY1963">
        <v>0</v>
      </c>
      <c r="BZ1963">
        <v>0</v>
      </c>
      <c r="CA1963">
        <v>0</v>
      </c>
      <c r="CB1963">
        <v>0</v>
      </c>
      <c r="CC1963">
        <v>0</v>
      </c>
      <c r="CD1963">
        <v>0</v>
      </c>
      <c r="CE1963">
        <v>0</v>
      </c>
      <c r="CF1963">
        <v>0</v>
      </c>
      <c r="CG1963">
        <v>0</v>
      </c>
      <c r="CH1963">
        <v>0</v>
      </c>
      <c r="CI1963">
        <v>0</v>
      </c>
      <c r="CJ1963">
        <v>0</v>
      </c>
      <c r="CK1963">
        <v>0</v>
      </c>
      <c r="CL1963">
        <v>0</v>
      </c>
      <c r="CM1963">
        <v>0</v>
      </c>
      <c r="CR1963" t="s">
        <v>2324</v>
      </c>
      <c r="CS1963" s="1369" t="str">
        <f>INDEX([8]Sheet1!$H:$H,MATCH(CR:CR,[8]Sheet1!$AU:$AU,0))</f>
        <v>Finance</v>
      </c>
    </row>
    <row r="1964" spans="1:97" x14ac:dyDescent="0.2">
      <c r="A1964" t="s">
        <v>5204</v>
      </c>
      <c r="B1964">
        <v>2062</v>
      </c>
      <c r="C1964" t="s">
        <v>5204</v>
      </c>
      <c r="D1964">
        <v>55062</v>
      </c>
      <c r="E1964" t="s">
        <v>5205</v>
      </c>
      <c r="F1964" t="s">
        <v>2364</v>
      </c>
      <c r="G1964" t="s">
        <v>2364</v>
      </c>
      <c r="H1964" t="s">
        <v>2365</v>
      </c>
      <c r="I1964" t="s">
        <v>2365</v>
      </c>
      <c r="J1964" t="s">
        <v>2365</v>
      </c>
      <c r="K1964" t="s">
        <v>2365</v>
      </c>
      <c r="L1964">
        <v>1200</v>
      </c>
      <c r="M1964" t="s">
        <v>1480</v>
      </c>
      <c r="N1964">
        <v>1204</v>
      </c>
      <c r="O1964" t="s">
        <v>1487</v>
      </c>
      <c r="P1964" t="s">
        <v>2366</v>
      </c>
      <c r="Q1964" t="s">
        <v>2364</v>
      </c>
      <c r="R1964" t="s">
        <v>2364</v>
      </c>
      <c r="S1964" t="s">
        <v>553</v>
      </c>
      <c r="T1964" t="s">
        <v>2175</v>
      </c>
      <c r="U1964">
        <v>140</v>
      </c>
      <c r="V1964" t="s">
        <v>693</v>
      </c>
      <c r="W1964">
        <v>140</v>
      </c>
      <c r="X1964" t="s">
        <v>693</v>
      </c>
      <c r="Y1964" t="s">
        <v>2365</v>
      </c>
      <c r="Z1964" t="s">
        <v>2365</v>
      </c>
      <c r="AA1964" t="s">
        <v>2365</v>
      </c>
      <c r="AB1964" t="s">
        <v>2365</v>
      </c>
      <c r="AC1964" s="813" t="s">
        <v>2365</v>
      </c>
      <c r="AD1964" s="813" t="s">
        <v>2365</v>
      </c>
      <c r="AE1964" s="813" t="s">
        <v>2365</v>
      </c>
      <c r="AF1964" t="s">
        <v>2365</v>
      </c>
      <c r="AG1964" t="s">
        <v>2365</v>
      </c>
      <c r="AH1964" t="s">
        <v>2365</v>
      </c>
      <c r="AI1964" t="s">
        <v>2365</v>
      </c>
      <c r="AJ1964" t="s">
        <v>2365</v>
      </c>
      <c r="AK1964" t="s">
        <v>2366</v>
      </c>
      <c r="AL1964" t="s">
        <v>2366</v>
      </c>
      <c r="AM1964" t="s">
        <v>2366</v>
      </c>
      <c r="AN1964" t="s">
        <v>2366</v>
      </c>
      <c r="AR1964" t="s">
        <v>2365</v>
      </c>
      <c r="AS1964" t="s">
        <v>2365</v>
      </c>
      <c r="AT1964" t="s">
        <v>2365</v>
      </c>
      <c r="AU1964" t="s">
        <v>2365</v>
      </c>
      <c r="AV1964" t="s">
        <v>2365</v>
      </c>
      <c r="AW1964" t="s">
        <v>2365</v>
      </c>
      <c r="AX1964" t="s">
        <v>2365</v>
      </c>
      <c r="AY1964" t="s">
        <v>2365</v>
      </c>
      <c r="AZ1964" t="s">
        <v>2365</v>
      </c>
      <c r="BA1964" t="s">
        <v>2365</v>
      </c>
      <c r="BB1964" t="s">
        <v>2365</v>
      </c>
      <c r="BC1964" t="s">
        <v>2365</v>
      </c>
      <c r="BD1964" t="s">
        <v>2366</v>
      </c>
      <c r="BE1964" t="s">
        <v>2365</v>
      </c>
      <c r="BF1964" t="s">
        <v>2365</v>
      </c>
      <c r="BG1964" t="s">
        <v>2365</v>
      </c>
      <c r="BH1964" t="s">
        <v>2365</v>
      </c>
      <c r="BI1964" t="s">
        <v>2366</v>
      </c>
      <c r="BJ1964" t="s">
        <v>2365</v>
      </c>
      <c r="BK1964" t="s">
        <v>2365</v>
      </c>
      <c r="BL1964" t="s">
        <v>2365</v>
      </c>
      <c r="BM1964" t="s">
        <v>2365</v>
      </c>
      <c r="BO1964">
        <v>1</v>
      </c>
      <c r="BP1964">
        <v>11</v>
      </c>
      <c r="BQ1964" t="s">
        <v>2369</v>
      </c>
      <c r="BR1964" t="s">
        <v>1487</v>
      </c>
      <c r="BU1964">
        <v>0</v>
      </c>
      <c r="BV1964">
        <v>0</v>
      </c>
      <c r="BW1964">
        <v>0</v>
      </c>
      <c r="BX1964">
        <v>0</v>
      </c>
      <c r="BY1964">
        <v>0</v>
      </c>
      <c r="BZ1964">
        <v>0</v>
      </c>
      <c r="CA1964">
        <v>0</v>
      </c>
      <c r="CB1964">
        <v>0</v>
      </c>
      <c r="CC1964">
        <v>0</v>
      </c>
      <c r="CD1964">
        <v>0</v>
      </c>
      <c r="CE1964">
        <v>0</v>
      </c>
      <c r="CF1964">
        <v>0</v>
      </c>
      <c r="CG1964">
        <v>0</v>
      </c>
      <c r="CH1964">
        <v>0</v>
      </c>
      <c r="CI1964">
        <v>0</v>
      </c>
      <c r="CJ1964">
        <v>0</v>
      </c>
      <c r="CK1964">
        <v>0</v>
      </c>
      <c r="CL1964">
        <v>0</v>
      </c>
      <c r="CM1964">
        <v>0</v>
      </c>
      <c r="CR1964" t="s">
        <v>2324</v>
      </c>
      <c r="CS1964" s="1369" t="str">
        <f>INDEX([8]Sheet1!$H:$H,MATCH(CR:CR,[8]Sheet1!$AU:$AU,0))</f>
        <v>Finance</v>
      </c>
    </row>
    <row r="1965" spans="1:97" x14ac:dyDescent="0.2">
      <c r="A1965" t="s">
        <v>5206</v>
      </c>
      <c r="B1965">
        <v>2063</v>
      </c>
      <c r="C1965" t="s">
        <v>5206</v>
      </c>
      <c r="D1965">
        <v>55063</v>
      </c>
      <c r="E1965" t="s">
        <v>5207</v>
      </c>
      <c r="F1965" t="s">
        <v>2364</v>
      </c>
      <c r="G1965" t="s">
        <v>2364</v>
      </c>
      <c r="H1965" t="s">
        <v>2365</v>
      </c>
      <c r="I1965" t="s">
        <v>2365</v>
      </c>
      <c r="J1965" t="s">
        <v>2365</v>
      </c>
      <c r="K1965" t="s">
        <v>2365</v>
      </c>
      <c r="L1965">
        <v>1200</v>
      </c>
      <c r="M1965" t="s">
        <v>1480</v>
      </c>
      <c r="N1965">
        <v>1204</v>
      </c>
      <c r="O1965" t="s">
        <v>1487</v>
      </c>
      <c r="P1965" t="s">
        <v>2366</v>
      </c>
      <c r="Q1965" t="s">
        <v>2364</v>
      </c>
      <c r="R1965" t="s">
        <v>2364</v>
      </c>
      <c r="S1965" t="s">
        <v>553</v>
      </c>
      <c r="T1965" t="s">
        <v>2175</v>
      </c>
      <c r="U1965">
        <v>140</v>
      </c>
      <c r="V1965" t="s">
        <v>693</v>
      </c>
      <c r="W1965">
        <v>140</v>
      </c>
      <c r="X1965" t="s">
        <v>693</v>
      </c>
      <c r="Y1965" t="s">
        <v>2365</v>
      </c>
      <c r="Z1965" t="s">
        <v>2365</v>
      </c>
      <c r="AA1965" t="s">
        <v>2365</v>
      </c>
      <c r="AB1965" t="s">
        <v>2365</v>
      </c>
      <c r="AC1965" s="813" t="s">
        <v>2365</v>
      </c>
      <c r="AD1965" s="813" t="s">
        <v>2365</v>
      </c>
      <c r="AE1965" s="813" t="s">
        <v>2365</v>
      </c>
      <c r="AF1965" t="s">
        <v>2365</v>
      </c>
      <c r="AG1965" t="s">
        <v>2365</v>
      </c>
      <c r="AH1965" t="s">
        <v>2365</v>
      </c>
      <c r="AI1965" t="s">
        <v>2365</v>
      </c>
      <c r="AJ1965" t="s">
        <v>2365</v>
      </c>
      <c r="AK1965" t="s">
        <v>2366</v>
      </c>
      <c r="AL1965" t="s">
        <v>2366</v>
      </c>
      <c r="AM1965" t="s">
        <v>2366</v>
      </c>
      <c r="AN1965" t="s">
        <v>2366</v>
      </c>
      <c r="AR1965" t="s">
        <v>2365</v>
      </c>
      <c r="AS1965" t="s">
        <v>2365</v>
      </c>
      <c r="AT1965" t="s">
        <v>2365</v>
      </c>
      <c r="AU1965" t="s">
        <v>2365</v>
      </c>
      <c r="AV1965" t="s">
        <v>2365</v>
      </c>
      <c r="AW1965" t="s">
        <v>2365</v>
      </c>
      <c r="AX1965" t="s">
        <v>2365</v>
      </c>
      <c r="AY1965" t="s">
        <v>2365</v>
      </c>
      <c r="AZ1965" t="s">
        <v>2365</v>
      </c>
      <c r="BA1965" t="s">
        <v>2365</v>
      </c>
      <c r="BB1965" t="s">
        <v>2365</v>
      </c>
      <c r="BC1965" t="s">
        <v>2365</v>
      </c>
      <c r="BD1965" t="s">
        <v>2366</v>
      </c>
      <c r="BE1965" t="s">
        <v>2365</v>
      </c>
      <c r="BF1965" t="s">
        <v>2365</v>
      </c>
      <c r="BG1965" t="s">
        <v>2365</v>
      </c>
      <c r="BH1965" t="s">
        <v>2365</v>
      </c>
      <c r="BI1965" t="s">
        <v>2366</v>
      </c>
      <c r="BJ1965" t="s">
        <v>2365</v>
      </c>
      <c r="BK1965" t="s">
        <v>2365</v>
      </c>
      <c r="BL1965" t="s">
        <v>2365</v>
      </c>
      <c r="BM1965" t="s">
        <v>2365</v>
      </c>
      <c r="BO1965">
        <v>1</v>
      </c>
      <c r="BP1965">
        <v>11</v>
      </c>
      <c r="BQ1965" t="s">
        <v>2369</v>
      </c>
      <c r="BR1965" t="s">
        <v>1487</v>
      </c>
      <c r="BU1965">
        <v>0</v>
      </c>
      <c r="BV1965">
        <v>0</v>
      </c>
      <c r="BW1965">
        <v>0</v>
      </c>
      <c r="BX1965">
        <v>0</v>
      </c>
      <c r="BY1965">
        <v>0</v>
      </c>
      <c r="BZ1965">
        <v>0</v>
      </c>
      <c r="CA1965">
        <v>0</v>
      </c>
      <c r="CB1965">
        <v>0</v>
      </c>
      <c r="CC1965">
        <v>0</v>
      </c>
      <c r="CD1965">
        <v>0</v>
      </c>
      <c r="CE1965">
        <v>0</v>
      </c>
      <c r="CF1965">
        <v>0</v>
      </c>
      <c r="CG1965">
        <v>0</v>
      </c>
      <c r="CH1965">
        <v>0</v>
      </c>
      <c r="CI1965">
        <v>0</v>
      </c>
      <c r="CJ1965">
        <v>0</v>
      </c>
      <c r="CK1965">
        <v>0</v>
      </c>
      <c r="CL1965">
        <v>0</v>
      </c>
      <c r="CM1965">
        <v>0</v>
      </c>
      <c r="CR1965" t="s">
        <v>2324</v>
      </c>
      <c r="CS1965" s="1369" t="str">
        <f>INDEX([8]Sheet1!$H:$H,MATCH(CR:CR,[8]Sheet1!$AU:$AU,0))</f>
        <v>Finance</v>
      </c>
    </row>
    <row r="1966" spans="1:97" x14ac:dyDescent="0.2">
      <c r="A1966" t="s">
        <v>5208</v>
      </c>
      <c r="B1966">
        <v>2064</v>
      </c>
      <c r="C1966" t="s">
        <v>5208</v>
      </c>
      <c r="D1966">
        <v>55064</v>
      </c>
      <c r="E1966" t="s">
        <v>5209</v>
      </c>
      <c r="F1966" t="s">
        <v>2364</v>
      </c>
      <c r="G1966" t="s">
        <v>2364</v>
      </c>
      <c r="H1966" t="s">
        <v>2365</v>
      </c>
      <c r="I1966" t="s">
        <v>2365</v>
      </c>
      <c r="J1966" t="s">
        <v>2365</v>
      </c>
      <c r="K1966" t="s">
        <v>2365</v>
      </c>
      <c r="L1966">
        <v>1200</v>
      </c>
      <c r="M1966" t="s">
        <v>1480</v>
      </c>
      <c r="N1966">
        <v>1204</v>
      </c>
      <c r="O1966" t="s">
        <v>1487</v>
      </c>
      <c r="P1966" t="s">
        <v>2366</v>
      </c>
      <c r="Q1966" t="s">
        <v>2364</v>
      </c>
      <c r="R1966" t="s">
        <v>2364</v>
      </c>
      <c r="S1966" t="s">
        <v>553</v>
      </c>
      <c r="T1966" t="s">
        <v>2175</v>
      </c>
      <c r="U1966" t="s">
        <v>2366</v>
      </c>
      <c r="V1966" t="s">
        <v>2366</v>
      </c>
      <c r="W1966" t="s">
        <v>2366</v>
      </c>
      <c r="X1966" t="s">
        <v>2366</v>
      </c>
      <c r="Y1966" t="s">
        <v>2365</v>
      </c>
      <c r="Z1966" t="s">
        <v>2365</v>
      </c>
      <c r="AA1966" t="s">
        <v>2365</v>
      </c>
      <c r="AB1966" t="s">
        <v>2365</v>
      </c>
      <c r="AC1966" s="813" t="s">
        <v>2365</v>
      </c>
      <c r="AD1966" s="813" t="s">
        <v>2365</v>
      </c>
      <c r="AE1966" s="813" t="s">
        <v>2365</v>
      </c>
      <c r="AF1966" t="s">
        <v>2365</v>
      </c>
      <c r="AG1966" t="s">
        <v>2365</v>
      </c>
      <c r="AH1966" t="s">
        <v>2365</v>
      </c>
      <c r="AI1966" t="s">
        <v>2365</v>
      </c>
      <c r="AJ1966" t="s">
        <v>2365</v>
      </c>
      <c r="AK1966">
        <v>145</v>
      </c>
      <c r="AL1966" t="s">
        <v>1198</v>
      </c>
      <c r="AM1966">
        <v>145</v>
      </c>
      <c r="AN1966" t="s">
        <v>1198</v>
      </c>
      <c r="AR1966" t="s">
        <v>2365</v>
      </c>
      <c r="AS1966" t="s">
        <v>2365</v>
      </c>
      <c r="AT1966" t="s">
        <v>2365</v>
      </c>
      <c r="AU1966" t="s">
        <v>2365</v>
      </c>
      <c r="AV1966" t="s">
        <v>2365</v>
      </c>
      <c r="AW1966" t="s">
        <v>2365</v>
      </c>
      <c r="AX1966" t="s">
        <v>2365</v>
      </c>
      <c r="AY1966" t="s">
        <v>2365</v>
      </c>
      <c r="AZ1966" t="s">
        <v>2365</v>
      </c>
      <c r="BA1966" t="s">
        <v>2365</v>
      </c>
      <c r="BB1966" t="s">
        <v>2365</v>
      </c>
      <c r="BC1966" t="s">
        <v>2365</v>
      </c>
      <c r="BD1966" t="s">
        <v>2366</v>
      </c>
      <c r="BE1966" t="s">
        <v>2365</v>
      </c>
      <c r="BF1966" t="s">
        <v>2365</v>
      </c>
      <c r="BG1966" t="s">
        <v>2365</v>
      </c>
      <c r="BH1966" t="s">
        <v>2365</v>
      </c>
      <c r="BI1966" t="s">
        <v>2366</v>
      </c>
      <c r="BJ1966" t="s">
        <v>2365</v>
      </c>
      <c r="BK1966" t="s">
        <v>2365</v>
      </c>
      <c r="BL1966" t="s">
        <v>2365</v>
      </c>
      <c r="BM1966" t="s">
        <v>2365</v>
      </c>
      <c r="BO1966">
        <v>1</v>
      </c>
      <c r="BP1966">
        <v>11</v>
      </c>
      <c r="BQ1966" t="s">
        <v>2369</v>
      </c>
      <c r="BR1966" t="s">
        <v>1487</v>
      </c>
      <c r="BU1966">
        <v>0</v>
      </c>
      <c r="BV1966">
        <v>0</v>
      </c>
      <c r="BW1966">
        <v>0</v>
      </c>
      <c r="BX1966">
        <v>0</v>
      </c>
      <c r="BY1966">
        <v>0</v>
      </c>
      <c r="BZ1966">
        <v>0</v>
      </c>
      <c r="CA1966">
        <v>0</v>
      </c>
      <c r="CB1966">
        <v>0</v>
      </c>
      <c r="CC1966">
        <v>0</v>
      </c>
      <c r="CD1966">
        <v>0</v>
      </c>
      <c r="CE1966">
        <v>0</v>
      </c>
      <c r="CF1966">
        <v>0</v>
      </c>
      <c r="CG1966">
        <v>0</v>
      </c>
      <c r="CH1966">
        <v>0</v>
      </c>
      <c r="CI1966">
        <v>0</v>
      </c>
      <c r="CJ1966">
        <v>0</v>
      </c>
      <c r="CK1966">
        <v>0</v>
      </c>
      <c r="CL1966">
        <v>0</v>
      </c>
      <c r="CM1966">
        <v>0</v>
      </c>
      <c r="CR1966" t="s">
        <v>2324</v>
      </c>
      <c r="CS1966" s="1369" t="str">
        <f>INDEX([8]Sheet1!$H:$H,MATCH(CR:CR,[8]Sheet1!$AU:$AU,0))</f>
        <v>Finance</v>
      </c>
    </row>
    <row r="1967" spans="1:97" x14ac:dyDescent="0.2">
      <c r="A1967" t="s">
        <v>5210</v>
      </c>
      <c r="B1967">
        <v>2065</v>
      </c>
      <c r="C1967" t="s">
        <v>5210</v>
      </c>
      <c r="D1967">
        <v>55065</v>
      </c>
      <c r="E1967" t="s">
        <v>5211</v>
      </c>
      <c r="F1967" t="s">
        <v>2364</v>
      </c>
      <c r="G1967" t="s">
        <v>2364</v>
      </c>
      <c r="H1967" t="s">
        <v>2365</v>
      </c>
      <c r="I1967" t="s">
        <v>2365</v>
      </c>
      <c r="J1967" t="s">
        <v>2365</v>
      </c>
      <c r="K1967" t="s">
        <v>2365</v>
      </c>
      <c r="L1967">
        <v>1200</v>
      </c>
      <c r="M1967" t="s">
        <v>1480</v>
      </c>
      <c r="N1967">
        <v>1204</v>
      </c>
      <c r="O1967" t="s">
        <v>1487</v>
      </c>
      <c r="P1967" t="s">
        <v>2366</v>
      </c>
      <c r="Q1967" t="s">
        <v>2364</v>
      </c>
      <c r="R1967" t="s">
        <v>2364</v>
      </c>
      <c r="S1967" t="s">
        <v>553</v>
      </c>
      <c r="T1967" t="s">
        <v>2175</v>
      </c>
      <c r="U1967">
        <v>140</v>
      </c>
      <c r="V1967" t="s">
        <v>693</v>
      </c>
      <c r="W1967">
        <v>140</v>
      </c>
      <c r="X1967" t="s">
        <v>693</v>
      </c>
      <c r="Y1967" t="s">
        <v>2365</v>
      </c>
      <c r="Z1967" t="s">
        <v>2365</v>
      </c>
      <c r="AA1967" t="s">
        <v>2365</v>
      </c>
      <c r="AB1967" t="s">
        <v>2365</v>
      </c>
      <c r="AC1967" s="813" t="s">
        <v>2365</v>
      </c>
      <c r="AD1967" s="813" t="s">
        <v>2365</v>
      </c>
      <c r="AE1967" s="813" t="s">
        <v>2365</v>
      </c>
      <c r="AF1967" t="s">
        <v>2365</v>
      </c>
      <c r="AG1967" t="s">
        <v>2365</v>
      </c>
      <c r="AH1967" t="s">
        <v>2365</v>
      </c>
      <c r="AI1967" t="s">
        <v>2365</v>
      </c>
      <c r="AJ1967" t="s">
        <v>2365</v>
      </c>
      <c r="AK1967" t="s">
        <v>2366</v>
      </c>
      <c r="AL1967" t="s">
        <v>2366</v>
      </c>
      <c r="AM1967" t="s">
        <v>2366</v>
      </c>
      <c r="AN1967" t="s">
        <v>2366</v>
      </c>
      <c r="AR1967" t="s">
        <v>2365</v>
      </c>
      <c r="AS1967" t="s">
        <v>2365</v>
      </c>
      <c r="AT1967" t="s">
        <v>2365</v>
      </c>
      <c r="AU1967" t="s">
        <v>2365</v>
      </c>
      <c r="AV1967" t="s">
        <v>2365</v>
      </c>
      <c r="AW1967" t="s">
        <v>2365</v>
      </c>
      <c r="AX1967" t="s">
        <v>2365</v>
      </c>
      <c r="AY1967" t="s">
        <v>2365</v>
      </c>
      <c r="AZ1967" t="s">
        <v>2365</v>
      </c>
      <c r="BA1967" t="s">
        <v>2365</v>
      </c>
      <c r="BB1967" t="s">
        <v>2365</v>
      </c>
      <c r="BC1967" t="s">
        <v>2365</v>
      </c>
      <c r="BD1967" t="s">
        <v>2366</v>
      </c>
      <c r="BE1967" t="s">
        <v>2365</v>
      </c>
      <c r="BF1967" t="s">
        <v>2365</v>
      </c>
      <c r="BG1967" t="s">
        <v>2365</v>
      </c>
      <c r="BH1967" t="s">
        <v>2365</v>
      </c>
      <c r="BI1967" t="s">
        <v>2366</v>
      </c>
      <c r="BJ1967" t="s">
        <v>2365</v>
      </c>
      <c r="BK1967" t="s">
        <v>2365</v>
      </c>
      <c r="BL1967" t="s">
        <v>2365</v>
      </c>
      <c r="BM1967" t="s">
        <v>2365</v>
      </c>
      <c r="BO1967">
        <v>1</v>
      </c>
      <c r="BP1967">
        <v>11</v>
      </c>
      <c r="BQ1967" t="s">
        <v>2369</v>
      </c>
      <c r="BR1967" t="s">
        <v>1487</v>
      </c>
      <c r="BU1967">
        <v>0</v>
      </c>
      <c r="BV1967">
        <v>0</v>
      </c>
      <c r="BW1967">
        <v>0</v>
      </c>
      <c r="BX1967">
        <v>0</v>
      </c>
      <c r="BY1967">
        <v>0</v>
      </c>
      <c r="BZ1967">
        <v>0</v>
      </c>
      <c r="CA1967">
        <v>0</v>
      </c>
      <c r="CB1967">
        <v>0</v>
      </c>
      <c r="CC1967">
        <v>0</v>
      </c>
      <c r="CD1967">
        <v>0</v>
      </c>
      <c r="CE1967">
        <v>0</v>
      </c>
      <c r="CF1967">
        <v>0</v>
      </c>
      <c r="CG1967">
        <v>0</v>
      </c>
      <c r="CH1967">
        <v>0</v>
      </c>
      <c r="CI1967">
        <v>0</v>
      </c>
      <c r="CJ1967">
        <v>0</v>
      </c>
      <c r="CK1967">
        <v>0</v>
      </c>
      <c r="CL1967">
        <v>0</v>
      </c>
      <c r="CM1967">
        <v>0</v>
      </c>
      <c r="CR1967" t="s">
        <v>2324</v>
      </c>
      <c r="CS1967" s="1369" t="str">
        <f>INDEX([8]Sheet1!$H:$H,MATCH(CR:CR,[8]Sheet1!$AU:$AU,0))</f>
        <v>Finance</v>
      </c>
    </row>
    <row r="1968" spans="1:97" x14ac:dyDescent="0.2">
      <c r="A1968" t="s">
        <v>5212</v>
      </c>
      <c r="B1968">
        <v>2066</v>
      </c>
      <c r="C1968" t="s">
        <v>5212</v>
      </c>
      <c r="D1968">
        <v>55066</v>
      </c>
      <c r="E1968" t="s">
        <v>5213</v>
      </c>
      <c r="F1968" t="s">
        <v>2364</v>
      </c>
      <c r="G1968" t="s">
        <v>2364</v>
      </c>
      <c r="H1968" t="s">
        <v>2365</v>
      </c>
      <c r="I1968" t="s">
        <v>2365</v>
      </c>
      <c r="J1968" t="s">
        <v>2365</v>
      </c>
      <c r="K1968" t="s">
        <v>2365</v>
      </c>
      <c r="L1968">
        <v>1200</v>
      </c>
      <c r="M1968" t="s">
        <v>1480</v>
      </c>
      <c r="N1968">
        <v>1204</v>
      </c>
      <c r="O1968" t="s">
        <v>1487</v>
      </c>
      <c r="P1968" t="s">
        <v>2366</v>
      </c>
      <c r="Q1968" t="s">
        <v>2364</v>
      </c>
      <c r="R1968" t="s">
        <v>2364</v>
      </c>
      <c r="S1968" t="s">
        <v>553</v>
      </c>
      <c r="T1968" t="s">
        <v>2175</v>
      </c>
      <c r="U1968" t="s">
        <v>2366</v>
      </c>
      <c r="V1968" t="s">
        <v>2366</v>
      </c>
      <c r="W1968" t="s">
        <v>2366</v>
      </c>
      <c r="X1968" t="s">
        <v>2366</v>
      </c>
      <c r="Y1968" t="s">
        <v>2365</v>
      </c>
      <c r="Z1968" t="s">
        <v>2365</v>
      </c>
      <c r="AA1968" t="s">
        <v>2365</v>
      </c>
      <c r="AB1968" t="s">
        <v>2365</v>
      </c>
      <c r="AC1968" s="813" t="s">
        <v>2365</v>
      </c>
      <c r="AD1968" s="813" t="s">
        <v>2365</v>
      </c>
      <c r="AE1968" s="813" t="s">
        <v>2365</v>
      </c>
      <c r="AF1968" t="s">
        <v>2365</v>
      </c>
      <c r="AG1968" t="s">
        <v>2365</v>
      </c>
      <c r="AH1968" t="s">
        <v>2365</v>
      </c>
      <c r="AI1968" t="s">
        <v>2365</v>
      </c>
      <c r="AJ1968" t="s">
        <v>2365</v>
      </c>
      <c r="AK1968">
        <v>145</v>
      </c>
      <c r="AL1968" t="s">
        <v>1198</v>
      </c>
      <c r="AM1968">
        <v>145</v>
      </c>
      <c r="AN1968" t="s">
        <v>1198</v>
      </c>
      <c r="AR1968" t="s">
        <v>2365</v>
      </c>
      <c r="AS1968" t="s">
        <v>2365</v>
      </c>
      <c r="AT1968" t="s">
        <v>2365</v>
      </c>
      <c r="AU1968" t="s">
        <v>2365</v>
      </c>
      <c r="AV1968" t="s">
        <v>2365</v>
      </c>
      <c r="AW1968" t="s">
        <v>2365</v>
      </c>
      <c r="AX1968" t="s">
        <v>2365</v>
      </c>
      <c r="AY1968" t="s">
        <v>2365</v>
      </c>
      <c r="AZ1968" t="s">
        <v>2365</v>
      </c>
      <c r="BA1968" t="s">
        <v>2365</v>
      </c>
      <c r="BB1968" t="s">
        <v>2365</v>
      </c>
      <c r="BC1968" t="s">
        <v>2365</v>
      </c>
      <c r="BD1968" t="s">
        <v>2366</v>
      </c>
      <c r="BE1968" t="s">
        <v>2365</v>
      </c>
      <c r="BF1968" t="s">
        <v>2365</v>
      </c>
      <c r="BG1968" t="s">
        <v>2365</v>
      </c>
      <c r="BH1968" t="s">
        <v>2365</v>
      </c>
      <c r="BI1968" t="s">
        <v>2366</v>
      </c>
      <c r="BJ1968" t="s">
        <v>2365</v>
      </c>
      <c r="BK1968" t="s">
        <v>2365</v>
      </c>
      <c r="BL1968" t="s">
        <v>2365</v>
      </c>
      <c r="BM1968" t="s">
        <v>2365</v>
      </c>
      <c r="BO1968">
        <v>1</v>
      </c>
      <c r="BP1968">
        <v>11</v>
      </c>
      <c r="BQ1968" t="s">
        <v>2369</v>
      </c>
      <c r="BR1968" t="s">
        <v>1487</v>
      </c>
      <c r="BU1968">
        <v>0</v>
      </c>
      <c r="BV1968">
        <v>0</v>
      </c>
      <c r="BW1968">
        <v>0</v>
      </c>
      <c r="BX1968">
        <v>0</v>
      </c>
      <c r="BY1968">
        <v>0</v>
      </c>
      <c r="BZ1968">
        <v>0</v>
      </c>
      <c r="CA1968">
        <v>0</v>
      </c>
      <c r="CB1968">
        <v>0</v>
      </c>
      <c r="CC1968">
        <v>0</v>
      </c>
      <c r="CD1968">
        <v>0</v>
      </c>
      <c r="CE1968">
        <v>0</v>
      </c>
      <c r="CF1968">
        <v>0</v>
      </c>
      <c r="CG1968">
        <v>0</v>
      </c>
      <c r="CH1968">
        <v>0</v>
      </c>
      <c r="CI1968">
        <v>0</v>
      </c>
      <c r="CJ1968">
        <v>0</v>
      </c>
      <c r="CK1968">
        <v>0</v>
      </c>
      <c r="CL1968">
        <v>0</v>
      </c>
      <c r="CM1968">
        <v>0</v>
      </c>
      <c r="CR1968" t="s">
        <v>2324</v>
      </c>
      <c r="CS1968" s="1369" t="str">
        <f>INDEX([8]Sheet1!$H:$H,MATCH(CR:CR,[8]Sheet1!$AU:$AU,0))</f>
        <v>Finance</v>
      </c>
    </row>
    <row r="1969" spans="1:97" x14ac:dyDescent="0.2">
      <c r="A1969" t="s">
        <v>5214</v>
      </c>
      <c r="B1969">
        <v>2067</v>
      </c>
      <c r="C1969" t="s">
        <v>5214</v>
      </c>
      <c r="D1969">
        <v>55067</v>
      </c>
      <c r="E1969" t="s">
        <v>5215</v>
      </c>
      <c r="F1969" t="s">
        <v>2364</v>
      </c>
      <c r="G1969" t="s">
        <v>2364</v>
      </c>
      <c r="H1969" t="s">
        <v>2365</v>
      </c>
      <c r="I1969" t="s">
        <v>2365</v>
      </c>
      <c r="J1969" t="s">
        <v>2365</v>
      </c>
      <c r="K1969" t="s">
        <v>2365</v>
      </c>
      <c r="L1969">
        <v>1200</v>
      </c>
      <c r="M1969" t="s">
        <v>1480</v>
      </c>
      <c r="N1969">
        <v>1204</v>
      </c>
      <c r="O1969" t="s">
        <v>1487</v>
      </c>
      <c r="P1969" t="s">
        <v>2366</v>
      </c>
      <c r="Q1969" t="s">
        <v>2364</v>
      </c>
      <c r="R1969" t="s">
        <v>2364</v>
      </c>
      <c r="S1969" t="s">
        <v>553</v>
      </c>
      <c r="T1969" t="s">
        <v>2175</v>
      </c>
      <c r="U1969" t="s">
        <v>2366</v>
      </c>
      <c r="V1969" t="s">
        <v>2366</v>
      </c>
      <c r="W1969" t="s">
        <v>2366</v>
      </c>
      <c r="X1969" t="s">
        <v>2366</v>
      </c>
      <c r="Y1969" t="s">
        <v>2365</v>
      </c>
      <c r="Z1969" t="s">
        <v>2365</v>
      </c>
      <c r="AA1969" t="s">
        <v>2365</v>
      </c>
      <c r="AB1969" t="s">
        <v>2365</v>
      </c>
      <c r="AC1969" s="813" t="s">
        <v>2365</v>
      </c>
      <c r="AD1969" s="813" t="s">
        <v>2365</v>
      </c>
      <c r="AE1969" s="813" t="s">
        <v>2365</v>
      </c>
      <c r="AF1969" t="s">
        <v>2365</v>
      </c>
      <c r="AG1969" t="s">
        <v>2365</v>
      </c>
      <c r="AH1969" t="s">
        <v>2365</v>
      </c>
      <c r="AI1969" t="s">
        <v>2365</v>
      </c>
      <c r="AJ1969" t="s">
        <v>2365</v>
      </c>
      <c r="AK1969">
        <v>145</v>
      </c>
      <c r="AL1969" t="s">
        <v>1198</v>
      </c>
      <c r="AM1969">
        <v>145</v>
      </c>
      <c r="AN1969" t="s">
        <v>1198</v>
      </c>
      <c r="AR1969" t="s">
        <v>2365</v>
      </c>
      <c r="AS1969" t="s">
        <v>2365</v>
      </c>
      <c r="AT1969" t="s">
        <v>2365</v>
      </c>
      <c r="AU1969" t="s">
        <v>2365</v>
      </c>
      <c r="AV1969" t="s">
        <v>2365</v>
      </c>
      <c r="AW1969" t="s">
        <v>2365</v>
      </c>
      <c r="AX1969" t="s">
        <v>2365</v>
      </c>
      <c r="AY1969" t="s">
        <v>2365</v>
      </c>
      <c r="AZ1969" t="s">
        <v>2365</v>
      </c>
      <c r="BA1969" t="s">
        <v>2365</v>
      </c>
      <c r="BB1969" t="s">
        <v>2365</v>
      </c>
      <c r="BC1969" t="s">
        <v>2365</v>
      </c>
      <c r="BD1969" t="s">
        <v>2366</v>
      </c>
      <c r="BE1969" t="s">
        <v>2365</v>
      </c>
      <c r="BF1969" t="s">
        <v>2365</v>
      </c>
      <c r="BG1969" t="s">
        <v>2365</v>
      </c>
      <c r="BH1969" t="s">
        <v>2365</v>
      </c>
      <c r="BI1969" t="s">
        <v>2366</v>
      </c>
      <c r="BJ1969" t="s">
        <v>2365</v>
      </c>
      <c r="BK1969" t="s">
        <v>2365</v>
      </c>
      <c r="BL1969" t="s">
        <v>2365</v>
      </c>
      <c r="BM1969" t="s">
        <v>2365</v>
      </c>
      <c r="BO1969">
        <v>1</v>
      </c>
      <c r="BP1969">
        <v>11</v>
      </c>
      <c r="BQ1969" t="s">
        <v>2369</v>
      </c>
      <c r="BR1969" t="s">
        <v>1487</v>
      </c>
      <c r="BU1969">
        <v>0</v>
      </c>
      <c r="BV1969">
        <v>0</v>
      </c>
      <c r="BW1969">
        <v>0</v>
      </c>
      <c r="BX1969">
        <v>0</v>
      </c>
      <c r="BY1969">
        <v>0</v>
      </c>
      <c r="BZ1969">
        <v>0</v>
      </c>
      <c r="CA1969">
        <v>0</v>
      </c>
      <c r="CB1969">
        <v>0</v>
      </c>
      <c r="CC1969">
        <v>0</v>
      </c>
      <c r="CD1969">
        <v>0</v>
      </c>
      <c r="CE1969">
        <v>0</v>
      </c>
      <c r="CF1969">
        <v>0</v>
      </c>
      <c r="CG1969">
        <v>0</v>
      </c>
      <c r="CH1969">
        <v>0</v>
      </c>
      <c r="CI1969">
        <v>0</v>
      </c>
      <c r="CJ1969">
        <v>0</v>
      </c>
      <c r="CK1969">
        <v>0</v>
      </c>
      <c r="CL1969">
        <v>0</v>
      </c>
      <c r="CM1969">
        <v>0</v>
      </c>
      <c r="CR1969" t="s">
        <v>2324</v>
      </c>
      <c r="CS1969" s="1369" t="str">
        <f>INDEX([8]Sheet1!$H:$H,MATCH(CR:CR,[8]Sheet1!$AU:$AU,0))</f>
        <v>Finance</v>
      </c>
    </row>
    <row r="1970" spans="1:97" x14ac:dyDescent="0.2">
      <c r="A1970" t="s">
        <v>5216</v>
      </c>
      <c r="B1970">
        <v>2068</v>
      </c>
      <c r="C1970" t="s">
        <v>5216</v>
      </c>
      <c r="D1970">
        <v>55068</v>
      </c>
      <c r="E1970" t="s">
        <v>5217</v>
      </c>
      <c r="F1970" t="s">
        <v>2364</v>
      </c>
      <c r="G1970" t="s">
        <v>2364</v>
      </c>
      <c r="H1970" t="s">
        <v>2365</v>
      </c>
      <c r="I1970" t="s">
        <v>2365</v>
      </c>
      <c r="J1970" t="s">
        <v>2365</v>
      </c>
      <c r="K1970" t="s">
        <v>2365</v>
      </c>
      <c r="L1970">
        <v>1200</v>
      </c>
      <c r="M1970" t="s">
        <v>1480</v>
      </c>
      <c r="N1970">
        <v>1204</v>
      </c>
      <c r="O1970" t="s">
        <v>1487</v>
      </c>
      <c r="P1970" t="s">
        <v>2366</v>
      </c>
      <c r="Q1970" t="s">
        <v>2364</v>
      </c>
      <c r="R1970" t="s">
        <v>2364</v>
      </c>
      <c r="S1970" t="s">
        <v>553</v>
      </c>
      <c r="T1970" t="s">
        <v>2175</v>
      </c>
      <c r="U1970">
        <v>140</v>
      </c>
      <c r="V1970" t="s">
        <v>693</v>
      </c>
      <c r="W1970">
        <v>140</v>
      </c>
      <c r="X1970" t="s">
        <v>693</v>
      </c>
      <c r="Y1970" t="s">
        <v>2365</v>
      </c>
      <c r="Z1970" t="s">
        <v>2365</v>
      </c>
      <c r="AA1970" t="s">
        <v>2365</v>
      </c>
      <c r="AB1970" t="s">
        <v>2365</v>
      </c>
      <c r="AC1970" s="813" t="s">
        <v>2365</v>
      </c>
      <c r="AD1970" s="813" t="s">
        <v>2365</v>
      </c>
      <c r="AE1970" s="813" t="s">
        <v>2365</v>
      </c>
      <c r="AF1970" t="s">
        <v>2365</v>
      </c>
      <c r="AG1970" t="s">
        <v>2365</v>
      </c>
      <c r="AH1970" t="s">
        <v>2365</v>
      </c>
      <c r="AI1970" t="s">
        <v>2365</v>
      </c>
      <c r="AJ1970" t="s">
        <v>2365</v>
      </c>
      <c r="AK1970" t="s">
        <v>2366</v>
      </c>
      <c r="AL1970" t="s">
        <v>2366</v>
      </c>
      <c r="AM1970" t="s">
        <v>2366</v>
      </c>
      <c r="AN1970" t="s">
        <v>2366</v>
      </c>
      <c r="AR1970" t="s">
        <v>2365</v>
      </c>
      <c r="AS1970" t="s">
        <v>2365</v>
      </c>
      <c r="AT1970" t="s">
        <v>2365</v>
      </c>
      <c r="AU1970" t="s">
        <v>2365</v>
      </c>
      <c r="AV1970" t="s">
        <v>2365</v>
      </c>
      <c r="AW1970" t="s">
        <v>2365</v>
      </c>
      <c r="AX1970" t="s">
        <v>2365</v>
      </c>
      <c r="AY1970" t="s">
        <v>2365</v>
      </c>
      <c r="AZ1970" t="s">
        <v>2365</v>
      </c>
      <c r="BA1970" t="s">
        <v>2365</v>
      </c>
      <c r="BB1970" t="s">
        <v>2365</v>
      </c>
      <c r="BC1970" t="s">
        <v>2365</v>
      </c>
      <c r="BD1970" t="s">
        <v>2366</v>
      </c>
      <c r="BE1970" t="s">
        <v>2365</v>
      </c>
      <c r="BF1970" t="s">
        <v>2365</v>
      </c>
      <c r="BG1970" t="s">
        <v>2365</v>
      </c>
      <c r="BH1970" t="s">
        <v>2365</v>
      </c>
      <c r="BI1970" t="s">
        <v>2366</v>
      </c>
      <c r="BJ1970" t="s">
        <v>2365</v>
      </c>
      <c r="BK1970" t="s">
        <v>2365</v>
      </c>
      <c r="BL1970" t="s">
        <v>2365</v>
      </c>
      <c r="BM1970" t="s">
        <v>2365</v>
      </c>
      <c r="BO1970">
        <v>1</v>
      </c>
      <c r="BP1970">
        <v>11</v>
      </c>
      <c r="BQ1970" t="s">
        <v>2369</v>
      </c>
      <c r="BR1970" t="s">
        <v>1487</v>
      </c>
      <c r="BU1970">
        <v>0</v>
      </c>
      <c r="BV1970">
        <v>0</v>
      </c>
      <c r="BW1970">
        <v>0</v>
      </c>
      <c r="BX1970">
        <v>0</v>
      </c>
      <c r="BY1970">
        <v>0</v>
      </c>
      <c r="BZ1970">
        <v>0</v>
      </c>
      <c r="CA1970">
        <v>0</v>
      </c>
      <c r="CB1970">
        <v>0</v>
      </c>
      <c r="CC1970">
        <v>0</v>
      </c>
      <c r="CD1970">
        <v>0</v>
      </c>
      <c r="CE1970">
        <v>0</v>
      </c>
      <c r="CF1970">
        <v>0</v>
      </c>
      <c r="CG1970">
        <v>0</v>
      </c>
      <c r="CH1970">
        <v>0</v>
      </c>
      <c r="CI1970">
        <v>0</v>
      </c>
      <c r="CJ1970">
        <v>0</v>
      </c>
      <c r="CK1970">
        <v>0</v>
      </c>
      <c r="CL1970">
        <v>0</v>
      </c>
      <c r="CM1970">
        <v>0</v>
      </c>
      <c r="CR1970" t="s">
        <v>2324</v>
      </c>
      <c r="CS1970" s="1369" t="str">
        <f>INDEX([8]Sheet1!$H:$H,MATCH(CR:CR,[8]Sheet1!$AU:$AU,0))</f>
        <v>Finance</v>
      </c>
    </row>
    <row r="1971" spans="1:97" x14ac:dyDescent="0.2">
      <c r="A1971" t="s">
        <v>5218</v>
      </c>
      <c r="B1971">
        <v>2069</v>
      </c>
      <c r="C1971" t="s">
        <v>5218</v>
      </c>
      <c r="D1971">
        <v>55069</v>
      </c>
      <c r="E1971" t="s">
        <v>5072</v>
      </c>
      <c r="F1971" t="s">
        <v>2364</v>
      </c>
      <c r="G1971" t="s">
        <v>2364</v>
      </c>
      <c r="H1971" t="s">
        <v>2365</v>
      </c>
      <c r="I1971" t="s">
        <v>2365</v>
      </c>
      <c r="J1971" t="s">
        <v>2365</v>
      </c>
      <c r="K1971" t="s">
        <v>2365</v>
      </c>
      <c r="L1971">
        <v>1200</v>
      </c>
      <c r="M1971" t="s">
        <v>1480</v>
      </c>
      <c r="N1971">
        <v>1204</v>
      </c>
      <c r="O1971" t="s">
        <v>1487</v>
      </c>
      <c r="P1971" t="s">
        <v>2366</v>
      </c>
      <c r="Q1971" t="s">
        <v>2364</v>
      </c>
      <c r="R1971" t="s">
        <v>2364</v>
      </c>
      <c r="S1971" t="s">
        <v>553</v>
      </c>
      <c r="T1971" t="s">
        <v>2175</v>
      </c>
      <c r="U1971">
        <v>140</v>
      </c>
      <c r="V1971" t="s">
        <v>693</v>
      </c>
      <c r="W1971">
        <v>140</v>
      </c>
      <c r="X1971" t="s">
        <v>693</v>
      </c>
      <c r="Y1971" t="s">
        <v>2365</v>
      </c>
      <c r="Z1971" t="s">
        <v>2365</v>
      </c>
      <c r="AA1971" t="s">
        <v>2365</v>
      </c>
      <c r="AB1971" t="s">
        <v>2365</v>
      </c>
      <c r="AC1971" s="813" t="s">
        <v>2365</v>
      </c>
      <c r="AD1971" s="813" t="s">
        <v>2365</v>
      </c>
      <c r="AE1971" s="813" t="s">
        <v>2365</v>
      </c>
      <c r="AF1971" t="s">
        <v>2365</v>
      </c>
      <c r="AG1971" t="s">
        <v>2365</v>
      </c>
      <c r="AH1971" t="s">
        <v>2365</v>
      </c>
      <c r="AI1971" t="s">
        <v>2365</v>
      </c>
      <c r="AJ1971" t="s">
        <v>2365</v>
      </c>
      <c r="AK1971" t="s">
        <v>2366</v>
      </c>
      <c r="AL1971" t="s">
        <v>2366</v>
      </c>
      <c r="AM1971" t="s">
        <v>2366</v>
      </c>
      <c r="AN1971" t="s">
        <v>2366</v>
      </c>
      <c r="AR1971" t="s">
        <v>2365</v>
      </c>
      <c r="AS1971" t="s">
        <v>2365</v>
      </c>
      <c r="AT1971" t="s">
        <v>2365</v>
      </c>
      <c r="AU1971" t="s">
        <v>2365</v>
      </c>
      <c r="AV1971" t="s">
        <v>2365</v>
      </c>
      <c r="AW1971" t="s">
        <v>2365</v>
      </c>
      <c r="AX1971" t="s">
        <v>2365</v>
      </c>
      <c r="AY1971" t="s">
        <v>2365</v>
      </c>
      <c r="AZ1971" t="s">
        <v>2365</v>
      </c>
      <c r="BA1971" t="s">
        <v>2365</v>
      </c>
      <c r="BB1971" t="s">
        <v>2365</v>
      </c>
      <c r="BC1971" t="s">
        <v>2365</v>
      </c>
      <c r="BD1971" t="s">
        <v>2366</v>
      </c>
      <c r="BE1971" t="s">
        <v>2365</v>
      </c>
      <c r="BF1971" t="s">
        <v>2365</v>
      </c>
      <c r="BG1971" t="s">
        <v>2365</v>
      </c>
      <c r="BH1971" t="s">
        <v>2365</v>
      </c>
      <c r="BI1971" t="s">
        <v>2366</v>
      </c>
      <c r="BJ1971" t="s">
        <v>2365</v>
      </c>
      <c r="BK1971" t="s">
        <v>2365</v>
      </c>
      <c r="BL1971" t="s">
        <v>2365</v>
      </c>
      <c r="BM1971" t="s">
        <v>2365</v>
      </c>
      <c r="BO1971">
        <v>1</v>
      </c>
      <c r="BP1971">
        <v>11</v>
      </c>
      <c r="BQ1971" t="s">
        <v>2369</v>
      </c>
      <c r="BR1971" t="s">
        <v>1487</v>
      </c>
      <c r="BU1971">
        <v>0</v>
      </c>
      <c r="BV1971">
        <v>0</v>
      </c>
      <c r="BW1971">
        <v>0</v>
      </c>
      <c r="BX1971">
        <v>0</v>
      </c>
      <c r="BY1971">
        <v>0</v>
      </c>
      <c r="BZ1971">
        <v>0</v>
      </c>
      <c r="CA1971">
        <v>0</v>
      </c>
      <c r="CB1971">
        <v>0</v>
      </c>
      <c r="CC1971">
        <v>0</v>
      </c>
      <c r="CD1971">
        <v>0</v>
      </c>
      <c r="CE1971">
        <v>0</v>
      </c>
      <c r="CF1971">
        <v>0</v>
      </c>
      <c r="CG1971">
        <v>0</v>
      </c>
      <c r="CH1971">
        <v>0</v>
      </c>
      <c r="CI1971">
        <v>0</v>
      </c>
      <c r="CJ1971">
        <v>0</v>
      </c>
      <c r="CK1971">
        <v>0</v>
      </c>
      <c r="CL1971">
        <v>0</v>
      </c>
      <c r="CM1971">
        <v>0</v>
      </c>
      <c r="CR1971" t="s">
        <v>2324</v>
      </c>
      <c r="CS1971" s="1369" t="str">
        <f>INDEX([8]Sheet1!$H:$H,MATCH(CR:CR,[8]Sheet1!$AU:$AU,0))</f>
        <v>Finance</v>
      </c>
    </row>
    <row r="1972" spans="1:97" x14ac:dyDescent="0.2">
      <c r="A1972" t="s">
        <v>5219</v>
      </c>
      <c r="B1972">
        <v>2070</v>
      </c>
      <c r="C1972" t="s">
        <v>5219</v>
      </c>
      <c r="D1972">
        <v>55070</v>
      </c>
      <c r="E1972" t="s">
        <v>5220</v>
      </c>
      <c r="F1972" t="s">
        <v>2364</v>
      </c>
      <c r="G1972" t="s">
        <v>2364</v>
      </c>
      <c r="H1972" t="s">
        <v>2365</v>
      </c>
      <c r="I1972" t="s">
        <v>2365</v>
      </c>
      <c r="J1972" t="s">
        <v>2365</v>
      </c>
      <c r="K1972" t="s">
        <v>2365</v>
      </c>
      <c r="L1972">
        <v>1200</v>
      </c>
      <c r="M1972" t="s">
        <v>1480</v>
      </c>
      <c r="N1972">
        <v>1204</v>
      </c>
      <c r="O1972" t="s">
        <v>1487</v>
      </c>
      <c r="P1972" t="s">
        <v>2366</v>
      </c>
      <c r="Q1972" t="s">
        <v>2364</v>
      </c>
      <c r="R1972" t="s">
        <v>2364</v>
      </c>
      <c r="S1972" t="s">
        <v>553</v>
      </c>
      <c r="T1972" t="s">
        <v>2175</v>
      </c>
      <c r="U1972" t="s">
        <v>2366</v>
      </c>
      <c r="V1972" t="s">
        <v>2366</v>
      </c>
      <c r="W1972" t="s">
        <v>2366</v>
      </c>
      <c r="X1972" t="s">
        <v>2366</v>
      </c>
      <c r="Y1972" t="s">
        <v>2365</v>
      </c>
      <c r="Z1972" t="s">
        <v>2365</v>
      </c>
      <c r="AA1972" t="s">
        <v>2365</v>
      </c>
      <c r="AB1972" t="s">
        <v>2365</v>
      </c>
      <c r="AC1972" s="813" t="s">
        <v>2365</v>
      </c>
      <c r="AD1972" s="813" t="s">
        <v>2365</v>
      </c>
      <c r="AE1972" s="813" t="s">
        <v>2365</v>
      </c>
      <c r="AF1972" t="s">
        <v>2365</v>
      </c>
      <c r="AG1972" t="s">
        <v>2365</v>
      </c>
      <c r="AH1972" t="s">
        <v>2365</v>
      </c>
      <c r="AI1972" t="s">
        <v>2365</v>
      </c>
      <c r="AJ1972" t="s">
        <v>2365</v>
      </c>
      <c r="AK1972">
        <v>145</v>
      </c>
      <c r="AL1972" t="s">
        <v>1198</v>
      </c>
      <c r="AM1972">
        <v>145</v>
      </c>
      <c r="AN1972" t="s">
        <v>1198</v>
      </c>
      <c r="AR1972" t="s">
        <v>2365</v>
      </c>
      <c r="AS1972" t="s">
        <v>2365</v>
      </c>
      <c r="AT1972" t="s">
        <v>2365</v>
      </c>
      <c r="AU1972" t="s">
        <v>2365</v>
      </c>
      <c r="AV1972" t="s">
        <v>2365</v>
      </c>
      <c r="AW1972" t="s">
        <v>2365</v>
      </c>
      <c r="AX1972" t="s">
        <v>2365</v>
      </c>
      <c r="AY1972" t="s">
        <v>2365</v>
      </c>
      <c r="AZ1972" t="s">
        <v>2365</v>
      </c>
      <c r="BA1972" t="s">
        <v>2365</v>
      </c>
      <c r="BB1972" t="s">
        <v>2365</v>
      </c>
      <c r="BC1972" t="s">
        <v>2365</v>
      </c>
      <c r="BD1972" t="s">
        <v>2366</v>
      </c>
      <c r="BE1972" t="s">
        <v>2365</v>
      </c>
      <c r="BF1972" t="s">
        <v>2365</v>
      </c>
      <c r="BG1972" t="s">
        <v>2365</v>
      </c>
      <c r="BH1972" t="s">
        <v>2365</v>
      </c>
      <c r="BI1972" t="s">
        <v>2366</v>
      </c>
      <c r="BJ1972" t="s">
        <v>2365</v>
      </c>
      <c r="BK1972" t="s">
        <v>2365</v>
      </c>
      <c r="BL1972" t="s">
        <v>2365</v>
      </c>
      <c r="BM1972" t="s">
        <v>2365</v>
      </c>
      <c r="BO1972">
        <v>1</v>
      </c>
      <c r="BP1972">
        <v>11</v>
      </c>
      <c r="BQ1972" t="s">
        <v>2369</v>
      </c>
      <c r="BR1972" t="s">
        <v>1487</v>
      </c>
      <c r="BU1972">
        <v>0</v>
      </c>
      <c r="BV1972">
        <v>0</v>
      </c>
      <c r="BW1972">
        <v>0</v>
      </c>
      <c r="BX1972">
        <v>0</v>
      </c>
      <c r="BY1972">
        <v>0</v>
      </c>
      <c r="BZ1972">
        <v>0</v>
      </c>
      <c r="CA1972">
        <v>0</v>
      </c>
      <c r="CB1972">
        <v>0</v>
      </c>
      <c r="CC1972">
        <v>0</v>
      </c>
      <c r="CD1972">
        <v>0</v>
      </c>
      <c r="CE1972">
        <v>0</v>
      </c>
      <c r="CF1972">
        <v>0</v>
      </c>
      <c r="CG1972">
        <v>0</v>
      </c>
      <c r="CH1972">
        <v>0</v>
      </c>
      <c r="CI1972">
        <v>0</v>
      </c>
      <c r="CJ1972">
        <v>0</v>
      </c>
      <c r="CK1972">
        <v>0</v>
      </c>
      <c r="CL1972">
        <v>0</v>
      </c>
      <c r="CM1972">
        <v>0</v>
      </c>
      <c r="CR1972" t="s">
        <v>2325</v>
      </c>
      <c r="CS1972" s="1369" t="str">
        <f>INDEX([8]Sheet1!$H:$H,MATCH(CR:CR,[8]Sheet1!$AU:$AU,0))</f>
        <v>Asset Management</v>
      </c>
    </row>
    <row r="1973" spans="1:97" x14ac:dyDescent="0.2">
      <c r="A1973" t="s">
        <v>5221</v>
      </c>
      <c r="B1973">
        <v>2071</v>
      </c>
      <c r="C1973" t="s">
        <v>5221</v>
      </c>
      <c r="D1973">
        <v>55071</v>
      </c>
      <c r="E1973" t="s">
        <v>5222</v>
      </c>
      <c r="F1973" t="s">
        <v>2364</v>
      </c>
      <c r="G1973" t="s">
        <v>2364</v>
      </c>
      <c r="H1973" t="s">
        <v>2365</v>
      </c>
      <c r="I1973" t="s">
        <v>2365</v>
      </c>
      <c r="J1973" t="s">
        <v>2365</v>
      </c>
      <c r="K1973" t="s">
        <v>2365</v>
      </c>
      <c r="L1973">
        <v>1200</v>
      </c>
      <c r="M1973" t="s">
        <v>1480</v>
      </c>
      <c r="N1973">
        <v>1204</v>
      </c>
      <c r="O1973" t="s">
        <v>1487</v>
      </c>
      <c r="P1973" t="s">
        <v>2366</v>
      </c>
      <c r="Q1973" t="s">
        <v>2364</v>
      </c>
      <c r="R1973" t="s">
        <v>2364</v>
      </c>
      <c r="S1973" t="s">
        <v>553</v>
      </c>
      <c r="T1973" t="s">
        <v>2175</v>
      </c>
      <c r="U1973" t="s">
        <v>2366</v>
      </c>
      <c r="V1973" t="s">
        <v>2366</v>
      </c>
      <c r="W1973" t="s">
        <v>2366</v>
      </c>
      <c r="X1973" t="s">
        <v>2366</v>
      </c>
      <c r="Y1973" t="s">
        <v>2365</v>
      </c>
      <c r="Z1973" t="s">
        <v>2365</v>
      </c>
      <c r="AA1973" t="s">
        <v>2365</v>
      </c>
      <c r="AB1973" t="s">
        <v>2365</v>
      </c>
      <c r="AC1973" s="813" t="s">
        <v>2365</v>
      </c>
      <c r="AD1973" s="813" t="s">
        <v>2365</v>
      </c>
      <c r="AE1973" s="813" t="s">
        <v>2365</v>
      </c>
      <c r="AF1973" t="s">
        <v>2365</v>
      </c>
      <c r="AG1973" t="s">
        <v>2365</v>
      </c>
      <c r="AH1973" t="s">
        <v>2365</v>
      </c>
      <c r="AI1973" t="s">
        <v>2365</v>
      </c>
      <c r="AJ1973" t="s">
        <v>2365</v>
      </c>
      <c r="AK1973">
        <v>145</v>
      </c>
      <c r="AL1973" t="s">
        <v>1198</v>
      </c>
      <c r="AM1973">
        <v>145</v>
      </c>
      <c r="AN1973" t="s">
        <v>1198</v>
      </c>
      <c r="AR1973" t="s">
        <v>2365</v>
      </c>
      <c r="AS1973" t="s">
        <v>2365</v>
      </c>
      <c r="AT1973" t="s">
        <v>2365</v>
      </c>
      <c r="AU1973" t="s">
        <v>2365</v>
      </c>
      <c r="AV1973" t="s">
        <v>2365</v>
      </c>
      <c r="AW1973" t="s">
        <v>2365</v>
      </c>
      <c r="AX1973" t="s">
        <v>2365</v>
      </c>
      <c r="AY1973" t="s">
        <v>2365</v>
      </c>
      <c r="AZ1973" t="s">
        <v>2365</v>
      </c>
      <c r="BA1973" t="s">
        <v>2365</v>
      </c>
      <c r="BB1973" t="s">
        <v>2365</v>
      </c>
      <c r="BC1973" t="s">
        <v>2365</v>
      </c>
      <c r="BD1973" t="s">
        <v>2366</v>
      </c>
      <c r="BE1973" t="s">
        <v>2365</v>
      </c>
      <c r="BF1973" t="s">
        <v>2365</v>
      </c>
      <c r="BG1973" t="s">
        <v>2365</v>
      </c>
      <c r="BH1973" t="s">
        <v>2365</v>
      </c>
      <c r="BI1973" t="s">
        <v>2366</v>
      </c>
      <c r="BJ1973" t="s">
        <v>2365</v>
      </c>
      <c r="BK1973" t="s">
        <v>2365</v>
      </c>
      <c r="BL1973" t="s">
        <v>2365</v>
      </c>
      <c r="BM1973" t="s">
        <v>2365</v>
      </c>
      <c r="BO1973">
        <v>1</v>
      </c>
      <c r="BP1973">
        <v>11</v>
      </c>
      <c r="BQ1973" t="s">
        <v>2369</v>
      </c>
      <c r="BR1973" t="s">
        <v>1487</v>
      </c>
      <c r="BU1973">
        <v>0</v>
      </c>
      <c r="BV1973">
        <v>0</v>
      </c>
      <c r="BW1973">
        <v>0</v>
      </c>
      <c r="BX1973">
        <v>0</v>
      </c>
      <c r="BY1973">
        <v>0</v>
      </c>
      <c r="BZ1973">
        <v>0</v>
      </c>
      <c r="CA1973">
        <v>0</v>
      </c>
      <c r="CB1973">
        <v>0</v>
      </c>
      <c r="CC1973">
        <v>0</v>
      </c>
      <c r="CD1973">
        <v>0</v>
      </c>
      <c r="CE1973">
        <v>0</v>
      </c>
      <c r="CF1973">
        <v>0</v>
      </c>
      <c r="CG1973">
        <v>0</v>
      </c>
      <c r="CH1973">
        <v>0</v>
      </c>
      <c r="CI1973">
        <v>0</v>
      </c>
      <c r="CJ1973">
        <v>0</v>
      </c>
      <c r="CK1973">
        <v>0</v>
      </c>
      <c r="CL1973">
        <v>0</v>
      </c>
      <c r="CM1973">
        <v>0</v>
      </c>
      <c r="CR1973" t="s">
        <v>2325</v>
      </c>
      <c r="CS1973" s="1369" t="str">
        <f>INDEX([8]Sheet1!$H:$H,MATCH(CR:CR,[8]Sheet1!$AU:$AU,0))</f>
        <v>Asset Management</v>
      </c>
    </row>
    <row r="1974" spans="1:97" x14ac:dyDescent="0.2">
      <c r="A1974" t="s">
        <v>5223</v>
      </c>
      <c r="B1974">
        <v>2072</v>
      </c>
      <c r="C1974" t="s">
        <v>5223</v>
      </c>
      <c r="D1974">
        <v>55072</v>
      </c>
      <c r="E1974" t="s">
        <v>5224</v>
      </c>
      <c r="F1974" t="s">
        <v>2364</v>
      </c>
      <c r="G1974" t="s">
        <v>2364</v>
      </c>
      <c r="H1974" t="s">
        <v>2365</v>
      </c>
      <c r="I1974" t="s">
        <v>2365</v>
      </c>
      <c r="J1974" t="s">
        <v>2365</v>
      </c>
      <c r="K1974" t="s">
        <v>2365</v>
      </c>
      <c r="L1974">
        <v>1200</v>
      </c>
      <c r="M1974" t="s">
        <v>1480</v>
      </c>
      <c r="N1974">
        <v>1204</v>
      </c>
      <c r="O1974" t="s">
        <v>1487</v>
      </c>
      <c r="P1974" t="s">
        <v>2366</v>
      </c>
      <c r="Q1974" t="s">
        <v>2364</v>
      </c>
      <c r="R1974" t="s">
        <v>2364</v>
      </c>
      <c r="S1974" t="s">
        <v>553</v>
      </c>
      <c r="T1974" t="s">
        <v>2175</v>
      </c>
      <c r="U1974">
        <v>140</v>
      </c>
      <c r="V1974" t="s">
        <v>693</v>
      </c>
      <c r="W1974">
        <v>140</v>
      </c>
      <c r="X1974" t="s">
        <v>693</v>
      </c>
      <c r="Y1974" t="s">
        <v>2365</v>
      </c>
      <c r="Z1974" t="s">
        <v>2365</v>
      </c>
      <c r="AA1974" t="s">
        <v>2365</v>
      </c>
      <c r="AB1974" t="s">
        <v>2365</v>
      </c>
      <c r="AC1974" s="813" t="s">
        <v>2365</v>
      </c>
      <c r="AD1974" s="813" t="s">
        <v>2365</v>
      </c>
      <c r="AE1974" s="813" t="s">
        <v>2365</v>
      </c>
      <c r="AF1974" t="s">
        <v>2365</v>
      </c>
      <c r="AG1974" t="s">
        <v>2365</v>
      </c>
      <c r="AH1974" t="s">
        <v>2365</v>
      </c>
      <c r="AI1974" t="s">
        <v>2365</v>
      </c>
      <c r="AJ1974" t="s">
        <v>2365</v>
      </c>
      <c r="AK1974" t="s">
        <v>2366</v>
      </c>
      <c r="AL1974" t="s">
        <v>2366</v>
      </c>
      <c r="AM1974" t="s">
        <v>2366</v>
      </c>
      <c r="AN1974" t="s">
        <v>2366</v>
      </c>
      <c r="AR1974" t="s">
        <v>2365</v>
      </c>
      <c r="AS1974" t="s">
        <v>2365</v>
      </c>
      <c r="AT1974" t="s">
        <v>2365</v>
      </c>
      <c r="AU1974" t="s">
        <v>2365</v>
      </c>
      <c r="AV1974" t="s">
        <v>2365</v>
      </c>
      <c r="AW1974" t="s">
        <v>2365</v>
      </c>
      <c r="AX1974" t="s">
        <v>2365</v>
      </c>
      <c r="AY1974" t="s">
        <v>2365</v>
      </c>
      <c r="AZ1974" t="s">
        <v>2365</v>
      </c>
      <c r="BA1974" t="s">
        <v>2365</v>
      </c>
      <c r="BB1974" t="s">
        <v>2365</v>
      </c>
      <c r="BC1974" t="s">
        <v>2365</v>
      </c>
      <c r="BD1974" t="s">
        <v>2366</v>
      </c>
      <c r="BE1974" t="s">
        <v>2365</v>
      </c>
      <c r="BF1974" t="s">
        <v>2365</v>
      </c>
      <c r="BG1974" t="s">
        <v>2365</v>
      </c>
      <c r="BH1974" t="s">
        <v>2365</v>
      </c>
      <c r="BI1974" t="s">
        <v>2366</v>
      </c>
      <c r="BJ1974" t="s">
        <v>2365</v>
      </c>
      <c r="BK1974" t="s">
        <v>2365</v>
      </c>
      <c r="BL1974" t="s">
        <v>2365</v>
      </c>
      <c r="BM1974" t="s">
        <v>2365</v>
      </c>
      <c r="BO1974">
        <v>1</v>
      </c>
      <c r="BP1974">
        <v>11</v>
      </c>
      <c r="BQ1974" t="s">
        <v>2369</v>
      </c>
      <c r="BR1974" t="s">
        <v>1487</v>
      </c>
      <c r="BU1974">
        <v>0</v>
      </c>
      <c r="BV1974">
        <v>0</v>
      </c>
      <c r="BW1974">
        <v>0</v>
      </c>
      <c r="BX1974">
        <v>0</v>
      </c>
      <c r="BY1974">
        <v>0</v>
      </c>
      <c r="BZ1974">
        <v>0</v>
      </c>
      <c r="CA1974">
        <v>0</v>
      </c>
      <c r="CB1974">
        <v>0</v>
      </c>
      <c r="CC1974">
        <v>0</v>
      </c>
      <c r="CD1974">
        <v>0</v>
      </c>
      <c r="CE1974">
        <v>0</v>
      </c>
      <c r="CF1974">
        <v>0</v>
      </c>
      <c r="CG1974">
        <v>0</v>
      </c>
      <c r="CH1974">
        <v>0</v>
      </c>
      <c r="CI1974">
        <v>0</v>
      </c>
      <c r="CJ1974">
        <v>0</v>
      </c>
      <c r="CK1974">
        <v>0</v>
      </c>
      <c r="CL1974">
        <v>0</v>
      </c>
      <c r="CM1974">
        <v>0</v>
      </c>
      <c r="CR1974" t="s">
        <v>2325</v>
      </c>
      <c r="CS1974" s="1369" t="str">
        <f>INDEX([8]Sheet1!$H:$H,MATCH(CR:CR,[8]Sheet1!$AU:$AU,0))</f>
        <v>Asset Management</v>
      </c>
    </row>
    <row r="1975" spans="1:97" x14ac:dyDescent="0.2">
      <c r="A1975" t="s">
        <v>5225</v>
      </c>
      <c r="B1975">
        <v>2073</v>
      </c>
      <c r="C1975" t="s">
        <v>5225</v>
      </c>
      <c r="D1975">
        <v>55073</v>
      </c>
      <c r="E1975" t="s">
        <v>5226</v>
      </c>
      <c r="F1975" t="s">
        <v>2364</v>
      </c>
      <c r="G1975" t="s">
        <v>2364</v>
      </c>
      <c r="H1975" t="s">
        <v>2365</v>
      </c>
      <c r="I1975" t="s">
        <v>2365</v>
      </c>
      <c r="J1975" t="s">
        <v>2365</v>
      </c>
      <c r="K1975" t="s">
        <v>2365</v>
      </c>
      <c r="L1975">
        <v>1200</v>
      </c>
      <c r="M1975" t="s">
        <v>1480</v>
      </c>
      <c r="N1975">
        <v>1204</v>
      </c>
      <c r="O1975" t="s">
        <v>1487</v>
      </c>
      <c r="P1975" t="s">
        <v>2366</v>
      </c>
      <c r="Q1975" t="s">
        <v>2364</v>
      </c>
      <c r="R1975" t="s">
        <v>2364</v>
      </c>
      <c r="S1975" t="s">
        <v>553</v>
      </c>
      <c r="T1975" t="s">
        <v>2175</v>
      </c>
      <c r="U1975">
        <v>140</v>
      </c>
      <c r="V1975" t="s">
        <v>693</v>
      </c>
      <c r="W1975">
        <v>140</v>
      </c>
      <c r="X1975" t="s">
        <v>693</v>
      </c>
      <c r="Y1975" t="s">
        <v>2365</v>
      </c>
      <c r="Z1975" t="s">
        <v>2365</v>
      </c>
      <c r="AA1975" t="s">
        <v>2365</v>
      </c>
      <c r="AB1975" t="s">
        <v>2365</v>
      </c>
      <c r="AC1975" s="813" t="s">
        <v>2365</v>
      </c>
      <c r="AD1975" s="813" t="s">
        <v>2365</v>
      </c>
      <c r="AE1975" s="813" t="s">
        <v>2365</v>
      </c>
      <c r="AF1975" t="s">
        <v>2365</v>
      </c>
      <c r="AG1975" t="s">
        <v>2365</v>
      </c>
      <c r="AH1975" t="s">
        <v>2365</v>
      </c>
      <c r="AI1975" t="s">
        <v>2365</v>
      </c>
      <c r="AJ1975" t="s">
        <v>2365</v>
      </c>
      <c r="AK1975" t="s">
        <v>2366</v>
      </c>
      <c r="AL1975" t="s">
        <v>2366</v>
      </c>
      <c r="AM1975" t="s">
        <v>2366</v>
      </c>
      <c r="AN1975" t="s">
        <v>2366</v>
      </c>
      <c r="AR1975" t="s">
        <v>2365</v>
      </c>
      <c r="AS1975" t="s">
        <v>2365</v>
      </c>
      <c r="AT1975" t="s">
        <v>2365</v>
      </c>
      <c r="AU1975" t="s">
        <v>2365</v>
      </c>
      <c r="AV1975" t="s">
        <v>2365</v>
      </c>
      <c r="AW1975" t="s">
        <v>2365</v>
      </c>
      <c r="AX1975" t="s">
        <v>2365</v>
      </c>
      <c r="AY1975" t="s">
        <v>2365</v>
      </c>
      <c r="AZ1975" t="s">
        <v>2365</v>
      </c>
      <c r="BA1975" t="s">
        <v>2365</v>
      </c>
      <c r="BB1975" t="s">
        <v>2365</v>
      </c>
      <c r="BC1975" t="s">
        <v>2365</v>
      </c>
      <c r="BD1975" t="s">
        <v>2366</v>
      </c>
      <c r="BE1975" t="s">
        <v>2365</v>
      </c>
      <c r="BF1975" t="s">
        <v>2365</v>
      </c>
      <c r="BG1975" t="s">
        <v>2365</v>
      </c>
      <c r="BH1975" t="s">
        <v>2365</v>
      </c>
      <c r="BI1975" t="s">
        <v>2366</v>
      </c>
      <c r="BJ1975" t="s">
        <v>2365</v>
      </c>
      <c r="BK1975" t="s">
        <v>2365</v>
      </c>
      <c r="BL1975" t="s">
        <v>2365</v>
      </c>
      <c r="BM1975" t="s">
        <v>2365</v>
      </c>
      <c r="BO1975">
        <v>1</v>
      </c>
      <c r="BP1975">
        <v>11</v>
      </c>
      <c r="BQ1975" t="s">
        <v>2369</v>
      </c>
      <c r="BR1975" t="s">
        <v>1487</v>
      </c>
      <c r="BU1975">
        <v>0</v>
      </c>
      <c r="BV1975">
        <v>0</v>
      </c>
      <c r="BW1975">
        <v>0</v>
      </c>
      <c r="BX1975">
        <v>0</v>
      </c>
      <c r="BY1975">
        <v>0</v>
      </c>
      <c r="BZ1975">
        <v>0</v>
      </c>
      <c r="CA1975">
        <v>0</v>
      </c>
      <c r="CB1975">
        <v>0</v>
      </c>
      <c r="CC1975">
        <v>0</v>
      </c>
      <c r="CD1975">
        <v>0</v>
      </c>
      <c r="CE1975">
        <v>0</v>
      </c>
      <c r="CF1975">
        <v>0</v>
      </c>
      <c r="CG1975">
        <v>0</v>
      </c>
      <c r="CH1975">
        <v>0</v>
      </c>
      <c r="CI1975">
        <v>0</v>
      </c>
      <c r="CJ1975">
        <v>0</v>
      </c>
      <c r="CK1975">
        <v>0</v>
      </c>
      <c r="CL1975">
        <v>0</v>
      </c>
      <c r="CM1975">
        <v>0</v>
      </c>
      <c r="CR1975" t="s">
        <v>2325</v>
      </c>
      <c r="CS1975" s="1369" t="str">
        <f>INDEX([8]Sheet1!$H:$H,MATCH(CR:CR,[8]Sheet1!$AU:$AU,0))</f>
        <v>Asset Management</v>
      </c>
    </row>
    <row r="1976" spans="1:97" x14ac:dyDescent="0.2">
      <c r="A1976" t="s">
        <v>5227</v>
      </c>
      <c r="B1976">
        <v>2074</v>
      </c>
      <c r="C1976" t="s">
        <v>5227</v>
      </c>
      <c r="D1976">
        <v>55074</v>
      </c>
      <c r="E1976" t="s">
        <v>5228</v>
      </c>
      <c r="F1976" t="s">
        <v>2364</v>
      </c>
      <c r="G1976" t="s">
        <v>2364</v>
      </c>
      <c r="H1976" t="s">
        <v>2365</v>
      </c>
      <c r="I1976" t="s">
        <v>2365</v>
      </c>
      <c r="J1976" t="s">
        <v>2365</v>
      </c>
      <c r="K1976" t="s">
        <v>2365</v>
      </c>
      <c r="L1976">
        <v>1200</v>
      </c>
      <c r="M1976" t="s">
        <v>1480</v>
      </c>
      <c r="N1976">
        <v>1204</v>
      </c>
      <c r="O1976" t="s">
        <v>1487</v>
      </c>
      <c r="P1976" t="s">
        <v>2366</v>
      </c>
      <c r="Q1976" t="s">
        <v>2364</v>
      </c>
      <c r="R1976" t="s">
        <v>2364</v>
      </c>
      <c r="S1976" t="s">
        <v>553</v>
      </c>
      <c r="T1976" t="s">
        <v>2175</v>
      </c>
      <c r="U1976">
        <v>140</v>
      </c>
      <c r="V1976" t="s">
        <v>693</v>
      </c>
      <c r="W1976">
        <v>140</v>
      </c>
      <c r="X1976" t="s">
        <v>693</v>
      </c>
      <c r="Y1976" t="s">
        <v>2365</v>
      </c>
      <c r="Z1976" t="s">
        <v>2365</v>
      </c>
      <c r="AA1976" t="s">
        <v>2365</v>
      </c>
      <c r="AB1976" t="s">
        <v>2365</v>
      </c>
      <c r="AC1976" s="813" t="s">
        <v>2365</v>
      </c>
      <c r="AD1976" s="813" t="s">
        <v>2365</v>
      </c>
      <c r="AE1976" s="813" t="s">
        <v>2365</v>
      </c>
      <c r="AF1976" t="s">
        <v>2365</v>
      </c>
      <c r="AG1976" t="s">
        <v>2365</v>
      </c>
      <c r="AH1976" t="s">
        <v>2365</v>
      </c>
      <c r="AI1976" t="s">
        <v>2365</v>
      </c>
      <c r="AJ1976" t="s">
        <v>2365</v>
      </c>
      <c r="AK1976" t="s">
        <v>2366</v>
      </c>
      <c r="AL1976" t="s">
        <v>2366</v>
      </c>
      <c r="AM1976" t="s">
        <v>2366</v>
      </c>
      <c r="AN1976" t="s">
        <v>2366</v>
      </c>
      <c r="AR1976" t="s">
        <v>2365</v>
      </c>
      <c r="AS1976" t="s">
        <v>2365</v>
      </c>
      <c r="AT1976" t="s">
        <v>2365</v>
      </c>
      <c r="AU1976" t="s">
        <v>2365</v>
      </c>
      <c r="AV1976" t="s">
        <v>2365</v>
      </c>
      <c r="AW1976" t="s">
        <v>2365</v>
      </c>
      <c r="AX1976" t="s">
        <v>2365</v>
      </c>
      <c r="AY1976" t="s">
        <v>2365</v>
      </c>
      <c r="AZ1976" t="s">
        <v>2365</v>
      </c>
      <c r="BA1976" t="s">
        <v>2365</v>
      </c>
      <c r="BB1976" t="s">
        <v>2365</v>
      </c>
      <c r="BC1976" t="s">
        <v>2365</v>
      </c>
      <c r="BD1976" t="s">
        <v>2366</v>
      </c>
      <c r="BE1976" t="s">
        <v>2365</v>
      </c>
      <c r="BF1976" t="s">
        <v>2365</v>
      </c>
      <c r="BG1976" t="s">
        <v>2365</v>
      </c>
      <c r="BH1976" t="s">
        <v>2365</v>
      </c>
      <c r="BI1976" t="s">
        <v>2366</v>
      </c>
      <c r="BJ1976" t="s">
        <v>2365</v>
      </c>
      <c r="BK1976" t="s">
        <v>2365</v>
      </c>
      <c r="BL1976" t="s">
        <v>2365</v>
      </c>
      <c r="BM1976" t="s">
        <v>2365</v>
      </c>
      <c r="BO1976">
        <v>1</v>
      </c>
      <c r="BP1976">
        <v>11</v>
      </c>
      <c r="BQ1976" t="s">
        <v>2369</v>
      </c>
      <c r="BR1976" t="s">
        <v>1487</v>
      </c>
      <c r="BU1976">
        <v>0</v>
      </c>
      <c r="BV1976">
        <v>0</v>
      </c>
      <c r="BW1976">
        <v>0</v>
      </c>
      <c r="BX1976">
        <v>0</v>
      </c>
      <c r="BY1976">
        <v>0</v>
      </c>
      <c r="BZ1976">
        <v>0</v>
      </c>
      <c r="CA1976">
        <v>0</v>
      </c>
      <c r="CB1976">
        <v>0</v>
      </c>
      <c r="CC1976">
        <v>0</v>
      </c>
      <c r="CD1976">
        <v>0</v>
      </c>
      <c r="CE1976">
        <v>0</v>
      </c>
      <c r="CF1976">
        <v>0</v>
      </c>
      <c r="CG1976">
        <v>0</v>
      </c>
      <c r="CH1976">
        <v>0</v>
      </c>
      <c r="CI1976">
        <v>0</v>
      </c>
      <c r="CJ1976">
        <v>0</v>
      </c>
      <c r="CK1976">
        <v>0</v>
      </c>
      <c r="CL1976">
        <v>0</v>
      </c>
      <c r="CM1976">
        <v>0</v>
      </c>
      <c r="CR1976" t="s">
        <v>2325</v>
      </c>
      <c r="CS1976" s="1369" t="str">
        <f>INDEX([8]Sheet1!$H:$H,MATCH(CR:CR,[8]Sheet1!$AU:$AU,0))</f>
        <v>Asset Management</v>
      </c>
    </row>
    <row r="1977" spans="1:97" x14ac:dyDescent="0.2">
      <c r="A1977" t="s">
        <v>5229</v>
      </c>
      <c r="B1977">
        <v>2075</v>
      </c>
      <c r="C1977" t="s">
        <v>5229</v>
      </c>
      <c r="D1977">
        <v>55075</v>
      </c>
      <c r="E1977" t="s">
        <v>5230</v>
      </c>
      <c r="F1977" t="s">
        <v>2364</v>
      </c>
      <c r="G1977" t="s">
        <v>2364</v>
      </c>
      <c r="H1977" t="s">
        <v>2365</v>
      </c>
      <c r="I1977" t="s">
        <v>2365</v>
      </c>
      <c r="J1977" t="s">
        <v>2365</v>
      </c>
      <c r="K1977" t="s">
        <v>2365</v>
      </c>
      <c r="L1977">
        <v>1200</v>
      </c>
      <c r="M1977" t="s">
        <v>1480</v>
      </c>
      <c r="N1977">
        <v>1204</v>
      </c>
      <c r="O1977" t="s">
        <v>1487</v>
      </c>
      <c r="P1977" t="s">
        <v>2366</v>
      </c>
      <c r="Q1977" t="s">
        <v>2364</v>
      </c>
      <c r="R1977" t="s">
        <v>2364</v>
      </c>
      <c r="S1977" t="s">
        <v>553</v>
      </c>
      <c r="T1977" t="s">
        <v>2175</v>
      </c>
      <c r="U1977" t="s">
        <v>2366</v>
      </c>
      <c r="V1977" t="s">
        <v>2366</v>
      </c>
      <c r="W1977" t="s">
        <v>2366</v>
      </c>
      <c r="X1977" t="s">
        <v>2366</v>
      </c>
      <c r="Y1977" t="s">
        <v>2365</v>
      </c>
      <c r="Z1977" t="s">
        <v>2365</v>
      </c>
      <c r="AA1977" t="s">
        <v>2365</v>
      </c>
      <c r="AB1977" t="s">
        <v>2365</v>
      </c>
      <c r="AC1977" s="813" t="s">
        <v>2365</v>
      </c>
      <c r="AD1977" s="813" t="s">
        <v>2365</v>
      </c>
      <c r="AE1977" s="813" t="s">
        <v>2365</v>
      </c>
      <c r="AF1977" t="s">
        <v>2365</v>
      </c>
      <c r="AG1977" t="s">
        <v>2365</v>
      </c>
      <c r="AH1977" t="s">
        <v>2365</v>
      </c>
      <c r="AI1977" t="s">
        <v>2365</v>
      </c>
      <c r="AJ1977" t="s">
        <v>2365</v>
      </c>
      <c r="AK1977">
        <v>145</v>
      </c>
      <c r="AL1977" t="s">
        <v>1198</v>
      </c>
      <c r="AM1977">
        <v>145</v>
      </c>
      <c r="AN1977" t="s">
        <v>1198</v>
      </c>
      <c r="AR1977" t="s">
        <v>2365</v>
      </c>
      <c r="AS1977" t="s">
        <v>2365</v>
      </c>
      <c r="AT1977" t="s">
        <v>2365</v>
      </c>
      <c r="AU1977" t="s">
        <v>2365</v>
      </c>
      <c r="AV1977" t="s">
        <v>2365</v>
      </c>
      <c r="AW1977" t="s">
        <v>2365</v>
      </c>
      <c r="AX1977" t="s">
        <v>2365</v>
      </c>
      <c r="AY1977" t="s">
        <v>2365</v>
      </c>
      <c r="AZ1977" t="s">
        <v>2365</v>
      </c>
      <c r="BA1977" t="s">
        <v>2365</v>
      </c>
      <c r="BB1977" t="s">
        <v>2365</v>
      </c>
      <c r="BC1977" t="s">
        <v>2365</v>
      </c>
      <c r="BD1977" t="s">
        <v>2366</v>
      </c>
      <c r="BE1977" t="s">
        <v>2365</v>
      </c>
      <c r="BF1977" t="s">
        <v>2365</v>
      </c>
      <c r="BG1977" t="s">
        <v>2365</v>
      </c>
      <c r="BH1977" t="s">
        <v>2365</v>
      </c>
      <c r="BI1977" t="s">
        <v>2366</v>
      </c>
      <c r="BJ1977" t="s">
        <v>2365</v>
      </c>
      <c r="BK1977" t="s">
        <v>2365</v>
      </c>
      <c r="BL1977" t="s">
        <v>2365</v>
      </c>
      <c r="BM1977" t="s">
        <v>2365</v>
      </c>
      <c r="BO1977">
        <v>1</v>
      </c>
      <c r="BP1977">
        <v>11</v>
      </c>
      <c r="BQ1977" t="s">
        <v>2369</v>
      </c>
      <c r="BR1977" t="s">
        <v>1487</v>
      </c>
      <c r="BU1977">
        <v>0</v>
      </c>
      <c r="BV1977">
        <v>0</v>
      </c>
      <c r="BW1977">
        <v>0</v>
      </c>
      <c r="BX1977">
        <v>0</v>
      </c>
      <c r="BY1977">
        <v>0</v>
      </c>
      <c r="BZ1977">
        <v>0</v>
      </c>
      <c r="CA1977">
        <v>0</v>
      </c>
      <c r="CB1977">
        <v>0</v>
      </c>
      <c r="CC1977">
        <v>0</v>
      </c>
      <c r="CD1977">
        <v>0</v>
      </c>
      <c r="CE1977">
        <v>0</v>
      </c>
      <c r="CF1977">
        <v>0</v>
      </c>
      <c r="CG1977">
        <v>0</v>
      </c>
      <c r="CH1977">
        <v>0</v>
      </c>
      <c r="CI1977">
        <v>0</v>
      </c>
      <c r="CJ1977">
        <v>0</v>
      </c>
      <c r="CK1977">
        <v>0</v>
      </c>
      <c r="CL1977">
        <v>0</v>
      </c>
      <c r="CM1977">
        <v>0</v>
      </c>
      <c r="CR1977" t="s">
        <v>2325</v>
      </c>
      <c r="CS1977" s="1369" t="str">
        <f>INDEX([8]Sheet1!$H:$H,MATCH(CR:CR,[8]Sheet1!$AU:$AU,0))</f>
        <v>Asset Management</v>
      </c>
    </row>
    <row r="1978" spans="1:97" x14ac:dyDescent="0.2">
      <c r="A1978" t="s">
        <v>5231</v>
      </c>
      <c r="B1978">
        <v>2076</v>
      </c>
      <c r="C1978" t="s">
        <v>5231</v>
      </c>
      <c r="D1978">
        <v>55076</v>
      </c>
      <c r="E1978" t="s">
        <v>5232</v>
      </c>
      <c r="F1978" t="s">
        <v>2364</v>
      </c>
      <c r="G1978" t="s">
        <v>2364</v>
      </c>
      <c r="H1978" t="s">
        <v>2365</v>
      </c>
      <c r="I1978" t="s">
        <v>2365</v>
      </c>
      <c r="J1978" t="s">
        <v>2365</v>
      </c>
      <c r="K1978" t="s">
        <v>2365</v>
      </c>
      <c r="L1978">
        <v>1200</v>
      </c>
      <c r="M1978" t="s">
        <v>1480</v>
      </c>
      <c r="N1978">
        <v>1204</v>
      </c>
      <c r="O1978" t="s">
        <v>1487</v>
      </c>
      <c r="P1978" t="s">
        <v>2366</v>
      </c>
      <c r="Q1978" t="s">
        <v>2364</v>
      </c>
      <c r="R1978" t="s">
        <v>2364</v>
      </c>
      <c r="S1978" t="s">
        <v>553</v>
      </c>
      <c r="T1978" t="s">
        <v>2175</v>
      </c>
      <c r="U1978" t="s">
        <v>2366</v>
      </c>
      <c r="V1978" t="s">
        <v>2366</v>
      </c>
      <c r="W1978" t="s">
        <v>2366</v>
      </c>
      <c r="X1978" t="s">
        <v>2366</v>
      </c>
      <c r="Y1978" t="s">
        <v>2365</v>
      </c>
      <c r="Z1978" t="s">
        <v>2365</v>
      </c>
      <c r="AA1978" t="s">
        <v>2365</v>
      </c>
      <c r="AB1978" t="s">
        <v>2365</v>
      </c>
      <c r="AC1978" s="813" t="s">
        <v>2365</v>
      </c>
      <c r="AD1978" s="813" t="s">
        <v>2365</v>
      </c>
      <c r="AE1978" s="813" t="s">
        <v>2365</v>
      </c>
      <c r="AF1978" t="s">
        <v>2365</v>
      </c>
      <c r="AG1978" t="s">
        <v>2365</v>
      </c>
      <c r="AH1978" t="s">
        <v>2365</v>
      </c>
      <c r="AI1978" t="s">
        <v>2365</v>
      </c>
      <c r="AJ1978" t="s">
        <v>2365</v>
      </c>
      <c r="AK1978">
        <v>145</v>
      </c>
      <c r="AL1978" t="s">
        <v>1198</v>
      </c>
      <c r="AM1978">
        <v>145</v>
      </c>
      <c r="AN1978" t="s">
        <v>1198</v>
      </c>
      <c r="AR1978" t="s">
        <v>2365</v>
      </c>
      <c r="AS1978" t="s">
        <v>2365</v>
      </c>
      <c r="AT1978" t="s">
        <v>2365</v>
      </c>
      <c r="AU1978" t="s">
        <v>2365</v>
      </c>
      <c r="AV1978" t="s">
        <v>2365</v>
      </c>
      <c r="AW1978" t="s">
        <v>2365</v>
      </c>
      <c r="AX1978" t="s">
        <v>2365</v>
      </c>
      <c r="AY1978" t="s">
        <v>2365</v>
      </c>
      <c r="AZ1978" t="s">
        <v>2365</v>
      </c>
      <c r="BA1978" t="s">
        <v>2365</v>
      </c>
      <c r="BB1978" t="s">
        <v>2365</v>
      </c>
      <c r="BC1978" t="s">
        <v>2365</v>
      </c>
      <c r="BD1978" t="s">
        <v>2366</v>
      </c>
      <c r="BE1978" t="s">
        <v>2365</v>
      </c>
      <c r="BF1978" t="s">
        <v>2365</v>
      </c>
      <c r="BG1978" t="s">
        <v>2365</v>
      </c>
      <c r="BH1978" t="s">
        <v>2365</v>
      </c>
      <c r="BI1978" t="s">
        <v>2366</v>
      </c>
      <c r="BJ1978" t="s">
        <v>2365</v>
      </c>
      <c r="BK1978" t="s">
        <v>2365</v>
      </c>
      <c r="BL1978" t="s">
        <v>2365</v>
      </c>
      <c r="BM1978" t="s">
        <v>2365</v>
      </c>
      <c r="BO1978">
        <v>1</v>
      </c>
      <c r="BP1978">
        <v>11</v>
      </c>
      <c r="BQ1978" t="s">
        <v>2369</v>
      </c>
      <c r="BR1978" t="s">
        <v>1487</v>
      </c>
      <c r="BU1978">
        <v>0</v>
      </c>
      <c r="BV1978">
        <v>0</v>
      </c>
      <c r="BW1978">
        <v>0</v>
      </c>
      <c r="BX1978">
        <v>0</v>
      </c>
      <c r="BY1978">
        <v>0</v>
      </c>
      <c r="BZ1978">
        <v>0</v>
      </c>
      <c r="CA1978">
        <v>0</v>
      </c>
      <c r="CB1978">
        <v>0</v>
      </c>
      <c r="CC1978">
        <v>0</v>
      </c>
      <c r="CD1978">
        <v>0</v>
      </c>
      <c r="CE1978">
        <v>0</v>
      </c>
      <c r="CF1978">
        <v>0</v>
      </c>
      <c r="CG1978">
        <v>0</v>
      </c>
      <c r="CH1978">
        <v>0</v>
      </c>
      <c r="CI1978">
        <v>0</v>
      </c>
      <c r="CJ1978">
        <v>0</v>
      </c>
      <c r="CK1978">
        <v>0</v>
      </c>
      <c r="CL1978">
        <v>0</v>
      </c>
      <c r="CM1978">
        <v>0</v>
      </c>
      <c r="CR1978" t="s">
        <v>2325</v>
      </c>
      <c r="CS1978" s="1369" t="str">
        <f>INDEX([8]Sheet1!$H:$H,MATCH(CR:CR,[8]Sheet1!$AU:$AU,0))</f>
        <v>Asset Management</v>
      </c>
    </row>
    <row r="1979" spans="1:97" x14ac:dyDescent="0.2">
      <c r="A1979" t="s">
        <v>5233</v>
      </c>
      <c r="B1979">
        <v>2077</v>
      </c>
      <c r="C1979" t="s">
        <v>5233</v>
      </c>
      <c r="D1979">
        <v>55077</v>
      </c>
      <c r="E1979" t="s">
        <v>5234</v>
      </c>
      <c r="F1979" t="s">
        <v>2364</v>
      </c>
      <c r="G1979" t="s">
        <v>2364</v>
      </c>
      <c r="H1979" t="s">
        <v>2365</v>
      </c>
      <c r="I1979" t="s">
        <v>2365</v>
      </c>
      <c r="J1979" t="s">
        <v>2365</v>
      </c>
      <c r="K1979" t="s">
        <v>2365</v>
      </c>
      <c r="L1979">
        <v>1200</v>
      </c>
      <c r="M1979" t="s">
        <v>1480</v>
      </c>
      <c r="N1979">
        <v>1204</v>
      </c>
      <c r="O1979" t="s">
        <v>1487</v>
      </c>
      <c r="P1979" t="s">
        <v>2366</v>
      </c>
      <c r="Q1979" t="s">
        <v>2364</v>
      </c>
      <c r="R1979" t="s">
        <v>2364</v>
      </c>
      <c r="S1979" t="s">
        <v>553</v>
      </c>
      <c r="T1979" t="s">
        <v>2175</v>
      </c>
      <c r="U1979" t="s">
        <v>2366</v>
      </c>
      <c r="V1979" t="s">
        <v>2366</v>
      </c>
      <c r="W1979" t="s">
        <v>2366</v>
      </c>
      <c r="X1979" t="s">
        <v>2366</v>
      </c>
      <c r="Y1979" t="s">
        <v>2365</v>
      </c>
      <c r="Z1979" t="s">
        <v>2365</v>
      </c>
      <c r="AA1979" t="s">
        <v>2365</v>
      </c>
      <c r="AB1979" t="s">
        <v>2365</v>
      </c>
      <c r="AC1979" s="813" t="s">
        <v>2365</v>
      </c>
      <c r="AD1979" s="813" t="s">
        <v>2365</v>
      </c>
      <c r="AE1979" s="813" t="s">
        <v>2365</v>
      </c>
      <c r="AF1979" t="s">
        <v>2365</v>
      </c>
      <c r="AG1979" t="s">
        <v>2365</v>
      </c>
      <c r="AH1979" t="s">
        <v>2365</v>
      </c>
      <c r="AI1979" t="s">
        <v>2365</v>
      </c>
      <c r="AJ1979" t="s">
        <v>2365</v>
      </c>
      <c r="AK1979">
        <v>145</v>
      </c>
      <c r="AL1979" t="s">
        <v>1198</v>
      </c>
      <c r="AM1979">
        <v>145</v>
      </c>
      <c r="AN1979" t="s">
        <v>1198</v>
      </c>
      <c r="AR1979" t="s">
        <v>2365</v>
      </c>
      <c r="AS1979" t="s">
        <v>2365</v>
      </c>
      <c r="AT1979" t="s">
        <v>2365</v>
      </c>
      <c r="AU1979" t="s">
        <v>2365</v>
      </c>
      <c r="AV1979" t="s">
        <v>2365</v>
      </c>
      <c r="AW1979" t="s">
        <v>2365</v>
      </c>
      <c r="AX1979" t="s">
        <v>2365</v>
      </c>
      <c r="AY1979" t="s">
        <v>2365</v>
      </c>
      <c r="AZ1979" t="s">
        <v>2365</v>
      </c>
      <c r="BA1979" t="s">
        <v>2365</v>
      </c>
      <c r="BB1979" t="s">
        <v>2365</v>
      </c>
      <c r="BC1979" t="s">
        <v>2365</v>
      </c>
      <c r="BD1979" t="s">
        <v>2366</v>
      </c>
      <c r="BE1979" t="s">
        <v>2365</v>
      </c>
      <c r="BF1979" t="s">
        <v>2365</v>
      </c>
      <c r="BG1979" t="s">
        <v>2365</v>
      </c>
      <c r="BH1979" t="s">
        <v>2365</v>
      </c>
      <c r="BI1979" t="s">
        <v>2366</v>
      </c>
      <c r="BJ1979" t="s">
        <v>2365</v>
      </c>
      <c r="BK1979" t="s">
        <v>2365</v>
      </c>
      <c r="BL1979" t="s">
        <v>2365</v>
      </c>
      <c r="BM1979" t="s">
        <v>2365</v>
      </c>
      <c r="BO1979">
        <v>1</v>
      </c>
      <c r="BP1979">
        <v>11</v>
      </c>
      <c r="BQ1979" t="s">
        <v>2369</v>
      </c>
      <c r="BR1979" t="s">
        <v>1487</v>
      </c>
      <c r="BU1979">
        <v>0</v>
      </c>
      <c r="BV1979">
        <v>0</v>
      </c>
      <c r="BW1979">
        <v>0</v>
      </c>
      <c r="BX1979">
        <v>0</v>
      </c>
      <c r="BY1979">
        <v>0</v>
      </c>
      <c r="BZ1979">
        <v>0</v>
      </c>
      <c r="CA1979">
        <v>0</v>
      </c>
      <c r="CB1979">
        <v>0</v>
      </c>
      <c r="CC1979">
        <v>0</v>
      </c>
      <c r="CD1979">
        <v>0</v>
      </c>
      <c r="CE1979">
        <v>0</v>
      </c>
      <c r="CF1979">
        <v>0</v>
      </c>
      <c r="CG1979">
        <v>0</v>
      </c>
      <c r="CH1979">
        <v>0</v>
      </c>
      <c r="CI1979">
        <v>0</v>
      </c>
      <c r="CJ1979">
        <v>0</v>
      </c>
      <c r="CK1979">
        <v>0</v>
      </c>
      <c r="CL1979">
        <v>0</v>
      </c>
      <c r="CM1979">
        <v>0</v>
      </c>
      <c r="CR1979" t="s">
        <v>2325</v>
      </c>
      <c r="CS1979" s="1369" t="str">
        <f>INDEX([8]Sheet1!$H:$H,MATCH(CR:CR,[8]Sheet1!$AU:$AU,0))</f>
        <v>Asset Management</v>
      </c>
    </row>
    <row r="1980" spans="1:97" x14ac:dyDescent="0.2">
      <c r="A1980" t="s">
        <v>5235</v>
      </c>
      <c r="B1980">
        <v>2078</v>
      </c>
      <c r="C1980" t="s">
        <v>5235</v>
      </c>
      <c r="D1980">
        <v>55078</v>
      </c>
      <c r="E1980" t="s">
        <v>5236</v>
      </c>
      <c r="F1980" t="s">
        <v>2364</v>
      </c>
      <c r="G1980" t="s">
        <v>2364</v>
      </c>
      <c r="H1980" t="s">
        <v>2365</v>
      </c>
      <c r="I1980" t="s">
        <v>2365</v>
      </c>
      <c r="J1980" t="s">
        <v>2365</v>
      </c>
      <c r="K1980" t="s">
        <v>2365</v>
      </c>
      <c r="L1980">
        <v>1200</v>
      </c>
      <c r="M1980" t="s">
        <v>1480</v>
      </c>
      <c r="N1980">
        <v>1204</v>
      </c>
      <c r="O1980" t="s">
        <v>1487</v>
      </c>
      <c r="P1980" t="s">
        <v>2366</v>
      </c>
      <c r="Q1980" t="s">
        <v>2364</v>
      </c>
      <c r="R1980" t="s">
        <v>2364</v>
      </c>
      <c r="S1980" t="s">
        <v>553</v>
      </c>
      <c r="T1980" t="s">
        <v>2175</v>
      </c>
      <c r="U1980" t="s">
        <v>2366</v>
      </c>
      <c r="V1980" t="s">
        <v>2366</v>
      </c>
      <c r="W1980" t="s">
        <v>2366</v>
      </c>
      <c r="X1980" t="s">
        <v>2366</v>
      </c>
      <c r="Y1980" t="s">
        <v>2365</v>
      </c>
      <c r="Z1980" t="s">
        <v>2365</v>
      </c>
      <c r="AA1980" t="s">
        <v>2365</v>
      </c>
      <c r="AB1980" t="s">
        <v>2365</v>
      </c>
      <c r="AC1980" s="813" t="s">
        <v>2365</v>
      </c>
      <c r="AD1980" s="813" t="s">
        <v>2365</v>
      </c>
      <c r="AE1980" s="813" t="s">
        <v>2365</v>
      </c>
      <c r="AF1980" t="s">
        <v>2365</v>
      </c>
      <c r="AG1980" t="s">
        <v>2365</v>
      </c>
      <c r="AH1980" t="s">
        <v>2365</v>
      </c>
      <c r="AI1980" t="s">
        <v>2365</v>
      </c>
      <c r="AJ1980" t="s">
        <v>2365</v>
      </c>
      <c r="AK1980">
        <v>145</v>
      </c>
      <c r="AL1980" t="s">
        <v>1198</v>
      </c>
      <c r="AM1980">
        <v>145</v>
      </c>
      <c r="AN1980" t="s">
        <v>1198</v>
      </c>
      <c r="AR1980" t="s">
        <v>2365</v>
      </c>
      <c r="AS1980" t="s">
        <v>2365</v>
      </c>
      <c r="AT1980" t="s">
        <v>2365</v>
      </c>
      <c r="AU1980" t="s">
        <v>2365</v>
      </c>
      <c r="AV1980" t="s">
        <v>2365</v>
      </c>
      <c r="AW1980" t="s">
        <v>2365</v>
      </c>
      <c r="AX1980" t="s">
        <v>2365</v>
      </c>
      <c r="AY1980" t="s">
        <v>2365</v>
      </c>
      <c r="AZ1980" t="s">
        <v>2365</v>
      </c>
      <c r="BA1980" t="s">
        <v>2365</v>
      </c>
      <c r="BB1980" t="s">
        <v>2365</v>
      </c>
      <c r="BC1980" t="s">
        <v>2365</v>
      </c>
      <c r="BD1980" t="s">
        <v>2366</v>
      </c>
      <c r="BE1980" t="s">
        <v>2365</v>
      </c>
      <c r="BF1980" t="s">
        <v>2365</v>
      </c>
      <c r="BG1980" t="s">
        <v>2365</v>
      </c>
      <c r="BH1980" t="s">
        <v>2365</v>
      </c>
      <c r="BI1980" t="s">
        <v>2366</v>
      </c>
      <c r="BJ1980" t="s">
        <v>2365</v>
      </c>
      <c r="BK1980" t="s">
        <v>2365</v>
      </c>
      <c r="BL1980" t="s">
        <v>2365</v>
      </c>
      <c r="BM1980" t="s">
        <v>2365</v>
      </c>
      <c r="BO1980">
        <v>1</v>
      </c>
      <c r="BP1980">
        <v>11</v>
      </c>
      <c r="BQ1980" t="s">
        <v>2369</v>
      </c>
      <c r="BR1980" t="s">
        <v>1487</v>
      </c>
      <c r="BU1980">
        <v>0</v>
      </c>
      <c r="BV1980">
        <v>0</v>
      </c>
      <c r="BW1980">
        <v>0</v>
      </c>
      <c r="BX1980">
        <v>0</v>
      </c>
      <c r="BY1980">
        <v>0</v>
      </c>
      <c r="BZ1980">
        <v>0</v>
      </c>
      <c r="CA1980">
        <v>0</v>
      </c>
      <c r="CB1980">
        <v>0</v>
      </c>
      <c r="CC1980">
        <v>0</v>
      </c>
      <c r="CD1980">
        <v>0</v>
      </c>
      <c r="CE1980">
        <v>0</v>
      </c>
      <c r="CF1980">
        <v>0</v>
      </c>
      <c r="CG1980">
        <v>0</v>
      </c>
      <c r="CH1980">
        <v>0</v>
      </c>
      <c r="CI1980">
        <v>0</v>
      </c>
      <c r="CJ1980">
        <v>0</v>
      </c>
      <c r="CK1980">
        <v>0</v>
      </c>
      <c r="CL1980">
        <v>0</v>
      </c>
      <c r="CM1980">
        <v>0</v>
      </c>
      <c r="CR1980" t="s">
        <v>2325</v>
      </c>
      <c r="CS1980" s="1369" t="str">
        <f>INDEX([8]Sheet1!$H:$H,MATCH(CR:CR,[8]Sheet1!$AU:$AU,0))</f>
        <v>Asset Management</v>
      </c>
    </row>
    <row r="1981" spans="1:97" x14ac:dyDescent="0.2">
      <c r="A1981" t="s">
        <v>5237</v>
      </c>
      <c r="B1981">
        <v>2079</v>
      </c>
      <c r="C1981" t="s">
        <v>5237</v>
      </c>
      <c r="D1981">
        <v>55079</v>
      </c>
      <c r="E1981" t="s">
        <v>5238</v>
      </c>
      <c r="F1981" t="s">
        <v>2364</v>
      </c>
      <c r="G1981" t="s">
        <v>2364</v>
      </c>
      <c r="H1981" t="s">
        <v>2365</v>
      </c>
      <c r="I1981" t="s">
        <v>2365</v>
      </c>
      <c r="J1981" t="s">
        <v>2365</v>
      </c>
      <c r="K1981" t="s">
        <v>2365</v>
      </c>
      <c r="L1981">
        <v>1200</v>
      </c>
      <c r="M1981" t="s">
        <v>1480</v>
      </c>
      <c r="N1981">
        <v>1204</v>
      </c>
      <c r="O1981" t="s">
        <v>1487</v>
      </c>
      <c r="P1981" t="s">
        <v>2366</v>
      </c>
      <c r="Q1981" t="s">
        <v>2364</v>
      </c>
      <c r="R1981" t="s">
        <v>2364</v>
      </c>
      <c r="S1981" t="s">
        <v>553</v>
      </c>
      <c r="T1981" t="s">
        <v>2175</v>
      </c>
      <c r="U1981">
        <v>140</v>
      </c>
      <c r="V1981" t="s">
        <v>693</v>
      </c>
      <c r="W1981">
        <v>140</v>
      </c>
      <c r="X1981" t="s">
        <v>693</v>
      </c>
      <c r="Y1981" t="s">
        <v>2365</v>
      </c>
      <c r="Z1981" t="s">
        <v>2365</v>
      </c>
      <c r="AA1981" t="s">
        <v>2365</v>
      </c>
      <c r="AB1981" t="s">
        <v>2365</v>
      </c>
      <c r="AC1981" s="813" t="s">
        <v>2365</v>
      </c>
      <c r="AD1981" s="813" t="s">
        <v>2365</v>
      </c>
      <c r="AE1981" s="813" t="s">
        <v>2365</v>
      </c>
      <c r="AF1981" t="s">
        <v>2365</v>
      </c>
      <c r="AG1981" t="s">
        <v>2365</v>
      </c>
      <c r="AH1981" t="s">
        <v>2365</v>
      </c>
      <c r="AI1981" t="s">
        <v>2365</v>
      </c>
      <c r="AJ1981" t="s">
        <v>2365</v>
      </c>
      <c r="AK1981" t="s">
        <v>2366</v>
      </c>
      <c r="AL1981" t="s">
        <v>2366</v>
      </c>
      <c r="AM1981" t="s">
        <v>2366</v>
      </c>
      <c r="AN1981" t="s">
        <v>2366</v>
      </c>
      <c r="AR1981" t="s">
        <v>2365</v>
      </c>
      <c r="AS1981" t="s">
        <v>2365</v>
      </c>
      <c r="AT1981" t="s">
        <v>2365</v>
      </c>
      <c r="AU1981" t="s">
        <v>2365</v>
      </c>
      <c r="AV1981" t="s">
        <v>2365</v>
      </c>
      <c r="AW1981" t="s">
        <v>2365</v>
      </c>
      <c r="AX1981" t="s">
        <v>2365</v>
      </c>
      <c r="AY1981" t="s">
        <v>2365</v>
      </c>
      <c r="AZ1981" t="s">
        <v>2365</v>
      </c>
      <c r="BA1981" t="s">
        <v>2365</v>
      </c>
      <c r="BB1981" t="s">
        <v>2365</v>
      </c>
      <c r="BC1981" t="s">
        <v>2365</v>
      </c>
      <c r="BD1981" t="s">
        <v>2366</v>
      </c>
      <c r="BE1981" t="s">
        <v>2365</v>
      </c>
      <c r="BF1981" t="s">
        <v>2365</v>
      </c>
      <c r="BG1981" t="s">
        <v>2365</v>
      </c>
      <c r="BH1981" t="s">
        <v>2365</v>
      </c>
      <c r="BI1981" t="s">
        <v>2366</v>
      </c>
      <c r="BJ1981" t="s">
        <v>2365</v>
      </c>
      <c r="BK1981" t="s">
        <v>2365</v>
      </c>
      <c r="BL1981" t="s">
        <v>2365</v>
      </c>
      <c r="BM1981" t="s">
        <v>2365</v>
      </c>
      <c r="BO1981">
        <v>1</v>
      </c>
      <c r="BP1981">
        <v>11</v>
      </c>
      <c r="BQ1981" t="s">
        <v>2369</v>
      </c>
      <c r="BR1981" t="s">
        <v>1487</v>
      </c>
      <c r="BU1981">
        <v>0</v>
      </c>
      <c r="BV1981">
        <v>0</v>
      </c>
      <c r="BW1981">
        <v>0</v>
      </c>
      <c r="BX1981">
        <v>0</v>
      </c>
      <c r="BY1981">
        <v>0</v>
      </c>
      <c r="BZ1981">
        <v>0</v>
      </c>
      <c r="CA1981">
        <v>0</v>
      </c>
      <c r="CB1981">
        <v>0</v>
      </c>
      <c r="CC1981">
        <v>0</v>
      </c>
      <c r="CD1981">
        <v>0</v>
      </c>
      <c r="CE1981">
        <v>0</v>
      </c>
      <c r="CF1981">
        <v>0</v>
      </c>
      <c r="CG1981">
        <v>0</v>
      </c>
      <c r="CH1981">
        <v>0</v>
      </c>
      <c r="CI1981">
        <v>0</v>
      </c>
      <c r="CJ1981">
        <v>0</v>
      </c>
      <c r="CK1981">
        <v>0</v>
      </c>
      <c r="CL1981">
        <v>0</v>
      </c>
      <c r="CM1981">
        <v>0</v>
      </c>
      <c r="CR1981" t="s">
        <v>2325</v>
      </c>
      <c r="CS1981" s="1369" t="str">
        <f>INDEX([8]Sheet1!$H:$H,MATCH(CR:CR,[8]Sheet1!$AU:$AU,0))</f>
        <v>Asset Management</v>
      </c>
    </row>
    <row r="1982" spans="1:97" x14ac:dyDescent="0.2">
      <c r="A1982" t="s">
        <v>5239</v>
      </c>
      <c r="B1982">
        <v>2080</v>
      </c>
      <c r="C1982" t="s">
        <v>5239</v>
      </c>
      <c r="D1982">
        <v>55080</v>
      </c>
      <c r="E1982" t="s">
        <v>5240</v>
      </c>
      <c r="F1982" t="s">
        <v>2364</v>
      </c>
      <c r="G1982" t="s">
        <v>2364</v>
      </c>
      <c r="H1982" t="s">
        <v>2365</v>
      </c>
      <c r="I1982" t="s">
        <v>2365</v>
      </c>
      <c r="J1982" t="s">
        <v>2365</v>
      </c>
      <c r="K1982" t="s">
        <v>2365</v>
      </c>
      <c r="L1982">
        <v>1200</v>
      </c>
      <c r="M1982" t="s">
        <v>1480</v>
      </c>
      <c r="N1982">
        <v>1204</v>
      </c>
      <c r="O1982" t="s">
        <v>1487</v>
      </c>
      <c r="P1982" t="s">
        <v>2366</v>
      </c>
      <c r="Q1982" t="s">
        <v>2364</v>
      </c>
      <c r="R1982" t="s">
        <v>2364</v>
      </c>
      <c r="S1982" t="s">
        <v>553</v>
      </c>
      <c r="T1982" t="s">
        <v>2175</v>
      </c>
      <c r="U1982" t="s">
        <v>2366</v>
      </c>
      <c r="V1982" t="s">
        <v>2366</v>
      </c>
      <c r="W1982" t="s">
        <v>2366</v>
      </c>
      <c r="X1982" t="s">
        <v>2366</v>
      </c>
      <c r="Y1982" t="s">
        <v>2365</v>
      </c>
      <c r="Z1982" t="s">
        <v>2365</v>
      </c>
      <c r="AA1982" t="s">
        <v>2365</v>
      </c>
      <c r="AB1982" t="s">
        <v>2365</v>
      </c>
      <c r="AC1982" s="813" t="s">
        <v>2365</v>
      </c>
      <c r="AD1982" s="813" t="s">
        <v>2365</v>
      </c>
      <c r="AE1982" s="813" t="s">
        <v>2365</v>
      </c>
      <c r="AF1982" t="s">
        <v>2365</v>
      </c>
      <c r="AG1982" t="s">
        <v>2365</v>
      </c>
      <c r="AH1982" t="s">
        <v>2365</v>
      </c>
      <c r="AI1982" t="s">
        <v>2365</v>
      </c>
      <c r="AJ1982" t="s">
        <v>2365</v>
      </c>
      <c r="AK1982" s="1373">
        <v>145</v>
      </c>
      <c r="AL1982" t="s">
        <v>1198</v>
      </c>
      <c r="AM1982">
        <v>145</v>
      </c>
      <c r="AN1982" t="s">
        <v>1198</v>
      </c>
      <c r="AR1982" t="s">
        <v>2365</v>
      </c>
      <c r="AS1982" t="s">
        <v>2365</v>
      </c>
      <c r="AT1982" t="s">
        <v>2365</v>
      </c>
      <c r="AU1982" t="s">
        <v>2365</v>
      </c>
      <c r="AV1982" t="s">
        <v>2365</v>
      </c>
      <c r="AW1982" t="s">
        <v>2365</v>
      </c>
      <c r="AX1982" t="s">
        <v>2365</v>
      </c>
      <c r="AY1982" t="s">
        <v>2365</v>
      </c>
      <c r="AZ1982" t="s">
        <v>2365</v>
      </c>
      <c r="BA1982" t="s">
        <v>2365</v>
      </c>
      <c r="BB1982" t="s">
        <v>2365</v>
      </c>
      <c r="BC1982" t="s">
        <v>2365</v>
      </c>
      <c r="BD1982" t="s">
        <v>2366</v>
      </c>
      <c r="BE1982" t="s">
        <v>2365</v>
      </c>
      <c r="BF1982" t="s">
        <v>2365</v>
      </c>
      <c r="BG1982" t="s">
        <v>2365</v>
      </c>
      <c r="BH1982" t="s">
        <v>2365</v>
      </c>
      <c r="BI1982" t="s">
        <v>2366</v>
      </c>
      <c r="BJ1982" t="s">
        <v>2365</v>
      </c>
      <c r="BK1982" t="s">
        <v>2365</v>
      </c>
      <c r="BL1982" t="s">
        <v>2365</v>
      </c>
      <c r="BM1982" t="s">
        <v>2365</v>
      </c>
      <c r="BO1982">
        <v>1</v>
      </c>
      <c r="BP1982">
        <v>11</v>
      </c>
      <c r="BQ1982" t="s">
        <v>2369</v>
      </c>
      <c r="BR1982" t="s">
        <v>1487</v>
      </c>
      <c r="BU1982">
        <v>0</v>
      </c>
      <c r="BV1982">
        <v>0</v>
      </c>
      <c r="BW1982">
        <v>0</v>
      </c>
      <c r="BX1982">
        <v>0</v>
      </c>
      <c r="BY1982">
        <v>0</v>
      </c>
      <c r="BZ1982">
        <v>0</v>
      </c>
      <c r="CA1982">
        <v>0</v>
      </c>
      <c r="CB1982">
        <v>0</v>
      </c>
      <c r="CC1982">
        <v>0</v>
      </c>
      <c r="CD1982">
        <v>0</v>
      </c>
      <c r="CE1982">
        <v>0</v>
      </c>
      <c r="CF1982">
        <v>0</v>
      </c>
      <c r="CG1982">
        <v>0</v>
      </c>
      <c r="CH1982">
        <v>0</v>
      </c>
      <c r="CI1982">
        <v>0</v>
      </c>
      <c r="CJ1982">
        <v>0</v>
      </c>
      <c r="CK1982">
        <v>0</v>
      </c>
      <c r="CL1982">
        <v>0</v>
      </c>
      <c r="CM1982">
        <v>0</v>
      </c>
      <c r="CR1982" t="s">
        <v>2325</v>
      </c>
      <c r="CS1982" s="1369" t="str">
        <f>INDEX([8]Sheet1!$H:$H,MATCH(CR:CR,[8]Sheet1!$AU:$AU,0))</f>
        <v>Asset Management</v>
      </c>
    </row>
    <row r="1983" spans="1:97" x14ac:dyDescent="0.2">
      <c r="A1983" t="s">
        <v>5241</v>
      </c>
      <c r="B1983">
        <v>2081</v>
      </c>
      <c r="C1983" t="s">
        <v>5241</v>
      </c>
      <c r="D1983">
        <v>55081</v>
      </c>
      <c r="E1983" t="s">
        <v>5242</v>
      </c>
      <c r="F1983" t="s">
        <v>2364</v>
      </c>
      <c r="G1983" t="s">
        <v>2364</v>
      </c>
      <c r="H1983" t="s">
        <v>2365</v>
      </c>
      <c r="I1983" t="s">
        <v>2365</v>
      </c>
      <c r="J1983" t="s">
        <v>2365</v>
      </c>
      <c r="K1983" t="s">
        <v>2365</v>
      </c>
      <c r="L1983">
        <v>1200</v>
      </c>
      <c r="M1983" t="s">
        <v>1480</v>
      </c>
      <c r="N1983">
        <v>1204</v>
      </c>
      <c r="O1983" t="s">
        <v>1487</v>
      </c>
      <c r="P1983" t="s">
        <v>2366</v>
      </c>
      <c r="Q1983" t="s">
        <v>2364</v>
      </c>
      <c r="R1983" t="s">
        <v>2364</v>
      </c>
      <c r="S1983" t="s">
        <v>553</v>
      </c>
      <c r="T1983" t="s">
        <v>2175</v>
      </c>
      <c r="U1983">
        <v>140</v>
      </c>
      <c r="V1983" t="s">
        <v>693</v>
      </c>
      <c r="W1983">
        <v>140</v>
      </c>
      <c r="X1983" t="s">
        <v>693</v>
      </c>
      <c r="Y1983" t="s">
        <v>2365</v>
      </c>
      <c r="Z1983" t="s">
        <v>2365</v>
      </c>
      <c r="AA1983" t="s">
        <v>2365</v>
      </c>
      <c r="AB1983" t="s">
        <v>2365</v>
      </c>
      <c r="AC1983" s="813" t="s">
        <v>2365</v>
      </c>
      <c r="AD1983" s="813" t="s">
        <v>2365</v>
      </c>
      <c r="AE1983" s="813" t="s">
        <v>2365</v>
      </c>
      <c r="AF1983" t="s">
        <v>2365</v>
      </c>
      <c r="AG1983" t="s">
        <v>2365</v>
      </c>
      <c r="AH1983" t="s">
        <v>2365</v>
      </c>
      <c r="AI1983" t="s">
        <v>2365</v>
      </c>
      <c r="AJ1983" t="s">
        <v>2365</v>
      </c>
      <c r="AK1983" t="s">
        <v>2366</v>
      </c>
      <c r="AL1983" t="s">
        <v>2366</v>
      </c>
      <c r="AM1983" t="s">
        <v>2366</v>
      </c>
      <c r="AN1983" t="s">
        <v>2366</v>
      </c>
      <c r="AR1983" t="s">
        <v>2365</v>
      </c>
      <c r="AS1983" t="s">
        <v>2365</v>
      </c>
      <c r="AT1983" t="s">
        <v>2365</v>
      </c>
      <c r="AU1983" t="s">
        <v>2365</v>
      </c>
      <c r="AV1983" t="s">
        <v>2365</v>
      </c>
      <c r="AW1983" t="s">
        <v>2365</v>
      </c>
      <c r="AX1983" t="s">
        <v>2365</v>
      </c>
      <c r="AY1983" t="s">
        <v>2365</v>
      </c>
      <c r="AZ1983" t="s">
        <v>2365</v>
      </c>
      <c r="BA1983" t="s">
        <v>2365</v>
      </c>
      <c r="BB1983" t="s">
        <v>2365</v>
      </c>
      <c r="BC1983" t="s">
        <v>2365</v>
      </c>
      <c r="BD1983" t="s">
        <v>2366</v>
      </c>
      <c r="BE1983" t="s">
        <v>2365</v>
      </c>
      <c r="BF1983" t="s">
        <v>2365</v>
      </c>
      <c r="BG1983" t="s">
        <v>2365</v>
      </c>
      <c r="BH1983" t="s">
        <v>2365</v>
      </c>
      <c r="BI1983" t="s">
        <v>2366</v>
      </c>
      <c r="BJ1983" t="s">
        <v>2365</v>
      </c>
      <c r="BK1983" t="s">
        <v>2365</v>
      </c>
      <c r="BL1983" t="s">
        <v>2365</v>
      </c>
      <c r="BM1983" t="s">
        <v>2365</v>
      </c>
      <c r="BO1983">
        <v>1</v>
      </c>
      <c r="BP1983">
        <v>11</v>
      </c>
      <c r="BQ1983" t="s">
        <v>2369</v>
      </c>
      <c r="BR1983" t="s">
        <v>1487</v>
      </c>
      <c r="BU1983">
        <v>0</v>
      </c>
      <c r="BV1983">
        <v>0</v>
      </c>
      <c r="BW1983">
        <v>0</v>
      </c>
      <c r="BX1983">
        <v>0</v>
      </c>
      <c r="BY1983">
        <v>0</v>
      </c>
      <c r="BZ1983">
        <v>0</v>
      </c>
      <c r="CA1983">
        <v>0</v>
      </c>
      <c r="CB1983">
        <v>0</v>
      </c>
      <c r="CC1983">
        <v>0</v>
      </c>
      <c r="CD1983">
        <v>0</v>
      </c>
      <c r="CE1983">
        <v>0</v>
      </c>
      <c r="CF1983">
        <v>0</v>
      </c>
      <c r="CG1983">
        <v>0</v>
      </c>
      <c r="CH1983">
        <v>0</v>
      </c>
      <c r="CI1983">
        <v>0</v>
      </c>
      <c r="CJ1983">
        <v>0</v>
      </c>
      <c r="CK1983">
        <v>0</v>
      </c>
      <c r="CL1983">
        <v>0</v>
      </c>
      <c r="CM1983">
        <v>0</v>
      </c>
      <c r="CR1983" t="s">
        <v>2325</v>
      </c>
      <c r="CS1983" s="1369" t="str">
        <f>INDEX([8]Sheet1!$H:$H,MATCH(CR:CR,[8]Sheet1!$AU:$AU,0))</f>
        <v>Asset Management</v>
      </c>
    </row>
    <row r="1984" spans="1:97" x14ac:dyDescent="0.2">
      <c r="A1984" t="s">
        <v>5243</v>
      </c>
      <c r="B1984">
        <v>2082</v>
      </c>
      <c r="C1984" t="s">
        <v>5243</v>
      </c>
      <c r="D1984">
        <v>55082</v>
      </c>
      <c r="E1984" t="s">
        <v>5244</v>
      </c>
      <c r="F1984" t="s">
        <v>2364</v>
      </c>
      <c r="G1984" t="s">
        <v>2364</v>
      </c>
      <c r="H1984" t="s">
        <v>2365</v>
      </c>
      <c r="I1984" t="s">
        <v>2365</v>
      </c>
      <c r="J1984" t="s">
        <v>2365</v>
      </c>
      <c r="K1984" t="s">
        <v>2365</v>
      </c>
      <c r="L1984">
        <v>1200</v>
      </c>
      <c r="M1984" t="s">
        <v>1480</v>
      </c>
      <c r="N1984">
        <v>1204</v>
      </c>
      <c r="O1984" t="s">
        <v>1487</v>
      </c>
      <c r="P1984" t="s">
        <v>2366</v>
      </c>
      <c r="Q1984" t="s">
        <v>2364</v>
      </c>
      <c r="R1984" t="s">
        <v>2364</v>
      </c>
      <c r="S1984" t="s">
        <v>553</v>
      </c>
      <c r="T1984" t="s">
        <v>2175</v>
      </c>
      <c r="U1984">
        <v>140</v>
      </c>
      <c r="V1984" t="s">
        <v>693</v>
      </c>
      <c r="W1984">
        <v>140</v>
      </c>
      <c r="X1984" t="s">
        <v>693</v>
      </c>
      <c r="Y1984" t="s">
        <v>2365</v>
      </c>
      <c r="Z1984" t="s">
        <v>2365</v>
      </c>
      <c r="AA1984" t="s">
        <v>2365</v>
      </c>
      <c r="AB1984" t="s">
        <v>2365</v>
      </c>
      <c r="AC1984" s="813" t="s">
        <v>2365</v>
      </c>
      <c r="AD1984" s="813" t="s">
        <v>2365</v>
      </c>
      <c r="AE1984" s="813" t="s">
        <v>2365</v>
      </c>
      <c r="AF1984" t="s">
        <v>2365</v>
      </c>
      <c r="AG1984" t="s">
        <v>2365</v>
      </c>
      <c r="AH1984" t="s">
        <v>2365</v>
      </c>
      <c r="AI1984" t="s">
        <v>2365</v>
      </c>
      <c r="AJ1984" t="s">
        <v>2365</v>
      </c>
      <c r="AK1984" t="s">
        <v>2366</v>
      </c>
      <c r="AL1984" t="s">
        <v>2366</v>
      </c>
      <c r="AM1984" t="s">
        <v>2366</v>
      </c>
      <c r="AN1984" t="s">
        <v>2366</v>
      </c>
      <c r="AR1984" t="s">
        <v>2365</v>
      </c>
      <c r="AS1984" t="s">
        <v>2365</v>
      </c>
      <c r="AT1984" t="s">
        <v>2365</v>
      </c>
      <c r="AU1984" t="s">
        <v>2365</v>
      </c>
      <c r="AV1984" t="s">
        <v>2365</v>
      </c>
      <c r="AW1984" t="s">
        <v>2365</v>
      </c>
      <c r="AX1984" t="s">
        <v>2365</v>
      </c>
      <c r="AY1984" t="s">
        <v>2365</v>
      </c>
      <c r="AZ1984" t="s">
        <v>2365</v>
      </c>
      <c r="BA1984" t="s">
        <v>2365</v>
      </c>
      <c r="BB1984" t="s">
        <v>2365</v>
      </c>
      <c r="BC1984" t="s">
        <v>2365</v>
      </c>
      <c r="BD1984" t="s">
        <v>2366</v>
      </c>
      <c r="BE1984" t="s">
        <v>2365</v>
      </c>
      <c r="BF1984" t="s">
        <v>2365</v>
      </c>
      <c r="BG1984" t="s">
        <v>2365</v>
      </c>
      <c r="BH1984" t="s">
        <v>2365</v>
      </c>
      <c r="BI1984" t="s">
        <v>2366</v>
      </c>
      <c r="BJ1984" t="s">
        <v>2365</v>
      </c>
      <c r="BK1984" t="s">
        <v>2365</v>
      </c>
      <c r="BL1984" t="s">
        <v>2365</v>
      </c>
      <c r="BM1984" t="s">
        <v>2365</v>
      </c>
      <c r="BO1984">
        <v>1</v>
      </c>
      <c r="BP1984">
        <v>11</v>
      </c>
      <c r="BQ1984" t="s">
        <v>2369</v>
      </c>
      <c r="BR1984" t="s">
        <v>1487</v>
      </c>
      <c r="BU1984">
        <v>0</v>
      </c>
      <c r="BV1984">
        <v>0</v>
      </c>
      <c r="BW1984">
        <v>0</v>
      </c>
      <c r="BX1984">
        <v>0</v>
      </c>
      <c r="BY1984">
        <v>0</v>
      </c>
      <c r="BZ1984">
        <v>0</v>
      </c>
      <c r="CA1984">
        <v>0</v>
      </c>
      <c r="CB1984">
        <v>0</v>
      </c>
      <c r="CC1984">
        <v>0</v>
      </c>
      <c r="CD1984">
        <v>0</v>
      </c>
      <c r="CE1984">
        <v>0</v>
      </c>
      <c r="CF1984">
        <v>0</v>
      </c>
      <c r="CG1984">
        <v>0</v>
      </c>
      <c r="CH1984">
        <v>0</v>
      </c>
      <c r="CI1984">
        <v>0</v>
      </c>
      <c r="CJ1984">
        <v>0</v>
      </c>
      <c r="CK1984">
        <v>0</v>
      </c>
      <c r="CL1984">
        <v>0</v>
      </c>
      <c r="CM1984">
        <v>0</v>
      </c>
      <c r="CR1984" t="s">
        <v>2325</v>
      </c>
      <c r="CS1984" s="1369" t="str">
        <f>INDEX([8]Sheet1!$H:$H,MATCH(CR:CR,[8]Sheet1!$AU:$AU,0))</f>
        <v>Asset Management</v>
      </c>
    </row>
    <row r="1985" spans="1:97" x14ac:dyDescent="0.2">
      <c r="A1985" t="s">
        <v>5245</v>
      </c>
      <c r="B1985">
        <v>2083</v>
      </c>
      <c r="C1985" t="s">
        <v>5245</v>
      </c>
      <c r="D1985">
        <v>55083</v>
      </c>
      <c r="E1985" t="s">
        <v>5246</v>
      </c>
      <c r="F1985" t="s">
        <v>2364</v>
      </c>
      <c r="G1985" t="s">
        <v>2364</v>
      </c>
      <c r="H1985" t="s">
        <v>2365</v>
      </c>
      <c r="I1985" t="s">
        <v>2365</v>
      </c>
      <c r="J1985" t="s">
        <v>2365</v>
      </c>
      <c r="K1985" t="s">
        <v>2365</v>
      </c>
      <c r="L1985">
        <v>1200</v>
      </c>
      <c r="M1985" t="s">
        <v>1480</v>
      </c>
      <c r="N1985">
        <v>1204</v>
      </c>
      <c r="O1985" t="s">
        <v>1487</v>
      </c>
      <c r="P1985" t="s">
        <v>2366</v>
      </c>
      <c r="Q1985" t="s">
        <v>2364</v>
      </c>
      <c r="R1985" t="s">
        <v>2364</v>
      </c>
      <c r="S1985" t="s">
        <v>553</v>
      </c>
      <c r="T1985" t="s">
        <v>2175</v>
      </c>
      <c r="U1985" t="s">
        <v>2366</v>
      </c>
      <c r="V1985" t="s">
        <v>2366</v>
      </c>
      <c r="W1985" t="s">
        <v>2366</v>
      </c>
      <c r="X1985" t="s">
        <v>2366</v>
      </c>
      <c r="Y1985" t="s">
        <v>2365</v>
      </c>
      <c r="Z1985" t="s">
        <v>2365</v>
      </c>
      <c r="AA1985" t="s">
        <v>2365</v>
      </c>
      <c r="AB1985" t="s">
        <v>2365</v>
      </c>
      <c r="AC1985" s="813" t="s">
        <v>2365</v>
      </c>
      <c r="AD1985" s="813" t="s">
        <v>2365</v>
      </c>
      <c r="AE1985" s="813" t="s">
        <v>2365</v>
      </c>
      <c r="AF1985" t="s">
        <v>2365</v>
      </c>
      <c r="AG1985" t="s">
        <v>2365</v>
      </c>
      <c r="AH1985" t="s">
        <v>2365</v>
      </c>
      <c r="AI1985" t="s">
        <v>2365</v>
      </c>
      <c r="AJ1985" t="s">
        <v>2365</v>
      </c>
      <c r="AK1985" s="1373">
        <v>145</v>
      </c>
      <c r="AL1985" t="s">
        <v>1198</v>
      </c>
      <c r="AM1985">
        <v>145</v>
      </c>
      <c r="AN1985" t="s">
        <v>1198</v>
      </c>
      <c r="AR1985" t="s">
        <v>2365</v>
      </c>
      <c r="AS1985" t="s">
        <v>2365</v>
      </c>
      <c r="AT1985" t="s">
        <v>2365</v>
      </c>
      <c r="AU1985" t="s">
        <v>2365</v>
      </c>
      <c r="AV1985" t="s">
        <v>2365</v>
      </c>
      <c r="AW1985" t="s">
        <v>2365</v>
      </c>
      <c r="AX1985" t="s">
        <v>2365</v>
      </c>
      <c r="AY1985" t="s">
        <v>2365</v>
      </c>
      <c r="AZ1985" t="s">
        <v>2365</v>
      </c>
      <c r="BA1985" t="s">
        <v>2365</v>
      </c>
      <c r="BB1985" t="s">
        <v>2365</v>
      </c>
      <c r="BC1985" t="s">
        <v>2365</v>
      </c>
      <c r="BD1985" t="s">
        <v>2366</v>
      </c>
      <c r="BE1985" t="s">
        <v>2365</v>
      </c>
      <c r="BF1985" t="s">
        <v>2365</v>
      </c>
      <c r="BG1985" t="s">
        <v>2365</v>
      </c>
      <c r="BH1985" t="s">
        <v>2365</v>
      </c>
      <c r="BI1985" t="s">
        <v>2366</v>
      </c>
      <c r="BJ1985" t="s">
        <v>2365</v>
      </c>
      <c r="BK1985" t="s">
        <v>2365</v>
      </c>
      <c r="BL1985" t="s">
        <v>2365</v>
      </c>
      <c r="BM1985" t="s">
        <v>2365</v>
      </c>
      <c r="BO1985">
        <v>1</v>
      </c>
      <c r="BP1985">
        <v>11</v>
      </c>
      <c r="BQ1985" t="s">
        <v>2369</v>
      </c>
      <c r="BR1985" t="s">
        <v>1487</v>
      </c>
      <c r="BU1985">
        <v>0</v>
      </c>
      <c r="BV1985">
        <v>0</v>
      </c>
      <c r="BW1985">
        <v>0</v>
      </c>
      <c r="BX1985">
        <v>0</v>
      </c>
      <c r="BY1985">
        <v>0</v>
      </c>
      <c r="BZ1985">
        <v>0</v>
      </c>
      <c r="CA1985">
        <v>0</v>
      </c>
      <c r="CB1985">
        <v>0</v>
      </c>
      <c r="CC1985">
        <v>0</v>
      </c>
      <c r="CD1985">
        <v>0</v>
      </c>
      <c r="CE1985">
        <v>0</v>
      </c>
      <c r="CF1985">
        <v>0</v>
      </c>
      <c r="CG1985">
        <v>0</v>
      </c>
      <c r="CH1985">
        <v>0</v>
      </c>
      <c r="CI1985">
        <v>0</v>
      </c>
      <c r="CJ1985">
        <v>0</v>
      </c>
      <c r="CK1985">
        <v>0</v>
      </c>
      <c r="CL1985">
        <v>0</v>
      </c>
      <c r="CM1985">
        <v>0</v>
      </c>
      <c r="CR1985" t="s">
        <v>2325</v>
      </c>
      <c r="CS1985" s="1369" t="str">
        <f>INDEX([8]Sheet1!$H:$H,MATCH(CR:CR,[8]Sheet1!$AU:$AU,0))</f>
        <v>Asset Management</v>
      </c>
    </row>
    <row r="1986" spans="1:97" x14ac:dyDescent="0.2">
      <c r="A1986" t="s">
        <v>5247</v>
      </c>
      <c r="B1986">
        <v>2084</v>
      </c>
      <c r="C1986" t="s">
        <v>5247</v>
      </c>
      <c r="D1986">
        <v>55084</v>
      </c>
      <c r="E1986" t="s">
        <v>5248</v>
      </c>
      <c r="F1986" t="s">
        <v>2364</v>
      </c>
      <c r="G1986" t="s">
        <v>2364</v>
      </c>
      <c r="H1986" t="s">
        <v>2365</v>
      </c>
      <c r="I1986" t="s">
        <v>2365</v>
      </c>
      <c r="J1986" t="s">
        <v>2365</v>
      </c>
      <c r="K1986" t="s">
        <v>2365</v>
      </c>
      <c r="L1986">
        <v>1200</v>
      </c>
      <c r="M1986" t="s">
        <v>1480</v>
      </c>
      <c r="N1986">
        <v>1204</v>
      </c>
      <c r="O1986" t="s">
        <v>1487</v>
      </c>
      <c r="P1986" t="s">
        <v>2366</v>
      </c>
      <c r="Q1986" t="s">
        <v>2364</v>
      </c>
      <c r="R1986" t="s">
        <v>2364</v>
      </c>
      <c r="S1986" t="s">
        <v>553</v>
      </c>
      <c r="T1986" t="s">
        <v>2175</v>
      </c>
      <c r="U1986" t="s">
        <v>2366</v>
      </c>
      <c r="V1986" t="s">
        <v>2366</v>
      </c>
      <c r="W1986" t="s">
        <v>2366</v>
      </c>
      <c r="X1986" t="s">
        <v>2366</v>
      </c>
      <c r="Y1986" t="s">
        <v>2365</v>
      </c>
      <c r="Z1986" t="s">
        <v>2365</v>
      </c>
      <c r="AA1986" t="s">
        <v>2365</v>
      </c>
      <c r="AB1986" t="s">
        <v>2365</v>
      </c>
      <c r="AC1986" s="813" t="s">
        <v>2365</v>
      </c>
      <c r="AD1986" s="813" t="s">
        <v>2365</v>
      </c>
      <c r="AE1986" s="813" t="s">
        <v>2365</v>
      </c>
      <c r="AF1986" t="s">
        <v>2365</v>
      </c>
      <c r="AG1986" t="s">
        <v>2365</v>
      </c>
      <c r="AH1986" t="s">
        <v>2365</v>
      </c>
      <c r="AI1986" t="s">
        <v>2365</v>
      </c>
      <c r="AJ1986" t="s">
        <v>2365</v>
      </c>
      <c r="AK1986">
        <v>145</v>
      </c>
      <c r="AL1986" t="s">
        <v>1198</v>
      </c>
      <c r="AM1986">
        <v>145</v>
      </c>
      <c r="AN1986" t="s">
        <v>1198</v>
      </c>
      <c r="AR1986" t="s">
        <v>2365</v>
      </c>
      <c r="AS1986" t="s">
        <v>2365</v>
      </c>
      <c r="AT1986" t="s">
        <v>2365</v>
      </c>
      <c r="AU1986" t="s">
        <v>2365</v>
      </c>
      <c r="AV1986" t="s">
        <v>2365</v>
      </c>
      <c r="AW1986" t="s">
        <v>2365</v>
      </c>
      <c r="AX1986" t="s">
        <v>2365</v>
      </c>
      <c r="AY1986" t="s">
        <v>2365</v>
      </c>
      <c r="AZ1986" t="s">
        <v>2365</v>
      </c>
      <c r="BA1986" t="s">
        <v>2365</v>
      </c>
      <c r="BB1986" t="s">
        <v>2365</v>
      </c>
      <c r="BC1986" t="s">
        <v>2365</v>
      </c>
      <c r="BD1986" t="s">
        <v>2366</v>
      </c>
      <c r="BE1986" t="s">
        <v>2365</v>
      </c>
      <c r="BF1986" t="s">
        <v>2365</v>
      </c>
      <c r="BG1986" t="s">
        <v>2365</v>
      </c>
      <c r="BH1986" t="s">
        <v>2365</v>
      </c>
      <c r="BI1986" t="s">
        <v>2366</v>
      </c>
      <c r="BJ1986" t="s">
        <v>2365</v>
      </c>
      <c r="BK1986" t="s">
        <v>2365</v>
      </c>
      <c r="BL1986" t="s">
        <v>2365</v>
      </c>
      <c r="BM1986" t="s">
        <v>2365</v>
      </c>
      <c r="BO1986">
        <v>1</v>
      </c>
      <c r="BP1986">
        <v>11</v>
      </c>
      <c r="BQ1986" t="s">
        <v>2369</v>
      </c>
      <c r="BR1986" t="s">
        <v>1487</v>
      </c>
      <c r="BU1986">
        <v>0</v>
      </c>
      <c r="BV1986">
        <v>0</v>
      </c>
      <c r="BW1986">
        <v>0</v>
      </c>
      <c r="BX1986">
        <v>0</v>
      </c>
      <c r="BY1986">
        <v>0</v>
      </c>
      <c r="BZ1986">
        <v>0</v>
      </c>
      <c r="CA1986">
        <v>0</v>
      </c>
      <c r="CB1986">
        <v>0</v>
      </c>
      <c r="CC1986">
        <v>0</v>
      </c>
      <c r="CD1986">
        <v>0</v>
      </c>
      <c r="CE1986">
        <v>0</v>
      </c>
      <c r="CF1986">
        <v>0</v>
      </c>
      <c r="CG1986">
        <v>0</v>
      </c>
      <c r="CH1986">
        <v>0</v>
      </c>
      <c r="CI1986">
        <v>0</v>
      </c>
      <c r="CJ1986">
        <v>0</v>
      </c>
      <c r="CK1986">
        <v>0</v>
      </c>
      <c r="CL1986">
        <v>0</v>
      </c>
      <c r="CM1986">
        <v>0</v>
      </c>
      <c r="CR1986" t="s">
        <v>2325</v>
      </c>
      <c r="CS1986" s="1369" t="str">
        <f>INDEX([8]Sheet1!$H:$H,MATCH(CR:CR,[8]Sheet1!$AU:$AU,0))</f>
        <v>Asset Management</v>
      </c>
    </row>
    <row r="1987" spans="1:97" x14ac:dyDescent="0.2">
      <c r="A1987" t="s">
        <v>5249</v>
      </c>
      <c r="B1987">
        <v>2085</v>
      </c>
      <c r="C1987" t="s">
        <v>5249</v>
      </c>
      <c r="D1987">
        <v>55085</v>
      </c>
      <c r="E1987" t="s">
        <v>5250</v>
      </c>
      <c r="F1987" t="s">
        <v>2364</v>
      </c>
      <c r="G1987" t="s">
        <v>2364</v>
      </c>
      <c r="H1987" t="s">
        <v>2365</v>
      </c>
      <c r="I1987" t="s">
        <v>2365</v>
      </c>
      <c r="J1987" t="s">
        <v>2365</v>
      </c>
      <c r="K1987" t="s">
        <v>2365</v>
      </c>
      <c r="L1987">
        <v>1200</v>
      </c>
      <c r="M1987" t="s">
        <v>1480</v>
      </c>
      <c r="N1987">
        <v>1204</v>
      </c>
      <c r="O1987" t="s">
        <v>1487</v>
      </c>
      <c r="P1987" t="s">
        <v>2366</v>
      </c>
      <c r="Q1987" t="s">
        <v>2364</v>
      </c>
      <c r="R1987" t="s">
        <v>2364</v>
      </c>
      <c r="S1987" t="s">
        <v>553</v>
      </c>
      <c r="T1987" t="s">
        <v>2175</v>
      </c>
      <c r="U1987">
        <v>140</v>
      </c>
      <c r="V1987" t="s">
        <v>693</v>
      </c>
      <c r="W1987">
        <v>140</v>
      </c>
      <c r="X1987" t="s">
        <v>693</v>
      </c>
      <c r="Y1987" t="s">
        <v>2365</v>
      </c>
      <c r="Z1987" t="s">
        <v>2365</v>
      </c>
      <c r="AA1987" t="s">
        <v>2365</v>
      </c>
      <c r="AB1987" t="s">
        <v>2365</v>
      </c>
      <c r="AC1987" s="813" t="s">
        <v>2365</v>
      </c>
      <c r="AD1987" s="813" t="s">
        <v>2365</v>
      </c>
      <c r="AE1987" s="813" t="s">
        <v>2365</v>
      </c>
      <c r="AF1987" t="s">
        <v>2365</v>
      </c>
      <c r="AG1987" t="s">
        <v>2365</v>
      </c>
      <c r="AH1987" t="s">
        <v>2365</v>
      </c>
      <c r="AI1987" t="s">
        <v>2365</v>
      </c>
      <c r="AJ1987" t="s">
        <v>2365</v>
      </c>
      <c r="AK1987" t="s">
        <v>2366</v>
      </c>
      <c r="AL1987" t="s">
        <v>2366</v>
      </c>
      <c r="AM1987" t="s">
        <v>2366</v>
      </c>
      <c r="AN1987" t="s">
        <v>2366</v>
      </c>
      <c r="AR1987" t="s">
        <v>2365</v>
      </c>
      <c r="AS1987" t="s">
        <v>2365</v>
      </c>
      <c r="AT1987" t="s">
        <v>2365</v>
      </c>
      <c r="AU1987" t="s">
        <v>2365</v>
      </c>
      <c r="AV1987" t="s">
        <v>2365</v>
      </c>
      <c r="AW1987" t="s">
        <v>2365</v>
      </c>
      <c r="AX1987" t="s">
        <v>2365</v>
      </c>
      <c r="AY1987" t="s">
        <v>2365</v>
      </c>
      <c r="AZ1987" t="s">
        <v>2365</v>
      </c>
      <c r="BA1987" t="s">
        <v>2365</v>
      </c>
      <c r="BB1987" t="s">
        <v>2365</v>
      </c>
      <c r="BC1987" t="s">
        <v>2365</v>
      </c>
      <c r="BD1987" t="s">
        <v>2366</v>
      </c>
      <c r="BE1987" t="s">
        <v>2365</v>
      </c>
      <c r="BF1987" t="s">
        <v>2365</v>
      </c>
      <c r="BG1987" t="s">
        <v>2365</v>
      </c>
      <c r="BH1987" t="s">
        <v>2365</v>
      </c>
      <c r="BI1987" t="s">
        <v>2366</v>
      </c>
      <c r="BJ1987" t="s">
        <v>2365</v>
      </c>
      <c r="BK1987" t="s">
        <v>2365</v>
      </c>
      <c r="BL1987" t="s">
        <v>2365</v>
      </c>
      <c r="BM1987" t="s">
        <v>2365</v>
      </c>
      <c r="BO1987">
        <v>1</v>
      </c>
      <c r="BP1987">
        <v>11</v>
      </c>
      <c r="BQ1987" t="s">
        <v>2369</v>
      </c>
      <c r="BR1987" t="s">
        <v>1487</v>
      </c>
      <c r="BU1987">
        <v>0</v>
      </c>
      <c r="BV1987">
        <v>0</v>
      </c>
      <c r="BW1987">
        <v>0</v>
      </c>
      <c r="BX1987">
        <v>0</v>
      </c>
      <c r="BY1987">
        <v>0</v>
      </c>
      <c r="BZ1987">
        <v>0</v>
      </c>
      <c r="CA1987">
        <v>0</v>
      </c>
      <c r="CB1987">
        <v>0</v>
      </c>
      <c r="CC1987">
        <v>0</v>
      </c>
      <c r="CD1987">
        <v>0</v>
      </c>
      <c r="CE1987">
        <v>0</v>
      </c>
      <c r="CF1987">
        <v>0</v>
      </c>
      <c r="CG1987">
        <v>0</v>
      </c>
      <c r="CH1987">
        <v>0</v>
      </c>
      <c r="CI1987">
        <v>0</v>
      </c>
      <c r="CJ1987">
        <v>0</v>
      </c>
      <c r="CK1987">
        <v>0</v>
      </c>
      <c r="CL1987">
        <v>0</v>
      </c>
      <c r="CM1987">
        <v>0</v>
      </c>
      <c r="CR1987" t="s">
        <v>2325</v>
      </c>
      <c r="CS1987" s="1369" t="str">
        <f>INDEX([8]Sheet1!$H:$H,MATCH(CR:CR,[8]Sheet1!$AU:$AU,0))</f>
        <v>Asset Management</v>
      </c>
    </row>
    <row r="1988" spans="1:97" x14ac:dyDescent="0.2">
      <c r="A1988" t="s">
        <v>5251</v>
      </c>
      <c r="B1988">
        <v>2086</v>
      </c>
      <c r="C1988" t="s">
        <v>5251</v>
      </c>
      <c r="D1988">
        <v>55086</v>
      </c>
      <c r="E1988" t="s">
        <v>5252</v>
      </c>
      <c r="F1988" t="s">
        <v>2364</v>
      </c>
      <c r="G1988" t="s">
        <v>2364</v>
      </c>
      <c r="H1988" t="s">
        <v>2365</v>
      </c>
      <c r="I1988" t="s">
        <v>2365</v>
      </c>
      <c r="J1988" t="s">
        <v>2365</v>
      </c>
      <c r="K1988" t="s">
        <v>2365</v>
      </c>
      <c r="L1988">
        <v>1200</v>
      </c>
      <c r="M1988" t="s">
        <v>1480</v>
      </c>
      <c r="N1988">
        <v>1204</v>
      </c>
      <c r="O1988" t="s">
        <v>1487</v>
      </c>
      <c r="P1988" t="s">
        <v>2366</v>
      </c>
      <c r="Q1988" t="s">
        <v>2364</v>
      </c>
      <c r="R1988" t="s">
        <v>2364</v>
      </c>
      <c r="S1988" t="s">
        <v>553</v>
      </c>
      <c r="T1988" t="s">
        <v>2175</v>
      </c>
      <c r="U1988">
        <v>140</v>
      </c>
      <c r="V1988" t="s">
        <v>693</v>
      </c>
      <c r="W1988">
        <v>140</v>
      </c>
      <c r="X1988" t="s">
        <v>693</v>
      </c>
      <c r="Y1988" t="s">
        <v>2365</v>
      </c>
      <c r="Z1988" t="s">
        <v>2365</v>
      </c>
      <c r="AA1988" t="s">
        <v>2365</v>
      </c>
      <c r="AB1988" t="s">
        <v>2365</v>
      </c>
      <c r="AC1988" s="813" t="s">
        <v>2365</v>
      </c>
      <c r="AD1988" s="813" t="s">
        <v>2365</v>
      </c>
      <c r="AE1988" s="813" t="s">
        <v>2365</v>
      </c>
      <c r="AF1988" t="s">
        <v>2365</v>
      </c>
      <c r="AG1988" t="s">
        <v>2365</v>
      </c>
      <c r="AH1988" t="s">
        <v>2365</v>
      </c>
      <c r="AI1988" t="s">
        <v>2365</v>
      </c>
      <c r="AJ1988" t="s">
        <v>2365</v>
      </c>
      <c r="AK1988" t="s">
        <v>2366</v>
      </c>
      <c r="AL1988" t="s">
        <v>2366</v>
      </c>
      <c r="AM1988" t="s">
        <v>2366</v>
      </c>
      <c r="AN1988" t="s">
        <v>2366</v>
      </c>
      <c r="AR1988" t="s">
        <v>2365</v>
      </c>
      <c r="AS1988" t="s">
        <v>2365</v>
      </c>
      <c r="AT1988" t="s">
        <v>2365</v>
      </c>
      <c r="AU1988" t="s">
        <v>2365</v>
      </c>
      <c r="AV1988" t="s">
        <v>2365</v>
      </c>
      <c r="AW1988" t="s">
        <v>2365</v>
      </c>
      <c r="AX1988" t="s">
        <v>2365</v>
      </c>
      <c r="AY1988" t="s">
        <v>2365</v>
      </c>
      <c r="AZ1988" t="s">
        <v>2365</v>
      </c>
      <c r="BA1988" t="s">
        <v>2365</v>
      </c>
      <c r="BB1988" t="s">
        <v>2365</v>
      </c>
      <c r="BC1988" t="s">
        <v>2365</v>
      </c>
      <c r="BD1988" t="s">
        <v>2366</v>
      </c>
      <c r="BE1988" t="s">
        <v>2365</v>
      </c>
      <c r="BF1988" t="s">
        <v>2365</v>
      </c>
      <c r="BG1988" t="s">
        <v>2365</v>
      </c>
      <c r="BH1988" t="s">
        <v>2365</v>
      </c>
      <c r="BI1988" t="s">
        <v>2366</v>
      </c>
      <c r="BJ1988" t="s">
        <v>2365</v>
      </c>
      <c r="BK1988" t="s">
        <v>2365</v>
      </c>
      <c r="BL1988" t="s">
        <v>2365</v>
      </c>
      <c r="BM1988" t="s">
        <v>2365</v>
      </c>
      <c r="BO1988">
        <v>1</v>
      </c>
      <c r="BP1988">
        <v>11</v>
      </c>
      <c r="BQ1988" t="s">
        <v>2369</v>
      </c>
      <c r="BR1988" t="s">
        <v>1487</v>
      </c>
      <c r="BU1988">
        <v>0</v>
      </c>
      <c r="BV1988">
        <v>0</v>
      </c>
      <c r="BW1988">
        <v>0</v>
      </c>
      <c r="BX1988">
        <v>0</v>
      </c>
      <c r="BY1988">
        <v>0</v>
      </c>
      <c r="BZ1988">
        <v>0</v>
      </c>
      <c r="CA1988">
        <v>0</v>
      </c>
      <c r="CB1988">
        <v>0</v>
      </c>
      <c r="CC1988">
        <v>0</v>
      </c>
      <c r="CD1988">
        <v>0</v>
      </c>
      <c r="CE1988">
        <v>0</v>
      </c>
      <c r="CF1988">
        <v>0</v>
      </c>
      <c r="CG1988">
        <v>0</v>
      </c>
      <c r="CH1988">
        <v>0</v>
      </c>
      <c r="CI1988">
        <v>0</v>
      </c>
      <c r="CJ1988">
        <v>0</v>
      </c>
      <c r="CK1988">
        <v>0</v>
      </c>
      <c r="CL1988">
        <v>0</v>
      </c>
      <c r="CM1988">
        <v>0</v>
      </c>
      <c r="CR1988" t="s">
        <v>2325</v>
      </c>
      <c r="CS1988" s="1369" t="str">
        <f>INDEX([8]Sheet1!$H:$H,MATCH(CR:CR,[8]Sheet1!$AU:$AU,0))</f>
        <v>Asset Management</v>
      </c>
    </row>
    <row r="1989" spans="1:97" x14ac:dyDescent="0.2">
      <c r="A1989" t="s">
        <v>5253</v>
      </c>
      <c r="B1989">
        <v>2087</v>
      </c>
      <c r="C1989" t="s">
        <v>5253</v>
      </c>
      <c r="D1989">
        <v>55087</v>
      </c>
      <c r="E1989" t="s">
        <v>5254</v>
      </c>
      <c r="F1989" t="s">
        <v>2364</v>
      </c>
      <c r="G1989" t="s">
        <v>2364</v>
      </c>
      <c r="H1989" t="s">
        <v>2365</v>
      </c>
      <c r="I1989" t="s">
        <v>2365</v>
      </c>
      <c r="J1989" t="s">
        <v>2365</v>
      </c>
      <c r="K1989" t="s">
        <v>2365</v>
      </c>
      <c r="L1989">
        <v>1200</v>
      </c>
      <c r="M1989" t="s">
        <v>1480</v>
      </c>
      <c r="N1989">
        <v>1204</v>
      </c>
      <c r="O1989" t="s">
        <v>1487</v>
      </c>
      <c r="P1989" t="s">
        <v>2366</v>
      </c>
      <c r="Q1989" t="s">
        <v>2364</v>
      </c>
      <c r="R1989" t="s">
        <v>2364</v>
      </c>
      <c r="S1989" t="s">
        <v>553</v>
      </c>
      <c r="T1989" t="s">
        <v>2175</v>
      </c>
      <c r="U1989" t="s">
        <v>2366</v>
      </c>
      <c r="V1989" t="s">
        <v>2366</v>
      </c>
      <c r="W1989" t="s">
        <v>2366</v>
      </c>
      <c r="X1989" t="s">
        <v>2366</v>
      </c>
      <c r="Y1989" t="s">
        <v>2365</v>
      </c>
      <c r="Z1989" t="s">
        <v>2365</v>
      </c>
      <c r="AA1989" t="s">
        <v>2365</v>
      </c>
      <c r="AB1989" t="s">
        <v>2365</v>
      </c>
      <c r="AC1989" s="813" t="s">
        <v>2365</v>
      </c>
      <c r="AD1989" s="813" t="s">
        <v>2365</v>
      </c>
      <c r="AE1989" s="813" t="s">
        <v>2365</v>
      </c>
      <c r="AF1989" t="s">
        <v>2365</v>
      </c>
      <c r="AG1989" t="s">
        <v>2365</v>
      </c>
      <c r="AH1989" t="s">
        <v>2365</v>
      </c>
      <c r="AI1989" t="s">
        <v>2365</v>
      </c>
      <c r="AJ1989" t="s">
        <v>2365</v>
      </c>
      <c r="AK1989" s="1373">
        <v>145</v>
      </c>
      <c r="AL1989" t="s">
        <v>1198</v>
      </c>
      <c r="AM1989">
        <v>145</v>
      </c>
      <c r="AN1989" t="s">
        <v>1198</v>
      </c>
      <c r="AR1989" t="s">
        <v>2365</v>
      </c>
      <c r="AS1989" t="s">
        <v>2365</v>
      </c>
      <c r="AT1989" t="s">
        <v>2365</v>
      </c>
      <c r="AU1989" t="s">
        <v>2365</v>
      </c>
      <c r="AV1989" t="s">
        <v>2365</v>
      </c>
      <c r="AW1989" t="s">
        <v>2365</v>
      </c>
      <c r="AX1989" t="s">
        <v>2365</v>
      </c>
      <c r="AY1989" t="s">
        <v>2365</v>
      </c>
      <c r="AZ1989" t="s">
        <v>2365</v>
      </c>
      <c r="BA1989" t="s">
        <v>2365</v>
      </c>
      <c r="BB1989" t="s">
        <v>2365</v>
      </c>
      <c r="BC1989" t="s">
        <v>2365</v>
      </c>
      <c r="BD1989" t="s">
        <v>2366</v>
      </c>
      <c r="BE1989" t="s">
        <v>2365</v>
      </c>
      <c r="BF1989" t="s">
        <v>2365</v>
      </c>
      <c r="BG1989" t="s">
        <v>2365</v>
      </c>
      <c r="BH1989" t="s">
        <v>2365</v>
      </c>
      <c r="BI1989" t="s">
        <v>2366</v>
      </c>
      <c r="BJ1989" t="s">
        <v>2365</v>
      </c>
      <c r="BK1989" t="s">
        <v>2365</v>
      </c>
      <c r="BL1989" t="s">
        <v>2365</v>
      </c>
      <c r="BM1989" t="s">
        <v>2365</v>
      </c>
      <c r="BO1989">
        <v>1</v>
      </c>
      <c r="BP1989">
        <v>11</v>
      </c>
      <c r="BQ1989" t="s">
        <v>2369</v>
      </c>
      <c r="BR1989" t="s">
        <v>1487</v>
      </c>
      <c r="BU1989">
        <v>0</v>
      </c>
      <c r="BV1989">
        <v>0</v>
      </c>
      <c r="BW1989">
        <v>0</v>
      </c>
      <c r="BX1989">
        <v>0</v>
      </c>
      <c r="BY1989">
        <v>0</v>
      </c>
      <c r="BZ1989">
        <v>0</v>
      </c>
      <c r="CA1989">
        <v>0</v>
      </c>
      <c r="CB1989">
        <v>0</v>
      </c>
      <c r="CC1989">
        <v>0</v>
      </c>
      <c r="CD1989">
        <v>0</v>
      </c>
      <c r="CE1989">
        <v>0</v>
      </c>
      <c r="CF1989">
        <v>0</v>
      </c>
      <c r="CG1989">
        <v>0</v>
      </c>
      <c r="CH1989">
        <v>0</v>
      </c>
      <c r="CI1989">
        <v>0</v>
      </c>
      <c r="CJ1989">
        <v>0</v>
      </c>
      <c r="CK1989">
        <v>0</v>
      </c>
      <c r="CL1989">
        <v>0</v>
      </c>
      <c r="CM1989">
        <v>0</v>
      </c>
      <c r="CR1989" t="s">
        <v>2325</v>
      </c>
      <c r="CS1989" s="1369" t="str">
        <f>INDEX([8]Sheet1!$H:$H,MATCH(CR:CR,[8]Sheet1!$AU:$AU,0))</f>
        <v>Asset Management</v>
      </c>
    </row>
    <row r="1990" spans="1:97" x14ac:dyDescent="0.2">
      <c r="A1990" t="s">
        <v>5255</v>
      </c>
      <c r="B1990">
        <v>2088</v>
      </c>
      <c r="C1990" t="s">
        <v>5255</v>
      </c>
      <c r="D1990">
        <v>55088</v>
      </c>
      <c r="E1990" t="s">
        <v>5256</v>
      </c>
      <c r="F1990" t="s">
        <v>2364</v>
      </c>
      <c r="G1990" t="s">
        <v>2364</v>
      </c>
      <c r="H1990" s="1373" t="s">
        <v>2365</v>
      </c>
      <c r="I1990" t="s">
        <v>2365</v>
      </c>
      <c r="J1990" t="s">
        <v>2365</v>
      </c>
      <c r="K1990" t="s">
        <v>2365</v>
      </c>
      <c r="L1990" s="1373">
        <v>1200</v>
      </c>
      <c r="M1990" t="s">
        <v>1480</v>
      </c>
      <c r="N1990">
        <v>1204</v>
      </c>
      <c r="O1990" t="s">
        <v>1487</v>
      </c>
      <c r="P1990" t="s">
        <v>2366</v>
      </c>
      <c r="Q1990" t="s">
        <v>2364</v>
      </c>
      <c r="R1990" t="s">
        <v>2364</v>
      </c>
      <c r="S1990" t="s">
        <v>553</v>
      </c>
      <c r="T1990" t="s">
        <v>2175</v>
      </c>
      <c r="U1990" t="s">
        <v>2366</v>
      </c>
      <c r="V1990" t="s">
        <v>2366</v>
      </c>
      <c r="W1990" t="s">
        <v>2366</v>
      </c>
      <c r="X1990" t="s">
        <v>2366</v>
      </c>
      <c r="Y1990" t="s">
        <v>2365</v>
      </c>
      <c r="Z1990" t="s">
        <v>2365</v>
      </c>
      <c r="AA1990" t="s">
        <v>2365</v>
      </c>
      <c r="AB1990" t="s">
        <v>2365</v>
      </c>
      <c r="AC1990" s="813" t="s">
        <v>2365</v>
      </c>
      <c r="AD1990" s="813" t="s">
        <v>2365</v>
      </c>
      <c r="AE1990" s="813" t="s">
        <v>2365</v>
      </c>
      <c r="AF1990" t="s">
        <v>2365</v>
      </c>
      <c r="AG1990" t="s">
        <v>2365</v>
      </c>
      <c r="AH1990" t="s">
        <v>2365</v>
      </c>
      <c r="AI1990" t="s">
        <v>2365</v>
      </c>
      <c r="AJ1990" t="s">
        <v>2365</v>
      </c>
      <c r="AK1990">
        <v>145</v>
      </c>
      <c r="AL1990" t="s">
        <v>1198</v>
      </c>
      <c r="AM1990">
        <v>145</v>
      </c>
      <c r="AN1990" t="s">
        <v>1198</v>
      </c>
      <c r="AR1990" t="s">
        <v>2365</v>
      </c>
      <c r="AS1990" t="s">
        <v>2365</v>
      </c>
      <c r="AT1990" t="s">
        <v>2365</v>
      </c>
      <c r="AU1990" t="s">
        <v>2365</v>
      </c>
      <c r="AV1990" t="s">
        <v>2365</v>
      </c>
      <c r="AW1990" t="s">
        <v>2365</v>
      </c>
      <c r="AX1990" t="s">
        <v>2365</v>
      </c>
      <c r="AY1990" t="s">
        <v>2365</v>
      </c>
      <c r="AZ1990" t="s">
        <v>2365</v>
      </c>
      <c r="BA1990" t="s">
        <v>2365</v>
      </c>
      <c r="BB1990" t="s">
        <v>2365</v>
      </c>
      <c r="BC1990" t="s">
        <v>2365</v>
      </c>
      <c r="BD1990" t="s">
        <v>2366</v>
      </c>
      <c r="BE1990" t="s">
        <v>2365</v>
      </c>
      <c r="BF1990" t="s">
        <v>2365</v>
      </c>
      <c r="BG1990" t="s">
        <v>2365</v>
      </c>
      <c r="BH1990" t="s">
        <v>2365</v>
      </c>
      <c r="BI1990" t="s">
        <v>2366</v>
      </c>
      <c r="BJ1990" t="s">
        <v>2365</v>
      </c>
      <c r="BK1990" t="s">
        <v>2365</v>
      </c>
      <c r="BL1990" t="s">
        <v>2365</v>
      </c>
      <c r="BM1990" t="s">
        <v>2365</v>
      </c>
      <c r="BO1990">
        <v>1</v>
      </c>
      <c r="BP1990">
        <v>11</v>
      </c>
      <c r="BQ1990" t="s">
        <v>2369</v>
      </c>
      <c r="BR1990" t="s">
        <v>1487</v>
      </c>
      <c r="BU1990" s="1371">
        <v>0</v>
      </c>
      <c r="BV1990" s="1371">
        <v>0</v>
      </c>
      <c r="BW1990" s="1371">
        <v>0</v>
      </c>
      <c r="BX1990" s="1371">
        <v>0</v>
      </c>
      <c r="BY1990" s="1371">
        <v>0</v>
      </c>
      <c r="BZ1990">
        <v>0</v>
      </c>
      <c r="CA1990">
        <v>0</v>
      </c>
      <c r="CB1990">
        <v>0</v>
      </c>
      <c r="CC1990">
        <v>0</v>
      </c>
      <c r="CD1990">
        <v>0</v>
      </c>
      <c r="CE1990">
        <v>0</v>
      </c>
      <c r="CF1990">
        <v>0</v>
      </c>
      <c r="CG1990">
        <v>0</v>
      </c>
      <c r="CH1990">
        <v>0</v>
      </c>
      <c r="CI1990">
        <v>0</v>
      </c>
      <c r="CJ1990">
        <v>0</v>
      </c>
      <c r="CK1990">
        <v>0</v>
      </c>
      <c r="CL1990">
        <v>0</v>
      </c>
      <c r="CM1990">
        <v>0</v>
      </c>
      <c r="CR1990" t="s">
        <v>2325</v>
      </c>
      <c r="CS1990" s="1369" t="str">
        <f>INDEX([8]Sheet1!$H:$H,MATCH(CR:CR,[8]Sheet1!$AU:$AU,0))</f>
        <v>Asset Management</v>
      </c>
    </row>
    <row r="1991" spans="1:97" x14ac:dyDescent="0.2">
      <c r="A1991" t="s">
        <v>5257</v>
      </c>
      <c r="B1991">
        <v>2089</v>
      </c>
      <c r="C1991" t="s">
        <v>5257</v>
      </c>
      <c r="D1991">
        <v>55089</v>
      </c>
      <c r="E1991" t="s">
        <v>5258</v>
      </c>
      <c r="F1991" t="s">
        <v>2364</v>
      </c>
      <c r="G1991" t="s">
        <v>2364</v>
      </c>
      <c r="H1991" s="1373" t="s">
        <v>2365</v>
      </c>
      <c r="I1991" t="s">
        <v>2365</v>
      </c>
      <c r="J1991" t="s">
        <v>2365</v>
      </c>
      <c r="K1991" t="s">
        <v>2365</v>
      </c>
      <c r="L1991" s="1373">
        <v>1200</v>
      </c>
      <c r="M1991" t="s">
        <v>1480</v>
      </c>
      <c r="N1991">
        <v>1204</v>
      </c>
      <c r="O1991" t="s">
        <v>1487</v>
      </c>
      <c r="P1991" t="s">
        <v>2366</v>
      </c>
      <c r="Q1991" t="s">
        <v>2364</v>
      </c>
      <c r="R1991" t="s">
        <v>2364</v>
      </c>
      <c r="S1991" t="s">
        <v>553</v>
      </c>
      <c r="T1991" t="s">
        <v>2175</v>
      </c>
      <c r="U1991">
        <v>140</v>
      </c>
      <c r="V1991" t="s">
        <v>693</v>
      </c>
      <c r="W1991">
        <v>140</v>
      </c>
      <c r="X1991" t="s">
        <v>693</v>
      </c>
      <c r="Y1991" t="s">
        <v>2365</v>
      </c>
      <c r="Z1991" t="s">
        <v>2365</v>
      </c>
      <c r="AA1991" t="s">
        <v>2365</v>
      </c>
      <c r="AB1991" t="s">
        <v>2365</v>
      </c>
      <c r="AC1991" s="813" t="s">
        <v>2365</v>
      </c>
      <c r="AD1991" s="813" t="s">
        <v>2365</v>
      </c>
      <c r="AE1991" s="813" t="s">
        <v>2365</v>
      </c>
      <c r="AF1991" t="s">
        <v>2365</v>
      </c>
      <c r="AG1991" t="s">
        <v>2365</v>
      </c>
      <c r="AH1991" t="s">
        <v>2365</v>
      </c>
      <c r="AI1991" t="s">
        <v>2365</v>
      </c>
      <c r="AJ1991" t="s">
        <v>2365</v>
      </c>
      <c r="AK1991" t="s">
        <v>2366</v>
      </c>
      <c r="AL1991" t="s">
        <v>2366</v>
      </c>
      <c r="AM1991" t="s">
        <v>2366</v>
      </c>
      <c r="AN1991" t="s">
        <v>2366</v>
      </c>
      <c r="AR1991" t="s">
        <v>2365</v>
      </c>
      <c r="AS1991" t="s">
        <v>2365</v>
      </c>
      <c r="AT1991" t="s">
        <v>2365</v>
      </c>
      <c r="AU1991" t="s">
        <v>2365</v>
      </c>
      <c r="AV1991" t="s">
        <v>2365</v>
      </c>
      <c r="AW1991" t="s">
        <v>2365</v>
      </c>
      <c r="AX1991" t="s">
        <v>2365</v>
      </c>
      <c r="AY1991" t="s">
        <v>2365</v>
      </c>
      <c r="AZ1991" t="s">
        <v>2365</v>
      </c>
      <c r="BA1991" t="s">
        <v>2365</v>
      </c>
      <c r="BB1991" t="s">
        <v>2365</v>
      </c>
      <c r="BC1991" t="s">
        <v>2365</v>
      </c>
      <c r="BD1991" t="s">
        <v>2366</v>
      </c>
      <c r="BE1991" t="s">
        <v>2365</v>
      </c>
      <c r="BF1991" t="s">
        <v>2365</v>
      </c>
      <c r="BG1991" t="s">
        <v>2365</v>
      </c>
      <c r="BH1991" t="s">
        <v>2365</v>
      </c>
      <c r="BI1991" t="s">
        <v>2366</v>
      </c>
      <c r="BJ1991" t="s">
        <v>2365</v>
      </c>
      <c r="BK1991" t="s">
        <v>2365</v>
      </c>
      <c r="BL1991" t="s">
        <v>2365</v>
      </c>
      <c r="BM1991" t="s">
        <v>2365</v>
      </c>
      <c r="BO1991">
        <v>1</v>
      </c>
      <c r="BP1991">
        <v>11</v>
      </c>
      <c r="BQ1991" t="s">
        <v>2369</v>
      </c>
      <c r="BR1991" t="s">
        <v>1487</v>
      </c>
      <c r="BU1991" s="1371">
        <v>0</v>
      </c>
      <c r="BV1991" s="1371">
        <v>0</v>
      </c>
      <c r="BW1991" s="1371">
        <v>0</v>
      </c>
      <c r="BX1991" s="1371">
        <v>0</v>
      </c>
      <c r="BY1991" s="1371">
        <v>0</v>
      </c>
      <c r="BZ1991">
        <v>0</v>
      </c>
      <c r="CA1991">
        <v>0</v>
      </c>
      <c r="CB1991">
        <v>0</v>
      </c>
      <c r="CC1991">
        <v>0</v>
      </c>
      <c r="CD1991">
        <v>0</v>
      </c>
      <c r="CE1991">
        <v>0</v>
      </c>
      <c r="CF1991">
        <v>0</v>
      </c>
      <c r="CG1991">
        <v>0</v>
      </c>
      <c r="CH1991">
        <v>0</v>
      </c>
      <c r="CI1991">
        <v>0</v>
      </c>
      <c r="CJ1991">
        <v>0</v>
      </c>
      <c r="CK1991">
        <v>0</v>
      </c>
      <c r="CL1991">
        <v>0</v>
      </c>
      <c r="CM1991">
        <v>0</v>
      </c>
      <c r="CR1991" t="s">
        <v>2325</v>
      </c>
      <c r="CS1991" s="1369" t="str">
        <f>INDEX([8]Sheet1!$H:$H,MATCH(CR:CR,[8]Sheet1!$AU:$AU,0))</f>
        <v>Asset Management</v>
      </c>
    </row>
    <row r="1992" spans="1:97" x14ac:dyDescent="0.2">
      <c r="A1992" t="s">
        <v>5259</v>
      </c>
      <c r="B1992">
        <v>2090</v>
      </c>
      <c r="C1992" t="s">
        <v>5259</v>
      </c>
      <c r="D1992">
        <v>55090</v>
      </c>
      <c r="E1992" t="s">
        <v>5260</v>
      </c>
      <c r="F1992" t="s">
        <v>2364</v>
      </c>
      <c r="G1992" t="s">
        <v>2364</v>
      </c>
      <c r="H1992" s="1373" t="s">
        <v>2365</v>
      </c>
      <c r="I1992" t="s">
        <v>2365</v>
      </c>
      <c r="J1992" t="s">
        <v>2365</v>
      </c>
      <c r="K1992" t="s">
        <v>2365</v>
      </c>
      <c r="L1992" s="1373">
        <v>1200</v>
      </c>
      <c r="M1992" t="s">
        <v>1480</v>
      </c>
      <c r="N1992">
        <v>1204</v>
      </c>
      <c r="O1992" t="s">
        <v>1487</v>
      </c>
      <c r="P1992" t="s">
        <v>2366</v>
      </c>
      <c r="Q1992" t="s">
        <v>2364</v>
      </c>
      <c r="R1992" t="s">
        <v>2364</v>
      </c>
      <c r="S1992" t="s">
        <v>553</v>
      </c>
      <c r="T1992" t="s">
        <v>2175</v>
      </c>
      <c r="U1992" t="s">
        <v>2366</v>
      </c>
      <c r="V1992" t="s">
        <v>2366</v>
      </c>
      <c r="W1992" t="s">
        <v>2366</v>
      </c>
      <c r="X1992" t="s">
        <v>2366</v>
      </c>
      <c r="Y1992" t="s">
        <v>2365</v>
      </c>
      <c r="Z1992" t="s">
        <v>2365</v>
      </c>
      <c r="AA1992" t="s">
        <v>2365</v>
      </c>
      <c r="AB1992" t="s">
        <v>2365</v>
      </c>
      <c r="AC1992" s="813" t="s">
        <v>2365</v>
      </c>
      <c r="AD1992" s="813" t="s">
        <v>2365</v>
      </c>
      <c r="AE1992" s="813" t="s">
        <v>2365</v>
      </c>
      <c r="AF1992" t="s">
        <v>2365</v>
      </c>
      <c r="AG1992" t="s">
        <v>2365</v>
      </c>
      <c r="AH1992" t="s">
        <v>2365</v>
      </c>
      <c r="AI1992" t="s">
        <v>2365</v>
      </c>
      <c r="AJ1992" t="s">
        <v>2365</v>
      </c>
      <c r="AK1992">
        <v>145</v>
      </c>
      <c r="AL1992" t="s">
        <v>1198</v>
      </c>
      <c r="AM1992">
        <v>145</v>
      </c>
      <c r="AN1992" t="s">
        <v>1198</v>
      </c>
      <c r="AR1992" t="s">
        <v>2365</v>
      </c>
      <c r="AS1992" t="s">
        <v>2365</v>
      </c>
      <c r="AT1992" t="s">
        <v>2365</v>
      </c>
      <c r="AU1992" t="s">
        <v>2365</v>
      </c>
      <c r="AV1992" t="s">
        <v>2365</v>
      </c>
      <c r="AW1992" t="s">
        <v>2365</v>
      </c>
      <c r="AX1992" t="s">
        <v>2365</v>
      </c>
      <c r="AY1992" t="s">
        <v>2365</v>
      </c>
      <c r="AZ1992" t="s">
        <v>2365</v>
      </c>
      <c r="BA1992" t="s">
        <v>2365</v>
      </c>
      <c r="BB1992" t="s">
        <v>2365</v>
      </c>
      <c r="BC1992" t="s">
        <v>2365</v>
      </c>
      <c r="BD1992" t="s">
        <v>2366</v>
      </c>
      <c r="BE1992" t="s">
        <v>2365</v>
      </c>
      <c r="BF1992" t="s">
        <v>2365</v>
      </c>
      <c r="BG1992" t="s">
        <v>2365</v>
      </c>
      <c r="BH1992" t="s">
        <v>2365</v>
      </c>
      <c r="BI1992" t="s">
        <v>2366</v>
      </c>
      <c r="BJ1992" t="s">
        <v>2365</v>
      </c>
      <c r="BK1992" t="s">
        <v>2365</v>
      </c>
      <c r="BL1992" t="s">
        <v>2365</v>
      </c>
      <c r="BM1992" t="s">
        <v>2365</v>
      </c>
      <c r="BO1992">
        <v>1</v>
      </c>
      <c r="BP1992">
        <v>11</v>
      </c>
      <c r="BQ1992" t="s">
        <v>2369</v>
      </c>
      <c r="BR1992" t="s">
        <v>1487</v>
      </c>
      <c r="BU1992" s="1371">
        <v>0</v>
      </c>
      <c r="BV1992" s="1371">
        <v>0</v>
      </c>
      <c r="BW1992" s="1371">
        <v>0</v>
      </c>
      <c r="BX1992" s="1371">
        <v>0</v>
      </c>
      <c r="BY1992" s="1371">
        <v>0</v>
      </c>
      <c r="BZ1992">
        <v>0</v>
      </c>
      <c r="CA1992">
        <v>0</v>
      </c>
      <c r="CB1992">
        <v>0</v>
      </c>
      <c r="CC1992">
        <v>0</v>
      </c>
      <c r="CD1992">
        <v>0</v>
      </c>
      <c r="CE1992">
        <v>0</v>
      </c>
      <c r="CF1992">
        <v>0</v>
      </c>
      <c r="CG1992">
        <v>0</v>
      </c>
      <c r="CH1992">
        <v>0</v>
      </c>
      <c r="CI1992">
        <v>0</v>
      </c>
      <c r="CJ1992">
        <v>0</v>
      </c>
      <c r="CK1992">
        <v>0</v>
      </c>
      <c r="CL1992">
        <v>0</v>
      </c>
      <c r="CM1992">
        <v>0</v>
      </c>
      <c r="CR1992" t="s">
        <v>2325</v>
      </c>
      <c r="CS1992" s="1369" t="str">
        <f>INDEX([8]Sheet1!$H:$H,MATCH(CR:CR,[8]Sheet1!$AU:$AU,0))</f>
        <v>Asset Management</v>
      </c>
    </row>
    <row r="1993" spans="1:97" x14ac:dyDescent="0.2">
      <c r="A1993" t="s">
        <v>5261</v>
      </c>
      <c r="B1993">
        <v>2091</v>
      </c>
      <c r="C1993" t="s">
        <v>5261</v>
      </c>
      <c r="D1993">
        <v>55091</v>
      </c>
      <c r="E1993" t="s">
        <v>5262</v>
      </c>
      <c r="F1993" t="s">
        <v>2364</v>
      </c>
      <c r="G1993" t="s">
        <v>2364</v>
      </c>
      <c r="H1993" s="1373" t="s">
        <v>2365</v>
      </c>
      <c r="I1993" t="s">
        <v>2365</v>
      </c>
      <c r="J1993" t="s">
        <v>2365</v>
      </c>
      <c r="K1993" t="s">
        <v>2365</v>
      </c>
      <c r="L1993" s="1373">
        <v>1200</v>
      </c>
      <c r="M1993" t="s">
        <v>1480</v>
      </c>
      <c r="N1993">
        <v>1204</v>
      </c>
      <c r="O1993" t="s">
        <v>1487</v>
      </c>
      <c r="P1993" t="s">
        <v>2366</v>
      </c>
      <c r="Q1993" t="s">
        <v>2364</v>
      </c>
      <c r="R1993" t="s">
        <v>2364</v>
      </c>
      <c r="S1993" t="s">
        <v>553</v>
      </c>
      <c r="T1993" t="s">
        <v>2175</v>
      </c>
      <c r="U1993" t="s">
        <v>2366</v>
      </c>
      <c r="V1993" t="s">
        <v>2366</v>
      </c>
      <c r="W1993" t="s">
        <v>2366</v>
      </c>
      <c r="X1993" t="s">
        <v>2366</v>
      </c>
      <c r="Y1993" t="s">
        <v>2365</v>
      </c>
      <c r="Z1993" t="s">
        <v>2365</v>
      </c>
      <c r="AA1993" t="s">
        <v>2365</v>
      </c>
      <c r="AB1993" t="s">
        <v>2365</v>
      </c>
      <c r="AC1993" s="813" t="s">
        <v>2365</v>
      </c>
      <c r="AD1993" s="813" t="s">
        <v>2365</v>
      </c>
      <c r="AE1993" s="813" t="s">
        <v>2365</v>
      </c>
      <c r="AF1993" t="s">
        <v>2365</v>
      </c>
      <c r="AG1993" t="s">
        <v>2365</v>
      </c>
      <c r="AH1993" t="s">
        <v>2365</v>
      </c>
      <c r="AI1993" t="s">
        <v>2365</v>
      </c>
      <c r="AJ1993" t="s">
        <v>2365</v>
      </c>
      <c r="AK1993">
        <v>145</v>
      </c>
      <c r="AL1993" t="s">
        <v>1198</v>
      </c>
      <c r="AM1993">
        <v>145</v>
      </c>
      <c r="AN1993" t="s">
        <v>1198</v>
      </c>
      <c r="AR1993" t="s">
        <v>2365</v>
      </c>
      <c r="AS1993" t="s">
        <v>2365</v>
      </c>
      <c r="AT1993" t="s">
        <v>2365</v>
      </c>
      <c r="AU1993" t="s">
        <v>2365</v>
      </c>
      <c r="AV1993" t="s">
        <v>2365</v>
      </c>
      <c r="AW1993" t="s">
        <v>2365</v>
      </c>
      <c r="AX1993" t="s">
        <v>2365</v>
      </c>
      <c r="AY1993" t="s">
        <v>2365</v>
      </c>
      <c r="AZ1993" t="s">
        <v>2365</v>
      </c>
      <c r="BA1993" t="s">
        <v>2365</v>
      </c>
      <c r="BB1993" t="s">
        <v>2365</v>
      </c>
      <c r="BC1993" t="s">
        <v>2365</v>
      </c>
      <c r="BD1993" t="s">
        <v>2366</v>
      </c>
      <c r="BE1993" t="s">
        <v>2365</v>
      </c>
      <c r="BF1993" t="s">
        <v>2365</v>
      </c>
      <c r="BG1993" t="s">
        <v>2365</v>
      </c>
      <c r="BH1993" t="s">
        <v>2365</v>
      </c>
      <c r="BI1993" t="s">
        <v>2366</v>
      </c>
      <c r="BJ1993" t="s">
        <v>2365</v>
      </c>
      <c r="BK1993" t="s">
        <v>2365</v>
      </c>
      <c r="BL1993" t="s">
        <v>2365</v>
      </c>
      <c r="BM1993" t="s">
        <v>2365</v>
      </c>
      <c r="BO1993">
        <v>1</v>
      </c>
      <c r="BP1993">
        <v>11</v>
      </c>
      <c r="BQ1993" t="s">
        <v>2369</v>
      </c>
      <c r="BR1993" t="s">
        <v>1487</v>
      </c>
      <c r="BU1993" s="1371">
        <v>0</v>
      </c>
      <c r="BV1993" s="1371">
        <v>0</v>
      </c>
      <c r="BW1993" s="1371">
        <v>0</v>
      </c>
      <c r="BX1993" s="1371">
        <v>0</v>
      </c>
      <c r="BY1993" s="1371">
        <v>0</v>
      </c>
      <c r="BZ1993">
        <v>0</v>
      </c>
      <c r="CA1993">
        <v>0</v>
      </c>
      <c r="CB1993">
        <v>0</v>
      </c>
      <c r="CC1993">
        <v>0</v>
      </c>
      <c r="CD1993">
        <v>0</v>
      </c>
      <c r="CE1993">
        <v>0</v>
      </c>
      <c r="CF1993">
        <v>0</v>
      </c>
      <c r="CG1993">
        <v>0</v>
      </c>
      <c r="CH1993">
        <v>0</v>
      </c>
      <c r="CI1993">
        <v>0</v>
      </c>
      <c r="CJ1993">
        <v>0</v>
      </c>
      <c r="CK1993">
        <v>0</v>
      </c>
      <c r="CL1993">
        <v>0</v>
      </c>
      <c r="CM1993">
        <v>0</v>
      </c>
      <c r="CR1993" t="s">
        <v>2325</v>
      </c>
      <c r="CS1993" s="1369" t="str">
        <f>INDEX([8]Sheet1!$H:$H,MATCH(CR:CR,[8]Sheet1!$AU:$AU,0))</f>
        <v>Asset Management</v>
      </c>
    </row>
    <row r="1994" spans="1:97" x14ac:dyDescent="0.2">
      <c r="A1994" t="s">
        <v>5263</v>
      </c>
      <c r="B1994">
        <v>2092</v>
      </c>
      <c r="C1994" t="s">
        <v>5263</v>
      </c>
      <c r="D1994">
        <v>55092</v>
      </c>
      <c r="E1994" t="s">
        <v>5264</v>
      </c>
      <c r="F1994" t="s">
        <v>2364</v>
      </c>
      <c r="G1994" t="s">
        <v>2364</v>
      </c>
      <c r="H1994" s="1373" t="s">
        <v>2365</v>
      </c>
      <c r="I1994" t="s">
        <v>2365</v>
      </c>
      <c r="J1994" t="s">
        <v>2365</v>
      </c>
      <c r="K1994" t="s">
        <v>2365</v>
      </c>
      <c r="L1994" s="1373">
        <v>1200</v>
      </c>
      <c r="M1994" t="s">
        <v>1480</v>
      </c>
      <c r="N1994">
        <v>1204</v>
      </c>
      <c r="O1994" t="s">
        <v>1487</v>
      </c>
      <c r="P1994" t="s">
        <v>2366</v>
      </c>
      <c r="Q1994" t="s">
        <v>2364</v>
      </c>
      <c r="R1994" t="s">
        <v>2364</v>
      </c>
      <c r="S1994" t="s">
        <v>553</v>
      </c>
      <c r="T1994" t="s">
        <v>2175</v>
      </c>
      <c r="U1994">
        <v>140</v>
      </c>
      <c r="V1994" t="s">
        <v>693</v>
      </c>
      <c r="W1994">
        <v>140</v>
      </c>
      <c r="X1994" t="s">
        <v>693</v>
      </c>
      <c r="Y1994" t="s">
        <v>2365</v>
      </c>
      <c r="Z1994" t="s">
        <v>2365</v>
      </c>
      <c r="AA1994" t="s">
        <v>2365</v>
      </c>
      <c r="AB1994" t="s">
        <v>2365</v>
      </c>
      <c r="AC1994" s="813" t="s">
        <v>2365</v>
      </c>
      <c r="AD1994" s="813" t="s">
        <v>2365</v>
      </c>
      <c r="AE1994" s="813" t="s">
        <v>2365</v>
      </c>
      <c r="AF1994" t="s">
        <v>2365</v>
      </c>
      <c r="AG1994" t="s">
        <v>2365</v>
      </c>
      <c r="AH1994" t="s">
        <v>2365</v>
      </c>
      <c r="AI1994" t="s">
        <v>2365</v>
      </c>
      <c r="AJ1994" t="s">
        <v>2365</v>
      </c>
      <c r="AK1994" t="s">
        <v>2366</v>
      </c>
      <c r="AL1994" t="s">
        <v>2366</v>
      </c>
      <c r="AM1994" t="s">
        <v>2366</v>
      </c>
      <c r="AN1994" t="s">
        <v>2366</v>
      </c>
      <c r="AR1994" t="s">
        <v>2365</v>
      </c>
      <c r="AS1994" t="s">
        <v>2365</v>
      </c>
      <c r="AT1994" t="s">
        <v>2365</v>
      </c>
      <c r="AU1994" t="s">
        <v>2365</v>
      </c>
      <c r="AV1994" t="s">
        <v>2365</v>
      </c>
      <c r="AW1994" t="s">
        <v>2365</v>
      </c>
      <c r="AX1994" t="s">
        <v>2365</v>
      </c>
      <c r="AY1994" t="s">
        <v>2365</v>
      </c>
      <c r="AZ1994" t="s">
        <v>2365</v>
      </c>
      <c r="BA1994" t="s">
        <v>2365</v>
      </c>
      <c r="BB1994" t="s">
        <v>2365</v>
      </c>
      <c r="BC1994" t="s">
        <v>2365</v>
      </c>
      <c r="BD1994" t="s">
        <v>2366</v>
      </c>
      <c r="BE1994" t="s">
        <v>2365</v>
      </c>
      <c r="BF1994" t="s">
        <v>2365</v>
      </c>
      <c r="BG1994" t="s">
        <v>2365</v>
      </c>
      <c r="BH1994" t="s">
        <v>2365</v>
      </c>
      <c r="BI1994" t="s">
        <v>2366</v>
      </c>
      <c r="BJ1994" t="s">
        <v>2365</v>
      </c>
      <c r="BK1994" t="s">
        <v>2365</v>
      </c>
      <c r="BL1994" t="s">
        <v>2365</v>
      </c>
      <c r="BM1994" t="s">
        <v>2365</v>
      </c>
      <c r="BO1994">
        <v>1</v>
      </c>
      <c r="BP1994">
        <v>11</v>
      </c>
      <c r="BQ1994" t="s">
        <v>2369</v>
      </c>
      <c r="BR1994" t="s">
        <v>1487</v>
      </c>
      <c r="BU1994" s="1371">
        <v>0</v>
      </c>
      <c r="BV1994" s="1371">
        <v>0</v>
      </c>
      <c r="BW1994" s="1371">
        <v>0</v>
      </c>
      <c r="BX1994" s="1371">
        <v>0</v>
      </c>
      <c r="BY1994" s="1371">
        <v>0</v>
      </c>
      <c r="BZ1994">
        <v>0</v>
      </c>
      <c r="CA1994">
        <v>0</v>
      </c>
      <c r="CB1994">
        <v>0</v>
      </c>
      <c r="CC1994">
        <v>0</v>
      </c>
      <c r="CD1994">
        <v>0</v>
      </c>
      <c r="CE1994">
        <v>0</v>
      </c>
      <c r="CF1994">
        <v>0</v>
      </c>
      <c r="CG1994">
        <v>0</v>
      </c>
      <c r="CH1994">
        <v>0</v>
      </c>
      <c r="CI1994">
        <v>0</v>
      </c>
      <c r="CJ1994">
        <v>0</v>
      </c>
      <c r="CK1994">
        <v>0</v>
      </c>
      <c r="CL1994">
        <v>0</v>
      </c>
      <c r="CM1994">
        <v>0</v>
      </c>
      <c r="CR1994" t="s">
        <v>2325</v>
      </c>
      <c r="CS1994" s="1369" t="str">
        <f>INDEX([8]Sheet1!$H:$H,MATCH(CR:CR,[8]Sheet1!$AU:$AU,0))</f>
        <v>Asset Management</v>
      </c>
    </row>
    <row r="1995" spans="1:97" x14ac:dyDescent="0.2">
      <c r="A1995" t="s">
        <v>5265</v>
      </c>
      <c r="B1995">
        <v>2093</v>
      </c>
      <c r="C1995" t="s">
        <v>5265</v>
      </c>
      <c r="D1995">
        <v>55093</v>
      </c>
      <c r="E1995" t="s">
        <v>5074</v>
      </c>
      <c r="F1995" t="s">
        <v>2364</v>
      </c>
      <c r="G1995" t="s">
        <v>2364</v>
      </c>
      <c r="H1995" s="1373" t="s">
        <v>2365</v>
      </c>
      <c r="I1995" t="s">
        <v>2365</v>
      </c>
      <c r="J1995" t="s">
        <v>2365</v>
      </c>
      <c r="K1995" t="s">
        <v>2365</v>
      </c>
      <c r="L1995" s="1373">
        <v>1200</v>
      </c>
      <c r="M1995" t="s">
        <v>1480</v>
      </c>
      <c r="N1995">
        <v>1204</v>
      </c>
      <c r="O1995" t="s">
        <v>1487</v>
      </c>
      <c r="P1995" t="s">
        <v>2366</v>
      </c>
      <c r="Q1995" t="s">
        <v>2364</v>
      </c>
      <c r="R1995" t="s">
        <v>2364</v>
      </c>
      <c r="S1995" t="s">
        <v>553</v>
      </c>
      <c r="T1995" t="s">
        <v>2175</v>
      </c>
      <c r="U1995">
        <v>140</v>
      </c>
      <c r="V1995" t="s">
        <v>693</v>
      </c>
      <c r="W1995">
        <v>140</v>
      </c>
      <c r="X1995" t="s">
        <v>693</v>
      </c>
      <c r="Y1995" t="s">
        <v>2365</v>
      </c>
      <c r="Z1995" t="s">
        <v>2365</v>
      </c>
      <c r="AA1995" t="s">
        <v>2365</v>
      </c>
      <c r="AB1995" t="s">
        <v>2365</v>
      </c>
      <c r="AC1995" s="813" t="s">
        <v>2365</v>
      </c>
      <c r="AD1995" s="813" t="s">
        <v>2365</v>
      </c>
      <c r="AE1995" s="813" t="s">
        <v>2365</v>
      </c>
      <c r="AF1995" t="s">
        <v>2365</v>
      </c>
      <c r="AG1995" t="s">
        <v>2365</v>
      </c>
      <c r="AH1995" t="s">
        <v>2365</v>
      </c>
      <c r="AI1995" t="s">
        <v>2365</v>
      </c>
      <c r="AJ1995" t="s">
        <v>2365</v>
      </c>
      <c r="AK1995" t="s">
        <v>2366</v>
      </c>
      <c r="AL1995" t="s">
        <v>2366</v>
      </c>
      <c r="AM1995" t="s">
        <v>2366</v>
      </c>
      <c r="AN1995" t="s">
        <v>2366</v>
      </c>
      <c r="AR1995" t="s">
        <v>2365</v>
      </c>
      <c r="AS1995" t="s">
        <v>2365</v>
      </c>
      <c r="AT1995" t="s">
        <v>2365</v>
      </c>
      <c r="AU1995" t="s">
        <v>2365</v>
      </c>
      <c r="AV1995" t="s">
        <v>2365</v>
      </c>
      <c r="AW1995" t="s">
        <v>2365</v>
      </c>
      <c r="AX1995" t="s">
        <v>2365</v>
      </c>
      <c r="AY1995" t="s">
        <v>2365</v>
      </c>
      <c r="AZ1995" t="s">
        <v>2365</v>
      </c>
      <c r="BA1995" t="s">
        <v>2365</v>
      </c>
      <c r="BB1995" t="s">
        <v>2365</v>
      </c>
      <c r="BC1995" t="s">
        <v>2365</v>
      </c>
      <c r="BD1995" t="s">
        <v>2366</v>
      </c>
      <c r="BE1995" t="s">
        <v>2365</v>
      </c>
      <c r="BF1995" t="s">
        <v>2365</v>
      </c>
      <c r="BG1995" t="s">
        <v>2365</v>
      </c>
      <c r="BH1995" t="s">
        <v>2365</v>
      </c>
      <c r="BI1995" t="s">
        <v>2366</v>
      </c>
      <c r="BJ1995" t="s">
        <v>2365</v>
      </c>
      <c r="BK1995" t="s">
        <v>2365</v>
      </c>
      <c r="BL1995" t="s">
        <v>2365</v>
      </c>
      <c r="BM1995" t="s">
        <v>2365</v>
      </c>
      <c r="BO1995">
        <v>1</v>
      </c>
      <c r="BP1995">
        <v>11</v>
      </c>
      <c r="BQ1995" t="s">
        <v>2369</v>
      </c>
      <c r="BR1995" t="s">
        <v>1487</v>
      </c>
      <c r="BU1995" s="1371">
        <v>0</v>
      </c>
      <c r="BV1995" s="1371">
        <v>0</v>
      </c>
      <c r="BW1995" s="1371">
        <v>0</v>
      </c>
      <c r="BX1995" s="1371">
        <v>0</v>
      </c>
      <c r="BY1995" s="1371">
        <v>0</v>
      </c>
      <c r="BZ1995">
        <v>0</v>
      </c>
      <c r="CA1995">
        <v>0</v>
      </c>
      <c r="CB1995">
        <v>0</v>
      </c>
      <c r="CC1995">
        <v>0</v>
      </c>
      <c r="CD1995">
        <v>0</v>
      </c>
      <c r="CE1995">
        <v>0</v>
      </c>
      <c r="CF1995">
        <v>0</v>
      </c>
      <c r="CG1995">
        <v>0</v>
      </c>
      <c r="CH1995">
        <v>0</v>
      </c>
      <c r="CI1995">
        <v>0</v>
      </c>
      <c r="CJ1995">
        <v>0</v>
      </c>
      <c r="CK1995">
        <v>0</v>
      </c>
      <c r="CL1995">
        <v>0</v>
      </c>
      <c r="CM1995">
        <v>0</v>
      </c>
      <c r="CR1995" t="s">
        <v>2325</v>
      </c>
      <c r="CS1995" s="1369" t="str">
        <f>INDEX([8]Sheet1!$H:$H,MATCH(CR:CR,[8]Sheet1!$AU:$AU,0))</f>
        <v>Asset Management</v>
      </c>
    </row>
    <row r="1996" spans="1:97" x14ac:dyDescent="0.2">
      <c r="A1996" t="s">
        <v>5266</v>
      </c>
      <c r="B1996">
        <v>2094</v>
      </c>
      <c r="C1996" t="s">
        <v>5266</v>
      </c>
      <c r="D1996">
        <v>55094</v>
      </c>
      <c r="E1996" t="s">
        <v>5267</v>
      </c>
      <c r="F1996" t="s">
        <v>2364</v>
      </c>
      <c r="G1996" t="s">
        <v>2364</v>
      </c>
      <c r="H1996" t="s">
        <v>2365</v>
      </c>
      <c r="I1996" t="s">
        <v>2365</v>
      </c>
      <c r="J1996" t="s">
        <v>2365</v>
      </c>
      <c r="K1996" t="s">
        <v>2365</v>
      </c>
      <c r="L1996">
        <v>1200</v>
      </c>
      <c r="M1996" t="s">
        <v>1480</v>
      </c>
      <c r="N1996">
        <v>1204</v>
      </c>
      <c r="O1996" t="s">
        <v>1487</v>
      </c>
      <c r="P1996" t="s">
        <v>2366</v>
      </c>
      <c r="Q1996" t="s">
        <v>2364</v>
      </c>
      <c r="R1996" t="s">
        <v>2364</v>
      </c>
      <c r="S1996" t="s">
        <v>553</v>
      </c>
      <c r="T1996" t="s">
        <v>2175</v>
      </c>
      <c r="U1996" t="s">
        <v>2366</v>
      </c>
      <c r="V1996" t="s">
        <v>2366</v>
      </c>
      <c r="W1996" t="s">
        <v>2366</v>
      </c>
      <c r="X1996" t="s">
        <v>2366</v>
      </c>
      <c r="Y1996" t="s">
        <v>2365</v>
      </c>
      <c r="Z1996" t="s">
        <v>2365</v>
      </c>
      <c r="AA1996" t="s">
        <v>2365</v>
      </c>
      <c r="AB1996" t="s">
        <v>2365</v>
      </c>
      <c r="AC1996" s="813" t="s">
        <v>2365</v>
      </c>
      <c r="AD1996" s="813" t="s">
        <v>2365</v>
      </c>
      <c r="AE1996" s="813" t="s">
        <v>2365</v>
      </c>
      <c r="AF1996" t="s">
        <v>2365</v>
      </c>
      <c r="AG1996" t="s">
        <v>2365</v>
      </c>
      <c r="AH1996" t="s">
        <v>2365</v>
      </c>
      <c r="AI1996" t="s">
        <v>2365</v>
      </c>
      <c r="AJ1996" t="s">
        <v>2365</v>
      </c>
      <c r="AK1996">
        <v>145</v>
      </c>
      <c r="AL1996" t="s">
        <v>1198</v>
      </c>
      <c r="AM1996">
        <v>145</v>
      </c>
      <c r="AN1996" t="s">
        <v>1198</v>
      </c>
      <c r="AR1996" t="s">
        <v>2365</v>
      </c>
      <c r="AS1996" t="s">
        <v>2365</v>
      </c>
      <c r="AT1996" t="s">
        <v>2365</v>
      </c>
      <c r="AU1996" t="s">
        <v>2365</v>
      </c>
      <c r="AV1996" t="s">
        <v>2365</v>
      </c>
      <c r="AW1996" t="s">
        <v>2365</v>
      </c>
      <c r="AX1996" t="s">
        <v>2365</v>
      </c>
      <c r="AY1996" t="s">
        <v>2365</v>
      </c>
      <c r="AZ1996" t="s">
        <v>2365</v>
      </c>
      <c r="BA1996" t="s">
        <v>2365</v>
      </c>
      <c r="BB1996" t="s">
        <v>2365</v>
      </c>
      <c r="BC1996" t="s">
        <v>2365</v>
      </c>
      <c r="BD1996" t="s">
        <v>2366</v>
      </c>
      <c r="BE1996" t="s">
        <v>2365</v>
      </c>
      <c r="BF1996" t="s">
        <v>2365</v>
      </c>
      <c r="BG1996" t="s">
        <v>2365</v>
      </c>
      <c r="BH1996" t="s">
        <v>2365</v>
      </c>
      <c r="BI1996" t="s">
        <v>2366</v>
      </c>
      <c r="BJ1996" t="s">
        <v>2365</v>
      </c>
      <c r="BK1996" t="s">
        <v>2365</v>
      </c>
      <c r="BL1996" t="s">
        <v>2365</v>
      </c>
      <c r="BM1996" t="s">
        <v>2365</v>
      </c>
      <c r="BO1996">
        <v>1</v>
      </c>
      <c r="BP1996">
        <v>11</v>
      </c>
      <c r="BQ1996" t="s">
        <v>2369</v>
      </c>
      <c r="BR1996" t="s">
        <v>1487</v>
      </c>
      <c r="BU1996">
        <v>0</v>
      </c>
      <c r="BV1996">
        <v>0</v>
      </c>
      <c r="BW1996">
        <v>0</v>
      </c>
      <c r="BX1996">
        <v>0</v>
      </c>
      <c r="BY1996">
        <v>0</v>
      </c>
      <c r="BZ1996">
        <v>0</v>
      </c>
      <c r="CA1996">
        <v>0</v>
      </c>
      <c r="CB1996">
        <v>0</v>
      </c>
      <c r="CC1996">
        <v>0</v>
      </c>
      <c r="CD1996">
        <v>0</v>
      </c>
      <c r="CE1996">
        <v>0</v>
      </c>
      <c r="CF1996">
        <v>0</v>
      </c>
      <c r="CG1996">
        <v>0</v>
      </c>
      <c r="CH1996">
        <v>0</v>
      </c>
      <c r="CI1996">
        <v>0</v>
      </c>
      <c r="CJ1996">
        <v>0</v>
      </c>
      <c r="CK1996">
        <v>0</v>
      </c>
      <c r="CL1996">
        <v>0</v>
      </c>
      <c r="CM1996">
        <v>0</v>
      </c>
      <c r="CR1996" t="s">
        <v>2320</v>
      </c>
      <c r="CS1996" s="1369" t="str">
        <f>INDEX([8]Sheet1!$H:$H,MATCH(CR:CR,[8]Sheet1!$AU:$AU,0))</f>
        <v>Administrative and Corporate Support</v>
      </c>
    </row>
    <row r="1997" spans="1:97" x14ac:dyDescent="0.2">
      <c r="A1997" t="s">
        <v>5268</v>
      </c>
      <c r="B1997">
        <v>2095</v>
      </c>
      <c r="C1997" t="s">
        <v>5268</v>
      </c>
      <c r="D1997">
        <v>55095</v>
      </c>
      <c r="E1997" t="s">
        <v>5269</v>
      </c>
      <c r="F1997" t="s">
        <v>2364</v>
      </c>
      <c r="G1997" t="s">
        <v>2364</v>
      </c>
      <c r="H1997" t="s">
        <v>2365</v>
      </c>
      <c r="I1997" t="s">
        <v>2365</v>
      </c>
      <c r="J1997" t="s">
        <v>2365</v>
      </c>
      <c r="K1997" t="s">
        <v>2365</v>
      </c>
      <c r="L1997">
        <v>1200</v>
      </c>
      <c r="M1997" t="s">
        <v>1480</v>
      </c>
      <c r="N1997">
        <v>1204</v>
      </c>
      <c r="O1997" t="s">
        <v>1487</v>
      </c>
      <c r="P1997" t="s">
        <v>2366</v>
      </c>
      <c r="Q1997" t="s">
        <v>2364</v>
      </c>
      <c r="R1997" t="s">
        <v>2364</v>
      </c>
      <c r="S1997" t="s">
        <v>553</v>
      </c>
      <c r="T1997" t="s">
        <v>2175</v>
      </c>
      <c r="U1997">
        <v>140</v>
      </c>
      <c r="V1997" t="s">
        <v>693</v>
      </c>
      <c r="W1997">
        <v>140</v>
      </c>
      <c r="X1997" t="s">
        <v>693</v>
      </c>
      <c r="Y1997" t="s">
        <v>2365</v>
      </c>
      <c r="Z1997" t="s">
        <v>2365</v>
      </c>
      <c r="AA1997" t="s">
        <v>2365</v>
      </c>
      <c r="AB1997" t="s">
        <v>2365</v>
      </c>
      <c r="AC1997" s="813" t="s">
        <v>2365</v>
      </c>
      <c r="AD1997" s="813" t="s">
        <v>2365</v>
      </c>
      <c r="AE1997" s="813" t="s">
        <v>2365</v>
      </c>
      <c r="AF1997" t="s">
        <v>2365</v>
      </c>
      <c r="AG1997" t="s">
        <v>2365</v>
      </c>
      <c r="AH1997" t="s">
        <v>2365</v>
      </c>
      <c r="AI1997" t="s">
        <v>2365</v>
      </c>
      <c r="AJ1997" t="s">
        <v>2365</v>
      </c>
      <c r="AK1997" t="s">
        <v>2366</v>
      </c>
      <c r="AL1997" t="s">
        <v>2366</v>
      </c>
      <c r="AM1997" t="s">
        <v>2366</v>
      </c>
      <c r="AN1997" t="s">
        <v>2366</v>
      </c>
      <c r="AR1997" t="s">
        <v>2365</v>
      </c>
      <c r="AS1997" t="s">
        <v>2365</v>
      </c>
      <c r="AT1997" t="s">
        <v>2365</v>
      </c>
      <c r="AU1997" t="s">
        <v>2365</v>
      </c>
      <c r="AV1997" t="s">
        <v>2365</v>
      </c>
      <c r="AW1997" t="s">
        <v>2365</v>
      </c>
      <c r="AX1997" t="s">
        <v>2365</v>
      </c>
      <c r="AY1997" t="s">
        <v>2365</v>
      </c>
      <c r="AZ1997" t="s">
        <v>2365</v>
      </c>
      <c r="BA1997" t="s">
        <v>2365</v>
      </c>
      <c r="BB1997" t="s">
        <v>2365</v>
      </c>
      <c r="BC1997" t="s">
        <v>2365</v>
      </c>
      <c r="BD1997" t="s">
        <v>2366</v>
      </c>
      <c r="BE1997" t="s">
        <v>2365</v>
      </c>
      <c r="BF1997" t="s">
        <v>2365</v>
      </c>
      <c r="BG1997" t="s">
        <v>2365</v>
      </c>
      <c r="BH1997" t="s">
        <v>2365</v>
      </c>
      <c r="BI1997" t="s">
        <v>2366</v>
      </c>
      <c r="BJ1997" t="s">
        <v>2365</v>
      </c>
      <c r="BK1997" t="s">
        <v>2365</v>
      </c>
      <c r="BL1997" t="s">
        <v>2365</v>
      </c>
      <c r="BM1997" t="s">
        <v>2365</v>
      </c>
      <c r="BO1997">
        <v>1</v>
      </c>
      <c r="BP1997">
        <v>11</v>
      </c>
      <c r="BQ1997" t="s">
        <v>2369</v>
      </c>
      <c r="BR1997" t="s">
        <v>1487</v>
      </c>
      <c r="BU1997">
        <v>0</v>
      </c>
      <c r="BV1997">
        <v>0</v>
      </c>
      <c r="BW1997">
        <v>0</v>
      </c>
      <c r="BX1997">
        <v>0</v>
      </c>
      <c r="BY1997">
        <v>0</v>
      </c>
      <c r="BZ1997">
        <v>0</v>
      </c>
      <c r="CA1997">
        <v>0</v>
      </c>
      <c r="CB1997">
        <v>0</v>
      </c>
      <c r="CC1997">
        <v>0</v>
      </c>
      <c r="CD1997">
        <v>0</v>
      </c>
      <c r="CE1997">
        <v>0</v>
      </c>
      <c r="CF1997">
        <v>0</v>
      </c>
      <c r="CG1997">
        <v>0</v>
      </c>
      <c r="CH1997">
        <v>0</v>
      </c>
      <c r="CI1997">
        <v>0</v>
      </c>
      <c r="CJ1997">
        <v>0</v>
      </c>
      <c r="CK1997">
        <v>0</v>
      </c>
      <c r="CL1997">
        <v>0</v>
      </c>
      <c r="CM1997">
        <v>0</v>
      </c>
      <c r="CR1997" t="s">
        <v>2324</v>
      </c>
      <c r="CS1997" s="1369" t="str">
        <f>INDEX([8]Sheet1!$H:$H,MATCH(CR:CR,[8]Sheet1!$AU:$AU,0))</f>
        <v>Finance</v>
      </c>
    </row>
    <row r="1998" spans="1:97" x14ac:dyDescent="0.2">
      <c r="A1998" t="s">
        <v>5270</v>
      </c>
      <c r="B1998">
        <v>2096</v>
      </c>
      <c r="C1998" t="s">
        <v>5270</v>
      </c>
      <c r="D1998">
        <v>55096</v>
      </c>
      <c r="E1998" t="s">
        <v>5271</v>
      </c>
      <c r="F1998" t="s">
        <v>2364</v>
      </c>
      <c r="G1998" t="s">
        <v>2364</v>
      </c>
      <c r="H1998" t="s">
        <v>2365</v>
      </c>
      <c r="I1998" t="s">
        <v>2365</v>
      </c>
      <c r="J1998" t="s">
        <v>2365</v>
      </c>
      <c r="K1998" t="s">
        <v>2365</v>
      </c>
      <c r="L1998">
        <v>1200</v>
      </c>
      <c r="M1998" t="s">
        <v>1480</v>
      </c>
      <c r="N1998">
        <v>1204</v>
      </c>
      <c r="O1998" t="s">
        <v>1487</v>
      </c>
      <c r="P1998" t="s">
        <v>2366</v>
      </c>
      <c r="Q1998" t="s">
        <v>2364</v>
      </c>
      <c r="R1998" t="s">
        <v>2364</v>
      </c>
      <c r="S1998" t="s">
        <v>553</v>
      </c>
      <c r="T1998" t="s">
        <v>2175</v>
      </c>
      <c r="U1998">
        <v>140</v>
      </c>
      <c r="V1998" t="s">
        <v>693</v>
      </c>
      <c r="W1998">
        <v>140</v>
      </c>
      <c r="X1998" t="s">
        <v>693</v>
      </c>
      <c r="Y1998" t="s">
        <v>2365</v>
      </c>
      <c r="Z1998" t="s">
        <v>2365</v>
      </c>
      <c r="AA1998" t="s">
        <v>2365</v>
      </c>
      <c r="AB1998" t="s">
        <v>2365</v>
      </c>
      <c r="AC1998" s="813" t="s">
        <v>2365</v>
      </c>
      <c r="AD1998" s="813" t="s">
        <v>2365</v>
      </c>
      <c r="AE1998" s="813" t="s">
        <v>2365</v>
      </c>
      <c r="AF1998" t="s">
        <v>2365</v>
      </c>
      <c r="AG1998" t="s">
        <v>2365</v>
      </c>
      <c r="AH1998" t="s">
        <v>2365</v>
      </c>
      <c r="AI1998" t="s">
        <v>2365</v>
      </c>
      <c r="AJ1998" t="s">
        <v>2365</v>
      </c>
      <c r="AK1998" t="s">
        <v>2366</v>
      </c>
      <c r="AL1998" t="s">
        <v>2366</v>
      </c>
      <c r="AM1998" t="s">
        <v>2366</v>
      </c>
      <c r="AN1998" t="s">
        <v>2366</v>
      </c>
      <c r="AR1998" t="s">
        <v>2365</v>
      </c>
      <c r="AS1998" t="s">
        <v>2365</v>
      </c>
      <c r="AT1998" t="s">
        <v>2365</v>
      </c>
      <c r="AU1998" t="s">
        <v>2365</v>
      </c>
      <c r="AV1998" t="s">
        <v>2365</v>
      </c>
      <c r="AW1998" t="s">
        <v>2365</v>
      </c>
      <c r="AX1998" t="s">
        <v>2365</v>
      </c>
      <c r="AY1998" t="s">
        <v>2365</v>
      </c>
      <c r="AZ1998" t="s">
        <v>2365</v>
      </c>
      <c r="BA1998" t="s">
        <v>2365</v>
      </c>
      <c r="BB1998" t="s">
        <v>2365</v>
      </c>
      <c r="BC1998" t="s">
        <v>2365</v>
      </c>
      <c r="BD1998" t="s">
        <v>2366</v>
      </c>
      <c r="BE1998" t="s">
        <v>2365</v>
      </c>
      <c r="BF1998" t="s">
        <v>2365</v>
      </c>
      <c r="BG1998" t="s">
        <v>2365</v>
      </c>
      <c r="BH1998" t="s">
        <v>2365</v>
      </c>
      <c r="BI1998" t="s">
        <v>2366</v>
      </c>
      <c r="BJ1998" t="s">
        <v>2365</v>
      </c>
      <c r="BK1998" t="s">
        <v>2365</v>
      </c>
      <c r="BL1998" t="s">
        <v>2365</v>
      </c>
      <c r="BM1998" t="s">
        <v>2365</v>
      </c>
      <c r="BO1998">
        <v>1</v>
      </c>
      <c r="BP1998">
        <v>11</v>
      </c>
      <c r="BQ1998" t="s">
        <v>2369</v>
      </c>
      <c r="BR1998" t="s">
        <v>1487</v>
      </c>
      <c r="BU1998">
        <v>0</v>
      </c>
      <c r="BV1998">
        <v>0</v>
      </c>
      <c r="BW1998" s="1371">
        <v>0</v>
      </c>
      <c r="BX1998" s="1372">
        <v>0</v>
      </c>
      <c r="BY1998">
        <v>0</v>
      </c>
      <c r="BZ1998">
        <v>0</v>
      </c>
      <c r="CA1998">
        <v>0</v>
      </c>
      <c r="CB1998">
        <v>0</v>
      </c>
      <c r="CC1998">
        <v>0</v>
      </c>
      <c r="CD1998">
        <v>0</v>
      </c>
      <c r="CE1998">
        <v>0</v>
      </c>
      <c r="CF1998">
        <v>0</v>
      </c>
      <c r="CG1998">
        <v>0</v>
      </c>
      <c r="CH1998">
        <v>0</v>
      </c>
      <c r="CI1998">
        <v>0</v>
      </c>
      <c r="CJ1998">
        <v>0</v>
      </c>
      <c r="CK1998">
        <v>0</v>
      </c>
      <c r="CL1998">
        <v>0</v>
      </c>
      <c r="CM1998">
        <v>0</v>
      </c>
      <c r="CR1998" t="s">
        <v>2324</v>
      </c>
      <c r="CS1998" s="1369" t="str">
        <f>INDEX([8]Sheet1!$H:$H,MATCH(CR:CR,[8]Sheet1!$AU:$AU,0))</f>
        <v>Finance</v>
      </c>
    </row>
    <row r="1999" spans="1:97" x14ac:dyDescent="0.2">
      <c r="A1999" t="s">
        <v>5272</v>
      </c>
      <c r="B1999">
        <v>2097</v>
      </c>
      <c r="C1999" t="s">
        <v>5272</v>
      </c>
      <c r="D1999">
        <v>55097</v>
      </c>
      <c r="E1999" t="s">
        <v>5273</v>
      </c>
      <c r="F1999" t="s">
        <v>2364</v>
      </c>
      <c r="G1999" t="s">
        <v>2364</v>
      </c>
      <c r="H1999" t="s">
        <v>2365</v>
      </c>
      <c r="I1999" t="s">
        <v>2365</v>
      </c>
      <c r="J1999" t="s">
        <v>2365</v>
      </c>
      <c r="K1999" t="s">
        <v>2365</v>
      </c>
      <c r="L1999">
        <v>1200</v>
      </c>
      <c r="M1999" t="s">
        <v>1480</v>
      </c>
      <c r="N1999">
        <v>1204</v>
      </c>
      <c r="O1999" t="s">
        <v>1487</v>
      </c>
      <c r="P1999" t="s">
        <v>2366</v>
      </c>
      <c r="Q1999" t="s">
        <v>2364</v>
      </c>
      <c r="R1999" t="s">
        <v>2364</v>
      </c>
      <c r="S1999" t="s">
        <v>553</v>
      </c>
      <c r="T1999" t="s">
        <v>2175</v>
      </c>
      <c r="U1999" t="s">
        <v>2366</v>
      </c>
      <c r="V1999" t="s">
        <v>2366</v>
      </c>
      <c r="W1999" t="s">
        <v>2366</v>
      </c>
      <c r="X1999" t="s">
        <v>2366</v>
      </c>
      <c r="Y1999" t="s">
        <v>2365</v>
      </c>
      <c r="Z1999" t="s">
        <v>2365</v>
      </c>
      <c r="AA1999" t="s">
        <v>2365</v>
      </c>
      <c r="AB1999" t="s">
        <v>2365</v>
      </c>
      <c r="AC1999" s="813" t="s">
        <v>2365</v>
      </c>
      <c r="AD1999" s="813" t="s">
        <v>2365</v>
      </c>
      <c r="AE1999" s="813" t="s">
        <v>2365</v>
      </c>
      <c r="AF1999" t="s">
        <v>2365</v>
      </c>
      <c r="AG1999" t="s">
        <v>2365</v>
      </c>
      <c r="AH1999" t="s">
        <v>2365</v>
      </c>
      <c r="AI1999" t="s">
        <v>2365</v>
      </c>
      <c r="AJ1999" t="s">
        <v>2365</v>
      </c>
      <c r="AK1999">
        <v>145</v>
      </c>
      <c r="AL1999" t="s">
        <v>1198</v>
      </c>
      <c r="AM1999">
        <v>145</v>
      </c>
      <c r="AN1999" t="s">
        <v>1198</v>
      </c>
      <c r="AR1999" t="s">
        <v>2365</v>
      </c>
      <c r="AS1999" t="s">
        <v>2365</v>
      </c>
      <c r="AT1999" t="s">
        <v>2365</v>
      </c>
      <c r="AU1999" t="s">
        <v>2365</v>
      </c>
      <c r="AV1999" t="s">
        <v>2365</v>
      </c>
      <c r="AW1999" t="s">
        <v>2365</v>
      </c>
      <c r="AX1999" t="s">
        <v>2365</v>
      </c>
      <c r="AY1999" t="s">
        <v>2365</v>
      </c>
      <c r="AZ1999" t="s">
        <v>2365</v>
      </c>
      <c r="BA1999" t="s">
        <v>2365</v>
      </c>
      <c r="BB1999" t="s">
        <v>2365</v>
      </c>
      <c r="BC1999" t="s">
        <v>2365</v>
      </c>
      <c r="BD1999" t="s">
        <v>2366</v>
      </c>
      <c r="BE1999" t="s">
        <v>2365</v>
      </c>
      <c r="BF1999" t="s">
        <v>2365</v>
      </c>
      <c r="BG1999" t="s">
        <v>2365</v>
      </c>
      <c r="BH1999" t="s">
        <v>2365</v>
      </c>
      <c r="BI1999" t="s">
        <v>2366</v>
      </c>
      <c r="BJ1999" t="s">
        <v>2365</v>
      </c>
      <c r="BK1999" t="s">
        <v>2365</v>
      </c>
      <c r="BL1999" t="s">
        <v>2365</v>
      </c>
      <c r="BM1999" t="s">
        <v>2365</v>
      </c>
      <c r="BO1999">
        <v>1</v>
      </c>
      <c r="BP1999">
        <v>11</v>
      </c>
      <c r="BQ1999" t="s">
        <v>2369</v>
      </c>
      <c r="BR1999" t="s">
        <v>1487</v>
      </c>
      <c r="BU1999">
        <v>0</v>
      </c>
      <c r="BV1999">
        <v>0</v>
      </c>
      <c r="BW1999" s="1371">
        <v>0</v>
      </c>
      <c r="BX1999" s="1372">
        <v>0</v>
      </c>
      <c r="BY1999">
        <v>0</v>
      </c>
      <c r="BZ1999">
        <v>0</v>
      </c>
      <c r="CA1999">
        <v>0</v>
      </c>
      <c r="CB1999">
        <v>0</v>
      </c>
      <c r="CC1999">
        <v>0</v>
      </c>
      <c r="CD1999">
        <v>0</v>
      </c>
      <c r="CE1999">
        <v>0</v>
      </c>
      <c r="CF1999">
        <v>0</v>
      </c>
      <c r="CG1999">
        <v>0</v>
      </c>
      <c r="CH1999">
        <v>0</v>
      </c>
      <c r="CI1999">
        <v>0</v>
      </c>
      <c r="CJ1999">
        <v>0</v>
      </c>
      <c r="CK1999">
        <v>0</v>
      </c>
      <c r="CL1999">
        <v>0</v>
      </c>
      <c r="CM1999">
        <v>0</v>
      </c>
      <c r="CR1999" t="s">
        <v>2324</v>
      </c>
      <c r="CS1999" s="1369" t="str">
        <f>INDEX([8]Sheet1!$H:$H,MATCH(CR:CR,[8]Sheet1!$AU:$AU,0))</f>
        <v>Finance</v>
      </c>
    </row>
    <row r="2000" spans="1:97" x14ac:dyDescent="0.2">
      <c r="A2000" t="s">
        <v>5274</v>
      </c>
      <c r="B2000">
        <v>2098</v>
      </c>
      <c r="C2000" t="s">
        <v>5274</v>
      </c>
      <c r="D2000">
        <v>55098</v>
      </c>
      <c r="E2000" t="s">
        <v>5275</v>
      </c>
      <c r="F2000" t="s">
        <v>2364</v>
      </c>
      <c r="G2000" t="s">
        <v>2364</v>
      </c>
      <c r="H2000" t="s">
        <v>2365</v>
      </c>
      <c r="I2000" t="s">
        <v>2365</v>
      </c>
      <c r="J2000" t="s">
        <v>2365</v>
      </c>
      <c r="K2000" t="s">
        <v>2365</v>
      </c>
      <c r="L2000">
        <v>1200</v>
      </c>
      <c r="M2000" t="s">
        <v>1480</v>
      </c>
      <c r="N2000">
        <v>1204</v>
      </c>
      <c r="O2000" t="s">
        <v>1487</v>
      </c>
      <c r="P2000" t="s">
        <v>2366</v>
      </c>
      <c r="Q2000" t="s">
        <v>2364</v>
      </c>
      <c r="R2000" t="s">
        <v>2364</v>
      </c>
      <c r="S2000" t="s">
        <v>553</v>
      </c>
      <c r="T2000" t="s">
        <v>2175</v>
      </c>
      <c r="U2000">
        <v>140</v>
      </c>
      <c r="V2000" t="s">
        <v>693</v>
      </c>
      <c r="W2000">
        <v>140</v>
      </c>
      <c r="X2000" t="s">
        <v>693</v>
      </c>
      <c r="Y2000" t="s">
        <v>2365</v>
      </c>
      <c r="Z2000" t="s">
        <v>2365</v>
      </c>
      <c r="AA2000" t="s">
        <v>2365</v>
      </c>
      <c r="AB2000" t="s">
        <v>2365</v>
      </c>
      <c r="AC2000" s="813" t="s">
        <v>2365</v>
      </c>
      <c r="AD2000" s="813" t="s">
        <v>2365</v>
      </c>
      <c r="AE2000" s="813" t="s">
        <v>2365</v>
      </c>
      <c r="AF2000" t="s">
        <v>2365</v>
      </c>
      <c r="AG2000" t="s">
        <v>2365</v>
      </c>
      <c r="AH2000" t="s">
        <v>2365</v>
      </c>
      <c r="AI2000" t="s">
        <v>2365</v>
      </c>
      <c r="AJ2000" t="s">
        <v>2365</v>
      </c>
      <c r="AK2000" t="s">
        <v>2366</v>
      </c>
      <c r="AL2000" t="s">
        <v>2366</v>
      </c>
      <c r="AM2000" t="s">
        <v>2366</v>
      </c>
      <c r="AN2000" t="s">
        <v>2366</v>
      </c>
      <c r="AR2000" t="s">
        <v>2365</v>
      </c>
      <c r="AS2000" t="s">
        <v>2365</v>
      </c>
      <c r="AT2000" t="s">
        <v>2365</v>
      </c>
      <c r="AU2000" t="s">
        <v>2365</v>
      </c>
      <c r="AV2000" t="s">
        <v>2365</v>
      </c>
      <c r="AW2000" t="s">
        <v>2365</v>
      </c>
      <c r="AX2000" t="s">
        <v>2365</v>
      </c>
      <c r="AY2000" t="s">
        <v>2365</v>
      </c>
      <c r="AZ2000" t="s">
        <v>2365</v>
      </c>
      <c r="BA2000" t="s">
        <v>2365</v>
      </c>
      <c r="BB2000" t="s">
        <v>2365</v>
      </c>
      <c r="BC2000" t="s">
        <v>2365</v>
      </c>
      <c r="BD2000" t="s">
        <v>2366</v>
      </c>
      <c r="BE2000" t="s">
        <v>2365</v>
      </c>
      <c r="BF2000" t="s">
        <v>2365</v>
      </c>
      <c r="BG2000" t="s">
        <v>2365</v>
      </c>
      <c r="BH2000" t="s">
        <v>2365</v>
      </c>
      <c r="BI2000" t="s">
        <v>2366</v>
      </c>
      <c r="BJ2000" t="s">
        <v>2365</v>
      </c>
      <c r="BK2000" t="s">
        <v>2365</v>
      </c>
      <c r="BL2000" t="s">
        <v>2365</v>
      </c>
      <c r="BM2000" t="s">
        <v>2365</v>
      </c>
      <c r="BO2000">
        <v>1</v>
      </c>
      <c r="BP2000">
        <v>11</v>
      </c>
      <c r="BQ2000" t="s">
        <v>2369</v>
      </c>
      <c r="BR2000" t="s">
        <v>1487</v>
      </c>
      <c r="BU2000">
        <v>0</v>
      </c>
      <c r="BV2000">
        <v>0</v>
      </c>
      <c r="BW2000" s="1371">
        <v>0</v>
      </c>
      <c r="BX2000" s="1372">
        <v>0</v>
      </c>
      <c r="BY2000">
        <v>0</v>
      </c>
      <c r="BZ2000">
        <v>0</v>
      </c>
      <c r="CA2000">
        <v>0</v>
      </c>
      <c r="CB2000">
        <v>0</v>
      </c>
      <c r="CC2000">
        <v>0</v>
      </c>
      <c r="CD2000">
        <v>0</v>
      </c>
      <c r="CE2000">
        <v>0</v>
      </c>
      <c r="CF2000">
        <v>0</v>
      </c>
      <c r="CG2000">
        <v>0</v>
      </c>
      <c r="CH2000">
        <v>0</v>
      </c>
      <c r="CI2000">
        <v>0</v>
      </c>
      <c r="CJ2000">
        <v>0</v>
      </c>
      <c r="CK2000">
        <v>0</v>
      </c>
      <c r="CL2000">
        <v>0</v>
      </c>
      <c r="CM2000">
        <v>0</v>
      </c>
      <c r="CR2000" t="s">
        <v>2324</v>
      </c>
      <c r="CS2000" s="1369" t="str">
        <f>INDEX([8]Sheet1!$H:$H,MATCH(CR:CR,[8]Sheet1!$AU:$AU,0))</f>
        <v>Finance</v>
      </c>
    </row>
    <row r="2001" spans="1:97" x14ac:dyDescent="0.2">
      <c r="A2001" t="s">
        <v>5276</v>
      </c>
      <c r="B2001">
        <v>2099</v>
      </c>
      <c r="C2001" t="s">
        <v>5276</v>
      </c>
      <c r="D2001">
        <v>55099</v>
      </c>
      <c r="E2001" t="s">
        <v>5277</v>
      </c>
      <c r="F2001" t="s">
        <v>2364</v>
      </c>
      <c r="G2001" t="s">
        <v>2364</v>
      </c>
      <c r="H2001" t="s">
        <v>2365</v>
      </c>
      <c r="I2001" t="s">
        <v>2365</v>
      </c>
      <c r="J2001" t="s">
        <v>2365</v>
      </c>
      <c r="K2001" t="s">
        <v>2365</v>
      </c>
      <c r="L2001">
        <v>1200</v>
      </c>
      <c r="M2001" t="s">
        <v>1480</v>
      </c>
      <c r="N2001">
        <v>1204</v>
      </c>
      <c r="O2001" t="s">
        <v>1487</v>
      </c>
      <c r="P2001" t="s">
        <v>2366</v>
      </c>
      <c r="Q2001" t="s">
        <v>2364</v>
      </c>
      <c r="R2001" t="s">
        <v>2364</v>
      </c>
      <c r="S2001" t="s">
        <v>553</v>
      </c>
      <c r="T2001" t="s">
        <v>2175</v>
      </c>
      <c r="U2001">
        <v>140</v>
      </c>
      <c r="V2001" t="s">
        <v>693</v>
      </c>
      <c r="W2001">
        <v>140</v>
      </c>
      <c r="X2001" t="s">
        <v>693</v>
      </c>
      <c r="Y2001" t="s">
        <v>2365</v>
      </c>
      <c r="Z2001" t="s">
        <v>2365</v>
      </c>
      <c r="AA2001" t="s">
        <v>2365</v>
      </c>
      <c r="AB2001" t="s">
        <v>2365</v>
      </c>
      <c r="AC2001" s="813" t="s">
        <v>2365</v>
      </c>
      <c r="AD2001" s="813" t="s">
        <v>2365</v>
      </c>
      <c r="AE2001" s="813" t="s">
        <v>2365</v>
      </c>
      <c r="AF2001" t="s">
        <v>2365</v>
      </c>
      <c r="AG2001" t="s">
        <v>2365</v>
      </c>
      <c r="AH2001" t="s">
        <v>2365</v>
      </c>
      <c r="AI2001" t="s">
        <v>2365</v>
      </c>
      <c r="AJ2001" t="s">
        <v>2365</v>
      </c>
      <c r="AK2001" t="s">
        <v>2366</v>
      </c>
      <c r="AL2001" t="s">
        <v>2366</v>
      </c>
      <c r="AM2001" t="s">
        <v>2366</v>
      </c>
      <c r="AN2001" t="s">
        <v>2366</v>
      </c>
      <c r="AR2001" t="s">
        <v>2365</v>
      </c>
      <c r="AS2001" t="s">
        <v>2365</v>
      </c>
      <c r="AT2001" t="s">
        <v>2365</v>
      </c>
      <c r="AU2001" t="s">
        <v>2365</v>
      </c>
      <c r="AV2001" t="s">
        <v>2365</v>
      </c>
      <c r="AW2001" t="s">
        <v>2365</v>
      </c>
      <c r="AX2001" t="s">
        <v>2365</v>
      </c>
      <c r="AY2001" t="s">
        <v>2365</v>
      </c>
      <c r="AZ2001" t="s">
        <v>2365</v>
      </c>
      <c r="BA2001" t="s">
        <v>2365</v>
      </c>
      <c r="BB2001" t="s">
        <v>2365</v>
      </c>
      <c r="BC2001" t="s">
        <v>2365</v>
      </c>
      <c r="BD2001" t="s">
        <v>2366</v>
      </c>
      <c r="BE2001" t="s">
        <v>2365</v>
      </c>
      <c r="BF2001" t="s">
        <v>2365</v>
      </c>
      <c r="BG2001" t="s">
        <v>2365</v>
      </c>
      <c r="BH2001" t="s">
        <v>2365</v>
      </c>
      <c r="BI2001" t="s">
        <v>2366</v>
      </c>
      <c r="BJ2001" t="s">
        <v>2365</v>
      </c>
      <c r="BK2001" t="s">
        <v>2365</v>
      </c>
      <c r="BL2001" t="s">
        <v>2365</v>
      </c>
      <c r="BM2001" t="s">
        <v>2365</v>
      </c>
      <c r="BO2001">
        <v>1</v>
      </c>
      <c r="BP2001">
        <v>11</v>
      </c>
      <c r="BQ2001" t="s">
        <v>2369</v>
      </c>
      <c r="BR2001" t="s">
        <v>1487</v>
      </c>
      <c r="BU2001">
        <v>0</v>
      </c>
      <c r="BV2001">
        <v>0</v>
      </c>
      <c r="BW2001">
        <v>0</v>
      </c>
      <c r="BX2001">
        <v>0</v>
      </c>
      <c r="BY2001">
        <v>0</v>
      </c>
      <c r="BZ2001">
        <v>0</v>
      </c>
      <c r="CA2001">
        <v>0</v>
      </c>
      <c r="CB2001">
        <v>0</v>
      </c>
      <c r="CC2001">
        <v>0</v>
      </c>
      <c r="CD2001">
        <v>0</v>
      </c>
      <c r="CE2001">
        <v>0</v>
      </c>
      <c r="CF2001">
        <v>0</v>
      </c>
      <c r="CG2001">
        <v>0</v>
      </c>
      <c r="CH2001">
        <v>0</v>
      </c>
      <c r="CI2001">
        <v>0</v>
      </c>
      <c r="CJ2001">
        <v>0</v>
      </c>
      <c r="CK2001">
        <v>0</v>
      </c>
      <c r="CL2001">
        <v>0</v>
      </c>
      <c r="CM2001">
        <v>0</v>
      </c>
      <c r="CR2001" t="s">
        <v>2328</v>
      </c>
      <c r="CS2001" s="1369" t="str">
        <f>INDEX([8]Sheet1!$H:$H,MATCH(CR:CR,[8]Sheet1!$AU:$AU,0))</f>
        <v>Water Distribution</v>
      </c>
    </row>
    <row r="2002" spans="1:97" x14ac:dyDescent="0.2">
      <c r="A2002" t="s">
        <v>5278</v>
      </c>
      <c r="B2002">
        <v>2100</v>
      </c>
      <c r="C2002" t="s">
        <v>5278</v>
      </c>
      <c r="D2002">
        <v>55100</v>
      </c>
      <c r="E2002" t="s">
        <v>5279</v>
      </c>
      <c r="F2002" t="s">
        <v>2364</v>
      </c>
      <c r="G2002" t="s">
        <v>2364</v>
      </c>
      <c r="H2002" t="s">
        <v>2365</v>
      </c>
      <c r="I2002" t="s">
        <v>2365</v>
      </c>
      <c r="J2002" t="s">
        <v>2365</v>
      </c>
      <c r="K2002" t="s">
        <v>2365</v>
      </c>
      <c r="L2002">
        <v>1200</v>
      </c>
      <c r="M2002" t="s">
        <v>1480</v>
      </c>
      <c r="N2002">
        <v>1204</v>
      </c>
      <c r="O2002" t="s">
        <v>1487</v>
      </c>
      <c r="P2002" t="s">
        <v>2366</v>
      </c>
      <c r="Q2002" t="s">
        <v>2364</v>
      </c>
      <c r="R2002" t="s">
        <v>2364</v>
      </c>
      <c r="S2002" t="s">
        <v>553</v>
      </c>
      <c r="T2002" t="s">
        <v>2175</v>
      </c>
      <c r="U2002" t="s">
        <v>2366</v>
      </c>
      <c r="V2002" t="s">
        <v>2366</v>
      </c>
      <c r="W2002" t="s">
        <v>2366</v>
      </c>
      <c r="X2002" t="s">
        <v>2366</v>
      </c>
      <c r="Y2002" t="s">
        <v>2365</v>
      </c>
      <c r="Z2002" t="s">
        <v>2365</v>
      </c>
      <c r="AA2002" t="s">
        <v>2365</v>
      </c>
      <c r="AB2002" t="s">
        <v>2365</v>
      </c>
      <c r="AC2002" s="813" t="s">
        <v>2365</v>
      </c>
      <c r="AD2002" s="813" t="s">
        <v>2365</v>
      </c>
      <c r="AE2002" s="813" t="s">
        <v>2365</v>
      </c>
      <c r="AF2002" t="s">
        <v>2365</v>
      </c>
      <c r="AG2002" t="s">
        <v>2365</v>
      </c>
      <c r="AH2002" t="s">
        <v>2365</v>
      </c>
      <c r="AI2002" t="s">
        <v>2365</v>
      </c>
      <c r="AJ2002" t="s">
        <v>2365</v>
      </c>
      <c r="AK2002">
        <v>145</v>
      </c>
      <c r="AL2002" t="s">
        <v>1198</v>
      </c>
      <c r="AM2002">
        <v>145</v>
      </c>
      <c r="AN2002" t="s">
        <v>1198</v>
      </c>
      <c r="AR2002" t="s">
        <v>2365</v>
      </c>
      <c r="AS2002" t="s">
        <v>2365</v>
      </c>
      <c r="AT2002" t="s">
        <v>2365</v>
      </c>
      <c r="AU2002" t="s">
        <v>2365</v>
      </c>
      <c r="AV2002" t="s">
        <v>2365</v>
      </c>
      <c r="AW2002" t="s">
        <v>2365</v>
      </c>
      <c r="AX2002" t="s">
        <v>2365</v>
      </c>
      <c r="AY2002" t="s">
        <v>2365</v>
      </c>
      <c r="AZ2002" t="s">
        <v>2365</v>
      </c>
      <c r="BA2002" t="s">
        <v>2365</v>
      </c>
      <c r="BB2002" t="s">
        <v>2365</v>
      </c>
      <c r="BC2002" t="s">
        <v>2365</v>
      </c>
      <c r="BD2002" t="s">
        <v>2366</v>
      </c>
      <c r="BE2002" t="s">
        <v>2365</v>
      </c>
      <c r="BF2002" t="s">
        <v>2365</v>
      </c>
      <c r="BG2002" t="s">
        <v>2365</v>
      </c>
      <c r="BH2002" t="s">
        <v>2365</v>
      </c>
      <c r="BI2002" t="s">
        <v>2366</v>
      </c>
      <c r="BJ2002" t="s">
        <v>2365</v>
      </c>
      <c r="BK2002" t="s">
        <v>2365</v>
      </c>
      <c r="BL2002" t="s">
        <v>2365</v>
      </c>
      <c r="BM2002" t="s">
        <v>2365</v>
      </c>
      <c r="BO2002">
        <v>1</v>
      </c>
      <c r="BP2002">
        <v>11</v>
      </c>
      <c r="BQ2002" t="s">
        <v>2369</v>
      </c>
      <c r="BR2002" t="s">
        <v>1487</v>
      </c>
      <c r="BU2002">
        <v>0</v>
      </c>
      <c r="BV2002">
        <v>0</v>
      </c>
      <c r="BW2002">
        <v>0</v>
      </c>
      <c r="BX2002">
        <v>0</v>
      </c>
      <c r="BY2002">
        <v>0</v>
      </c>
      <c r="BZ2002">
        <v>0</v>
      </c>
      <c r="CA2002">
        <v>0</v>
      </c>
      <c r="CB2002">
        <v>0</v>
      </c>
      <c r="CC2002">
        <v>0</v>
      </c>
      <c r="CD2002">
        <v>0</v>
      </c>
      <c r="CE2002">
        <v>0</v>
      </c>
      <c r="CF2002">
        <v>0</v>
      </c>
      <c r="CG2002">
        <v>0</v>
      </c>
      <c r="CH2002">
        <v>0</v>
      </c>
      <c r="CI2002">
        <v>0</v>
      </c>
      <c r="CJ2002">
        <v>0</v>
      </c>
      <c r="CK2002">
        <v>0</v>
      </c>
      <c r="CL2002">
        <v>0</v>
      </c>
      <c r="CM2002">
        <v>0</v>
      </c>
      <c r="CR2002" t="s">
        <v>2325</v>
      </c>
      <c r="CS2002" s="1369" t="str">
        <f>INDEX([8]Sheet1!$H:$H,MATCH(CR:CR,[8]Sheet1!$AU:$AU,0))</f>
        <v>Asset Management</v>
      </c>
    </row>
    <row r="2003" spans="1:97" x14ac:dyDescent="0.2">
      <c r="A2003" t="s">
        <v>5280</v>
      </c>
      <c r="B2003">
        <v>2101</v>
      </c>
      <c r="C2003" t="s">
        <v>5280</v>
      </c>
      <c r="D2003">
        <v>55101</v>
      </c>
      <c r="E2003" t="s">
        <v>5078</v>
      </c>
      <c r="F2003" t="s">
        <v>2364</v>
      </c>
      <c r="G2003" t="s">
        <v>2364</v>
      </c>
      <c r="H2003" t="s">
        <v>2365</v>
      </c>
      <c r="I2003" t="s">
        <v>2365</v>
      </c>
      <c r="J2003" t="s">
        <v>2365</v>
      </c>
      <c r="K2003" t="s">
        <v>2365</v>
      </c>
      <c r="L2003">
        <v>1200</v>
      </c>
      <c r="M2003" t="s">
        <v>1480</v>
      </c>
      <c r="N2003">
        <v>1204</v>
      </c>
      <c r="O2003" t="s">
        <v>1487</v>
      </c>
      <c r="P2003" t="s">
        <v>2366</v>
      </c>
      <c r="Q2003" t="s">
        <v>2364</v>
      </c>
      <c r="R2003" t="s">
        <v>2364</v>
      </c>
      <c r="S2003" t="s">
        <v>553</v>
      </c>
      <c r="T2003" t="s">
        <v>2175</v>
      </c>
      <c r="U2003">
        <v>140</v>
      </c>
      <c r="V2003" t="s">
        <v>693</v>
      </c>
      <c r="W2003">
        <v>140</v>
      </c>
      <c r="X2003" t="s">
        <v>693</v>
      </c>
      <c r="Y2003" t="s">
        <v>2365</v>
      </c>
      <c r="Z2003" t="s">
        <v>2365</v>
      </c>
      <c r="AA2003" t="s">
        <v>2365</v>
      </c>
      <c r="AB2003" t="s">
        <v>2365</v>
      </c>
      <c r="AC2003" s="813" t="s">
        <v>2365</v>
      </c>
      <c r="AD2003" s="813" t="s">
        <v>2365</v>
      </c>
      <c r="AE2003" s="813" t="s">
        <v>2365</v>
      </c>
      <c r="AF2003" t="s">
        <v>2365</v>
      </c>
      <c r="AG2003" t="s">
        <v>2365</v>
      </c>
      <c r="AH2003" t="s">
        <v>2365</v>
      </c>
      <c r="AI2003" t="s">
        <v>2365</v>
      </c>
      <c r="AJ2003" t="s">
        <v>2365</v>
      </c>
      <c r="AK2003" t="s">
        <v>2366</v>
      </c>
      <c r="AL2003" t="s">
        <v>2366</v>
      </c>
      <c r="AM2003" t="s">
        <v>2366</v>
      </c>
      <c r="AN2003" t="s">
        <v>2366</v>
      </c>
      <c r="AR2003" t="s">
        <v>2365</v>
      </c>
      <c r="AS2003" t="s">
        <v>2365</v>
      </c>
      <c r="AT2003" t="s">
        <v>2365</v>
      </c>
      <c r="AU2003" t="s">
        <v>2365</v>
      </c>
      <c r="AV2003" t="s">
        <v>2365</v>
      </c>
      <c r="AW2003" t="s">
        <v>2365</v>
      </c>
      <c r="AX2003" t="s">
        <v>2365</v>
      </c>
      <c r="AY2003" t="s">
        <v>2365</v>
      </c>
      <c r="AZ2003" t="s">
        <v>2365</v>
      </c>
      <c r="BA2003" t="s">
        <v>2365</v>
      </c>
      <c r="BB2003" t="s">
        <v>2365</v>
      </c>
      <c r="BC2003" t="s">
        <v>2365</v>
      </c>
      <c r="BD2003" t="s">
        <v>2366</v>
      </c>
      <c r="BE2003" t="s">
        <v>2365</v>
      </c>
      <c r="BF2003" t="s">
        <v>2365</v>
      </c>
      <c r="BG2003" t="s">
        <v>2365</v>
      </c>
      <c r="BH2003" t="s">
        <v>2365</v>
      </c>
      <c r="BI2003" t="s">
        <v>2366</v>
      </c>
      <c r="BJ2003" t="s">
        <v>2365</v>
      </c>
      <c r="BK2003" t="s">
        <v>2365</v>
      </c>
      <c r="BL2003" t="s">
        <v>2365</v>
      </c>
      <c r="BM2003" t="s">
        <v>2365</v>
      </c>
      <c r="BO2003">
        <v>1</v>
      </c>
      <c r="BP2003">
        <v>11</v>
      </c>
      <c r="BQ2003" t="s">
        <v>2369</v>
      </c>
      <c r="BR2003" t="s">
        <v>1487</v>
      </c>
      <c r="BU2003">
        <v>0</v>
      </c>
      <c r="BV2003">
        <v>0</v>
      </c>
      <c r="BW2003">
        <v>0</v>
      </c>
      <c r="BX2003">
        <v>0</v>
      </c>
      <c r="BY2003">
        <v>0</v>
      </c>
      <c r="BZ2003">
        <v>0</v>
      </c>
      <c r="CA2003">
        <v>0</v>
      </c>
      <c r="CB2003">
        <v>0</v>
      </c>
      <c r="CC2003">
        <v>0</v>
      </c>
      <c r="CD2003">
        <v>0</v>
      </c>
      <c r="CE2003">
        <v>0</v>
      </c>
      <c r="CF2003">
        <v>0</v>
      </c>
      <c r="CG2003">
        <v>0</v>
      </c>
      <c r="CH2003">
        <v>0</v>
      </c>
      <c r="CI2003">
        <v>0</v>
      </c>
      <c r="CJ2003">
        <v>0</v>
      </c>
      <c r="CK2003">
        <v>0</v>
      </c>
      <c r="CL2003">
        <v>0</v>
      </c>
      <c r="CM2003">
        <v>0</v>
      </c>
      <c r="CR2003" t="s">
        <v>2325</v>
      </c>
      <c r="CS2003" s="1369" t="str">
        <f>INDEX([8]Sheet1!$H:$H,MATCH(CR:CR,[8]Sheet1!$AU:$AU,0))</f>
        <v>Asset Management</v>
      </c>
    </row>
    <row r="2004" spans="1:97" x14ac:dyDescent="0.2">
      <c r="A2004" t="s">
        <v>5281</v>
      </c>
      <c r="B2004">
        <v>2102</v>
      </c>
      <c r="C2004" t="s">
        <v>5281</v>
      </c>
      <c r="D2004">
        <v>55102</v>
      </c>
      <c r="E2004" t="s">
        <v>5282</v>
      </c>
      <c r="F2004" t="s">
        <v>2364</v>
      </c>
      <c r="G2004" t="s">
        <v>2364</v>
      </c>
      <c r="H2004" t="s">
        <v>2365</v>
      </c>
      <c r="I2004" t="s">
        <v>2365</v>
      </c>
      <c r="J2004" t="s">
        <v>2365</v>
      </c>
      <c r="K2004" t="s">
        <v>2365</v>
      </c>
      <c r="L2004">
        <v>1200</v>
      </c>
      <c r="M2004" t="s">
        <v>1480</v>
      </c>
      <c r="N2004">
        <v>1204</v>
      </c>
      <c r="O2004" t="s">
        <v>1487</v>
      </c>
      <c r="P2004" t="s">
        <v>2366</v>
      </c>
      <c r="Q2004" t="s">
        <v>2364</v>
      </c>
      <c r="R2004" t="s">
        <v>2364</v>
      </c>
      <c r="S2004" t="s">
        <v>553</v>
      </c>
      <c r="T2004" t="s">
        <v>2175</v>
      </c>
      <c r="U2004" t="s">
        <v>2366</v>
      </c>
      <c r="V2004" t="s">
        <v>2366</v>
      </c>
      <c r="W2004" t="s">
        <v>2366</v>
      </c>
      <c r="X2004" t="s">
        <v>2366</v>
      </c>
      <c r="Y2004" t="s">
        <v>2365</v>
      </c>
      <c r="Z2004" t="s">
        <v>2365</v>
      </c>
      <c r="AA2004" t="s">
        <v>2365</v>
      </c>
      <c r="AB2004" t="s">
        <v>2365</v>
      </c>
      <c r="AC2004" s="813" t="s">
        <v>2365</v>
      </c>
      <c r="AD2004" s="813" t="s">
        <v>2365</v>
      </c>
      <c r="AE2004" s="813" t="s">
        <v>2365</v>
      </c>
      <c r="AF2004" t="s">
        <v>2365</v>
      </c>
      <c r="AG2004" t="s">
        <v>2365</v>
      </c>
      <c r="AH2004" t="s">
        <v>2365</v>
      </c>
      <c r="AI2004" t="s">
        <v>2365</v>
      </c>
      <c r="AJ2004" t="s">
        <v>2365</v>
      </c>
      <c r="AK2004">
        <v>145</v>
      </c>
      <c r="AL2004" t="s">
        <v>1198</v>
      </c>
      <c r="AM2004">
        <v>145</v>
      </c>
      <c r="AN2004" t="s">
        <v>1198</v>
      </c>
      <c r="AR2004" t="s">
        <v>2365</v>
      </c>
      <c r="AS2004" t="s">
        <v>2365</v>
      </c>
      <c r="AT2004" t="s">
        <v>2365</v>
      </c>
      <c r="AU2004" t="s">
        <v>2365</v>
      </c>
      <c r="AV2004" t="s">
        <v>2365</v>
      </c>
      <c r="AW2004" t="s">
        <v>2365</v>
      </c>
      <c r="AX2004" t="s">
        <v>2365</v>
      </c>
      <c r="AY2004" t="s">
        <v>2365</v>
      </c>
      <c r="AZ2004" t="s">
        <v>2365</v>
      </c>
      <c r="BA2004" t="s">
        <v>2365</v>
      </c>
      <c r="BB2004" t="s">
        <v>2365</v>
      </c>
      <c r="BC2004" t="s">
        <v>2365</v>
      </c>
      <c r="BD2004" t="s">
        <v>2366</v>
      </c>
      <c r="BE2004" t="s">
        <v>2365</v>
      </c>
      <c r="BF2004" t="s">
        <v>2365</v>
      </c>
      <c r="BG2004" t="s">
        <v>2365</v>
      </c>
      <c r="BH2004" t="s">
        <v>2365</v>
      </c>
      <c r="BI2004" t="s">
        <v>2366</v>
      </c>
      <c r="BJ2004" t="s">
        <v>2365</v>
      </c>
      <c r="BK2004" t="s">
        <v>2365</v>
      </c>
      <c r="BL2004" t="s">
        <v>2365</v>
      </c>
      <c r="BM2004" t="s">
        <v>2365</v>
      </c>
      <c r="BO2004">
        <v>1</v>
      </c>
      <c r="BP2004">
        <v>11</v>
      </c>
      <c r="BQ2004" t="s">
        <v>2369</v>
      </c>
      <c r="BR2004" t="s">
        <v>1487</v>
      </c>
      <c r="BU2004">
        <v>0</v>
      </c>
      <c r="BV2004">
        <v>0</v>
      </c>
      <c r="BW2004">
        <v>0</v>
      </c>
      <c r="BX2004">
        <v>0</v>
      </c>
      <c r="BY2004">
        <v>0</v>
      </c>
      <c r="BZ2004">
        <v>0</v>
      </c>
      <c r="CA2004">
        <v>0</v>
      </c>
      <c r="CB2004">
        <v>0</v>
      </c>
      <c r="CC2004">
        <v>0</v>
      </c>
      <c r="CD2004">
        <v>0</v>
      </c>
      <c r="CE2004">
        <v>0</v>
      </c>
      <c r="CF2004">
        <v>0</v>
      </c>
      <c r="CG2004">
        <v>0</v>
      </c>
      <c r="CH2004">
        <v>0</v>
      </c>
      <c r="CI2004">
        <v>0</v>
      </c>
      <c r="CJ2004">
        <v>0</v>
      </c>
      <c r="CK2004">
        <v>0</v>
      </c>
      <c r="CL2004">
        <v>0</v>
      </c>
      <c r="CM2004">
        <v>0</v>
      </c>
      <c r="CR2004" t="s">
        <v>2325</v>
      </c>
      <c r="CS2004" s="1369" t="str">
        <f>INDEX([8]Sheet1!$H:$H,MATCH(CR:CR,[8]Sheet1!$AU:$AU,0))</f>
        <v>Asset Management</v>
      </c>
    </row>
    <row r="2005" spans="1:97" x14ac:dyDescent="0.2">
      <c r="A2005" t="s">
        <v>5283</v>
      </c>
      <c r="B2005">
        <v>2103</v>
      </c>
      <c r="C2005" t="s">
        <v>5283</v>
      </c>
      <c r="D2005">
        <v>55103</v>
      </c>
      <c r="E2005" t="s">
        <v>5284</v>
      </c>
      <c r="F2005" t="s">
        <v>2364</v>
      </c>
      <c r="G2005" t="s">
        <v>2364</v>
      </c>
      <c r="H2005" t="s">
        <v>2365</v>
      </c>
      <c r="I2005" t="s">
        <v>2365</v>
      </c>
      <c r="J2005" t="s">
        <v>2365</v>
      </c>
      <c r="K2005" t="s">
        <v>2365</v>
      </c>
      <c r="L2005">
        <v>1200</v>
      </c>
      <c r="M2005" t="s">
        <v>1480</v>
      </c>
      <c r="N2005">
        <v>1204</v>
      </c>
      <c r="O2005" t="s">
        <v>1487</v>
      </c>
      <c r="P2005" t="s">
        <v>2366</v>
      </c>
      <c r="Q2005" t="s">
        <v>2364</v>
      </c>
      <c r="R2005" t="s">
        <v>2364</v>
      </c>
      <c r="S2005" t="s">
        <v>553</v>
      </c>
      <c r="T2005" t="s">
        <v>2175</v>
      </c>
      <c r="U2005" t="s">
        <v>2366</v>
      </c>
      <c r="V2005" t="s">
        <v>2366</v>
      </c>
      <c r="W2005" t="s">
        <v>2366</v>
      </c>
      <c r="X2005" t="s">
        <v>2366</v>
      </c>
      <c r="Y2005" t="s">
        <v>2365</v>
      </c>
      <c r="Z2005" t="s">
        <v>2365</v>
      </c>
      <c r="AA2005" t="s">
        <v>2365</v>
      </c>
      <c r="AB2005" t="s">
        <v>2365</v>
      </c>
      <c r="AC2005" s="813" t="s">
        <v>2365</v>
      </c>
      <c r="AD2005" s="813" t="s">
        <v>2365</v>
      </c>
      <c r="AE2005" s="813" t="s">
        <v>2365</v>
      </c>
      <c r="AF2005" t="s">
        <v>2365</v>
      </c>
      <c r="AG2005" t="s">
        <v>2365</v>
      </c>
      <c r="AH2005" t="s">
        <v>2365</v>
      </c>
      <c r="AI2005" t="s">
        <v>2365</v>
      </c>
      <c r="AJ2005" t="s">
        <v>2365</v>
      </c>
      <c r="AK2005">
        <v>145</v>
      </c>
      <c r="AL2005" t="s">
        <v>1198</v>
      </c>
      <c r="AM2005">
        <v>145</v>
      </c>
      <c r="AN2005" t="s">
        <v>1198</v>
      </c>
      <c r="AR2005" t="s">
        <v>2365</v>
      </c>
      <c r="AS2005" t="s">
        <v>2365</v>
      </c>
      <c r="AT2005" t="s">
        <v>2365</v>
      </c>
      <c r="AU2005" t="s">
        <v>2365</v>
      </c>
      <c r="AV2005" t="s">
        <v>2365</v>
      </c>
      <c r="AW2005" t="s">
        <v>2365</v>
      </c>
      <c r="AX2005" t="s">
        <v>2365</v>
      </c>
      <c r="AY2005" t="s">
        <v>2365</v>
      </c>
      <c r="AZ2005" t="s">
        <v>2365</v>
      </c>
      <c r="BA2005" t="s">
        <v>2365</v>
      </c>
      <c r="BB2005" t="s">
        <v>2365</v>
      </c>
      <c r="BC2005" t="s">
        <v>2365</v>
      </c>
      <c r="BD2005" t="s">
        <v>2366</v>
      </c>
      <c r="BE2005" t="s">
        <v>2365</v>
      </c>
      <c r="BF2005" t="s">
        <v>2365</v>
      </c>
      <c r="BG2005" t="s">
        <v>2365</v>
      </c>
      <c r="BH2005" t="s">
        <v>2365</v>
      </c>
      <c r="BI2005" t="s">
        <v>2366</v>
      </c>
      <c r="BJ2005" t="s">
        <v>2365</v>
      </c>
      <c r="BK2005" t="s">
        <v>2365</v>
      </c>
      <c r="BL2005" t="s">
        <v>2365</v>
      </c>
      <c r="BM2005" t="s">
        <v>2365</v>
      </c>
      <c r="BO2005">
        <v>1</v>
      </c>
      <c r="BP2005">
        <v>11</v>
      </c>
      <c r="BQ2005" t="s">
        <v>2369</v>
      </c>
      <c r="BR2005" t="s">
        <v>1487</v>
      </c>
      <c r="BU2005">
        <v>0</v>
      </c>
      <c r="BV2005">
        <v>0</v>
      </c>
      <c r="BW2005">
        <v>0</v>
      </c>
      <c r="BX2005">
        <v>0</v>
      </c>
      <c r="BY2005">
        <v>0</v>
      </c>
      <c r="BZ2005">
        <v>0</v>
      </c>
      <c r="CA2005">
        <v>0</v>
      </c>
      <c r="CB2005">
        <v>0</v>
      </c>
      <c r="CC2005">
        <v>0</v>
      </c>
      <c r="CD2005">
        <v>0</v>
      </c>
      <c r="CE2005">
        <v>0</v>
      </c>
      <c r="CF2005">
        <v>0</v>
      </c>
      <c r="CG2005">
        <v>0</v>
      </c>
      <c r="CH2005">
        <v>0</v>
      </c>
      <c r="CI2005">
        <v>0</v>
      </c>
      <c r="CJ2005">
        <v>0</v>
      </c>
      <c r="CK2005">
        <v>0</v>
      </c>
      <c r="CL2005">
        <v>0</v>
      </c>
      <c r="CM2005">
        <v>0</v>
      </c>
      <c r="CR2005" t="s">
        <v>2325</v>
      </c>
      <c r="CS2005" s="1369" t="str">
        <f>INDEX([8]Sheet1!$H:$H,MATCH(CR:CR,[8]Sheet1!$AU:$AU,0))</f>
        <v>Asset Management</v>
      </c>
    </row>
    <row r="2006" spans="1:97" x14ac:dyDescent="0.2">
      <c r="A2006" t="s">
        <v>5285</v>
      </c>
      <c r="B2006">
        <v>2104</v>
      </c>
      <c r="C2006" t="s">
        <v>5285</v>
      </c>
      <c r="D2006">
        <v>55104</v>
      </c>
      <c r="E2006" t="s">
        <v>5068</v>
      </c>
      <c r="F2006" t="s">
        <v>2364</v>
      </c>
      <c r="G2006" t="s">
        <v>2364</v>
      </c>
      <c r="H2006" t="s">
        <v>2365</v>
      </c>
      <c r="I2006" t="s">
        <v>2365</v>
      </c>
      <c r="J2006" t="s">
        <v>2365</v>
      </c>
      <c r="K2006" t="s">
        <v>2365</v>
      </c>
      <c r="L2006">
        <v>1200</v>
      </c>
      <c r="M2006" t="s">
        <v>1480</v>
      </c>
      <c r="N2006">
        <v>1204</v>
      </c>
      <c r="O2006" t="s">
        <v>1487</v>
      </c>
      <c r="P2006" t="s">
        <v>2366</v>
      </c>
      <c r="Q2006" t="s">
        <v>2364</v>
      </c>
      <c r="R2006" t="s">
        <v>2364</v>
      </c>
      <c r="S2006" t="s">
        <v>553</v>
      </c>
      <c r="T2006" t="s">
        <v>2175</v>
      </c>
      <c r="U2006">
        <v>140</v>
      </c>
      <c r="V2006" t="s">
        <v>693</v>
      </c>
      <c r="W2006">
        <v>140</v>
      </c>
      <c r="X2006" t="s">
        <v>693</v>
      </c>
      <c r="Y2006" t="s">
        <v>2365</v>
      </c>
      <c r="Z2006" t="s">
        <v>2365</v>
      </c>
      <c r="AA2006" t="s">
        <v>2365</v>
      </c>
      <c r="AB2006" t="s">
        <v>2365</v>
      </c>
      <c r="AC2006" s="813" t="s">
        <v>2365</v>
      </c>
      <c r="AD2006" s="813" t="s">
        <v>2365</v>
      </c>
      <c r="AE2006" s="813" t="s">
        <v>2365</v>
      </c>
      <c r="AF2006" t="s">
        <v>2365</v>
      </c>
      <c r="AG2006" t="s">
        <v>2365</v>
      </c>
      <c r="AH2006" t="s">
        <v>2365</v>
      </c>
      <c r="AI2006" t="s">
        <v>2365</v>
      </c>
      <c r="AJ2006" t="s">
        <v>2365</v>
      </c>
      <c r="AK2006" t="s">
        <v>2366</v>
      </c>
      <c r="AL2006" t="s">
        <v>2366</v>
      </c>
      <c r="AM2006" t="s">
        <v>2366</v>
      </c>
      <c r="AN2006" t="s">
        <v>2366</v>
      </c>
      <c r="AR2006" t="s">
        <v>2365</v>
      </c>
      <c r="AS2006" t="s">
        <v>2365</v>
      </c>
      <c r="AT2006" t="s">
        <v>2365</v>
      </c>
      <c r="AU2006" t="s">
        <v>2365</v>
      </c>
      <c r="AV2006" t="s">
        <v>2365</v>
      </c>
      <c r="AW2006" t="s">
        <v>2365</v>
      </c>
      <c r="AX2006" t="s">
        <v>2365</v>
      </c>
      <c r="AY2006" t="s">
        <v>2365</v>
      </c>
      <c r="AZ2006" t="s">
        <v>2365</v>
      </c>
      <c r="BA2006" t="s">
        <v>2365</v>
      </c>
      <c r="BB2006" t="s">
        <v>2365</v>
      </c>
      <c r="BC2006" t="s">
        <v>2365</v>
      </c>
      <c r="BD2006" t="s">
        <v>2366</v>
      </c>
      <c r="BE2006" t="s">
        <v>2365</v>
      </c>
      <c r="BF2006" t="s">
        <v>2365</v>
      </c>
      <c r="BG2006" t="s">
        <v>2365</v>
      </c>
      <c r="BH2006" t="s">
        <v>2365</v>
      </c>
      <c r="BI2006" t="s">
        <v>2366</v>
      </c>
      <c r="BJ2006" t="s">
        <v>2365</v>
      </c>
      <c r="BK2006" t="s">
        <v>2365</v>
      </c>
      <c r="BL2006" t="s">
        <v>2365</v>
      </c>
      <c r="BM2006" t="s">
        <v>2365</v>
      </c>
      <c r="BO2006">
        <v>1</v>
      </c>
      <c r="BP2006">
        <v>11</v>
      </c>
      <c r="BQ2006" t="s">
        <v>2369</v>
      </c>
      <c r="BR2006" t="s">
        <v>1487</v>
      </c>
      <c r="BU2006">
        <v>0</v>
      </c>
      <c r="BV2006">
        <v>0</v>
      </c>
      <c r="BW2006">
        <v>0</v>
      </c>
      <c r="BX2006">
        <v>0</v>
      </c>
      <c r="BY2006">
        <v>0</v>
      </c>
      <c r="BZ2006">
        <v>0</v>
      </c>
      <c r="CA2006">
        <v>0</v>
      </c>
      <c r="CB2006">
        <v>0</v>
      </c>
      <c r="CC2006">
        <v>0</v>
      </c>
      <c r="CD2006">
        <v>0</v>
      </c>
      <c r="CE2006">
        <v>0</v>
      </c>
      <c r="CF2006">
        <v>0</v>
      </c>
      <c r="CG2006">
        <v>0</v>
      </c>
      <c r="CH2006">
        <v>0</v>
      </c>
      <c r="CI2006">
        <v>0</v>
      </c>
      <c r="CJ2006">
        <v>0</v>
      </c>
      <c r="CK2006">
        <v>0</v>
      </c>
      <c r="CL2006">
        <v>0</v>
      </c>
      <c r="CM2006">
        <v>0</v>
      </c>
      <c r="CR2006" t="s">
        <v>2325</v>
      </c>
      <c r="CS2006" s="1369" t="str">
        <f>INDEX([8]Sheet1!$H:$H,MATCH(CR:CR,[8]Sheet1!$AU:$AU,0))</f>
        <v>Asset Management</v>
      </c>
    </row>
    <row r="2007" spans="1:97" x14ac:dyDescent="0.2">
      <c r="A2007" t="s">
        <v>5286</v>
      </c>
      <c r="B2007">
        <v>2105</v>
      </c>
      <c r="C2007" t="s">
        <v>5286</v>
      </c>
      <c r="D2007">
        <v>55105</v>
      </c>
      <c r="E2007" t="s">
        <v>5287</v>
      </c>
      <c r="F2007" t="s">
        <v>2364</v>
      </c>
      <c r="G2007" t="s">
        <v>2364</v>
      </c>
      <c r="H2007" t="s">
        <v>2365</v>
      </c>
      <c r="I2007" t="s">
        <v>2365</v>
      </c>
      <c r="J2007" t="s">
        <v>2365</v>
      </c>
      <c r="K2007" t="s">
        <v>2365</v>
      </c>
      <c r="L2007">
        <v>1200</v>
      </c>
      <c r="M2007" t="s">
        <v>1480</v>
      </c>
      <c r="N2007">
        <v>1204</v>
      </c>
      <c r="O2007" t="s">
        <v>1487</v>
      </c>
      <c r="P2007" t="s">
        <v>2366</v>
      </c>
      <c r="Q2007" t="s">
        <v>2364</v>
      </c>
      <c r="R2007" t="s">
        <v>2364</v>
      </c>
      <c r="S2007" t="s">
        <v>553</v>
      </c>
      <c r="T2007" t="s">
        <v>2175</v>
      </c>
      <c r="U2007" t="s">
        <v>2366</v>
      </c>
      <c r="V2007" t="s">
        <v>2366</v>
      </c>
      <c r="W2007" t="s">
        <v>2366</v>
      </c>
      <c r="X2007" t="s">
        <v>2366</v>
      </c>
      <c r="Y2007" t="s">
        <v>2365</v>
      </c>
      <c r="Z2007" t="s">
        <v>2365</v>
      </c>
      <c r="AA2007" t="s">
        <v>2365</v>
      </c>
      <c r="AB2007" t="s">
        <v>2365</v>
      </c>
      <c r="AC2007" s="813" t="s">
        <v>2365</v>
      </c>
      <c r="AD2007" s="813" t="s">
        <v>2365</v>
      </c>
      <c r="AE2007" s="813" t="s">
        <v>2365</v>
      </c>
      <c r="AF2007" t="s">
        <v>2365</v>
      </c>
      <c r="AG2007" t="s">
        <v>2365</v>
      </c>
      <c r="AH2007" t="s">
        <v>2365</v>
      </c>
      <c r="AI2007" t="s">
        <v>2365</v>
      </c>
      <c r="AJ2007" t="s">
        <v>2365</v>
      </c>
      <c r="AK2007">
        <v>145</v>
      </c>
      <c r="AL2007" t="s">
        <v>1198</v>
      </c>
      <c r="AM2007">
        <v>145</v>
      </c>
      <c r="AN2007" t="s">
        <v>1198</v>
      </c>
      <c r="AR2007" t="s">
        <v>2365</v>
      </c>
      <c r="AS2007" t="s">
        <v>2365</v>
      </c>
      <c r="AT2007" t="s">
        <v>2365</v>
      </c>
      <c r="AU2007" t="s">
        <v>2365</v>
      </c>
      <c r="AV2007" t="s">
        <v>2365</v>
      </c>
      <c r="AW2007" t="s">
        <v>2365</v>
      </c>
      <c r="AX2007" t="s">
        <v>2365</v>
      </c>
      <c r="AY2007" t="s">
        <v>2365</v>
      </c>
      <c r="AZ2007" t="s">
        <v>2365</v>
      </c>
      <c r="BA2007" t="s">
        <v>2365</v>
      </c>
      <c r="BB2007" t="s">
        <v>2365</v>
      </c>
      <c r="BC2007" t="s">
        <v>2365</v>
      </c>
      <c r="BD2007" t="s">
        <v>2366</v>
      </c>
      <c r="BE2007" t="s">
        <v>2365</v>
      </c>
      <c r="BF2007" t="s">
        <v>2365</v>
      </c>
      <c r="BG2007" t="s">
        <v>2365</v>
      </c>
      <c r="BH2007" t="s">
        <v>2365</v>
      </c>
      <c r="BI2007" t="s">
        <v>2366</v>
      </c>
      <c r="BJ2007" t="s">
        <v>2365</v>
      </c>
      <c r="BK2007" t="s">
        <v>2365</v>
      </c>
      <c r="BL2007" t="s">
        <v>2365</v>
      </c>
      <c r="BM2007" t="s">
        <v>2365</v>
      </c>
      <c r="BO2007">
        <v>1</v>
      </c>
      <c r="BP2007">
        <v>11</v>
      </c>
      <c r="BQ2007" t="s">
        <v>2369</v>
      </c>
      <c r="BR2007" t="s">
        <v>1487</v>
      </c>
      <c r="BU2007">
        <v>0</v>
      </c>
      <c r="BV2007">
        <v>0</v>
      </c>
      <c r="BW2007">
        <v>0</v>
      </c>
      <c r="BX2007">
        <v>0</v>
      </c>
      <c r="BY2007">
        <v>0</v>
      </c>
      <c r="BZ2007">
        <v>0</v>
      </c>
      <c r="CA2007">
        <v>0</v>
      </c>
      <c r="CB2007">
        <v>0</v>
      </c>
      <c r="CC2007">
        <v>0</v>
      </c>
      <c r="CD2007">
        <v>0</v>
      </c>
      <c r="CE2007">
        <v>0</v>
      </c>
      <c r="CF2007">
        <v>0</v>
      </c>
      <c r="CG2007">
        <v>0</v>
      </c>
      <c r="CH2007">
        <v>0</v>
      </c>
      <c r="CI2007">
        <v>0</v>
      </c>
      <c r="CJ2007">
        <v>0</v>
      </c>
      <c r="CK2007">
        <v>0</v>
      </c>
      <c r="CL2007">
        <v>0</v>
      </c>
      <c r="CM2007">
        <v>0</v>
      </c>
      <c r="CR2007" t="s">
        <v>2325</v>
      </c>
      <c r="CS2007" s="1369" t="str">
        <f>INDEX([8]Sheet1!$H:$H,MATCH(CR:CR,[8]Sheet1!$AU:$AU,0))</f>
        <v>Asset Management</v>
      </c>
    </row>
    <row r="2008" spans="1:97" x14ac:dyDescent="0.2">
      <c r="A2008" t="s">
        <v>5288</v>
      </c>
      <c r="B2008">
        <v>2106</v>
      </c>
      <c r="C2008" t="s">
        <v>5288</v>
      </c>
      <c r="D2008">
        <v>55106</v>
      </c>
      <c r="E2008" t="s">
        <v>5289</v>
      </c>
      <c r="F2008" t="s">
        <v>2364</v>
      </c>
      <c r="G2008" t="s">
        <v>2364</v>
      </c>
      <c r="H2008" t="s">
        <v>2365</v>
      </c>
      <c r="I2008" t="s">
        <v>2365</v>
      </c>
      <c r="J2008" t="s">
        <v>2365</v>
      </c>
      <c r="K2008" t="s">
        <v>2365</v>
      </c>
      <c r="L2008">
        <v>1200</v>
      </c>
      <c r="M2008" t="s">
        <v>1480</v>
      </c>
      <c r="N2008">
        <v>1204</v>
      </c>
      <c r="O2008" t="s">
        <v>1487</v>
      </c>
      <c r="P2008" t="s">
        <v>2366</v>
      </c>
      <c r="Q2008" t="s">
        <v>2364</v>
      </c>
      <c r="R2008" t="s">
        <v>2364</v>
      </c>
      <c r="S2008" t="s">
        <v>553</v>
      </c>
      <c r="T2008" t="s">
        <v>2175</v>
      </c>
      <c r="U2008">
        <v>140</v>
      </c>
      <c r="V2008" t="s">
        <v>693</v>
      </c>
      <c r="W2008">
        <v>140</v>
      </c>
      <c r="X2008" t="s">
        <v>693</v>
      </c>
      <c r="Y2008" t="s">
        <v>2365</v>
      </c>
      <c r="Z2008" t="s">
        <v>2365</v>
      </c>
      <c r="AA2008" t="s">
        <v>2365</v>
      </c>
      <c r="AB2008" t="s">
        <v>2365</v>
      </c>
      <c r="AC2008" s="813" t="s">
        <v>2365</v>
      </c>
      <c r="AD2008" s="813" t="s">
        <v>2365</v>
      </c>
      <c r="AE2008" s="813" t="s">
        <v>2365</v>
      </c>
      <c r="AF2008" t="s">
        <v>2365</v>
      </c>
      <c r="AG2008" t="s">
        <v>2365</v>
      </c>
      <c r="AH2008" t="s">
        <v>2365</v>
      </c>
      <c r="AI2008" t="s">
        <v>2365</v>
      </c>
      <c r="AJ2008" t="s">
        <v>2365</v>
      </c>
      <c r="AK2008" t="s">
        <v>2366</v>
      </c>
      <c r="AL2008" t="s">
        <v>2366</v>
      </c>
      <c r="AM2008" t="s">
        <v>2366</v>
      </c>
      <c r="AN2008" t="s">
        <v>2366</v>
      </c>
      <c r="AR2008" t="s">
        <v>2365</v>
      </c>
      <c r="AS2008" t="s">
        <v>2365</v>
      </c>
      <c r="AT2008" t="s">
        <v>2365</v>
      </c>
      <c r="AU2008" t="s">
        <v>2365</v>
      </c>
      <c r="AV2008" t="s">
        <v>2365</v>
      </c>
      <c r="AW2008" t="s">
        <v>2365</v>
      </c>
      <c r="AX2008" t="s">
        <v>2365</v>
      </c>
      <c r="AY2008" t="s">
        <v>2365</v>
      </c>
      <c r="AZ2008" t="s">
        <v>2365</v>
      </c>
      <c r="BA2008" t="s">
        <v>2365</v>
      </c>
      <c r="BB2008" t="s">
        <v>2365</v>
      </c>
      <c r="BC2008" t="s">
        <v>2365</v>
      </c>
      <c r="BD2008" t="s">
        <v>2366</v>
      </c>
      <c r="BE2008" t="s">
        <v>2365</v>
      </c>
      <c r="BF2008" t="s">
        <v>2365</v>
      </c>
      <c r="BG2008" t="s">
        <v>2365</v>
      </c>
      <c r="BH2008" t="s">
        <v>2365</v>
      </c>
      <c r="BI2008" t="s">
        <v>2366</v>
      </c>
      <c r="BJ2008" t="s">
        <v>2365</v>
      </c>
      <c r="BK2008" t="s">
        <v>2365</v>
      </c>
      <c r="BL2008" t="s">
        <v>2365</v>
      </c>
      <c r="BM2008" t="s">
        <v>2365</v>
      </c>
      <c r="BO2008">
        <v>1</v>
      </c>
      <c r="BP2008">
        <v>11</v>
      </c>
      <c r="BQ2008" t="s">
        <v>2369</v>
      </c>
      <c r="BR2008" t="s">
        <v>1487</v>
      </c>
      <c r="BU2008">
        <v>0</v>
      </c>
      <c r="BV2008">
        <v>0</v>
      </c>
      <c r="BW2008">
        <v>0</v>
      </c>
      <c r="BX2008">
        <v>0</v>
      </c>
      <c r="BY2008">
        <v>0</v>
      </c>
      <c r="BZ2008">
        <v>0</v>
      </c>
      <c r="CA2008">
        <v>0</v>
      </c>
      <c r="CB2008">
        <v>0</v>
      </c>
      <c r="CC2008">
        <v>0</v>
      </c>
      <c r="CD2008">
        <v>0</v>
      </c>
      <c r="CE2008">
        <v>0</v>
      </c>
      <c r="CF2008">
        <v>0</v>
      </c>
      <c r="CG2008">
        <v>0</v>
      </c>
      <c r="CH2008">
        <v>0</v>
      </c>
      <c r="CI2008">
        <v>0</v>
      </c>
      <c r="CJ2008">
        <v>0</v>
      </c>
      <c r="CK2008">
        <v>0</v>
      </c>
      <c r="CL2008">
        <v>0</v>
      </c>
      <c r="CM2008">
        <v>0</v>
      </c>
      <c r="CR2008" t="s">
        <v>2343</v>
      </c>
      <c r="CS2008" s="1369" t="str">
        <f>INDEX([8]Sheet1!$H:$H,MATCH(CR:CR,[8]Sheet1!$AU:$AU,0))</f>
        <v>Pollution Control</v>
      </c>
    </row>
    <row r="2009" spans="1:97" x14ac:dyDescent="0.2">
      <c r="A2009" t="s">
        <v>5290</v>
      </c>
      <c r="B2009">
        <v>2107</v>
      </c>
      <c r="C2009" t="s">
        <v>5290</v>
      </c>
      <c r="D2009">
        <v>55107</v>
      </c>
      <c r="E2009" t="s">
        <v>5291</v>
      </c>
      <c r="F2009" t="s">
        <v>2364</v>
      </c>
      <c r="G2009" t="s">
        <v>2364</v>
      </c>
      <c r="H2009" t="s">
        <v>2365</v>
      </c>
      <c r="I2009" t="s">
        <v>2365</v>
      </c>
      <c r="J2009" t="s">
        <v>2365</v>
      </c>
      <c r="K2009" t="s">
        <v>2365</v>
      </c>
      <c r="L2009">
        <v>1200</v>
      </c>
      <c r="M2009" t="s">
        <v>1480</v>
      </c>
      <c r="N2009">
        <v>1204</v>
      </c>
      <c r="O2009" t="s">
        <v>1487</v>
      </c>
      <c r="P2009" t="s">
        <v>2366</v>
      </c>
      <c r="Q2009" t="s">
        <v>2364</v>
      </c>
      <c r="R2009" t="s">
        <v>2364</v>
      </c>
      <c r="S2009" t="s">
        <v>553</v>
      </c>
      <c r="T2009" t="s">
        <v>2175</v>
      </c>
      <c r="U2009" t="s">
        <v>2366</v>
      </c>
      <c r="V2009" t="s">
        <v>2366</v>
      </c>
      <c r="W2009" t="s">
        <v>2366</v>
      </c>
      <c r="X2009" t="s">
        <v>2366</v>
      </c>
      <c r="Y2009" t="s">
        <v>2365</v>
      </c>
      <c r="Z2009" t="s">
        <v>2365</v>
      </c>
      <c r="AA2009" t="s">
        <v>2365</v>
      </c>
      <c r="AB2009" t="s">
        <v>2365</v>
      </c>
      <c r="AC2009" s="813" t="s">
        <v>2365</v>
      </c>
      <c r="AD2009" s="813" t="s">
        <v>2365</v>
      </c>
      <c r="AE2009" s="813" t="s">
        <v>2365</v>
      </c>
      <c r="AF2009" t="s">
        <v>2365</v>
      </c>
      <c r="AG2009" t="s">
        <v>2365</v>
      </c>
      <c r="AH2009" t="s">
        <v>2365</v>
      </c>
      <c r="AI2009" t="s">
        <v>2365</v>
      </c>
      <c r="AJ2009" t="s">
        <v>2365</v>
      </c>
      <c r="AK2009">
        <v>145</v>
      </c>
      <c r="AL2009" t="s">
        <v>1198</v>
      </c>
      <c r="AM2009">
        <v>145</v>
      </c>
      <c r="AN2009" t="s">
        <v>1198</v>
      </c>
      <c r="AR2009" t="s">
        <v>2365</v>
      </c>
      <c r="AS2009" t="s">
        <v>2365</v>
      </c>
      <c r="AT2009" t="s">
        <v>2365</v>
      </c>
      <c r="AU2009" t="s">
        <v>2365</v>
      </c>
      <c r="AV2009" t="s">
        <v>2365</v>
      </c>
      <c r="AW2009" t="s">
        <v>2365</v>
      </c>
      <c r="AX2009" t="s">
        <v>2365</v>
      </c>
      <c r="AY2009" t="s">
        <v>2365</v>
      </c>
      <c r="AZ2009" t="s">
        <v>2365</v>
      </c>
      <c r="BA2009" t="s">
        <v>2365</v>
      </c>
      <c r="BB2009" t="s">
        <v>2365</v>
      </c>
      <c r="BC2009" t="s">
        <v>2365</v>
      </c>
      <c r="BD2009" t="s">
        <v>2366</v>
      </c>
      <c r="BE2009" t="s">
        <v>2365</v>
      </c>
      <c r="BF2009" t="s">
        <v>2365</v>
      </c>
      <c r="BG2009" t="s">
        <v>2365</v>
      </c>
      <c r="BH2009" t="s">
        <v>2365</v>
      </c>
      <c r="BI2009" t="s">
        <v>2366</v>
      </c>
      <c r="BJ2009" t="s">
        <v>2365</v>
      </c>
      <c r="BK2009" t="s">
        <v>2365</v>
      </c>
      <c r="BL2009" t="s">
        <v>2365</v>
      </c>
      <c r="BM2009" t="s">
        <v>2365</v>
      </c>
      <c r="BO2009">
        <v>1</v>
      </c>
      <c r="BP2009">
        <v>11</v>
      </c>
      <c r="BQ2009" t="s">
        <v>2369</v>
      </c>
      <c r="BR2009" t="s">
        <v>1487</v>
      </c>
      <c r="BU2009">
        <v>0</v>
      </c>
      <c r="BV2009">
        <v>0</v>
      </c>
      <c r="BW2009">
        <v>0</v>
      </c>
      <c r="BX2009">
        <v>0</v>
      </c>
      <c r="BY2009">
        <v>0</v>
      </c>
      <c r="BZ2009">
        <v>0</v>
      </c>
      <c r="CA2009">
        <v>0</v>
      </c>
      <c r="CB2009">
        <v>0</v>
      </c>
      <c r="CC2009">
        <v>0</v>
      </c>
      <c r="CD2009">
        <v>0</v>
      </c>
      <c r="CE2009">
        <v>0</v>
      </c>
      <c r="CF2009">
        <v>0</v>
      </c>
      <c r="CG2009">
        <v>0</v>
      </c>
      <c r="CH2009">
        <v>0</v>
      </c>
      <c r="CI2009">
        <v>0</v>
      </c>
      <c r="CJ2009">
        <v>0</v>
      </c>
      <c r="CK2009">
        <v>0</v>
      </c>
      <c r="CL2009">
        <v>0</v>
      </c>
      <c r="CM2009">
        <v>0</v>
      </c>
      <c r="CR2009" t="s">
        <v>2343</v>
      </c>
      <c r="CS2009" s="1369" t="str">
        <f>INDEX([8]Sheet1!$H:$H,MATCH(CR:CR,[8]Sheet1!$AU:$AU,0))</f>
        <v>Pollution Control</v>
      </c>
    </row>
    <row r="2010" spans="1:97" x14ac:dyDescent="0.2">
      <c r="A2010" t="s">
        <v>5292</v>
      </c>
      <c r="B2010">
        <v>2108</v>
      </c>
      <c r="C2010" t="s">
        <v>5292</v>
      </c>
      <c r="D2010">
        <v>55108</v>
      </c>
      <c r="E2010" t="s">
        <v>5293</v>
      </c>
      <c r="F2010" t="s">
        <v>2364</v>
      </c>
      <c r="G2010" t="s">
        <v>2364</v>
      </c>
      <c r="H2010" t="s">
        <v>2365</v>
      </c>
      <c r="I2010" t="s">
        <v>2365</v>
      </c>
      <c r="J2010" t="s">
        <v>2365</v>
      </c>
      <c r="K2010" t="s">
        <v>2365</v>
      </c>
      <c r="L2010">
        <v>1200</v>
      </c>
      <c r="M2010" t="s">
        <v>1480</v>
      </c>
      <c r="N2010">
        <v>1204</v>
      </c>
      <c r="O2010" t="s">
        <v>1487</v>
      </c>
      <c r="P2010" t="s">
        <v>2366</v>
      </c>
      <c r="Q2010" t="s">
        <v>2364</v>
      </c>
      <c r="R2010" t="s">
        <v>2364</v>
      </c>
      <c r="S2010" t="s">
        <v>553</v>
      </c>
      <c r="T2010" t="s">
        <v>2175</v>
      </c>
      <c r="U2010">
        <v>140</v>
      </c>
      <c r="V2010" t="s">
        <v>693</v>
      </c>
      <c r="W2010">
        <v>140</v>
      </c>
      <c r="X2010" t="s">
        <v>693</v>
      </c>
      <c r="Y2010" t="s">
        <v>2365</v>
      </c>
      <c r="Z2010" t="s">
        <v>2365</v>
      </c>
      <c r="AA2010" t="s">
        <v>2365</v>
      </c>
      <c r="AB2010" t="s">
        <v>2365</v>
      </c>
      <c r="AC2010" s="813" t="s">
        <v>2365</v>
      </c>
      <c r="AD2010" s="813" t="s">
        <v>2365</v>
      </c>
      <c r="AE2010" s="813" t="s">
        <v>2365</v>
      </c>
      <c r="AF2010" t="s">
        <v>2365</v>
      </c>
      <c r="AG2010" t="s">
        <v>2365</v>
      </c>
      <c r="AH2010" t="s">
        <v>2365</v>
      </c>
      <c r="AI2010" t="s">
        <v>2365</v>
      </c>
      <c r="AJ2010" t="s">
        <v>2365</v>
      </c>
      <c r="AK2010" t="s">
        <v>2366</v>
      </c>
      <c r="AL2010" t="s">
        <v>2366</v>
      </c>
      <c r="AM2010" t="s">
        <v>2366</v>
      </c>
      <c r="AN2010" t="s">
        <v>2366</v>
      </c>
      <c r="AR2010" t="s">
        <v>2365</v>
      </c>
      <c r="AS2010" t="s">
        <v>2365</v>
      </c>
      <c r="AT2010" t="s">
        <v>2365</v>
      </c>
      <c r="AU2010" t="s">
        <v>2365</v>
      </c>
      <c r="AV2010" t="s">
        <v>2365</v>
      </c>
      <c r="AW2010" t="s">
        <v>2365</v>
      </c>
      <c r="AX2010" t="s">
        <v>2365</v>
      </c>
      <c r="AY2010" t="s">
        <v>2365</v>
      </c>
      <c r="AZ2010" t="s">
        <v>2365</v>
      </c>
      <c r="BA2010" t="s">
        <v>2365</v>
      </c>
      <c r="BB2010" t="s">
        <v>2365</v>
      </c>
      <c r="BC2010" t="s">
        <v>2365</v>
      </c>
      <c r="BD2010" t="s">
        <v>2366</v>
      </c>
      <c r="BE2010" t="s">
        <v>2365</v>
      </c>
      <c r="BF2010" t="s">
        <v>2365</v>
      </c>
      <c r="BG2010" t="s">
        <v>2365</v>
      </c>
      <c r="BH2010" t="s">
        <v>2365</v>
      </c>
      <c r="BI2010" t="s">
        <v>2366</v>
      </c>
      <c r="BJ2010" t="s">
        <v>2365</v>
      </c>
      <c r="BK2010" t="s">
        <v>2365</v>
      </c>
      <c r="BL2010" t="s">
        <v>2365</v>
      </c>
      <c r="BM2010" t="s">
        <v>2365</v>
      </c>
      <c r="BO2010">
        <v>1</v>
      </c>
      <c r="BP2010">
        <v>11</v>
      </c>
      <c r="BQ2010" t="s">
        <v>2369</v>
      </c>
      <c r="BR2010" t="s">
        <v>1487</v>
      </c>
      <c r="BU2010">
        <v>0</v>
      </c>
      <c r="BV2010">
        <v>0</v>
      </c>
      <c r="BW2010">
        <v>0</v>
      </c>
      <c r="BX2010">
        <v>0</v>
      </c>
      <c r="BY2010">
        <v>0</v>
      </c>
      <c r="BZ2010">
        <v>0</v>
      </c>
      <c r="CA2010">
        <v>0</v>
      </c>
      <c r="CB2010">
        <v>0</v>
      </c>
      <c r="CC2010">
        <v>0</v>
      </c>
      <c r="CD2010">
        <v>0</v>
      </c>
      <c r="CE2010">
        <v>0</v>
      </c>
      <c r="CF2010">
        <v>0</v>
      </c>
      <c r="CG2010">
        <v>0</v>
      </c>
      <c r="CH2010">
        <v>0</v>
      </c>
      <c r="CI2010">
        <v>0</v>
      </c>
      <c r="CJ2010">
        <v>0</v>
      </c>
      <c r="CK2010">
        <v>0</v>
      </c>
      <c r="CL2010">
        <v>0</v>
      </c>
      <c r="CM2010">
        <v>0</v>
      </c>
      <c r="CR2010" t="s">
        <v>2324</v>
      </c>
      <c r="CS2010" s="1369" t="str">
        <f>INDEX([8]Sheet1!$H:$H,MATCH(CR:CR,[8]Sheet1!$AU:$AU,0))</f>
        <v>Finance</v>
      </c>
    </row>
    <row r="2011" spans="1:97" x14ac:dyDescent="0.2">
      <c r="A2011" t="s">
        <v>5294</v>
      </c>
      <c r="B2011">
        <v>2109</v>
      </c>
      <c r="C2011" t="s">
        <v>5294</v>
      </c>
      <c r="D2011">
        <v>55109</v>
      </c>
      <c r="E2011" t="s">
        <v>5295</v>
      </c>
      <c r="F2011" t="s">
        <v>2364</v>
      </c>
      <c r="G2011" t="s">
        <v>2364</v>
      </c>
      <c r="H2011" t="s">
        <v>2365</v>
      </c>
      <c r="I2011" t="s">
        <v>2365</v>
      </c>
      <c r="J2011" t="s">
        <v>2365</v>
      </c>
      <c r="K2011" t="s">
        <v>2365</v>
      </c>
      <c r="L2011">
        <v>1200</v>
      </c>
      <c r="M2011" t="s">
        <v>1480</v>
      </c>
      <c r="N2011">
        <v>1204</v>
      </c>
      <c r="O2011" t="s">
        <v>1487</v>
      </c>
      <c r="P2011" t="s">
        <v>2366</v>
      </c>
      <c r="Q2011" t="s">
        <v>2364</v>
      </c>
      <c r="R2011" t="s">
        <v>2364</v>
      </c>
      <c r="S2011" t="s">
        <v>553</v>
      </c>
      <c r="T2011" t="s">
        <v>2175</v>
      </c>
      <c r="U2011" t="s">
        <v>2366</v>
      </c>
      <c r="V2011" t="s">
        <v>2366</v>
      </c>
      <c r="W2011" t="s">
        <v>2366</v>
      </c>
      <c r="X2011" t="s">
        <v>2366</v>
      </c>
      <c r="Y2011" t="s">
        <v>2365</v>
      </c>
      <c r="Z2011" t="s">
        <v>2365</v>
      </c>
      <c r="AA2011" t="s">
        <v>2365</v>
      </c>
      <c r="AB2011" t="s">
        <v>2365</v>
      </c>
      <c r="AC2011" s="813" t="s">
        <v>2365</v>
      </c>
      <c r="AD2011" s="813" t="s">
        <v>2365</v>
      </c>
      <c r="AE2011" s="813" t="s">
        <v>2365</v>
      </c>
      <c r="AF2011" t="s">
        <v>2365</v>
      </c>
      <c r="AG2011" t="s">
        <v>2365</v>
      </c>
      <c r="AH2011" t="s">
        <v>2365</v>
      </c>
      <c r="AI2011" t="s">
        <v>2365</v>
      </c>
      <c r="AJ2011" t="s">
        <v>2365</v>
      </c>
      <c r="AK2011">
        <v>145</v>
      </c>
      <c r="AL2011" t="s">
        <v>1198</v>
      </c>
      <c r="AM2011">
        <v>145</v>
      </c>
      <c r="AN2011" t="s">
        <v>1198</v>
      </c>
      <c r="AR2011" t="s">
        <v>2365</v>
      </c>
      <c r="AS2011" t="s">
        <v>2365</v>
      </c>
      <c r="AT2011" t="s">
        <v>2365</v>
      </c>
      <c r="AU2011" t="s">
        <v>2365</v>
      </c>
      <c r="AV2011" t="s">
        <v>2365</v>
      </c>
      <c r="AW2011" t="s">
        <v>2365</v>
      </c>
      <c r="AX2011" t="s">
        <v>2365</v>
      </c>
      <c r="AY2011" t="s">
        <v>2365</v>
      </c>
      <c r="AZ2011" t="s">
        <v>2365</v>
      </c>
      <c r="BA2011" t="s">
        <v>2365</v>
      </c>
      <c r="BB2011" t="s">
        <v>2365</v>
      </c>
      <c r="BC2011" t="s">
        <v>2365</v>
      </c>
      <c r="BD2011" t="s">
        <v>2366</v>
      </c>
      <c r="BE2011" t="s">
        <v>2365</v>
      </c>
      <c r="BF2011" t="s">
        <v>2365</v>
      </c>
      <c r="BG2011" t="s">
        <v>2365</v>
      </c>
      <c r="BH2011" t="s">
        <v>2365</v>
      </c>
      <c r="BI2011" t="s">
        <v>2366</v>
      </c>
      <c r="BJ2011" t="s">
        <v>2365</v>
      </c>
      <c r="BK2011" t="s">
        <v>2365</v>
      </c>
      <c r="BL2011" t="s">
        <v>2365</v>
      </c>
      <c r="BM2011" t="s">
        <v>2365</v>
      </c>
      <c r="BO2011">
        <v>1</v>
      </c>
      <c r="BP2011">
        <v>11</v>
      </c>
      <c r="BQ2011" t="s">
        <v>2369</v>
      </c>
      <c r="BR2011" t="s">
        <v>1487</v>
      </c>
      <c r="BU2011">
        <v>0</v>
      </c>
      <c r="BV2011">
        <v>0</v>
      </c>
      <c r="BW2011">
        <v>0</v>
      </c>
      <c r="BX2011">
        <v>0</v>
      </c>
      <c r="BY2011">
        <v>0</v>
      </c>
      <c r="BZ2011">
        <v>0</v>
      </c>
      <c r="CA2011">
        <v>0</v>
      </c>
      <c r="CB2011">
        <v>0</v>
      </c>
      <c r="CC2011">
        <v>0</v>
      </c>
      <c r="CD2011">
        <v>0</v>
      </c>
      <c r="CE2011">
        <v>0</v>
      </c>
      <c r="CF2011">
        <v>0</v>
      </c>
      <c r="CG2011">
        <v>0</v>
      </c>
      <c r="CH2011">
        <v>0</v>
      </c>
      <c r="CI2011">
        <v>0</v>
      </c>
      <c r="CJ2011">
        <v>0</v>
      </c>
      <c r="CK2011">
        <v>0</v>
      </c>
      <c r="CL2011">
        <v>0</v>
      </c>
      <c r="CM2011">
        <v>0</v>
      </c>
      <c r="CR2011" t="s">
        <v>2324</v>
      </c>
      <c r="CS2011" s="1369" t="str">
        <f>INDEX([8]Sheet1!$H:$H,MATCH(CR:CR,[8]Sheet1!$AU:$AU,0))</f>
        <v>Finance</v>
      </c>
    </row>
    <row r="2012" spans="1:97" x14ac:dyDescent="0.2">
      <c r="A2012" t="s">
        <v>5296</v>
      </c>
      <c r="B2012">
        <v>2110</v>
      </c>
      <c r="C2012" t="s">
        <v>5296</v>
      </c>
      <c r="D2012">
        <v>55110</v>
      </c>
      <c r="E2012" t="s">
        <v>5297</v>
      </c>
      <c r="F2012" t="s">
        <v>2364</v>
      </c>
      <c r="G2012" t="s">
        <v>2364</v>
      </c>
      <c r="H2012" t="s">
        <v>2365</v>
      </c>
      <c r="I2012" t="s">
        <v>2365</v>
      </c>
      <c r="J2012" t="s">
        <v>2365</v>
      </c>
      <c r="K2012" t="s">
        <v>2365</v>
      </c>
      <c r="L2012">
        <v>1200</v>
      </c>
      <c r="M2012" t="s">
        <v>1480</v>
      </c>
      <c r="N2012">
        <v>1204</v>
      </c>
      <c r="O2012" t="s">
        <v>1487</v>
      </c>
      <c r="P2012" t="s">
        <v>2366</v>
      </c>
      <c r="Q2012" t="s">
        <v>2364</v>
      </c>
      <c r="R2012" t="s">
        <v>2364</v>
      </c>
      <c r="S2012" t="s">
        <v>553</v>
      </c>
      <c r="T2012" t="s">
        <v>2175</v>
      </c>
      <c r="U2012">
        <v>140</v>
      </c>
      <c r="V2012" t="s">
        <v>693</v>
      </c>
      <c r="W2012">
        <v>140</v>
      </c>
      <c r="X2012" t="s">
        <v>693</v>
      </c>
      <c r="Y2012" t="s">
        <v>2365</v>
      </c>
      <c r="Z2012" t="s">
        <v>2365</v>
      </c>
      <c r="AA2012" t="s">
        <v>2365</v>
      </c>
      <c r="AB2012" t="s">
        <v>2365</v>
      </c>
      <c r="AC2012" s="813" t="s">
        <v>2365</v>
      </c>
      <c r="AD2012" s="813" t="s">
        <v>2365</v>
      </c>
      <c r="AE2012" s="813" t="s">
        <v>2365</v>
      </c>
      <c r="AF2012" t="s">
        <v>2365</v>
      </c>
      <c r="AG2012" t="s">
        <v>2365</v>
      </c>
      <c r="AH2012" t="s">
        <v>2365</v>
      </c>
      <c r="AI2012" t="s">
        <v>2365</v>
      </c>
      <c r="AJ2012" t="s">
        <v>2365</v>
      </c>
      <c r="AK2012" t="s">
        <v>2366</v>
      </c>
      <c r="AL2012" t="s">
        <v>2366</v>
      </c>
      <c r="AM2012" t="s">
        <v>2366</v>
      </c>
      <c r="AN2012" t="s">
        <v>2366</v>
      </c>
      <c r="AR2012" t="s">
        <v>2365</v>
      </c>
      <c r="AS2012" t="s">
        <v>2365</v>
      </c>
      <c r="AT2012" t="s">
        <v>2365</v>
      </c>
      <c r="AU2012" t="s">
        <v>2365</v>
      </c>
      <c r="AV2012" t="s">
        <v>2365</v>
      </c>
      <c r="AW2012" t="s">
        <v>2365</v>
      </c>
      <c r="AX2012" t="s">
        <v>2365</v>
      </c>
      <c r="AY2012" t="s">
        <v>2365</v>
      </c>
      <c r="AZ2012" t="s">
        <v>2365</v>
      </c>
      <c r="BA2012" t="s">
        <v>2365</v>
      </c>
      <c r="BB2012" t="s">
        <v>2365</v>
      </c>
      <c r="BC2012" t="s">
        <v>2365</v>
      </c>
      <c r="BD2012" t="s">
        <v>2366</v>
      </c>
      <c r="BE2012" t="s">
        <v>2365</v>
      </c>
      <c r="BF2012" t="s">
        <v>2365</v>
      </c>
      <c r="BG2012" t="s">
        <v>2365</v>
      </c>
      <c r="BH2012" t="s">
        <v>2365</v>
      </c>
      <c r="BI2012" t="s">
        <v>2366</v>
      </c>
      <c r="BJ2012" t="s">
        <v>2365</v>
      </c>
      <c r="BK2012" t="s">
        <v>2365</v>
      </c>
      <c r="BL2012" t="s">
        <v>2365</v>
      </c>
      <c r="BM2012" t="s">
        <v>2365</v>
      </c>
      <c r="BO2012">
        <v>1</v>
      </c>
      <c r="BP2012">
        <v>11</v>
      </c>
      <c r="BQ2012" t="s">
        <v>2369</v>
      </c>
      <c r="BR2012" t="s">
        <v>1487</v>
      </c>
      <c r="BU2012">
        <v>0</v>
      </c>
      <c r="BV2012">
        <v>0</v>
      </c>
      <c r="BW2012">
        <v>0</v>
      </c>
      <c r="BX2012">
        <v>0</v>
      </c>
      <c r="BY2012">
        <v>0</v>
      </c>
      <c r="BZ2012">
        <v>0</v>
      </c>
      <c r="CA2012">
        <v>0</v>
      </c>
      <c r="CB2012">
        <v>0</v>
      </c>
      <c r="CC2012">
        <v>0</v>
      </c>
      <c r="CD2012">
        <v>0</v>
      </c>
      <c r="CE2012">
        <v>0</v>
      </c>
      <c r="CF2012">
        <v>0</v>
      </c>
      <c r="CG2012">
        <v>0</v>
      </c>
      <c r="CH2012">
        <v>0</v>
      </c>
      <c r="CI2012">
        <v>0</v>
      </c>
      <c r="CJ2012">
        <v>0</v>
      </c>
      <c r="CK2012">
        <v>0</v>
      </c>
      <c r="CL2012">
        <v>0</v>
      </c>
      <c r="CM2012">
        <v>0</v>
      </c>
      <c r="CR2012" t="s">
        <v>2325</v>
      </c>
      <c r="CS2012" s="1369" t="str">
        <f>INDEX([8]Sheet1!$H:$H,MATCH(CR:CR,[8]Sheet1!$AU:$AU,0))</f>
        <v>Asset Management</v>
      </c>
    </row>
    <row r="2013" spans="1:97" x14ac:dyDescent="0.2">
      <c r="A2013" t="s">
        <v>5298</v>
      </c>
      <c r="B2013">
        <v>2111</v>
      </c>
      <c r="C2013" t="s">
        <v>5298</v>
      </c>
      <c r="D2013">
        <v>55111</v>
      </c>
      <c r="E2013" t="s">
        <v>5080</v>
      </c>
      <c r="F2013" t="s">
        <v>2364</v>
      </c>
      <c r="G2013" t="s">
        <v>2364</v>
      </c>
      <c r="H2013" t="s">
        <v>2365</v>
      </c>
      <c r="I2013" t="s">
        <v>2365</v>
      </c>
      <c r="J2013" t="s">
        <v>2365</v>
      </c>
      <c r="K2013" t="s">
        <v>2365</v>
      </c>
      <c r="L2013">
        <v>1200</v>
      </c>
      <c r="M2013" t="s">
        <v>1480</v>
      </c>
      <c r="N2013">
        <v>1204</v>
      </c>
      <c r="O2013" t="s">
        <v>1487</v>
      </c>
      <c r="P2013" t="s">
        <v>2366</v>
      </c>
      <c r="Q2013" t="s">
        <v>2364</v>
      </c>
      <c r="R2013" t="s">
        <v>2364</v>
      </c>
      <c r="S2013" t="s">
        <v>553</v>
      </c>
      <c r="T2013" t="s">
        <v>2175</v>
      </c>
      <c r="U2013">
        <v>140</v>
      </c>
      <c r="V2013" t="s">
        <v>693</v>
      </c>
      <c r="W2013">
        <v>140</v>
      </c>
      <c r="X2013" t="s">
        <v>693</v>
      </c>
      <c r="Y2013" t="s">
        <v>2365</v>
      </c>
      <c r="Z2013" t="s">
        <v>2365</v>
      </c>
      <c r="AA2013" t="s">
        <v>2365</v>
      </c>
      <c r="AB2013" t="s">
        <v>2365</v>
      </c>
      <c r="AC2013" s="813" t="s">
        <v>2365</v>
      </c>
      <c r="AD2013" s="813" t="s">
        <v>2365</v>
      </c>
      <c r="AE2013" s="813" t="s">
        <v>2365</v>
      </c>
      <c r="AF2013" t="s">
        <v>2365</v>
      </c>
      <c r="AG2013" t="s">
        <v>2365</v>
      </c>
      <c r="AH2013" t="s">
        <v>2365</v>
      </c>
      <c r="AI2013" t="s">
        <v>2365</v>
      </c>
      <c r="AJ2013" t="s">
        <v>2365</v>
      </c>
      <c r="AK2013" t="s">
        <v>2366</v>
      </c>
      <c r="AL2013" t="s">
        <v>2366</v>
      </c>
      <c r="AM2013" t="s">
        <v>2366</v>
      </c>
      <c r="AN2013" t="s">
        <v>2366</v>
      </c>
      <c r="AR2013" t="s">
        <v>2365</v>
      </c>
      <c r="AS2013" t="s">
        <v>2365</v>
      </c>
      <c r="AT2013" t="s">
        <v>2365</v>
      </c>
      <c r="AU2013" t="s">
        <v>2365</v>
      </c>
      <c r="AV2013" t="s">
        <v>2365</v>
      </c>
      <c r="AW2013" t="s">
        <v>2365</v>
      </c>
      <c r="AX2013" t="s">
        <v>2365</v>
      </c>
      <c r="AY2013" t="s">
        <v>2365</v>
      </c>
      <c r="AZ2013" t="s">
        <v>2365</v>
      </c>
      <c r="BA2013" t="s">
        <v>2365</v>
      </c>
      <c r="BB2013" t="s">
        <v>2365</v>
      </c>
      <c r="BC2013" t="s">
        <v>2365</v>
      </c>
      <c r="BD2013" t="s">
        <v>2366</v>
      </c>
      <c r="BE2013" t="s">
        <v>2365</v>
      </c>
      <c r="BF2013" t="s">
        <v>2365</v>
      </c>
      <c r="BG2013" t="s">
        <v>2365</v>
      </c>
      <c r="BH2013" t="s">
        <v>2365</v>
      </c>
      <c r="BI2013" t="s">
        <v>2366</v>
      </c>
      <c r="BJ2013" t="s">
        <v>2365</v>
      </c>
      <c r="BK2013" t="s">
        <v>2365</v>
      </c>
      <c r="BL2013" t="s">
        <v>2365</v>
      </c>
      <c r="BM2013" t="s">
        <v>2365</v>
      </c>
      <c r="BO2013">
        <v>1</v>
      </c>
      <c r="BP2013">
        <v>11</v>
      </c>
      <c r="BQ2013" t="s">
        <v>2369</v>
      </c>
      <c r="BR2013" t="s">
        <v>1487</v>
      </c>
      <c r="BU2013">
        <v>0</v>
      </c>
      <c r="BV2013">
        <v>0</v>
      </c>
      <c r="BW2013">
        <v>0</v>
      </c>
      <c r="BX2013">
        <v>0</v>
      </c>
      <c r="BY2013">
        <v>0</v>
      </c>
      <c r="BZ2013">
        <v>0</v>
      </c>
      <c r="CA2013">
        <v>0</v>
      </c>
      <c r="CB2013">
        <v>0</v>
      </c>
      <c r="CC2013">
        <v>0</v>
      </c>
      <c r="CD2013">
        <v>0</v>
      </c>
      <c r="CE2013">
        <v>0</v>
      </c>
      <c r="CF2013">
        <v>0</v>
      </c>
      <c r="CG2013">
        <v>0</v>
      </c>
      <c r="CH2013">
        <v>0</v>
      </c>
      <c r="CI2013">
        <v>0</v>
      </c>
      <c r="CJ2013">
        <v>0</v>
      </c>
      <c r="CK2013">
        <v>0</v>
      </c>
      <c r="CL2013">
        <v>0</v>
      </c>
      <c r="CM2013">
        <v>0</v>
      </c>
      <c r="CR2013" t="s">
        <v>2325</v>
      </c>
      <c r="CS2013" s="1369" t="str">
        <f>INDEX([8]Sheet1!$H:$H,MATCH(CR:CR,[8]Sheet1!$AU:$AU,0))</f>
        <v>Asset Management</v>
      </c>
    </row>
    <row r="2014" spans="1:97" x14ac:dyDescent="0.2">
      <c r="A2014" t="s">
        <v>5299</v>
      </c>
      <c r="B2014">
        <v>2112</v>
      </c>
      <c r="C2014" t="s">
        <v>5299</v>
      </c>
      <c r="D2014">
        <v>55112</v>
      </c>
      <c r="E2014" t="s">
        <v>5300</v>
      </c>
      <c r="F2014" t="s">
        <v>2364</v>
      </c>
      <c r="G2014" t="s">
        <v>2364</v>
      </c>
      <c r="H2014" t="s">
        <v>2365</v>
      </c>
      <c r="I2014" t="s">
        <v>2365</v>
      </c>
      <c r="J2014" t="s">
        <v>2365</v>
      </c>
      <c r="K2014" t="s">
        <v>2365</v>
      </c>
      <c r="L2014">
        <v>1200</v>
      </c>
      <c r="M2014" t="s">
        <v>1480</v>
      </c>
      <c r="N2014">
        <v>1204</v>
      </c>
      <c r="O2014" t="s">
        <v>1487</v>
      </c>
      <c r="P2014" t="s">
        <v>2366</v>
      </c>
      <c r="Q2014" t="s">
        <v>2364</v>
      </c>
      <c r="R2014" t="s">
        <v>2364</v>
      </c>
      <c r="S2014" t="s">
        <v>553</v>
      </c>
      <c r="T2014" t="s">
        <v>2175</v>
      </c>
      <c r="U2014" t="s">
        <v>2366</v>
      </c>
      <c r="V2014" t="s">
        <v>2366</v>
      </c>
      <c r="W2014" t="s">
        <v>2366</v>
      </c>
      <c r="X2014" t="s">
        <v>2366</v>
      </c>
      <c r="Y2014" t="s">
        <v>2365</v>
      </c>
      <c r="Z2014" t="s">
        <v>2365</v>
      </c>
      <c r="AA2014" t="s">
        <v>2365</v>
      </c>
      <c r="AB2014" t="s">
        <v>2365</v>
      </c>
      <c r="AC2014" s="813" t="s">
        <v>2365</v>
      </c>
      <c r="AD2014" s="813" t="s">
        <v>2365</v>
      </c>
      <c r="AE2014" s="813" t="s">
        <v>2365</v>
      </c>
      <c r="AF2014" t="s">
        <v>2365</v>
      </c>
      <c r="AG2014" t="s">
        <v>2365</v>
      </c>
      <c r="AH2014" t="s">
        <v>2365</v>
      </c>
      <c r="AI2014" t="s">
        <v>2365</v>
      </c>
      <c r="AJ2014" t="s">
        <v>2365</v>
      </c>
      <c r="AK2014">
        <v>145</v>
      </c>
      <c r="AL2014" t="s">
        <v>1198</v>
      </c>
      <c r="AM2014">
        <v>145</v>
      </c>
      <c r="AN2014" t="s">
        <v>1198</v>
      </c>
      <c r="AR2014" t="s">
        <v>2365</v>
      </c>
      <c r="AS2014" t="s">
        <v>2365</v>
      </c>
      <c r="AT2014" t="s">
        <v>2365</v>
      </c>
      <c r="AU2014" t="s">
        <v>2365</v>
      </c>
      <c r="AV2014" t="s">
        <v>2365</v>
      </c>
      <c r="AW2014" t="s">
        <v>2365</v>
      </c>
      <c r="AX2014" t="s">
        <v>2365</v>
      </c>
      <c r="AY2014" t="s">
        <v>2365</v>
      </c>
      <c r="AZ2014" t="s">
        <v>2365</v>
      </c>
      <c r="BA2014" t="s">
        <v>2365</v>
      </c>
      <c r="BB2014" t="s">
        <v>2365</v>
      </c>
      <c r="BC2014" t="s">
        <v>2365</v>
      </c>
      <c r="BD2014" t="s">
        <v>2366</v>
      </c>
      <c r="BE2014" t="s">
        <v>2365</v>
      </c>
      <c r="BF2014" t="s">
        <v>2365</v>
      </c>
      <c r="BG2014" t="s">
        <v>2365</v>
      </c>
      <c r="BH2014" t="s">
        <v>2365</v>
      </c>
      <c r="BI2014" t="s">
        <v>2366</v>
      </c>
      <c r="BJ2014" t="s">
        <v>2365</v>
      </c>
      <c r="BK2014" t="s">
        <v>2365</v>
      </c>
      <c r="BL2014" t="s">
        <v>2365</v>
      </c>
      <c r="BM2014" t="s">
        <v>2365</v>
      </c>
      <c r="BO2014">
        <v>1</v>
      </c>
      <c r="BP2014">
        <v>11</v>
      </c>
      <c r="BQ2014" t="s">
        <v>2369</v>
      </c>
      <c r="BR2014" t="s">
        <v>1487</v>
      </c>
      <c r="BU2014">
        <v>0</v>
      </c>
      <c r="BV2014">
        <v>0</v>
      </c>
      <c r="BW2014">
        <v>0</v>
      </c>
      <c r="BX2014">
        <v>0</v>
      </c>
      <c r="BY2014">
        <v>0</v>
      </c>
      <c r="BZ2014">
        <v>0</v>
      </c>
      <c r="CA2014">
        <v>0</v>
      </c>
      <c r="CB2014">
        <v>0</v>
      </c>
      <c r="CC2014">
        <v>0</v>
      </c>
      <c r="CD2014">
        <v>0</v>
      </c>
      <c r="CE2014">
        <v>0</v>
      </c>
      <c r="CF2014">
        <v>0</v>
      </c>
      <c r="CG2014">
        <v>0</v>
      </c>
      <c r="CH2014">
        <v>0</v>
      </c>
      <c r="CI2014">
        <v>0</v>
      </c>
      <c r="CJ2014">
        <v>0</v>
      </c>
      <c r="CK2014">
        <v>0</v>
      </c>
      <c r="CL2014">
        <v>0</v>
      </c>
      <c r="CM2014">
        <v>0</v>
      </c>
      <c r="CR2014" t="s">
        <v>2325</v>
      </c>
      <c r="CS2014" s="1369" t="str">
        <f>INDEX([8]Sheet1!$H:$H,MATCH(CR:CR,[8]Sheet1!$AU:$AU,0))</f>
        <v>Asset Management</v>
      </c>
    </row>
    <row r="2015" spans="1:97" x14ac:dyDescent="0.2">
      <c r="A2015" t="s">
        <v>5301</v>
      </c>
      <c r="B2015">
        <v>2113</v>
      </c>
      <c r="C2015" t="s">
        <v>5301</v>
      </c>
      <c r="D2015">
        <v>55113</v>
      </c>
      <c r="E2015" t="s">
        <v>5302</v>
      </c>
      <c r="F2015" t="s">
        <v>2364</v>
      </c>
      <c r="G2015" t="s">
        <v>2364</v>
      </c>
      <c r="H2015" t="s">
        <v>2365</v>
      </c>
      <c r="I2015" t="s">
        <v>2365</v>
      </c>
      <c r="J2015" t="s">
        <v>2365</v>
      </c>
      <c r="K2015" t="s">
        <v>2365</v>
      </c>
      <c r="L2015">
        <v>1200</v>
      </c>
      <c r="M2015" t="s">
        <v>1480</v>
      </c>
      <c r="N2015">
        <v>1204</v>
      </c>
      <c r="O2015" t="s">
        <v>1487</v>
      </c>
      <c r="P2015" t="s">
        <v>2366</v>
      </c>
      <c r="Q2015" t="s">
        <v>2364</v>
      </c>
      <c r="R2015" t="s">
        <v>2364</v>
      </c>
      <c r="S2015" t="s">
        <v>553</v>
      </c>
      <c r="T2015" t="s">
        <v>2175</v>
      </c>
      <c r="U2015">
        <v>150</v>
      </c>
      <c r="V2015" t="s">
        <v>694</v>
      </c>
      <c r="W2015">
        <v>150</v>
      </c>
      <c r="X2015" t="s">
        <v>694</v>
      </c>
      <c r="Y2015" t="s">
        <v>2365</v>
      </c>
      <c r="Z2015" t="s">
        <v>2365</v>
      </c>
      <c r="AA2015" t="s">
        <v>2365</v>
      </c>
      <c r="AB2015" t="s">
        <v>2365</v>
      </c>
      <c r="AC2015" s="813" t="s">
        <v>2365</v>
      </c>
      <c r="AD2015" s="813" t="s">
        <v>2365</v>
      </c>
      <c r="AE2015" s="813" t="s">
        <v>2365</v>
      </c>
      <c r="AF2015" t="s">
        <v>2365</v>
      </c>
      <c r="AG2015" t="s">
        <v>2365</v>
      </c>
      <c r="AH2015" t="s">
        <v>2365</v>
      </c>
      <c r="AI2015" t="s">
        <v>2365</v>
      </c>
      <c r="AJ2015" t="s">
        <v>2365</v>
      </c>
      <c r="AK2015" s="1373" t="s">
        <v>2365</v>
      </c>
      <c r="AL2015" t="s">
        <v>2365</v>
      </c>
      <c r="AM2015" t="s">
        <v>2365</v>
      </c>
      <c r="AN2015" t="s">
        <v>2365</v>
      </c>
      <c r="AR2015" t="s">
        <v>2365</v>
      </c>
      <c r="AS2015" t="s">
        <v>2365</v>
      </c>
      <c r="AT2015" t="s">
        <v>2365</v>
      </c>
      <c r="AU2015" t="s">
        <v>2365</v>
      </c>
      <c r="AV2015" t="s">
        <v>2365</v>
      </c>
      <c r="AW2015" t="s">
        <v>2365</v>
      </c>
      <c r="AX2015" t="s">
        <v>2365</v>
      </c>
      <c r="AY2015" t="s">
        <v>2365</v>
      </c>
      <c r="AZ2015" t="s">
        <v>2365</v>
      </c>
      <c r="BA2015" t="s">
        <v>2365</v>
      </c>
      <c r="BB2015" t="s">
        <v>2365</v>
      </c>
      <c r="BC2015" t="s">
        <v>2365</v>
      </c>
      <c r="BD2015" t="s">
        <v>2366</v>
      </c>
      <c r="BE2015" t="s">
        <v>2365</v>
      </c>
      <c r="BF2015" t="s">
        <v>2365</v>
      </c>
      <c r="BG2015" t="s">
        <v>2365</v>
      </c>
      <c r="BH2015" t="s">
        <v>2365</v>
      </c>
      <c r="BI2015" t="s">
        <v>2366</v>
      </c>
      <c r="BJ2015" t="s">
        <v>2365</v>
      </c>
      <c r="BK2015" t="s">
        <v>2365</v>
      </c>
      <c r="BL2015" t="s">
        <v>2365</v>
      </c>
      <c r="BM2015" t="s">
        <v>2365</v>
      </c>
      <c r="BO2015">
        <v>1</v>
      </c>
      <c r="BP2015">
        <v>11</v>
      </c>
      <c r="BQ2015" t="s">
        <v>2369</v>
      </c>
      <c r="BR2015" t="s">
        <v>1487</v>
      </c>
      <c r="BU2015">
        <v>0</v>
      </c>
      <c r="BV2015">
        <v>0</v>
      </c>
      <c r="BW2015">
        <v>0</v>
      </c>
      <c r="BX2015">
        <v>0</v>
      </c>
      <c r="BY2015">
        <v>0</v>
      </c>
      <c r="BZ2015">
        <v>0</v>
      </c>
      <c r="CA2015">
        <v>0</v>
      </c>
      <c r="CB2015">
        <v>0</v>
      </c>
      <c r="CC2015">
        <v>0</v>
      </c>
      <c r="CD2015">
        <v>0</v>
      </c>
      <c r="CE2015">
        <v>0</v>
      </c>
      <c r="CF2015">
        <v>0</v>
      </c>
      <c r="CG2015">
        <v>0</v>
      </c>
      <c r="CH2015">
        <v>0</v>
      </c>
      <c r="CI2015">
        <v>0</v>
      </c>
      <c r="CJ2015">
        <v>0</v>
      </c>
      <c r="CK2015">
        <v>0</v>
      </c>
      <c r="CL2015">
        <v>0</v>
      </c>
      <c r="CM2015">
        <v>0</v>
      </c>
      <c r="CR2015" t="s">
        <v>2325</v>
      </c>
      <c r="CS2015" s="1369" t="str">
        <f>INDEX([8]Sheet1!$H:$H,MATCH(CR:CR,[8]Sheet1!$AU:$AU,0))</f>
        <v>Asset Management</v>
      </c>
    </row>
    <row r="2016" spans="1:97" x14ac:dyDescent="0.2">
      <c r="A2016" t="s">
        <v>5303</v>
      </c>
      <c r="B2016">
        <v>2114</v>
      </c>
      <c r="C2016" t="s">
        <v>5303</v>
      </c>
      <c r="D2016">
        <v>55114</v>
      </c>
      <c r="E2016" t="s">
        <v>5304</v>
      </c>
      <c r="F2016" t="s">
        <v>2364</v>
      </c>
      <c r="G2016" t="s">
        <v>2364</v>
      </c>
      <c r="H2016" t="s">
        <v>2365</v>
      </c>
      <c r="I2016" t="s">
        <v>2365</v>
      </c>
      <c r="J2016" t="s">
        <v>2365</v>
      </c>
      <c r="K2016" t="s">
        <v>2365</v>
      </c>
      <c r="L2016">
        <v>1200</v>
      </c>
      <c r="M2016" t="s">
        <v>1480</v>
      </c>
      <c r="N2016">
        <v>1204</v>
      </c>
      <c r="O2016" t="s">
        <v>1487</v>
      </c>
      <c r="P2016" t="s">
        <v>2366</v>
      </c>
      <c r="Q2016" t="s">
        <v>2364</v>
      </c>
      <c r="R2016" t="s">
        <v>2364</v>
      </c>
      <c r="S2016" t="s">
        <v>553</v>
      </c>
      <c r="T2016" t="s">
        <v>2175</v>
      </c>
      <c r="U2016">
        <v>150</v>
      </c>
      <c r="V2016" t="s">
        <v>694</v>
      </c>
      <c r="W2016">
        <v>150</v>
      </c>
      <c r="X2016" t="s">
        <v>694</v>
      </c>
      <c r="Y2016" t="s">
        <v>2365</v>
      </c>
      <c r="Z2016" t="s">
        <v>2365</v>
      </c>
      <c r="AA2016" t="s">
        <v>2365</v>
      </c>
      <c r="AB2016" t="s">
        <v>2365</v>
      </c>
      <c r="AC2016" s="813" t="s">
        <v>2365</v>
      </c>
      <c r="AD2016" s="813" t="s">
        <v>2365</v>
      </c>
      <c r="AE2016" s="813" t="s">
        <v>2365</v>
      </c>
      <c r="AF2016" t="s">
        <v>2365</v>
      </c>
      <c r="AG2016" t="s">
        <v>2365</v>
      </c>
      <c r="AH2016" t="s">
        <v>2365</v>
      </c>
      <c r="AI2016" t="s">
        <v>2365</v>
      </c>
      <c r="AJ2016" t="s">
        <v>2365</v>
      </c>
      <c r="AK2016" s="1373" t="s">
        <v>2365</v>
      </c>
      <c r="AL2016" t="s">
        <v>2365</v>
      </c>
      <c r="AM2016" t="s">
        <v>2365</v>
      </c>
      <c r="AN2016" t="s">
        <v>2365</v>
      </c>
      <c r="AR2016" t="s">
        <v>2365</v>
      </c>
      <c r="AS2016" t="s">
        <v>2365</v>
      </c>
      <c r="AT2016" t="s">
        <v>2365</v>
      </c>
      <c r="AU2016" t="s">
        <v>2365</v>
      </c>
      <c r="AV2016" t="s">
        <v>2365</v>
      </c>
      <c r="AW2016" t="s">
        <v>2365</v>
      </c>
      <c r="AX2016" t="s">
        <v>2365</v>
      </c>
      <c r="AY2016" t="s">
        <v>2365</v>
      </c>
      <c r="AZ2016" t="s">
        <v>2365</v>
      </c>
      <c r="BA2016" t="s">
        <v>2365</v>
      </c>
      <c r="BB2016" t="s">
        <v>2365</v>
      </c>
      <c r="BC2016" t="s">
        <v>2365</v>
      </c>
      <c r="BD2016" t="s">
        <v>2366</v>
      </c>
      <c r="BE2016" t="s">
        <v>2365</v>
      </c>
      <c r="BF2016" t="s">
        <v>2365</v>
      </c>
      <c r="BG2016" t="s">
        <v>2365</v>
      </c>
      <c r="BH2016" t="s">
        <v>2365</v>
      </c>
      <c r="BI2016" t="s">
        <v>2366</v>
      </c>
      <c r="BJ2016" t="s">
        <v>2365</v>
      </c>
      <c r="BK2016" t="s">
        <v>2365</v>
      </c>
      <c r="BL2016" t="s">
        <v>2365</v>
      </c>
      <c r="BM2016" t="s">
        <v>2365</v>
      </c>
      <c r="BO2016">
        <v>1</v>
      </c>
      <c r="BP2016">
        <v>11</v>
      </c>
      <c r="BQ2016" t="s">
        <v>2369</v>
      </c>
      <c r="BR2016" t="s">
        <v>1487</v>
      </c>
      <c r="BU2016">
        <v>0</v>
      </c>
      <c r="BV2016">
        <v>0</v>
      </c>
      <c r="BW2016">
        <v>0</v>
      </c>
      <c r="BX2016">
        <v>0</v>
      </c>
      <c r="BY2016">
        <v>0</v>
      </c>
      <c r="BZ2016">
        <v>0</v>
      </c>
      <c r="CA2016">
        <v>0</v>
      </c>
      <c r="CB2016">
        <v>0</v>
      </c>
      <c r="CC2016">
        <v>0</v>
      </c>
      <c r="CD2016">
        <v>0</v>
      </c>
      <c r="CE2016">
        <v>0</v>
      </c>
      <c r="CF2016">
        <v>0</v>
      </c>
      <c r="CG2016">
        <v>0</v>
      </c>
      <c r="CH2016">
        <v>0</v>
      </c>
      <c r="CI2016">
        <v>0</v>
      </c>
      <c r="CJ2016">
        <v>0</v>
      </c>
      <c r="CK2016">
        <v>0</v>
      </c>
      <c r="CL2016">
        <v>0</v>
      </c>
      <c r="CM2016">
        <v>0</v>
      </c>
      <c r="CR2016" t="s">
        <v>2325</v>
      </c>
      <c r="CS2016" s="1369" t="str">
        <f>INDEX([8]Sheet1!$H:$H,MATCH(CR:CR,[8]Sheet1!$AU:$AU,0))</f>
        <v>Asset Management</v>
      </c>
    </row>
    <row r="2017" spans="1:97" x14ac:dyDescent="0.2">
      <c r="A2017" t="s">
        <v>5305</v>
      </c>
      <c r="B2017">
        <v>2115</v>
      </c>
      <c r="C2017" t="s">
        <v>5305</v>
      </c>
      <c r="D2017">
        <v>55115</v>
      </c>
      <c r="E2017" t="s">
        <v>5306</v>
      </c>
      <c r="F2017" t="s">
        <v>2364</v>
      </c>
      <c r="G2017" t="s">
        <v>2364</v>
      </c>
      <c r="H2017" t="s">
        <v>2365</v>
      </c>
      <c r="I2017" t="s">
        <v>2365</v>
      </c>
      <c r="J2017" t="s">
        <v>2365</v>
      </c>
      <c r="K2017" t="s">
        <v>2365</v>
      </c>
      <c r="L2017">
        <v>1200</v>
      </c>
      <c r="M2017" t="s">
        <v>1480</v>
      </c>
      <c r="N2017">
        <v>1204</v>
      </c>
      <c r="O2017" t="s">
        <v>1487</v>
      </c>
      <c r="P2017" t="s">
        <v>2366</v>
      </c>
      <c r="Q2017" t="s">
        <v>2364</v>
      </c>
      <c r="R2017" t="s">
        <v>2364</v>
      </c>
      <c r="S2017" t="s">
        <v>553</v>
      </c>
      <c r="T2017" t="s">
        <v>2175</v>
      </c>
      <c r="U2017">
        <v>150</v>
      </c>
      <c r="V2017" t="s">
        <v>694</v>
      </c>
      <c r="W2017">
        <v>150</v>
      </c>
      <c r="X2017" t="s">
        <v>694</v>
      </c>
      <c r="Y2017" t="s">
        <v>2365</v>
      </c>
      <c r="Z2017" t="s">
        <v>2365</v>
      </c>
      <c r="AA2017" t="s">
        <v>2365</v>
      </c>
      <c r="AB2017" t="s">
        <v>2365</v>
      </c>
      <c r="AC2017" s="813" t="s">
        <v>2365</v>
      </c>
      <c r="AD2017" s="813" t="s">
        <v>2365</v>
      </c>
      <c r="AE2017" s="813" t="s">
        <v>2365</v>
      </c>
      <c r="AF2017" t="s">
        <v>2365</v>
      </c>
      <c r="AG2017" t="s">
        <v>2365</v>
      </c>
      <c r="AH2017" t="s">
        <v>2365</v>
      </c>
      <c r="AI2017" t="s">
        <v>2365</v>
      </c>
      <c r="AJ2017" t="s">
        <v>2365</v>
      </c>
      <c r="AK2017" s="1373" t="s">
        <v>2365</v>
      </c>
      <c r="AL2017" t="s">
        <v>2365</v>
      </c>
      <c r="AM2017" t="s">
        <v>2365</v>
      </c>
      <c r="AN2017" t="s">
        <v>2365</v>
      </c>
      <c r="AR2017" t="s">
        <v>2365</v>
      </c>
      <c r="AS2017" t="s">
        <v>2365</v>
      </c>
      <c r="AT2017" t="s">
        <v>2365</v>
      </c>
      <c r="AU2017" t="s">
        <v>2365</v>
      </c>
      <c r="AV2017" t="s">
        <v>2365</v>
      </c>
      <c r="AW2017" t="s">
        <v>2365</v>
      </c>
      <c r="AX2017" t="s">
        <v>2365</v>
      </c>
      <c r="AY2017" t="s">
        <v>2365</v>
      </c>
      <c r="AZ2017" t="s">
        <v>2365</v>
      </c>
      <c r="BA2017" t="s">
        <v>2365</v>
      </c>
      <c r="BB2017" t="s">
        <v>2365</v>
      </c>
      <c r="BC2017" t="s">
        <v>2365</v>
      </c>
      <c r="BD2017" t="s">
        <v>2366</v>
      </c>
      <c r="BE2017" t="s">
        <v>2365</v>
      </c>
      <c r="BF2017" t="s">
        <v>2365</v>
      </c>
      <c r="BG2017" t="s">
        <v>2365</v>
      </c>
      <c r="BH2017" t="s">
        <v>2365</v>
      </c>
      <c r="BI2017" t="s">
        <v>2366</v>
      </c>
      <c r="BJ2017" t="s">
        <v>2365</v>
      </c>
      <c r="BK2017" t="s">
        <v>2365</v>
      </c>
      <c r="BL2017" t="s">
        <v>2365</v>
      </c>
      <c r="BM2017" t="s">
        <v>2365</v>
      </c>
      <c r="BO2017">
        <v>1</v>
      </c>
      <c r="BP2017">
        <v>11</v>
      </c>
      <c r="BQ2017" t="s">
        <v>2369</v>
      </c>
      <c r="BR2017" t="s">
        <v>1487</v>
      </c>
      <c r="BU2017">
        <v>0</v>
      </c>
      <c r="BV2017">
        <v>0</v>
      </c>
      <c r="BW2017">
        <v>0</v>
      </c>
      <c r="BX2017">
        <v>0</v>
      </c>
      <c r="BY2017">
        <v>0</v>
      </c>
      <c r="BZ2017">
        <v>0</v>
      </c>
      <c r="CA2017">
        <v>0</v>
      </c>
      <c r="CB2017">
        <v>0</v>
      </c>
      <c r="CC2017">
        <v>0</v>
      </c>
      <c r="CD2017">
        <v>0</v>
      </c>
      <c r="CE2017">
        <v>0</v>
      </c>
      <c r="CF2017">
        <v>0</v>
      </c>
      <c r="CG2017">
        <v>0</v>
      </c>
      <c r="CH2017">
        <v>0</v>
      </c>
      <c r="CI2017">
        <v>0</v>
      </c>
      <c r="CJ2017">
        <v>0</v>
      </c>
      <c r="CK2017">
        <v>0</v>
      </c>
      <c r="CL2017">
        <v>0</v>
      </c>
      <c r="CM2017">
        <v>0</v>
      </c>
      <c r="CR2017" t="s">
        <v>2325</v>
      </c>
      <c r="CS2017" s="1369" t="str">
        <f>INDEX([8]Sheet1!$H:$H,MATCH(CR:CR,[8]Sheet1!$AU:$AU,0))</f>
        <v>Asset Management</v>
      </c>
    </row>
    <row r="2018" spans="1:97" x14ac:dyDescent="0.2">
      <c r="A2018" t="s">
        <v>5307</v>
      </c>
      <c r="B2018">
        <v>2116</v>
      </c>
      <c r="C2018" t="s">
        <v>5307</v>
      </c>
      <c r="D2018">
        <v>55116</v>
      </c>
      <c r="E2018" t="s">
        <v>5308</v>
      </c>
      <c r="F2018" t="s">
        <v>2364</v>
      </c>
      <c r="G2018" t="s">
        <v>2364</v>
      </c>
      <c r="H2018" t="s">
        <v>2365</v>
      </c>
      <c r="I2018" t="s">
        <v>2365</v>
      </c>
      <c r="J2018" t="s">
        <v>2365</v>
      </c>
      <c r="K2018" t="s">
        <v>2365</v>
      </c>
      <c r="L2018">
        <v>1200</v>
      </c>
      <c r="M2018" t="s">
        <v>1480</v>
      </c>
      <c r="N2018">
        <v>1204</v>
      </c>
      <c r="O2018" t="s">
        <v>1487</v>
      </c>
      <c r="P2018" t="s">
        <v>2366</v>
      </c>
      <c r="Q2018" t="s">
        <v>2364</v>
      </c>
      <c r="R2018" t="s">
        <v>2364</v>
      </c>
      <c r="S2018" t="s">
        <v>553</v>
      </c>
      <c r="T2018" t="s">
        <v>2175</v>
      </c>
      <c r="U2018">
        <v>260</v>
      </c>
      <c r="V2018" t="s">
        <v>4785</v>
      </c>
      <c r="W2018">
        <v>260</v>
      </c>
      <c r="X2018" t="s">
        <v>703</v>
      </c>
      <c r="Y2018" t="s">
        <v>2365</v>
      </c>
      <c r="Z2018" t="s">
        <v>2365</v>
      </c>
      <c r="AA2018" t="s">
        <v>2365</v>
      </c>
      <c r="AB2018" t="s">
        <v>2365</v>
      </c>
      <c r="AC2018" s="813" t="s">
        <v>2365</v>
      </c>
      <c r="AD2018" s="813" t="s">
        <v>2365</v>
      </c>
      <c r="AE2018" s="813" t="s">
        <v>2365</v>
      </c>
      <c r="AF2018" t="s">
        <v>2365</v>
      </c>
      <c r="AG2018">
        <v>1360</v>
      </c>
      <c r="AH2018" t="s">
        <v>1664</v>
      </c>
      <c r="AI2018">
        <v>1360</v>
      </c>
      <c r="AJ2018" t="s">
        <v>1664</v>
      </c>
      <c r="AK2018" s="1373" t="s">
        <v>2365</v>
      </c>
      <c r="AL2018" t="s">
        <v>2365</v>
      </c>
      <c r="AM2018" t="s">
        <v>2365</v>
      </c>
      <c r="AN2018" t="s">
        <v>2365</v>
      </c>
      <c r="AR2018" t="s">
        <v>2365</v>
      </c>
      <c r="AS2018" t="s">
        <v>2365</v>
      </c>
      <c r="AT2018" t="s">
        <v>2365</v>
      </c>
      <c r="AU2018" t="s">
        <v>2365</v>
      </c>
      <c r="AV2018" t="s">
        <v>2365</v>
      </c>
      <c r="AW2018" t="s">
        <v>2365</v>
      </c>
      <c r="AX2018" t="s">
        <v>2365</v>
      </c>
      <c r="AY2018" t="s">
        <v>2365</v>
      </c>
      <c r="AZ2018" t="s">
        <v>2365</v>
      </c>
      <c r="BA2018" t="s">
        <v>2365</v>
      </c>
      <c r="BB2018" t="s">
        <v>2365</v>
      </c>
      <c r="BC2018" t="s">
        <v>2365</v>
      </c>
      <c r="BD2018" t="s">
        <v>2366</v>
      </c>
      <c r="BE2018" t="s">
        <v>2365</v>
      </c>
      <c r="BF2018" t="s">
        <v>2365</v>
      </c>
      <c r="BG2018" t="s">
        <v>2365</v>
      </c>
      <c r="BH2018" t="s">
        <v>2365</v>
      </c>
      <c r="BI2018" t="s">
        <v>2366</v>
      </c>
      <c r="BJ2018" t="s">
        <v>2365</v>
      </c>
      <c r="BK2018" t="s">
        <v>2365</v>
      </c>
      <c r="BL2018" t="s">
        <v>2365</v>
      </c>
      <c r="BM2018" t="s">
        <v>2365</v>
      </c>
      <c r="BO2018">
        <v>1</v>
      </c>
      <c r="BP2018">
        <v>11</v>
      </c>
      <c r="BQ2018" t="s">
        <v>2369</v>
      </c>
      <c r="BR2018" t="s">
        <v>1487</v>
      </c>
      <c r="BU2018">
        <v>0</v>
      </c>
      <c r="BV2018">
        <v>0</v>
      </c>
      <c r="BW2018">
        <v>0</v>
      </c>
      <c r="BX2018">
        <v>0</v>
      </c>
      <c r="BY2018">
        <v>0</v>
      </c>
      <c r="BZ2018">
        <v>0</v>
      </c>
      <c r="CA2018">
        <v>0</v>
      </c>
      <c r="CB2018">
        <v>0</v>
      </c>
      <c r="CC2018">
        <v>0</v>
      </c>
      <c r="CD2018">
        <v>0</v>
      </c>
      <c r="CE2018">
        <v>0</v>
      </c>
      <c r="CF2018">
        <v>0</v>
      </c>
      <c r="CG2018">
        <v>0</v>
      </c>
      <c r="CH2018">
        <v>0</v>
      </c>
      <c r="CI2018">
        <v>0</v>
      </c>
      <c r="CJ2018">
        <v>0</v>
      </c>
      <c r="CK2018">
        <v>0</v>
      </c>
      <c r="CL2018">
        <v>0</v>
      </c>
      <c r="CM2018">
        <v>0</v>
      </c>
      <c r="CR2018" t="s">
        <v>2335</v>
      </c>
      <c r="CS2018" s="1369" t="str">
        <f>INDEX([8]Sheet1!$H:$H,MATCH(CR:CR,[8]Sheet1!$AU:$AU,0))</f>
        <v>Economic Development/Planning</v>
      </c>
    </row>
    <row r="2019" spans="1:97" x14ac:dyDescent="0.2">
      <c r="A2019" t="s">
        <v>5309</v>
      </c>
      <c r="B2019">
        <v>2117</v>
      </c>
      <c r="C2019" t="s">
        <v>5309</v>
      </c>
      <c r="D2019">
        <v>55117</v>
      </c>
      <c r="E2019" t="s">
        <v>5310</v>
      </c>
      <c r="F2019" t="s">
        <v>2364</v>
      </c>
      <c r="G2019" t="s">
        <v>2364</v>
      </c>
      <c r="H2019" t="s">
        <v>2365</v>
      </c>
      <c r="I2019" t="s">
        <v>2365</v>
      </c>
      <c r="J2019" t="s">
        <v>2365</v>
      </c>
      <c r="K2019" t="s">
        <v>2365</v>
      </c>
      <c r="L2019">
        <v>1200</v>
      </c>
      <c r="M2019" t="s">
        <v>1480</v>
      </c>
      <c r="N2019">
        <v>1204</v>
      </c>
      <c r="O2019" t="s">
        <v>1487</v>
      </c>
      <c r="P2019" t="s">
        <v>2366</v>
      </c>
      <c r="Q2019" t="s">
        <v>2364</v>
      </c>
      <c r="R2019" t="s">
        <v>2364</v>
      </c>
      <c r="S2019" t="s">
        <v>553</v>
      </c>
      <c r="T2019" t="s">
        <v>2175</v>
      </c>
      <c r="U2019" t="s">
        <v>2366</v>
      </c>
      <c r="V2019" t="s">
        <v>2366</v>
      </c>
      <c r="W2019" t="s">
        <v>2366</v>
      </c>
      <c r="X2019" t="s">
        <v>2366</v>
      </c>
      <c r="Y2019" t="s">
        <v>2365</v>
      </c>
      <c r="Z2019" t="s">
        <v>2365</v>
      </c>
      <c r="AA2019" t="s">
        <v>2365</v>
      </c>
      <c r="AB2019" t="s">
        <v>2365</v>
      </c>
      <c r="AC2019" s="813" t="s">
        <v>2365</v>
      </c>
      <c r="AD2019" s="813" t="s">
        <v>2365</v>
      </c>
      <c r="AE2019" s="813" t="s">
        <v>2365</v>
      </c>
      <c r="AF2019" t="s">
        <v>2365</v>
      </c>
      <c r="AG2019">
        <v>1470</v>
      </c>
      <c r="AH2019" t="s">
        <v>1674</v>
      </c>
      <c r="AI2019">
        <v>1470</v>
      </c>
      <c r="AJ2019" t="s">
        <v>1674</v>
      </c>
      <c r="AK2019">
        <v>241</v>
      </c>
      <c r="AL2019" t="s">
        <v>1203</v>
      </c>
      <c r="AM2019">
        <v>241</v>
      </c>
      <c r="AN2019" t="s">
        <v>1203</v>
      </c>
      <c r="AR2019" t="s">
        <v>2365</v>
      </c>
      <c r="AS2019" t="s">
        <v>2365</v>
      </c>
      <c r="AT2019" t="s">
        <v>2365</v>
      </c>
      <c r="AU2019" t="s">
        <v>2365</v>
      </c>
      <c r="AV2019" t="s">
        <v>2365</v>
      </c>
      <c r="AW2019" t="s">
        <v>2365</v>
      </c>
      <c r="AX2019" t="s">
        <v>2365</v>
      </c>
      <c r="AY2019" t="s">
        <v>2365</v>
      </c>
      <c r="AZ2019" t="s">
        <v>2365</v>
      </c>
      <c r="BA2019" t="s">
        <v>2365</v>
      </c>
      <c r="BB2019" t="s">
        <v>2365</v>
      </c>
      <c r="BC2019" t="s">
        <v>2365</v>
      </c>
      <c r="BD2019" t="s">
        <v>2366</v>
      </c>
      <c r="BE2019" t="s">
        <v>2365</v>
      </c>
      <c r="BF2019" t="s">
        <v>2365</v>
      </c>
      <c r="BG2019" t="s">
        <v>2365</v>
      </c>
      <c r="BH2019" t="s">
        <v>2365</v>
      </c>
      <c r="BI2019" t="s">
        <v>2366</v>
      </c>
      <c r="BJ2019" t="s">
        <v>2365</v>
      </c>
      <c r="BK2019" t="s">
        <v>2365</v>
      </c>
      <c r="BL2019" t="s">
        <v>2365</v>
      </c>
      <c r="BM2019" t="s">
        <v>2365</v>
      </c>
      <c r="BO2019">
        <v>1</v>
      </c>
      <c r="BP2019">
        <v>11</v>
      </c>
      <c r="BQ2019" t="s">
        <v>2369</v>
      </c>
      <c r="BR2019" t="s">
        <v>1487</v>
      </c>
      <c r="BU2019">
        <v>0</v>
      </c>
      <c r="BV2019">
        <v>0</v>
      </c>
      <c r="BW2019">
        <v>0</v>
      </c>
      <c r="BX2019">
        <v>0</v>
      </c>
      <c r="BY2019">
        <v>0</v>
      </c>
      <c r="BZ2019">
        <v>0</v>
      </c>
      <c r="CA2019">
        <v>0</v>
      </c>
      <c r="CB2019">
        <v>0</v>
      </c>
      <c r="CC2019">
        <v>0</v>
      </c>
      <c r="CD2019">
        <v>0</v>
      </c>
      <c r="CE2019">
        <v>0</v>
      </c>
      <c r="CF2019">
        <v>0</v>
      </c>
      <c r="CG2019">
        <v>0</v>
      </c>
      <c r="CH2019">
        <v>0</v>
      </c>
      <c r="CI2019">
        <v>0</v>
      </c>
      <c r="CJ2019">
        <v>0</v>
      </c>
      <c r="CK2019">
        <v>0</v>
      </c>
      <c r="CL2019">
        <v>0</v>
      </c>
      <c r="CM2019">
        <v>0</v>
      </c>
      <c r="CR2019" t="s">
        <v>2335</v>
      </c>
      <c r="CS2019" s="1369" t="str">
        <f>INDEX([8]Sheet1!$H:$H,MATCH(CR:CR,[8]Sheet1!$AU:$AU,0))</f>
        <v>Economic Development/Planning</v>
      </c>
    </row>
    <row r="2020" spans="1:97" x14ac:dyDescent="0.2">
      <c r="A2020" t="s">
        <v>5311</v>
      </c>
      <c r="B2020">
        <v>2118</v>
      </c>
      <c r="C2020" t="s">
        <v>5311</v>
      </c>
      <c r="D2020">
        <v>55118</v>
      </c>
      <c r="E2020" t="s">
        <v>5312</v>
      </c>
      <c r="F2020" t="s">
        <v>2364</v>
      </c>
      <c r="G2020" t="s">
        <v>2364</v>
      </c>
      <c r="H2020" t="s">
        <v>2365</v>
      </c>
      <c r="I2020" t="s">
        <v>2365</v>
      </c>
      <c r="J2020" t="s">
        <v>2365</v>
      </c>
      <c r="K2020" t="s">
        <v>2365</v>
      </c>
      <c r="L2020">
        <v>1200</v>
      </c>
      <c r="M2020" t="s">
        <v>1480</v>
      </c>
      <c r="N2020">
        <v>1204</v>
      </c>
      <c r="O2020" t="s">
        <v>1487</v>
      </c>
      <c r="P2020" t="s">
        <v>2366</v>
      </c>
      <c r="Q2020" t="s">
        <v>2364</v>
      </c>
      <c r="R2020" t="s">
        <v>2364</v>
      </c>
      <c r="S2020" t="s">
        <v>553</v>
      </c>
      <c r="T2020" t="s">
        <v>2175</v>
      </c>
      <c r="U2020">
        <v>240</v>
      </c>
      <c r="V2020" t="s">
        <v>2389</v>
      </c>
      <c r="W2020">
        <v>240</v>
      </c>
      <c r="X2020" t="s">
        <v>701</v>
      </c>
      <c r="Y2020" t="s">
        <v>2365</v>
      </c>
      <c r="Z2020" t="s">
        <v>2365</v>
      </c>
      <c r="AA2020" t="s">
        <v>2365</v>
      </c>
      <c r="AB2020" t="s">
        <v>2365</v>
      </c>
      <c r="AC2020" s="813" t="s">
        <v>2365</v>
      </c>
      <c r="AD2020" s="813" t="s">
        <v>2365</v>
      </c>
      <c r="AE2020" s="813" t="s">
        <v>2365</v>
      </c>
      <c r="AF2020" t="s">
        <v>2365</v>
      </c>
      <c r="AG2020">
        <v>1470</v>
      </c>
      <c r="AH2020" t="s">
        <v>1674</v>
      </c>
      <c r="AI2020">
        <v>1470</v>
      </c>
      <c r="AJ2020" t="s">
        <v>1674</v>
      </c>
      <c r="AK2020">
        <v>241</v>
      </c>
      <c r="AL2020" t="s">
        <v>1203</v>
      </c>
      <c r="AM2020">
        <v>241</v>
      </c>
      <c r="AN2020" t="s">
        <v>1203</v>
      </c>
      <c r="AR2020" t="s">
        <v>2365</v>
      </c>
      <c r="AS2020" t="s">
        <v>2365</v>
      </c>
      <c r="AT2020" t="s">
        <v>2365</v>
      </c>
      <c r="AU2020" t="s">
        <v>2365</v>
      </c>
      <c r="AV2020" t="s">
        <v>2365</v>
      </c>
      <c r="AW2020" t="s">
        <v>2365</v>
      </c>
      <c r="AX2020" t="s">
        <v>2365</v>
      </c>
      <c r="AY2020" t="s">
        <v>2365</v>
      </c>
      <c r="AZ2020" t="s">
        <v>2365</v>
      </c>
      <c r="BA2020" t="s">
        <v>2365</v>
      </c>
      <c r="BB2020" t="s">
        <v>2365</v>
      </c>
      <c r="BC2020" t="s">
        <v>2365</v>
      </c>
      <c r="BD2020" t="s">
        <v>2366</v>
      </c>
      <c r="BE2020" t="s">
        <v>2365</v>
      </c>
      <c r="BF2020" t="s">
        <v>2365</v>
      </c>
      <c r="BG2020" t="s">
        <v>2365</v>
      </c>
      <c r="BH2020" t="s">
        <v>2365</v>
      </c>
      <c r="BI2020" t="s">
        <v>2366</v>
      </c>
      <c r="BJ2020" t="s">
        <v>2365</v>
      </c>
      <c r="BK2020" t="s">
        <v>2365</v>
      </c>
      <c r="BL2020" t="s">
        <v>2365</v>
      </c>
      <c r="BM2020" t="s">
        <v>2365</v>
      </c>
      <c r="BO2020">
        <v>1</v>
      </c>
      <c r="BP2020">
        <v>11</v>
      </c>
      <c r="BQ2020" t="s">
        <v>2369</v>
      </c>
      <c r="BR2020" t="s">
        <v>1487</v>
      </c>
      <c r="BU2020">
        <v>0</v>
      </c>
      <c r="BV2020">
        <v>0</v>
      </c>
      <c r="BW2020">
        <v>0</v>
      </c>
      <c r="BX2020">
        <v>0</v>
      </c>
      <c r="BY2020">
        <v>0</v>
      </c>
      <c r="BZ2020">
        <v>0</v>
      </c>
      <c r="CA2020">
        <v>0</v>
      </c>
      <c r="CB2020">
        <v>0</v>
      </c>
      <c r="CC2020">
        <v>0</v>
      </c>
      <c r="CD2020">
        <v>0</v>
      </c>
      <c r="CE2020">
        <v>0</v>
      </c>
      <c r="CF2020">
        <v>0</v>
      </c>
      <c r="CG2020">
        <v>0</v>
      </c>
      <c r="CH2020">
        <v>0</v>
      </c>
      <c r="CI2020">
        <v>0</v>
      </c>
      <c r="CJ2020">
        <v>0</v>
      </c>
      <c r="CK2020">
        <v>0</v>
      </c>
      <c r="CL2020">
        <v>0</v>
      </c>
      <c r="CM2020">
        <v>0</v>
      </c>
      <c r="CR2020" t="s">
        <v>2335</v>
      </c>
      <c r="CS2020" s="1369" t="str">
        <f>INDEX([8]Sheet1!$H:$H,MATCH(CR:CR,[8]Sheet1!$AU:$AU,0))</f>
        <v>Economic Development/Planning</v>
      </c>
    </row>
    <row r="2021" spans="1:97" x14ac:dyDescent="0.2">
      <c r="A2021" t="s">
        <v>5313</v>
      </c>
      <c r="B2021">
        <v>2119</v>
      </c>
      <c r="C2021" t="s">
        <v>5313</v>
      </c>
      <c r="D2021">
        <v>55119</v>
      </c>
      <c r="E2021" t="s">
        <v>5314</v>
      </c>
      <c r="F2021" t="s">
        <v>2364</v>
      </c>
      <c r="G2021" t="s">
        <v>2364</v>
      </c>
      <c r="H2021" t="s">
        <v>2365</v>
      </c>
      <c r="I2021" t="s">
        <v>2365</v>
      </c>
      <c r="J2021" t="s">
        <v>2365</v>
      </c>
      <c r="K2021" t="s">
        <v>2365</v>
      </c>
      <c r="L2021">
        <v>1200</v>
      </c>
      <c r="M2021" t="s">
        <v>1480</v>
      </c>
      <c r="N2021">
        <v>1204</v>
      </c>
      <c r="O2021" t="s">
        <v>1487</v>
      </c>
      <c r="P2021" t="s">
        <v>2366</v>
      </c>
      <c r="Q2021" t="s">
        <v>2364</v>
      </c>
      <c r="R2021" t="s">
        <v>2364</v>
      </c>
      <c r="S2021" t="s">
        <v>553</v>
      </c>
      <c r="T2021" t="s">
        <v>2175</v>
      </c>
      <c r="U2021">
        <v>280</v>
      </c>
      <c r="V2021" t="s">
        <v>4781</v>
      </c>
      <c r="W2021">
        <v>280</v>
      </c>
      <c r="X2021" t="s">
        <v>4782</v>
      </c>
      <c r="Y2021" t="s">
        <v>2365</v>
      </c>
      <c r="Z2021" t="s">
        <v>2365</v>
      </c>
      <c r="AA2021" t="s">
        <v>2365</v>
      </c>
      <c r="AB2021" t="s">
        <v>2365</v>
      </c>
      <c r="AC2021" s="813" t="s">
        <v>2365</v>
      </c>
      <c r="AD2021" s="813" t="s">
        <v>2365</v>
      </c>
      <c r="AE2021" s="813" t="s">
        <v>2365</v>
      </c>
      <c r="AF2021" t="s">
        <v>2365</v>
      </c>
      <c r="AG2021">
        <v>1050</v>
      </c>
      <c r="AH2021" t="s">
        <v>1367</v>
      </c>
      <c r="AI2021">
        <v>1050</v>
      </c>
      <c r="AJ2021" t="s">
        <v>1367</v>
      </c>
      <c r="AK2021" t="s">
        <v>2365</v>
      </c>
      <c r="AL2021" t="s">
        <v>2365</v>
      </c>
      <c r="AM2021" t="s">
        <v>2365</v>
      </c>
      <c r="AN2021" t="s">
        <v>2365</v>
      </c>
      <c r="AR2021" t="s">
        <v>2365</v>
      </c>
      <c r="AS2021" t="s">
        <v>2365</v>
      </c>
      <c r="AT2021" t="s">
        <v>2365</v>
      </c>
      <c r="AU2021" t="s">
        <v>2365</v>
      </c>
      <c r="AV2021" t="s">
        <v>2365</v>
      </c>
      <c r="AW2021" t="s">
        <v>2365</v>
      </c>
      <c r="AX2021" t="s">
        <v>2365</v>
      </c>
      <c r="AY2021" t="s">
        <v>2365</v>
      </c>
      <c r="AZ2021" t="s">
        <v>2365</v>
      </c>
      <c r="BA2021" t="s">
        <v>2365</v>
      </c>
      <c r="BB2021" t="s">
        <v>2365</v>
      </c>
      <c r="BC2021" t="s">
        <v>2365</v>
      </c>
      <c r="BD2021" t="s">
        <v>2366</v>
      </c>
      <c r="BE2021" t="s">
        <v>2365</v>
      </c>
      <c r="BF2021" t="s">
        <v>2365</v>
      </c>
      <c r="BG2021" t="s">
        <v>2365</v>
      </c>
      <c r="BH2021" t="s">
        <v>2365</v>
      </c>
      <c r="BI2021" t="s">
        <v>2366</v>
      </c>
      <c r="BJ2021" t="s">
        <v>2365</v>
      </c>
      <c r="BK2021" t="s">
        <v>2365</v>
      </c>
      <c r="BL2021" t="s">
        <v>2365</v>
      </c>
      <c r="BM2021" t="s">
        <v>2365</v>
      </c>
      <c r="BO2021">
        <v>1</v>
      </c>
      <c r="BP2021">
        <v>11</v>
      </c>
      <c r="BQ2021" t="s">
        <v>2369</v>
      </c>
      <c r="BR2021" t="s">
        <v>1487</v>
      </c>
      <c r="BU2021">
        <v>0</v>
      </c>
      <c r="BV2021">
        <v>0</v>
      </c>
      <c r="BW2021">
        <v>0</v>
      </c>
      <c r="BX2021">
        <v>0</v>
      </c>
      <c r="BY2021">
        <v>0</v>
      </c>
      <c r="BZ2021">
        <v>0</v>
      </c>
      <c r="CA2021">
        <v>0</v>
      </c>
      <c r="CB2021">
        <v>0</v>
      </c>
      <c r="CC2021">
        <v>0</v>
      </c>
      <c r="CD2021">
        <v>0</v>
      </c>
      <c r="CE2021">
        <v>0</v>
      </c>
      <c r="CF2021">
        <v>0</v>
      </c>
      <c r="CG2021">
        <v>0</v>
      </c>
      <c r="CH2021">
        <v>0</v>
      </c>
      <c r="CI2021">
        <v>0</v>
      </c>
      <c r="CJ2021">
        <v>0</v>
      </c>
      <c r="CK2021">
        <v>0</v>
      </c>
      <c r="CL2021">
        <v>0</v>
      </c>
      <c r="CM2021">
        <v>0</v>
      </c>
      <c r="CR2021" t="s">
        <v>2335</v>
      </c>
      <c r="CS2021" s="1369" t="str">
        <f>INDEX([8]Sheet1!$H:$H,MATCH(CR:CR,[8]Sheet1!$AU:$AU,0))</f>
        <v>Economic Development/Planning</v>
      </c>
    </row>
    <row r="2022" spans="1:97" x14ac:dyDescent="0.2">
      <c r="A2022" t="s">
        <v>5315</v>
      </c>
      <c r="B2022">
        <v>2120</v>
      </c>
      <c r="C2022" t="s">
        <v>5315</v>
      </c>
      <c r="D2022">
        <v>55120</v>
      </c>
      <c r="E2022" t="s">
        <v>5316</v>
      </c>
      <c r="F2022" t="s">
        <v>2364</v>
      </c>
      <c r="G2022" t="s">
        <v>2364</v>
      </c>
      <c r="H2022" t="s">
        <v>2365</v>
      </c>
      <c r="I2022" t="s">
        <v>2365</v>
      </c>
      <c r="J2022" t="s">
        <v>2365</v>
      </c>
      <c r="K2022" t="s">
        <v>2365</v>
      </c>
      <c r="L2022">
        <v>1200</v>
      </c>
      <c r="M2022" t="s">
        <v>1480</v>
      </c>
      <c r="N2022">
        <v>1204</v>
      </c>
      <c r="O2022" t="s">
        <v>1487</v>
      </c>
      <c r="P2022" t="s">
        <v>2366</v>
      </c>
      <c r="Q2022" t="s">
        <v>2364</v>
      </c>
      <c r="R2022" t="s">
        <v>2364</v>
      </c>
      <c r="S2022" t="s">
        <v>553</v>
      </c>
      <c r="T2022" t="s">
        <v>2175</v>
      </c>
      <c r="U2022">
        <v>240</v>
      </c>
      <c r="V2022" t="s">
        <v>2389</v>
      </c>
      <c r="W2022">
        <v>240</v>
      </c>
      <c r="X2022" t="s">
        <v>701</v>
      </c>
      <c r="Y2022" t="s">
        <v>2365</v>
      </c>
      <c r="Z2022" t="s">
        <v>2365</v>
      </c>
      <c r="AA2022" t="s">
        <v>2365</v>
      </c>
      <c r="AB2022" t="s">
        <v>2365</v>
      </c>
      <c r="AC2022" s="813" t="s">
        <v>2365</v>
      </c>
      <c r="AD2022" s="813" t="s">
        <v>2365</v>
      </c>
      <c r="AE2022" s="813" t="s">
        <v>2365</v>
      </c>
      <c r="AF2022" t="s">
        <v>2365</v>
      </c>
      <c r="AG2022">
        <v>1490</v>
      </c>
      <c r="AH2022" t="s">
        <v>1675</v>
      </c>
      <c r="AI2022">
        <v>1490</v>
      </c>
      <c r="AJ2022" t="s">
        <v>1675</v>
      </c>
      <c r="AK2022">
        <v>241</v>
      </c>
      <c r="AL2022" t="s">
        <v>1203</v>
      </c>
      <c r="AM2022">
        <v>241</v>
      </c>
      <c r="AN2022" t="s">
        <v>1203</v>
      </c>
      <c r="AR2022" t="s">
        <v>2365</v>
      </c>
      <c r="AS2022" t="s">
        <v>2365</v>
      </c>
      <c r="AT2022" t="s">
        <v>2365</v>
      </c>
      <c r="AU2022" t="s">
        <v>2365</v>
      </c>
      <c r="AV2022" t="s">
        <v>2365</v>
      </c>
      <c r="AW2022" t="s">
        <v>2365</v>
      </c>
      <c r="AX2022" t="s">
        <v>2365</v>
      </c>
      <c r="AY2022" t="s">
        <v>2365</v>
      </c>
      <c r="AZ2022" t="s">
        <v>2365</v>
      </c>
      <c r="BA2022" t="s">
        <v>2365</v>
      </c>
      <c r="BB2022" t="s">
        <v>2365</v>
      </c>
      <c r="BC2022" t="s">
        <v>2365</v>
      </c>
      <c r="BD2022" t="s">
        <v>2366</v>
      </c>
      <c r="BE2022" t="s">
        <v>2365</v>
      </c>
      <c r="BF2022" t="s">
        <v>2365</v>
      </c>
      <c r="BG2022" t="s">
        <v>2365</v>
      </c>
      <c r="BH2022" t="s">
        <v>2365</v>
      </c>
      <c r="BI2022" t="s">
        <v>2366</v>
      </c>
      <c r="BJ2022" t="s">
        <v>2365</v>
      </c>
      <c r="BK2022" t="s">
        <v>2365</v>
      </c>
      <c r="BL2022" t="s">
        <v>2365</v>
      </c>
      <c r="BM2022" t="s">
        <v>2365</v>
      </c>
      <c r="BO2022">
        <v>1</v>
      </c>
      <c r="BP2022">
        <v>11</v>
      </c>
      <c r="BQ2022" t="s">
        <v>2369</v>
      </c>
      <c r="BR2022" t="s">
        <v>1487</v>
      </c>
      <c r="BU2022">
        <v>0</v>
      </c>
      <c r="BV2022">
        <v>0</v>
      </c>
      <c r="BW2022">
        <v>0</v>
      </c>
      <c r="BX2022">
        <v>0</v>
      </c>
      <c r="BY2022">
        <v>0</v>
      </c>
      <c r="BZ2022">
        <v>0</v>
      </c>
      <c r="CA2022">
        <v>0</v>
      </c>
      <c r="CB2022">
        <v>0</v>
      </c>
      <c r="CC2022">
        <v>0</v>
      </c>
      <c r="CD2022">
        <v>0</v>
      </c>
      <c r="CE2022">
        <v>0</v>
      </c>
      <c r="CF2022">
        <v>0</v>
      </c>
      <c r="CG2022">
        <v>0</v>
      </c>
      <c r="CH2022">
        <v>0</v>
      </c>
      <c r="CI2022">
        <v>0</v>
      </c>
      <c r="CJ2022">
        <v>0</v>
      </c>
      <c r="CK2022">
        <v>0</v>
      </c>
      <c r="CL2022">
        <v>0</v>
      </c>
      <c r="CM2022">
        <v>0</v>
      </c>
      <c r="CR2022" t="s">
        <v>2335</v>
      </c>
      <c r="CS2022" s="1369" t="str">
        <f>INDEX([8]Sheet1!$H:$H,MATCH(CR:CR,[8]Sheet1!$AU:$AU,0))</f>
        <v>Economic Development/Planning</v>
      </c>
    </row>
    <row r="2023" spans="1:97" x14ac:dyDescent="0.2">
      <c r="A2023" t="s">
        <v>5317</v>
      </c>
      <c r="B2023">
        <v>2121</v>
      </c>
      <c r="C2023" t="s">
        <v>5317</v>
      </c>
      <c r="D2023">
        <v>55121</v>
      </c>
      <c r="E2023" t="s">
        <v>5318</v>
      </c>
      <c r="F2023" t="s">
        <v>2364</v>
      </c>
      <c r="G2023" t="s">
        <v>2364</v>
      </c>
      <c r="H2023" t="s">
        <v>2365</v>
      </c>
      <c r="I2023" t="s">
        <v>2365</v>
      </c>
      <c r="J2023" t="s">
        <v>2365</v>
      </c>
      <c r="K2023" t="s">
        <v>2365</v>
      </c>
      <c r="L2023">
        <v>1200</v>
      </c>
      <c r="M2023" t="s">
        <v>1480</v>
      </c>
      <c r="N2023">
        <v>1204</v>
      </c>
      <c r="O2023" t="s">
        <v>1487</v>
      </c>
      <c r="P2023" t="s">
        <v>2366</v>
      </c>
      <c r="Q2023" t="s">
        <v>2364</v>
      </c>
      <c r="R2023" t="s">
        <v>2364</v>
      </c>
      <c r="S2023" t="s">
        <v>553</v>
      </c>
      <c r="T2023" t="s">
        <v>2175</v>
      </c>
      <c r="U2023">
        <v>270</v>
      </c>
      <c r="V2023" t="s">
        <v>2372</v>
      </c>
      <c r="W2023">
        <v>270</v>
      </c>
      <c r="X2023" t="s">
        <v>704</v>
      </c>
      <c r="Y2023" t="s">
        <v>2365</v>
      </c>
      <c r="Z2023" t="s">
        <v>2365</v>
      </c>
      <c r="AA2023" t="s">
        <v>2365</v>
      </c>
      <c r="AB2023" t="s">
        <v>2365</v>
      </c>
      <c r="AC2023" s="813" t="s">
        <v>2365</v>
      </c>
      <c r="AD2023" s="813" t="s">
        <v>2365</v>
      </c>
      <c r="AE2023" s="813" t="s">
        <v>2365</v>
      </c>
      <c r="AF2023" t="s">
        <v>2365</v>
      </c>
      <c r="AG2023">
        <v>1370</v>
      </c>
      <c r="AH2023" t="s">
        <v>1665</v>
      </c>
      <c r="AI2023">
        <v>1370</v>
      </c>
      <c r="AJ2023" t="s">
        <v>1665</v>
      </c>
      <c r="AK2023" t="s">
        <v>2365</v>
      </c>
      <c r="AL2023" t="s">
        <v>2365</v>
      </c>
      <c r="AM2023" t="s">
        <v>2365</v>
      </c>
      <c r="AN2023" t="s">
        <v>2365</v>
      </c>
      <c r="AR2023" t="s">
        <v>2365</v>
      </c>
      <c r="AS2023" t="s">
        <v>2365</v>
      </c>
      <c r="AT2023" t="s">
        <v>2365</v>
      </c>
      <c r="AU2023" t="s">
        <v>2365</v>
      </c>
      <c r="AV2023" t="s">
        <v>2365</v>
      </c>
      <c r="AW2023" t="s">
        <v>2365</v>
      </c>
      <c r="AX2023" t="s">
        <v>2365</v>
      </c>
      <c r="AY2023" t="s">
        <v>2365</v>
      </c>
      <c r="AZ2023" t="s">
        <v>2365</v>
      </c>
      <c r="BA2023" t="s">
        <v>2365</v>
      </c>
      <c r="BB2023" t="s">
        <v>2365</v>
      </c>
      <c r="BC2023" t="s">
        <v>2365</v>
      </c>
      <c r="BD2023" t="s">
        <v>2366</v>
      </c>
      <c r="BE2023" t="s">
        <v>2365</v>
      </c>
      <c r="BF2023" t="s">
        <v>2365</v>
      </c>
      <c r="BG2023" t="s">
        <v>2365</v>
      </c>
      <c r="BH2023" t="s">
        <v>2365</v>
      </c>
      <c r="BI2023" t="s">
        <v>2366</v>
      </c>
      <c r="BJ2023" t="s">
        <v>2365</v>
      </c>
      <c r="BK2023" t="s">
        <v>2365</v>
      </c>
      <c r="BL2023" t="s">
        <v>2365</v>
      </c>
      <c r="BM2023" t="s">
        <v>2365</v>
      </c>
      <c r="BO2023">
        <v>1</v>
      </c>
      <c r="BP2023">
        <v>11</v>
      </c>
      <c r="BQ2023" t="s">
        <v>2369</v>
      </c>
      <c r="BR2023" t="s">
        <v>1487</v>
      </c>
      <c r="BU2023">
        <v>0</v>
      </c>
      <c r="BV2023">
        <v>0</v>
      </c>
      <c r="BW2023">
        <v>0</v>
      </c>
      <c r="BX2023">
        <v>0</v>
      </c>
      <c r="BY2023">
        <v>0</v>
      </c>
      <c r="BZ2023">
        <v>0</v>
      </c>
      <c r="CA2023">
        <v>0</v>
      </c>
      <c r="CB2023">
        <v>0</v>
      </c>
      <c r="CC2023">
        <v>0</v>
      </c>
      <c r="CD2023">
        <v>0</v>
      </c>
      <c r="CE2023">
        <v>0</v>
      </c>
      <c r="CF2023">
        <v>0</v>
      </c>
      <c r="CG2023">
        <v>0</v>
      </c>
      <c r="CH2023">
        <v>0</v>
      </c>
      <c r="CI2023">
        <v>0</v>
      </c>
      <c r="CJ2023">
        <v>0</v>
      </c>
      <c r="CK2023">
        <v>0</v>
      </c>
      <c r="CL2023">
        <v>0</v>
      </c>
      <c r="CM2023">
        <v>0</v>
      </c>
      <c r="CR2023" t="s">
        <v>2335</v>
      </c>
      <c r="CS2023" s="1369" t="str">
        <f>INDEX([8]Sheet1!$H:$H,MATCH(CR:CR,[8]Sheet1!$AU:$AU,0))</f>
        <v>Economic Development/Planning</v>
      </c>
    </row>
    <row r="2024" spans="1:97" x14ac:dyDescent="0.2">
      <c r="A2024" t="s">
        <v>5319</v>
      </c>
      <c r="B2024">
        <v>2122</v>
      </c>
      <c r="C2024" t="s">
        <v>5319</v>
      </c>
      <c r="D2024">
        <v>55122</v>
      </c>
      <c r="E2024" t="s">
        <v>5320</v>
      </c>
      <c r="F2024" t="s">
        <v>2364</v>
      </c>
      <c r="G2024" t="s">
        <v>2364</v>
      </c>
      <c r="H2024" t="s">
        <v>2365</v>
      </c>
      <c r="I2024" t="s">
        <v>2365</v>
      </c>
      <c r="J2024" t="s">
        <v>2365</v>
      </c>
      <c r="K2024" t="s">
        <v>2365</v>
      </c>
      <c r="L2024">
        <v>1200</v>
      </c>
      <c r="M2024" t="s">
        <v>1480</v>
      </c>
      <c r="N2024">
        <v>1204</v>
      </c>
      <c r="O2024" t="s">
        <v>1487</v>
      </c>
      <c r="P2024" t="s">
        <v>2366</v>
      </c>
      <c r="Q2024" t="s">
        <v>2364</v>
      </c>
      <c r="R2024" t="s">
        <v>2364</v>
      </c>
      <c r="S2024" t="s">
        <v>553</v>
      </c>
      <c r="T2024" t="s">
        <v>2175</v>
      </c>
      <c r="U2024">
        <v>270</v>
      </c>
      <c r="V2024" t="s">
        <v>2372</v>
      </c>
      <c r="W2024">
        <v>270</v>
      </c>
      <c r="X2024" t="s">
        <v>704</v>
      </c>
      <c r="Y2024" t="s">
        <v>2365</v>
      </c>
      <c r="Z2024" t="s">
        <v>2365</v>
      </c>
      <c r="AA2024" t="s">
        <v>2365</v>
      </c>
      <c r="AB2024" t="s">
        <v>2365</v>
      </c>
      <c r="AC2024" s="813" t="s">
        <v>2365</v>
      </c>
      <c r="AD2024" s="813" t="s">
        <v>2365</v>
      </c>
      <c r="AE2024" s="813" t="s">
        <v>2365</v>
      </c>
      <c r="AF2024" t="s">
        <v>2365</v>
      </c>
      <c r="AG2024">
        <v>1370</v>
      </c>
      <c r="AH2024" t="s">
        <v>1665</v>
      </c>
      <c r="AI2024">
        <v>1370</v>
      </c>
      <c r="AJ2024" t="s">
        <v>1665</v>
      </c>
      <c r="AK2024" t="s">
        <v>2365</v>
      </c>
      <c r="AL2024" t="s">
        <v>2365</v>
      </c>
      <c r="AM2024" t="s">
        <v>2365</v>
      </c>
      <c r="AN2024" t="s">
        <v>2365</v>
      </c>
      <c r="AR2024" t="s">
        <v>2365</v>
      </c>
      <c r="AS2024" t="s">
        <v>2365</v>
      </c>
      <c r="AT2024" t="s">
        <v>2365</v>
      </c>
      <c r="AU2024" t="s">
        <v>2365</v>
      </c>
      <c r="AV2024" t="s">
        <v>2365</v>
      </c>
      <c r="AW2024" t="s">
        <v>2365</v>
      </c>
      <c r="AX2024" t="s">
        <v>2365</v>
      </c>
      <c r="AY2024" t="s">
        <v>2365</v>
      </c>
      <c r="AZ2024" t="s">
        <v>2365</v>
      </c>
      <c r="BA2024" t="s">
        <v>2365</v>
      </c>
      <c r="BB2024" t="s">
        <v>2365</v>
      </c>
      <c r="BC2024" t="s">
        <v>2365</v>
      </c>
      <c r="BD2024" t="s">
        <v>2366</v>
      </c>
      <c r="BE2024" t="s">
        <v>2365</v>
      </c>
      <c r="BF2024" t="s">
        <v>2365</v>
      </c>
      <c r="BG2024" t="s">
        <v>2365</v>
      </c>
      <c r="BH2024" t="s">
        <v>2365</v>
      </c>
      <c r="BI2024" t="s">
        <v>2366</v>
      </c>
      <c r="BJ2024" t="s">
        <v>2365</v>
      </c>
      <c r="BK2024" t="s">
        <v>2365</v>
      </c>
      <c r="BL2024" t="s">
        <v>2365</v>
      </c>
      <c r="BM2024" t="s">
        <v>2365</v>
      </c>
      <c r="BO2024">
        <v>1</v>
      </c>
      <c r="BP2024">
        <v>11</v>
      </c>
      <c r="BQ2024" t="s">
        <v>2369</v>
      </c>
      <c r="BR2024" t="s">
        <v>1487</v>
      </c>
      <c r="BU2024">
        <v>0</v>
      </c>
      <c r="BV2024">
        <v>0</v>
      </c>
      <c r="BW2024">
        <v>0</v>
      </c>
      <c r="BX2024">
        <v>0</v>
      </c>
      <c r="BY2024">
        <v>0</v>
      </c>
      <c r="BZ2024">
        <v>0</v>
      </c>
      <c r="CA2024">
        <v>0</v>
      </c>
      <c r="CB2024">
        <v>0</v>
      </c>
      <c r="CC2024">
        <v>0</v>
      </c>
      <c r="CD2024">
        <v>0</v>
      </c>
      <c r="CE2024">
        <v>0</v>
      </c>
      <c r="CF2024">
        <v>0</v>
      </c>
      <c r="CG2024">
        <v>0</v>
      </c>
      <c r="CH2024">
        <v>0</v>
      </c>
      <c r="CI2024">
        <v>0</v>
      </c>
      <c r="CJ2024">
        <v>0</v>
      </c>
      <c r="CK2024">
        <v>0</v>
      </c>
      <c r="CL2024">
        <v>0</v>
      </c>
      <c r="CM2024">
        <v>0</v>
      </c>
      <c r="CR2024" t="s">
        <v>2335</v>
      </c>
      <c r="CS2024" s="1369" t="str">
        <f>INDEX([8]Sheet1!$H:$H,MATCH(CR:CR,[8]Sheet1!$AU:$AU,0))</f>
        <v>Economic Development/Planning</v>
      </c>
    </row>
    <row r="2025" spans="1:97" x14ac:dyDescent="0.2">
      <c r="A2025" t="s">
        <v>5321</v>
      </c>
      <c r="B2025">
        <v>2123</v>
      </c>
      <c r="C2025" t="s">
        <v>5321</v>
      </c>
      <c r="D2025">
        <v>55123</v>
      </c>
      <c r="E2025" t="s">
        <v>5322</v>
      </c>
      <c r="F2025" t="s">
        <v>2364</v>
      </c>
      <c r="G2025" t="s">
        <v>2364</v>
      </c>
      <c r="H2025" t="s">
        <v>2365</v>
      </c>
      <c r="I2025" t="s">
        <v>2365</v>
      </c>
      <c r="J2025" t="s">
        <v>2365</v>
      </c>
      <c r="K2025" t="s">
        <v>2365</v>
      </c>
      <c r="L2025">
        <v>1200</v>
      </c>
      <c r="M2025" t="s">
        <v>1480</v>
      </c>
      <c r="N2025">
        <v>1204</v>
      </c>
      <c r="O2025" t="s">
        <v>1487</v>
      </c>
      <c r="P2025" t="s">
        <v>2366</v>
      </c>
      <c r="Q2025" t="s">
        <v>2364</v>
      </c>
      <c r="R2025" t="s">
        <v>2364</v>
      </c>
      <c r="S2025" t="s">
        <v>553</v>
      </c>
      <c r="T2025" t="s">
        <v>2175</v>
      </c>
      <c r="U2025" t="s">
        <v>2366</v>
      </c>
      <c r="V2025" t="s">
        <v>2366</v>
      </c>
      <c r="W2025" t="s">
        <v>2366</v>
      </c>
      <c r="X2025" t="s">
        <v>2366</v>
      </c>
      <c r="Y2025" t="s">
        <v>2365</v>
      </c>
      <c r="Z2025" t="s">
        <v>2365</v>
      </c>
      <c r="AA2025" t="s">
        <v>2365</v>
      </c>
      <c r="AB2025" t="s">
        <v>2365</v>
      </c>
      <c r="AC2025" s="813" t="s">
        <v>2365</v>
      </c>
      <c r="AD2025" s="813" t="s">
        <v>2365</v>
      </c>
      <c r="AE2025" s="813" t="s">
        <v>2365</v>
      </c>
      <c r="AF2025" t="s">
        <v>2365</v>
      </c>
      <c r="AG2025">
        <v>1370</v>
      </c>
      <c r="AH2025" t="s">
        <v>1665</v>
      </c>
      <c r="AI2025">
        <v>1370</v>
      </c>
      <c r="AJ2025" t="s">
        <v>1665</v>
      </c>
      <c r="AK2025" t="s">
        <v>2365</v>
      </c>
      <c r="AL2025" t="s">
        <v>2365</v>
      </c>
      <c r="AM2025" t="s">
        <v>2365</v>
      </c>
      <c r="AN2025" t="s">
        <v>2365</v>
      </c>
      <c r="AR2025" t="s">
        <v>2365</v>
      </c>
      <c r="AS2025" t="s">
        <v>2365</v>
      </c>
      <c r="AT2025" t="s">
        <v>2365</v>
      </c>
      <c r="AU2025" t="s">
        <v>2365</v>
      </c>
      <c r="AV2025" t="s">
        <v>2365</v>
      </c>
      <c r="AW2025" t="s">
        <v>2365</v>
      </c>
      <c r="AX2025" t="s">
        <v>2365</v>
      </c>
      <c r="AY2025" t="s">
        <v>2365</v>
      </c>
      <c r="AZ2025" t="s">
        <v>2365</v>
      </c>
      <c r="BA2025" t="s">
        <v>2365</v>
      </c>
      <c r="BB2025" t="s">
        <v>2365</v>
      </c>
      <c r="BC2025" t="s">
        <v>2365</v>
      </c>
      <c r="BD2025" t="s">
        <v>2366</v>
      </c>
      <c r="BE2025" t="s">
        <v>2365</v>
      </c>
      <c r="BF2025" t="s">
        <v>2365</v>
      </c>
      <c r="BG2025" t="s">
        <v>2365</v>
      </c>
      <c r="BH2025" t="s">
        <v>2365</v>
      </c>
      <c r="BI2025" t="s">
        <v>2366</v>
      </c>
      <c r="BJ2025" t="s">
        <v>2365</v>
      </c>
      <c r="BK2025" t="s">
        <v>2365</v>
      </c>
      <c r="BL2025" t="s">
        <v>2365</v>
      </c>
      <c r="BM2025" t="s">
        <v>2365</v>
      </c>
      <c r="BO2025">
        <v>1</v>
      </c>
      <c r="BP2025">
        <v>11</v>
      </c>
      <c r="BQ2025" t="s">
        <v>2369</v>
      </c>
      <c r="BR2025" t="s">
        <v>1487</v>
      </c>
      <c r="BU2025">
        <v>0</v>
      </c>
      <c r="BV2025">
        <v>0</v>
      </c>
      <c r="BW2025">
        <v>0</v>
      </c>
      <c r="BX2025">
        <v>0</v>
      </c>
      <c r="BY2025">
        <v>0</v>
      </c>
      <c r="BZ2025">
        <v>0</v>
      </c>
      <c r="CA2025">
        <v>0</v>
      </c>
      <c r="CB2025">
        <v>0</v>
      </c>
      <c r="CC2025">
        <v>0</v>
      </c>
      <c r="CD2025">
        <v>0</v>
      </c>
      <c r="CE2025">
        <v>0</v>
      </c>
      <c r="CF2025">
        <v>0</v>
      </c>
      <c r="CG2025">
        <v>0</v>
      </c>
      <c r="CH2025">
        <v>0</v>
      </c>
      <c r="CI2025">
        <v>0</v>
      </c>
      <c r="CJ2025">
        <v>0</v>
      </c>
      <c r="CK2025">
        <v>0</v>
      </c>
      <c r="CL2025">
        <v>0</v>
      </c>
      <c r="CM2025">
        <v>0</v>
      </c>
      <c r="CR2025" t="s">
        <v>2335</v>
      </c>
      <c r="CS2025" s="1369" t="str">
        <f>INDEX([8]Sheet1!$H:$H,MATCH(CR:CR,[8]Sheet1!$AU:$AU,0))</f>
        <v>Economic Development/Planning</v>
      </c>
    </row>
    <row r="2026" spans="1:97" x14ac:dyDescent="0.2">
      <c r="A2026" t="s">
        <v>5323</v>
      </c>
      <c r="B2026">
        <v>2124</v>
      </c>
      <c r="C2026" t="s">
        <v>5323</v>
      </c>
      <c r="D2026">
        <v>55124</v>
      </c>
      <c r="E2026" t="s">
        <v>5324</v>
      </c>
      <c r="F2026" t="s">
        <v>2364</v>
      </c>
      <c r="G2026" t="s">
        <v>2364</v>
      </c>
      <c r="H2026" t="s">
        <v>2365</v>
      </c>
      <c r="I2026" t="s">
        <v>2365</v>
      </c>
      <c r="J2026" t="s">
        <v>2365</v>
      </c>
      <c r="K2026" t="s">
        <v>2365</v>
      </c>
      <c r="L2026">
        <v>1200</v>
      </c>
      <c r="M2026" t="s">
        <v>1480</v>
      </c>
      <c r="N2026">
        <v>1204</v>
      </c>
      <c r="O2026" t="s">
        <v>1487</v>
      </c>
      <c r="P2026" t="s">
        <v>2366</v>
      </c>
      <c r="Q2026" t="s">
        <v>2364</v>
      </c>
      <c r="R2026" t="s">
        <v>2364</v>
      </c>
      <c r="S2026" t="s">
        <v>553</v>
      </c>
      <c r="T2026" t="s">
        <v>2175</v>
      </c>
      <c r="U2026" t="s">
        <v>2366</v>
      </c>
      <c r="V2026" t="s">
        <v>2366</v>
      </c>
      <c r="W2026" t="s">
        <v>2366</v>
      </c>
      <c r="X2026" t="s">
        <v>2366</v>
      </c>
      <c r="Y2026" t="s">
        <v>2365</v>
      </c>
      <c r="Z2026" t="s">
        <v>2365</v>
      </c>
      <c r="AA2026" t="s">
        <v>2365</v>
      </c>
      <c r="AB2026" t="s">
        <v>2365</v>
      </c>
      <c r="AC2026" s="813" t="s">
        <v>2365</v>
      </c>
      <c r="AD2026" s="813" t="s">
        <v>2365</v>
      </c>
      <c r="AE2026" s="813" t="s">
        <v>2365</v>
      </c>
      <c r="AF2026" t="s">
        <v>2365</v>
      </c>
      <c r="AG2026">
        <v>770</v>
      </c>
      <c r="AH2026" t="s">
        <v>1620</v>
      </c>
      <c r="AI2026">
        <v>770</v>
      </c>
      <c r="AJ2026" t="s">
        <v>1620</v>
      </c>
      <c r="AK2026">
        <v>241</v>
      </c>
      <c r="AL2026" t="s">
        <v>1203</v>
      </c>
      <c r="AM2026">
        <v>241</v>
      </c>
      <c r="AN2026" t="s">
        <v>1203</v>
      </c>
      <c r="AR2026" t="s">
        <v>2365</v>
      </c>
      <c r="AS2026" t="s">
        <v>2365</v>
      </c>
      <c r="AT2026" t="s">
        <v>2365</v>
      </c>
      <c r="AU2026" t="s">
        <v>2365</v>
      </c>
      <c r="AV2026" t="s">
        <v>2365</v>
      </c>
      <c r="AW2026" t="s">
        <v>2365</v>
      </c>
      <c r="AX2026" t="s">
        <v>2365</v>
      </c>
      <c r="AY2026" t="s">
        <v>2365</v>
      </c>
      <c r="AZ2026" t="s">
        <v>2365</v>
      </c>
      <c r="BA2026" t="s">
        <v>2365</v>
      </c>
      <c r="BB2026" t="s">
        <v>2365</v>
      </c>
      <c r="BC2026" t="s">
        <v>2365</v>
      </c>
      <c r="BD2026" t="s">
        <v>2366</v>
      </c>
      <c r="BE2026" t="s">
        <v>2365</v>
      </c>
      <c r="BF2026" t="s">
        <v>2365</v>
      </c>
      <c r="BG2026" t="s">
        <v>2365</v>
      </c>
      <c r="BH2026" t="s">
        <v>2365</v>
      </c>
      <c r="BI2026" t="s">
        <v>2366</v>
      </c>
      <c r="BJ2026" t="s">
        <v>2365</v>
      </c>
      <c r="BK2026" t="s">
        <v>2365</v>
      </c>
      <c r="BL2026" t="s">
        <v>2365</v>
      </c>
      <c r="BM2026" t="s">
        <v>2365</v>
      </c>
      <c r="BO2026">
        <v>1</v>
      </c>
      <c r="BP2026">
        <v>11</v>
      </c>
      <c r="BQ2026" t="s">
        <v>2369</v>
      </c>
      <c r="BR2026" t="s">
        <v>1487</v>
      </c>
      <c r="BU2026">
        <v>0</v>
      </c>
      <c r="BV2026">
        <v>0</v>
      </c>
      <c r="BW2026">
        <v>0</v>
      </c>
      <c r="BX2026">
        <v>0</v>
      </c>
      <c r="BY2026">
        <v>0</v>
      </c>
      <c r="BZ2026">
        <v>0</v>
      </c>
      <c r="CA2026">
        <v>0</v>
      </c>
      <c r="CB2026">
        <v>0</v>
      </c>
      <c r="CC2026">
        <v>0</v>
      </c>
      <c r="CD2026">
        <v>0</v>
      </c>
      <c r="CE2026">
        <v>0</v>
      </c>
      <c r="CF2026">
        <v>0</v>
      </c>
      <c r="CG2026">
        <v>0</v>
      </c>
      <c r="CH2026">
        <v>0</v>
      </c>
      <c r="CI2026">
        <v>0</v>
      </c>
      <c r="CJ2026">
        <v>0</v>
      </c>
      <c r="CK2026">
        <v>0</v>
      </c>
      <c r="CL2026">
        <v>0</v>
      </c>
      <c r="CM2026">
        <v>0</v>
      </c>
      <c r="CR2026" t="s">
        <v>2335</v>
      </c>
      <c r="CS2026" s="1369" t="str">
        <f>INDEX([8]Sheet1!$H:$H,MATCH(CR:CR,[8]Sheet1!$AU:$AU,0))</f>
        <v>Economic Development/Planning</v>
      </c>
    </row>
    <row r="2027" spans="1:97" x14ac:dyDescent="0.2">
      <c r="A2027" t="s">
        <v>5325</v>
      </c>
      <c r="B2027">
        <v>2125</v>
      </c>
      <c r="C2027" t="s">
        <v>5325</v>
      </c>
      <c r="D2027">
        <v>55125</v>
      </c>
      <c r="E2027" t="s">
        <v>5326</v>
      </c>
      <c r="F2027" t="s">
        <v>2364</v>
      </c>
      <c r="G2027" t="s">
        <v>2364</v>
      </c>
      <c r="H2027" t="s">
        <v>2365</v>
      </c>
      <c r="I2027" t="s">
        <v>2365</v>
      </c>
      <c r="J2027" t="s">
        <v>2365</v>
      </c>
      <c r="K2027" t="s">
        <v>2365</v>
      </c>
      <c r="L2027">
        <v>1200</v>
      </c>
      <c r="M2027" t="s">
        <v>1480</v>
      </c>
      <c r="N2027">
        <v>1204</v>
      </c>
      <c r="O2027" t="s">
        <v>1487</v>
      </c>
      <c r="P2027" t="s">
        <v>2366</v>
      </c>
      <c r="Q2027" t="s">
        <v>2364</v>
      </c>
      <c r="R2027" t="s">
        <v>2364</v>
      </c>
      <c r="S2027" t="s">
        <v>553</v>
      </c>
      <c r="T2027" t="s">
        <v>2175</v>
      </c>
      <c r="U2027">
        <v>220</v>
      </c>
      <c r="V2027" t="s">
        <v>4476</v>
      </c>
      <c r="W2027">
        <v>220</v>
      </c>
      <c r="X2027" t="s">
        <v>700</v>
      </c>
      <c r="Y2027" t="s">
        <v>2365</v>
      </c>
      <c r="Z2027" t="s">
        <v>2365</v>
      </c>
      <c r="AA2027" t="s">
        <v>2365</v>
      </c>
      <c r="AB2027" t="s">
        <v>2365</v>
      </c>
      <c r="AC2027" s="813" t="s">
        <v>2365</v>
      </c>
      <c r="AD2027" s="813" t="s">
        <v>2365</v>
      </c>
      <c r="AE2027" s="813" t="s">
        <v>2365</v>
      </c>
      <c r="AF2027" t="s">
        <v>2365</v>
      </c>
      <c r="AG2027">
        <v>1110</v>
      </c>
      <c r="AH2027" t="s">
        <v>768</v>
      </c>
      <c r="AI2027">
        <v>1110</v>
      </c>
      <c r="AJ2027" t="s">
        <v>768</v>
      </c>
      <c r="AK2027" t="s">
        <v>2365</v>
      </c>
      <c r="AL2027" t="s">
        <v>2365</v>
      </c>
      <c r="AM2027" t="s">
        <v>2365</v>
      </c>
      <c r="AN2027" t="s">
        <v>2365</v>
      </c>
      <c r="AR2027" t="s">
        <v>2365</v>
      </c>
      <c r="AS2027" t="s">
        <v>2365</v>
      </c>
      <c r="AT2027" t="s">
        <v>2365</v>
      </c>
      <c r="AU2027" t="s">
        <v>2365</v>
      </c>
      <c r="AV2027" t="s">
        <v>2365</v>
      </c>
      <c r="AW2027" t="s">
        <v>2365</v>
      </c>
      <c r="AX2027" t="s">
        <v>2365</v>
      </c>
      <c r="AY2027" t="s">
        <v>2365</v>
      </c>
      <c r="AZ2027" t="s">
        <v>2365</v>
      </c>
      <c r="BA2027" t="s">
        <v>2365</v>
      </c>
      <c r="BB2027" t="s">
        <v>2365</v>
      </c>
      <c r="BC2027" t="s">
        <v>2365</v>
      </c>
      <c r="BD2027" t="s">
        <v>2366</v>
      </c>
      <c r="BE2027" t="s">
        <v>2365</v>
      </c>
      <c r="BF2027" t="s">
        <v>2365</v>
      </c>
      <c r="BG2027" t="s">
        <v>2365</v>
      </c>
      <c r="BH2027" t="s">
        <v>2365</v>
      </c>
      <c r="BI2027" t="s">
        <v>2366</v>
      </c>
      <c r="BJ2027" t="s">
        <v>2365</v>
      </c>
      <c r="BK2027" t="s">
        <v>2365</v>
      </c>
      <c r="BL2027" t="s">
        <v>2365</v>
      </c>
      <c r="BM2027" t="s">
        <v>2365</v>
      </c>
      <c r="BO2027">
        <v>1</v>
      </c>
      <c r="BP2027">
        <v>11</v>
      </c>
      <c r="BQ2027" t="s">
        <v>2369</v>
      </c>
      <c r="BR2027" t="s">
        <v>1487</v>
      </c>
      <c r="BU2027">
        <v>0</v>
      </c>
      <c r="BV2027">
        <v>0</v>
      </c>
      <c r="BW2027">
        <v>0</v>
      </c>
      <c r="BX2027">
        <v>0</v>
      </c>
      <c r="BY2027">
        <v>0</v>
      </c>
      <c r="BZ2027">
        <v>0</v>
      </c>
      <c r="CA2027">
        <v>0</v>
      </c>
      <c r="CB2027">
        <v>0</v>
      </c>
      <c r="CC2027">
        <v>0</v>
      </c>
      <c r="CD2027">
        <v>0</v>
      </c>
      <c r="CE2027">
        <v>0</v>
      </c>
      <c r="CF2027">
        <v>0</v>
      </c>
      <c r="CG2027">
        <v>0</v>
      </c>
      <c r="CH2027">
        <v>0</v>
      </c>
      <c r="CI2027">
        <v>0</v>
      </c>
      <c r="CJ2027">
        <v>0</v>
      </c>
      <c r="CK2027">
        <v>0</v>
      </c>
      <c r="CL2027">
        <v>0</v>
      </c>
      <c r="CM2027">
        <v>0</v>
      </c>
      <c r="CR2027" t="s">
        <v>2335</v>
      </c>
      <c r="CS2027" s="1369" t="str">
        <f>INDEX([8]Sheet1!$H:$H,MATCH(CR:CR,[8]Sheet1!$AU:$AU,0))</f>
        <v>Economic Development/Planning</v>
      </c>
    </row>
    <row r="2028" spans="1:97" x14ac:dyDescent="0.2">
      <c r="A2028" t="s">
        <v>5327</v>
      </c>
      <c r="B2028">
        <v>2126</v>
      </c>
      <c r="C2028" t="s">
        <v>5327</v>
      </c>
      <c r="D2028">
        <v>55126</v>
      </c>
      <c r="E2028" t="s">
        <v>5328</v>
      </c>
      <c r="F2028" t="s">
        <v>2364</v>
      </c>
      <c r="G2028" t="s">
        <v>2364</v>
      </c>
      <c r="H2028" t="s">
        <v>2365</v>
      </c>
      <c r="I2028" t="s">
        <v>2365</v>
      </c>
      <c r="J2028" t="s">
        <v>2365</v>
      </c>
      <c r="K2028" t="s">
        <v>2365</v>
      </c>
      <c r="L2028">
        <v>1200</v>
      </c>
      <c r="M2028" t="s">
        <v>1480</v>
      </c>
      <c r="N2028">
        <v>1204</v>
      </c>
      <c r="O2028" t="s">
        <v>1487</v>
      </c>
      <c r="P2028" t="s">
        <v>2366</v>
      </c>
      <c r="Q2028" t="s">
        <v>2364</v>
      </c>
      <c r="R2028" t="s">
        <v>2364</v>
      </c>
      <c r="S2028" t="s">
        <v>553</v>
      </c>
      <c r="T2028" t="s">
        <v>2175</v>
      </c>
      <c r="U2028" t="s">
        <v>2366</v>
      </c>
      <c r="V2028" t="s">
        <v>2366</v>
      </c>
      <c r="W2028" t="s">
        <v>2366</v>
      </c>
      <c r="X2028" t="s">
        <v>2366</v>
      </c>
      <c r="Y2028" t="s">
        <v>2365</v>
      </c>
      <c r="Z2028" t="s">
        <v>2365</v>
      </c>
      <c r="AA2028" t="s">
        <v>2365</v>
      </c>
      <c r="AB2028" t="s">
        <v>2365</v>
      </c>
      <c r="AC2028" s="813" t="s">
        <v>2365</v>
      </c>
      <c r="AD2028" s="813" t="s">
        <v>2365</v>
      </c>
      <c r="AE2028" s="813" t="s">
        <v>2365</v>
      </c>
      <c r="AF2028" t="s">
        <v>2365</v>
      </c>
      <c r="AG2028">
        <v>1180</v>
      </c>
      <c r="AH2028" t="s">
        <v>1368</v>
      </c>
      <c r="AI2028">
        <v>1180</v>
      </c>
      <c r="AJ2028" t="s">
        <v>1368</v>
      </c>
      <c r="AK2028">
        <v>241</v>
      </c>
      <c r="AL2028" t="s">
        <v>1203</v>
      </c>
      <c r="AM2028">
        <v>241</v>
      </c>
      <c r="AN2028" t="s">
        <v>1203</v>
      </c>
      <c r="AR2028" t="s">
        <v>2365</v>
      </c>
      <c r="AS2028" t="s">
        <v>2365</v>
      </c>
      <c r="AT2028" t="s">
        <v>2365</v>
      </c>
      <c r="AU2028" t="s">
        <v>2365</v>
      </c>
      <c r="AV2028" t="s">
        <v>2365</v>
      </c>
      <c r="AW2028" t="s">
        <v>2365</v>
      </c>
      <c r="AX2028" t="s">
        <v>2365</v>
      </c>
      <c r="AY2028" t="s">
        <v>2365</v>
      </c>
      <c r="AZ2028" t="s">
        <v>2365</v>
      </c>
      <c r="BA2028" t="s">
        <v>2365</v>
      </c>
      <c r="BB2028" t="s">
        <v>2365</v>
      </c>
      <c r="BC2028" t="s">
        <v>2365</v>
      </c>
      <c r="BD2028" t="s">
        <v>2366</v>
      </c>
      <c r="BE2028" t="s">
        <v>2365</v>
      </c>
      <c r="BF2028" t="s">
        <v>2365</v>
      </c>
      <c r="BG2028" t="s">
        <v>2365</v>
      </c>
      <c r="BH2028" t="s">
        <v>2365</v>
      </c>
      <c r="BI2028" t="s">
        <v>2366</v>
      </c>
      <c r="BJ2028" t="s">
        <v>2365</v>
      </c>
      <c r="BK2028" t="s">
        <v>2365</v>
      </c>
      <c r="BL2028" t="s">
        <v>2365</v>
      </c>
      <c r="BM2028" t="s">
        <v>2365</v>
      </c>
      <c r="BO2028">
        <v>1</v>
      </c>
      <c r="BP2028">
        <v>11</v>
      </c>
      <c r="BQ2028" t="s">
        <v>2369</v>
      </c>
      <c r="BR2028" t="s">
        <v>1487</v>
      </c>
      <c r="BU2028">
        <v>0</v>
      </c>
      <c r="BV2028">
        <v>0</v>
      </c>
      <c r="BW2028">
        <v>0</v>
      </c>
      <c r="BX2028">
        <v>0</v>
      </c>
      <c r="BY2028">
        <v>0</v>
      </c>
      <c r="BZ2028">
        <v>0</v>
      </c>
      <c r="CA2028">
        <v>0</v>
      </c>
      <c r="CB2028">
        <v>0</v>
      </c>
      <c r="CC2028">
        <v>0</v>
      </c>
      <c r="CD2028">
        <v>0</v>
      </c>
      <c r="CE2028">
        <v>0</v>
      </c>
      <c r="CF2028">
        <v>0</v>
      </c>
      <c r="CG2028">
        <v>0</v>
      </c>
      <c r="CH2028">
        <v>0</v>
      </c>
      <c r="CI2028">
        <v>0</v>
      </c>
      <c r="CJ2028">
        <v>0</v>
      </c>
      <c r="CK2028">
        <v>0</v>
      </c>
      <c r="CL2028">
        <v>0</v>
      </c>
      <c r="CM2028">
        <v>0</v>
      </c>
      <c r="CR2028" t="s">
        <v>2335</v>
      </c>
      <c r="CS2028" s="1369" t="str">
        <f>INDEX([8]Sheet1!$H:$H,MATCH(CR:CR,[8]Sheet1!$AU:$AU,0))</f>
        <v>Economic Development/Planning</v>
      </c>
    </row>
    <row r="2029" spans="1:97" x14ac:dyDescent="0.2">
      <c r="A2029" t="s">
        <v>5329</v>
      </c>
      <c r="B2029">
        <v>2127</v>
      </c>
      <c r="C2029" t="s">
        <v>5329</v>
      </c>
      <c r="D2029">
        <v>55127</v>
      </c>
      <c r="E2029" t="s">
        <v>5330</v>
      </c>
      <c r="F2029" t="s">
        <v>2364</v>
      </c>
      <c r="G2029" t="s">
        <v>2364</v>
      </c>
      <c r="H2029" t="s">
        <v>2365</v>
      </c>
      <c r="I2029" t="s">
        <v>2365</v>
      </c>
      <c r="J2029" t="s">
        <v>2365</v>
      </c>
      <c r="K2029" t="s">
        <v>2365</v>
      </c>
      <c r="L2029">
        <v>1200</v>
      </c>
      <c r="M2029" t="s">
        <v>1480</v>
      </c>
      <c r="N2029">
        <v>1204</v>
      </c>
      <c r="O2029" t="s">
        <v>1487</v>
      </c>
      <c r="P2029" t="s">
        <v>2366</v>
      </c>
      <c r="Q2029" t="s">
        <v>2364</v>
      </c>
      <c r="R2029" t="s">
        <v>2364</v>
      </c>
      <c r="S2029" t="s">
        <v>553</v>
      </c>
      <c r="T2029" t="s">
        <v>2175</v>
      </c>
      <c r="U2029">
        <v>240</v>
      </c>
      <c r="V2029" t="s">
        <v>2389</v>
      </c>
      <c r="W2029">
        <v>240</v>
      </c>
      <c r="X2029" t="s">
        <v>701</v>
      </c>
      <c r="Y2029" t="s">
        <v>2365</v>
      </c>
      <c r="Z2029" t="s">
        <v>2365</v>
      </c>
      <c r="AA2029" t="s">
        <v>2365</v>
      </c>
      <c r="AB2029" t="s">
        <v>2365</v>
      </c>
      <c r="AC2029" s="813" t="s">
        <v>2365</v>
      </c>
      <c r="AD2029" s="813" t="s">
        <v>2365</v>
      </c>
      <c r="AE2029" s="813" t="s">
        <v>2365</v>
      </c>
      <c r="AF2029" t="s">
        <v>2365</v>
      </c>
      <c r="AG2029">
        <v>1510</v>
      </c>
      <c r="AH2029" t="s">
        <v>1676</v>
      </c>
      <c r="AI2029">
        <v>1510</v>
      </c>
      <c r="AJ2029" t="s">
        <v>1676</v>
      </c>
      <c r="AK2029">
        <v>241</v>
      </c>
      <c r="AL2029" t="s">
        <v>1203</v>
      </c>
      <c r="AM2029">
        <v>241</v>
      </c>
      <c r="AN2029" t="s">
        <v>1203</v>
      </c>
      <c r="AR2029" t="s">
        <v>2365</v>
      </c>
      <c r="AS2029" t="s">
        <v>2365</v>
      </c>
      <c r="AT2029" t="s">
        <v>2365</v>
      </c>
      <c r="AU2029" t="s">
        <v>2365</v>
      </c>
      <c r="AV2029" t="s">
        <v>2365</v>
      </c>
      <c r="AW2029" t="s">
        <v>2365</v>
      </c>
      <c r="AX2029" t="s">
        <v>2365</v>
      </c>
      <c r="AY2029" t="s">
        <v>2365</v>
      </c>
      <c r="AZ2029" t="s">
        <v>2365</v>
      </c>
      <c r="BA2029" t="s">
        <v>2365</v>
      </c>
      <c r="BB2029" t="s">
        <v>2365</v>
      </c>
      <c r="BC2029" t="s">
        <v>2365</v>
      </c>
      <c r="BD2029" t="s">
        <v>2366</v>
      </c>
      <c r="BE2029" t="s">
        <v>2365</v>
      </c>
      <c r="BF2029" t="s">
        <v>2365</v>
      </c>
      <c r="BG2029" t="s">
        <v>2365</v>
      </c>
      <c r="BH2029" t="s">
        <v>2365</v>
      </c>
      <c r="BI2029" t="s">
        <v>2366</v>
      </c>
      <c r="BJ2029" t="s">
        <v>2365</v>
      </c>
      <c r="BK2029" t="s">
        <v>2365</v>
      </c>
      <c r="BL2029" t="s">
        <v>2365</v>
      </c>
      <c r="BM2029" t="s">
        <v>2365</v>
      </c>
      <c r="BO2029">
        <v>1</v>
      </c>
      <c r="BP2029">
        <v>11</v>
      </c>
      <c r="BQ2029" t="s">
        <v>2369</v>
      </c>
      <c r="BR2029" t="s">
        <v>1487</v>
      </c>
      <c r="BU2029">
        <v>0</v>
      </c>
      <c r="BV2029">
        <v>0</v>
      </c>
      <c r="BW2029">
        <v>0</v>
      </c>
      <c r="BX2029">
        <v>0</v>
      </c>
      <c r="BY2029">
        <v>0</v>
      </c>
      <c r="BZ2029">
        <v>0</v>
      </c>
      <c r="CA2029">
        <v>0</v>
      </c>
      <c r="CB2029">
        <v>0</v>
      </c>
      <c r="CC2029">
        <v>0</v>
      </c>
      <c r="CD2029">
        <v>0</v>
      </c>
      <c r="CE2029">
        <v>0</v>
      </c>
      <c r="CF2029">
        <v>0</v>
      </c>
      <c r="CG2029">
        <v>0</v>
      </c>
      <c r="CH2029">
        <v>0</v>
      </c>
      <c r="CI2029">
        <v>0</v>
      </c>
      <c r="CJ2029">
        <v>0</v>
      </c>
      <c r="CK2029">
        <v>0</v>
      </c>
      <c r="CL2029">
        <v>0</v>
      </c>
      <c r="CM2029">
        <v>0</v>
      </c>
      <c r="CR2029" t="s">
        <v>2335</v>
      </c>
      <c r="CS2029" s="1369" t="str">
        <f>INDEX([8]Sheet1!$H:$H,MATCH(CR:CR,[8]Sheet1!$AU:$AU,0))</f>
        <v>Economic Development/Planning</v>
      </c>
    </row>
    <row r="2030" spans="1:97" x14ac:dyDescent="0.2">
      <c r="A2030" t="s">
        <v>5331</v>
      </c>
      <c r="B2030">
        <v>2128</v>
      </c>
      <c r="C2030" t="s">
        <v>5331</v>
      </c>
      <c r="D2030">
        <v>55128</v>
      </c>
      <c r="E2030" t="s">
        <v>5332</v>
      </c>
      <c r="F2030" t="s">
        <v>2364</v>
      </c>
      <c r="G2030" t="s">
        <v>2364</v>
      </c>
      <c r="H2030" t="s">
        <v>2365</v>
      </c>
      <c r="I2030" t="s">
        <v>2365</v>
      </c>
      <c r="J2030" t="s">
        <v>2365</v>
      </c>
      <c r="K2030" t="s">
        <v>2365</v>
      </c>
      <c r="L2030">
        <v>1200</v>
      </c>
      <c r="M2030" t="s">
        <v>1480</v>
      </c>
      <c r="N2030">
        <v>1204</v>
      </c>
      <c r="O2030" t="s">
        <v>1487</v>
      </c>
      <c r="P2030" t="s">
        <v>2366</v>
      </c>
      <c r="Q2030" t="s">
        <v>2364</v>
      </c>
      <c r="R2030" t="s">
        <v>2364</v>
      </c>
      <c r="S2030" t="s">
        <v>553</v>
      </c>
      <c r="T2030" t="s">
        <v>2175</v>
      </c>
      <c r="U2030">
        <v>240</v>
      </c>
      <c r="V2030" t="s">
        <v>2389</v>
      </c>
      <c r="W2030">
        <v>240</v>
      </c>
      <c r="X2030" t="s">
        <v>701</v>
      </c>
      <c r="Y2030" t="s">
        <v>2365</v>
      </c>
      <c r="Z2030" t="s">
        <v>2365</v>
      </c>
      <c r="AA2030" t="s">
        <v>2365</v>
      </c>
      <c r="AB2030" t="s">
        <v>2365</v>
      </c>
      <c r="AC2030" s="813" t="s">
        <v>2365</v>
      </c>
      <c r="AD2030" s="813" t="s">
        <v>2365</v>
      </c>
      <c r="AE2030" s="813" t="s">
        <v>2365</v>
      </c>
      <c r="AF2030" t="s">
        <v>2365</v>
      </c>
      <c r="AG2030">
        <v>1530</v>
      </c>
      <c r="AH2030" t="s">
        <v>1677</v>
      </c>
      <c r="AI2030">
        <v>1530</v>
      </c>
      <c r="AJ2030" t="s">
        <v>1677</v>
      </c>
      <c r="AK2030">
        <v>241</v>
      </c>
      <c r="AL2030" t="s">
        <v>1203</v>
      </c>
      <c r="AM2030">
        <v>241</v>
      </c>
      <c r="AN2030" t="s">
        <v>1203</v>
      </c>
      <c r="AR2030" t="s">
        <v>2365</v>
      </c>
      <c r="AS2030" t="s">
        <v>2365</v>
      </c>
      <c r="AT2030" t="s">
        <v>2365</v>
      </c>
      <c r="AU2030" t="s">
        <v>2365</v>
      </c>
      <c r="AV2030" t="s">
        <v>2365</v>
      </c>
      <c r="AW2030" t="s">
        <v>2365</v>
      </c>
      <c r="AX2030" t="s">
        <v>2365</v>
      </c>
      <c r="AY2030" t="s">
        <v>2365</v>
      </c>
      <c r="AZ2030" t="s">
        <v>2365</v>
      </c>
      <c r="BA2030" t="s">
        <v>2365</v>
      </c>
      <c r="BB2030" t="s">
        <v>2365</v>
      </c>
      <c r="BC2030" t="s">
        <v>2365</v>
      </c>
      <c r="BD2030" t="s">
        <v>2366</v>
      </c>
      <c r="BE2030" t="s">
        <v>2365</v>
      </c>
      <c r="BF2030" t="s">
        <v>2365</v>
      </c>
      <c r="BG2030" t="s">
        <v>2365</v>
      </c>
      <c r="BH2030" t="s">
        <v>2365</v>
      </c>
      <c r="BI2030" t="s">
        <v>2366</v>
      </c>
      <c r="BJ2030" t="s">
        <v>2365</v>
      </c>
      <c r="BK2030" t="s">
        <v>2365</v>
      </c>
      <c r="BL2030" t="s">
        <v>2365</v>
      </c>
      <c r="BM2030" t="s">
        <v>2365</v>
      </c>
      <c r="BO2030">
        <v>1</v>
      </c>
      <c r="BP2030">
        <v>11</v>
      </c>
      <c r="BQ2030" t="s">
        <v>2369</v>
      </c>
      <c r="BR2030" t="s">
        <v>1487</v>
      </c>
      <c r="BU2030">
        <v>0</v>
      </c>
      <c r="BV2030">
        <v>0</v>
      </c>
      <c r="BW2030">
        <v>0</v>
      </c>
      <c r="BX2030">
        <v>0</v>
      </c>
      <c r="BY2030">
        <v>0</v>
      </c>
      <c r="BZ2030">
        <v>0</v>
      </c>
      <c r="CA2030">
        <v>0</v>
      </c>
      <c r="CB2030">
        <v>0</v>
      </c>
      <c r="CC2030">
        <v>0</v>
      </c>
      <c r="CD2030">
        <v>0</v>
      </c>
      <c r="CE2030">
        <v>0</v>
      </c>
      <c r="CF2030">
        <v>0</v>
      </c>
      <c r="CG2030">
        <v>0</v>
      </c>
      <c r="CH2030">
        <v>0</v>
      </c>
      <c r="CI2030">
        <v>0</v>
      </c>
      <c r="CJ2030">
        <v>0</v>
      </c>
      <c r="CK2030">
        <v>0</v>
      </c>
      <c r="CL2030">
        <v>0</v>
      </c>
      <c r="CM2030">
        <v>0</v>
      </c>
      <c r="CR2030" t="s">
        <v>2335</v>
      </c>
      <c r="CS2030" s="1369" t="str">
        <f>INDEX([8]Sheet1!$H:$H,MATCH(CR:CR,[8]Sheet1!$AU:$AU,0))</f>
        <v>Economic Development/Planning</v>
      </c>
    </row>
    <row r="2031" spans="1:97" x14ac:dyDescent="0.2">
      <c r="A2031" t="s">
        <v>5333</v>
      </c>
      <c r="B2031">
        <v>2129</v>
      </c>
      <c r="C2031" t="s">
        <v>5333</v>
      </c>
      <c r="D2031">
        <v>55129</v>
      </c>
      <c r="E2031" t="s">
        <v>5334</v>
      </c>
      <c r="F2031" t="s">
        <v>2364</v>
      </c>
      <c r="G2031" t="s">
        <v>2364</v>
      </c>
      <c r="H2031" t="s">
        <v>2365</v>
      </c>
      <c r="I2031" t="s">
        <v>2365</v>
      </c>
      <c r="J2031" t="s">
        <v>2365</v>
      </c>
      <c r="K2031" t="s">
        <v>2365</v>
      </c>
      <c r="L2031">
        <v>1200</v>
      </c>
      <c r="M2031" t="s">
        <v>1480</v>
      </c>
      <c r="N2031">
        <v>1204</v>
      </c>
      <c r="O2031" t="s">
        <v>1487</v>
      </c>
      <c r="P2031" t="s">
        <v>2366</v>
      </c>
      <c r="Q2031" t="s">
        <v>2364</v>
      </c>
      <c r="R2031" t="s">
        <v>2364</v>
      </c>
      <c r="S2031" t="s">
        <v>553</v>
      </c>
      <c r="T2031" t="s">
        <v>2175</v>
      </c>
      <c r="U2031" t="s">
        <v>2366</v>
      </c>
      <c r="V2031" t="s">
        <v>2366</v>
      </c>
      <c r="W2031" t="s">
        <v>2366</v>
      </c>
      <c r="X2031" t="s">
        <v>2366</v>
      </c>
      <c r="Y2031" t="s">
        <v>2365</v>
      </c>
      <c r="Z2031" t="s">
        <v>2365</v>
      </c>
      <c r="AA2031" t="s">
        <v>2365</v>
      </c>
      <c r="AB2031" t="s">
        <v>2365</v>
      </c>
      <c r="AC2031" s="813" t="s">
        <v>2365</v>
      </c>
      <c r="AD2031" s="813" t="s">
        <v>2365</v>
      </c>
      <c r="AE2031" s="813" t="s">
        <v>2365</v>
      </c>
      <c r="AF2031" t="s">
        <v>2365</v>
      </c>
      <c r="AG2031">
        <v>110</v>
      </c>
      <c r="AH2031" t="s">
        <v>1568</v>
      </c>
      <c r="AI2031">
        <v>110</v>
      </c>
      <c r="AJ2031" t="s">
        <v>1568</v>
      </c>
      <c r="AK2031" s="1373">
        <v>241</v>
      </c>
      <c r="AL2031" t="s">
        <v>1203</v>
      </c>
      <c r="AM2031">
        <v>241</v>
      </c>
      <c r="AN2031" t="s">
        <v>1203</v>
      </c>
      <c r="AR2031" t="s">
        <v>2365</v>
      </c>
      <c r="AS2031" t="s">
        <v>2365</v>
      </c>
      <c r="AT2031" t="s">
        <v>2365</v>
      </c>
      <c r="AU2031" t="s">
        <v>2365</v>
      </c>
      <c r="AV2031" t="s">
        <v>2365</v>
      </c>
      <c r="AW2031" t="s">
        <v>2365</v>
      </c>
      <c r="AX2031" t="s">
        <v>2365</v>
      </c>
      <c r="AY2031" t="s">
        <v>2365</v>
      </c>
      <c r="AZ2031" t="s">
        <v>2365</v>
      </c>
      <c r="BA2031" t="s">
        <v>2365</v>
      </c>
      <c r="BB2031" t="s">
        <v>2365</v>
      </c>
      <c r="BC2031" t="s">
        <v>2365</v>
      </c>
      <c r="BD2031" t="s">
        <v>2366</v>
      </c>
      <c r="BE2031" t="s">
        <v>2365</v>
      </c>
      <c r="BF2031" t="s">
        <v>2365</v>
      </c>
      <c r="BG2031" t="s">
        <v>2365</v>
      </c>
      <c r="BH2031" t="s">
        <v>2365</v>
      </c>
      <c r="BI2031" t="s">
        <v>2366</v>
      </c>
      <c r="BJ2031" t="s">
        <v>2365</v>
      </c>
      <c r="BK2031" t="s">
        <v>2365</v>
      </c>
      <c r="BL2031" t="s">
        <v>2365</v>
      </c>
      <c r="BM2031" t="s">
        <v>2365</v>
      </c>
      <c r="BO2031">
        <v>1</v>
      </c>
      <c r="BP2031">
        <v>11</v>
      </c>
      <c r="BQ2031" t="s">
        <v>2369</v>
      </c>
      <c r="BR2031" t="s">
        <v>1487</v>
      </c>
      <c r="BU2031">
        <v>0</v>
      </c>
      <c r="BV2031">
        <v>0</v>
      </c>
      <c r="BW2031">
        <v>0</v>
      </c>
      <c r="BX2031">
        <v>0</v>
      </c>
      <c r="BY2031">
        <v>0</v>
      </c>
      <c r="BZ2031">
        <v>0</v>
      </c>
      <c r="CA2031">
        <v>0</v>
      </c>
      <c r="CB2031">
        <v>0</v>
      </c>
      <c r="CC2031">
        <v>0</v>
      </c>
      <c r="CD2031">
        <v>0</v>
      </c>
      <c r="CE2031">
        <v>0</v>
      </c>
      <c r="CF2031">
        <v>0</v>
      </c>
      <c r="CG2031">
        <v>0</v>
      </c>
      <c r="CH2031">
        <v>0</v>
      </c>
      <c r="CI2031">
        <v>0</v>
      </c>
      <c r="CJ2031">
        <v>0</v>
      </c>
      <c r="CK2031">
        <v>0</v>
      </c>
      <c r="CL2031">
        <v>0</v>
      </c>
      <c r="CM2031">
        <v>0</v>
      </c>
      <c r="CR2031" t="s">
        <v>2335</v>
      </c>
      <c r="CS2031" s="1369" t="str">
        <f>INDEX([8]Sheet1!$H:$H,MATCH(CR:CR,[8]Sheet1!$AU:$AU,0))</f>
        <v>Economic Development/Planning</v>
      </c>
    </row>
    <row r="2032" spans="1:97" x14ac:dyDescent="0.2">
      <c r="A2032" t="s">
        <v>5335</v>
      </c>
      <c r="B2032">
        <v>2130</v>
      </c>
      <c r="C2032" t="s">
        <v>5335</v>
      </c>
      <c r="D2032">
        <v>55130</v>
      </c>
      <c r="E2032" t="s">
        <v>5336</v>
      </c>
      <c r="F2032" t="s">
        <v>2364</v>
      </c>
      <c r="G2032" t="s">
        <v>2364</v>
      </c>
      <c r="H2032" t="s">
        <v>2365</v>
      </c>
      <c r="I2032" t="s">
        <v>2365</v>
      </c>
      <c r="J2032" t="s">
        <v>2365</v>
      </c>
      <c r="K2032" t="s">
        <v>2365</v>
      </c>
      <c r="L2032">
        <v>1200</v>
      </c>
      <c r="M2032" t="s">
        <v>1480</v>
      </c>
      <c r="N2032">
        <v>1204</v>
      </c>
      <c r="O2032" t="s">
        <v>1487</v>
      </c>
      <c r="P2032" t="s">
        <v>2366</v>
      </c>
      <c r="Q2032" t="s">
        <v>2364</v>
      </c>
      <c r="R2032" t="s">
        <v>2364</v>
      </c>
      <c r="S2032" t="s">
        <v>553</v>
      </c>
      <c r="T2032" t="s">
        <v>2175</v>
      </c>
      <c r="U2032" t="s">
        <v>2366</v>
      </c>
      <c r="V2032" t="s">
        <v>2366</v>
      </c>
      <c r="W2032" t="s">
        <v>2366</v>
      </c>
      <c r="X2032" t="s">
        <v>2366</v>
      </c>
      <c r="Y2032" t="s">
        <v>2365</v>
      </c>
      <c r="Z2032" t="s">
        <v>2365</v>
      </c>
      <c r="AA2032" t="s">
        <v>2365</v>
      </c>
      <c r="AB2032" t="s">
        <v>2365</v>
      </c>
      <c r="AC2032" s="813" t="s">
        <v>2365</v>
      </c>
      <c r="AD2032" s="813" t="s">
        <v>2365</v>
      </c>
      <c r="AE2032" s="813" t="s">
        <v>2365</v>
      </c>
      <c r="AF2032" t="s">
        <v>2365</v>
      </c>
      <c r="AG2032">
        <v>1530</v>
      </c>
      <c r="AH2032" t="s">
        <v>1677</v>
      </c>
      <c r="AI2032">
        <v>1530</v>
      </c>
      <c r="AJ2032" t="s">
        <v>1677</v>
      </c>
      <c r="AK2032" s="1373">
        <v>241</v>
      </c>
      <c r="AL2032" t="s">
        <v>1203</v>
      </c>
      <c r="AM2032">
        <v>241</v>
      </c>
      <c r="AN2032" t="s">
        <v>1203</v>
      </c>
      <c r="AR2032" t="s">
        <v>2365</v>
      </c>
      <c r="AS2032" t="s">
        <v>2365</v>
      </c>
      <c r="AT2032" t="s">
        <v>2365</v>
      </c>
      <c r="AU2032" t="s">
        <v>2365</v>
      </c>
      <c r="AV2032" t="s">
        <v>2365</v>
      </c>
      <c r="AW2032" t="s">
        <v>2365</v>
      </c>
      <c r="AX2032" t="s">
        <v>2365</v>
      </c>
      <c r="AY2032" t="s">
        <v>2365</v>
      </c>
      <c r="AZ2032" t="s">
        <v>2365</v>
      </c>
      <c r="BA2032" t="s">
        <v>2365</v>
      </c>
      <c r="BB2032" t="s">
        <v>2365</v>
      </c>
      <c r="BC2032" t="s">
        <v>2365</v>
      </c>
      <c r="BD2032" t="s">
        <v>2366</v>
      </c>
      <c r="BE2032" t="s">
        <v>2365</v>
      </c>
      <c r="BF2032" t="s">
        <v>2365</v>
      </c>
      <c r="BG2032" t="s">
        <v>2365</v>
      </c>
      <c r="BH2032" t="s">
        <v>2365</v>
      </c>
      <c r="BI2032" t="s">
        <v>2366</v>
      </c>
      <c r="BJ2032" t="s">
        <v>2365</v>
      </c>
      <c r="BK2032" t="s">
        <v>2365</v>
      </c>
      <c r="BL2032" t="s">
        <v>2365</v>
      </c>
      <c r="BM2032" t="s">
        <v>2365</v>
      </c>
      <c r="BO2032">
        <v>1</v>
      </c>
      <c r="BP2032">
        <v>11</v>
      </c>
      <c r="BQ2032" t="s">
        <v>2369</v>
      </c>
      <c r="BR2032" t="s">
        <v>1487</v>
      </c>
      <c r="BU2032">
        <v>0</v>
      </c>
      <c r="BV2032">
        <v>0</v>
      </c>
      <c r="BW2032">
        <v>0</v>
      </c>
      <c r="BX2032">
        <v>0</v>
      </c>
      <c r="BY2032">
        <v>0</v>
      </c>
      <c r="BZ2032">
        <v>0</v>
      </c>
      <c r="CA2032">
        <v>0</v>
      </c>
      <c r="CB2032">
        <v>0</v>
      </c>
      <c r="CC2032">
        <v>0</v>
      </c>
      <c r="CD2032">
        <v>0</v>
      </c>
      <c r="CE2032">
        <v>0</v>
      </c>
      <c r="CF2032">
        <v>0</v>
      </c>
      <c r="CG2032">
        <v>0</v>
      </c>
      <c r="CH2032">
        <v>0</v>
      </c>
      <c r="CI2032">
        <v>0</v>
      </c>
      <c r="CJ2032">
        <v>0</v>
      </c>
      <c r="CK2032">
        <v>0</v>
      </c>
      <c r="CL2032">
        <v>0</v>
      </c>
      <c r="CM2032">
        <v>0</v>
      </c>
      <c r="CR2032" t="s">
        <v>2335</v>
      </c>
      <c r="CS2032" s="1369" t="str">
        <f>INDEX([8]Sheet1!$H:$H,MATCH(CR:CR,[8]Sheet1!$AU:$AU,0))</f>
        <v>Economic Development/Planning</v>
      </c>
    </row>
    <row r="2033" spans="1:97" x14ac:dyDescent="0.2">
      <c r="A2033" t="s">
        <v>5337</v>
      </c>
      <c r="B2033">
        <v>2131</v>
      </c>
      <c r="C2033" t="s">
        <v>5337</v>
      </c>
      <c r="D2033">
        <v>55131</v>
      </c>
      <c r="E2033" t="s">
        <v>5338</v>
      </c>
      <c r="F2033" t="s">
        <v>2364</v>
      </c>
      <c r="G2033" t="s">
        <v>2364</v>
      </c>
      <c r="H2033" t="s">
        <v>2365</v>
      </c>
      <c r="I2033" t="s">
        <v>2365</v>
      </c>
      <c r="J2033" t="s">
        <v>2365</v>
      </c>
      <c r="K2033" t="s">
        <v>2365</v>
      </c>
      <c r="L2033">
        <v>1200</v>
      </c>
      <c r="M2033" t="s">
        <v>1480</v>
      </c>
      <c r="N2033">
        <v>1204</v>
      </c>
      <c r="O2033" t="s">
        <v>1487</v>
      </c>
      <c r="P2033" t="s">
        <v>2366</v>
      </c>
      <c r="Q2033" t="s">
        <v>2364</v>
      </c>
      <c r="R2033" t="s">
        <v>2364</v>
      </c>
      <c r="S2033" t="s">
        <v>553</v>
      </c>
      <c r="T2033" t="s">
        <v>2175</v>
      </c>
      <c r="U2033" t="s">
        <v>2366</v>
      </c>
      <c r="V2033" t="s">
        <v>2366</v>
      </c>
      <c r="W2033" t="s">
        <v>2366</v>
      </c>
      <c r="X2033" t="s">
        <v>2366</v>
      </c>
      <c r="Y2033" t="s">
        <v>2365</v>
      </c>
      <c r="Z2033" t="s">
        <v>2365</v>
      </c>
      <c r="AA2033" t="s">
        <v>2365</v>
      </c>
      <c r="AB2033" t="s">
        <v>2365</v>
      </c>
      <c r="AC2033" s="813" t="s">
        <v>2365</v>
      </c>
      <c r="AD2033" s="813" t="s">
        <v>2365</v>
      </c>
      <c r="AE2033" s="813" t="s">
        <v>2365</v>
      </c>
      <c r="AF2033" t="s">
        <v>2365</v>
      </c>
      <c r="AG2033">
        <v>1550</v>
      </c>
      <c r="AH2033" t="s">
        <v>1734</v>
      </c>
      <c r="AI2033">
        <v>1550</v>
      </c>
      <c r="AJ2033" t="s">
        <v>1734</v>
      </c>
      <c r="AK2033" s="1373">
        <v>241</v>
      </c>
      <c r="AL2033" t="s">
        <v>1203</v>
      </c>
      <c r="AM2033">
        <v>241</v>
      </c>
      <c r="AN2033" t="s">
        <v>1203</v>
      </c>
      <c r="AR2033" t="s">
        <v>2365</v>
      </c>
      <c r="AS2033" t="s">
        <v>2365</v>
      </c>
      <c r="AT2033" t="s">
        <v>2365</v>
      </c>
      <c r="AU2033" t="s">
        <v>2365</v>
      </c>
      <c r="AV2033" t="s">
        <v>2365</v>
      </c>
      <c r="AW2033" t="s">
        <v>2365</v>
      </c>
      <c r="AX2033" t="s">
        <v>2365</v>
      </c>
      <c r="AY2033" t="s">
        <v>2365</v>
      </c>
      <c r="AZ2033" t="s">
        <v>2365</v>
      </c>
      <c r="BA2033" t="s">
        <v>2365</v>
      </c>
      <c r="BB2033" t="s">
        <v>2365</v>
      </c>
      <c r="BC2033" t="s">
        <v>2365</v>
      </c>
      <c r="BD2033" t="s">
        <v>2366</v>
      </c>
      <c r="BE2033" t="s">
        <v>2365</v>
      </c>
      <c r="BF2033" t="s">
        <v>2365</v>
      </c>
      <c r="BG2033" t="s">
        <v>2365</v>
      </c>
      <c r="BH2033" t="s">
        <v>2365</v>
      </c>
      <c r="BI2033" t="s">
        <v>2366</v>
      </c>
      <c r="BJ2033" t="s">
        <v>2365</v>
      </c>
      <c r="BK2033" t="s">
        <v>2365</v>
      </c>
      <c r="BL2033" t="s">
        <v>2365</v>
      </c>
      <c r="BM2033" t="s">
        <v>2365</v>
      </c>
      <c r="BO2033">
        <v>1</v>
      </c>
      <c r="BP2033">
        <v>11</v>
      </c>
      <c r="BQ2033" t="s">
        <v>2369</v>
      </c>
      <c r="BR2033" t="s">
        <v>1487</v>
      </c>
      <c r="BU2033">
        <v>0</v>
      </c>
      <c r="BV2033">
        <v>0</v>
      </c>
      <c r="BW2033">
        <v>0</v>
      </c>
      <c r="BX2033">
        <v>0</v>
      </c>
      <c r="BY2033">
        <v>0</v>
      </c>
      <c r="BZ2033">
        <v>0</v>
      </c>
      <c r="CA2033">
        <v>0</v>
      </c>
      <c r="CB2033">
        <v>0</v>
      </c>
      <c r="CC2033">
        <v>0</v>
      </c>
      <c r="CD2033">
        <v>0</v>
      </c>
      <c r="CE2033">
        <v>0</v>
      </c>
      <c r="CF2033">
        <v>0</v>
      </c>
      <c r="CG2033">
        <v>0</v>
      </c>
      <c r="CH2033">
        <v>0</v>
      </c>
      <c r="CI2033">
        <v>0</v>
      </c>
      <c r="CJ2033">
        <v>0</v>
      </c>
      <c r="CK2033">
        <v>0</v>
      </c>
      <c r="CL2033">
        <v>0</v>
      </c>
      <c r="CM2033">
        <v>0</v>
      </c>
      <c r="CR2033" t="s">
        <v>2335</v>
      </c>
      <c r="CS2033" s="1369" t="str">
        <f>INDEX([8]Sheet1!$H:$H,MATCH(CR:CR,[8]Sheet1!$AU:$AU,0))</f>
        <v>Economic Development/Planning</v>
      </c>
    </row>
    <row r="2034" spans="1:97" x14ac:dyDescent="0.2">
      <c r="A2034" t="s">
        <v>5339</v>
      </c>
      <c r="B2034">
        <v>2132</v>
      </c>
      <c r="C2034" t="s">
        <v>5339</v>
      </c>
      <c r="D2034">
        <v>55132</v>
      </c>
      <c r="E2034" t="s">
        <v>5340</v>
      </c>
      <c r="F2034" t="s">
        <v>2364</v>
      </c>
      <c r="G2034" t="s">
        <v>2364</v>
      </c>
      <c r="H2034" t="s">
        <v>2365</v>
      </c>
      <c r="I2034" t="s">
        <v>2365</v>
      </c>
      <c r="J2034" t="s">
        <v>2365</v>
      </c>
      <c r="K2034" t="s">
        <v>2365</v>
      </c>
      <c r="L2034">
        <v>1200</v>
      </c>
      <c r="M2034" t="s">
        <v>1480</v>
      </c>
      <c r="N2034">
        <v>1204</v>
      </c>
      <c r="O2034" t="s">
        <v>1487</v>
      </c>
      <c r="P2034" t="s">
        <v>2366</v>
      </c>
      <c r="Q2034" t="s">
        <v>2364</v>
      </c>
      <c r="R2034" t="s">
        <v>2364</v>
      </c>
      <c r="S2034" t="s">
        <v>553</v>
      </c>
      <c r="T2034" t="s">
        <v>2175</v>
      </c>
      <c r="U2034" t="s">
        <v>2366</v>
      </c>
      <c r="V2034" t="s">
        <v>2366</v>
      </c>
      <c r="W2034" t="s">
        <v>2366</v>
      </c>
      <c r="X2034" t="s">
        <v>2366</v>
      </c>
      <c r="Y2034" t="s">
        <v>2365</v>
      </c>
      <c r="Z2034" t="s">
        <v>2365</v>
      </c>
      <c r="AA2034" t="s">
        <v>2365</v>
      </c>
      <c r="AB2034" t="s">
        <v>2365</v>
      </c>
      <c r="AC2034" s="813" t="s">
        <v>2365</v>
      </c>
      <c r="AD2034" s="813" t="s">
        <v>2365</v>
      </c>
      <c r="AE2034" s="813" t="s">
        <v>2365</v>
      </c>
      <c r="AF2034" t="s">
        <v>2365</v>
      </c>
      <c r="AG2034">
        <v>1510</v>
      </c>
      <c r="AH2034" t="s">
        <v>1676</v>
      </c>
      <c r="AI2034">
        <v>1510</v>
      </c>
      <c r="AJ2034" t="s">
        <v>1676</v>
      </c>
      <c r="AK2034" s="1373">
        <v>241</v>
      </c>
      <c r="AL2034" t="s">
        <v>1203</v>
      </c>
      <c r="AM2034">
        <v>241</v>
      </c>
      <c r="AN2034" t="s">
        <v>1203</v>
      </c>
      <c r="AR2034" t="s">
        <v>2365</v>
      </c>
      <c r="AS2034" t="s">
        <v>2365</v>
      </c>
      <c r="AT2034" t="s">
        <v>2365</v>
      </c>
      <c r="AU2034" t="s">
        <v>2365</v>
      </c>
      <c r="AV2034" t="s">
        <v>2365</v>
      </c>
      <c r="AW2034" t="s">
        <v>2365</v>
      </c>
      <c r="AX2034" t="s">
        <v>2365</v>
      </c>
      <c r="AY2034" t="s">
        <v>2365</v>
      </c>
      <c r="AZ2034" t="s">
        <v>2365</v>
      </c>
      <c r="BA2034" t="s">
        <v>2365</v>
      </c>
      <c r="BB2034" t="s">
        <v>2365</v>
      </c>
      <c r="BC2034" t="s">
        <v>2365</v>
      </c>
      <c r="BD2034" t="s">
        <v>2366</v>
      </c>
      <c r="BE2034" t="s">
        <v>2365</v>
      </c>
      <c r="BF2034" t="s">
        <v>2365</v>
      </c>
      <c r="BG2034" t="s">
        <v>2365</v>
      </c>
      <c r="BH2034" t="s">
        <v>2365</v>
      </c>
      <c r="BI2034" t="s">
        <v>2366</v>
      </c>
      <c r="BJ2034" t="s">
        <v>2365</v>
      </c>
      <c r="BK2034" t="s">
        <v>2365</v>
      </c>
      <c r="BL2034" t="s">
        <v>2365</v>
      </c>
      <c r="BM2034" t="s">
        <v>2365</v>
      </c>
      <c r="BO2034">
        <v>1</v>
      </c>
      <c r="BP2034">
        <v>11</v>
      </c>
      <c r="BQ2034" t="s">
        <v>2369</v>
      </c>
      <c r="BR2034" t="s">
        <v>1487</v>
      </c>
      <c r="BU2034">
        <v>0</v>
      </c>
      <c r="BV2034">
        <v>0</v>
      </c>
      <c r="BW2034">
        <v>0</v>
      </c>
      <c r="BX2034">
        <v>0</v>
      </c>
      <c r="BY2034">
        <v>0</v>
      </c>
      <c r="BZ2034">
        <v>0</v>
      </c>
      <c r="CA2034">
        <v>0</v>
      </c>
      <c r="CB2034">
        <v>0</v>
      </c>
      <c r="CC2034">
        <v>0</v>
      </c>
      <c r="CD2034">
        <v>0</v>
      </c>
      <c r="CE2034">
        <v>0</v>
      </c>
      <c r="CF2034">
        <v>0</v>
      </c>
      <c r="CG2034">
        <v>0</v>
      </c>
      <c r="CH2034">
        <v>0</v>
      </c>
      <c r="CI2034">
        <v>0</v>
      </c>
      <c r="CJ2034">
        <v>0</v>
      </c>
      <c r="CK2034">
        <v>0</v>
      </c>
      <c r="CL2034">
        <v>0</v>
      </c>
      <c r="CM2034">
        <v>0</v>
      </c>
      <c r="CR2034" t="s">
        <v>2335</v>
      </c>
      <c r="CS2034" s="1369" t="str">
        <f>INDEX([8]Sheet1!$H:$H,MATCH(CR:CR,[8]Sheet1!$AU:$AU,0))</f>
        <v>Economic Development/Planning</v>
      </c>
    </row>
    <row r="2035" spans="1:97" x14ac:dyDescent="0.2">
      <c r="A2035" t="s">
        <v>5341</v>
      </c>
      <c r="B2035">
        <v>2133</v>
      </c>
      <c r="C2035" t="s">
        <v>5341</v>
      </c>
      <c r="D2035">
        <v>55133</v>
      </c>
      <c r="E2035" t="s">
        <v>5342</v>
      </c>
      <c r="F2035" t="s">
        <v>2364</v>
      </c>
      <c r="G2035" t="s">
        <v>2364</v>
      </c>
      <c r="H2035" t="s">
        <v>2365</v>
      </c>
      <c r="I2035" t="s">
        <v>2365</v>
      </c>
      <c r="J2035" t="s">
        <v>2365</v>
      </c>
      <c r="K2035" t="s">
        <v>2365</v>
      </c>
      <c r="L2035">
        <v>1200</v>
      </c>
      <c r="M2035" t="s">
        <v>1480</v>
      </c>
      <c r="N2035">
        <v>1204</v>
      </c>
      <c r="O2035" t="s">
        <v>1487</v>
      </c>
      <c r="P2035" t="s">
        <v>2366</v>
      </c>
      <c r="Q2035" t="s">
        <v>2364</v>
      </c>
      <c r="R2035" t="s">
        <v>2364</v>
      </c>
      <c r="S2035" t="s">
        <v>553</v>
      </c>
      <c r="T2035" t="s">
        <v>2367</v>
      </c>
      <c r="U2035">
        <v>360</v>
      </c>
      <c r="V2035" t="s">
        <v>2368</v>
      </c>
      <c r="W2035">
        <v>360</v>
      </c>
      <c r="X2035" t="s">
        <v>711</v>
      </c>
      <c r="Y2035" t="s">
        <v>2365</v>
      </c>
      <c r="Z2035" t="s">
        <v>2365</v>
      </c>
      <c r="AA2035" t="s">
        <v>2365</v>
      </c>
      <c r="AB2035" t="s">
        <v>2365</v>
      </c>
      <c r="AC2035" s="813" t="s">
        <v>2365</v>
      </c>
      <c r="AD2035" s="813" t="s">
        <v>2365</v>
      </c>
      <c r="AE2035" s="813" t="s">
        <v>2365</v>
      </c>
      <c r="AF2035" t="s">
        <v>2365</v>
      </c>
      <c r="AG2035" t="s">
        <v>2365</v>
      </c>
      <c r="AH2035" t="s">
        <v>2365</v>
      </c>
      <c r="AI2035" t="s">
        <v>2365</v>
      </c>
      <c r="AJ2035" t="s">
        <v>2365</v>
      </c>
      <c r="AK2035" s="1373">
        <v>361</v>
      </c>
      <c r="AL2035" t="s">
        <v>1804</v>
      </c>
      <c r="AM2035">
        <v>361</v>
      </c>
      <c r="AN2035" t="s">
        <v>1804</v>
      </c>
      <c r="AR2035" t="s">
        <v>2365</v>
      </c>
      <c r="AS2035" t="s">
        <v>2365</v>
      </c>
      <c r="AT2035" t="s">
        <v>2365</v>
      </c>
      <c r="AU2035" t="s">
        <v>2365</v>
      </c>
      <c r="AV2035" t="s">
        <v>2365</v>
      </c>
      <c r="AW2035" t="s">
        <v>2365</v>
      </c>
      <c r="AX2035" t="s">
        <v>2365</v>
      </c>
      <c r="AY2035" t="s">
        <v>2365</v>
      </c>
      <c r="AZ2035" t="s">
        <v>2365</v>
      </c>
      <c r="BA2035" t="s">
        <v>2365</v>
      </c>
      <c r="BB2035" t="s">
        <v>2365</v>
      </c>
      <c r="BC2035" t="s">
        <v>2365</v>
      </c>
      <c r="BD2035" t="s">
        <v>2366</v>
      </c>
      <c r="BE2035" t="s">
        <v>2365</v>
      </c>
      <c r="BF2035" t="s">
        <v>2365</v>
      </c>
      <c r="BG2035" t="s">
        <v>2365</v>
      </c>
      <c r="BH2035" t="s">
        <v>2365</v>
      </c>
      <c r="BI2035" t="s">
        <v>2366</v>
      </c>
      <c r="BJ2035" t="s">
        <v>2365</v>
      </c>
      <c r="BK2035" t="s">
        <v>2365</v>
      </c>
      <c r="BL2035" t="s">
        <v>2365</v>
      </c>
      <c r="BM2035" t="s">
        <v>2365</v>
      </c>
      <c r="BO2035">
        <v>1</v>
      </c>
      <c r="BP2035">
        <v>11</v>
      </c>
      <c r="BQ2035" t="s">
        <v>2369</v>
      </c>
      <c r="BR2035" t="s">
        <v>1487</v>
      </c>
      <c r="BU2035">
        <v>0</v>
      </c>
      <c r="BV2035">
        <v>0</v>
      </c>
      <c r="BW2035">
        <v>0</v>
      </c>
      <c r="BX2035">
        <v>0</v>
      </c>
      <c r="BY2035">
        <v>0</v>
      </c>
      <c r="BZ2035">
        <v>0</v>
      </c>
      <c r="CA2035">
        <v>0</v>
      </c>
      <c r="CB2035">
        <v>0</v>
      </c>
      <c r="CC2035">
        <v>0</v>
      </c>
      <c r="CD2035">
        <v>0</v>
      </c>
      <c r="CE2035">
        <v>0</v>
      </c>
      <c r="CF2035">
        <v>0</v>
      </c>
      <c r="CG2035">
        <v>0</v>
      </c>
      <c r="CH2035">
        <v>0</v>
      </c>
      <c r="CI2035">
        <v>0</v>
      </c>
      <c r="CJ2035">
        <v>0</v>
      </c>
      <c r="CK2035">
        <v>0</v>
      </c>
      <c r="CL2035">
        <v>0</v>
      </c>
      <c r="CM2035">
        <v>0</v>
      </c>
      <c r="CR2035" t="s">
        <v>2335</v>
      </c>
      <c r="CS2035" s="1369" t="str">
        <f>INDEX([8]Sheet1!$H:$H,MATCH(CR:CR,[8]Sheet1!$AU:$AU,0))</f>
        <v>Economic Development/Planning</v>
      </c>
    </row>
    <row r="2036" spans="1:97" x14ac:dyDescent="0.2">
      <c r="A2036" t="s">
        <v>5343</v>
      </c>
      <c r="B2036">
        <v>2134</v>
      </c>
      <c r="C2036" t="s">
        <v>5343</v>
      </c>
      <c r="D2036">
        <v>55134</v>
      </c>
      <c r="E2036" t="s">
        <v>5344</v>
      </c>
      <c r="F2036" t="s">
        <v>2364</v>
      </c>
      <c r="G2036" t="s">
        <v>2364</v>
      </c>
      <c r="H2036" t="s">
        <v>2365</v>
      </c>
      <c r="I2036" t="s">
        <v>2365</v>
      </c>
      <c r="J2036" t="s">
        <v>2365</v>
      </c>
      <c r="K2036" t="s">
        <v>2365</v>
      </c>
      <c r="L2036">
        <v>1200</v>
      </c>
      <c r="M2036" t="s">
        <v>1480</v>
      </c>
      <c r="N2036">
        <v>1204</v>
      </c>
      <c r="O2036" t="s">
        <v>1487</v>
      </c>
      <c r="P2036" t="s">
        <v>2366</v>
      </c>
      <c r="Q2036" t="s">
        <v>2364</v>
      </c>
      <c r="R2036" t="s">
        <v>2364</v>
      </c>
      <c r="S2036" t="s">
        <v>553</v>
      </c>
      <c r="T2036" t="s">
        <v>2367</v>
      </c>
      <c r="U2036">
        <v>360</v>
      </c>
      <c r="V2036" t="s">
        <v>2368</v>
      </c>
      <c r="W2036">
        <v>360</v>
      </c>
      <c r="X2036" t="s">
        <v>711</v>
      </c>
      <c r="Y2036" t="s">
        <v>2365</v>
      </c>
      <c r="Z2036" t="s">
        <v>2365</v>
      </c>
      <c r="AA2036" t="s">
        <v>2365</v>
      </c>
      <c r="AB2036" t="s">
        <v>2365</v>
      </c>
      <c r="AC2036" s="813" t="s">
        <v>2365</v>
      </c>
      <c r="AD2036" s="813" t="s">
        <v>2365</v>
      </c>
      <c r="AE2036" s="813" t="s">
        <v>2365</v>
      </c>
      <c r="AF2036" t="s">
        <v>2365</v>
      </c>
      <c r="AG2036" t="s">
        <v>2365</v>
      </c>
      <c r="AH2036" t="s">
        <v>2365</v>
      </c>
      <c r="AI2036" t="s">
        <v>2365</v>
      </c>
      <c r="AJ2036" t="s">
        <v>2365</v>
      </c>
      <c r="AK2036" s="1373">
        <v>364</v>
      </c>
      <c r="AL2036" t="s">
        <v>1209</v>
      </c>
      <c r="AM2036">
        <v>364</v>
      </c>
      <c r="AN2036" t="s">
        <v>1209</v>
      </c>
      <c r="AR2036" t="s">
        <v>2365</v>
      </c>
      <c r="AS2036" t="s">
        <v>2365</v>
      </c>
      <c r="AT2036" t="s">
        <v>2365</v>
      </c>
      <c r="AU2036" t="s">
        <v>2365</v>
      </c>
      <c r="AV2036" t="s">
        <v>2365</v>
      </c>
      <c r="AW2036" t="s">
        <v>2365</v>
      </c>
      <c r="AX2036" t="s">
        <v>2365</v>
      </c>
      <c r="AY2036" t="s">
        <v>2365</v>
      </c>
      <c r="AZ2036" t="s">
        <v>2365</v>
      </c>
      <c r="BA2036" t="s">
        <v>2365</v>
      </c>
      <c r="BB2036" t="s">
        <v>2365</v>
      </c>
      <c r="BC2036" t="s">
        <v>2365</v>
      </c>
      <c r="BD2036" t="s">
        <v>2366</v>
      </c>
      <c r="BE2036" t="s">
        <v>2365</v>
      </c>
      <c r="BF2036" t="s">
        <v>2365</v>
      </c>
      <c r="BG2036" t="s">
        <v>2365</v>
      </c>
      <c r="BH2036" t="s">
        <v>2365</v>
      </c>
      <c r="BI2036" t="s">
        <v>2366</v>
      </c>
      <c r="BJ2036" t="s">
        <v>2365</v>
      </c>
      <c r="BK2036" t="s">
        <v>2365</v>
      </c>
      <c r="BL2036" t="s">
        <v>2365</v>
      </c>
      <c r="BM2036" t="s">
        <v>2365</v>
      </c>
      <c r="BO2036">
        <v>1</v>
      </c>
      <c r="BP2036">
        <v>11</v>
      </c>
      <c r="BQ2036" t="s">
        <v>2369</v>
      </c>
      <c r="BR2036" t="s">
        <v>1487</v>
      </c>
      <c r="BU2036">
        <v>0</v>
      </c>
      <c r="BV2036">
        <v>0</v>
      </c>
      <c r="BW2036">
        <v>0</v>
      </c>
      <c r="BX2036">
        <v>0</v>
      </c>
      <c r="BY2036">
        <v>0</v>
      </c>
      <c r="BZ2036">
        <v>0</v>
      </c>
      <c r="CA2036">
        <v>0</v>
      </c>
      <c r="CB2036">
        <v>0</v>
      </c>
      <c r="CC2036">
        <v>0</v>
      </c>
      <c r="CD2036">
        <v>0</v>
      </c>
      <c r="CE2036">
        <v>0</v>
      </c>
      <c r="CF2036">
        <v>0</v>
      </c>
      <c r="CG2036">
        <v>0</v>
      </c>
      <c r="CH2036">
        <v>0</v>
      </c>
      <c r="CI2036">
        <v>0</v>
      </c>
      <c r="CJ2036">
        <v>0</v>
      </c>
      <c r="CK2036">
        <v>0</v>
      </c>
      <c r="CL2036">
        <v>0</v>
      </c>
      <c r="CM2036">
        <v>0</v>
      </c>
      <c r="CR2036" t="s">
        <v>2335</v>
      </c>
      <c r="CS2036" s="1369" t="str">
        <f>INDEX([8]Sheet1!$H:$H,MATCH(CR:CR,[8]Sheet1!$AU:$AU,0))</f>
        <v>Economic Development/Planning</v>
      </c>
    </row>
    <row r="2037" spans="1:97" x14ac:dyDescent="0.2">
      <c r="A2037" t="s">
        <v>5345</v>
      </c>
      <c r="B2037">
        <v>2135</v>
      </c>
      <c r="C2037" t="s">
        <v>5345</v>
      </c>
      <c r="D2037">
        <v>55135</v>
      </c>
      <c r="E2037" t="s">
        <v>5346</v>
      </c>
      <c r="F2037" t="s">
        <v>2364</v>
      </c>
      <c r="G2037" t="s">
        <v>2364</v>
      </c>
      <c r="H2037" t="s">
        <v>2365</v>
      </c>
      <c r="I2037" t="s">
        <v>2365</v>
      </c>
      <c r="J2037" t="s">
        <v>2365</v>
      </c>
      <c r="K2037" t="s">
        <v>2365</v>
      </c>
      <c r="L2037">
        <v>1200</v>
      </c>
      <c r="M2037" t="s">
        <v>1480</v>
      </c>
      <c r="N2037">
        <v>1204</v>
      </c>
      <c r="O2037" t="s">
        <v>1487</v>
      </c>
      <c r="P2037" t="s">
        <v>2366</v>
      </c>
      <c r="Q2037" t="s">
        <v>2364</v>
      </c>
      <c r="R2037" t="s">
        <v>2364</v>
      </c>
      <c r="S2037" t="s">
        <v>553</v>
      </c>
      <c r="T2037" t="s">
        <v>2367</v>
      </c>
      <c r="U2037">
        <v>360</v>
      </c>
      <c r="V2037" t="s">
        <v>2368</v>
      </c>
      <c r="W2037">
        <v>360</v>
      </c>
      <c r="X2037" t="s">
        <v>711</v>
      </c>
      <c r="Y2037" t="s">
        <v>2365</v>
      </c>
      <c r="Z2037" t="s">
        <v>2365</v>
      </c>
      <c r="AA2037" t="s">
        <v>2365</v>
      </c>
      <c r="AB2037" t="s">
        <v>2365</v>
      </c>
      <c r="AC2037" s="813" t="s">
        <v>2365</v>
      </c>
      <c r="AD2037" s="813" t="s">
        <v>2365</v>
      </c>
      <c r="AE2037" s="813" t="s">
        <v>2365</v>
      </c>
      <c r="AF2037" t="s">
        <v>2365</v>
      </c>
      <c r="AG2037" t="s">
        <v>2365</v>
      </c>
      <c r="AH2037" t="s">
        <v>2365</v>
      </c>
      <c r="AI2037" t="s">
        <v>2365</v>
      </c>
      <c r="AJ2037" t="s">
        <v>2365</v>
      </c>
      <c r="AK2037">
        <v>361</v>
      </c>
      <c r="AL2037" t="s">
        <v>1804</v>
      </c>
      <c r="AM2037">
        <v>361</v>
      </c>
      <c r="AN2037" t="s">
        <v>1804</v>
      </c>
      <c r="AR2037" t="s">
        <v>2365</v>
      </c>
      <c r="AS2037" t="s">
        <v>2365</v>
      </c>
      <c r="AT2037" t="s">
        <v>2365</v>
      </c>
      <c r="AU2037" t="s">
        <v>2365</v>
      </c>
      <c r="AV2037" t="s">
        <v>2365</v>
      </c>
      <c r="AW2037" t="s">
        <v>2365</v>
      </c>
      <c r="AX2037" t="s">
        <v>2365</v>
      </c>
      <c r="AY2037" t="s">
        <v>2365</v>
      </c>
      <c r="AZ2037" t="s">
        <v>2365</v>
      </c>
      <c r="BA2037" t="s">
        <v>2365</v>
      </c>
      <c r="BB2037" t="s">
        <v>2365</v>
      </c>
      <c r="BC2037" t="s">
        <v>2365</v>
      </c>
      <c r="BD2037" t="s">
        <v>2366</v>
      </c>
      <c r="BE2037" t="s">
        <v>2365</v>
      </c>
      <c r="BF2037" t="s">
        <v>2365</v>
      </c>
      <c r="BG2037" t="s">
        <v>2365</v>
      </c>
      <c r="BH2037" t="s">
        <v>2365</v>
      </c>
      <c r="BI2037" t="s">
        <v>2366</v>
      </c>
      <c r="BJ2037" t="s">
        <v>2365</v>
      </c>
      <c r="BK2037" t="s">
        <v>2365</v>
      </c>
      <c r="BL2037" t="s">
        <v>2365</v>
      </c>
      <c r="BM2037" t="s">
        <v>2365</v>
      </c>
      <c r="BO2037">
        <v>1</v>
      </c>
      <c r="BP2037">
        <v>11</v>
      </c>
      <c r="BQ2037" t="s">
        <v>2369</v>
      </c>
      <c r="BR2037" t="s">
        <v>1487</v>
      </c>
      <c r="BU2037">
        <v>0</v>
      </c>
      <c r="BV2037">
        <v>0</v>
      </c>
      <c r="BW2037">
        <v>0</v>
      </c>
      <c r="BX2037">
        <v>0</v>
      </c>
      <c r="BY2037">
        <v>0</v>
      </c>
      <c r="BZ2037">
        <v>0</v>
      </c>
      <c r="CA2037">
        <v>0</v>
      </c>
      <c r="CB2037">
        <v>0</v>
      </c>
      <c r="CC2037">
        <v>0</v>
      </c>
      <c r="CD2037">
        <v>0</v>
      </c>
      <c r="CE2037">
        <v>0</v>
      </c>
      <c r="CF2037">
        <v>0</v>
      </c>
      <c r="CG2037">
        <v>0</v>
      </c>
      <c r="CH2037">
        <v>0</v>
      </c>
      <c r="CI2037">
        <v>0</v>
      </c>
      <c r="CJ2037">
        <v>0</v>
      </c>
      <c r="CK2037">
        <v>0</v>
      </c>
      <c r="CL2037">
        <v>0</v>
      </c>
      <c r="CM2037">
        <v>0</v>
      </c>
      <c r="CR2037" t="s">
        <v>2324</v>
      </c>
      <c r="CS2037" s="1369" t="str">
        <f>INDEX([8]Sheet1!$H:$H,MATCH(CR:CR,[8]Sheet1!$AU:$AU,0))</f>
        <v>Finance</v>
      </c>
    </row>
    <row r="2038" spans="1:97" x14ac:dyDescent="0.2">
      <c r="A2038" t="s">
        <v>5347</v>
      </c>
      <c r="B2038">
        <v>2136</v>
      </c>
      <c r="C2038" t="s">
        <v>5347</v>
      </c>
      <c r="D2038">
        <v>55136</v>
      </c>
      <c r="E2038" t="s">
        <v>5348</v>
      </c>
      <c r="F2038" t="s">
        <v>2364</v>
      </c>
      <c r="G2038" t="s">
        <v>2364</v>
      </c>
      <c r="H2038" t="s">
        <v>2365</v>
      </c>
      <c r="I2038" t="s">
        <v>2365</v>
      </c>
      <c r="J2038" t="s">
        <v>2365</v>
      </c>
      <c r="K2038" t="s">
        <v>2365</v>
      </c>
      <c r="L2038">
        <v>1200</v>
      </c>
      <c r="M2038" t="s">
        <v>1480</v>
      </c>
      <c r="N2038">
        <v>1204</v>
      </c>
      <c r="O2038" t="s">
        <v>1487</v>
      </c>
      <c r="P2038" t="s">
        <v>2366</v>
      </c>
      <c r="Q2038" t="s">
        <v>2364</v>
      </c>
      <c r="R2038" t="s">
        <v>2364</v>
      </c>
      <c r="S2038" t="s">
        <v>553</v>
      </c>
      <c r="T2038" t="s">
        <v>2367</v>
      </c>
      <c r="U2038">
        <v>360</v>
      </c>
      <c r="V2038" t="s">
        <v>2368</v>
      </c>
      <c r="W2038">
        <v>360</v>
      </c>
      <c r="X2038" t="s">
        <v>711</v>
      </c>
      <c r="Y2038" t="s">
        <v>2365</v>
      </c>
      <c r="Z2038" t="s">
        <v>2365</v>
      </c>
      <c r="AA2038" t="s">
        <v>2365</v>
      </c>
      <c r="AB2038" t="s">
        <v>2365</v>
      </c>
      <c r="AC2038" s="813" t="s">
        <v>2365</v>
      </c>
      <c r="AD2038" s="813" t="s">
        <v>2365</v>
      </c>
      <c r="AE2038" s="813" t="s">
        <v>2365</v>
      </c>
      <c r="AF2038" t="s">
        <v>2365</v>
      </c>
      <c r="AG2038" t="s">
        <v>2365</v>
      </c>
      <c r="AH2038" t="s">
        <v>2365</v>
      </c>
      <c r="AI2038" t="s">
        <v>2365</v>
      </c>
      <c r="AJ2038" t="s">
        <v>2365</v>
      </c>
      <c r="AK2038">
        <v>361</v>
      </c>
      <c r="AL2038" t="s">
        <v>1804</v>
      </c>
      <c r="AM2038">
        <v>361</v>
      </c>
      <c r="AN2038" t="s">
        <v>1804</v>
      </c>
      <c r="AR2038" t="s">
        <v>2365</v>
      </c>
      <c r="AS2038" t="s">
        <v>2365</v>
      </c>
      <c r="AT2038" t="s">
        <v>2365</v>
      </c>
      <c r="AU2038" t="s">
        <v>2365</v>
      </c>
      <c r="AV2038" t="s">
        <v>2365</v>
      </c>
      <c r="AW2038" t="s">
        <v>2365</v>
      </c>
      <c r="AX2038" t="s">
        <v>2365</v>
      </c>
      <c r="AY2038" t="s">
        <v>2365</v>
      </c>
      <c r="AZ2038" t="s">
        <v>2365</v>
      </c>
      <c r="BA2038" t="s">
        <v>2365</v>
      </c>
      <c r="BB2038" t="s">
        <v>2365</v>
      </c>
      <c r="BC2038" t="s">
        <v>2365</v>
      </c>
      <c r="BD2038" t="s">
        <v>2366</v>
      </c>
      <c r="BE2038" t="s">
        <v>2365</v>
      </c>
      <c r="BF2038" t="s">
        <v>2365</v>
      </c>
      <c r="BG2038" t="s">
        <v>2365</v>
      </c>
      <c r="BH2038" t="s">
        <v>2365</v>
      </c>
      <c r="BI2038" t="s">
        <v>2366</v>
      </c>
      <c r="BJ2038" t="s">
        <v>2365</v>
      </c>
      <c r="BK2038" t="s">
        <v>2365</v>
      </c>
      <c r="BL2038" t="s">
        <v>2365</v>
      </c>
      <c r="BM2038" t="s">
        <v>2365</v>
      </c>
      <c r="BO2038">
        <v>1</v>
      </c>
      <c r="BP2038">
        <v>11</v>
      </c>
      <c r="BQ2038" t="s">
        <v>2369</v>
      </c>
      <c r="BR2038" t="s">
        <v>1487</v>
      </c>
      <c r="BU2038">
        <v>0</v>
      </c>
      <c r="BV2038">
        <v>0</v>
      </c>
      <c r="BW2038">
        <v>0</v>
      </c>
      <c r="BX2038">
        <v>0</v>
      </c>
      <c r="BY2038">
        <v>0</v>
      </c>
      <c r="BZ2038">
        <v>0</v>
      </c>
      <c r="CA2038">
        <v>0</v>
      </c>
      <c r="CB2038">
        <v>0</v>
      </c>
      <c r="CC2038">
        <v>0</v>
      </c>
      <c r="CD2038">
        <v>0</v>
      </c>
      <c r="CE2038">
        <v>0</v>
      </c>
      <c r="CF2038">
        <v>0</v>
      </c>
      <c r="CG2038">
        <v>0</v>
      </c>
      <c r="CH2038">
        <v>0</v>
      </c>
      <c r="CI2038">
        <v>0</v>
      </c>
      <c r="CJ2038">
        <v>0</v>
      </c>
      <c r="CK2038">
        <v>0</v>
      </c>
      <c r="CL2038">
        <v>0</v>
      </c>
      <c r="CM2038">
        <v>0</v>
      </c>
      <c r="CR2038" t="s">
        <v>2325</v>
      </c>
      <c r="CS2038" s="1369" t="str">
        <f>INDEX([8]Sheet1!$H:$H,MATCH(CR:CR,[8]Sheet1!$AU:$AU,0))</f>
        <v>Asset Management</v>
      </c>
    </row>
    <row r="2039" spans="1:97" x14ac:dyDescent="0.2">
      <c r="A2039" t="s">
        <v>5349</v>
      </c>
      <c r="B2039">
        <v>2137</v>
      </c>
      <c r="C2039" t="s">
        <v>5349</v>
      </c>
      <c r="D2039">
        <v>55137</v>
      </c>
      <c r="E2039" t="s">
        <v>5350</v>
      </c>
      <c r="F2039" t="s">
        <v>2364</v>
      </c>
      <c r="G2039" t="s">
        <v>2364</v>
      </c>
      <c r="H2039" t="s">
        <v>2365</v>
      </c>
      <c r="I2039" t="s">
        <v>2365</v>
      </c>
      <c r="J2039" t="s">
        <v>2365</v>
      </c>
      <c r="K2039" t="s">
        <v>2365</v>
      </c>
      <c r="L2039">
        <v>1200</v>
      </c>
      <c r="M2039" t="s">
        <v>1480</v>
      </c>
      <c r="N2039">
        <v>1204</v>
      </c>
      <c r="O2039" t="s">
        <v>1487</v>
      </c>
      <c r="P2039" t="s">
        <v>2366</v>
      </c>
      <c r="Q2039" t="s">
        <v>2364</v>
      </c>
      <c r="R2039" t="s">
        <v>2364</v>
      </c>
      <c r="S2039" t="s">
        <v>553</v>
      </c>
      <c r="T2039" t="s">
        <v>2367</v>
      </c>
      <c r="U2039">
        <v>330</v>
      </c>
      <c r="V2039" t="s">
        <v>2649</v>
      </c>
      <c r="W2039">
        <v>330</v>
      </c>
      <c r="X2039" t="s">
        <v>709</v>
      </c>
      <c r="Y2039" t="s">
        <v>2365</v>
      </c>
      <c r="Z2039" t="s">
        <v>2365</v>
      </c>
      <c r="AA2039" t="s">
        <v>2365</v>
      </c>
      <c r="AB2039" t="s">
        <v>2365</v>
      </c>
      <c r="AC2039" s="813" t="s">
        <v>2365</v>
      </c>
      <c r="AD2039" s="813" t="s">
        <v>2365</v>
      </c>
      <c r="AE2039" s="813" t="s">
        <v>2365</v>
      </c>
      <c r="AF2039" t="s">
        <v>2365</v>
      </c>
      <c r="AG2039" t="s">
        <v>2365</v>
      </c>
      <c r="AH2039" t="s">
        <v>2365</v>
      </c>
      <c r="AI2039" t="s">
        <v>2365</v>
      </c>
      <c r="AJ2039" t="s">
        <v>2365</v>
      </c>
      <c r="AK2039" t="s">
        <v>2365</v>
      </c>
      <c r="AL2039" t="s">
        <v>2365</v>
      </c>
      <c r="AM2039" t="s">
        <v>2365</v>
      </c>
      <c r="AN2039" t="s">
        <v>2365</v>
      </c>
      <c r="AR2039" t="s">
        <v>2365</v>
      </c>
      <c r="AS2039" t="s">
        <v>2365</v>
      </c>
      <c r="AT2039" t="s">
        <v>2365</v>
      </c>
      <c r="AU2039" t="s">
        <v>2365</v>
      </c>
      <c r="AV2039" t="s">
        <v>2365</v>
      </c>
      <c r="AW2039" t="s">
        <v>2365</v>
      </c>
      <c r="AX2039" t="s">
        <v>2365</v>
      </c>
      <c r="AY2039" t="s">
        <v>2365</v>
      </c>
      <c r="AZ2039" t="s">
        <v>2365</v>
      </c>
      <c r="BA2039" t="s">
        <v>2365</v>
      </c>
      <c r="BB2039" t="s">
        <v>2365</v>
      </c>
      <c r="BC2039" t="s">
        <v>2365</v>
      </c>
      <c r="BD2039" t="s">
        <v>2366</v>
      </c>
      <c r="BE2039" t="s">
        <v>2365</v>
      </c>
      <c r="BF2039" t="s">
        <v>2365</v>
      </c>
      <c r="BG2039" t="s">
        <v>2365</v>
      </c>
      <c r="BH2039" t="s">
        <v>2365</v>
      </c>
      <c r="BI2039" t="s">
        <v>2366</v>
      </c>
      <c r="BJ2039" t="s">
        <v>2365</v>
      </c>
      <c r="BK2039" t="s">
        <v>2365</v>
      </c>
      <c r="BL2039" t="s">
        <v>2365</v>
      </c>
      <c r="BM2039" t="s">
        <v>2365</v>
      </c>
      <c r="BO2039">
        <v>1</v>
      </c>
      <c r="BP2039">
        <v>11</v>
      </c>
      <c r="BQ2039" t="s">
        <v>2369</v>
      </c>
      <c r="BR2039" t="s">
        <v>1487</v>
      </c>
      <c r="BU2039">
        <v>0</v>
      </c>
      <c r="BV2039">
        <v>0</v>
      </c>
      <c r="BW2039">
        <v>0</v>
      </c>
      <c r="BX2039">
        <v>0</v>
      </c>
      <c r="BY2039">
        <v>0</v>
      </c>
      <c r="BZ2039">
        <v>0</v>
      </c>
      <c r="CA2039">
        <v>0</v>
      </c>
      <c r="CB2039">
        <v>0</v>
      </c>
      <c r="CC2039">
        <v>0</v>
      </c>
      <c r="CD2039">
        <v>0</v>
      </c>
      <c r="CE2039">
        <v>0</v>
      </c>
      <c r="CF2039">
        <v>0</v>
      </c>
      <c r="CG2039">
        <v>0</v>
      </c>
      <c r="CH2039">
        <v>0</v>
      </c>
      <c r="CI2039">
        <v>0</v>
      </c>
      <c r="CJ2039">
        <v>0</v>
      </c>
      <c r="CK2039">
        <v>0</v>
      </c>
      <c r="CL2039">
        <v>0</v>
      </c>
      <c r="CM2039">
        <v>0</v>
      </c>
      <c r="CR2039" t="s">
        <v>2324</v>
      </c>
      <c r="CS2039" s="1369" t="str">
        <f>INDEX([8]Sheet1!$H:$H,MATCH(CR:CR,[8]Sheet1!$AU:$AU,0))</f>
        <v>Finance</v>
      </c>
    </row>
    <row r="2040" spans="1:97" x14ac:dyDescent="0.2">
      <c r="A2040" t="s">
        <v>5351</v>
      </c>
      <c r="B2040">
        <v>2138</v>
      </c>
      <c r="C2040" t="s">
        <v>5351</v>
      </c>
      <c r="D2040">
        <v>55138</v>
      </c>
      <c r="E2040" t="s">
        <v>5352</v>
      </c>
      <c r="F2040" t="s">
        <v>2364</v>
      </c>
      <c r="G2040" t="s">
        <v>2364</v>
      </c>
      <c r="H2040" t="s">
        <v>2365</v>
      </c>
      <c r="I2040" t="s">
        <v>2365</v>
      </c>
      <c r="J2040" t="s">
        <v>2365</v>
      </c>
      <c r="K2040" t="s">
        <v>2365</v>
      </c>
      <c r="L2040">
        <v>1200</v>
      </c>
      <c r="M2040" t="s">
        <v>1480</v>
      </c>
      <c r="N2040">
        <v>1204</v>
      </c>
      <c r="O2040" t="s">
        <v>1487</v>
      </c>
      <c r="P2040" t="s">
        <v>2366</v>
      </c>
      <c r="Q2040" t="s">
        <v>2364</v>
      </c>
      <c r="R2040" t="s">
        <v>2364</v>
      </c>
      <c r="S2040" t="s">
        <v>553</v>
      </c>
      <c r="T2040" t="s">
        <v>2367</v>
      </c>
      <c r="U2040">
        <v>350</v>
      </c>
      <c r="V2040" t="s">
        <v>3778</v>
      </c>
      <c r="W2040">
        <v>350</v>
      </c>
      <c r="X2040" t="s">
        <v>710</v>
      </c>
      <c r="Y2040" t="s">
        <v>2365</v>
      </c>
      <c r="Z2040" t="s">
        <v>2365</v>
      </c>
      <c r="AA2040" t="s">
        <v>2365</v>
      </c>
      <c r="AB2040" t="s">
        <v>2365</v>
      </c>
      <c r="AC2040" s="813" t="s">
        <v>2365</v>
      </c>
      <c r="AD2040" s="813" t="s">
        <v>2365</v>
      </c>
      <c r="AE2040" s="813" t="s">
        <v>2365</v>
      </c>
      <c r="AF2040" t="s">
        <v>2365</v>
      </c>
      <c r="AG2040" t="s">
        <v>2365</v>
      </c>
      <c r="AH2040" t="s">
        <v>2365</v>
      </c>
      <c r="AI2040" t="s">
        <v>2365</v>
      </c>
      <c r="AJ2040" t="s">
        <v>2365</v>
      </c>
      <c r="AK2040" s="1373" t="s">
        <v>2365</v>
      </c>
      <c r="AL2040" t="s">
        <v>2365</v>
      </c>
      <c r="AM2040" t="s">
        <v>2365</v>
      </c>
      <c r="AN2040" t="s">
        <v>2365</v>
      </c>
      <c r="AR2040" t="s">
        <v>2365</v>
      </c>
      <c r="AS2040" t="s">
        <v>2365</v>
      </c>
      <c r="AT2040" t="s">
        <v>2365</v>
      </c>
      <c r="AU2040" t="s">
        <v>2365</v>
      </c>
      <c r="AV2040" t="s">
        <v>2365</v>
      </c>
      <c r="AW2040" t="s">
        <v>2365</v>
      </c>
      <c r="AX2040" t="s">
        <v>2365</v>
      </c>
      <c r="AY2040" t="s">
        <v>2365</v>
      </c>
      <c r="AZ2040" t="s">
        <v>2365</v>
      </c>
      <c r="BA2040" t="s">
        <v>2365</v>
      </c>
      <c r="BB2040" t="s">
        <v>2365</v>
      </c>
      <c r="BC2040" t="s">
        <v>2365</v>
      </c>
      <c r="BD2040" t="s">
        <v>2366</v>
      </c>
      <c r="BE2040" t="s">
        <v>2365</v>
      </c>
      <c r="BF2040" t="s">
        <v>2365</v>
      </c>
      <c r="BG2040" t="s">
        <v>2365</v>
      </c>
      <c r="BH2040" t="s">
        <v>2365</v>
      </c>
      <c r="BI2040" t="s">
        <v>2366</v>
      </c>
      <c r="BJ2040" t="s">
        <v>2365</v>
      </c>
      <c r="BK2040" t="s">
        <v>2365</v>
      </c>
      <c r="BL2040" t="s">
        <v>2365</v>
      </c>
      <c r="BM2040" t="s">
        <v>2365</v>
      </c>
      <c r="BO2040">
        <v>1</v>
      </c>
      <c r="BP2040">
        <v>11</v>
      </c>
      <c r="BQ2040" t="s">
        <v>2369</v>
      </c>
      <c r="BR2040" t="s">
        <v>1487</v>
      </c>
      <c r="BU2040">
        <v>0</v>
      </c>
      <c r="BV2040">
        <v>0</v>
      </c>
      <c r="BW2040">
        <v>0</v>
      </c>
      <c r="BX2040">
        <v>0</v>
      </c>
      <c r="BY2040">
        <v>0</v>
      </c>
      <c r="BZ2040">
        <v>0</v>
      </c>
      <c r="CA2040">
        <v>0</v>
      </c>
      <c r="CB2040">
        <v>0</v>
      </c>
      <c r="CC2040">
        <v>0</v>
      </c>
      <c r="CD2040">
        <v>0</v>
      </c>
      <c r="CE2040">
        <v>0</v>
      </c>
      <c r="CF2040">
        <v>0</v>
      </c>
      <c r="CG2040">
        <v>0</v>
      </c>
      <c r="CH2040">
        <v>0</v>
      </c>
      <c r="CI2040">
        <v>0</v>
      </c>
      <c r="CJ2040">
        <v>0</v>
      </c>
      <c r="CK2040">
        <v>0</v>
      </c>
      <c r="CL2040">
        <v>0</v>
      </c>
      <c r="CM2040">
        <v>0</v>
      </c>
      <c r="CR2040" t="s">
        <v>2335</v>
      </c>
      <c r="CS2040" s="1369" t="str">
        <f>INDEX([8]Sheet1!$H:$H,MATCH(CR:CR,[8]Sheet1!$AU:$AU,0))</f>
        <v>Economic Development/Planning</v>
      </c>
    </row>
    <row r="2041" spans="1:97" x14ac:dyDescent="0.2">
      <c r="A2041" t="s">
        <v>5353</v>
      </c>
      <c r="B2041">
        <v>2139</v>
      </c>
      <c r="C2041" t="s">
        <v>5353</v>
      </c>
      <c r="D2041">
        <v>55139</v>
      </c>
      <c r="E2041" t="s">
        <v>5354</v>
      </c>
      <c r="F2041" t="s">
        <v>2364</v>
      </c>
      <c r="G2041" t="s">
        <v>2364</v>
      </c>
      <c r="H2041" t="s">
        <v>2365</v>
      </c>
      <c r="I2041" t="s">
        <v>2365</v>
      </c>
      <c r="J2041" t="s">
        <v>2365</v>
      </c>
      <c r="K2041" t="s">
        <v>2365</v>
      </c>
      <c r="L2041">
        <v>1200</v>
      </c>
      <c r="M2041" t="s">
        <v>1480</v>
      </c>
      <c r="N2041">
        <v>1204</v>
      </c>
      <c r="O2041" t="s">
        <v>1487</v>
      </c>
      <c r="P2041" t="s">
        <v>2366</v>
      </c>
      <c r="Q2041" t="s">
        <v>2364</v>
      </c>
      <c r="R2041" t="s">
        <v>2364</v>
      </c>
      <c r="S2041" t="s">
        <v>553</v>
      </c>
      <c r="T2041" t="s">
        <v>2367</v>
      </c>
      <c r="U2041">
        <v>360</v>
      </c>
      <c r="V2041" t="s">
        <v>2368</v>
      </c>
      <c r="W2041">
        <v>360</v>
      </c>
      <c r="X2041" t="s">
        <v>711</v>
      </c>
      <c r="Y2041" t="s">
        <v>2365</v>
      </c>
      <c r="Z2041" t="s">
        <v>2365</v>
      </c>
      <c r="AA2041" t="s">
        <v>2365</v>
      </c>
      <c r="AB2041" t="s">
        <v>2365</v>
      </c>
      <c r="AC2041" s="813" t="s">
        <v>2365</v>
      </c>
      <c r="AD2041" s="813" t="s">
        <v>2365</v>
      </c>
      <c r="AE2041" s="813" t="s">
        <v>2365</v>
      </c>
      <c r="AF2041" t="s">
        <v>2365</v>
      </c>
      <c r="AG2041" t="s">
        <v>2365</v>
      </c>
      <c r="AH2041" t="s">
        <v>2365</v>
      </c>
      <c r="AI2041" t="s">
        <v>2365</v>
      </c>
      <c r="AJ2041" t="s">
        <v>2365</v>
      </c>
      <c r="AK2041">
        <v>361</v>
      </c>
      <c r="AL2041" t="s">
        <v>1804</v>
      </c>
      <c r="AM2041">
        <v>361</v>
      </c>
      <c r="AN2041" t="s">
        <v>1804</v>
      </c>
      <c r="AR2041" t="s">
        <v>2365</v>
      </c>
      <c r="AS2041" t="s">
        <v>2365</v>
      </c>
      <c r="AT2041" t="s">
        <v>2365</v>
      </c>
      <c r="AU2041" t="s">
        <v>2365</v>
      </c>
      <c r="AV2041" t="s">
        <v>2365</v>
      </c>
      <c r="AW2041" t="s">
        <v>2365</v>
      </c>
      <c r="AX2041" t="s">
        <v>2365</v>
      </c>
      <c r="AY2041" t="s">
        <v>2365</v>
      </c>
      <c r="AZ2041" t="s">
        <v>2365</v>
      </c>
      <c r="BA2041" t="s">
        <v>2365</v>
      </c>
      <c r="BB2041" t="s">
        <v>2365</v>
      </c>
      <c r="BC2041" t="s">
        <v>2365</v>
      </c>
      <c r="BD2041" t="s">
        <v>2366</v>
      </c>
      <c r="BE2041" t="s">
        <v>2365</v>
      </c>
      <c r="BF2041" t="s">
        <v>2365</v>
      </c>
      <c r="BG2041" t="s">
        <v>2365</v>
      </c>
      <c r="BH2041" t="s">
        <v>2365</v>
      </c>
      <c r="BI2041" t="s">
        <v>2366</v>
      </c>
      <c r="BJ2041" t="s">
        <v>2365</v>
      </c>
      <c r="BK2041" t="s">
        <v>2365</v>
      </c>
      <c r="BL2041" t="s">
        <v>2365</v>
      </c>
      <c r="BM2041" t="s">
        <v>2365</v>
      </c>
      <c r="BO2041">
        <v>1</v>
      </c>
      <c r="BP2041">
        <v>11</v>
      </c>
      <c r="BQ2041" t="s">
        <v>2369</v>
      </c>
      <c r="BR2041" t="s">
        <v>1487</v>
      </c>
      <c r="BU2041">
        <v>0</v>
      </c>
      <c r="BV2041">
        <v>0</v>
      </c>
      <c r="BW2041">
        <v>0</v>
      </c>
      <c r="BX2041">
        <v>0</v>
      </c>
      <c r="BY2041">
        <v>0</v>
      </c>
      <c r="BZ2041">
        <v>0</v>
      </c>
      <c r="CA2041">
        <v>0</v>
      </c>
      <c r="CB2041">
        <v>0</v>
      </c>
      <c r="CC2041">
        <v>0</v>
      </c>
      <c r="CD2041">
        <v>0</v>
      </c>
      <c r="CE2041">
        <v>0</v>
      </c>
      <c r="CF2041">
        <v>0</v>
      </c>
      <c r="CG2041">
        <v>0</v>
      </c>
      <c r="CH2041">
        <v>0</v>
      </c>
      <c r="CI2041">
        <v>0</v>
      </c>
      <c r="CJ2041">
        <v>0</v>
      </c>
      <c r="CK2041">
        <v>0</v>
      </c>
      <c r="CL2041">
        <v>0</v>
      </c>
      <c r="CM2041">
        <v>0</v>
      </c>
      <c r="CR2041" t="s">
        <v>2335</v>
      </c>
      <c r="CS2041" s="1369" t="str">
        <f>INDEX([8]Sheet1!$H:$H,MATCH(CR:CR,[8]Sheet1!$AU:$AU,0))</f>
        <v>Economic Development/Planning</v>
      </c>
    </row>
    <row r="2042" spans="1:97" x14ac:dyDescent="0.2">
      <c r="A2042" t="s">
        <v>5355</v>
      </c>
      <c r="B2042">
        <v>2140</v>
      </c>
      <c r="C2042" t="s">
        <v>5355</v>
      </c>
      <c r="D2042">
        <v>55140</v>
      </c>
      <c r="E2042" t="s">
        <v>5350</v>
      </c>
      <c r="F2042" t="s">
        <v>2364</v>
      </c>
      <c r="G2042" t="s">
        <v>2364</v>
      </c>
      <c r="H2042" t="s">
        <v>2365</v>
      </c>
      <c r="I2042" t="s">
        <v>2365</v>
      </c>
      <c r="J2042" t="s">
        <v>2365</v>
      </c>
      <c r="K2042" t="s">
        <v>2365</v>
      </c>
      <c r="L2042">
        <v>1200</v>
      </c>
      <c r="M2042" t="s">
        <v>1480</v>
      </c>
      <c r="N2042">
        <v>1204</v>
      </c>
      <c r="O2042" t="s">
        <v>1487</v>
      </c>
      <c r="P2042" t="s">
        <v>2366</v>
      </c>
      <c r="Q2042" t="s">
        <v>2364</v>
      </c>
      <c r="R2042" t="s">
        <v>2364</v>
      </c>
      <c r="S2042" t="s">
        <v>553</v>
      </c>
      <c r="T2042" t="s">
        <v>2367</v>
      </c>
      <c r="U2042">
        <v>330</v>
      </c>
      <c r="V2042" t="s">
        <v>2649</v>
      </c>
      <c r="W2042">
        <v>330</v>
      </c>
      <c r="X2042" t="s">
        <v>709</v>
      </c>
      <c r="Y2042" t="s">
        <v>2365</v>
      </c>
      <c r="Z2042" t="s">
        <v>2365</v>
      </c>
      <c r="AA2042" t="s">
        <v>2365</v>
      </c>
      <c r="AB2042" t="s">
        <v>2365</v>
      </c>
      <c r="AC2042" s="813" t="s">
        <v>2365</v>
      </c>
      <c r="AD2042" s="813" t="s">
        <v>2365</v>
      </c>
      <c r="AE2042" s="813" t="s">
        <v>2365</v>
      </c>
      <c r="AF2042" t="s">
        <v>2365</v>
      </c>
      <c r="AG2042" t="s">
        <v>2365</v>
      </c>
      <c r="AH2042" t="s">
        <v>2365</v>
      </c>
      <c r="AI2042" t="s">
        <v>2365</v>
      </c>
      <c r="AJ2042" t="s">
        <v>2365</v>
      </c>
      <c r="AK2042" t="s">
        <v>2365</v>
      </c>
      <c r="AL2042" t="s">
        <v>2365</v>
      </c>
      <c r="AM2042" t="s">
        <v>2365</v>
      </c>
      <c r="AN2042" t="s">
        <v>2365</v>
      </c>
      <c r="AR2042" t="s">
        <v>2365</v>
      </c>
      <c r="AS2042" t="s">
        <v>2365</v>
      </c>
      <c r="AT2042" t="s">
        <v>2365</v>
      </c>
      <c r="AU2042" t="s">
        <v>2365</v>
      </c>
      <c r="AV2042" t="s">
        <v>2365</v>
      </c>
      <c r="AW2042" t="s">
        <v>2365</v>
      </c>
      <c r="AX2042" t="s">
        <v>2365</v>
      </c>
      <c r="AY2042" t="s">
        <v>2365</v>
      </c>
      <c r="AZ2042" t="s">
        <v>2365</v>
      </c>
      <c r="BA2042" t="s">
        <v>2365</v>
      </c>
      <c r="BB2042" t="s">
        <v>2365</v>
      </c>
      <c r="BC2042" t="s">
        <v>2365</v>
      </c>
      <c r="BD2042" t="s">
        <v>2366</v>
      </c>
      <c r="BE2042" t="s">
        <v>2365</v>
      </c>
      <c r="BF2042" t="s">
        <v>2365</v>
      </c>
      <c r="BG2042" t="s">
        <v>2365</v>
      </c>
      <c r="BH2042" t="s">
        <v>2365</v>
      </c>
      <c r="BI2042" t="s">
        <v>2366</v>
      </c>
      <c r="BJ2042" t="s">
        <v>2365</v>
      </c>
      <c r="BK2042" t="s">
        <v>2365</v>
      </c>
      <c r="BL2042" t="s">
        <v>2365</v>
      </c>
      <c r="BM2042" t="s">
        <v>2365</v>
      </c>
      <c r="BO2042">
        <v>1</v>
      </c>
      <c r="BP2042">
        <v>11</v>
      </c>
      <c r="BQ2042" t="s">
        <v>2369</v>
      </c>
      <c r="BR2042" t="s">
        <v>1487</v>
      </c>
      <c r="BU2042">
        <v>0</v>
      </c>
      <c r="BV2042">
        <v>0</v>
      </c>
      <c r="BW2042">
        <v>0</v>
      </c>
      <c r="BX2042">
        <v>0</v>
      </c>
      <c r="BY2042">
        <v>0</v>
      </c>
      <c r="BZ2042">
        <v>0</v>
      </c>
      <c r="CA2042">
        <v>0</v>
      </c>
      <c r="CB2042">
        <v>0</v>
      </c>
      <c r="CC2042">
        <v>0</v>
      </c>
      <c r="CD2042">
        <v>0</v>
      </c>
      <c r="CE2042">
        <v>0</v>
      </c>
      <c r="CF2042">
        <v>0</v>
      </c>
      <c r="CG2042">
        <v>0</v>
      </c>
      <c r="CH2042">
        <v>0</v>
      </c>
      <c r="CI2042">
        <v>0</v>
      </c>
      <c r="CJ2042">
        <v>0</v>
      </c>
      <c r="CK2042">
        <v>0</v>
      </c>
      <c r="CL2042">
        <v>0</v>
      </c>
      <c r="CM2042">
        <v>0</v>
      </c>
      <c r="CR2042" t="s">
        <v>2335</v>
      </c>
      <c r="CS2042" s="1369" t="str">
        <f>INDEX([8]Sheet1!$H:$H,MATCH(CR:CR,[8]Sheet1!$AU:$AU,0))</f>
        <v>Economic Development/Planning</v>
      </c>
    </row>
    <row r="2043" spans="1:97" x14ac:dyDescent="0.2">
      <c r="A2043" t="s">
        <v>5356</v>
      </c>
      <c r="B2043">
        <v>2141</v>
      </c>
      <c r="C2043" t="s">
        <v>5356</v>
      </c>
      <c r="D2043">
        <v>55141</v>
      </c>
      <c r="E2043" t="s">
        <v>5357</v>
      </c>
      <c r="F2043" t="s">
        <v>2364</v>
      </c>
      <c r="G2043" t="s">
        <v>2364</v>
      </c>
      <c r="H2043" t="s">
        <v>2365</v>
      </c>
      <c r="I2043" t="s">
        <v>2365</v>
      </c>
      <c r="J2043" t="s">
        <v>2365</v>
      </c>
      <c r="K2043" t="s">
        <v>2365</v>
      </c>
      <c r="L2043">
        <v>1200</v>
      </c>
      <c r="M2043" t="s">
        <v>1480</v>
      </c>
      <c r="N2043">
        <v>1204</v>
      </c>
      <c r="O2043" t="s">
        <v>1487</v>
      </c>
      <c r="P2043" t="s">
        <v>2366</v>
      </c>
      <c r="Q2043" t="s">
        <v>2364</v>
      </c>
      <c r="R2043" t="s">
        <v>2364</v>
      </c>
      <c r="S2043" t="s">
        <v>553</v>
      </c>
      <c r="T2043" t="s">
        <v>2367</v>
      </c>
      <c r="U2043">
        <v>360</v>
      </c>
      <c r="V2043" t="s">
        <v>2368</v>
      </c>
      <c r="W2043">
        <v>360</v>
      </c>
      <c r="X2043" t="s">
        <v>711</v>
      </c>
      <c r="Y2043" t="s">
        <v>2365</v>
      </c>
      <c r="Z2043" t="s">
        <v>2365</v>
      </c>
      <c r="AA2043" t="s">
        <v>2365</v>
      </c>
      <c r="AB2043" t="s">
        <v>2365</v>
      </c>
      <c r="AC2043" s="813" t="s">
        <v>2365</v>
      </c>
      <c r="AD2043" s="813" t="s">
        <v>2365</v>
      </c>
      <c r="AE2043" s="813" t="s">
        <v>2365</v>
      </c>
      <c r="AF2043" t="s">
        <v>2365</v>
      </c>
      <c r="AG2043" t="s">
        <v>2365</v>
      </c>
      <c r="AH2043" t="s">
        <v>2365</v>
      </c>
      <c r="AI2043" t="s">
        <v>2365</v>
      </c>
      <c r="AJ2043" t="s">
        <v>2365</v>
      </c>
      <c r="AK2043" s="1373">
        <v>363</v>
      </c>
      <c r="AL2043" t="s">
        <v>748</v>
      </c>
      <c r="AM2043">
        <v>363</v>
      </c>
      <c r="AN2043" t="s">
        <v>748</v>
      </c>
      <c r="AR2043" t="s">
        <v>2365</v>
      </c>
      <c r="AS2043" t="s">
        <v>2365</v>
      </c>
      <c r="AT2043" t="s">
        <v>2365</v>
      </c>
      <c r="AU2043" t="s">
        <v>2365</v>
      </c>
      <c r="AV2043" t="s">
        <v>2365</v>
      </c>
      <c r="AW2043" t="s">
        <v>2365</v>
      </c>
      <c r="AX2043" t="s">
        <v>2365</v>
      </c>
      <c r="AY2043" t="s">
        <v>2365</v>
      </c>
      <c r="AZ2043" t="s">
        <v>2365</v>
      </c>
      <c r="BA2043" t="s">
        <v>2365</v>
      </c>
      <c r="BB2043" t="s">
        <v>2365</v>
      </c>
      <c r="BC2043" t="s">
        <v>2365</v>
      </c>
      <c r="BD2043" t="s">
        <v>2366</v>
      </c>
      <c r="BE2043" t="s">
        <v>2365</v>
      </c>
      <c r="BF2043" t="s">
        <v>2365</v>
      </c>
      <c r="BG2043" t="s">
        <v>2365</v>
      </c>
      <c r="BH2043" t="s">
        <v>2365</v>
      </c>
      <c r="BI2043" t="s">
        <v>2366</v>
      </c>
      <c r="BJ2043" t="s">
        <v>2365</v>
      </c>
      <c r="BK2043" t="s">
        <v>2365</v>
      </c>
      <c r="BL2043" t="s">
        <v>2365</v>
      </c>
      <c r="BM2043" t="s">
        <v>2365</v>
      </c>
      <c r="BO2043">
        <v>1</v>
      </c>
      <c r="BP2043">
        <v>11</v>
      </c>
      <c r="BQ2043" t="s">
        <v>2369</v>
      </c>
      <c r="BR2043" t="s">
        <v>1487</v>
      </c>
      <c r="BU2043">
        <v>0</v>
      </c>
      <c r="BV2043">
        <v>0</v>
      </c>
      <c r="BW2043">
        <v>0</v>
      </c>
      <c r="BX2043">
        <v>0</v>
      </c>
      <c r="BY2043">
        <v>0</v>
      </c>
      <c r="BZ2043">
        <v>0</v>
      </c>
      <c r="CA2043">
        <v>0</v>
      </c>
      <c r="CB2043">
        <v>0</v>
      </c>
      <c r="CC2043">
        <v>0</v>
      </c>
      <c r="CD2043">
        <v>0</v>
      </c>
      <c r="CE2043">
        <v>0</v>
      </c>
      <c r="CF2043">
        <v>0</v>
      </c>
      <c r="CG2043">
        <v>0</v>
      </c>
      <c r="CH2043">
        <v>0</v>
      </c>
      <c r="CI2043">
        <v>0</v>
      </c>
      <c r="CJ2043">
        <v>0</v>
      </c>
      <c r="CK2043">
        <v>0</v>
      </c>
      <c r="CL2043">
        <v>0</v>
      </c>
      <c r="CM2043">
        <v>0</v>
      </c>
      <c r="CR2043" t="s">
        <v>2335</v>
      </c>
      <c r="CS2043" s="1369" t="str">
        <f>INDEX([8]Sheet1!$H:$H,MATCH(CR:CR,[8]Sheet1!$AU:$AU,0))</f>
        <v>Economic Development/Planning</v>
      </c>
    </row>
    <row r="2044" spans="1:97" x14ac:dyDescent="0.2">
      <c r="A2044" t="s">
        <v>5358</v>
      </c>
      <c r="B2044">
        <v>2142</v>
      </c>
      <c r="C2044" t="s">
        <v>5358</v>
      </c>
      <c r="D2044">
        <v>55142</v>
      </c>
      <c r="E2044" t="s">
        <v>5359</v>
      </c>
      <c r="F2044" t="s">
        <v>2364</v>
      </c>
      <c r="G2044" t="s">
        <v>2364</v>
      </c>
      <c r="H2044" t="s">
        <v>2365</v>
      </c>
      <c r="I2044" t="s">
        <v>2365</v>
      </c>
      <c r="J2044" t="s">
        <v>2365</v>
      </c>
      <c r="K2044" t="s">
        <v>2365</v>
      </c>
      <c r="L2044">
        <v>1200</v>
      </c>
      <c r="M2044" t="s">
        <v>1480</v>
      </c>
      <c r="N2044">
        <v>1204</v>
      </c>
      <c r="O2044" t="s">
        <v>1487</v>
      </c>
      <c r="P2044" t="s">
        <v>2366</v>
      </c>
      <c r="Q2044" t="s">
        <v>2364</v>
      </c>
      <c r="R2044" t="s">
        <v>2364</v>
      </c>
      <c r="S2044" t="s">
        <v>553</v>
      </c>
      <c r="T2044" t="s">
        <v>2367</v>
      </c>
      <c r="U2044">
        <v>360</v>
      </c>
      <c r="V2044" t="s">
        <v>2368</v>
      </c>
      <c r="W2044">
        <v>360</v>
      </c>
      <c r="X2044" t="s">
        <v>711</v>
      </c>
      <c r="Y2044" t="s">
        <v>2365</v>
      </c>
      <c r="Z2044" t="s">
        <v>2365</v>
      </c>
      <c r="AA2044" t="s">
        <v>2365</v>
      </c>
      <c r="AB2044" t="s">
        <v>2365</v>
      </c>
      <c r="AC2044" s="813" t="s">
        <v>2365</v>
      </c>
      <c r="AD2044" s="813" t="s">
        <v>2365</v>
      </c>
      <c r="AE2044" s="813" t="s">
        <v>2365</v>
      </c>
      <c r="AF2044" t="s">
        <v>2365</v>
      </c>
      <c r="AG2044" t="s">
        <v>2365</v>
      </c>
      <c r="AH2044" t="s">
        <v>2365</v>
      </c>
      <c r="AI2044" t="s">
        <v>2365</v>
      </c>
      <c r="AJ2044" t="s">
        <v>2365</v>
      </c>
      <c r="AK2044">
        <v>363</v>
      </c>
      <c r="AL2044" t="s">
        <v>748</v>
      </c>
      <c r="AM2044">
        <v>363</v>
      </c>
      <c r="AN2044" t="s">
        <v>748</v>
      </c>
      <c r="AR2044" t="s">
        <v>2365</v>
      </c>
      <c r="AS2044" t="s">
        <v>2365</v>
      </c>
      <c r="AT2044" t="s">
        <v>2365</v>
      </c>
      <c r="AU2044" t="s">
        <v>2365</v>
      </c>
      <c r="AV2044" t="s">
        <v>2365</v>
      </c>
      <c r="AW2044" t="s">
        <v>2365</v>
      </c>
      <c r="AX2044" t="s">
        <v>2365</v>
      </c>
      <c r="AY2044" t="s">
        <v>2365</v>
      </c>
      <c r="AZ2044" t="s">
        <v>2365</v>
      </c>
      <c r="BA2044" t="s">
        <v>2365</v>
      </c>
      <c r="BB2044" t="s">
        <v>2365</v>
      </c>
      <c r="BC2044" t="s">
        <v>2365</v>
      </c>
      <c r="BD2044" t="s">
        <v>2366</v>
      </c>
      <c r="BE2044" t="s">
        <v>2365</v>
      </c>
      <c r="BF2044" t="s">
        <v>2365</v>
      </c>
      <c r="BG2044" t="s">
        <v>2365</v>
      </c>
      <c r="BH2044" t="s">
        <v>2365</v>
      </c>
      <c r="BI2044" t="s">
        <v>2366</v>
      </c>
      <c r="BJ2044" t="s">
        <v>2365</v>
      </c>
      <c r="BK2044" t="s">
        <v>2365</v>
      </c>
      <c r="BL2044" t="s">
        <v>2365</v>
      </c>
      <c r="BM2044" t="s">
        <v>2365</v>
      </c>
      <c r="BO2044">
        <v>1</v>
      </c>
      <c r="BP2044">
        <v>11</v>
      </c>
      <c r="BQ2044" t="s">
        <v>2369</v>
      </c>
      <c r="BR2044" t="s">
        <v>1487</v>
      </c>
      <c r="BU2044">
        <v>0</v>
      </c>
      <c r="BV2044">
        <v>0</v>
      </c>
      <c r="BW2044">
        <v>0</v>
      </c>
      <c r="BX2044">
        <v>0</v>
      </c>
      <c r="BY2044">
        <v>0</v>
      </c>
      <c r="BZ2044">
        <v>0</v>
      </c>
      <c r="CA2044">
        <v>0</v>
      </c>
      <c r="CB2044">
        <v>0</v>
      </c>
      <c r="CC2044">
        <v>0</v>
      </c>
      <c r="CD2044">
        <v>0</v>
      </c>
      <c r="CE2044">
        <v>0</v>
      </c>
      <c r="CF2044">
        <v>0</v>
      </c>
      <c r="CG2044">
        <v>0</v>
      </c>
      <c r="CH2044">
        <v>0</v>
      </c>
      <c r="CI2044">
        <v>0</v>
      </c>
      <c r="CJ2044">
        <v>0</v>
      </c>
      <c r="CK2044">
        <v>0</v>
      </c>
      <c r="CL2044">
        <v>0</v>
      </c>
      <c r="CM2044">
        <v>0</v>
      </c>
      <c r="CR2044" t="s">
        <v>2335</v>
      </c>
      <c r="CS2044" s="1369" t="str">
        <f>INDEX([8]Sheet1!$H:$H,MATCH(CR:CR,[8]Sheet1!$AU:$AU,0))</f>
        <v>Economic Development/Planning</v>
      </c>
    </row>
    <row r="2045" spans="1:97" x14ac:dyDescent="0.2">
      <c r="A2045" t="s">
        <v>5360</v>
      </c>
      <c r="B2045">
        <v>2143</v>
      </c>
      <c r="C2045" t="s">
        <v>5360</v>
      </c>
      <c r="D2045">
        <v>55143</v>
      </c>
      <c r="E2045" t="s">
        <v>5361</v>
      </c>
      <c r="F2045" t="s">
        <v>2364</v>
      </c>
      <c r="G2045" t="s">
        <v>2364</v>
      </c>
      <c r="H2045" t="s">
        <v>2365</v>
      </c>
      <c r="I2045" t="s">
        <v>2365</v>
      </c>
      <c r="J2045" t="s">
        <v>2365</v>
      </c>
      <c r="K2045" t="s">
        <v>2365</v>
      </c>
      <c r="L2045">
        <v>1200</v>
      </c>
      <c r="M2045" t="s">
        <v>1480</v>
      </c>
      <c r="N2045">
        <v>1204</v>
      </c>
      <c r="O2045" t="s">
        <v>1487</v>
      </c>
      <c r="P2045" t="s">
        <v>2366</v>
      </c>
      <c r="Q2045" t="s">
        <v>2364</v>
      </c>
      <c r="R2045" t="s">
        <v>2364</v>
      </c>
      <c r="S2045" t="s">
        <v>553</v>
      </c>
      <c r="T2045" t="s">
        <v>2367</v>
      </c>
      <c r="U2045">
        <v>360</v>
      </c>
      <c r="V2045" t="s">
        <v>2368</v>
      </c>
      <c r="W2045">
        <v>360</v>
      </c>
      <c r="X2045" t="s">
        <v>711</v>
      </c>
      <c r="Y2045" t="s">
        <v>2365</v>
      </c>
      <c r="Z2045" t="s">
        <v>2365</v>
      </c>
      <c r="AA2045" t="s">
        <v>2365</v>
      </c>
      <c r="AB2045" t="s">
        <v>2365</v>
      </c>
      <c r="AC2045" s="813" t="s">
        <v>2365</v>
      </c>
      <c r="AD2045" s="813" t="s">
        <v>2365</v>
      </c>
      <c r="AE2045" s="813" t="s">
        <v>2365</v>
      </c>
      <c r="AF2045" t="s">
        <v>2365</v>
      </c>
      <c r="AG2045" t="s">
        <v>2365</v>
      </c>
      <c r="AH2045" t="s">
        <v>2365</v>
      </c>
      <c r="AI2045" t="s">
        <v>2365</v>
      </c>
      <c r="AJ2045" t="s">
        <v>2365</v>
      </c>
      <c r="AK2045" s="1373">
        <v>363</v>
      </c>
      <c r="AL2045" t="s">
        <v>748</v>
      </c>
      <c r="AM2045">
        <v>363</v>
      </c>
      <c r="AN2045" t="s">
        <v>748</v>
      </c>
      <c r="AR2045" t="s">
        <v>2365</v>
      </c>
      <c r="AS2045" t="s">
        <v>2365</v>
      </c>
      <c r="AT2045" t="s">
        <v>2365</v>
      </c>
      <c r="AU2045" t="s">
        <v>2365</v>
      </c>
      <c r="AV2045" t="s">
        <v>2365</v>
      </c>
      <c r="AW2045" t="s">
        <v>2365</v>
      </c>
      <c r="AX2045" t="s">
        <v>2365</v>
      </c>
      <c r="AY2045" t="s">
        <v>2365</v>
      </c>
      <c r="AZ2045" t="s">
        <v>2365</v>
      </c>
      <c r="BA2045" t="s">
        <v>2365</v>
      </c>
      <c r="BB2045" t="s">
        <v>2365</v>
      </c>
      <c r="BC2045" t="s">
        <v>2365</v>
      </c>
      <c r="BD2045" t="s">
        <v>2366</v>
      </c>
      <c r="BE2045" t="s">
        <v>2365</v>
      </c>
      <c r="BF2045" t="s">
        <v>2365</v>
      </c>
      <c r="BG2045" t="s">
        <v>2365</v>
      </c>
      <c r="BH2045" t="s">
        <v>2365</v>
      </c>
      <c r="BI2045" t="s">
        <v>2366</v>
      </c>
      <c r="BJ2045" t="s">
        <v>2365</v>
      </c>
      <c r="BK2045" t="s">
        <v>2365</v>
      </c>
      <c r="BL2045" t="s">
        <v>2365</v>
      </c>
      <c r="BM2045" t="s">
        <v>2365</v>
      </c>
      <c r="BO2045">
        <v>1</v>
      </c>
      <c r="BP2045">
        <v>11</v>
      </c>
      <c r="BQ2045" t="s">
        <v>2369</v>
      </c>
      <c r="BR2045" t="s">
        <v>1487</v>
      </c>
      <c r="BU2045">
        <v>0</v>
      </c>
      <c r="BV2045">
        <v>0</v>
      </c>
      <c r="BW2045">
        <v>0</v>
      </c>
      <c r="BX2045">
        <v>0</v>
      </c>
      <c r="BY2045">
        <v>0</v>
      </c>
      <c r="BZ2045">
        <v>0</v>
      </c>
      <c r="CA2045">
        <v>0</v>
      </c>
      <c r="CB2045">
        <v>0</v>
      </c>
      <c r="CC2045">
        <v>0</v>
      </c>
      <c r="CD2045">
        <v>0</v>
      </c>
      <c r="CE2045">
        <v>0</v>
      </c>
      <c r="CF2045">
        <v>0</v>
      </c>
      <c r="CG2045">
        <v>0</v>
      </c>
      <c r="CH2045">
        <v>0</v>
      </c>
      <c r="CI2045">
        <v>0</v>
      </c>
      <c r="CJ2045">
        <v>0</v>
      </c>
      <c r="CK2045">
        <v>0</v>
      </c>
      <c r="CL2045">
        <v>0</v>
      </c>
      <c r="CM2045">
        <v>0</v>
      </c>
      <c r="CR2045" t="s">
        <v>2330</v>
      </c>
      <c r="CS2045" s="1369" t="str">
        <f>INDEX([8]Sheet1!$H:$H,MATCH(CR:CR,[8]Sheet1!$AU:$AU,0))</f>
        <v>Water Treatment</v>
      </c>
    </row>
    <row r="2046" spans="1:97" x14ac:dyDescent="0.2">
      <c r="A2046" t="s">
        <v>5362</v>
      </c>
      <c r="B2046">
        <v>2144</v>
      </c>
      <c r="C2046" t="s">
        <v>5362</v>
      </c>
      <c r="D2046">
        <v>55144</v>
      </c>
      <c r="E2046" t="s">
        <v>5363</v>
      </c>
      <c r="F2046" t="s">
        <v>2364</v>
      </c>
      <c r="G2046" t="s">
        <v>2364</v>
      </c>
      <c r="H2046" t="s">
        <v>2365</v>
      </c>
      <c r="I2046" t="s">
        <v>2365</v>
      </c>
      <c r="J2046" t="s">
        <v>2365</v>
      </c>
      <c r="K2046" t="s">
        <v>2365</v>
      </c>
      <c r="L2046">
        <v>1200</v>
      </c>
      <c r="M2046" t="s">
        <v>1480</v>
      </c>
      <c r="N2046">
        <v>1204</v>
      </c>
      <c r="O2046" t="s">
        <v>1487</v>
      </c>
      <c r="P2046" t="s">
        <v>2366</v>
      </c>
      <c r="Q2046" t="s">
        <v>2364</v>
      </c>
      <c r="R2046" t="s">
        <v>2364</v>
      </c>
      <c r="S2046" t="s">
        <v>553</v>
      </c>
      <c r="T2046" t="s">
        <v>2367</v>
      </c>
      <c r="U2046">
        <v>360</v>
      </c>
      <c r="V2046" t="s">
        <v>2368</v>
      </c>
      <c r="W2046">
        <v>360</v>
      </c>
      <c r="X2046" t="s">
        <v>711</v>
      </c>
      <c r="Y2046" t="s">
        <v>2365</v>
      </c>
      <c r="Z2046" t="s">
        <v>2365</v>
      </c>
      <c r="AA2046" t="s">
        <v>2365</v>
      </c>
      <c r="AB2046" t="s">
        <v>2365</v>
      </c>
      <c r="AC2046" s="813" t="s">
        <v>2365</v>
      </c>
      <c r="AD2046" s="813" t="s">
        <v>2365</v>
      </c>
      <c r="AE2046" s="813" t="s">
        <v>2365</v>
      </c>
      <c r="AF2046" t="s">
        <v>2365</v>
      </c>
      <c r="AG2046" t="s">
        <v>2365</v>
      </c>
      <c r="AH2046" t="s">
        <v>2365</v>
      </c>
      <c r="AI2046" t="s">
        <v>2365</v>
      </c>
      <c r="AJ2046" t="s">
        <v>2365</v>
      </c>
      <c r="AK2046">
        <v>363</v>
      </c>
      <c r="AL2046" t="s">
        <v>748</v>
      </c>
      <c r="AM2046">
        <v>363</v>
      </c>
      <c r="AN2046" t="s">
        <v>748</v>
      </c>
      <c r="AR2046" t="s">
        <v>2365</v>
      </c>
      <c r="AS2046" t="s">
        <v>2365</v>
      </c>
      <c r="AT2046" t="s">
        <v>2365</v>
      </c>
      <c r="AU2046" t="s">
        <v>2365</v>
      </c>
      <c r="AV2046" t="s">
        <v>2365</v>
      </c>
      <c r="AW2046" t="s">
        <v>2365</v>
      </c>
      <c r="AX2046" t="s">
        <v>2365</v>
      </c>
      <c r="AY2046" t="s">
        <v>2365</v>
      </c>
      <c r="AZ2046" t="s">
        <v>2365</v>
      </c>
      <c r="BA2046" t="s">
        <v>2365</v>
      </c>
      <c r="BB2046" t="s">
        <v>2365</v>
      </c>
      <c r="BC2046" t="s">
        <v>2365</v>
      </c>
      <c r="BD2046" t="s">
        <v>2366</v>
      </c>
      <c r="BE2046" t="s">
        <v>2365</v>
      </c>
      <c r="BF2046" t="s">
        <v>2365</v>
      </c>
      <c r="BG2046" t="s">
        <v>2365</v>
      </c>
      <c r="BH2046" t="s">
        <v>2365</v>
      </c>
      <c r="BI2046" t="s">
        <v>2366</v>
      </c>
      <c r="BJ2046" t="s">
        <v>2365</v>
      </c>
      <c r="BK2046" t="s">
        <v>2365</v>
      </c>
      <c r="BL2046" t="s">
        <v>2365</v>
      </c>
      <c r="BM2046" t="s">
        <v>2365</v>
      </c>
      <c r="BO2046">
        <v>1</v>
      </c>
      <c r="BP2046">
        <v>11</v>
      </c>
      <c r="BQ2046" t="s">
        <v>2369</v>
      </c>
      <c r="BR2046" t="s">
        <v>1487</v>
      </c>
      <c r="BU2046">
        <v>0</v>
      </c>
      <c r="BV2046">
        <v>0</v>
      </c>
      <c r="BW2046">
        <v>0</v>
      </c>
      <c r="BX2046">
        <v>0</v>
      </c>
      <c r="BY2046">
        <v>0</v>
      </c>
      <c r="BZ2046">
        <v>0</v>
      </c>
      <c r="CA2046">
        <v>0</v>
      </c>
      <c r="CB2046">
        <v>0</v>
      </c>
      <c r="CC2046">
        <v>0</v>
      </c>
      <c r="CD2046">
        <v>0</v>
      </c>
      <c r="CE2046">
        <v>0</v>
      </c>
      <c r="CF2046">
        <v>0</v>
      </c>
      <c r="CG2046">
        <v>0</v>
      </c>
      <c r="CH2046">
        <v>0</v>
      </c>
      <c r="CI2046">
        <v>0</v>
      </c>
      <c r="CJ2046">
        <v>0</v>
      </c>
      <c r="CK2046">
        <v>0</v>
      </c>
      <c r="CL2046">
        <v>0</v>
      </c>
      <c r="CM2046">
        <v>0</v>
      </c>
      <c r="CR2046" t="s">
        <v>2335</v>
      </c>
      <c r="CS2046" s="1369" t="str">
        <f>INDEX([8]Sheet1!$H:$H,MATCH(CR:CR,[8]Sheet1!$AU:$AU,0))</f>
        <v>Economic Development/Planning</v>
      </c>
    </row>
    <row r="2047" spans="1:97" x14ac:dyDescent="0.2">
      <c r="A2047" t="s">
        <v>5364</v>
      </c>
      <c r="B2047">
        <v>2145</v>
      </c>
      <c r="C2047" t="s">
        <v>5364</v>
      </c>
      <c r="D2047">
        <v>55145</v>
      </c>
      <c r="E2047" t="s">
        <v>5365</v>
      </c>
      <c r="F2047" t="s">
        <v>2364</v>
      </c>
      <c r="G2047" t="s">
        <v>2364</v>
      </c>
      <c r="H2047" t="s">
        <v>2365</v>
      </c>
      <c r="I2047" t="s">
        <v>2365</v>
      </c>
      <c r="J2047" t="s">
        <v>2365</v>
      </c>
      <c r="K2047" t="s">
        <v>2365</v>
      </c>
      <c r="L2047">
        <v>1200</v>
      </c>
      <c r="M2047" t="s">
        <v>1480</v>
      </c>
      <c r="N2047">
        <v>1204</v>
      </c>
      <c r="O2047" t="s">
        <v>1487</v>
      </c>
      <c r="P2047" t="s">
        <v>2366</v>
      </c>
      <c r="Q2047" t="s">
        <v>2364</v>
      </c>
      <c r="R2047" t="s">
        <v>2364</v>
      </c>
      <c r="S2047" t="s">
        <v>553</v>
      </c>
      <c r="T2047" t="s">
        <v>2367</v>
      </c>
      <c r="U2047">
        <v>360</v>
      </c>
      <c r="V2047" t="s">
        <v>2368</v>
      </c>
      <c r="W2047">
        <v>360</v>
      </c>
      <c r="X2047" t="s">
        <v>711</v>
      </c>
      <c r="Y2047" t="s">
        <v>2365</v>
      </c>
      <c r="Z2047" t="s">
        <v>2365</v>
      </c>
      <c r="AA2047" t="s">
        <v>2365</v>
      </c>
      <c r="AB2047" t="s">
        <v>2365</v>
      </c>
      <c r="AC2047" s="813" t="s">
        <v>2365</v>
      </c>
      <c r="AD2047" s="813" t="s">
        <v>2365</v>
      </c>
      <c r="AE2047" s="813" t="s">
        <v>2365</v>
      </c>
      <c r="AF2047" t="s">
        <v>2365</v>
      </c>
      <c r="AG2047" t="s">
        <v>2365</v>
      </c>
      <c r="AH2047" t="s">
        <v>2365</v>
      </c>
      <c r="AI2047" t="s">
        <v>2365</v>
      </c>
      <c r="AJ2047" t="s">
        <v>2365</v>
      </c>
      <c r="AK2047" s="1373">
        <v>363</v>
      </c>
      <c r="AL2047" t="s">
        <v>748</v>
      </c>
      <c r="AM2047">
        <v>363</v>
      </c>
      <c r="AN2047" t="s">
        <v>748</v>
      </c>
      <c r="AR2047" t="s">
        <v>2365</v>
      </c>
      <c r="AS2047" t="s">
        <v>2365</v>
      </c>
      <c r="AT2047" t="s">
        <v>2365</v>
      </c>
      <c r="AU2047" t="s">
        <v>2365</v>
      </c>
      <c r="AV2047" t="s">
        <v>2365</v>
      </c>
      <c r="AW2047" t="s">
        <v>2365</v>
      </c>
      <c r="AX2047" t="s">
        <v>2365</v>
      </c>
      <c r="AY2047" t="s">
        <v>2365</v>
      </c>
      <c r="AZ2047" t="s">
        <v>2365</v>
      </c>
      <c r="BA2047" t="s">
        <v>2365</v>
      </c>
      <c r="BB2047" t="s">
        <v>2365</v>
      </c>
      <c r="BC2047" t="s">
        <v>2365</v>
      </c>
      <c r="BD2047" t="s">
        <v>2366</v>
      </c>
      <c r="BE2047" t="s">
        <v>2365</v>
      </c>
      <c r="BF2047" t="s">
        <v>2365</v>
      </c>
      <c r="BG2047" t="s">
        <v>2365</v>
      </c>
      <c r="BH2047" t="s">
        <v>2365</v>
      </c>
      <c r="BI2047" t="s">
        <v>2366</v>
      </c>
      <c r="BJ2047" t="s">
        <v>2365</v>
      </c>
      <c r="BK2047" t="s">
        <v>2365</v>
      </c>
      <c r="BL2047" t="s">
        <v>2365</v>
      </c>
      <c r="BM2047" t="s">
        <v>2365</v>
      </c>
      <c r="BO2047">
        <v>1</v>
      </c>
      <c r="BP2047">
        <v>11</v>
      </c>
      <c r="BQ2047" t="s">
        <v>2369</v>
      </c>
      <c r="BR2047" t="s">
        <v>1487</v>
      </c>
      <c r="BU2047">
        <v>0</v>
      </c>
      <c r="BV2047">
        <v>0</v>
      </c>
      <c r="BW2047">
        <v>0</v>
      </c>
      <c r="BX2047">
        <v>0</v>
      </c>
      <c r="BY2047">
        <v>0</v>
      </c>
      <c r="BZ2047">
        <v>0</v>
      </c>
      <c r="CA2047">
        <v>0</v>
      </c>
      <c r="CB2047">
        <v>0</v>
      </c>
      <c r="CC2047">
        <v>0</v>
      </c>
      <c r="CD2047">
        <v>0</v>
      </c>
      <c r="CE2047">
        <v>0</v>
      </c>
      <c r="CF2047">
        <v>0</v>
      </c>
      <c r="CG2047">
        <v>0</v>
      </c>
      <c r="CH2047">
        <v>0</v>
      </c>
      <c r="CI2047">
        <v>0</v>
      </c>
      <c r="CJ2047">
        <v>0</v>
      </c>
      <c r="CK2047">
        <v>0</v>
      </c>
      <c r="CL2047">
        <v>0</v>
      </c>
      <c r="CM2047">
        <v>0</v>
      </c>
      <c r="CR2047" t="s">
        <v>2335</v>
      </c>
      <c r="CS2047" s="1369" t="str">
        <f>INDEX([8]Sheet1!$H:$H,MATCH(CR:CR,[8]Sheet1!$AU:$AU,0))</f>
        <v>Economic Development/Planning</v>
      </c>
    </row>
    <row r="2048" spans="1:97" x14ac:dyDescent="0.2">
      <c r="A2048" t="s">
        <v>5366</v>
      </c>
      <c r="B2048">
        <v>2146</v>
      </c>
      <c r="C2048" t="s">
        <v>5366</v>
      </c>
      <c r="D2048">
        <v>55146</v>
      </c>
      <c r="E2048" t="s">
        <v>5367</v>
      </c>
      <c r="F2048" t="s">
        <v>2364</v>
      </c>
      <c r="G2048" t="s">
        <v>2364</v>
      </c>
      <c r="H2048" t="s">
        <v>2365</v>
      </c>
      <c r="I2048" t="s">
        <v>2365</v>
      </c>
      <c r="J2048" t="s">
        <v>2365</v>
      </c>
      <c r="K2048" t="s">
        <v>2365</v>
      </c>
      <c r="L2048">
        <v>1200</v>
      </c>
      <c r="M2048" t="s">
        <v>1480</v>
      </c>
      <c r="N2048">
        <v>1204</v>
      </c>
      <c r="O2048" t="s">
        <v>1487</v>
      </c>
      <c r="P2048" t="s">
        <v>2366</v>
      </c>
      <c r="Q2048" t="s">
        <v>2364</v>
      </c>
      <c r="R2048" t="s">
        <v>2364</v>
      </c>
      <c r="S2048" t="s">
        <v>553</v>
      </c>
      <c r="T2048" t="s">
        <v>2367</v>
      </c>
      <c r="U2048">
        <v>360</v>
      </c>
      <c r="V2048" t="s">
        <v>2368</v>
      </c>
      <c r="W2048">
        <v>360</v>
      </c>
      <c r="X2048" t="s">
        <v>711</v>
      </c>
      <c r="Y2048" t="s">
        <v>2365</v>
      </c>
      <c r="Z2048" t="s">
        <v>2365</v>
      </c>
      <c r="AA2048" t="s">
        <v>2365</v>
      </c>
      <c r="AB2048" t="s">
        <v>2365</v>
      </c>
      <c r="AC2048" s="813" t="s">
        <v>2365</v>
      </c>
      <c r="AD2048" s="813" t="s">
        <v>2365</v>
      </c>
      <c r="AE2048" s="813" t="s">
        <v>2365</v>
      </c>
      <c r="AF2048" t="s">
        <v>2365</v>
      </c>
      <c r="AG2048" t="s">
        <v>2365</v>
      </c>
      <c r="AH2048" t="s">
        <v>2365</v>
      </c>
      <c r="AI2048" t="s">
        <v>2365</v>
      </c>
      <c r="AJ2048" t="s">
        <v>2365</v>
      </c>
      <c r="AK2048" s="1373">
        <v>363</v>
      </c>
      <c r="AL2048" t="s">
        <v>748</v>
      </c>
      <c r="AM2048">
        <v>363</v>
      </c>
      <c r="AN2048" t="s">
        <v>748</v>
      </c>
      <c r="AR2048" t="s">
        <v>2365</v>
      </c>
      <c r="AS2048" t="s">
        <v>2365</v>
      </c>
      <c r="AT2048" t="s">
        <v>2365</v>
      </c>
      <c r="AU2048" t="s">
        <v>2365</v>
      </c>
      <c r="AV2048" t="s">
        <v>2365</v>
      </c>
      <c r="AW2048" t="s">
        <v>2365</v>
      </c>
      <c r="AX2048" t="s">
        <v>2365</v>
      </c>
      <c r="AY2048" t="s">
        <v>2365</v>
      </c>
      <c r="AZ2048" t="s">
        <v>2365</v>
      </c>
      <c r="BA2048" t="s">
        <v>2365</v>
      </c>
      <c r="BB2048" t="s">
        <v>2365</v>
      </c>
      <c r="BC2048" t="s">
        <v>2365</v>
      </c>
      <c r="BD2048" t="s">
        <v>2366</v>
      </c>
      <c r="BE2048" t="s">
        <v>2365</v>
      </c>
      <c r="BF2048" t="s">
        <v>2365</v>
      </c>
      <c r="BG2048" t="s">
        <v>2365</v>
      </c>
      <c r="BH2048" t="s">
        <v>2365</v>
      </c>
      <c r="BI2048" t="s">
        <v>2366</v>
      </c>
      <c r="BJ2048" t="s">
        <v>2365</v>
      </c>
      <c r="BK2048" t="s">
        <v>2365</v>
      </c>
      <c r="BL2048" t="s">
        <v>2365</v>
      </c>
      <c r="BM2048" t="s">
        <v>2365</v>
      </c>
      <c r="BO2048">
        <v>1</v>
      </c>
      <c r="BP2048">
        <v>11</v>
      </c>
      <c r="BQ2048" t="s">
        <v>2369</v>
      </c>
      <c r="BR2048" t="s">
        <v>1487</v>
      </c>
      <c r="BU2048">
        <v>0</v>
      </c>
      <c r="BV2048">
        <v>0</v>
      </c>
      <c r="BW2048">
        <v>0</v>
      </c>
      <c r="BX2048">
        <v>0</v>
      </c>
      <c r="BY2048">
        <v>0</v>
      </c>
      <c r="BZ2048">
        <v>0</v>
      </c>
      <c r="CA2048">
        <v>0</v>
      </c>
      <c r="CB2048">
        <v>0</v>
      </c>
      <c r="CC2048">
        <v>0</v>
      </c>
      <c r="CD2048">
        <v>0</v>
      </c>
      <c r="CE2048">
        <v>0</v>
      </c>
      <c r="CF2048">
        <v>0</v>
      </c>
      <c r="CG2048">
        <v>0</v>
      </c>
      <c r="CH2048">
        <v>0</v>
      </c>
      <c r="CI2048">
        <v>0</v>
      </c>
      <c r="CJ2048">
        <v>0</v>
      </c>
      <c r="CK2048">
        <v>0</v>
      </c>
      <c r="CL2048">
        <v>0</v>
      </c>
      <c r="CM2048">
        <v>0</v>
      </c>
      <c r="CR2048" t="s">
        <v>2325</v>
      </c>
      <c r="CS2048" s="1369" t="str">
        <f>INDEX([8]Sheet1!$H:$H,MATCH(CR:CR,[8]Sheet1!$AU:$AU,0))</f>
        <v>Asset Management</v>
      </c>
    </row>
    <row r="2049" spans="1:97" x14ac:dyDescent="0.2">
      <c r="A2049" t="s">
        <v>5368</v>
      </c>
      <c r="B2049">
        <v>2147</v>
      </c>
      <c r="C2049" t="s">
        <v>5368</v>
      </c>
      <c r="D2049">
        <v>55147</v>
      </c>
      <c r="E2049" t="s">
        <v>5369</v>
      </c>
      <c r="F2049" t="s">
        <v>2364</v>
      </c>
      <c r="G2049" t="s">
        <v>2364</v>
      </c>
      <c r="H2049" t="s">
        <v>2365</v>
      </c>
      <c r="I2049" t="s">
        <v>2365</v>
      </c>
      <c r="J2049" t="s">
        <v>2365</v>
      </c>
      <c r="K2049" t="s">
        <v>2365</v>
      </c>
      <c r="L2049">
        <v>1200</v>
      </c>
      <c r="M2049" t="s">
        <v>1480</v>
      </c>
      <c r="N2049">
        <v>1204</v>
      </c>
      <c r="O2049" t="s">
        <v>1487</v>
      </c>
      <c r="P2049" t="s">
        <v>2366</v>
      </c>
      <c r="Q2049" t="s">
        <v>2364</v>
      </c>
      <c r="R2049" t="s">
        <v>2364</v>
      </c>
      <c r="S2049" t="s">
        <v>553</v>
      </c>
      <c r="T2049" t="s">
        <v>2367</v>
      </c>
      <c r="U2049">
        <v>360</v>
      </c>
      <c r="V2049" t="s">
        <v>2368</v>
      </c>
      <c r="W2049">
        <v>360</v>
      </c>
      <c r="X2049" t="s">
        <v>711</v>
      </c>
      <c r="Y2049" t="s">
        <v>2365</v>
      </c>
      <c r="Z2049" t="s">
        <v>2365</v>
      </c>
      <c r="AA2049" t="s">
        <v>2365</v>
      </c>
      <c r="AB2049" t="s">
        <v>2365</v>
      </c>
      <c r="AC2049" s="813" t="s">
        <v>2365</v>
      </c>
      <c r="AD2049" s="813" t="s">
        <v>2365</v>
      </c>
      <c r="AE2049" s="813" t="s">
        <v>2365</v>
      </c>
      <c r="AF2049" t="s">
        <v>2365</v>
      </c>
      <c r="AG2049" t="s">
        <v>2365</v>
      </c>
      <c r="AH2049" t="s">
        <v>2365</v>
      </c>
      <c r="AI2049" t="s">
        <v>2365</v>
      </c>
      <c r="AJ2049" t="s">
        <v>2365</v>
      </c>
      <c r="AK2049">
        <v>363</v>
      </c>
      <c r="AL2049" t="s">
        <v>748</v>
      </c>
      <c r="AM2049">
        <v>363</v>
      </c>
      <c r="AN2049" t="s">
        <v>748</v>
      </c>
      <c r="AR2049" t="s">
        <v>2365</v>
      </c>
      <c r="AS2049" t="s">
        <v>2365</v>
      </c>
      <c r="AT2049" t="s">
        <v>2365</v>
      </c>
      <c r="AU2049" t="s">
        <v>2365</v>
      </c>
      <c r="AV2049" t="s">
        <v>2365</v>
      </c>
      <c r="AW2049" t="s">
        <v>2365</v>
      </c>
      <c r="AX2049" t="s">
        <v>2365</v>
      </c>
      <c r="AY2049" t="s">
        <v>2365</v>
      </c>
      <c r="AZ2049" t="s">
        <v>2365</v>
      </c>
      <c r="BA2049" t="s">
        <v>2365</v>
      </c>
      <c r="BB2049" t="s">
        <v>2365</v>
      </c>
      <c r="BC2049" t="s">
        <v>2365</v>
      </c>
      <c r="BD2049" t="s">
        <v>2366</v>
      </c>
      <c r="BE2049" t="s">
        <v>2365</v>
      </c>
      <c r="BF2049" t="s">
        <v>2365</v>
      </c>
      <c r="BG2049" t="s">
        <v>2365</v>
      </c>
      <c r="BH2049" t="s">
        <v>2365</v>
      </c>
      <c r="BI2049" t="s">
        <v>2366</v>
      </c>
      <c r="BJ2049" t="s">
        <v>2365</v>
      </c>
      <c r="BK2049" t="s">
        <v>2365</v>
      </c>
      <c r="BL2049" t="s">
        <v>2365</v>
      </c>
      <c r="BM2049" t="s">
        <v>2365</v>
      </c>
      <c r="BO2049">
        <v>1</v>
      </c>
      <c r="BP2049">
        <v>11</v>
      </c>
      <c r="BQ2049" t="s">
        <v>2369</v>
      </c>
      <c r="BR2049" t="s">
        <v>1487</v>
      </c>
      <c r="BU2049">
        <v>0</v>
      </c>
      <c r="BV2049">
        <v>0</v>
      </c>
      <c r="BW2049">
        <v>0</v>
      </c>
      <c r="BX2049">
        <v>0</v>
      </c>
      <c r="BY2049">
        <v>0</v>
      </c>
      <c r="BZ2049">
        <v>0</v>
      </c>
      <c r="CA2049">
        <v>0</v>
      </c>
      <c r="CB2049">
        <v>0</v>
      </c>
      <c r="CC2049">
        <v>0</v>
      </c>
      <c r="CD2049">
        <v>0</v>
      </c>
      <c r="CE2049">
        <v>0</v>
      </c>
      <c r="CF2049">
        <v>0</v>
      </c>
      <c r="CG2049">
        <v>0</v>
      </c>
      <c r="CH2049">
        <v>0</v>
      </c>
      <c r="CI2049">
        <v>0</v>
      </c>
      <c r="CJ2049">
        <v>0</v>
      </c>
      <c r="CK2049">
        <v>0</v>
      </c>
      <c r="CL2049">
        <v>0</v>
      </c>
      <c r="CM2049">
        <v>0</v>
      </c>
      <c r="CR2049" t="s">
        <v>2325</v>
      </c>
      <c r="CS2049" s="1369" t="str">
        <f>INDEX([8]Sheet1!$H:$H,MATCH(CR:CR,[8]Sheet1!$AU:$AU,0))</f>
        <v>Asset Management</v>
      </c>
    </row>
    <row r="2050" spans="1:97" x14ac:dyDescent="0.2">
      <c r="A2050" t="s">
        <v>5370</v>
      </c>
      <c r="B2050">
        <v>2148</v>
      </c>
      <c r="C2050" t="s">
        <v>5370</v>
      </c>
      <c r="D2050">
        <v>55148</v>
      </c>
      <c r="E2050" t="s">
        <v>5371</v>
      </c>
      <c r="F2050" t="s">
        <v>2364</v>
      </c>
      <c r="G2050" t="s">
        <v>2364</v>
      </c>
      <c r="H2050" t="s">
        <v>2365</v>
      </c>
      <c r="I2050" t="s">
        <v>2365</v>
      </c>
      <c r="J2050" t="s">
        <v>2365</v>
      </c>
      <c r="K2050" t="s">
        <v>2365</v>
      </c>
      <c r="L2050">
        <v>1200</v>
      </c>
      <c r="M2050" t="s">
        <v>1480</v>
      </c>
      <c r="N2050">
        <v>1204</v>
      </c>
      <c r="O2050" t="s">
        <v>1487</v>
      </c>
      <c r="P2050" t="s">
        <v>2366</v>
      </c>
      <c r="Q2050" t="s">
        <v>2364</v>
      </c>
      <c r="R2050" t="s">
        <v>2364</v>
      </c>
      <c r="S2050" t="s">
        <v>553</v>
      </c>
      <c r="T2050" t="s">
        <v>2367</v>
      </c>
      <c r="U2050">
        <v>360</v>
      </c>
      <c r="V2050" t="s">
        <v>2368</v>
      </c>
      <c r="W2050">
        <v>360</v>
      </c>
      <c r="X2050" t="s">
        <v>711</v>
      </c>
      <c r="Y2050" t="s">
        <v>2365</v>
      </c>
      <c r="Z2050" t="s">
        <v>2365</v>
      </c>
      <c r="AA2050" t="s">
        <v>2365</v>
      </c>
      <c r="AB2050" t="s">
        <v>2365</v>
      </c>
      <c r="AC2050" s="813" t="s">
        <v>2365</v>
      </c>
      <c r="AD2050" s="813" t="s">
        <v>2365</v>
      </c>
      <c r="AE2050" s="813" t="s">
        <v>2365</v>
      </c>
      <c r="AF2050" t="s">
        <v>2365</v>
      </c>
      <c r="AG2050" t="s">
        <v>2365</v>
      </c>
      <c r="AH2050" t="s">
        <v>2365</v>
      </c>
      <c r="AI2050" t="s">
        <v>2365</v>
      </c>
      <c r="AJ2050" t="s">
        <v>2365</v>
      </c>
      <c r="AK2050">
        <v>363</v>
      </c>
      <c r="AL2050" t="s">
        <v>748</v>
      </c>
      <c r="AM2050">
        <v>363</v>
      </c>
      <c r="AN2050" t="s">
        <v>748</v>
      </c>
      <c r="AR2050" t="s">
        <v>2365</v>
      </c>
      <c r="AS2050" t="s">
        <v>2365</v>
      </c>
      <c r="AT2050" t="s">
        <v>2365</v>
      </c>
      <c r="AU2050" t="s">
        <v>2365</v>
      </c>
      <c r="AV2050" t="s">
        <v>2365</v>
      </c>
      <c r="AW2050" t="s">
        <v>2365</v>
      </c>
      <c r="AX2050" t="s">
        <v>2365</v>
      </c>
      <c r="AY2050" t="s">
        <v>2365</v>
      </c>
      <c r="AZ2050" t="s">
        <v>2365</v>
      </c>
      <c r="BA2050" t="s">
        <v>2365</v>
      </c>
      <c r="BB2050" t="s">
        <v>2365</v>
      </c>
      <c r="BC2050" t="s">
        <v>2365</v>
      </c>
      <c r="BD2050" t="s">
        <v>2366</v>
      </c>
      <c r="BE2050" t="s">
        <v>2365</v>
      </c>
      <c r="BF2050" t="s">
        <v>2365</v>
      </c>
      <c r="BG2050" t="s">
        <v>2365</v>
      </c>
      <c r="BH2050" t="s">
        <v>2365</v>
      </c>
      <c r="BI2050" t="s">
        <v>2366</v>
      </c>
      <c r="BJ2050" t="s">
        <v>2365</v>
      </c>
      <c r="BK2050" t="s">
        <v>2365</v>
      </c>
      <c r="BL2050" t="s">
        <v>2365</v>
      </c>
      <c r="BM2050" t="s">
        <v>2365</v>
      </c>
      <c r="BO2050">
        <v>1</v>
      </c>
      <c r="BP2050">
        <v>11</v>
      </c>
      <c r="BQ2050" t="s">
        <v>2369</v>
      </c>
      <c r="BR2050" t="s">
        <v>1487</v>
      </c>
      <c r="BU2050">
        <v>0</v>
      </c>
      <c r="BV2050">
        <v>0</v>
      </c>
      <c r="BW2050">
        <v>0</v>
      </c>
      <c r="BX2050">
        <v>0</v>
      </c>
      <c r="BY2050">
        <v>0</v>
      </c>
      <c r="BZ2050">
        <v>0</v>
      </c>
      <c r="CA2050">
        <v>0</v>
      </c>
      <c r="CB2050">
        <v>0</v>
      </c>
      <c r="CC2050">
        <v>0</v>
      </c>
      <c r="CD2050">
        <v>0</v>
      </c>
      <c r="CE2050">
        <v>0</v>
      </c>
      <c r="CF2050">
        <v>0</v>
      </c>
      <c r="CG2050">
        <v>0</v>
      </c>
      <c r="CH2050">
        <v>0</v>
      </c>
      <c r="CI2050">
        <v>0</v>
      </c>
      <c r="CJ2050">
        <v>0</v>
      </c>
      <c r="CK2050">
        <v>0</v>
      </c>
      <c r="CL2050">
        <v>0</v>
      </c>
      <c r="CM2050">
        <v>0</v>
      </c>
      <c r="CR2050" t="s">
        <v>2325</v>
      </c>
      <c r="CS2050" s="1369" t="str">
        <f>INDEX([8]Sheet1!$H:$H,MATCH(CR:CR,[8]Sheet1!$AU:$AU,0))</f>
        <v>Asset Management</v>
      </c>
    </row>
    <row r="2051" spans="1:97" x14ac:dyDescent="0.2">
      <c r="A2051" t="s">
        <v>5372</v>
      </c>
      <c r="B2051">
        <v>2149</v>
      </c>
      <c r="C2051" t="s">
        <v>5372</v>
      </c>
      <c r="D2051">
        <v>55149</v>
      </c>
      <c r="E2051" t="s">
        <v>5373</v>
      </c>
      <c r="F2051" t="s">
        <v>2364</v>
      </c>
      <c r="G2051" t="s">
        <v>2364</v>
      </c>
      <c r="H2051" t="s">
        <v>2365</v>
      </c>
      <c r="I2051" t="s">
        <v>2365</v>
      </c>
      <c r="J2051" t="s">
        <v>2365</v>
      </c>
      <c r="K2051" t="s">
        <v>2365</v>
      </c>
      <c r="L2051">
        <v>1200</v>
      </c>
      <c r="M2051" t="s">
        <v>1480</v>
      </c>
      <c r="N2051">
        <v>1204</v>
      </c>
      <c r="O2051" t="s">
        <v>1487</v>
      </c>
      <c r="P2051" t="s">
        <v>2366</v>
      </c>
      <c r="Q2051" t="s">
        <v>2364</v>
      </c>
      <c r="R2051" t="s">
        <v>2364</v>
      </c>
      <c r="S2051" t="s">
        <v>553</v>
      </c>
      <c r="T2051" t="s">
        <v>2367</v>
      </c>
      <c r="U2051">
        <v>360</v>
      </c>
      <c r="V2051" t="s">
        <v>2368</v>
      </c>
      <c r="W2051">
        <v>360</v>
      </c>
      <c r="X2051" t="s">
        <v>711</v>
      </c>
      <c r="Y2051" t="s">
        <v>2365</v>
      </c>
      <c r="Z2051" t="s">
        <v>2365</v>
      </c>
      <c r="AA2051" t="s">
        <v>2365</v>
      </c>
      <c r="AB2051" t="s">
        <v>2365</v>
      </c>
      <c r="AC2051" s="813" t="s">
        <v>2365</v>
      </c>
      <c r="AD2051" s="813" t="s">
        <v>2365</v>
      </c>
      <c r="AE2051" s="813" t="s">
        <v>2365</v>
      </c>
      <c r="AF2051" t="s">
        <v>2365</v>
      </c>
      <c r="AG2051" t="s">
        <v>2365</v>
      </c>
      <c r="AH2051" t="s">
        <v>2365</v>
      </c>
      <c r="AI2051" t="s">
        <v>2365</v>
      </c>
      <c r="AJ2051" t="s">
        <v>2365</v>
      </c>
      <c r="AK2051">
        <v>364</v>
      </c>
      <c r="AL2051" t="s">
        <v>1209</v>
      </c>
      <c r="AM2051">
        <v>364</v>
      </c>
      <c r="AN2051" t="s">
        <v>1209</v>
      </c>
      <c r="AR2051" t="s">
        <v>2365</v>
      </c>
      <c r="AS2051" t="s">
        <v>2365</v>
      </c>
      <c r="AT2051" t="s">
        <v>2365</v>
      </c>
      <c r="AU2051" t="s">
        <v>2365</v>
      </c>
      <c r="AV2051" t="s">
        <v>2365</v>
      </c>
      <c r="AW2051" t="s">
        <v>2365</v>
      </c>
      <c r="AX2051" t="s">
        <v>2365</v>
      </c>
      <c r="AY2051" t="s">
        <v>2365</v>
      </c>
      <c r="AZ2051" t="s">
        <v>2365</v>
      </c>
      <c r="BA2051" t="s">
        <v>2365</v>
      </c>
      <c r="BB2051" t="s">
        <v>2365</v>
      </c>
      <c r="BC2051" t="s">
        <v>2365</v>
      </c>
      <c r="BD2051" t="s">
        <v>2366</v>
      </c>
      <c r="BE2051" t="s">
        <v>2365</v>
      </c>
      <c r="BF2051" t="s">
        <v>2365</v>
      </c>
      <c r="BG2051" t="s">
        <v>2365</v>
      </c>
      <c r="BH2051" t="s">
        <v>2365</v>
      </c>
      <c r="BI2051" t="s">
        <v>2366</v>
      </c>
      <c r="BJ2051" t="s">
        <v>2365</v>
      </c>
      <c r="BK2051" t="s">
        <v>2365</v>
      </c>
      <c r="BL2051" t="s">
        <v>2365</v>
      </c>
      <c r="BM2051" t="s">
        <v>2365</v>
      </c>
      <c r="BO2051">
        <v>1</v>
      </c>
      <c r="BP2051">
        <v>11</v>
      </c>
      <c r="BQ2051" t="s">
        <v>2369</v>
      </c>
      <c r="BR2051" t="s">
        <v>1487</v>
      </c>
      <c r="BU2051">
        <v>0</v>
      </c>
      <c r="BV2051">
        <v>0</v>
      </c>
      <c r="BW2051">
        <v>0</v>
      </c>
      <c r="BX2051">
        <v>0</v>
      </c>
      <c r="BY2051">
        <v>0</v>
      </c>
      <c r="BZ2051">
        <v>0</v>
      </c>
      <c r="CA2051">
        <v>0</v>
      </c>
      <c r="CB2051">
        <v>0</v>
      </c>
      <c r="CC2051">
        <v>0</v>
      </c>
      <c r="CD2051">
        <v>0</v>
      </c>
      <c r="CE2051">
        <v>0</v>
      </c>
      <c r="CF2051">
        <v>0</v>
      </c>
      <c r="CG2051">
        <v>0</v>
      </c>
      <c r="CH2051">
        <v>0</v>
      </c>
      <c r="CI2051">
        <v>0</v>
      </c>
      <c r="CJ2051">
        <v>0</v>
      </c>
      <c r="CK2051">
        <v>0</v>
      </c>
      <c r="CL2051">
        <v>0</v>
      </c>
      <c r="CM2051">
        <v>0</v>
      </c>
      <c r="CR2051" t="s">
        <v>2325</v>
      </c>
      <c r="CS2051" s="1369" t="str">
        <f>INDEX([8]Sheet1!$H:$H,MATCH(CR:CR,[8]Sheet1!$AU:$AU,0))</f>
        <v>Asset Management</v>
      </c>
    </row>
    <row r="2052" spans="1:97" x14ac:dyDescent="0.2">
      <c r="A2052" t="s">
        <v>5374</v>
      </c>
      <c r="B2052">
        <v>2150</v>
      </c>
      <c r="C2052" t="s">
        <v>5374</v>
      </c>
      <c r="D2052">
        <v>55150</v>
      </c>
      <c r="E2052" t="s">
        <v>5375</v>
      </c>
      <c r="F2052" t="s">
        <v>2364</v>
      </c>
      <c r="G2052" t="s">
        <v>2364</v>
      </c>
      <c r="H2052" t="s">
        <v>2365</v>
      </c>
      <c r="I2052" t="s">
        <v>2365</v>
      </c>
      <c r="J2052" t="s">
        <v>2365</v>
      </c>
      <c r="K2052" t="s">
        <v>2365</v>
      </c>
      <c r="L2052">
        <v>1200</v>
      </c>
      <c r="M2052" t="s">
        <v>1480</v>
      </c>
      <c r="N2052">
        <v>1204</v>
      </c>
      <c r="O2052" t="s">
        <v>1487</v>
      </c>
      <c r="P2052" t="s">
        <v>2366</v>
      </c>
      <c r="Q2052" t="s">
        <v>2364</v>
      </c>
      <c r="R2052" t="s">
        <v>2364</v>
      </c>
      <c r="S2052" t="s">
        <v>553</v>
      </c>
      <c r="T2052" t="s">
        <v>2367</v>
      </c>
      <c r="U2052" t="s">
        <v>2366</v>
      </c>
      <c r="V2052" t="s">
        <v>2366</v>
      </c>
      <c r="W2052" t="s">
        <v>2366</v>
      </c>
      <c r="X2052" t="s">
        <v>2366</v>
      </c>
      <c r="Y2052" t="s">
        <v>2365</v>
      </c>
      <c r="Z2052" t="s">
        <v>2365</v>
      </c>
      <c r="AA2052" t="s">
        <v>2365</v>
      </c>
      <c r="AB2052" t="s">
        <v>2365</v>
      </c>
      <c r="AC2052" s="813" t="s">
        <v>2365</v>
      </c>
      <c r="AD2052" s="813" t="s">
        <v>2365</v>
      </c>
      <c r="AE2052" s="813" t="s">
        <v>2365</v>
      </c>
      <c r="AF2052" t="s">
        <v>2365</v>
      </c>
      <c r="AG2052" t="s">
        <v>2365</v>
      </c>
      <c r="AH2052" t="s">
        <v>2365</v>
      </c>
      <c r="AI2052" t="s">
        <v>2365</v>
      </c>
      <c r="AJ2052" t="s">
        <v>2365</v>
      </c>
      <c r="AK2052">
        <v>413</v>
      </c>
      <c r="AL2052" t="s">
        <v>632</v>
      </c>
      <c r="AM2052">
        <v>413</v>
      </c>
      <c r="AN2052" t="s">
        <v>632</v>
      </c>
      <c r="AR2052" t="s">
        <v>2365</v>
      </c>
      <c r="AS2052" t="s">
        <v>2365</v>
      </c>
      <c r="AT2052" t="s">
        <v>2365</v>
      </c>
      <c r="AU2052" t="s">
        <v>2365</v>
      </c>
      <c r="AV2052" t="s">
        <v>2365</v>
      </c>
      <c r="AW2052" t="s">
        <v>2365</v>
      </c>
      <c r="AX2052" t="s">
        <v>2365</v>
      </c>
      <c r="AY2052" t="s">
        <v>2365</v>
      </c>
      <c r="AZ2052" t="s">
        <v>2365</v>
      </c>
      <c r="BA2052" t="s">
        <v>2365</v>
      </c>
      <c r="BB2052" t="s">
        <v>2365</v>
      </c>
      <c r="BC2052" t="s">
        <v>2365</v>
      </c>
      <c r="BD2052" t="s">
        <v>2366</v>
      </c>
      <c r="BE2052" t="s">
        <v>2365</v>
      </c>
      <c r="BF2052" t="s">
        <v>2365</v>
      </c>
      <c r="BG2052" t="s">
        <v>2365</v>
      </c>
      <c r="BH2052" t="s">
        <v>2365</v>
      </c>
      <c r="BI2052" t="s">
        <v>2366</v>
      </c>
      <c r="BJ2052" t="s">
        <v>2365</v>
      </c>
      <c r="BK2052" t="s">
        <v>2365</v>
      </c>
      <c r="BL2052" t="s">
        <v>2365</v>
      </c>
      <c r="BM2052" t="s">
        <v>2365</v>
      </c>
      <c r="BO2052">
        <v>1</v>
      </c>
      <c r="BP2052">
        <v>11</v>
      </c>
      <c r="BQ2052" t="s">
        <v>2369</v>
      </c>
      <c r="BR2052" t="s">
        <v>1487</v>
      </c>
      <c r="BU2052">
        <v>0</v>
      </c>
      <c r="BV2052">
        <v>0</v>
      </c>
      <c r="BW2052">
        <v>0</v>
      </c>
      <c r="BX2052">
        <v>0</v>
      </c>
      <c r="BY2052">
        <v>0</v>
      </c>
      <c r="BZ2052">
        <v>0</v>
      </c>
      <c r="CA2052">
        <v>0</v>
      </c>
      <c r="CB2052">
        <v>0</v>
      </c>
      <c r="CC2052">
        <v>0</v>
      </c>
      <c r="CD2052">
        <v>0</v>
      </c>
      <c r="CE2052">
        <v>0</v>
      </c>
      <c r="CF2052">
        <v>0</v>
      </c>
      <c r="CG2052">
        <v>0</v>
      </c>
      <c r="CH2052">
        <v>0</v>
      </c>
      <c r="CI2052">
        <v>0</v>
      </c>
      <c r="CJ2052">
        <v>0</v>
      </c>
      <c r="CK2052">
        <v>0</v>
      </c>
      <c r="CL2052">
        <v>0</v>
      </c>
      <c r="CM2052">
        <v>0</v>
      </c>
      <c r="CR2052" t="s">
        <v>2325</v>
      </c>
      <c r="CS2052" s="1369" t="str">
        <f>INDEX([8]Sheet1!$H:$H,MATCH(CR:CR,[8]Sheet1!$AU:$AU,0))</f>
        <v>Asset Management</v>
      </c>
    </row>
    <row r="2053" spans="1:97" x14ac:dyDescent="0.2">
      <c r="A2053" t="s">
        <v>5376</v>
      </c>
      <c r="B2053">
        <v>2151</v>
      </c>
      <c r="C2053" t="s">
        <v>5376</v>
      </c>
      <c r="D2053">
        <v>55151</v>
      </c>
      <c r="E2053" t="s">
        <v>5377</v>
      </c>
      <c r="F2053" t="s">
        <v>2364</v>
      </c>
      <c r="G2053" t="s">
        <v>2364</v>
      </c>
      <c r="H2053" t="s">
        <v>2365</v>
      </c>
      <c r="I2053" t="s">
        <v>2365</v>
      </c>
      <c r="J2053" t="s">
        <v>2365</v>
      </c>
      <c r="K2053" t="s">
        <v>2365</v>
      </c>
      <c r="L2053">
        <v>1200</v>
      </c>
      <c r="M2053" t="s">
        <v>1480</v>
      </c>
      <c r="N2053">
        <v>1204</v>
      </c>
      <c r="O2053" t="s">
        <v>1487</v>
      </c>
      <c r="P2053" t="s">
        <v>2366</v>
      </c>
      <c r="Q2053" t="s">
        <v>2364</v>
      </c>
      <c r="R2053" t="s">
        <v>2364</v>
      </c>
      <c r="S2053" t="s">
        <v>553</v>
      </c>
      <c r="T2053" t="s">
        <v>2367</v>
      </c>
      <c r="U2053" t="s">
        <v>2366</v>
      </c>
      <c r="V2053" t="s">
        <v>2366</v>
      </c>
      <c r="W2053" t="s">
        <v>2366</v>
      </c>
      <c r="X2053" t="s">
        <v>2366</v>
      </c>
      <c r="Y2053" t="s">
        <v>2365</v>
      </c>
      <c r="Z2053" t="s">
        <v>2365</v>
      </c>
      <c r="AA2053" t="s">
        <v>2365</v>
      </c>
      <c r="AB2053" t="s">
        <v>2365</v>
      </c>
      <c r="AC2053" s="813" t="s">
        <v>2365</v>
      </c>
      <c r="AD2053" s="813" t="s">
        <v>2365</v>
      </c>
      <c r="AE2053" s="813" t="s">
        <v>2365</v>
      </c>
      <c r="AF2053" t="s">
        <v>2365</v>
      </c>
      <c r="AG2053" t="s">
        <v>2365</v>
      </c>
      <c r="AH2053" t="s">
        <v>2365</v>
      </c>
      <c r="AI2053" t="s">
        <v>2365</v>
      </c>
      <c r="AJ2053" t="s">
        <v>2365</v>
      </c>
      <c r="AK2053">
        <v>413</v>
      </c>
      <c r="AL2053" t="s">
        <v>632</v>
      </c>
      <c r="AM2053">
        <v>413</v>
      </c>
      <c r="AN2053" t="s">
        <v>632</v>
      </c>
      <c r="AR2053" t="s">
        <v>2365</v>
      </c>
      <c r="AS2053" t="s">
        <v>2365</v>
      </c>
      <c r="AT2053" t="s">
        <v>2365</v>
      </c>
      <c r="AU2053" t="s">
        <v>2365</v>
      </c>
      <c r="AV2053" t="s">
        <v>2365</v>
      </c>
      <c r="AW2053" t="s">
        <v>2365</v>
      </c>
      <c r="AX2053" t="s">
        <v>2365</v>
      </c>
      <c r="AY2053" t="s">
        <v>2365</v>
      </c>
      <c r="AZ2053" t="s">
        <v>2365</v>
      </c>
      <c r="BA2053" t="s">
        <v>2365</v>
      </c>
      <c r="BB2053" t="s">
        <v>2365</v>
      </c>
      <c r="BC2053" t="s">
        <v>2365</v>
      </c>
      <c r="BD2053" t="s">
        <v>2366</v>
      </c>
      <c r="BE2053" t="s">
        <v>2365</v>
      </c>
      <c r="BF2053" t="s">
        <v>2365</v>
      </c>
      <c r="BG2053" t="s">
        <v>2365</v>
      </c>
      <c r="BH2053" t="s">
        <v>2365</v>
      </c>
      <c r="BI2053" t="s">
        <v>2366</v>
      </c>
      <c r="BJ2053" t="s">
        <v>2365</v>
      </c>
      <c r="BK2053" t="s">
        <v>2365</v>
      </c>
      <c r="BL2053" t="s">
        <v>2365</v>
      </c>
      <c r="BM2053" t="s">
        <v>2365</v>
      </c>
      <c r="BO2053">
        <v>1</v>
      </c>
      <c r="BP2053">
        <v>11</v>
      </c>
      <c r="BQ2053" t="s">
        <v>2369</v>
      </c>
      <c r="BR2053" t="s">
        <v>1487</v>
      </c>
      <c r="BU2053">
        <v>0</v>
      </c>
      <c r="BV2053">
        <v>0</v>
      </c>
      <c r="BW2053">
        <v>0</v>
      </c>
      <c r="BX2053">
        <v>0</v>
      </c>
      <c r="BY2053">
        <v>0</v>
      </c>
      <c r="BZ2053">
        <v>0</v>
      </c>
      <c r="CA2053">
        <v>0</v>
      </c>
      <c r="CB2053">
        <v>0</v>
      </c>
      <c r="CC2053">
        <v>0</v>
      </c>
      <c r="CD2053">
        <v>0</v>
      </c>
      <c r="CE2053">
        <v>0</v>
      </c>
      <c r="CF2053">
        <v>0</v>
      </c>
      <c r="CG2053">
        <v>0</v>
      </c>
      <c r="CH2053">
        <v>0</v>
      </c>
      <c r="CI2053">
        <v>0</v>
      </c>
      <c r="CJ2053">
        <v>0</v>
      </c>
      <c r="CK2053">
        <v>0</v>
      </c>
      <c r="CL2053">
        <v>0</v>
      </c>
      <c r="CM2053">
        <v>0</v>
      </c>
      <c r="CR2053" t="s">
        <v>2325</v>
      </c>
      <c r="CS2053" s="1369" t="str">
        <f>INDEX([8]Sheet1!$H:$H,MATCH(CR:CR,[8]Sheet1!$AU:$AU,0))</f>
        <v>Asset Management</v>
      </c>
    </row>
    <row r="2054" spans="1:97" x14ac:dyDescent="0.2">
      <c r="A2054" t="s">
        <v>5378</v>
      </c>
      <c r="B2054">
        <v>2152</v>
      </c>
      <c r="C2054" t="s">
        <v>5378</v>
      </c>
      <c r="D2054">
        <v>55152</v>
      </c>
      <c r="E2054" t="s">
        <v>5379</v>
      </c>
      <c r="F2054" t="s">
        <v>2364</v>
      </c>
      <c r="G2054" t="s">
        <v>2364</v>
      </c>
      <c r="H2054" t="s">
        <v>2365</v>
      </c>
      <c r="I2054" t="s">
        <v>2365</v>
      </c>
      <c r="J2054" t="s">
        <v>2365</v>
      </c>
      <c r="K2054" t="s">
        <v>2365</v>
      </c>
      <c r="L2054">
        <v>1200</v>
      </c>
      <c r="M2054" t="s">
        <v>1480</v>
      </c>
      <c r="N2054">
        <v>1204</v>
      </c>
      <c r="O2054" t="s">
        <v>1487</v>
      </c>
      <c r="P2054" t="s">
        <v>2366</v>
      </c>
      <c r="Q2054" t="s">
        <v>2364</v>
      </c>
      <c r="R2054" t="s">
        <v>2364</v>
      </c>
      <c r="S2054" t="s">
        <v>553</v>
      </c>
      <c r="T2054" t="s">
        <v>4376</v>
      </c>
      <c r="U2054">
        <v>460</v>
      </c>
      <c r="V2054" t="s">
        <v>4377</v>
      </c>
      <c r="W2054">
        <v>460</v>
      </c>
      <c r="X2054" t="s">
        <v>717</v>
      </c>
      <c r="Y2054" t="s">
        <v>2365</v>
      </c>
      <c r="Z2054" t="s">
        <v>2365</v>
      </c>
      <c r="AA2054" t="s">
        <v>2365</v>
      </c>
      <c r="AB2054" t="s">
        <v>2365</v>
      </c>
      <c r="AC2054" s="813" t="s">
        <v>2365</v>
      </c>
      <c r="AD2054" s="813" t="s">
        <v>2365</v>
      </c>
      <c r="AE2054" s="813" t="s">
        <v>2365</v>
      </c>
      <c r="AF2054" t="s">
        <v>2365</v>
      </c>
      <c r="AG2054" t="s">
        <v>2365</v>
      </c>
      <c r="AH2054" t="s">
        <v>2365</v>
      </c>
      <c r="AI2054" t="s">
        <v>2365</v>
      </c>
      <c r="AJ2054" t="s">
        <v>2365</v>
      </c>
      <c r="AK2054">
        <v>461</v>
      </c>
      <c r="AL2054" t="s">
        <v>5380</v>
      </c>
      <c r="AM2054">
        <v>461</v>
      </c>
      <c r="AN2054" t="s">
        <v>5380</v>
      </c>
      <c r="AR2054" t="s">
        <v>2365</v>
      </c>
      <c r="AS2054" t="s">
        <v>2365</v>
      </c>
      <c r="AT2054" t="s">
        <v>2365</v>
      </c>
      <c r="AU2054" t="s">
        <v>2365</v>
      </c>
      <c r="AV2054" t="s">
        <v>2365</v>
      </c>
      <c r="AW2054" t="s">
        <v>2365</v>
      </c>
      <c r="AX2054" t="s">
        <v>2365</v>
      </c>
      <c r="AY2054" t="s">
        <v>2365</v>
      </c>
      <c r="AZ2054" t="s">
        <v>2365</v>
      </c>
      <c r="BA2054" t="s">
        <v>2365</v>
      </c>
      <c r="BB2054" t="s">
        <v>2365</v>
      </c>
      <c r="BC2054" t="s">
        <v>2365</v>
      </c>
      <c r="BD2054" t="s">
        <v>2366</v>
      </c>
      <c r="BE2054" t="s">
        <v>2365</v>
      </c>
      <c r="BF2054" t="s">
        <v>2365</v>
      </c>
      <c r="BG2054" t="s">
        <v>2365</v>
      </c>
      <c r="BH2054" t="s">
        <v>2365</v>
      </c>
      <c r="BI2054" t="s">
        <v>2366</v>
      </c>
      <c r="BJ2054" t="s">
        <v>2365</v>
      </c>
      <c r="BK2054" t="s">
        <v>2365</v>
      </c>
      <c r="BL2054" t="s">
        <v>2365</v>
      </c>
      <c r="BM2054" t="s">
        <v>2365</v>
      </c>
      <c r="BO2054">
        <v>1</v>
      </c>
      <c r="BP2054">
        <v>11</v>
      </c>
      <c r="BQ2054" t="s">
        <v>2369</v>
      </c>
      <c r="BR2054" t="s">
        <v>1487</v>
      </c>
      <c r="BU2054">
        <v>0</v>
      </c>
      <c r="BV2054">
        <v>0</v>
      </c>
      <c r="BW2054">
        <v>0</v>
      </c>
      <c r="BX2054">
        <v>0</v>
      </c>
      <c r="BY2054">
        <v>0</v>
      </c>
      <c r="BZ2054">
        <v>0</v>
      </c>
      <c r="CA2054">
        <v>0</v>
      </c>
      <c r="CB2054">
        <v>0</v>
      </c>
      <c r="CC2054">
        <v>0</v>
      </c>
      <c r="CD2054">
        <v>0</v>
      </c>
      <c r="CE2054">
        <v>0</v>
      </c>
      <c r="CF2054">
        <v>0</v>
      </c>
      <c r="CG2054">
        <v>0</v>
      </c>
      <c r="CH2054">
        <v>0</v>
      </c>
      <c r="CI2054">
        <v>0</v>
      </c>
      <c r="CJ2054">
        <v>0</v>
      </c>
      <c r="CK2054">
        <v>0</v>
      </c>
      <c r="CL2054">
        <v>0</v>
      </c>
      <c r="CM2054">
        <v>0</v>
      </c>
      <c r="CR2054" t="s">
        <v>2325</v>
      </c>
      <c r="CS2054" s="1369" t="str">
        <f>INDEX([8]Sheet1!$H:$H,MATCH(CR:CR,[8]Sheet1!$AU:$AU,0))</f>
        <v>Asset Management</v>
      </c>
    </row>
    <row r="2055" spans="1:97" x14ac:dyDescent="0.2">
      <c r="A2055" t="s">
        <v>5381</v>
      </c>
      <c r="B2055">
        <v>2153</v>
      </c>
      <c r="C2055" t="s">
        <v>5381</v>
      </c>
      <c r="D2055">
        <v>55153</v>
      </c>
      <c r="E2055" t="s">
        <v>4829</v>
      </c>
      <c r="F2055" t="s">
        <v>2364</v>
      </c>
      <c r="G2055" t="s">
        <v>2364</v>
      </c>
      <c r="H2055" t="s">
        <v>2365</v>
      </c>
      <c r="I2055" t="s">
        <v>2365</v>
      </c>
      <c r="J2055" t="s">
        <v>2365</v>
      </c>
      <c r="K2055" t="s">
        <v>2365</v>
      </c>
      <c r="L2055">
        <v>1200</v>
      </c>
      <c r="M2055" t="s">
        <v>1480</v>
      </c>
      <c r="N2055">
        <v>1204</v>
      </c>
      <c r="O2055" t="s">
        <v>1487</v>
      </c>
      <c r="P2055" t="s">
        <v>2366</v>
      </c>
      <c r="Q2055" t="s">
        <v>2364</v>
      </c>
      <c r="R2055" t="s">
        <v>2364</v>
      </c>
      <c r="S2055" t="s">
        <v>553</v>
      </c>
      <c r="T2055" t="s">
        <v>2367</v>
      </c>
      <c r="U2055">
        <v>360</v>
      </c>
      <c r="V2055" t="s">
        <v>2368</v>
      </c>
      <c r="W2055">
        <v>360</v>
      </c>
      <c r="X2055" t="s">
        <v>711</v>
      </c>
      <c r="Y2055" t="s">
        <v>2365</v>
      </c>
      <c r="Z2055" t="s">
        <v>2365</v>
      </c>
      <c r="AA2055" t="s">
        <v>2365</v>
      </c>
      <c r="AB2055" t="s">
        <v>2365</v>
      </c>
      <c r="AC2055" s="813" t="s">
        <v>2365</v>
      </c>
      <c r="AD2055" s="813" t="s">
        <v>2365</v>
      </c>
      <c r="AE2055" s="813" t="s">
        <v>2365</v>
      </c>
      <c r="AF2055" t="s">
        <v>2365</v>
      </c>
      <c r="AG2055" t="s">
        <v>2365</v>
      </c>
      <c r="AH2055" t="s">
        <v>2365</v>
      </c>
      <c r="AI2055" t="s">
        <v>2365</v>
      </c>
      <c r="AJ2055" t="s">
        <v>2365</v>
      </c>
      <c r="AK2055">
        <v>363</v>
      </c>
      <c r="AL2055" t="s">
        <v>748</v>
      </c>
      <c r="AM2055">
        <v>363</v>
      </c>
      <c r="AN2055" t="s">
        <v>748</v>
      </c>
      <c r="AR2055" t="s">
        <v>2365</v>
      </c>
      <c r="AS2055" t="s">
        <v>2365</v>
      </c>
      <c r="AT2055" t="s">
        <v>2365</v>
      </c>
      <c r="AU2055" t="s">
        <v>2365</v>
      </c>
      <c r="AV2055" t="s">
        <v>2365</v>
      </c>
      <c r="AW2055" t="s">
        <v>2365</v>
      </c>
      <c r="AX2055" t="s">
        <v>2365</v>
      </c>
      <c r="AY2055" t="s">
        <v>2365</v>
      </c>
      <c r="AZ2055" t="s">
        <v>2365</v>
      </c>
      <c r="BA2055" t="s">
        <v>2365</v>
      </c>
      <c r="BB2055" t="s">
        <v>2365</v>
      </c>
      <c r="BC2055" t="s">
        <v>2365</v>
      </c>
      <c r="BD2055" t="s">
        <v>2366</v>
      </c>
      <c r="BE2055" t="s">
        <v>2365</v>
      </c>
      <c r="BF2055" t="s">
        <v>2365</v>
      </c>
      <c r="BG2055" t="s">
        <v>2365</v>
      </c>
      <c r="BH2055" t="s">
        <v>2365</v>
      </c>
      <c r="BI2055" t="s">
        <v>2366</v>
      </c>
      <c r="BJ2055" t="s">
        <v>2365</v>
      </c>
      <c r="BK2055" t="s">
        <v>2365</v>
      </c>
      <c r="BL2055" t="s">
        <v>2365</v>
      </c>
      <c r="BM2055" t="s">
        <v>2365</v>
      </c>
      <c r="BO2055">
        <v>1</v>
      </c>
      <c r="BP2055">
        <v>11</v>
      </c>
      <c r="BQ2055" t="s">
        <v>2369</v>
      </c>
      <c r="BR2055" t="s">
        <v>1487</v>
      </c>
      <c r="BU2055">
        <v>0</v>
      </c>
      <c r="BV2055">
        <v>0</v>
      </c>
      <c r="BW2055">
        <v>0</v>
      </c>
      <c r="BX2055">
        <v>0</v>
      </c>
      <c r="BY2055">
        <v>0</v>
      </c>
      <c r="BZ2055">
        <v>0</v>
      </c>
      <c r="CA2055">
        <v>0</v>
      </c>
      <c r="CB2055">
        <v>0</v>
      </c>
      <c r="CC2055">
        <v>0</v>
      </c>
      <c r="CD2055">
        <v>0</v>
      </c>
      <c r="CE2055">
        <v>0</v>
      </c>
      <c r="CF2055">
        <v>0</v>
      </c>
      <c r="CG2055">
        <v>0</v>
      </c>
      <c r="CH2055">
        <v>0</v>
      </c>
      <c r="CI2055">
        <v>0</v>
      </c>
      <c r="CJ2055">
        <v>0</v>
      </c>
      <c r="CK2055">
        <v>0</v>
      </c>
      <c r="CL2055">
        <v>0</v>
      </c>
      <c r="CM2055">
        <v>0</v>
      </c>
      <c r="CR2055" t="s">
        <v>2325</v>
      </c>
      <c r="CS2055" s="1369" t="str">
        <f>INDEX([8]Sheet1!$H:$H,MATCH(CR:CR,[8]Sheet1!$AU:$AU,0))</f>
        <v>Asset Management</v>
      </c>
    </row>
    <row r="2056" spans="1:97" x14ac:dyDescent="0.2">
      <c r="A2056" t="s">
        <v>5382</v>
      </c>
      <c r="B2056">
        <v>2154</v>
      </c>
      <c r="C2056" t="s">
        <v>5382</v>
      </c>
      <c r="D2056">
        <v>55154</v>
      </c>
      <c r="E2056" t="s">
        <v>5383</v>
      </c>
      <c r="F2056" t="s">
        <v>2364</v>
      </c>
      <c r="G2056" t="s">
        <v>2364</v>
      </c>
      <c r="H2056" t="s">
        <v>2365</v>
      </c>
      <c r="I2056" t="s">
        <v>2365</v>
      </c>
      <c r="J2056" t="s">
        <v>2365</v>
      </c>
      <c r="K2056" t="s">
        <v>2365</v>
      </c>
      <c r="L2056">
        <v>1200</v>
      </c>
      <c r="M2056" t="s">
        <v>1480</v>
      </c>
      <c r="N2056">
        <v>1204</v>
      </c>
      <c r="O2056" t="s">
        <v>1487</v>
      </c>
      <c r="P2056" t="s">
        <v>2366</v>
      </c>
      <c r="Q2056" t="s">
        <v>2364</v>
      </c>
      <c r="R2056" t="s">
        <v>2364</v>
      </c>
      <c r="S2056" t="s">
        <v>553</v>
      </c>
      <c r="T2056" t="s">
        <v>2367</v>
      </c>
      <c r="U2056">
        <v>360</v>
      </c>
      <c r="V2056" t="s">
        <v>2368</v>
      </c>
      <c r="W2056">
        <v>360</v>
      </c>
      <c r="X2056" t="s">
        <v>711</v>
      </c>
      <c r="Y2056" t="s">
        <v>2365</v>
      </c>
      <c r="Z2056" t="s">
        <v>2365</v>
      </c>
      <c r="AA2056" t="s">
        <v>2365</v>
      </c>
      <c r="AB2056" t="s">
        <v>2365</v>
      </c>
      <c r="AC2056" s="813" t="s">
        <v>2365</v>
      </c>
      <c r="AD2056" s="813" t="s">
        <v>2365</v>
      </c>
      <c r="AE2056" s="813" t="s">
        <v>2365</v>
      </c>
      <c r="AF2056" t="s">
        <v>2365</v>
      </c>
      <c r="AG2056" t="s">
        <v>2365</v>
      </c>
      <c r="AH2056" t="s">
        <v>2365</v>
      </c>
      <c r="AI2056" t="s">
        <v>2365</v>
      </c>
      <c r="AJ2056" t="s">
        <v>2365</v>
      </c>
      <c r="AK2056">
        <v>363</v>
      </c>
      <c r="AL2056" t="s">
        <v>748</v>
      </c>
      <c r="AM2056">
        <v>363</v>
      </c>
      <c r="AN2056" t="s">
        <v>748</v>
      </c>
      <c r="AR2056" t="s">
        <v>2365</v>
      </c>
      <c r="AS2056" t="s">
        <v>2365</v>
      </c>
      <c r="AT2056" t="s">
        <v>2365</v>
      </c>
      <c r="AU2056" t="s">
        <v>2365</v>
      </c>
      <c r="AV2056" t="s">
        <v>2365</v>
      </c>
      <c r="AW2056" t="s">
        <v>2365</v>
      </c>
      <c r="AX2056" t="s">
        <v>2365</v>
      </c>
      <c r="AY2056" t="s">
        <v>2365</v>
      </c>
      <c r="AZ2056" t="s">
        <v>2365</v>
      </c>
      <c r="BA2056" t="s">
        <v>2365</v>
      </c>
      <c r="BB2056" t="s">
        <v>2365</v>
      </c>
      <c r="BC2056" t="s">
        <v>2365</v>
      </c>
      <c r="BD2056" t="s">
        <v>2366</v>
      </c>
      <c r="BE2056" t="s">
        <v>2365</v>
      </c>
      <c r="BF2056" t="s">
        <v>2365</v>
      </c>
      <c r="BG2056" t="s">
        <v>2365</v>
      </c>
      <c r="BH2056" t="s">
        <v>2365</v>
      </c>
      <c r="BI2056" t="s">
        <v>2366</v>
      </c>
      <c r="BJ2056" t="s">
        <v>2365</v>
      </c>
      <c r="BK2056" t="s">
        <v>2365</v>
      </c>
      <c r="BL2056" t="s">
        <v>2365</v>
      </c>
      <c r="BM2056" t="s">
        <v>2365</v>
      </c>
      <c r="BO2056">
        <v>1</v>
      </c>
      <c r="BP2056">
        <v>11</v>
      </c>
      <c r="BQ2056" t="s">
        <v>2369</v>
      </c>
      <c r="BR2056" t="s">
        <v>1487</v>
      </c>
      <c r="BU2056">
        <v>0</v>
      </c>
      <c r="BV2056">
        <v>0</v>
      </c>
      <c r="BW2056">
        <v>0</v>
      </c>
      <c r="BX2056">
        <v>0</v>
      </c>
      <c r="BY2056">
        <v>0</v>
      </c>
      <c r="BZ2056">
        <v>0</v>
      </c>
      <c r="CA2056">
        <v>0</v>
      </c>
      <c r="CB2056">
        <v>0</v>
      </c>
      <c r="CC2056">
        <v>0</v>
      </c>
      <c r="CD2056">
        <v>0</v>
      </c>
      <c r="CE2056">
        <v>0</v>
      </c>
      <c r="CF2056">
        <v>0</v>
      </c>
      <c r="CG2056">
        <v>0</v>
      </c>
      <c r="CH2056">
        <v>0</v>
      </c>
      <c r="CI2056">
        <v>0</v>
      </c>
      <c r="CJ2056">
        <v>0</v>
      </c>
      <c r="CK2056">
        <v>0</v>
      </c>
      <c r="CL2056">
        <v>0</v>
      </c>
      <c r="CM2056">
        <v>0</v>
      </c>
      <c r="CR2056" t="s">
        <v>2325</v>
      </c>
      <c r="CS2056" s="1369" t="str">
        <f>INDEX([8]Sheet1!$H:$H,MATCH(CR:CR,[8]Sheet1!$AU:$AU,0))</f>
        <v>Asset Management</v>
      </c>
    </row>
    <row r="2057" spans="1:97" x14ac:dyDescent="0.2">
      <c r="A2057" t="s">
        <v>5384</v>
      </c>
      <c r="B2057">
        <v>2155</v>
      </c>
      <c r="C2057" t="s">
        <v>5384</v>
      </c>
      <c r="D2057">
        <v>55155</v>
      </c>
      <c r="E2057" t="s">
        <v>5383</v>
      </c>
      <c r="F2057" t="s">
        <v>2364</v>
      </c>
      <c r="G2057" t="s">
        <v>2364</v>
      </c>
      <c r="H2057" t="s">
        <v>2365</v>
      </c>
      <c r="I2057" t="s">
        <v>2365</v>
      </c>
      <c r="J2057" t="s">
        <v>2365</v>
      </c>
      <c r="K2057" t="s">
        <v>2365</v>
      </c>
      <c r="L2057">
        <v>1200</v>
      </c>
      <c r="M2057" t="s">
        <v>1480</v>
      </c>
      <c r="N2057">
        <v>1204</v>
      </c>
      <c r="O2057" t="s">
        <v>1487</v>
      </c>
      <c r="P2057" t="s">
        <v>2366</v>
      </c>
      <c r="Q2057" t="s">
        <v>2364</v>
      </c>
      <c r="R2057" t="s">
        <v>2364</v>
      </c>
      <c r="S2057" t="s">
        <v>553</v>
      </c>
      <c r="T2057" t="s">
        <v>2367</v>
      </c>
      <c r="U2057">
        <v>360</v>
      </c>
      <c r="V2057" t="s">
        <v>2368</v>
      </c>
      <c r="W2057">
        <v>360</v>
      </c>
      <c r="X2057" t="s">
        <v>711</v>
      </c>
      <c r="Y2057" t="s">
        <v>2365</v>
      </c>
      <c r="Z2057" t="s">
        <v>2365</v>
      </c>
      <c r="AA2057" t="s">
        <v>2365</v>
      </c>
      <c r="AB2057" t="s">
        <v>2365</v>
      </c>
      <c r="AC2057" s="813" t="s">
        <v>2365</v>
      </c>
      <c r="AD2057" s="813" t="s">
        <v>2365</v>
      </c>
      <c r="AE2057" s="813" t="s">
        <v>2365</v>
      </c>
      <c r="AF2057" t="s">
        <v>2365</v>
      </c>
      <c r="AG2057" t="s">
        <v>2365</v>
      </c>
      <c r="AH2057" t="s">
        <v>2365</v>
      </c>
      <c r="AI2057" t="s">
        <v>2365</v>
      </c>
      <c r="AJ2057" t="s">
        <v>2365</v>
      </c>
      <c r="AK2057">
        <v>363</v>
      </c>
      <c r="AL2057" t="s">
        <v>748</v>
      </c>
      <c r="AM2057">
        <v>363</v>
      </c>
      <c r="AN2057" t="s">
        <v>748</v>
      </c>
      <c r="AR2057" t="s">
        <v>2365</v>
      </c>
      <c r="AS2057" t="s">
        <v>2365</v>
      </c>
      <c r="AT2057" t="s">
        <v>2365</v>
      </c>
      <c r="AU2057" t="s">
        <v>2365</v>
      </c>
      <c r="AV2057" t="s">
        <v>2365</v>
      </c>
      <c r="AW2057" t="s">
        <v>2365</v>
      </c>
      <c r="AX2057" t="s">
        <v>2365</v>
      </c>
      <c r="AY2057" t="s">
        <v>2365</v>
      </c>
      <c r="AZ2057" t="s">
        <v>2365</v>
      </c>
      <c r="BA2057" t="s">
        <v>2365</v>
      </c>
      <c r="BB2057" t="s">
        <v>2365</v>
      </c>
      <c r="BC2057" t="s">
        <v>2365</v>
      </c>
      <c r="BD2057" t="s">
        <v>2366</v>
      </c>
      <c r="BE2057" t="s">
        <v>2365</v>
      </c>
      <c r="BF2057" t="s">
        <v>2365</v>
      </c>
      <c r="BG2057" t="s">
        <v>2365</v>
      </c>
      <c r="BH2057" t="s">
        <v>2365</v>
      </c>
      <c r="BI2057" t="s">
        <v>2366</v>
      </c>
      <c r="BJ2057" t="s">
        <v>2365</v>
      </c>
      <c r="BK2057" t="s">
        <v>2365</v>
      </c>
      <c r="BL2057" t="s">
        <v>2365</v>
      </c>
      <c r="BM2057" t="s">
        <v>2365</v>
      </c>
      <c r="BO2057">
        <v>1</v>
      </c>
      <c r="BP2057">
        <v>11</v>
      </c>
      <c r="BQ2057" t="s">
        <v>2369</v>
      </c>
      <c r="BR2057" t="s">
        <v>1487</v>
      </c>
      <c r="BU2057">
        <v>0</v>
      </c>
      <c r="BV2057">
        <v>0</v>
      </c>
      <c r="BW2057">
        <v>0</v>
      </c>
      <c r="BX2057">
        <v>0</v>
      </c>
      <c r="BY2057">
        <v>0</v>
      </c>
      <c r="BZ2057">
        <v>0</v>
      </c>
      <c r="CA2057">
        <v>0</v>
      </c>
      <c r="CB2057">
        <v>0</v>
      </c>
      <c r="CC2057">
        <v>0</v>
      </c>
      <c r="CD2057">
        <v>0</v>
      </c>
      <c r="CE2057">
        <v>0</v>
      </c>
      <c r="CF2057">
        <v>0</v>
      </c>
      <c r="CG2057">
        <v>0</v>
      </c>
      <c r="CH2057">
        <v>0</v>
      </c>
      <c r="CI2057">
        <v>0</v>
      </c>
      <c r="CJ2057">
        <v>0</v>
      </c>
      <c r="CK2057">
        <v>0</v>
      </c>
      <c r="CL2057">
        <v>0</v>
      </c>
      <c r="CM2057">
        <v>0</v>
      </c>
      <c r="CR2057" t="s">
        <v>2325</v>
      </c>
      <c r="CS2057" s="1369" t="str">
        <f>INDEX([8]Sheet1!$H:$H,MATCH(CR:CR,[8]Sheet1!$AU:$AU,0))</f>
        <v>Asset Management</v>
      </c>
    </row>
    <row r="2058" spans="1:97" x14ac:dyDescent="0.2">
      <c r="A2058" t="s">
        <v>5385</v>
      </c>
      <c r="B2058">
        <v>2156</v>
      </c>
      <c r="C2058" t="s">
        <v>5385</v>
      </c>
      <c r="D2058">
        <v>55156</v>
      </c>
      <c r="E2058" t="s">
        <v>5383</v>
      </c>
      <c r="F2058" t="s">
        <v>2364</v>
      </c>
      <c r="G2058" t="s">
        <v>2364</v>
      </c>
      <c r="H2058" t="s">
        <v>2365</v>
      </c>
      <c r="I2058" t="s">
        <v>2365</v>
      </c>
      <c r="J2058" t="s">
        <v>2365</v>
      </c>
      <c r="K2058" t="s">
        <v>2365</v>
      </c>
      <c r="L2058">
        <v>1200</v>
      </c>
      <c r="M2058" t="s">
        <v>1480</v>
      </c>
      <c r="N2058">
        <v>1204</v>
      </c>
      <c r="O2058" t="s">
        <v>1487</v>
      </c>
      <c r="P2058" t="s">
        <v>2366</v>
      </c>
      <c r="Q2058" t="s">
        <v>2364</v>
      </c>
      <c r="R2058" t="s">
        <v>2364</v>
      </c>
      <c r="S2058" t="s">
        <v>553</v>
      </c>
      <c r="T2058" t="s">
        <v>2367</v>
      </c>
      <c r="U2058">
        <v>360</v>
      </c>
      <c r="V2058" t="s">
        <v>2368</v>
      </c>
      <c r="W2058">
        <v>360</v>
      </c>
      <c r="X2058" t="s">
        <v>711</v>
      </c>
      <c r="Y2058" t="s">
        <v>2365</v>
      </c>
      <c r="Z2058" t="s">
        <v>2365</v>
      </c>
      <c r="AA2058" t="s">
        <v>2365</v>
      </c>
      <c r="AB2058" t="s">
        <v>2365</v>
      </c>
      <c r="AC2058" s="813" t="s">
        <v>2365</v>
      </c>
      <c r="AD2058" s="813" t="s">
        <v>2365</v>
      </c>
      <c r="AE2058" s="813" t="s">
        <v>2365</v>
      </c>
      <c r="AF2058" t="s">
        <v>2365</v>
      </c>
      <c r="AG2058" t="s">
        <v>2365</v>
      </c>
      <c r="AH2058" t="s">
        <v>2365</v>
      </c>
      <c r="AI2058" t="s">
        <v>2365</v>
      </c>
      <c r="AJ2058" t="s">
        <v>2365</v>
      </c>
      <c r="AK2058">
        <v>363</v>
      </c>
      <c r="AL2058" t="s">
        <v>748</v>
      </c>
      <c r="AM2058">
        <v>363</v>
      </c>
      <c r="AN2058" t="s">
        <v>748</v>
      </c>
      <c r="AR2058" t="s">
        <v>2365</v>
      </c>
      <c r="AS2058" t="s">
        <v>2365</v>
      </c>
      <c r="AT2058" t="s">
        <v>2365</v>
      </c>
      <c r="AU2058" t="s">
        <v>2365</v>
      </c>
      <c r="AV2058" t="s">
        <v>2365</v>
      </c>
      <c r="AW2058" t="s">
        <v>2365</v>
      </c>
      <c r="AX2058" t="s">
        <v>2365</v>
      </c>
      <c r="AY2058" t="s">
        <v>2365</v>
      </c>
      <c r="AZ2058" t="s">
        <v>2365</v>
      </c>
      <c r="BA2058" t="s">
        <v>2365</v>
      </c>
      <c r="BB2058" t="s">
        <v>2365</v>
      </c>
      <c r="BC2058" t="s">
        <v>2365</v>
      </c>
      <c r="BD2058" t="s">
        <v>2366</v>
      </c>
      <c r="BE2058" t="s">
        <v>2365</v>
      </c>
      <c r="BF2058" t="s">
        <v>2365</v>
      </c>
      <c r="BG2058" t="s">
        <v>2365</v>
      </c>
      <c r="BH2058" t="s">
        <v>2365</v>
      </c>
      <c r="BI2058" t="s">
        <v>2366</v>
      </c>
      <c r="BJ2058" t="s">
        <v>2365</v>
      </c>
      <c r="BK2058" t="s">
        <v>2365</v>
      </c>
      <c r="BL2058" t="s">
        <v>2365</v>
      </c>
      <c r="BM2058" t="s">
        <v>2365</v>
      </c>
      <c r="BO2058">
        <v>1</v>
      </c>
      <c r="BP2058">
        <v>11</v>
      </c>
      <c r="BQ2058" t="s">
        <v>2369</v>
      </c>
      <c r="BR2058" t="s">
        <v>1487</v>
      </c>
      <c r="BU2058">
        <v>0</v>
      </c>
      <c r="BV2058">
        <v>0</v>
      </c>
      <c r="BW2058">
        <v>0</v>
      </c>
      <c r="BX2058">
        <v>0</v>
      </c>
      <c r="BY2058">
        <v>0</v>
      </c>
      <c r="BZ2058">
        <v>0</v>
      </c>
      <c r="CA2058">
        <v>0</v>
      </c>
      <c r="CB2058">
        <v>0</v>
      </c>
      <c r="CC2058">
        <v>0</v>
      </c>
      <c r="CD2058">
        <v>0</v>
      </c>
      <c r="CE2058">
        <v>0</v>
      </c>
      <c r="CF2058">
        <v>0</v>
      </c>
      <c r="CG2058">
        <v>0</v>
      </c>
      <c r="CH2058">
        <v>0</v>
      </c>
      <c r="CI2058">
        <v>0</v>
      </c>
      <c r="CJ2058">
        <v>0</v>
      </c>
      <c r="CK2058">
        <v>0</v>
      </c>
      <c r="CL2058">
        <v>0</v>
      </c>
      <c r="CM2058">
        <v>0</v>
      </c>
      <c r="CR2058" t="s">
        <v>2325</v>
      </c>
      <c r="CS2058" s="1369" t="str">
        <f>INDEX([8]Sheet1!$H:$H,MATCH(CR:CR,[8]Sheet1!$AU:$AU,0))</f>
        <v>Asset Management</v>
      </c>
    </row>
    <row r="2059" spans="1:97" x14ac:dyDescent="0.2">
      <c r="A2059" t="s">
        <v>5386</v>
      </c>
      <c r="B2059">
        <v>2157</v>
      </c>
      <c r="C2059" t="s">
        <v>5386</v>
      </c>
      <c r="D2059">
        <v>55157</v>
      </c>
      <c r="E2059" t="s">
        <v>4829</v>
      </c>
      <c r="F2059" t="s">
        <v>2364</v>
      </c>
      <c r="G2059" t="s">
        <v>2364</v>
      </c>
      <c r="H2059" t="s">
        <v>2365</v>
      </c>
      <c r="I2059" t="s">
        <v>2365</v>
      </c>
      <c r="J2059" t="s">
        <v>2365</v>
      </c>
      <c r="K2059" t="s">
        <v>2365</v>
      </c>
      <c r="L2059">
        <v>1200</v>
      </c>
      <c r="M2059" t="s">
        <v>1480</v>
      </c>
      <c r="N2059">
        <v>1204</v>
      </c>
      <c r="O2059" t="s">
        <v>1487</v>
      </c>
      <c r="P2059" t="s">
        <v>2366</v>
      </c>
      <c r="Q2059" t="s">
        <v>2364</v>
      </c>
      <c r="R2059" t="s">
        <v>2364</v>
      </c>
      <c r="S2059" t="s">
        <v>553</v>
      </c>
      <c r="T2059" t="s">
        <v>2367</v>
      </c>
      <c r="U2059">
        <v>360</v>
      </c>
      <c r="V2059" t="s">
        <v>2368</v>
      </c>
      <c r="W2059">
        <v>360</v>
      </c>
      <c r="X2059" t="s">
        <v>711</v>
      </c>
      <c r="Y2059" t="s">
        <v>2365</v>
      </c>
      <c r="Z2059" t="s">
        <v>2365</v>
      </c>
      <c r="AA2059" t="s">
        <v>2365</v>
      </c>
      <c r="AB2059" t="s">
        <v>2365</v>
      </c>
      <c r="AC2059" s="813" t="s">
        <v>2365</v>
      </c>
      <c r="AD2059" s="813" t="s">
        <v>2365</v>
      </c>
      <c r="AE2059" s="813" t="s">
        <v>2365</v>
      </c>
      <c r="AF2059" t="s">
        <v>2365</v>
      </c>
      <c r="AG2059" t="s">
        <v>2365</v>
      </c>
      <c r="AH2059" t="s">
        <v>2365</v>
      </c>
      <c r="AI2059" t="s">
        <v>2365</v>
      </c>
      <c r="AJ2059" t="s">
        <v>2365</v>
      </c>
      <c r="AK2059">
        <v>363</v>
      </c>
      <c r="AL2059" t="s">
        <v>748</v>
      </c>
      <c r="AM2059">
        <v>363</v>
      </c>
      <c r="AN2059" t="s">
        <v>748</v>
      </c>
      <c r="AR2059" t="s">
        <v>2365</v>
      </c>
      <c r="AS2059" t="s">
        <v>2365</v>
      </c>
      <c r="AT2059" t="s">
        <v>2365</v>
      </c>
      <c r="AU2059" t="s">
        <v>2365</v>
      </c>
      <c r="AV2059" t="s">
        <v>2365</v>
      </c>
      <c r="AW2059" t="s">
        <v>2365</v>
      </c>
      <c r="AX2059" t="s">
        <v>2365</v>
      </c>
      <c r="AY2059" t="s">
        <v>2365</v>
      </c>
      <c r="AZ2059" t="s">
        <v>2365</v>
      </c>
      <c r="BA2059" t="s">
        <v>2365</v>
      </c>
      <c r="BB2059" t="s">
        <v>2365</v>
      </c>
      <c r="BC2059" t="s">
        <v>2365</v>
      </c>
      <c r="BD2059" t="s">
        <v>2366</v>
      </c>
      <c r="BE2059" t="s">
        <v>2365</v>
      </c>
      <c r="BF2059" t="s">
        <v>2365</v>
      </c>
      <c r="BG2059" t="s">
        <v>2365</v>
      </c>
      <c r="BH2059" t="s">
        <v>2365</v>
      </c>
      <c r="BI2059" t="s">
        <v>2366</v>
      </c>
      <c r="BJ2059" t="s">
        <v>2365</v>
      </c>
      <c r="BK2059" t="s">
        <v>2365</v>
      </c>
      <c r="BL2059" t="s">
        <v>2365</v>
      </c>
      <c r="BM2059" t="s">
        <v>2365</v>
      </c>
      <c r="BO2059">
        <v>1</v>
      </c>
      <c r="BP2059">
        <v>11</v>
      </c>
      <c r="BQ2059" t="s">
        <v>2369</v>
      </c>
      <c r="BR2059" t="s">
        <v>1487</v>
      </c>
      <c r="BU2059">
        <v>0</v>
      </c>
      <c r="BV2059">
        <v>0</v>
      </c>
      <c r="BW2059">
        <v>0</v>
      </c>
      <c r="BX2059">
        <v>0</v>
      </c>
      <c r="BY2059">
        <v>0</v>
      </c>
      <c r="BZ2059">
        <v>0</v>
      </c>
      <c r="CA2059">
        <v>0</v>
      </c>
      <c r="CB2059">
        <v>0</v>
      </c>
      <c r="CC2059">
        <v>0</v>
      </c>
      <c r="CD2059">
        <v>0</v>
      </c>
      <c r="CE2059">
        <v>0</v>
      </c>
      <c r="CF2059">
        <v>0</v>
      </c>
      <c r="CG2059">
        <v>0</v>
      </c>
      <c r="CH2059">
        <v>0</v>
      </c>
      <c r="CI2059">
        <v>0</v>
      </c>
      <c r="CJ2059">
        <v>0</v>
      </c>
      <c r="CK2059">
        <v>0</v>
      </c>
      <c r="CL2059">
        <v>0</v>
      </c>
      <c r="CM2059">
        <v>0</v>
      </c>
      <c r="CR2059" t="s">
        <v>2325</v>
      </c>
      <c r="CS2059" s="1369" t="str">
        <f>INDEX([8]Sheet1!$H:$H,MATCH(CR:CR,[8]Sheet1!$AU:$AU,0))</f>
        <v>Asset Management</v>
      </c>
    </row>
    <row r="2060" spans="1:97" x14ac:dyDescent="0.2">
      <c r="A2060" t="s">
        <v>5387</v>
      </c>
      <c r="B2060">
        <v>2158</v>
      </c>
      <c r="C2060" t="s">
        <v>5387</v>
      </c>
      <c r="D2060">
        <v>55158</v>
      </c>
      <c r="E2060" t="s">
        <v>5146</v>
      </c>
      <c r="F2060" t="s">
        <v>2364</v>
      </c>
      <c r="G2060" t="s">
        <v>2364</v>
      </c>
      <c r="H2060" t="s">
        <v>2365</v>
      </c>
      <c r="I2060" t="s">
        <v>2365</v>
      </c>
      <c r="J2060" t="s">
        <v>2365</v>
      </c>
      <c r="K2060" t="s">
        <v>2365</v>
      </c>
      <c r="L2060">
        <v>1200</v>
      </c>
      <c r="M2060" t="s">
        <v>1480</v>
      </c>
      <c r="N2060">
        <v>1204</v>
      </c>
      <c r="O2060" t="s">
        <v>1487</v>
      </c>
      <c r="P2060" t="s">
        <v>2366</v>
      </c>
      <c r="Q2060" t="s">
        <v>2364</v>
      </c>
      <c r="R2060" t="s">
        <v>2364</v>
      </c>
      <c r="S2060" t="s">
        <v>553</v>
      </c>
      <c r="T2060" t="s">
        <v>2175</v>
      </c>
      <c r="U2060">
        <v>130</v>
      </c>
      <c r="V2060" t="s">
        <v>2652</v>
      </c>
      <c r="W2060">
        <v>130</v>
      </c>
      <c r="X2060" t="s">
        <v>2652</v>
      </c>
      <c r="Y2060" t="s">
        <v>2365</v>
      </c>
      <c r="Z2060" t="s">
        <v>2365</v>
      </c>
      <c r="AA2060" t="s">
        <v>2365</v>
      </c>
      <c r="AB2060" t="s">
        <v>2365</v>
      </c>
      <c r="AC2060" s="813" t="s">
        <v>2365</v>
      </c>
      <c r="AD2060" s="813" t="s">
        <v>2365</v>
      </c>
      <c r="AE2060" s="813" t="s">
        <v>2365</v>
      </c>
      <c r="AF2060" t="s">
        <v>2365</v>
      </c>
      <c r="AG2060" t="s">
        <v>2365</v>
      </c>
      <c r="AH2060" t="s">
        <v>2365</v>
      </c>
      <c r="AI2060" t="s">
        <v>2365</v>
      </c>
      <c r="AJ2060" t="s">
        <v>2365</v>
      </c>
      <c r="AK2060" t="s">
        <v>2365</v>
      </c>
      <c r="AL2060" t="s">
        <v>2365</v>
      </c>
      <c r="AM2060" t="s">
        <v>2365</v>
      </c>
      <c r="AN2060" t="s">
        <v>2365</v>
      </c>
      <c r="AQ2060" t="s">
        <v>553</v>
      </c>
      <c r="AR2060" t="s">
        <v>2365</v>
      </c>
      <c r="AS2060" t="s">
        <v>2365</v>
      </c>
      <c r="AT2060" t="s">
        <v>2365</v>
      </c>
      <c r="AU2060" t="s">
        <v>2365</v>
      </c>
      <c r="AV2060" t="s">
        <v>2365</v>
      </c>
      <c r="AW2060" t="s">
        <v>2365</v>
      </c>
      <c r="AX2060" t="s">
        <v>2365</v>
      </c>
      <c r="AY2060" t="s">
        <v>2365</v>
      </c>
      <c r="AZ2060" t="s">
        <v>2365</v>
      </c>
      <c r="BA2060" t="s">
        <v>2365</v>
      </c>
      <c r="BB2060" t="s">
        <v>2365</v>
      </c>
      <c r="BC2060" t="s">
        <v>2365</v>
      </c>
      <c r="BD2060" t="s">
        <v>2366</v>
      </c>
      <c r="BE2060" t="s">
        <v>2365</v>
      </c>
      <c r="BF2060" t="s">
        <v>2365</v>
      </c>
      <c r="BG2060" t="s">
        <v>2365</v>
      </c>
      <c r="BH2060" t="s">
        <v>2365</v>
      </c>
      <c r="BI2060" t="s">
        <v>2366</v>
      </c>
      <c r="BJ2060" t="s">
        <v>2365</v>
      </c>
      <c r="BK2060" t="s">
        <v>2365</v>
      </c>
      <c r="BL2060" t="s">
        <v>2365</v>
      </c>
      <c r="BM2060" t="s">
        <v>2365</v>
      </c>
      <c r="BO2060">
        <v>1</v>
      </c>
      <c r="BP2060">
        <v>11</v>
      </c>
      <c r="BQ2060" t="s">
        <v>2369</v>
      </c>
      <c r="BR2060" t="s">
        <v>1487</v>
      </c>
      <c r="BS2060">
        <v>8</v>
      </c>
      <c r="BU2060">
        <v>0</v>
      </c>
      <c r="BV2060">
        <v>0</v>
      </c>
      <c r="BW2060">
        <v>0</v>
      </c>
      <c r="BX2060">
        <v>0</v>
      </c>
      <c r="BY2060">
        <v>0</v>
      </c>
      <c r="BZ2060">
        <v>0</v>
      </c>
      <c r="CA2060">
        <v>0</v>
      </c>
      <c r="CB2060">
        <v>0</v>
      </c>
      <c r="CC2060">
        <v>0</v>
      </c>
      <c r="CD2060">
        <v>0</v>
      </c>
      <c r="CE2060">
        <v>0</v>
      </c>
      <c r="CF2060">
        <v>0</v>
      </c>
      <c r="CG2060">
        <v>0</v>
      </c>
      <c r="CH2060">
        <v>0</v>
      </c>
      <c r="CI2060">
        <v>0</v>
      </c>
      <c r="CJ2060">
        <v>0</v>
      </c>
      <c r="CK2060">
        <v>0</v>
      </c>
      <c r="CL2060">
        <v>0</v>
      </c>
      <c r="CM2060">
        <v>0</v>
      </c>
      <c r="CR2060" t="s">
        <v>2319</v>
      </c>
      <c r="CS2060" s="1369" t="str">
        <f>INDEX([8]Sheet1!$H:$H,MATCH(CR:CR,[8]Sheet1!$AU:$AU,0))</f>
        <v>Mayor and Council</v>
      </c>
    </row>
    <row r="2061" spans="1:97" x14ac:dyDescent="0.2">
      <c r="A2061" t="s">
        <v>5388</v>
      </c>
      <c r="B2061">
        <v>2159</v>
      </c>
      <c r="C2061" t="s">
        <v>5388</v>
      </c>
      <c r="D2061">
        <v>55159</v>
      </c>
      <c r="E2061" t="s">
        <v>5146</v>
      </c>
      <c r="F2061" t="s">
        <v>2364</v>
      </c>
      <c r="G2061" t="s">
        <v>2364</v>
      </c>
      <c r="H2061" t="s">
        <v>2365</v>
      </c>
      <c r="I2061" t="s">
        <v>2365</v>
      </c>
      <c r="J2061" t="s">
        <v>2365</v>
      </c>
      <c r="K2061" t="s">
        <v>2365</v>
      </c>
      <c r="L2061">
        <v>1200</v>
      </c>
      <c r="M2061" t="s">
        <v>1480</v>
      </c>
      <c r="N2061">
        <v>1204</v>
      </c>
      <c r="O2061" t="s">
        <v>1487</v>
      </c>
      <c r="P2061" t="s">
        <v>2366</v>
      </c>
      <c r="Q2061" t="s">
        <v>2364</v>
      </c>
      <c r="R2061" t="s">
        <v>2364</v>
      </c>
      <c r="S2061" t="s">
        <v>553</v>
      </c>
      <c r="T2061" t="s">
        <v>2175</v>
      </c>
      <c r="U2061">
        <v>130</v>
      </c>
      <c r="V2061" t="s">
        <v>2652</v>
      </c>
      <c r="W2061">
        <v>130</v>
      </c>
      <c r="X2061" t="s">
        <v>2652</v>
      </c>
      <c r="Y2061" t="s">
        <v>2365</v>
      </c>
      <c r="Z2061" t="s">
        <v>2365</v>
      </c>
      <c r="AA2061" t="s">
        <v>2365</v>
      </c>
      <c r="AB2061" t="s">
        <v>2365</v>
      </c>
      <c r="AC2061" s="813" t="s">
        <v>2365</v>
      </c>
      <c r="AD2061" s="813" t="s">
        <v>2365</v>
      </c>
      <c r="AE2061" s="813" t="s">
        <v>2365</v>
      </c>
      <c r="AF2061" t="s">
        <v>2365</v>
      </c>
      <c r="AG2061" t="s">
        <v>2365</v>
      </c>
      <c r="AH2061" t="s">
        <v>2365</v>
      </c>
      <c r="AI2061" t="s">
        <v>2365</v>
      </c>
      <c r="AJ2061" t="s">
        <v>2365</v>
      </c>
      <c r="AK2061" t="s">
        <v>2365</v>
      </c>
      <c r="AL2061" t="s">
        <v>2365</v>
      </c>
      <c r="AM2061" t="s">
        <v>2365</v>
      </c>
      <c r="AN2061" t="s">
        <v>2365</v>
      </c>
      <c r="AQ2061" t="s">
        <v>553</v>
      </c>
      <c r="AR2061" t="s">
        <v>2365</v>
      </c>
      <c r="AS2061" t="s">
        <v>2365</v>
      </c>
      <c r="AT2061" t="s">
        <v>2365</v>
      </c>
      <c r="AU2061" t="s">
        <v>2365</v>
      </c>
      <c r="AV2061" t="s">
        <v>2365</v>
      </c>
      <c r="AW2061" t="s">
        <v>2365</v>
      </c>
      <c r="AX2061" t="s">
        <v>2365</v>
      </c>
      <c r="AY2061" t="s">
        <v>2365</v>
      </c>
      <c r="AZ2061" t="s">
        <v>2365</v>
      </c>
      <c r="BA2061" t="s">
        <v>2365</v>
      </c>
      <c r="BB2061" t="s">
        <v>2365</v>
      </c>
      <c r="BC2061" t="s">
        <v>2365</v>
      </c>
      <c r="BD2061" t="s">
        <v>2366</v>
      </c>
      <c r="BE2061" t="s">
        <v>2365</v>
      </c>
      <c r="BF2061" t="s">
        <v>2365</v>
      </c>
      <c r="BG2061" t="s">
        <v>2365</v>
      </c>
      <c r="BH2061" t="s">
        <v>2365</v>
      </c>
      <c r="BI2061" t="s">
        <v>2366</v>
      </c>
      <c r="BJ2061" t="s">
        <v>2365</v>
      </c>
      <c r="BK2061" t="s">
        <v>2365</v>
      </c>
      <c r="BL2061" t="s">
        <v>2365</v>
      </c>
      <c r="BM2061" t="s">
        <v>2365</v>
      </c>
      <c r="BO2061">
        <v>1</v>
      </c>
      <c r="BP2061">
        <v>11</v>
      </c>
      <c r="BQ2061" t="s">
        <v>2369</v>
      </c>
      <c r="BR2061" t="s">
        <v>1487</v>
      </c>
      <c r="BS2061">
        <v>8</v>
      </c>
      <c r="BU2061">
        <v>0</v>
      </c>
      <c r="BV2061">
        <v>0</v>
      </c>
      <c r="BW2061">
        <v>0</v>
      </c>
      <c r="BX2061">
        <v>0</v>
      </c>
      <c r="BY2061">
        <v>0</v>
      </c>
      <c r="BZ2061">
        <v>0</v>
      </c>
      <c r="CA2061">
        <v>0</v>
      </c>
      <c r="CB2061">
        <v>0</v>
      </c>
      <c r="CC2061">
        <v>0</v>
      </c>
      <c r="CD2061">
        <v>0</v>
      </c>
      <c r="CE2061">
        <v>0</v>
      </c>
      <c r="CF2061">
        <v>0</v>
      </c>
      <c r="CG2061">
        <v>0</v>
      </c>
      <c r="CH2061">
        <v>0</v>
      </c>
      <c r="CI2061">
        <v>0</v>
      </c>
      <c r="CJ2061">
        <v>0</v>
      </c>
      <c r="CK2061">
        <v>0</v>
      </c>
      <c r="CL2061">
        <v>0</v>
      </c>
      <c r="CM2061">
        <v>0</v>
      </c>
      <c r="CR2061" t="s">
        <v>2328</v>
      </c>
      <c r="CS2061" s="1369" t="str">
        <f>INDEX([8]Sheet1!$H:$H,MATCH(CR:CR,[8]Sheet1!$AU:$AU,0))</f>
        <v>Water Distribution</v>
      </c>
    </row>
    <row r="2062" spans="1:97" x14ac:dyDescent="0.2">
      <c r="A2062" t="s">
        <v>5389</v>
      </c>
      <c r="B2062">
        <v>2160</v>
      </c>
      <c r="C2062" t="s">
        <v>5389</v>
      </c>
      <c r="D2062">
        <v>55160</v>
      </c>
      <c r="E2062" t="s">
        <v>5146</v>
      </c>
      <c r="F2062" t="s">
        <v>2364</v>
      </c>
      <c r="G2062" t="s">
        <v>2364</v>
      </c>
      <c r="H2062" t="s">
        <v>2365</v>
      </c>
      <c r="I2062" t="s">
        <v>2365</v>
      </c>
      <c r="J2062" t="s">
        <v>2365</v>
      </c>
      <c r="K2062" t="s">
        <v>2365</v>
      </c>
      <c r="L2062">
        <v>1200</v>
      </c>
      <c r="M2062" t="s">
        <v>1480</v>
      </c>
      <c r="N2062">
        <v>1204</v>
      </c>
      <c r="O2062" t="s">
        <v>1487</v>
      </c>
      <c r="P2062" t="s">
        <v>2366</v>
      </c>
      <c r="Q2062" t="s">
        <v>2364</v>
      </c>
      <c r="R2062" t="s">
        <v>2364</v>
      </c>
      <c r="S2062" t="s">
        <v>553</v>
      </c>
      <c r="T2062" t="s">
        <v>2175</v>
      </c>
      <c r="U2062">
        <v>130</v>
      </c>
      <c r="V2062" t="s">
        <v>2652</v>
      </c>
      <c r="W2062">
        <v>130</v>
      </c>
      <c r="X2062" t="s">
        <v>2652</v>
      </c>
      <c r="Y2062" t="s">
        <v>2365</v>
      </c>
      <c r="Z2062" t="s">
        <v>2365</v>
      </c>
      <c r="AA2062" t="s">
        <v>2365</v>
      </c>
      <c r="AB2062" t="s">
        <v>2365</v>
      </c>
      <c r="AC2062" s="813" t="s">
        <v>2365</v>
      </c>
      <c r="AD2062" s="813" t="s">
        <v>2365</v>
      </c>
      <c r="AE2062" s="813" t="s">
        <v>2365</v>
      </c>
      <c r="AF2062" t="s">
        <v>2365</v>
      </c>
      <c r="AG2062" t="s">
        <v>2365</v>
      </c>
      <c r="AH2062" t="s">
        <v>2365</v>
      </c>
      <c r="AI2062" t="s">
        <v>2365</v>
      </c>
      <c r="AJ2062" t="s">
        <v>2365</v>
      </c>
      <c r="AK2062" t="s">
        <v>2365</v>
      </c>
      <c r="AL2062" t="s">
        <v>2365</v>
      </c>
      <c r="AM2062" t="s">
        <v>2365</v>
      </c>
      <c r="AN2062" t="s">
        <v>2365</v>
      </c>
      <c r="AQ2062" t="s">
        <v>553</v>
      </c>
      <c r="AR2062" t="s">
        <v>2365</v>
      </c>
      <c r="AS2062" t="s">
        <v>2365</v>
      </c>
      <c r="AT2062" t="s">
        <v>2365</v>
      </c>
      <c r="AU2062" t="s">
        <v>2365</v>
      </c>
      <c r="AV2062" t="s">
        <v>2365</v>
      </c>
      <c r="AW2062" t="s">
        <v>2365</v>
      </c>
      <c r="AX2062" t="s">
        <v>2365</v>
      </c>
      <c r="AY2062" t="s">
        <v>2365</v>
      </c>
      <c r="AZ2062" t="s">
        <v>2365</v>
      </c>
      <c r="BA2062" t="s">
        <v>2365</v>
      </c>
      <c r="BB2062" t="s">
        <v>2365</v>
      </c>
      <c r="BC2062" t="s">
        <v>2365</v>
      </c>
      <c r="BD2062" t="s">
        <v>2366</v>
      </c>
      <c r="BE2062" t="s">
        <v>2365</v>
      </c>
      <c r="BF2062" t="s">
        <v>2365</v>
      </c>
      <c r="BG2062" t="s">
        <v>2365</v>
      </c>
      <c r="BH2062" t="s">
        <v>2365</v>
      </c>
      <c r="BI2062" t="s">
        <v>2366</v>
      </c>
      <c r="BJ2062" t="s">
        <v>2365</v>
      </c>
      <c r="BK2062" t="s">
        <v>2365</v>
      </c>
      <c r="BL2062" t="s">
        <v>2365</v>
      </c>
      <c r="BM2062" t="s">
        <v>2365</v>
      </c>
      <c r="BO2062">
        <v>1</v>
      </c>
      <c r="BP2062">
        <v>11</v>
      </c>
      <c r="BQ2062" t="s">
        <v>2369</v>
      </c>
      <c r="BR2062" t="s">
        <v>1487</v>
      </c>
      <c r="BS2062">
        <v>8</v>
      </c>
      <c r="BU2062">
        <v>0</v>
      </c>
      <c r="BV2062">
        <v>0</v>
      </c>
      <c r="BW2062">
        <v>0</v>
      </c>
      <c r="BX2062">
        <v>0</v>
      </c>
      <c r="BY2062">
        <v>0</v>
      </c>
      <c r="BZ2062">
        <v>0</v>
      </c>
      <c r="CA2062">
        <v>0</v>
      </c>
      <c r="CB2062">
        <v>0</v>
      </c>
      <c r="CC2062">
        <v>0</v>
      </c>
      <c r="CD2062">
        <v>0</v>
      </c>
      <c r="CE2062">
        <v>0</v>
      </c>
      <c r="CF2062">
        <v>0</v>
      </c>
      <c r="CG2062">
        <v>0</v>
      </c>
      <c r="CH2062">
        <v>0</v>
      </c>
      <c r="CI2062">
        <v>0</v>
      </c>
      <c r="CJ2062">
        <v>0</v>
      </c>
      <c r="CK2062">
        <v>0</v>
      </c>
      <c r="CL2062">
        <v>0</v>
      </c>
      <c r="CM2062">
        <v>0</v>
      </c>
      <c r="CR2062" t="s">
        <v>2320</v>
      </c>
      <c r="CS2062" s="1369" t="str">
        <f>INDEX([8]Sheet1!$H:$H,MATCH(CR:CR,[8]Sheet1!$AU:$AU,0))</f>
        <v>Administrative and Corporate Support</v>
      </c>
    </row>
    <row r="2063" spans="1:97" x14ac:dyDescent="0.2">
      <c r="A2063" t="s">
        <v>5390</v>
      </c>
      <c r="B2063">
        <v>2161</v>
      </c>
      <c r="C2063" t="s">
        <v>5390</v>
      </c>
      <c r="D2063">
        <v>55161</v>
      </c>
      <c r="E2063" t="s">
        <v>5146</v>
      </c>
      <c r="F2063" t="s">
        <v>2364</v>
      </c>
      <c r="G2063" t="s">
        <v>2364</v>
      </c>
      <c r="H2063" t="s">
        <v>2365</v>
      </c>
      <c r="I2063" t="s">
        <v>2365</v>
      </c>
      <c r="J2063" t="s">
        <v>2365</v>
      </c>
      <c r="K2063" t="s">
        <v>2365</v>
      </c>
      <c r="L2063">
        <v>1200</v>
      </c>
      <c r="M2063" t="s">
        <v>1480</v>
      </c>
      <c r="N2063">
        <v>1204</v>
      </c>
      <c r="O2063" t="s">
        <v>1487</v>
      </c>
      <c r="P2063" t="s">
        <v>2366</v>
      </c>
      <c r="Q2063" t="s">
        <v>2364</v>
      </c>
      <c r="R2063" t="s">
        <v>2364</v>
      </c>
      <c r="S2063" t="s">
        <v>553</v>
      </c>
      <c r="T2063" t="s">
        <v>2175</v>
      </c>
      <c r="U2063">
        <v>130</v>
      </c>
      <c r="V2063" t="s">
        <v>2652</v>
      </c>
      <c r="W2063">
        <v>130</v>
      </c>
      <c r="X2063" t="s">
        <v>2652</v>
      </c>
      <c r="Y2063" t="s">
        <v>2365</v>
      </c>
      <c r="Z2063" t="s">
        <v>2365</v>
      </c>
      <c r="AA2063" t="s">
        <v>2365</v>
      </c>
      <c r="AB2063" t="s">
        <v>2365</v>
      </c>
      <c r="AC2063" s="813" t="s">
        <v>2365</v>
      </c>
      <c r="AD2063" s="813" t="s">
        <v>2365</v>
      </c>
      <c r="AE2063" s="813" t="s">
        <v>2365</v>
      </c>
      <c r="AF2063" t="s">
        <v>2365</v>
      </c>
      <c r="AG2063" t="s">
        <v>2365</v>
      </c>
      <c r="AH2063" t="s">
        <v>2365</v>
      </c>
      <c r="AI2063" t="s">
        <v>2365</v>
      </c>
      <c r="AJ2063" t="s">
        <v>2365</v>
      </c>
      <c r="AK2063" t="s">
        <v>2365</v>
      </c>
      <c r="AL2063" t="s">
        <v>2365</v>
      </c>
      <c r="AM2063" t="s">
        <v>2365</v>
      </c>
      <c r="AN2063" t="s">
        <v>2365</v>
      </c>
      <c r="AQ2063" t="s">
        <v>553</v>
      </c>
      <c r="AR2063" t="s">
        <v>2365</v>
      </c>
      <c r="AS2063" t="s">
        <v>2365</v>
      </c>
      <c r="AT2063" t="s">
        <v>2365</v>
      </c>
      <c r="AU2063" t="s">
        <v>2365</v>
      </c>
      <c r="AV2063" t="s">
        <v>2365</v>
      </c>
      <c r="AW2063" t="s">
        <v>2365</v>
      </c>
      <c r="AX2063" t="s">
        <v>2365</v>
      </c>
      <c r="AY2063" t="s">
        <v>2365</v>
      </c>
      <c r="AZ2063" t="s">
        <v>2365</v>
      </c>
      <c r="BA2063" t="s">
        <v>2365</v>
      </c>
      <c r="BB2063" t="s">
        <v>2365</v>
      </c>
      <c r="BC2063" t="s">
        <v>2365</v>
      </c>
      <c r="BD2063" t="s">
        <v>2366</v>
      </c>
      <c r="BE2063" t="s">
        <v>2365</v>
      </c>
      <c r="BF2063" t="s">
        <v>2365</v>
      </c>
      <c r="BG2063" t="s">
        <v>2365</v>
      </c>
      <c r="BH2063" t="s">
        <v>2365</v>
      </c>
      <c r="BI2063" t="s">
        <v>2366</v>
      </c>
      <c r="BJ2063" t="s">
        <v>2365</v>
      </c>
      <c r="BK2063" t="s">
        <v>2365</v>
      </c>
      <c r="BL2063" t="s">
        <v>2365</v>
      </c>
      <c r="BM2063" t="s">
        <v>2365</v>
      </c>
      <c r="BO2063">
        <v>1</v>
      </c>
      <c r="BP2063">
        <v>11</v>
      </c>
      <c r="BQ2063" t="s">
        <v>2369</v>
      </c>
      <c r="BR2063" t="s">
        <v>1487</v>
      </c>
      <c r="BS2063">
        <v>8</v>
      </c>
      <c r="BU2063">
        <v>0</v>
      </c>
      <c r="BV2063">
        <v>0</v>
      </c>
      <c r="BW2063">
        <v>0</v>
      </c>
      <c r="BX2063">
        <v>0</v>
      </c>
      <c r="BY2063">
        <v>0</v>
      </c>
      <c r="BZ2063">
        <v>0</v>
      </c>
      <c r="CA2063">
        <v>0</v>
      </c>
      <c r="CB2063">
        <v>0</v>
      </c>
      <c r="CC2063">
        <v>0</v>
      </c>
      <c r="CD2063">
        <v>0</v>
      </c>
      <c r="CE2063">
        <v>0</v>
      </c>
      <c r="CF2063">
        <v>0</v>
      </c>
      <c r="CG2063">
        <v>0</v>
      </c>
      <c r="CH2063">
        <v>0</v>
      </c>
      <c r="CI2063">
        <v>0</v>
      </c>
      <c r="CJ2063">
        <v>0</v>
      </c>
      <c r="CK2063">
        <v>0</v>
      </c>
      <c r="CL2063">
        <v>0</v>
      </c>
      <c r="CM2063">
        <v>0</v>
      </c>
      <c r="CR2063" t="s">
        <v>2333</v>
      </c>
      <c r="CS2063" s="1369" t="str">
        <f>INDEX([8]Sheet1!$H:$H,MATCH(CR:CR,[8]Sheet1!$AU:$AU,0))</f>
        <v>Municipal Manager, Town Secretary and Chief Executive</v>
      </c>
    </row>
    <row r="2064" spans="1:97" x14ac:dyDescent="0.2">
      <c r="A2064" t="s">
        <v>5391</v>
      </c>
      <c r="B2064">
        <v>2162</v>
      </c>
      <c r="C2064" t="s">
        <v>5391</v>
      </c>
      <c r="D2064">
        <v>55162</v>
      </c>
      <c r="E2064" t="s">
        <v>5146</v>
      </c>
      <c r="F2064" t="s">
        <v>2364</v>
      </c>
      <c r="G2064" t="s">
        <v>2364</v>
      </c>
      <c r="H2064" t="s">
        <v>2365</v>
      </c>
      <c r="I2064" t="s">
        <v>2365</v>
      </c>
      <c r="J2064" t="s">
        <v>2365</v>
      </c>
      <c r="K2064" t="s">
        <v>2365</v>
      </c>
      <c r="L2064">
        <v>1200</v>
      </c>
      <c r="M2064" t="s">
        <v>1480</v>
      </c>
      <c r="N2064">
        <v>1204</v>
      </c>
      <c r="O2064" t="s">
        <v>1487</v>
      </c>
      <c r="P2064" t="s">
        <v>2366</v>
      </c>
      <c r="Q2064" t="s">
        <v>2364</v>
      </c>
      <c r="R2064" t="s">
        <v>2364</v>
      </c>
      <c r="S2064" t="s">
        <v>553</v>
      </c>
      <c r="T2064" t="s">
        <v>2175</v>
      </c>
      <c r="U2064">
        <v>130</v>
      </c>
      <c r="V2064" t="s">
        <v>2652</v>
      </c>
      <c r="W2064">
        <v>130</v>
      </c>
      <c r="X2064" t="s">
        <v>2652</v>
      </c>
      <c r="Y2064" t="s">
        <v>2365</v>
      </c>
      <c r="Z2064" t="s">
        <v>2365</v>
      </c>
      <c r="AA2064" t="s">
        <v>2365</v>
      </c>
      <c r="AB2064" t="s">
        <v>2365</v>
      </c>
      <c r="AC2064" s="813" t="s">
        <v>2365</v>
      </c>
      <c r="AD2064" s="813" t="s">
        <v>2365</v>
      </c>
      <c r="AE2064" s="813" t="s">
        <v>2365</v>
      </c>
      <c r="AF2064" t="s">
        <v>2365</v>
      </c>
      <c r="AG2064" t="s">
        <v>2365</v>
      </c>
      <c r="AH2064" t="s">
        <v>2365</v>
      </c>
      <c r="AI2064" t="s">
        <v>2365</v>
      </c>
      <c r="AJ2064" t="s">
        <v>2365</v>
      </c>
      <c r="AK2064" t="s">
        <v>2365</v>
      </c>
      <c r="AL2064" t="s">
        <v>2365</v>
      </c>
      <c r="AM2064" t="s">
        <v>2365</v>
      </c>
      <c r="AN2064" t="s">
        <v>2365</v>
      </c>
      <c r="AQ2064" t="s">
        <v>553</v>
      </c>
      <c r="AR2064" t="s">
        <v>2365</v>
      </c>
      <c r="AS2064" t="s">
        <v>2365</v>
      </c>
      <c r="AT2064" t="s">
        <v>2365</v>
      </c>
      <c r="AU2064" t="s">
        <v>2365</v>
      </c>
      <c r="AV2064" t="s">
        <v>2365</v>
      </c>
      <c r="AW2064" t="s">
        <v>2365</v>
      </c>
      <c r="AX2064" t="s">
        <v>2365</v>
      </c>
      <c r="AY2064" t="s">
        <v>2365</v>
      </c>
      <c r="AZ2064" t="s">
        <v>2365</v>
      </c>
      <c r="BA2064" t="s">
        <v>2365</v>
      </c>
      <c r="BB2064" t="s">
        <v>2365</v>
      </c>
      <c r="BC2064" t="s">
        <v>2365</v>
      </c>
      <c r="BD2064" t="s">
        <v>2366</v>
      </c>
      <c r="BE2064" t="s">
        <v>2365</v>
      </c>
      <c r="BF2064" t="s">
        <v>2365</v>
      </c>
      <c r="BG2064" t="s">
        <v>2365</v>
      </c>
      <c r="BH2064" t="s">
        <v>2365</v>
      </c>
      <c r="BI2064" t="s">
        <v>2366</v>
      </c>
      <c r="BJ2064" t="s">
        <v>2365</v>
      </c>
      <c r="BK2064" t="s">
        <v>2365</v>
      </c>
      <c r="BL2064" t="s">
        <v>2365</v>
      </c>
      <c r="BM2064" t="s">
        <v>2365</v>
      </c>
      <c r="BO2064">
        <v>1</v>
      </c>
      <c r="BP2064">
        <v>11</v>
      </c>
      <c r="BQ2064" t="s">
        <v>2369</v>
      </c>
      <c r="BR2064" t="s">
        <v>1487</v>
      </c>
      <c r="BS2064">
        <v>8</v>
      </c>
      <c r="BU2064">
        <v>0</v>
      </c>
      <c r="BV2064">
        <v>0</v>
      </c>
      <c r="BW2064">
        <v>0</v>
      </c>
      <c r="BX2064">
        <v>0</v>
      </c>
      <c r="BY2064">
        <v>0</v>
      </c>
      <c r="BZ2064">
        <v>0</v>
      </c>
      <c r="CA2064">
        <v>0</v>
      </c>
      <c r="CB2064">
        <v>0</v>
      </c>
      <c r="CC2064">
        <v>0</v>
      </c>
      <c r="CD2064">
        <v>0</v>
      </c>
      <c r="CE2064">
        <v>0</v>
      </c>
      <c r="CF2064">
        <v>0</v>
      </c>
      <c r="CG2064">
        <v>0</v>
      </c>
      <c r="CH2064">
        <v>0</v>
      </c>
      <c r="CI2064">
        <v>0</v>
      </c>
      <c r="CJ2064">
        <v>0</v>
      </c>
      <c r="CK2064">
        <v>0</v>
      </c>
      <c r="CL2064">
        <v>0</v>
      </c>
      <c r="CM2064">
        <v>0</v>
      </c>
      <c r="CR2064" t="s">
        <v>2337</v>
      </c>
      <c r="CS2064" s="1369" t="str">
        <f>INDEX([8]Sheet1!$H:$H,MATCH(CR:CR,[8]Sheet1!$AU:$AU,0))</f>
        <v>Corporate Wide Strategic Planning (IDPs, LEDs)</v>
      </c>
    </row>
    <row r="2065" spans="1:97" x14ac:dyDescent="0.2">
      <c r="A2065" t="s">
        <v>5392</v>
      </c>
      <c r="B2065">
        <v>2163</v>
      </c>
      <c r="C2065" t="s">
        <v>5392</v>
      </c>
      <c r="D2065">
        <v>55163</v>
      </c>
      <c r="E2065" t="s">
        <v>5146</v>
      </c>
      <c r="F2065" t="s">
        <v>2364</v>
      </c>
      <c r="G2065" t="s">
        <v>2364</v>
      </c>
      <c r="H2065" t="s">
        <v>2365</v>
      </c>
      <c r="I2065" t="s">
        <v>2365</v>
      </c>
      <c r="J2065" t="s">
        <v>2365</v>
      </c>
      <c r="K2065" t="s">
        <v>2365</v>
      </c>
      <c r="L2065">
        <v>1200</v>
      </c>
      <c r="M2065" t="s">
        <v>1480</v>
      </c>
      <c r="N2065">
        <v>1204</v>
      </c>
      <c r="O2065" t="s">
        <v>1487</v>
      </c>
      <c r="P2065" t="s">
        <v>2366</v>
      </c>
      <c r="Q2065" t="s">
        <v>2364</v>
      </c>
      <c r="R2065" t="s">
        <v>2364</v>
      </c>
      <c r="S2065" t="s">
        <v>553</v>
      </c>
      <c r="T2065" t="s">
        <v>2175</v>
      </c>
      <c r="U2065">
        <v>130</v>
      </c>
      <c r="V2065" t="s">
        <v>2652</v>
      </c>
      <c r="W2065">
        <v>130</v>
      </c>
      <c r="X2065" t="s">
        <v>2652</v>
      </c>
      <c r="Y2065" t="s">
        <v>2365</v>
      </c>
      <c r="Z2065" t="s">
        <v>2365</v>
      </c>
      <c r="AA2065" t="s">
        <v>2365</v>
      </c>
      <c r="AB2065" t="s">
        <v>2365</v>
      </c>
      <c r="AC2065" s="813" t="s">
        <v>2365</v>
      </c>
      <c r="AD2065" s="813" t="s">
        <v>2365</v>
      </c>
      <c r="AE2065" s="813" t="s">
        <v>2365</v>
      </c>
      <c r="AF2065" t="s">
        <v>2365</v>
      </c>
      <c r="AG2065" t="s">
        <v>2365</v>
      </c>
      <c r="AH2065" t="s">
        <v>2365</v>
      </c>
      <c r="AI2065" t="s">
        <v>2365</v>
      </c>
      <c r="AJ2065" t="s">
        <v>2365</v>
      </c>
      <c r="AK2065" t="s">
        <v>2365</v>
      </c>
      <c r="AL2065" t="s">
        <v>2365</v>
      </c>
      <c r="AM2065" t="s">
        <v>2365</v>
      </c>
      <c r="AN2065" t="s">
        <v>2365</v>
      </c>
      <c r="AQ2065" t="s">
        <v>553</v>
      </c>
      <c r="AR2065" t="s">
        <v>2365</v>
      </c>
      <c r="AS2065" t="s">
        <v>2365</v>
      </c>
      <c r="AT2065" t="s">
        <v>2365</v>
      </c>
      <c r="AU2065" t="s">
        <v>2365</v>
      </c>
      <c r="AV2065" t="s">
        <v>2365</v>
      </c>
      <c r="AW2065" t="s">
        <v>2365</v>
      </c>
      <c r="AX2065" t="s">
        <v>2365</v>
      </c>
      <c r="AY2065" t="s">
        <v>2365</v>
      </c>
      <c r="AZ2065" t="s">
        <v>2365</v>
      </c>
      <c r="BA2065" t="s">
        <v>2365</v>
      </c>
      <c r="BB2065" t="s">
        <v>2365</v>
      </c>
      <c r="BC2065" t="s">
        <v>2365</v>
      </c>
      <c r="BD2065" t="s">
        <v>2366</v>
      </c>
      <c r="BE2065" t="s">
        <v>2365</v>
      </c>
      <c r="BF2065" t="s">
        <v>2365</v>
      </c>
      <c r="BG2065" t="s">
        <v>2365</v>
      </c>
      <c r="BH2065" t="s">
        <v>2365</v>
      </c>
      <c r="BI2065" t="s">
        <v>2366</v>
      </c>
      <c r="BJ2065" t="s">
        <v>2365</v>
      </c>
      <c r="BK2065" t="s">
        <v>2365</v>
      </c>
      <c r="BL2065" t="s">
        <v>2365</v>
      </c>
      <c r="BM2065" t="s">
        <v>2365</v>
      </c>
      <c r="BO2065">
        <v>1</v>
      </c>
      <c r="BP2065">
        <v>11</v>
      </c>
      <c r="BQ2065" t="s">
        <v>2369</v>
      </c>
      <c r="BR2065" t="s">
        <v>1487</v>
      </c>
      <c r="BS2065">
        <v>8</v>
      </c>
      <c r="BU2065">
        <v>0</v>
      </c>
      <c r="BV2065">
        <v>0</v>
      </c>
      <c r="BW2065">
        <v>0</v>
      </c>
      <c r="BX2065">
        <v>0</v>
      </c>
      <c r="BY2065">
        <v>0</v>
      </c>
      <c r="BZ2065">
        <v>0</v>
      </c>
      <c r="CA2065">
        <v>0</v>
      </c>
      <c r="CB2065">
        <v>0</v>
      </c>
      <c r="CC2065">
        <v>0</v>
      </c>
      <c r="CD2065">
        <v>0</v>
      </c>
      <c r="CE2065">
        <v>0</v>
      </c>
      <c r="CF2065">
        <v>0</v>
      </c>
      <c r="CG2065">
        <v>0</v>
      </c>
      <c r="CH2065">
        <v>0</v>
      </c>
      <c r="CI2065">
        <v>0</v>
      </c>
      <c r="CJ2065">
        <v>0</v>
      </c>
      <c r="CK2065">
        <v>0</v>
      </c>
      <c r="CL2065">
        <v>0</v>
      </c>
      <c r="CM2065">
        <v>0</v>
      </c>
      <c r="CR2065" t="s">
        <v>2333</v>
      </c>
      <c r="CS2065" s="1369" t="str">
        <f>INDEX([8]Sheet1!$H:$H,MATCH(CR:CR,[8]Sheet1!$AU:$AU,0))</f>
        <v>Municipal Manager, Town Secretary and Chief Executive</v>
      </c>
    </row>
    <row r="2066" spans="1:97" x14ac:dyDescent="0.2">
      <c r="A2066" t="s">
        <v>5393</v>
      </c>
      <c r="B2066">
        <v>2164</v>
      </c>
      <c r="C2066" t="s">
        <v>5393</v>
      </c>
      <c r="D2066">
        <v>55164</v>
      </c>
      <c r="E2066" t="s">
        <v>5146</v>
      </c>
      <c r="F2066" t="s">
        <v>2364</v>
      </c>
      <c r="G2066" t="s">
        <v>2364</v>
      </c>
      <c r="H2066" t="s">
        <v>2365</v>
      </c>
      <c r="I2066" t="s">
        <v>2365</v>
      </c>
      <c r="J2066" t="s">
        <v>2365</v>
      </c>
      <c r="K2066" t="s">
        <v>2365</v>
      </c>
      <c r="L2066">
        <v>1200</v>
      </c>
      <c r="M2066" t="s">
        <v>1480</v>
      </c>
      <c r="N2066">
        <v>1204</v>
      </c>
      <c r="O2066" t="s">
        <v>1487</v>
      </c>
      <c r="P2066" t="s">
        <v>2366</v>
      </c>
      <c r="Q2066" t="s">
        <v>2364</v>
      </c>
      <c r="R2066" t="s">
        <v>2364</v>
      </c>
      <c r="S2066" t="s">
        <v>553</v>
      </c>
      <c r="T2066" t="s">
        <v>2175</v>
      </c>
      <c r="U2066">
        <v>130</v>
      </c>
      <c r="V2066" t="s">
        <v>2652</v>
      </c>
      <c r="W2066">
        <v>130</v>
      </c>
      <c r="X2066" t="s">
        <v>2652</v>
      </c>
      <c r="Y2066" t="s">
        <v>2365</v>
      </c>
      <c r="Z2066" t="s">
        <v>2365</v>
      </c>
      <c r="AA2066" t="s">
        <v>2365</v>
      </c>
      <c r="AB2066" t="s">
        <v>2365</v>
      </c>
      <c r="AC2066" s="813" t="s">
        <v>2365</v>
      </c>
      <c r="AD2066" s="813" t="s">
        <v>2365</v>
      </c>
      <c r="AE2066" s="813" t="s">
        <v>2365</v>
      </c>
      <c r="AF2066" t="s">
        <v>2365</v>
      </c>
      <c r="AG2066" t="s">
        <v>2365</v>
      </c>
      <c r="AH2066" t="s">
        <v>2365</v>
      </c>
      <c r="AI2066" t="s">
        <v>2365</v>
      </c>
      <c r="AJ2066" t="s">
        <v>2365</v>
      </c>
      <c r="AK2066" t="s">
        <v>2365</v>
      </c>
      <c r="AL2066" t="s">
        <v>2365</v>
      </c>
      <c r="AM2066" t="s">
        <v>2365</v>
      </c>
      <c r="AN2066" t="s">
        <v>2365</v>
      </c>
      <c r="AQ2066" t="s">
        <v>553</v>
      </c>
      <c r="AR2066" t="s">
        <v>2365</v>
      </c>
      <c r="AS2066" t="s">
        <v>2365</v>
      </c>
      <c r="AT2066" t="s">
        <v>2365</v>
      </c>
      <c r="AU2066" t="s">
        <v>2365</v>
      </c>
      <c r="AV2066" t="s">
        <v>2365</v>
      </c>
      <c r="AW2066" t="s">
        <v>2365</v>
      </c>
      <c r="AX2066" t="s">
        <v>2365</v>
      </c>
      <c r="AY2066" t="s">
        <v>2365</v>
      </c>
      <c r="AZ2066" t="s">
        <v>2365</v>
      </c>
      <c r="BA2066" t="s">
        <v>2365</v>
      </c>
      <c r="BB2066" t="s">
        <v>2365</v>
      </c>
      <c r="BC2066" t="s">
        <v>2365</v>
      </c>
      <c r="BD2066" t="s">
        <v>2366</v>
      </c>
      <c r="BE2066" t="s">
        <v>2365</v>
      </c>
      <c r="BF2066" t="s">
        <v>2365</v>
      </c>
      <c r="BG2066" t="s">
        <v>2365</v>
      </c>
      <c r="BH2066" t="s">
        <v>2365</v>
      </c>
      <c r="BI2066" t="s">
        <v>2366</v>
      </c>
      <c r="BJ2066" t="s">
        <v>2365</v>
      </c>
      <c r="BK2066" t="s">
        <v>2365</v>
      </c>
      <c r="BL2066" t="s">
        <v>2365</v>
      </c>
      <c r="BM2066" t="s">
        <v>2365</v>
      </c>
      <c r="BO2066">
        <v>1</v>
      </c>
      <c r="BP2066">
        <v>11</v>
      </c>
      <c r="BQ2066" t="s">
        <v>2369</v>
      </c>
      <c r="BR2066" t="s">
        <v>1487</v>
      </c>
      <c r="BS2066">
        <v>8</v>
      </c>
      <c r="BU2066">
        <v>0</v>
      </c>
      <c r="BV2066">
        <v>0</v>
      </c>
      <c r="BW2066">
        <v>0</v>
      </c>
      <c r="BX2066">
        <v>0</v>
      </c>
      <c r="BY2066">
        <v>0</v>
      </c>
      <c r="BZ2066">
        <v>0</v>
      </c>
      <c r="CA2066">
        <v>0</v>
      </c>
      <c r="CB2066">
        <v>0</v>
      </c>
      <c r="CC2066">
        <v>0</v>
      </c>
      <c r="CD2066">
        <v>0</v>
      </c>
      <c r="CE2066">
        <v>0</v>
      </c>
      <c r="CF2066">
        <v>0</v>
      </c>
      <c r="CG2066">
        <v>0</v>
      </c>
      <c r="CH2066">
        <v>0</v>
      </c>
      <c r="CI2066">
        <v>0</v>
      </c>
      <c r="CJ2066">
        <v>0</v>
      </c>
      <c r="CK2066">
        <v>0</v>
      </c>
      <c r="CL2066">
        <v>0</v>
      </c>
      <c r="CM2066">
        <v>0</v>
      </c>
      <c r="CR2066" t="s">
        <v>2337</v>
      </c>
      <c r="CS2066" s="1369" t="str">
        <f>INDEX([8]Sheet1!$H:$H,MATCH(CR:CR,[8]Sheet1!$AU:$AU,0))</f>
        <v>Corporate Wide Strategic Planning (IDPs, LEDs)</v>
      </c>
    </row>
    <row r="2067" spans="1:97" x14ac:dyDescent="0.2">
      <c r="A2067" t="s">
        <v>5394</v>
      </c>
      <c r="B2067">
        <v>2165</v>
      </c>
      <c r="C2067" t="s">
        <v>5394</v>
      </c>
      <c r="D2067">
        <v>55165</v>
      </c>
      <c r="E2067" t="s">
        <v>5146</v>
      </c>
      <c r="F2067" t="s">
        <v>2364</v>
      </c>
      <c r="G2067" t="s">
        <v>2364</v>
      </c>
      <c r="H2067" t="s">
        <v>2365</v>
      </c>
      <c r="I2067" t="s">
        <v>2365</v>
      </c>
      <c r="J2067" t="s">
        <v>2365</v>
      </c>
      <c r="K2067" t="s">
        <v>2365</v>
      </c>
      <c r="L2067">
        <v>1200</v>
      </c>
      <c r="M2067" t="s">
        <v>1480</v>
      </c>
      <c r="N2067">
        <v>1204</v>
      </c>
      <c r="O2067" t="s">
        <v>1487</v>
      </c>
      <c r="P2067" t="s">
        <v>2366</v>
      </c>
      <c r="Q2067" t="s">
        <v>2364</v>
      </c>
      <c r="R2067" t="s">
        <v>2364</v>
      </c>
      <c r="S2067" t="s">
        <v>553</v>
      </c>
      <c r="T2067" t="s">
        <v>2175</v>
      </c>
      <c r="U2067">
        <v>130</v>
      </c>
      <c r="V2067" t="s">
        <v>2652</v>
      </c>
      <c r="W2067">
        <v>130</v>
      </c>
      <c r="X2067" t="s">
        <v>2652</v>
      </c>
      <c r="Y2067" t="s">
        <v>2365</v>
      </c>
      <c r="Z2067" t="s">
        <v>2365</v>
      </c>
      <c r="AA2067" t="s">
        <v>2365</v>
      </c>
      <c r="AB2067" t="s">
        <v>2365</v>
      </c>
      <c r="AC2067" s="813" t="s">
        <v>2365</v>
      </c>
      <c r="AD2067" s="813" t="s">
        <v>2365</v>
      </c>
      <c r="AE2067" s="813" t="s">
        <v>2365</v>
      </c>
      <c r="AF2067" t="s">
        <v>2365</v>
      </c>
      <c r="AG2067" t="s">
        <v>2365</v>
      </c>
      <c r="AH2067" t="s">
        <v>2365</v>
      </c>
      <c r="AI2067" t="s">
        <v>2365</v>
      </c>
      <c r="AJ2067" t="s">
        <v>2365</v>
      </c>
      <c r="AK2067" t="s">
        <v>2365</v>
      </c>
      <c r="AL2067" t="s">
        <v>2365</v>
      </c>
      <c r="AM2067" t="s">
        <v>2365</v>
      </c>
      <c r="AN2067" t="s">
        <v>2365</v>
      </c>
      <c r="AQ2067" t="s">
        <v>553</v>
      </c>
      <c r="AR2067" t="s">
        <v>2365</v>
      </c>
      <c r="AS2067" t="s">
        <v>2365</v>
      </c>
      <c r="AT2067" t="s">
        <v>2365</v>
      </c>
      <c r="AU2067" t="s">
        <v>2365</v>
      </c>
      <c r="AV2067" t="s">
        <v>2365</v>
      </c>
      <c r="AW2067" t="s">
        <v>2365</v>
      </c>
      <c r="AX2067" t="s">
        <v>2365</v>
      </c>
      <c r="AY2067" t="s">
        <v>2365</v>
      </c>
      <c r="AZ2067" t="s">
        <v>2365</v>
      </c>
      <c r="BA2067" t="s">
        <v>2365</v>
      </c>
      <c r="BB2067" t="s">
        <v>2365</v>
      </c>
      <c r="BC2067" t="s">
        <v>2365</v>
      </c>
      <c r="BD2067" t="s">
        <v>2366</v>
      </c>
      <c r="BE2067" t="s">
        <v>2365</v>
      </c>
      <c r="BF2067" t="s">
        <v>2365</v>
      </c>
      <c r="BG2067" t="s">
        <v>2365</v>
      </c>
      <c r="BH2067" t="s">
        <v>2365</v>
      </c>
      <c r="BI2067" t="s">
        <v>2366</v>
      </c>
      <c r="BJ2067" t="s">
        <v>2365</v>
      </c>
      <c r="BK2067" t="s">
        <v>2365</v>
      </c>
      <c r="BL2067" t="s">
        <v>2365</v>
      </c>
      <c r="BM2067" t="s">
        <v>2365</v>
      </c>
      <c r="BO2067">
        <v>1</v>
      </c>
      <c r="BP2067">
        <v>11</v>
      </c>
      <c r="BQ2067" t="s">
        <v>2369</v>
      </c>
      <c r="BR2067" t="s">
        <v>1487</v>
      </c>
      <c r="BS2067">
        <v>8</v>
      </c>
      <c r="BU2067">
        <v>0</v>
      </c>
      <c r="BV2067">
        <v>0</v>
      </c>
      <c r="BW2067">
        <v>0</v>
      </c>
      <c r="BX2067">
        <v>0</v>
      </c>
      <c r="BY2067">
        <v>0</v>
      </c>
      <c r="BZ2067">
        <v>0</v>
      </c>
      <c r="CA2067">
        <v>0</v>
      </c>
      <c r="CB2067">
        <v>0</v>
      </c>
      <c r="CC2067">
        <v>0</v>
      </c>
      <c r="CD2067">
        <v>0</v>
      </c>
      <c r="CE2067">
        <v>0</v>
      </c>
      <c r="CF2067">
        <v>0</v>
      </c>
      <c r="CG2067">
        <v>0</v>
      </c>
      <c r="CH2067">
        <v>0</v>
      </c>
      <c r="CI2067">
        <v>0</v>
      </c>
      <c r="CJ2067">
        <v>0</v>
      </c>
      <c r="CK2067">
        <v>0</v>
      </c>
      <c r="CL2067">
        <v>0</v>
      </c>
      <c r="CM2067">
        <v>0</v>
      </c>
      <c r="CR2067" t="s">
        <v>2319</v>
      </c>
      <c r="CS2067" s="1369" t="str">
        <f>INDEX([8]Sheet1!$H:$H,MATCH(CR:CR,[8]Sheet1!$AU:$AU,0))</f>
        <v>Mayor and Council</v>
      </c>
    </row>
    <row r="2068" spans="1:97" x14ac:dyDescent="0.2">
      <c r="A2068" t="s">
        <v>5395</v>
      </c>
      <c r="B2068">
        <v>2166</v>
      </c>
      <c r="C2068" t="s">
        <v>5395</v>
      </c>
      <c r="D2068">
        <v>55166</v>
      </c>
      <c r="E2068" t="s">
        <v>5146</v>
      </c>
      <c r="F2068" t="s">
        <v>2364</v>
      </c>
      <c r="G2068" t="s">
        <v>2364</v>
      </c>
      <c r="H2068" t="s">
        <v>2365</v>
      </c>
      <c r="I2068" t="s">
        <v>2365</v>
      </c>
      <c r="J2068" t="s">
        <v>2365</v>
      </c>
      <c r="K2068" t="s">
        <v>2365</v>
      </c>
      <c r="L2068">
        <v>1200</v>
      </c>
      <c r="M2068" t="s">
        <v>1480</v>
      </c>
      <c r="N2068">
        <v>1204</v>
      </c>
      <c r="O2068" t="s">
        <v>1487</v>
      </c>
      <c r="P2068" t="s">
        <v>2366</v>
      </c>
      <c r="Q2068" t="s">
        <v>2364</v>
      </c>
      <c r="R2068" t="s">
        <v>2364</v>
      </c>
      <c r="S2068" t="s">
        <v>553</v>
      </c>
      <c r="T2068" t="s">
        <v>2175</v>
      </c>
      <c r="U2068">
        <v>130</v>
      </c>
      <c r="V2068" t="s">
        <v>2652</v>
      </c>
      <c r="W2068">
        <v>130</v>
      </c>
      <c r="X2068" t="s">
        <v>2652</v>
      </c>
      <c r="Y2068" t="s">
        <v>2365</v>
      </c>
      <c r="Z2068" t="s">
        <v>2365</v>
      </c>
      <c r="AA2068" t="s">
        <v>2365</v>
      </c>
      <c r="AB2068" t="s">
        <v>2365</v>
      </c>
      <c r="AC2068" s="813" t="s">
        <v>2365</v>
      </c>
      <c r="AD2068" s="813" t="s">
        <v>2365</v>
      </c>
      <c r="AE2068" s="813" t="s">
        <v>2365</v>
      </c>
      <c r="AF2068" t="s">
        <v>2365</v>
      </c>
      <c r="AG2068" t="s">
        <v>2365</v>
      </c>
      <c r="AH2068" t="s">
        <v>2365</v>
      </c>
      <c r="AI2068" t="s">
        <v>2365</v>
      </c>
      <c r="AJ2068" t="s">
        <v>2365</v>
      </c>
      <c r="AK2068" s="1373" t="s">
        <v>2365</v>
      </c>
      <c r="AL2068" t="s">
        <v>2365</v>
      </c>
      <c r="AM2068" t="s">
        <v>2365</v>
      </c>
      <c r="AN2068" t="s">
        <v>2365</v>
      </c>
      <c r="AQ2068" t="s">
        <v>553</v>
      </c>
      <c r="AR2068" t="s">
        <v>2365</v>
      </c>
      <c r="AS2068" t="s">
        <v>2365</v>
      </c>
      <c r="AT2068" t="s">
        <v>2365</v>
      </c>
      <c r="AU2068" t="s">
        <v>2365</v>
      </c>
      <c r="AV2068" t="s">
        <v>2365</v>
      </c>
      <c r="AW2068" t="s">
        <v>2365</v>
      </c>
      <c r="AX2068" t="s">
        <v>2365</v>
      </c>
      <c r="AY2068" t="s">
        <v>2365</v>
      </c>
      <c r="AZ2068" t="s">
        <v>2365</v>
      </c>
      <c r="BA2068" t="s">
        <v>2365</v>
      </c>
      <c r="BB2068" t="s">
        <v>2365</v>
      </c>
      <c r="BC2068" t="s">
        <v>2365</v>
      </c>
      <c r="BD2068" t="s">
        <v>2366</v>
      </c>
      <c r="BE2068" t="s">
        <v>2365</v>
      </c>
      <c r="BF2068" t="s">
        <v>2365</v>
      </c>
      <c r="BG2068" t="s">
        <v>2365</v>
      </c>
      <c r="BH2068" t="s">
        <v>2365</v>
      </c>
      <c r="BI2068" t="s">
        <v>2366</v>
      </c>
      <c r="BJ2068" t="s">
        <v>2365</v>
      </c>
      <c r="BK2068" t="s">
        <v>2365</v>
      </c>
      <c r="BL2068" t="s">
        <v>2365</v>
      </c>
      <c r="BM2068" t="s">
        <v>2365</v>
      </c>
      <c r="BO2068">
        <v>1</v>
      </c>
      <c r="BP2068">
        <v>11</v>
      </c>
      <c r="BQ2068" t="s">
        <v>2369</v>
      </c>
      <c r="BR2068" t="s">
        <v>1487</v>
      </c>
      <c r="BS2068">
        <v>8</v>
      </c>
      <c r="BU2068">
        <v>0</v>
      </c>
      <c r="BV2068">
        <v>0</v>
      </c>
      <c r="BW2068">
        <v>0</v>
      </c>
      <c r="BX2068">
        <v>0</v>
      </c>
      <c r="BY2068">
        <v>0</v>
      </c>
      <c r="BZ2068">
        <v>0</v>
      </c>
      <c r="CA2068">
        <v>0</v>
      </c>
      <c r="CB2068">
        <v>0</v>
      </c>
      <c r="CC2068">
        <v>0</v>
      </c>
      <c r="CD2068">
        <v>0</v>
      </c>
      <c r="CE2068">
        <v>0</v>
      </c>
      <c r="CF2068">
        <v>0</v>
      </c>
      <c r="CG2068">
        <v>0</v>
      </c>
      <c r="CH2068">
        <v>0</v>
      </c>
      <c r="CI2068">
        <v>0</v>
      </c>
      <c r="CJ2068">
        <v>0</v>
      </c>
      <c r="CK2068">
        <v>0</v>
      </c>
      <c r="CL2068">
        <v>0</v>
      </c>
      <c r="CM2068">
        <v>0</v>
      </c>
      <c r="CR2068" t="s">
        <v>2337</v>
      </c>
      <c r="CS2068" s="1369" t="str">
        <f>INDEX([8]Sheet1!$H:$H,MATCH(CR:CR,[8]Sheet1!$AU:$AU,0))</f>
        <v>Corporate Wide Strategic Planning (IDPs, LEDs)</v>
      </c>
    </row>
    <row r="2069" spans="1:97" x14ac:dyDescent="0.2">
      <c r="A2069" t="s">
        <v>5396</v>
      </c>
      <c r="B2069">
        <v>2167</v>
      </c>
      <c r="C2069" t="s">
        <v>5396</v>
      </c>
      <c r="D2069">
        <v>55167</v>
      </c>
      <c r="E2069" t="s">
        <v>5397</v>
      </c>
      <c r="F2069" t="s">
        <v>2364</v>
      </c>
      <c r="G2069" t="s">
        <v>2364</v>
      </c>
      <c r="H2069" t="s">
        <v>2365</v>
      </c>
      <c r="I2069" t="s">
        <v>2365</v>
      </c>
      <c r="J2069" t="s">
        <v>2365</v>
      </c>
      <c r="K2069" t="s">
        <v>2365</v>
      </c>
      <c r="L2069">
        <v>1200</v>
      </c>
      <c r="M2069" t="s">
        <v>1480</v>
      </c>
      <c r="N2069">
        <v>1204</v>
      </c>
      <c r="O2069" t="s">
        <v>1487</v>
      </c>
      <c r="P2069" t="s">
        <v>2366</v>
      </c>
      <c r="Q2069" t="s">
        <v>2364</v>
      </c>
      <c r="R2069" t="s">
        <v>2364</v>
      </c>
      <c r="S2069" t="s">
        <v>553</v>
      </c>
      <c r="T2069" t="s">
        <v>2175</v>
      </c>
      <c r="U2069" t="s">
        <v>2366</v>
      </c>
      <c r="V2069" t="s">
        <v>2366</v>
      </c>
      <c r="W2069" t="s">
        <v>2366</v>
      </c>
      <c r="X2069" t="s">
        <v>2366</v>
      </c>
      <c r="Y2069" t="s">
        <v>2365</v>
      </c>
      <c r="Z2069" t="s">
        <v>2365</v>
      </c>
      <c r="AA2069" t="s">
        <v>2365</v>
      </c>
      <c r="AB2069" t="s">
        <v>2365</v>
      </c>
      <c r="AC2069" s="813" t="s">
        <v>2365</v>
      </c>
      <c r="AD2069" s="813" t="s">
        <v>2365</v>
      </c>
      <c r="AE2069" s="813" t="s">
        <v>2365</v>
      </c>
      <c r="AF2069" t="s">
        <v>2365</v>
      </c>
      <c r="AG2069">
        <v>1490</v>
      </c>
      <c r="AH2069" t="s">
        <v>1675</v>
      </c>
      <c r="AI2069">
        <v>1490</v>
      </c>
      <c r="AJ2069" t="s">
        <v>1675</v>
      </c>
      <c r="AK2069" s="1373">
        <v>241</v>
      </c>
      <c r="AL2069" t="s">
        <v>1203</v>
      </c>
      <c r="AM2069">
        <v>241</v>
      </c>
      <c r="AN2069" t="s">
        <v>1203</v>
      </c>
      <c r="AR2069" t="s">
        <v>2365</v>
      </c>
      <c r="AS2069" t="s">
        <v>2365</v>
      </c>
      <c r="AT2069" t="s">
        <v>2365</v>
      </c>
      <c r="AU2069" t="s">
        <v>2365</v>
      </c>
      <c r="AV2069" t="s">
        <v>2365</v>
      </c>
      <c r="AW2069" t="s">
        <v>2365</v>
      </c>
      <c r="AX2069" t="s">
        <v>2365</v>
      </c>
      <c r="AY2069" t="s">
        <v>2365</v>
      </c>
      <c r="AZ2069" t="s">
        <v>2365</v>
      </c>
      <c r="BA2069" t="s">
        <v>2365</v>
      </c>
      <c r="BB2069" t="s">
        <v>2365</v>
      </c>
      <c r="BC2069" t="s">
        <v>2365</v>
      </c>
      <c r="BD2069" t="s">
        <v>2366</v>
      </c>
      <c r="BE2069" t="s">
        <v>2365</v>
      </c>
      <c r="BF2069" t="s">
        <v>2365</v>
      </c>
      <c r="BG2069" t="s">
        <v>2365</v>
      </c>
      <c r="BH2069" t="s">
        <v>2365</v>
      </c>
      <c r="BI2069" t="s">
        <v>2366</v>
      </c>
      <c r="BJ2069" t="s">
        <v>2365</v>
      </c>
      <c r="BK2069" t="s">
        <v>2365</v>
      </c>
      <c r="BL2069" t="s">
        <v>2365</v>
      </c>
      <c r="BM2069" t="s">
        <v>2365</v>
      </c>
      <c r="BO2069">
        <v>1</v>
      </c>
      <c r="BP2069">
        <v>11</v>
      </c>
      <c r="BQ2069" t="s">
        <v>2369</v>
      </c>
      <c r="BR2069" t="s">
        <v>1487</v>
      </c>
      <c r="BU2069">
        <v>0</v>
      </c>
      <c r="BV2069">
        <v>0</v>
      </c>
      <c r="BW2069">
        <v>0</v>
      </c>
      <c r="BX2069">
        <v>0</v>
      </c>
      <c r="BY2069">
        <v>0</v>
      </c>
      <c r="BZ2069">
        <v>0</v>
      </c>
      <c r="CA2069">
        <v>0</v>
      </c>
      <c r="CB2069">
        <v>0</v>
      </c>
      <c r="CC2069">
        <v>0</v>
      </c>
      <c r="CD2069">
        <v>0</v>
      </c>
      <c r="CE2069">
        <v>0</v>
      </c>
      <c r="CF2069">
        <v>0</v>
      </c>
      <c r="CG2069">
        <v>0</v>
      </c>
      <c r="CH2069">
        <v>0</v>
      </c>
      <c r="CI2069">
        <v>0</v>
      </c>
      <c r="CJ2069">
        <v>0</v>
      </c>
      <c r="CK2069">
        <v>0</v>
      </c>
      <c r="CL2069">
        <v>0</v>
      </c>
      <c r="CM2069">
        <v>0</v>
      </c>
      <c r="CR2069" t="s">
        <v>2335</v>
      </c>
      <c r="CS2069" s="1369" t="str">
        <f>INDEX([8]Sheet1!$H:$H,MATCH(CR:CR,[8]Sheet1!$AU:$AU,0))</f>
        <v>Economic Development/Planning</v>
      </c>
    </row>
    <row r="2070" spans="1:97" x14ac:dyDescent="0.2">
      <c r="A2070" t="s">
        <v>5398</v>
      </c>
      <c r="B2070">
        <v>2168</v>
      </c>
      <c r="C2070" t="s">
        <v>5398</v>
      </c>
      <c r="D2070">
        <v>55168</v>
      </c>
      <c r="E2070" t="s">
        <v>2691</v>
      </c>
      <c r="F2070" t="s">
        <v>2364</v>
      </c>
      <c r="G2070" t="s">
        <v>2364</v>
      </c>
      <c r="H2070" t="s">
        <v>2365</v>
      </c>
      <c r="I2070" t="s">
        <v>2365</v>
      </c>
      <c r="J2070" t="s">
        <v>2365</v>
      </c>
      <c r="K2070" t="s">
        <v>2365</v>
      </c>
      <c r="L2070">
        <v>3200</v>
      </c>
      <c r="M2070" t="s">
        <v>625</v>
      </c>
      <c r="N2070">
        <v>3205</v>
      </c>
      <c r="O2070" t="s">
        <v>1002</v>
      </c>
      <c r="P2070" t="s">
        <v>1846</v>
      </c>
      <c r="Q2070">
        <v>2080</v>
      </c>
      <c r="R2070" t="s">
        <v>579</v>
      </c>
      <c r="S2070" t="s">
        <v>552</v>
      </c>
      <c r="T2070" t="s">
        <v>2175</v>
      </c>
      <c r="U2070">
        <v>240</v>
      </c>
      <c r="V2070" t="s">
        <v>2389</v>
      </c>
      <c r="W2070">
        <v>240</v>
      </c>
      <c r="X2070" t="s">
        <v>701</v>
      </c>
      <c r="Y2070" t="s">
        <v>2365</v>
      </c>
      <c r="Z2070" t="s">
        <v>2365</v>
      </c>
      <c r="AA2070" t="s">
        <v>2365</v>
      </c>
      <c r="AB2070" t="s">
        <v>2365</v>
      </c>
      <c r="AC2070" s="813" t="s">
        <v>2365</v>
      </c>
      <c r="AD2070" s="813" t="s">
        <v>2365</v>
      </c>
      <c r="AE2070" s="813" t="s">
        <v>2365</v>
      </c>
      <c r="AF2070" t="s">
        <v>2365</v>
      </c>
      <c r="AG2070">
        <v>110</v>
      </c>
      <c r="AH2070" t="s">
        <v>1568</v>
      </c>
      <c r="AI2070">
        <v>110</v>
      </c>
      <c r="AJ2070" t="s">
        <v>1568</v>
      </c>
      <c r="AK2070" s="1373">
        <v>241</v>
      </c>
      <c r="AL2070" t="s">
        <v>1203</v>
      </c>
      <c r="AM2070">
        <v>241</v>
      </c>
      <c r="AN2070" t="s">
        <v>1203</v>
      </c>
      <c r="AR2070">
        <v>120</v>
      </c>
      <c r="AS2070" t="s">
        <v>1002</v>
      </c>
      <c r="AT2070">
        <v>120</v>
      </c>
      <c r="AU2070" t="s">
        <v>1002</v>
      </c>
      <c r="AV2070" t="s">
        <v>2365</v>
      </c>
      <c r="AW2070" t="s">
        <v>2365</v>
      </c>
      <c r="AX2070" t="s">
        <v>2365</v>
      </c>
      <c r="AY2070" t="s">
        <v>2365</v>
      </c>
      <c r="AZ2070" t="s">
        <v>2365</v>
      </c>
      <c r="BA2070" t="s">
        <v>2365</v>
      </c>
      <c r="BB2070" t="s">
        <v>2365</v>
      </c>
      <c r="BC2070" t="s">
        <v>2365</v>
      </c>
      <c r="BD2070" t="s">
        <v>2366</v>
      </c>
      <c r="BE2070" t="s">
        <v>2365</v>
      </c>
      <c r="BF2070" t="s">
        <v>2365</v>
      </c>
      <c r="BG2070" t="s">
        <v>2365</v>
      </c>
      <c r="BH2070" t="s">
        <v>2365</v>
      </c>
      <c r="BI2070" t="s">
        <v>2366</v>
      </c>
      <c r="BJ2070" t="s">
        <v>2365</v>
      </c>
      <c r="BK2070" t="s">
        <v>2365</v>
      </c>
      <c r="BL2070" t="s">
        <v>2365</v>
      </c>
      <c r="BM2070" t="s">
        <v>2365</v>
      </c>
      <c r="BO2070">
        <v>7</v>
      </c>
      <c r="BP2070">
        <v>71</v>
      </c>
      <c r="BQ2070" t="s">
        <v>2665</v>
      </c>
      <c r="BR2070" t="s">
        <v>1002</v>
      </c>
      <c r="BU2070">
        <v>0</v>
      </c>
      <c r="BV2070">
        <v>0</v>
      </c>
      <c r="BW2070">
        <v>0</v>
      </c>
      <c r="BX2070">
        <v>2670097</v>
      </c>
      <c r="BY2070">
        <v>2670097</v>
      </c>
      <c r="BZ2070">
        <v>0</v>
      </c>
      <c r="CA2070">
        <v>0</v>
      </c>
      <c r="CB2070">
        <v>0</v>
      </c>
      <c r="CC2070">
        <v>0</v>
      </c>
      <c r="CD2070">
        <v>0</v>
      </c>
      <c r="CE2070">
        <v>0</v>
      </c>
      <c r="CF2070">
        <v>0</v>
      </c>
      <c r="CG2070">
        <v>2670097.5</v>
      </c>
      <c r="CH2070">
        <v>0</v>
      </c>
      <c r="CI2070">
        <v>0</v>
      </c>
      <c r="CJ2070">
        <v>0</v>
      </c>
      <c r="CK2070">
        <v>0</v>
      </c>
      <c r="CL2070">
        <v>0</v>
      </c>
      <c r="CM2070">
        <v>0</v>
      </c>
      <c r="CR2070" t="s">
        <v>2335</v>
      </c>
      <c r="CS2070" s="1369" t="str">
        <f>INDEX([8]Sheet1!$H:$H,MATCH(CR:CR,[8]Sheet1!$AU:$AU,0))</f>
        <v>Economic Development/Planning</v>
      </c>
    </row>
    <row r="2071" spans="1:97" x14ac:dyDescent="0.2">
      <c r="A2071" t="s">
        <v>5399</v>
      </c>
      <c r="B2071">
        <v>2169</v>
      </c>
      <c r="C2071" t="s">
        <v>5399</v>
      </c>
      <c r="D2071">
        <v>55193</v>
      </c>
      <c r="E2071" t="s">
        <v>4459</v>
      </c>
      <c r="F2071" t="s">
        <v>2364</v>
      </c>
      <c r="G2071" t="s">
        <v>2364</v>
      </c>
      <c r="H2071" t="s">
        <v>2365</v>
      </c>
      <c r="I2071" t="s">
        <v>2365</v>
      </c>
      <c r="J2071" t="s">
        <v>2365</v>
      </c>
      <c r="K2071" t="s">
        <v>2365</v>
      </c>
      <c r="L2071">
        <v>1200</v>
      </c>
      <c r="M2071" t="s">
        <v>1480</v>
      </c>
      <c r="N2071">
        <v>1204</v>
      </c>
      <c r="O2071" t="s">
        <v>1487</v>
      </c>
      <c r="P2071" t="s">
        <v>2366</v>
      </c>
      <c r="Q2071" t="s">
        <v>2364</v>
      </c>
      <c r="R2071" t="s">
        <v>2364</v>
      </c>
      <c r="S2071" t="s">
        <v>553</v>
      </c>
      <c r="T2071" t="s">
        <v>2175</v>
      </c>
      <c r="U2071">
        <v>130</v>
      </c>
      <c r="V2071" t="s">
        <v>2652</v>
      </c>
      <c r="W2071">
        <v>130</v>
      </c>
      <c r="X2071" t="s">
        <v>2652</v>
      </c>
      <c r="Y2071" t="s">
        <v>2178</v>
      </c>
      <c r="Z2071" t="s">
        <v>4467</v>
      </c>
      <c r="AA2071" t="s">
        <v>2178</v>
      </c>
      <c r="AB2071" t="s">
        <v>4467</v>
      </c>
      <c r="AC2071" s="813" t="s">
        <v>2365</v>
      </c>
      <c r="AD2071" s="813" t="s">
        <v>2365</v>
      </c>
      <c r="AE2071" s="813" t="s">
        <v>2365</v>
      </c>
      <c r="AF2071" t="s">
        <v>2365</v>
      </c>
      <c r="AG2071" t="s">
        <v>2365</v>
      </c>
      <c r="AH2071" t="s">
        <v>2365</v>
      </c>
      <c r="AI2071" t="s">
        <v>2365</v>
      </c>
      <c r="AJ2071" t="s">
        <v>2365</v>
      </c>
      <c r="AK2071" s="1373" t="s">
        <v>2365</v>
      </c>
      <c r="AL2071" t="s">
        <v>2365</v>
      </c>
      <c r="AM2071" t="s">
        <v>2365</v>
      </c>
      <c r="AN2071" t="s">
        <v>2365</v>
      </c>
      <c r="AQ2071" t="s">
        <v>553</v>
      </c>
      <c r="AR2071" t="s">
        <v>2365</v>
      </c>
      <c r="AS2071" t="s">
        <v>2365</v>
      </c>
      <c r="AT2071" t="s">
        <v>2365</v>
      </c>
      <c r="AU2071" t="s">
        <v>2365</v>
      </c>
      <c r="AV2071" t="s">
        <v>2365</v>
      </c>
      <c r="AW2071" t="s">
        <v>2365</v>
      </c>
      <c r="AX2071" t="s">
        <v>2365</v>
      </c>
      <c r="AY2071" t="s">
        <v>2365</v>
      </c>
      <c r="AZ2071" t="s">
        <v>2365</v>
      </c>
      <c r="BA2071" t="s">
        <v>2365</v>
      </c>
      <c r="BB2071" t="s">
        <v>2365</v>
      </c>
      <c r="BC2071" t="s">
        <v>2365</v>
      </c>
      <c r="BD2071" t="s">
        <v>2366</v>
      </c>
      <c r="BE2071" t="s">
        <v>2365</v>
      </c>
      <c r="BF2071" t="s">
        <v>2365</v>
      </c>
      <c r="BG2071" t="s">
        <v>2365</v>
      </c>
      <c r="BH2071" t="s">
        <v>2365</v>
      </c>
      <c r="BI2071" t="s">
        <v>2366</v>
      </c>
      <c r="BJ2071" t="s">
        <v>2365</v>
      </c>
      <c r="BK2071" t="s">
        <v>2365</v>
      </c>
      <c r="BL2071" t="s">
        <v>2365</v>
      </c>
      <c r="BM2071" t="s">
        <v>2365</v>
      </c>
      <c r="BO2071">
        <v>1</v>
      </c>
      <c r="BP2071">
        <v>11</v>
      </c>
      <c r="BQ2071" t="s">
        <v>2369</v>
      </c>
      <c r="BR2071" t="s">
        <v>1487</v>
      </c>
      <c r="BU2071">
        <v>0</v>
      </c>
      <c r="BV2071">
        <v>0</v>
      </c>
      <c r="BW2071">
        <v>0</v>
      </c>
      <c r="BX2071">
        <v>0</v>
      </c>
      <c r="BY2071">
        <v>0</v>
      </c>
      <c r="BZ2071">
        <v>0</v>
      </c>
      <c r="CA2071">
        <v>0</v>
      </c>
      <c r="CB2071">
        <v>0</v>
      </c>
      <c r="CC2071">
        <v>0</v>
      </c>
      <c r="CD2071">
        <v>0</v>
      </c>
      <c r="CE2071">
        <v>0</v>
      </c>
      <c r="CF2071">
        <v>0</v>
      </c>
      <c r="CG2071">
        <v>0</v>
      </c>
      <c r="CH2071">
        <v>0</v>
      </c>
      <c r="CI2071">
        <v>0</v>
      </c>
      <c r="CJ2071">
        <v>0</v>
      </c>
      <c r="CK2071">
        <v>0</v>
      </c>
      <c r="CL2071">
        <v>0</v>
      </c>
      <c r="CM2071">
        <v>0</v>
      </c>
      <c r="CR2071" t="s">
        <v>2335</v>
      </c>
      <c r="CS2071" s="1369" t="str">
        <f>INDEX([8]Sheet1!$H:$H,MATCH(CR:CR,[8]Sheet1!$AU:$AU,0))</f>
        <v>Economic Development/Planning</v>
      </c>
    </row>
    <row r="2072" spans="1:97" x14ac:dyDescent="0.2">
      <c r="A2072" t="s">
        <v>5400</v>
      </c>
      <c r="B2072">
        <v>2170</v>
      </c>
      <c r="C2072" t="s">
        <v>5400</v>
      </c>
      <c r="D2072">
        <v>55194</v>
      </c>
      <c r="E2072" t="s">
        <v>4949</v>
      </c>
      <c r="F2072" t="s">
        <v>2364</v>
      </c>
      <c r="G2072" t="s">
        <v>2364</v>
      </c>
      <c r="H2072" t="s">
        <v>2365</v>
      </c>
      <c r="I2072" t="s">
        <v>2365</v>
      </c>
      <c r="J2072" t="s">
        <v>2365</v>
      </c>
      <c r="K2072" t="s">
        <v>2365</v>
      </c>
      <c r="L2072">
        <v>1200</v>
      </c>
      <c r="M2072" t="s">
        <v>1480</v>
      </c>
      <c r="N2072">
        <v>1204</v>
      </c>
      <c r="O2072" t="s">
        <v>1487</v>
      </c>
      <c r="P2072" t="s">
        <v>2366</v>
      </c>
      <c r="Q2072" t="s">
        <v>2364</v>
      </c>
      <c r="R2072" t="s">
        <v>2364</v>
      </c>
      <c r="S2072" t="s">
        <v>553</v>
      </c>
      <c r="T2072" t="s">
        <v>2367</v>
      </c>
      <c r="U2072">
        <v>360</v>
      </c>
      <c r="V2072" t="s">
        <v>2368</v>
      </c>
      <c r="W2072">
        <v>360</v>
      </c>
      <c r="X2072" t="s">
        <v>711</v>
      </c>
      <c r="Y2072" t="s">
        <v>2365</v>
      </c>
      <c r="Z2072" t="s">
        <v>2365</v>
      </c>
      <c r="AA2072" t="s">
        <v>2365</v>
      </c>
      <c r="AB2072" t="s">
        <v>2365</v>
      </c>
      <c r="AC2072" s="813">
        <v>200</v>
      </c>
      <c r="AD2072" s="813" t="s">
        <v>5401</v>
      </c>
      <c r="AE2072" s="813">
        <v>390</v>
      </c>
      <c r="AF2072" t="s">
        <v>652</v>
      </c>
      <c r="AG2072" t="s">
        <v>2365</v>
      </c>
      <c r="AH2072" t="s">
        <v>2365</v>
      </c>
      <c r="AI2072" t="s">
        <v>2365</v>
      </c>
      <c r="AJ2072" t="s">
        <v>2365</v>
      </c>
      <c r="AK2072" s="1373">
        <v>361</v>
      </c>
      <c r="AL2072" t="s">
        <v>1804</v>
      </c>
      <c r="AM2072">
        <v>361</v>
      </c>
      <c r="AN2072" t="s">
        <v>1804</v>
      </c>
      <c r="AR2072" t="s">
        <v>2365</v>
      </c>
      <c r="AS2072" t="s">
        <v>2365</v>
      </c>
      <c r="AT2072" t="s">
        <v>2365</v>
      </c>
      <c r="AU2072" t="s">
        <v>2365</v>
      </c>
      <c r="AV2072" t="s">
        <v>2365</v>
      </c>
      <c r="AW2072" t="s">
        <v>2365</v>
      </c>
      <c r="AX2072" t="s">
        <v>2365</v>
      </c>
      <c r="AY2072" t="s">
        <v>2365</v>
      </c>
      <c r="AZ2072" t="s">
        <v>2365</v>
      </c>
      <c r="BA2072" t="s">
        <v>2365</v>
      </c>
      <c r="BB2072" t="s">
        <v>2365</v>
      </c>
      <c r="BC2072" t="s">
        <v>2365</v>
      </c>
      <c r="BD2072" t="s">
        <v>2366</v>
      </c>
      <c r="BE2072" t="s">
        <v>2365</v>
      </c>
      <c r="BF2072" t="s">
        <v>2365</v>
      </c>
      <c r="BG2072" t="s">
        <v>2365</v>
      </c>
      <c r="BH2072" t="s">
        <v>2365</v>
      </c>
      <c r="BI2072" t="s">
        <v>2366</v>
      </c>
      <c r="BJ2072" t="s">
        <v>2365</v>
      </c>
      <c r="BK2072" t="s">
        <v>2365</v>
      </c>
      <c r="BL2072" t="s">
        <v>2365</v>
      </c>
      <c r="BM2072" t="s">
        <v>2365</v>
      </c>
      <c r="BO2072">
        <v>1</v>
      </c>
      <c r="BP2072">
        <v>11</v>
      </c>
      <c r="BQ2072" t="s">
        <v>2369</v>
      </c>
      <c r="BR2072" t="s">
        <v>1487</v>
      </c>
      <c r="BU2072">
        <v>0</v>
      </c>
      <c r="BV2072">
        <v>0</v>
      </c>
      <c r="BW2072">
        <v>0</v>
      </c>
      <c r="BX2072">
        <v>0</v>
      </c>
      <c r="BY2072">
        <v>0</v>
      </c>
      <c r="BZ2072">
        <v>0</v>
      </c>
      <c r="CA2072">
        <v>0</v>
      </c>
      <c r="CB2072">
        <v>0</v>
      </c>
      <c r="CC2072">
        <v>0</v>
      </c>
      <c r="CD2072">
        <v>0</v>
      </c>
      <c r="CE2072">
        <v>0</v>
      </c>
      <c r="CF2072">
        <v>0</v>
      </c>
      <c r="CG2072">
        <v>0</v>
      </c>
      <c r="CH2072">
        <v>0</v>
      </c>
      <c r="CI2072">
        <v>0</v>
      </c>
      <c r="CJ2072">
        <v>0</v>
      </c>
      <c r="CK2072">
        <v>0</v>
      </c>
      <c r="CL2072">
        <v>0</v>
      </c>
      <c r="CM2072">
        <v>0</v>
      </c>
      <c r="CR2072" t="s">
        <v>2335</v>
      </c>
      <c r="CS2072" s="1369" t="str">
        <f>INDEX([8]Sheet1!$H:$H,MATCH(CR:CR,[8]Sheet1!$AU:$AU,0))</f>
        <v>Economic Development/Planning</v>
      </c>
    </row>
    <row r="2073" spans="1:97" x14ac:dyDescent="0.2">
      <c r="A2073" t="s">
        <v>5402</v>
      </c>
      <c r="B2073">
        <v>2171</v>
      </c>
      <c r="C2073" t="s">
        <v>5402</v>
      </c>
      <c r="D2073">
        <v>55195</v>
      </c>
      <c r="E2073" t="s">
        <v>5403</v>
      </c>
      <c r="F2073" t="s">
        <v>2364</v>
      </c>
      <c r="G2073" t="s">
        <v>2364</v>
      </c>
      <c r="H2073" t="s">
        <v>2365</v>
      </c>
      <c r="I2073" t="s">
        <v>2365</v>
      </c>
      <c r="J2073" t="s">
        <v>2365</v>
      </c>
      <c r="K2073" t="s">
        <v>2365</v>
      </c>
      <c r="L2073">
        <v>1200</v>
      </c>
      <c r="M2073" t="s">
        <v>1480</v>
      </c>
      <c r="N2073">
        <v>1204</v>
      </c>
      <c r="O2073" t="s">
        <v>1487</v>
      </c>
      <c r="P2073" t="s">
        <v>2366</v>
      </c>
      <c r="Q2073" t="s">
        <v>2364</v>
      </c>
      <c r="R2073" t="s">
        <v>2364</v>
      </c>
      <c r="S2073" t="s">
        <v>553</v>
      </c>
      <c r="T2073" t="s">
        <v>2367</v>
      </c>
      <c r="U2073">
        <v>360</v>
      </c>
      <c r="V2073" t="s">
        <v>2368</v>
      </c>
      <c r="W2073">
        <v>360</v>
      </c>
      <c r="X2073" t="s">
        <v>711</v>
      </c>
      <c r="Y2073" t="s">
        <v>2365</v>
      </c>
      <c r="Z2073" t="s">
        <v>2365</v>
      </c>
      <c r="AA2073" t="s">
        <v>2365</v>
      </c>
      <c r="AB2073" t="s">
        <v>2365</v>
      </c>
      <c r="AC2073" s="813" t="s">
        <v>2365</v>
      </c>
      <c r="AD2073" s="813" t="s">
        <v>2365</v>
      </c>
      <c r="AE2073" s="813" t="s">
        <v>2365</v>
      </c>
      <c r="AF2073" t="s">
        <v>2365</v>
      </c>
      <c r="AG2073" t="s">
        <v>2365</v>
      </c>
      <c r="AH2073" t="s">
        <v>2365</v>
      </c>
      <c r="AI2073" t="s">
        <v>2365</v>
      </c>
      <c r="AJ2073" t="s">
        <v>2365</v>
      </c>
      <c r="AK2073">
        <v>361</v>
      </c>
      <c r="AL2073" t="s">
        <v>1804</v>
      </c>
      <c r="AM2073">
        <v>361</v>
      </c>
      <c r="AN2073" t="s">
        <v>1804</v>
      </c>
      <c r="AR2073" t="s">
        <v>2365</v>
      </c>
      <c r="AS2073" t="s">
        <v>2365</v>
      </c>
      <c r="AT2073" t="s">
        <v>2365</v>
      </c>
      <c r="AU2073" t="s">
        <v>2365</v>
      </c>
      <c r="AV2073" t="s">
        <v>2365</v>
      </c>
      <c r="AW2073" t="s">
        <v>2365</v>
      </c>
      <c r="AX2073" t="s">
        <v>2365</v>
      </c>
      <c r="AY2073" t="s">
        <v>2365</v>
      </c>
      <c r="AZ2073" t="s">
        <v>2365</v>
      </c>
      <c r="BA2073" t="s">
        <v>2365</v>
      </c>
      <c r="BB2073" t="s">
        <v>2365</v>
      </c>
      <c r="BC2073" t="s">
        <v>2365</v>
      </c>
      <c r="BD2073" t="s">
        <v>2366</v>
      </c>
      <c r="BE2073" t="s">
        <v>2365</v>
      </c>
      <c r="BF2073" t="s">
        <v>2365</v>
      </c>
      <c r="BG2073" t="s">
        <v>2365</v>
      </c>
      <c r="BH2073" t="s">
        <v>2365</v>
      </c>
      <c r="BI2073" t="s">
        <v>2366</v>
      </c>
      <c r="BJ2073" t="s">
        <v>2365</v>
      </c>
      <c r="BK2073" t="s">
        <v>2365</v>
      </c>
      <c r="BL2073" t="s">
        <v>2365</v>
      </c>
      <c r="BM2073" t="s">
        <v>2365</v>
      </c>
      <c r="BO2073">
        <v>1</v>
      </c>
      <c r="BP2073">
        <v>11</v>
      </c>
      <c r="BQ2073" t="s">
        <v>2369</v>
      </c>
      <c r="BR2073" t="s">
        <v>1487</v>
      </c>
      <c r="BU2073">
        <v>0</v>
      </c>
      <c r="BV2073">
        <v>0</v>
      </c>
      <c r="BW2073">
        <v>0</v>
      </c>
      <c r="BX2073">
        <v>0</v>
      </c>
      <c r="BY2073">
        <v>0</v>
      </c>
      <c r="BZ2073">
        <v>0</v>
      </c>
      <c r="CA2073">
        <v>0</v>
      </c>
      <c r="CB2073">
        <v>0</v>
      </c>
      <c r="CC2073">
        <v>0</v>
      </c>
      <c r="CD2073">
        <v>0</v>
      </c>
      <c r="CE2073">
        <v>0</v>
      </c>
      <c r="CF2073">
        <v>0</v>
      </c>
      <c r="CG2073">
        <v>0</v>
      </c>
      <c r="CH2073">
        <v>0</v>
      </c>
      <c r="CI2073">
        <v>0</v>
      </c>
      <c r="CJ2073">
        <v>0</v>
      </c>
      <c r="CK2073">
        <v>0</v>
      </c>
      <c r="CL2073">
        <v>0</v>
      </c>
      <c r="CM2073">
        <v>0</v>
      </c>
      <c r="CR2073" t="s">
        <v>2335</v>
      </c>
      <c r="CS2073" s="1369" t="str">
        <f>INDEX([8]Sheet1!$H:$H,MATCH(CR:CR,[8]Sheet1!$AU:$AU,0))</f>
        <v>Economic Development/Planning</v>
      </c>
    </row>
    <row r="2074" spans="1:97" x14ac:dyDescent="0.2">
      <c r="A2074" t="s">
        <v>5404</v>
      </c>
      <c r="B2074">
        <v>2172</v>
      </c>
      <c r="C2074" t="s">
        <v>5404</v>
      </c>
      <c r="D2074">
        <v>55196</v>
      </c>
      <c r="E2074" t="s">
        <v>5405</v>
      </c>
      <c r="F2074" t="s">
        <v>2364</v>
      </c>
      <c r="G2074" t="s">
        <v>2364</v>
      </c>
      <c r="H2074" t="s">
        <v>2365</v>
      </c>
      <c r="I2074" t="s">
        <v>2365</v>
      </c>
      <c r="J2074" t="s">
        <v>2365</v>
      </c>
      <c r="K2074" t="s">
        <v>2365</v>
      </c>
      <c r="L2074">
        <v>1200</v>
      </c>
      <c r="M2074" t="s">
        <v>1480</v>
      </c>
      <c r="N2074">
        <v>1204</v>
      </c>
      <c r="O2074" t="s">
        <v>1487</v>
      </c>
      <c r="P2074" t="s">
        <v>2366</v>
      </c>
      <c r="Q2074" t="s">
        <v>2364</v>
      </c>
      <c r="R2074" t="s">
        <v>2364</v>
      </c>
      <c r="S2074" t="s">
        <v>553</v>
      </c>
      <c r="T2074" t="s">
        <v>2367</v>
      </c>
      <c r="U2074">
        <v>360</v>
      </c>
      <c r="V2074" t="s">
        <v>2368</v>
      </c>
      <c r="W2074">
        <v>360</v>
      </c>
      <c r="X2074" t="s">
        <v>711</v>
      </c>
      <c r="Y2074" t="s">
        <v>2365</v>
      </c>
      <c r="Z2074" t="s">
        <v>2365</v>
      </c>
      <c r="AA2074" t="s">
        <v>2365</v>
      </c>
      <c r="AB2074" t="s">
        <v>2365</v>
      </c>
      <c r="AC2074" s="813">
        <v>200</v>
      </c>
      <c r="AD2074" s="813" t="s">
        <v>5401</v>
      </c>
      <c r="AE2074" s="813">
        <v>390</v>
      </c>
      <c r="AF2074" t="s">
        <v>652</v>
      </c>
      <c r="AG2074" t="s">
        <v>2365</v>
      </c>
      <c r="AH2074" t="s">
        <v>2365</v>
      </c>
      <c r="AI2074" t="s">
        <v>2365</v>
      </c>
      <c r="AJ2074" t="s">
        <v>2365</v>
      </c>
      <c r="AK2074">
        <v>361</v>
      </c>
      <c r="AL2074" t="s">
        <v>1804</v>
      </c>
      <c r="AM2074">
        <v>361</v>
      </c>
      <c r="AN2074" t="s">
        <v>1804</v>
      </c>
      <c r="AR2074" t="s">
        <v>2365</v>
      </c>
      <c r="AS2074" t="s">
        <v>2365</v>
      </c>
      <c r="AT2074" t="s">
        <v>2365</v>
      </c>
      <c r="AU2074" t="s">
        <v>2365</v>
      </c>
      <c r="AV2074" t="s">
        <v>2365</v>
      </c>
      <c r="AW2074" t="s">
        <v>2365</v>
      </c>
      <c r="AX2074" t="s">
        <v>2365</v>
      </c>
      <c r="AY2074" t="s">
        <v>2365</v>
      </c>
      <c r="AZ2074" t="s">
        <v>2365</v>
      </c>
      <c r="BA2074" t="s">
        <v>2365</v>
      </c>
      <c r="BB2074" t="s">
        <v>2365</v>
      </c>
      <c r="BC2074" t="s">
        <v>2365</v>
      </c>
      <c r="BD2074" t="s">
        <v>2366</v>
      </c>
      <c r="BE2074" t="s">
        <v>2365</v>
      </c>
      <c r="BF2074" t="s">
        <v>2365</v>
      </c>
      <c r="BG2074" t="s">
        <v>2365</v>
      </c>
      <c r="BH2074" t="s">
        <v>2365</v>
      </c>
      <c r="BI2074" t="s">
        <v>2366</v>
      </c>
      <c r="BJ2074" t="s">
        <v>2365</v>
      </c>
      <c r="BK2074" t="s">
        <v>2365</v>
      </c>
      <c r="BL2074" t="s">
        <v>2365</v>
      </c>
      <c r="BM2074" t="s">
        <v>2365</v>
      </c>
      <c r="BO2074">
        <v>1</v>
      </c>
      <c r="BP2074">
        <v>11</v>
      </c>
      <c r="BQ2074" t="s">
        <v>2369</v>
      </c>
      <c r="BR2074" t="s">
        <v>1487</v>
      </c>
      <c r="BU2074">
        <v>0</v>
      </c>
      <c r="BV2074">
        <v>0</v>
      </c>
      <c r="BW2074">
        <v>0</v>
      </c>
      <c r="BX2074">
        <v>0</v>
      </c>
      <c r="BY2074">
        <v>0</v>
      </c>
      <c r="BZ2074">
        <v>0</v>
      </c>
      <c r="CA2074">
        <v>0</v>
      </c>
      <c r="CB2074">
        <v>0</v>
      </c>
      <c r="CC2074">
        <v>0</v>
      </c>
      <c r="CD2074">
        <v>0</v>
      </c>
      <c r="CE2074">
        <v>0</v>
      </c>
      <c r="CF2074">
        <v>0</v>
      </c>
      <c r="CG2074">
        <v>0</v>
      </c>
      <c r="CH2074">
        <v>0</v>
      </c>
      <c r="CI2074">
        <v>0</v>
      </c>
      <c r="CJ2074">
        <v>0</v>
      </c>
      <c r="CK2074">
        <v>0</v>
      </c>
      <c r="CL2074">
        <v>0</v>
      </c>
      <c r="CM2074">
        <v>0</v>
      </c>
      <c r="CR2074" t="s">
        <v>2335</v>
      </c>
      <c r="CS2074" s="1369" t="str">
        <f>INDEX([8]Sheet1!$H:$H,MATCH(CR:CR,[8]Sheet1!$AU:$AU,0))</f>
        <v>Economic Development/Planning</v>
      </c>
    </row>
    <row r="2075" spans="1:97" x14ac:dyDescent="0.2">
      <c r="A2075" t="s">
        <v>5406</v>
      </c>
      <c r="B2075">
        <v>2173</v>
      </c>
      <c r="C2075" t="s">
        <v>5406</v>
      </c>
      <c r="D2075">
        <v>55197</v>
      </c>
      <c r="E2075" t="s">
        <v>4967</v>
      </c>
      <c r="F2075" t="s">
        <v>2364</v>
      </c>
      <c r="G2075" t="s">
        <v>2364</v>
      </c>
      <c r="H2075" t="s">
        <v>2365</v>
      </c>
      <c r="I2075" t="s">
        <v>2365</v>
      </c>
      <c r="J2075" t="s">
        <v>2365</v>
      </c>
      <c r="K2075" t="s">
        <v>2365</v>
      </c>
      <c r="L2075">
        <v>1200</v>
      </c>
      <c r="M2075" t="s">
        <v>1480</v>
      </c>
      <c r="N2075">
        <v>1204</v>
      </c>
      <c r="O2075" t="s">
        <v>1487</v>
      </c>
      <c r="P2075" t="s">
        <v>2366</v>
      </c>
      <c r="Q2075" t="s">
        <v>2364</v>
      </c>
      <c r="R2075" t="s">
        <v>2364</v>
      </c>
      <c r="S2075" t="s">
        <v>553</v>
      </c>
      <c r="T2075" t="s">
        <v>2367</v>
      </c>
      <c r="U2075">
        <v>360</v>
      </c>
      <c r="V2075" t="s">
        <v>2368</v>
      </c>
      <c r="W2075">
        <v>360</v>
      </c>
      <c r="X2075" t="s">
        <v>711</v>
      </c>
      <c r="Y2075" t="s">
        <v>2365</v>
      </c>
      <c r="Z2075" t="s">
        <v>2365</v>
      </c>
      <c r="AA2075" t="s">
        <v>2365</v>
      </c>
      <c r="AB2075" t="s">
        <v>2365</v>
      </c>
      <c r="AC2075" s="813">
        <v>200</v>
      </c>
      <c r="AD2075" s="813" t="s">
        <v>5401</v>
      </c>
      <c r="AE2075" s="813">
        <v>390</v>
      </c>
      <c r="AF2075" t="s">
        <v>652</v>
      </c>
      <c r="AG2075" t="s">
        <v>2365</v>
      </c>
      <c r="AH2075" t="s">
        <v>2365</v>
      </c>
      <c r="AI2075" t="s">
        <v>2365</v>
      </c>
      <c r="AJ2075" t="s">
        <v>2365</v>
      </c>
      <c r="AK2075">
        <v>361</v>
      </c>
      <c r="AL2075" t="s">
        <v>1804</v>
      </c>
      <c r="AM2075">
        <v>361</v>
      </c>
      <c r="AN2075" t="s">
        <v>1804</v>
      </c>
      <c r="AR2075" t="s">
        <v>2365</v>
      </c>
      <c r="AS2075" t="s">
        <v>2365</v>
      </c>
      <c r="AT2075" t="s">
        <v>2365</v>
      </c>
      <c r="AU2075" t="s">
        <v>2365</v>
      </c>
      <c r="AV2075" t="s">
        <v>2365</v>
      </c>
      <c r="AW2075" t="s">
        <v>2365</v>
      </c>
      <c r="AX2075" t="s">
        <v>2365</v>
      </c>
      <c r="AY2075" t="s">
        <v>2365</v>
      </c>
      <c r="AZ2075" t="s">
        <v>2365</v>
      </c>
      <c r="BA2075" t="s">
        <v>2365</v>
      </c>
      <c r="BB2075" t="s">
        <v>2365</v>
      </c>
      <c r="BC2075" t="s">
        <v>2365</v>
      </c>
      <c r="BD2075" t="s">
        <v>2366</v>
      </c>
      <c r="BE2075" t="s">
        <v>2365</v>
      </c>
      <c r="BF2075" t="s">
        <v>2365</v>
      </c>
      <c r="BG2075" t="s">
        <v>2365</v>
      </c>
      <c r="BH2075" t="s">
        <v>2365</v>
      </c>
      <c r="BI2075" t="s">
        <v>2366</v>
      </c>
      <c r="BJ2075" t="s">
        <v>2365</v>
      </c>
      <c r="BK2075" t="s">
        <v>2365</v>
      </c>
      <c r="BL2075" t="s">
        <v>2365</v>
      </c>
      <c r="BM2075" t="s">
        <v>2365</v>
      </c>
      <c r="BO2075">
        <v>1</v>
      </c>
      <c r="BP2075">
        <v>11</v>
      </c>
      <c r="BQ2075" t="s">
        <v>2369</v>
      </c>
      <c r="BR2075" t="s">
        <v>1487</v>
      </c>
      <c r="BU2075">
        <v>0</v>
      </c>
      <c r="BV2075">
        <v>0</v>
      </c>
      <c r="BW2075">
        <v>0</v>
      </c>
      <c r="BX2075">
        <v>0</v>
      </c>
      <c r="BY2075">
        <v>0</v>
      </c>
      <c r="BZ2075">
        <v>0</v>
      </c>
      <c r="CA2075">
        <v>0</v>
      </c>
      <c r="CB2075">
        <v>0</v>
      </c>
      <c r="CC2075">
        <v>0</v>
      </c>
      <c r="CD2075">
        <v>0</v>
      </c>
      <c r="CE2075">
        <v>0</v>
      </c>
      <c r="CF2075">
        <v>0</v>
      </c>
      <c r="CG2075">
        <v>0</v>
      </c>
      <c r="CH2075">
        <v>0</v>
      </c>
      <c r="CI2075">
        <v>0</v>
      </c>
      <c r="CJ2075">
        <v>0</v>
      </c>
      <c r="CK2075">
        <v>0</v>
      </c>
      <c r="CL2075">
        <v>0</v>
      </c>
      <c r="CM2075">
        <v>0</v>
      </c>
      <c r="CR2075" t="s">
        <v>2335</v>
      </c>
      <c r="CS2075" s="1369" t="str">
        <f>INDEX([8]Sheet1!$H:$H,MATCH(CR:CR,[8]Sheet1!$AU:$AU,0))</f>
        <v>Economic Development/Planning</v>
      </c>
    </row>
    <row r="2076" spans="1:97" x14ac:dyDescent="0.2">
      <c r="A2076" t="s">
        <v>5407</v>
      </c>
      <c r="B2076">
        <v>2174</v>
      </c>
      <c r="C2076" t="s">
        <v>5407</v>
      </c>
      <c r="D2076">
        <v>55199</v>
      </c>
      <c r="E2076" t="s">
        <v>5408</v>
      </c>
      <c r="F2076" t="s">
        <v>2364</v>
      </c>
      <c r="G2076" t="s">
        <v>2364</v>
      </c>
      <c r="H2076" t="s">
        <v>2365</v>
      </c>
      <c r="I2076" t="s">
        <v>2365</v>
      </c>
      <c r="J2076" t="s">
        <v>2365</v>
      </c>
      <c r="K2076" t="s">
        <v>2365</v>
      </c>
      <c r="L2076">
        <v>1200</v>
      </c>
      <c r="M2076" t="s">
        <v>1480</v>
      </c>
      <c r="N2076">
        <v>1204</v>
      </c>
      <c r="O2076" t="s">
        <v>1487</v>
      </c>
      <c r="P2076" t="s">
        <v>2366</v>
      </c>
      <c r="Q2076" t="s">
        <v>2364</v>
      </c>
      <c r="R2076" t="s">
        <v>2364</v>
      </c>
      <c r="S2076" t="s">
        <v>553</v>
      </c>
      <c r="T2076" t="s">
        <v>2367</v>
      </c>
      <c r="U2076">
        <v>360</v>
      </c>
      <c r="V2076" t="s">
        <v>2368</v>
      </c>
      <c r="W2076">
        <v>360</v>
      </c>
      <c r="X2076" t="s">
        <v>711</v>
      </c>
      <c r="Y2076" t="s">
        <v>2365</v>
      </c>
      <c r="Z2076" t="s">
        <v>2365</v>
      </c>
      <c r="AA2076" t="s">
        <v>2365</v>
      </c>
      <c r="AB2076" t="s">
        <v>2365</v>
      </c>
      <c r="AC2076" s="813">
        <v>200</v>
      </c>
      <c r="AD2076" s="813" t="s">
        <v>5401</v>
      </c>
      <c r="AE2076" s="813">
        <v>390</v>
      </c>
      <c r="AF2076" t="s">
        <v>652</v>
      </c>
      <c r="AG2076" t="s">
        <v>2365</v>
      </c>
      <c r="AH2076" t="s">
        <v>2365</v>
      </c>
      <c r="AI2076" t="s">
        <v>2365</v>
      </c>
      <c r="AJ2076" t="s">
        <v>2365</v>
      </c>
      <c r="AK2076">
        <v>361</v>
      </c>
      <c r="AL2076" t="s">
        <v>1804</v>
      </c>
      <c r="AM2076">
        <v>361</v>
      </c>
      <c r="AN2076" t="s">
        <v>1804</v>
      </c>
      <c r="AR2076" t="s">
        <v>2365</v>
      </c>
      <c r="AS2076" t="s">
        <v>2365</v>
      </c>
      <c r="AT2076" t="s">
        <v>2365</v>
      </c>
      <c r="AU2076" t="s">
        <v>2365</v>
      </c>
      <c r="AV2076" t="s">
        <v>2365</v>
      </c>
      <c r="AW2076" t="s">
        <v>2365</v>
      </c>
      <c r="AX2076" t="s">
        <v>2365</v>
      </c>
      <c r="AY2076" t="s">
        <v>2365</v>
      </c>
      <c r="AZ2076" t="s">
        <v>2365</v>
      </c>
      <c r="BA2076" t="s">
        <v>2365</v>
      </c>
      <c r="BB2076" t="s">
        <v>2365</v>
      </c>
      <c r="BC2076" t="s">
        <v>2365</v>
      </c>
      <c r="BD2076" t="s">
        <v>2366</v>
      </c>
      <c r="BE2076" t="s">
        <v>2365</v>
      </c>
      <c r="BF2076" t="s">
        <v>2365</v>
      </c>
      <c r="BG2076" t="s">
        <v>2365</v>
      </c>
      <c r="BH2076" t="s">
        <v>2365</v>
      </c>
      <c r="BI2076" t="s">
        <v>2366</v>
      </c>
      <c r="BJ2076" t="s">
        <v>2365</v>
      </c>
      <c r="BK2076" t="s">
        <v>2365</v>
      </c>
      <c r="BL2076" t="s">
        <v>2365</v>
      </c>
      <c r="BM2076" t="s">
        <v>2365</v>
      </c>
      <c r="BO2076">
        <v>1</v>
      </c>
      <c r="BP2076">
        <v>11</v>
      </c>
      <c r="BQ2076" t="s">
        <v>2369</v>
      </c>
      <c r="BR2076" t="s">
        <v>1487</v>
      </c>
      <c r="BU2076">
        <v>0</v>
      </c>
      <c r="BV2076">
        <v>0</v>
      </c>
      <c r="BW2076">
        <v>0</v>
      </c>
      <c r="BX2076">
        <v>309000</v>
      </c>
      <c r="BY2076">
        <v>309000</v>
      </c>
      <c r="BZ2076">
        <v>309000</v>
      </c>
      <c r="CA2076">
        <v>309000</v>
      </c>
      <c r="CB2076">
        <v>0</v>
      </c>
      <c r="CC2076">
        <v>0</v>
      </c>
      <c r="CD2076">
        <v>0</v>
      </c>
      <c r="CE2076">
        <v>0</v>
      </c>
      <c r="CF2076">
        <v>0</v>
      </c>
      <c r="CG2076">
        <v>0</v>
      </c>
      <c r="CH2076">
        <v>0</v>
      </c>
      <c r="CI2076">
        <v>0</v>
      </c>
      <c r="CJ2076">
        <v>0</v>
      </c>
      <c r="CK2076">
        <v>0</v>
      </c>
      <c r="CL2076">
        <v>0</v>
      </c>
      <c r="CM2076">
        <v>0</v>
      </c>
      <c r="CR2076" t="s">
        <v>2335</v>
      </c>
      <c r="CS2076" s="1369" t="str">
        <f>INDEX([8]Sheet1!$H:$H,MATCH(CR:CR,[8]Sheet1!$AU:$AU,0))</f>
        <v>Economic Development/Planning</v>
      </c>
    </row>
    <row r="2077" spans="1:97" x14ac:dyDescent="0.2">
      <c r="A2077" t="s">
        <v>5409</v>
      </c>
      <c r="B2077">
        <v>2175</v>
      </c>
      <c r="C2077" t="s">
        <v>5409</v>
      </c>
      <c r="D2077">
        <v>55198</v>
      </c>
      <c r="E2077" t="s">
        <v>5410</v>
      </c>
      <c r="F2077" t="s">
        <v>2364</v>
      </c>
      <c r="G2077" t="s">
        <v>2364</v>
      </c>
      <c r="H2077" s="1373" t="s">
        <v>2365</v>
      </c>
      <c r="I2077" t="s">
        <v>2365</v>
      </c>
      <c r="J2077" t="s">
        <v>2365</v>
      </c>
      <c r="K2077" t="s">
        <v>2365</v>
      </c>
      <c r="L2077" s="1373">
        <v>1200</v>
      </c>
      <c r="M2077" t="s">
        <v>1480</v>
      </c>
      <c r="N2077">
        <v>1204</v>
      </c>
      <c r="O2077" t="s">
        <v>1487</v>
      </c>
      <c r="P2077" t="s">
        <v>2366</v>
      </c>
      <c r="Q2077" t="s">
        <v>2364</v>
      </c>
      <c r="R2077" t="s">
        <v>2364</v>
      </c>
      <c r="S2077" t="s">
        <v>553</v>
      </c>
      <c r="T2077" t="s">
        <v>2367</v>
      </c>
      <c r="U2077">
        <v>360</v>
      </c>
      <c r="V2077" t="s">
        <v>2368</v>
      </c>
      <c r="W2077">
        <v>360</v>
      </c>
      <c r="X2077" t="s">
        <v>711</v>
      </c>
      <c r="Y2077" t="s">
        <v>2365</v>
      </c>
      <c r="Z2077" t="s">
        <v>2365</v>
      </c>
      <c r="AA2077" t="s">
        <v>2365</v>
      </c>
      <c r="AB2077" t="s">
        <v>2365</v>
      </c>
      <c r="AC2077" s="813">
        <v>200</v>
      </c>
      <c r="AD2077" s="813" t="s">
        <v>5401</v>
      </c>
      <c r="AE2077" s="813">
        <v>390</v>
      </c>
      <c r="AF2077" t="s">
        <v>652</v>
      </c>
      <c r="AG2077" t="s">
        <v>2365</v>
      </c>
      <c r="AH2077" t="s">
        <v>2365</v>
      </c>
      <c r="AI2077" t="s">
        <v>2365</v>
      </c>
      <c r="AJ2077" t="s">
        <v>2365</v>
      </c>
      <c r="AK2077">
        <v>361</v>
      </c>
      <c r="AL2077" t="s">
        <v>1804</v>
      </c>
      <c r="AM2077">
        <v>361</v>
      </c>
      <c r="AN2077" t="s">
        <v>1804</v>
      </c>
      <c r="AR2077" t="s">
        <v>2365</v>
      </c>
      <c r="AS2077" t="s">
        <v>2365</v>
      </c>
      <c r="AT2077" t="s">
        <v>2365</v>
      </c>
      <c r="AU2077" t="s">
        <v>2365</v>
      </c>
      <c r="AV2077" t="s">
        <v>2365</v>
      </c>
      <c r="AW2077" t="s">
        <v>2365</v>
      </c>
      <c r="AX2077" t="s">
        <v>2365</v>
      </c>
      <c r="AY2077" t="s">
        <v>2365</v>
      </c>
      <c r="AZ2077" t="s">
        <v>2365</v>
      </c>
      <c r="BA2077" t="s">
        <v>2365</v>
      </c>
      <c r="BB2077" t="s">
        <v>2365</v>
      </c>
      <c r="BC2077" t="s">
        <v>2365</v>
      </c>
      <c r="BD2077" t="s">
        <v>2366</v>
      </c>
      <c r="BE2077" t="s">
        <v>2365</v>
      </c>
      <c r="BF2077" t="s">
        <v>2365</v>
      </c>
      <c r="BG2077" t="s">
        <v>2365</v>
      </c>
      <c r="BH2077" t="s">
        <v>2365</v>
      </c>
      <c r="BI2077" t="s">
        <v>2366</v>
      </c>
      <c r="BJ2077" t="s">
        <v>2365</v>
      </c>
      <c r="BK2077" t="s">
        <v>2365</v>
      </c>
      <c r="BL2077" t="s">
        <v>2365</v>
      </c>
      <c r="BM2077" t="s">
        <v>2365</v>
      </c>
      <c r="BO2077">
        <v>1</v>
      </c>
      <c r="BP2077">
        <v>11</v>
      </c>
      <c r="BQ2077" t="s">
        <v>2369</v>
      </c>
      <c r="BR2077" t="s">
        <v>1487</v>
      </c>
      <c r="BU2077" s="1371">
        <v>0</v>
      </c>
      <c r="BV2077" s="1371">
        <v>0</v>
      </c>
      <c r="BW2077" s="1371">
        <v>0</v>
      </c>
      <c r="BX2077" s="1371">
        <v>23994000</v>
      </c>
      <c r="BY2077" s="1371">
        <v>23994000</v>
      </c>
      <c r="BZ2077">
        <v>23994000</v>
      </c>
      <c r="CA2077">
        <v>23994000</v>
      </c>
      <c r="CB2077">
        <v>0</v>
      </c>
      <c r="CC2077">
        <v>0</v>
      </c>
      <c r="CD2077">
        <v>0</v>
      </c>
      <c r="CE2077">
        <v>0</v>
      </c>
      <c r="CF2077">
        <v>0</v>
      </c>
      <c r="CG2077">
        <v>0</v>
      </c>
      <c r="CH2077">
        <v>0</v>
      </c>
      <c r="CI2077">
        <v>0</v>
      </c>
      <c r="CJ2077">
        <v>0</v>
      </c>
      <c r="CK2077">
        <v>0</v>
      </c>
      <c r="CL2077">
        <v>0</v>
      </c>
      <c r="CM2077">
        <v>0</v>
      </c>
      <c r="CR2077" t="s">
        <v>2335</v>
      </c>
      <c r="CS2077" s="1369" t="str">
        <f>INDEX([8]Sheet1!$H:$H,MATCH(CR:CR,[8]Sheet1!$AU:$AU,0))</f>
        <v>Economic Development/Planning</v>
      </c>
    </row>
    <row r="2078" spans="1:97" x14ac:dyDescent="0.2">
      <c r="A2078" t="s">
        <v>5411</v>
      </c>
      <c r="B2078">
        <v>2176</v>
      </c>
      <c r="C2078" t="s">
        <v>5411</v>
      </c>
      <c r="D2078">
        <v>55200</v>
      </c>
      <c r="E2078" t="s">
        <v>5412</v>
      </c>
      <c r="F2078" t="s">
        <v>2364</v>
      </c>
      <c r="G2078" t="s">
        <v>2364</v>
      </c>
      <c r="H2078" s="1373" t="s">
        <v>2365</v>
      </c>
      <c r="I2078" t="s">
        <v>2365</v>
      </c>
      <c r="J2078" t="s">
        <v>2365</v>
      </c>
      <c r="K2078" t="s">
        <v>2365</v>
      </c>
      <c r="L2078" s="1373">
        <v>1200</v>
      </c>
      <c r="M2078" t="s">
        <v>1480</v>
      </c>
      <c r="N2078">
        <v>1204</v>
      </c>
      <c r="O2078" t="s">
        <v>1487</v>
      </c>
      <c r="P2078" t="s">
        <v>2366</v>
      </c>
      <c r="Q2078" t="s">
        <v>2364</v>
      </c>
      <c r="R2078" t="s">
        <v>2364</v>
      </c>
      <c r="S2078" t="s">
        <v>553</v>
      </c>
      <c r="T2078" t="s">
        <v>2367</v>
      </c>
      <c r="U2078">
        <v>360</v>
      </c>
      <c r="V2078" t="s">
        <v>2368</v>
      </c>
      <c r="W2078">
        <v>360</v>
      </c>
      <c r="X2078" t="s">
        <v>711</v>
      </c>
      <c r="Y2078" t="s">
        <v>2365</v>
      </c>
      <c r="Z2078" t="s">
        <v>2365</v>
      </c>
      <c r="AA2078" t="s">
        <v>2365</v>
      </c>
      <c r="AB2078" t="s">
        <v>2365</v>
      </c>
      <c r="AC2078" s="813">
        <v>200</v>
      </c>
      <c r="AD2078" s="813" t="s">
        <v>5401</v>
      </c>
      <c r="AE2078" s="813">
        <v>390</v>
      </c>
      <c r="AF2078" t="s">
        <v>652</v>
      </c>
      <c r="AG2078" t="s">
        <v>2365</v>
      </c>
      <c r="AH2078" t="s">
        <v>2365</v>
      </c>
      <c r="AI2078" t="s">
        <v>2365</v>
      </c>
      <c r="AJ2078" t="s">
        <v>2365</v>
      </c>
      <c r="AK2078">
        <v>361</v>
      </c>
      <c r="AL2078" t="s">
        <v>1804</v>
      </c>
      <c r="AM2078">
        <v>361</v>
      </c>
      <c r="AN2078" t="s">
        <v>1804</v>
      </c>
      <c r="AR2078" t="s">
        <v>2365</v>
      </c>
      <c r="AS2078" t="s">
        <v>2365</v>
      </c>
      <c r="AT2078" t="s">
        <v>2365</v>
      </c>
      <c r="AU2078" t="s">
        <v>2365</v>
      </c>
      <c r="AV2078" t="s">
        <v>2365</v>
      </c>
      <c r="AW2078" t="s">
        <v>2365</v>
      </c>
      <c r="AX2078" t="s">
        <v>2365</v>
      </c>
      <c r="AY2078" t="s">
        <v>2365</v>
      </c>
      <c r="AZ2078" t="s">
        <v>2365</v>
      </c>
      <c r="BA2078" t="s">
        <v>2365</v>
      </c>
      <c r="BB2078" t="s">
        <v>2365</v>
      </c>
      <c r="BC2078" t="s">
        <v>2365</v>
      </c>
      <c r="BD2078" t="s">
        <v>2366</v>
      </c>
      <c r="BE2078" t="s">
        <v>2365</v>
      </c>
      <c r="BF2078" t="s">
        <v>2365</v>
      </c>
      <c r="BG2078" t="s">
        <v>2365</v>
      </c>
      <c r="BH2078" t="s">
        <v>2365</v>
      </c>
      <c r="BI2078" t="s">
        <v>2366</v>
      </c>
      <c r="BJ2078" t="s">
        <v>2365</v>
      </c>
      <c r="BK2078" t="s">
        <v>2365</v>
      </c>
      <c r="BL2078" t="s">
        <v>2365</v>
      </c>
      <c r="BM2078" t="s">
        <v>2365</v>
      </c>
      <c r="BO2078">
        <v>1</v>
      </c>
      <c r="BP2078">
        <v>11</v>
      </c>
      <c r="BQ2078" t="s">
        <v>2369</v>
      </c>
      <c r="BR2078" t="s">
        <v>1487</v>
      </c>
      <c r="BU2078" s="1371">
        <v>0</v>
      </c>
      <c r="BV2078" s="1371">
        <v>0</v>
      </c>
      <c r="BW2078" s="1371">
        <v>0</v>
      </c>
      <c r="BX2078" s="1371">
        <v>38451000</v>
      </c>
      <c r="BY2078" s="1371">
        <v>38451000</v>
      </c>
      <c r="BZ2078">
        <v>38451000</v>
      </c>
      <c r="CA2078">
        <v>38451000</v>
      </c>
      <c r="CB2078">
        <v>0</v>
      </c>
      <c r="CC2078">
        <v>0</v>
      </c>
      <c r="CD2078">
        <v>0</v>
      </c>
      <c r="CE2078">
        <v>0</v>
      </c>
      <c r="CF2078">
        <v>0</v>
      </c>
      <c r="CG2078">
        <v>0</v>
      </c>
      <c r="CH2078">
        <v>0</v>
      </c>
      <c r="CI2078">
        <v>0</v>
      </c>
      <c r="CJ2078">
        <v>0</v>
      </c>
      <c r="CK2078">
        <v>0</v>
      </c>
      <c r="CL2078">
        <v>0</v>
      </c>
      <c r="CM2078">
        <v>0</v>
      </c>
      <c r="CR2078" t="s">
        <v>2335</v>
      </c>
      <c r="CS2078" s="1369" t="str">
        <f>INDEX([8]Sheet1!$H:$H,MATCH(CR:CR,[8]Sheet1!$AU:$AU,0))</f>
        <v>Economic Development/Planning</v>
      </c>
    </row>
    <row r="2079" spans="1:97" x14ac:dyDescent="0.2">
      <c r="A2079" t="s">
        <v>5413</v>
      </c>
      <c r="B2079">
        <v>2177</v>
      </c>
      <c r="C2079" t="s">
        <v>5413</v>
      </c>
      <c r="D2079">
        <v>55201</v>
      </c>
      <c r="E2079" t="s">
        <v>5414</v>
      </c>
      <c r="F2079" t="s">
        <v>2364</v>
      </c>
      <c r="G2079" t="s">
        <v>2364</v>
      </c>
      <c r="H2079" s="1373" t="s">
        <v>2365</v>
      </c>
      <c r="I2079" t="s">
        <v>2365</v>
      </c>
      <c r="J2079" t="s">
        <v>2365</v>
      </c>
      <c r="K2079" t="s">
        <v>2365</v>
      </c>
      <c r="L2079" s="1373">
        <v>1200</v>
      </c>
      <c r="M2079" t="s">
        <v>1480</v>
      </c>
      <c r="N2079">
        <v>1204</v>
      </c>
      <c r="O2079" t="s">
        <v>1487</v>
      </c>
      <c r="P2079" t="s">
        <v>2366</v>
      </c>
      <c r="Q2079" t="s">
        <v>2364</v>
      </c>
      <c r="R2079" t="s">
        <v>2364</v>
      </c>
      <c r="S2079" t="s">
        <v>553</v>
      </c>
      <c r="T2079" t="s">
        <v>2367</v>
      </c>
      <c r="U2079">
        <v>360</v>
      </c>
      <c r="V2079" t="s">
        <v>2368</v>
      </c>
      <c r="W2079">
        <v>360</v>
      </c>
      <c r="X2079" t="s">
        <v>711</v>
      </c>
      <c r="Y2079" t="s">
        <v>2365</v>
      </c>
      <c r="Z2079" t="s">
        <v>2365</v>
      </c>
      <c r="AA2079" t="s">
        <v>2365</v>
      </c>
      <c r="AB2079" t="s">
        <v>2365</v>
      </c>
      <c r="AC2079" s="813">
        <v>200</v>
      </c>
      <c r="AD2079" s="813" t="s">
        <v>5401</v>
      </c>
      <c r="AE2079" s="813">
        <v>390</v>
      </c>
      <c r="AF2079" t="s">
        <v>652</v>
      </c>
      <c r="AG2079" t="s">
        <v>2365</v>
      </c>
      <c r="AH2079" t="s">
        <v>2365</v>
      </c>
      <c r="AI2079" t="s">
        <v>2365</v>
      </c>
      <c r="AJ2079" t="s">
        <v>2365</v>
      </c>
      <c r="AK2079">
        <v>361</v>
      </c>
      <c r="AL2079" t="s">
        <v>1804</v>
      </c>
      <c r="AM2079">
        <v>361</v>
      </c>
      <c r="AN2079" t="s">
        <v>1804</v>
      </c>
      <c r="AR2079" t="s">
        <v>2365</v>
      </c>
      <c r="AS2079" t="s">
        <v>2365</v>
      </c>
      <c r="AT2079" t="s">
        <v>2365</v>
      </c>
      <c r="AU2079" t="s">
        <v>2365</v>
      </c>
      <c r="AV2079" t="s">
        <v>2365</v>
      </c>
      <c r="AW2079" t="s">
        <v>2365</v>
      </c>
      <c r="AX2079" t="s">
        <v>2365</v>
      </c>
      <c r="AY2079" t="s">
        <v>2365</v>
      </c>
      <c r="AZ2079" t="s">
        <v>2365</v>
      </c>
      <c r="BA2079" t="s">
        <v>2365</v>
      </c>
      <c r="BB2079" t="s">
        <v>2365</v>
      </c>
      <c r="BC2079" t="s">
        <v>2365</v>
      </c>
      <c r="BD2079" t="s">
        <v>2366</v>
      </c>
      <c r="BE2079" t="s">
        <v>2365</v>
      </c>
      <c r="BF2079" t="s">
        <v>2365</v>
      </c>
      <c r="BG2079" t="s">
        <v>2365</v>
      </c>
      <c r="BH2079" t="s">
        <v>2365</v>
      </c>
      <c r="BI2079" t="s">
        <v>2366</v>
      </c>
      <c r="BJ2079" t="s">
        <v>2365</v>
      </c>
      <c r="BK2079" t="s">
        <v>2365</v>
      </c>
      <c r="BL2079" t="s">
        <v>2365</v>
      </c>
      <c r="BM2079" t="s">
        <v>2365</v>
      </c>
      <c r="BO2079">
        <v>1</v>
      </c>
      <c r="BP2079">
        <v>11</v>
      </c>
      <c r="BQ2079" t="s">
        <v>2369</v>
      </c>
      <c r="BR2079" t="s">
        <v>1487</v>
      </c>
      <c r="BU2079" s="1371">
        <v>0</v>
      </c>
      <c r="BV2079" s="1371">
        <v>0</v>
      </c>
      <c r="BW2079" s="1371">
        <v>0</v>
      </c>
      <c r="BX2079" s="1371">
        <v>6367000</v>
      </c>
      <c r="BY2079" s="1371">
        <v>6367000</v>
      </c>
      <c r="BZ2079">
        <v>6367000</v>
      </c>
      <c r="CA2079">
        <v>6367000</v>
      </c>
      <c r="CB2079">
        <v>0</v>
      </c>
      <c r="CC2079">
        <v>0</v>
      </c>
      <c r="CD2079">
        <v>0</v>
      </c>
      <c r="CE2079">
        <v>0</v>
      </c>
      <c r="CF2079">
        <v>0</v>
      </c>
      <c r="CG2079">
        <v>0</v>
      </c>
      <c r="CH2079">
        <v>0</v>
      </c>
      <c r="CI2079">
        <v>0</v>
      </c>
      <c r="CJ2079">
        <v>0</v>
      </c>
      <c r="CK2079">
        <v>0</v>
      </c>
      <c r="CL2079">
        <v>0</v>
      </c>
      <c r="CM2079">
        <v>0</v>
      </c>
      <c r="CR2079" t="s">
        <v>2335</v>
      </c>
      <c r="CS2079" s="1369" t="str">
        <f>INDEX([8]Sheet1!$H:$H,MATCH(CR:CR,[8]Sheet1!$AU:$AU,0))</f>
        <v>Economic Development/Planning</v>
      </c>
    </row>
    <row r="2080" spans="1:97" x14ac:dyDescent="0.2">
      <c r="A2080" t="s">
        <v>5415</v>
      </c>
      <c r="B2080">
        <v>2178</v>
      </c>
      <c r="C2080" t="s">
        <v>5415</v>
      </c>
      <c r="D2080">
        <v>55202</v>
      </c>
      <c r="E2080" t="s">
        <v>4951</v>
      </c>
      <c r="F2080" t="s">
        <v>2364</v>
      </c>
      <c r="G2080" t="s">
        <v>2364</v>
      </c>
      <c r="H2080" t="s">
        <v>2365</v>
      </c>
      <c r="I2080" t="s">
        <v>2365</v>
      </c>
      <c r="J2080" t="s">
        <v>2365</v>
      </c>
      <c r="K2080" t="s">
        <v>2365</v>
      </c>
      <c r="L2080">
        <v>1200</v>
      </c>
      <c r="M2080" t="s">
        <v>1480</v>
      </c>
      <c r="N2080">
        <v>1204</v>
      </c>
      <c r="O2080" t="s">
        <v>1487</v>
      </c>
      <c r="P2080" t="s">
        <v>2366</v>
      </c>
      <c r="Q2080" t="s">
        <v>2364</v>
      </c>
      <c r="R2080" t="s">
        <v>2364</v>
      </c>
      <c r="S2080" t="s">
        <v>553</v>
      </c>
      <c r="T2080" t="s">
        <v>2367</v>
      </c>
      <c r="U2080">
        <v>360</v>
      </c>
      <c r="V2080" t="s">
        <v>2368</v>
      </c>
      <c r="W2080">
        <v>360</v>
      </c>
      <c r="X2080" t="s">
        <v>711</v>
      </c>
      <c r="Y2080" t="s">
        <v>2365</v>
      </c>
      <c r="Z2080" t="s">
        <v>2365</v>
      </c>
      <c r="AA2080" t="s">
        <v>2365</v>
      </c>
      <c r="AB2080" t="s">
        <v>2365</v>
      </c>
      <c r="AC2080" s="813">
        <v>200</v>
      </c>
      <c r="AD2080" s="813" t="s">
        <v>5401</v>
      </c>
      <c r="AE2080" s="813">
        <v>390</v>
      </c>
      <c r="AF2080" t="s">
        <v>652</v>
      </c>
      <c r="AG2080" t="s">
        <v>2365</v>
      </c>
      <c r="AH2080" t="s">
        <v>2365</v>
      </c>
      <c r="AI2080" t="s">
        <v>2365</v>
      </c>
      <c r="AJ2080" t="s">
        <v>2365</v>
      </c>
      <c r="AK2080">
        <v>361</v>
      </c>
      <c r="AL2080" t="s">
        <v>1804</v>
      </c>
      <c r="AM2080">
        <v>361</v>
      </c>
      <c r="AN2080" t="s">
        <v>1804</v>
      </c>
      <c r="AR2080" t="s">
        <v>2365</v>
      </c>
      <c r="AS2080" t="s">
        <v>2365</v>
      </c>
      <c r="AT2080" t="s">
        <v>2365</v>
      </c>
      <c r="AU2080" t="s">
        <v>2365</v>
      </c>
      <c r="AV2080" t="s">
        <v>2365</v>
      </c>
      <c r="AW2080" t="s">
        <v>2365</v>
      </c>
      <c r="AX2080" t="s">
        <v>2365</v>
      </c>
      <c r="AY2080" t="s">
        <v>2365</v>
      </c>
      <c r="AZ2080" t="s">
        <v>2365</v>
      </c>
      <c r="BA2080" t="s">
        <v>2365</v>
      </c>
      <c r="BB2080" t="s">
        <v>2365</v>
      </c>
      <c r="BC2080" t="s">
        <v>2365</v>
      </c>
      <c r="BD2080" t="s">
        <v>2366</v>
      </c>
      <c r="BE2080" t="s">
        <v>2365</v>
      </c>
      <c r="BF2080" t="s">
        <v>2365</v>
      </c>
      <c r="BG2080" t="s">
        <v>2365</v>
      </c>
      <c r="BH2080" t="s">
        <v>2365</v>
      </c>
      <c r="BI2080" t="s">
        <v>2366</v>
      </c>
      <c r="BJ2080" t="s">
        <v>2365</v>
      </c>
      <c r="BK2080" t="s">
        <v>2365</v>
      </c>
      <c r="BL2080" t="s">
        <v>2365</v>
      </c>
      <c r="BM2080" t="s">
        <v>2365</v>
      </c>
      <c r="BO2080">
        <v>1</v>
      </c>
      <c r="BP2080">
        <v>11</v>
      </c>
      <c r="BQ2080" t="s">
        <v>2369</v>
      </c>
      <c r="BR2080" t="s">
        <v>1487</v>
      </c>
      <c r="BU2080">
        <v>0</v>
      </c>
      <c r="BV2080">
        <v>0</v>
      </c>
      <c r="BW2080">
        <v>0</v>
      </c>
      <c r="BX2080">
        <v>6374000</v>
      </c>
      <c r="BY2080">
        <v>6374000</v>
      </c>
      <c r="BZ2080">
        <v>6374000</v>
      </c>
      <c r="CA2080">
        <v>6374000</v>
      </c>
      <c r="CB2080">
        <v>0</v>
      </c>
      <c r="CC2080">
        <v>0</v>
      </c>
      <c r="CD2080">
        <v>0</v>
      </c>
      <c r="CE2080">
        <v>0</v>
      </c>
      <c r="CF2080">
        <v>0</v>
      </c>
      <c r="CG2080">
        <v>0</v>
      </c>
      <c r="CH2080">
        <v>0</v>
      </c>
      <c r="CI2080">
        <v>0</v>
      </c>
      <c r="CJ2080">
        <v>0</v>
      </c>
      <c r="CK2080">
        <v>0</v>
      </c>
      <c r="CL2080">
        <v>0</v>
      </c>
      <c r="CM2080">
        <v>0</v>
      </c>
      <c r="CR2080" t="s">
        <v>2335</v>
      </c>
      <c r="CS2080" s="1369" t="str">
        <f>INDEX([8]Sheet1!$H:$H,MATCH(CR:CR,[8]Sheet1!$AU:$AU,0))</f>
        <v>Economic Development/Planning</v>
      </c>
    </row>
    <row r="2081" spans="1:97" x14ac:dyDescent="0.2">
      <c r="A2081" t="s">
        <v>5416</v>
      </c>
      <c r="B2081">
        <v>2179</v>
      </c>
      <c r="C2081" t="s">
        <v>5416</v>
      </c>
      <c r="D2081">
        <v>55203</v>
      </c>
      <c r="E2081" t="s">
        <v>4962</v>
      </c>
      <c r="F2081" t="s">
        <v>2364</v>
      </c>
      <c r="G2081" t="s">
        <v>2364</v>
      </c>
      <c r="H2081" t="s">
        <v>2365</v>
      </c>
      <c r="I2081" t="s">
        <v>2365</v>
      </c>
      <c r="J2081" t="s">
        <v>2365</v>
      </c>
      <c r="K2081" t="s">
        <v>2365</v>
      </c>
      <c r="L2081">
        <v>1200</v>
      </c>
      <c r="M2081" t="s">
        <v>1480</v>
      </c>
      <c r="N2081">
        <v>1204</v>
      </c>
      <c r="O2081" t="s">
        <v>1487</v>
      </c>
      <c r="P2081" t="s">
        <v>2366</v>
      </c>
      <c r="Q2081" t="s">
        <v>2364</v>
      </c>
      <c r="R2081" t="s">
        <v>2364</v>
      </c>
      <c r="S2081" t="s">
        <v>553</v>
      </c>
      <c r="T2081" t="s">
        <v>2367</v>
      </c>
      <c r="U2081">
        <v>360</v>
      </c>
      <c r="V2081" t="s">
        <v>2368</v>
      </c>
      <c r="W2081">
        <v>360</v>
      </c>
      <c r="X2081" t="s">
        <v>711</v>
      </c>
      <c r="Y2081" t="s">
        <v>2365</v>
      </c>
      <c r="Z2081" t="s">
        <v>2365</v>
      </c>
      <c r="AA2081" t="s">
        <v>2365</v>
      </c>
      <c r="AB2081" t="s">
        <v>2365</v>
      </c>
      <c r="AC2081" s="813">
        <v>200</v>
      </c>
      <c r="AD2081" s="813" t="s">
        <v>5401</v>
      </c>
      <c r="AE2081" s="813">
        <v>390</v>
      </c>
      <c r="AF2081" t="s">
        <v>652</v>
      </c>
      <c r="AG2081" t="s">
        <v>2365</v>
      </c>
      <c r="AH2081" t="s">
        <v>2365</v>
      </c>
      <c r="AI2081" t="s">
        <v>2365</v>
      </c>
      <c r="AJ2081" t="s">
        <v>2365</v>
      </c>
      <c r="AK2081">
        <v>361</v>
      </c>
      <c r="AL2081" t="s">
        <v>1804</v>
      </c>
      <c r="AM2081">
        <v>361</v>
      </c>
      <c r="AN2081" t="s">
        <v>1804</v>
      </c>
      <c r="AR2081" t="s">
        <v>2365</v>
      </c>
      <c r="AS2081" t="s">
        <v>2365</v>
      </c>
      <c r="AT2081" t="s">
        <v>2365</v>
      </c>
      <c r="AU2081" t="s">
        <v>2365</v>
      </c>
      <c r="AV2081" t="s">
        <v>2365</v>
      </c>
      <c r="AW2081" t="s">
        <v>2365</v>
      </c>
      <c r="AX2081" t="s">
        <v>2365</v>
      </c>
      <c r="AY2081" t="s">
        <v>2365</v>
      </c>
      <c r="AZ2081" t="s">
        <v>2365</v>
      </c>
      <c r="BA2081" t="s">
        <v>2365</v>
      </c>
      <c r="BB2081" t="s">
        <v>2365</v>
      </c>
      <c r="BC2081" t="s">
        <v>2365</v>
      </c>
      <c r="BD2081" t="s">
        <v>2366</v>
      </c>
      <c r="BE2081" t="s">
        <v>2365</v>
      </c>
      <c r="BF2081" t="s">
        <v>2365</v>
      </c>
      <c r="BG2081" t="s">
        <v>2365</v>
      </c>
      <c r="BH2081" t="s">
        <v>2365</v>
      </c>
      <c r="BI2081" t="s">
        <v>2366</v>
      </c>
      <c r="BJ2081" t="s">
        <v>2365</v>
      </c>
      <c r="BK2081" t="s">
        <v>2365</v>
      </c>
      <c r="BL2081" t="s">
        <v>2365</v>
      </c>
      <c r="BM2081" t="s">
        <v>2365</v>
      </c>
      <c r="BO2081">
        <v>1</v>
      </c>
      <c r="BP2081">
        <v>11</v>
      </c>
      <c r="BQ2081" t="s">
        <v>2369</v>
      </c>
      <c r="BR2081" t="s">
        <v>1487</v>
      </c>
      <c r="BU2081">
        <v>0</v>
      </c>
      <c r="BV2081">
        <v>0</v>
      </c>
      <c r="BW2081">
        <v>0</v>
      </c>
      <c r="BX2081">
        <v>44605883</v>
      </c>
      <c r="BY2081">
        <v>44605883</v>
      </c>
      <c r="BZ2081">
        <v>44605883</v>
      </c>
      <c r="CA2081">
        <v>44605883</v>
      </c>
      <c r="CB2081">
        <v>0</v>
      </c>
      <c r="CC2081">
        <v>0</v>
      </c>
      <c r="CD2081">
        <v>0</v>
      </c>
      <c r="CE2081">
        <v>0</v>
      </c>
      <c r="CF2081">
        <v>0</v>
      </c>
      <c r="CG2081">
        <v>0</v>
      </c>
      <c r="CH2081">
        <v>0</v>
      </c>
      <c r="CI2081">
        <v>0</v>
      </c>
      <c r="CJ2081">
        <v>0</v>
      </c>
      <c r="CK2081">
        <v>0</v>
      </c>
      <c r="CL2081">
        <v>0</v>
      </c>
      <c r="CM2081">
        <v>0</v>
      </c>
      <c r="CR2081" t="s">
        <v>2335</v>
      </c>
      <c r="CS2081" s="1369" t="str">
        <f>INDEX([8]Sheet1!$H:$H,MATCH(CR:CR,[8]Sheet1!$AU:$AU,0))</f>
        <v>Economic Development/Planning</v>
      </c>
    </row>
    <row r="2082" spans="1:97" x14ac:dyDescent="0.2">
      <c r="A2082" t="s">
        <v>5417</v>
      </c>
      <c r="B2082">
        <v>2180</v>
      </c>
      <c r="C2082" t="s">
        <v>5417</v>
      </c>
      <c r="D2082">
        <v>55204</v>
      </c>
      <c r="E2082" t="s">
        <v>4965</v>
      </c>
      <c r="F2082" t="s">
        <v>2364</v>
      </c>
      <c r="G2082" t="s">
        <v>2364</v>
      </c>
      <c r="H2082" t="s">
        <v>2365</v>
      </c>
      <c r="I2082" t="s">
        <v>2365</v>
      </c>
      <c r="J2082" t="s">
        <v>2365</v>
      </c>
      <c r="K2082" t="s">
        <v>2365</v>
      </c>
      <c r="L2082">
        <v>1200</v>
      </c>
      <c r="M2082" t="s">
        <v>1480</v>
      </c>
      <c r="N2082">
        <v>1204</v>
      </c>
      <c r="O2082" t="s">
        <v>1487</v>
      </c>
      <c r="P2082" t="s">
        <v>2366</v>
      </c>
      <c r="Q2082" t="s">
        <v>2364</v>
      </c>
      <c r="R2082" t="s">
        <v>2364</v>
      </c>
      <c r="S2082" t="s">
        <v>553</v>
      </c>
      <c r="T2082" t="s">
        <v>2367</v>
      </c>
      <c r="U2082">
        <v>360</v>
      </c>
      <c r="V2082" t="s">
        <v>2368</v>
      </c>
      <c r="W2082">
        <v>360</v>
      </c>
      <c r="X2082" t="s">
        <v>711</v>
      </c>
      <c r="Y2082" t="s">
        <v>2365</v>
      </c>
      <c r="Z2082" t="s">
        <v>2365</v>
      </c>
      <c r="AA2082" t="s">
        <v>2365</v>
      </c>
      <c r="AB2082" t="s">
        <v>2365</v>
      </c>
      <c r="AC2082" s="813">
        <v>200</v>
      </c>
      <c r="AD2082" s="813" t="s">
        <v>5401</v>
      </c>
      <c r="AE2082" s="813">
        <v>390</v>
      </c>
      <c r="AF2082" t="s">
        <v>652</v>
      </c>
      <c r="AG2082" t="s">
        <v>2365</v>
      </c>
      <c r="AH2082" t="s">
        <v>2365</v>
      </c>
      <c r="AI2082" t="s">
        <v>2365</v>
      </c>
      <c r="AJ2082" t="s">
        <v>2365</v>
      </c>
      <c r="AK2082">
        <v>361</v>
      </c>
      <c r="AL2082" t="s">
        <v>1804</v>
      </c>
      <c r="AM2082">
        <v>361</v>
      </c>
      <c r="AN2082" t="s">
        <v>1804</v>
      </c>
      <c r="AR2082" t="s">
        <v>2365</v>
      </c>
      <c r="AS2082" t="s">
        <v>2365</v>
      </c>
      <c r="AT2082" t="s">
        <v>2365</v>
      </c>
      <c r="AU2082" t="s">
        <v>2365</v>
      </c>
      <c r="AV2082" t="s">
        <v>2365</v>
      </c>
      <c r="AW2082" t="s">
        <v>2365</v>
      </c>
      <c r="AX2082" t="s">
        <v>2365</v>
      </c>
      <c r="AY2082" t="s">
        <v>2365</v>
      </c>
      <c r="AZ2082" t="s">
        <v>2365</v>
      </c>
      <c r="BA2082" t="s">
        <v>2365</v>
      </c>
      <c r="BB2082" t="s">
        <v>2365</v>
      </c>
      <c r="BC2082" t="s">
        <v>2365</v>
      </c>
      <c r="BD2082" t="s">
        <v>2366</v>
      </c>
      <c r="BE2082" t="s">
        <v>2365</v>
      </c>
      <c r="BF2082" t="s">
        <v>2365</v>
      </c>
      <c r="BG2082" t="s">
        <v>2365</v>
      </c>
      <c r="BH2082" t="s">
        <v>2365</v>
      </c>
      <c r="BI2082" t="s">
        <v>2366</v>
      </c>
      <c r="BJ2082" t="s">
        <v>2365</v>
      </c>
      <c r="BK2082" t="s">
        <v>2365</v>
      </c>
      <c r="BL2082" t="s">
        <v>2365</v>
      </c>
      <c r="BM2082" t="s">
        <v>2365</v>
      </c>
      <c r="BO2082">
        <v>1</v>
      </c>
      <c r="BP2082">
        <v>11</v>
      </c>
      <c r="BQ2082" t="s">
        <v>2369</v>
      </c>
      <c r="BR2082" t="s">
        <v>1487</v>
      </c>
      <c r="BU2082">
        <v>0</v>
      </c>
      <c r="BV2082">
        <v>0</v>
      </c>
      <c r="BW2082">
        <v>0</v>
      </c>
      <c r="BX2082">
        <v>83986</v>
      </c>
      <c r="BY2082">
        <v>83986</v>
      </c>
      <c r="BZ2082">
        <v>102543</v>
      </c>
      <c r="CA2082">
        <v>119093</v>
      </c>
      <c r="CB2082">
        <v>0</v>
      </c>
      <c r="CC2082">
        <v>0</v>
      </c>
      <c r="CD2082">
        <v>0</v>
      </c>
      <c r="CE2082">
        <v>0</v>
      </c>
      <c r="CF2082">
        <v>0</v>
      </c>
      <c r="CG2082">
        <v>0</v>
      </c>
      <c r="CH2082">
        <v>0</v>
      </c>
      <c r="CI2082">
        <v>0</v>
      </c>
      <c r="CJ2082">
        <v>0</v>
      </c>
      <c r="CK2082">
        <v>0</v>
      </c>
      <c r="CL2082">
        <v>0</v>
      </c>
      <c r="CM2082">
        <v>0</v>
      </c>
      <c r="CR2082" t="s">
        <v>2335</v>
      </c>
      <c r="CS2082" s="1369" t="str">
        <f>INDEX([8]Sheet1!$H:$H,MATCH(CR:CR,[8]Sheet1!$AU:$AU,0))</f>
        <v>Economic Development/Planning</v>
      </c>
    </row>
    <row r="2083" spans="1:97" x14ac:dyDescent="0.2">
      <c r="A2083" t="s">
        <v>5418</v>
      </c>
      <c r="B2083">
        <v>2181</v>
      </c>
      <c r="C2083" t="s">
        <v>5418</v>
      </c>
      <c r="D2083">
        <v>55206</v>
      </c>
      <c r="E2083" t="s">
        <v>4898</v>
      </c>
      <c r="F2083" t="s">
        <v>2364</v>
      </c>
      <c r="G2083" t="s">
        <v>2364</v>
      </c>
      <c r="H2083" t="s">
        <v>2365</v>
      </c>
      <c r="I2083" t="s">
        <v>2365</v>
      </c>
      <c r="J2083" t="s">
        <v>2365</v>
      </c>
      <c r="K2083" t="s">
        <v>2365</v>
      </c>
      <c r="L2083">
        <v>1200</v>
      </c>
      <c r="M2083" t="s">
        <v>1480</v>
      </c>
      <c r="N2083">
        <v>1204</v>
      </c>
      <c r="O2083" t="s">
        <v>1487</v>
      </c>
      <c r="P2083" t="s">
        <v>2366</v>
      </c>
      <c r="Q2083" t="s">
        <v>2364</v>
      </c>
      <c r="R2083" t="s">
        <v>2364</v>
      </c>
      <c r="S2083" t="s">
        <v>1881</v>
      </c>
      <c r="T2083" t="s">
        <v>2175</v>
      </c>
      <c r="U2083">
        <v>120</v>
      </c>
      <c r="V2083" t="s">
        <v>691</v>
      </c>
      <c r="W2083">
        <v>120</v>
      </c>
      <c r="X2083" t="s">
        <v>691</v>
      </c>
      <c r="Y2083" t="s">
        <v>2365</v>
      </c>
      <c r="Z2083" t="s">
        <v>2365</v>
      </c>
      <c r="AA2083" t="s">
        <v>2365</v>
      </c>
      <c r="AB2083" t="s">
        <v>2365</v>
      </c>
      <c r="AC2083" s="813" t="s">
        <v>2365</v>
      </c>
      <c r="AD2083" s="813" t="s">
        <v>2365</v>
      </c>
      <c r="AE2083" s="813" t="s">
        <v>2365</v>
      </c>
      <c r="AF2083" t="s">
        <v>2365</v>
      </c>
      <c r="AG2083" t="s">
        <v>2365</v>
      </c>
      <c r="AH2083" t="s">
        <v>2365</v>
      </c>
      <c r="AI2083" t="s">
        <v>2365</v>
      </c>
      <c r="AJ2083" t="s">
        <v>2365</v>
      </c>
      <c r="AK2083" t="s">
        <v>2365</v>
      </c>
      <c r="AL2083" t="s">
        <v>2365</v>
      </c>
      <c r="AM2083" t="s">
        <v>2365</v>
      </c>
      <c r="AN2083" t="s">
        <v>2365</v>
      </c>
      <c r="AR2083" t="s">
        <v>2365</v>
      </c>
      <c r="AS2083" t="s">
        <v>2365</v>
      </c>
      <c r="AT2083" t="s">
        <v>2365</v>
      </c>
      <c r="AU2083" t="s">
        <v>2365</v>
      </c>
      <c r="AV2083" t="s">
        <v>2365</v>
      </c>
      <c r="AW2083" t="s">
        <v>2365</v>
      </c>
      <c r="AX2083" t="s">
        <v>2365</v>
      </c>
      <c r="AY2083" t="s">
        <v>2365</v>
      </c>
      <c r="AZ2083" t="s">
        <v>2365</v>
      </c>
      <c r="BA2083" t="s">
        <v>2365</v>
      </c>
      <c r="BB2083" t="s">
        <v>2365</v>
      </c>
      <c r="BC2083" t="s">
        <v>2365</v>
      </c>
      <c r="BD2083" t="s">
        <v>2366</v>
      </c>
      <c r="BE2083" t="s">
        <v>2365</v>
      </c>
      <c r="BF2083" t="s">
        <v>2365</v>
      </c>
      <c r="BG2083" t="s">
        <v>2365</v>
      </c>
      <c r="BH2083" t="s">
        <v>2365</v>
      </c>
      <c r="BI2083" t="s">
        <v>2366</v>
      </c>
      <c r="BJ2083" t="s">
        <v>2365</v>
      </c>
      <c r="BK2083" t="s">
        <v>2365</v>
      </c>
      <c r="BL2083" t="s">
        <v>2365</v>
      </c>
      <c r="BM2083" t="s">
        <v>2365</v>
      </c>
      <c r="BO2083">
        <v>1</v>
      </c>
      <c r="BP2083">
        <v>11</v>
      </c>
      <c r="BQ2083" t="s">
        <v>2369</v>
      </c>
      <c r="BR2083" t="s">
        <v>1487</v>
      </c>
      <c r="BU2083">
        <v>0</v>
      </c>
      <c r="BV2083">
        <v>0</v>
      </c>
      <c r="BW2083">
        <v>0</v>
      </c>
      <c r="BX2083">
        <v>65455000</v>
      </c>
      <c r="BY2083">
        <v>65455000</v>
      </c>
      <c r="BZ2083">
        <v>65455000</v>
      </c>
      <c r="CA2083">
        <v>65455000</v>
      </c>
      <c r="CB2083">
        <v>0</v>
      </c>
      <c r="CC2083">
        <v>0</v>
      </c>
      <c r="CD2083">
        <v>0</v>
      </c>
      <c r="CE2083">
        <v>0</v>
      </c>
      <c r="CF2083">
        <v>0</v>
      </c>
      <c r="CG2083">
        <v>0</v>
      </c>
      <c r="CH2083">
        <v>0</v>
      </c>
      <c r="CI2083">
        <v>0</v>
      </c>
      <c r="CJ2083">
        <v>0</v>
      </c>
      <c r="CK2083">
        <v>0</v>
      </c>
      <c r="CL2083">
        <v>0</v>
      </c>
      <c r="CM2083">
        <v>0</v>
      </c>
      <c r="CR2083" t="s">
        <v>2335</v>
      </c>
      <c r="CS2083" s="1369" t="str">
        <f>INDEX([8]Sheet1!$H:$H,MATCH(CR:CR,[8]Sheet1!$AU:$AU,0))</f>
        <v>Economic Development/Planning</v>
      </c>
    </row>
    <row r="2084" spans="1:97" x14ac:dyDescent="0.2">
      <c r="A2084" t="s">
        <v>5419</v>
      </c>
      <c r="B2084">
        <v>2182</v>
      </c>
      <c r="C2084" t="s">
        <v>5419</v>
      </c>
      <c r="D2084">
        <v>55205</v>
      </c>
      <c r="E2084" t="s">
        <v>2419</v>
      </c>
      <c r="F2084" t="s">
        <v>2364</v>
      </c>
      <c r="G2084" t="s">
        <v>2364</v>
      </c>
      <c r="H2084" t="s">
        <v>2365</v>
      </c>
      <c r="I2084" t="s">
        <v>2365</v>
      </c>
      <c r="J2084" t="s">
        <v>2365</v>
      </c>
      <c r="K2084" t="s">
        <v>2365</v>
      </c>
      <c r="L2084">
        <v>1200</v>
      </c>
      <c r="M2084" t="s">
        <v>1480</v>
      </c>
      <c r="N2084">
        <v>1204</v>
      </c>
      <c r="O2084" t="s">
        <v>1487</v>
      </c>
      <c r="P2084" t="s">
        <v>2366</v>
      </c>
      <c r="Q2084">
        <v>2010</v>
      </c>
      <c r="R2084" t="s">
        <v>668</v>
      </c>
      <c r="S2084" t="s">
        <v>553</v>
      </c>
      <c r="T2084" t="s">
        <v>2175</v>
      </c>
      <c r="U2084">
        <v>120</v>
      </c>
      <c r="V2084" t="s">
        <v>691</v>
      </c>
      <c r="W2084">
        <v>120</v>
      </c>
      <c r="X2084" t="s">
        <v>691</v>
      </c>
      <c r="Y2084" t="s">
        <v>2420</v>
      </c>
      <c r="Z2084" t="s">
        <v>2421</v>
      </c>
      <c r="AA2084" t="s">
        <v>2420</v>
      </c>
      <c r="AB2084" t="s">
        <v>2421</v>
      </c>
      <c r="AC2084" s="813" t="s">
        <v>2365</v>
      </c>
      <c r="AD2084" s="813" t="s">
        <v>2365</v>
      </c>
      <c r="AE2084" s="813" t="s">
        <v>2365</v>
      </c>
      <c r="AF2084" t="s">
        <v>2365</v>
      </c>
      <c r="AG2084" t="s">
        <v>2365</v>
      </c>
      <c r="AH2084" t="s">
        <v>2365</v>
      </c>
      <c r="AI2084" t="s">
        <v>2365</v>
      </c>
      <c r="AJ2084" t="s">
        <v>2365</v>
      </c>
      <c r="AK2084" t="s">
        <v>2365</v>
      </c>
      <c r="AL2084" t="s">
        <v>2365</v>
      </c>
      <c r="AM2084" t="s">
        <v>2365</v>
      </c>
      <c r="AN2084" t="s">
        <v>2365</v>
      </c>
      <c r="AQ2084" t="s">
        <v>2423</v>
      </c>
      <c r="AR2084" t="s">
        <v>2365</v>
      </c>
      <c r="AS2084" t="s">
        <v>2365</v>
      </c>
      <c r="AT2084" t="s">
        <v>2365</v>
      </c>
      <c r="AU2084" t="s">
        <v>2365</v>
      </c>
      <c r="AV2084" t="s">
        <v>2365</v>
      </c>
      <c r="AW2084" t="s">
        <v>2365</v>
      </c>
      <c r="AX2084" t="s">
        <v>2365</v>
      </c>
      <c r="AY2084" t="s">
        <v>2365</v>
      </c>
      <c r="AZ2084" t="s">
        <v>2365</v>
      </c>
      <c r="BA2084" t="s">
        <v>2365</v>
      </c>
      <c r="BB2084" t="s">
        <v>2365</v>
      </c>
      <c r="BC2084" t="s">
        <v>2365</v>
      </c>
      <c r="BD2084" t="s">
        <v>2366</v>
      </c>
      <c r="BE2084" t="s">
        <v>2365</v>
      </c>
      <c r="BF2084" t="s">
        <v>2365</v>
      </c>
      <c r="BG2084" t="s">
        <v>2365</v>
      </c>
      <c r="BH2084" t="s">
        <v>2365</v>
      </c>
      <c r="BI2084" t="s">
        <v>2366</v>
      </c>
      <c r="BJ2084" t="s">
        <v>2365</v>
      </c>
      <c r="BK2084" t="s">
        <v>2365</v>
      </c>
      <c r="BL2084" t="s">
        <v>2365</v>
      </c>
      <c r="BM2084" t="s">
        <v>2365</v>
      </c>
      <c r="BO2084">
        <v>1</v>
      </c>
      <c r="BP2084">
        <v>11</v>
      </c>
      <c r="BQ2084" t="s">
        <v>2369</v>
      </c>
      <c r="BR2084" t="s">
        <v>1487</v>
      </c>
      <c r="BU2084">
        <v>0</v>
      </c>
      <c r="BV2084">
        <v>0</v>
      </c>
      <c r="BW2084">
        <v>0</v>
      </c>
      <c r="BX2084">
        <v>0</v>
      </c>
      <c r="BY2084">
        <v>0</v>
      </c>
      <c r="BZ2084">
        <v>0</v>
      </c>
      <c r="CA2084">
        <v>0</v>
      </c>
      <c r="CB2084">
        <v>0</v>
      </c>
      <c r="CC2084">
        <v>0</v>
      </c>
      <c r="CD2084">
        <v>0</v>
      </c>
      <c r="CE2084">
        <v>0</v>
      </c>
      <c r="CF2084">
        <v>0</v>
      </c>
      <c r="CG2084">
        <v>0</v>
      </c>
      <c r="CH2084">
        <v>0</v>
      </c>
      <c r="CI2084">
        <v>0</v>
      </c>
      <c r="CJ2084">
        <v>0</v>
      </c>
      <c r="CK2084">
        <v>0</v>
      </c>
      <c r="CL2084">
        <v>0</v>
      </c>
      <c r="CM2084">
        <v>0</v>
      </c>
      <c r="CR2084" t="s">
        <v>2335</v>
      </c>
      <c r="CS2084" s="1369" t="str">
        <f>INDEX([8]Sheet1!$H:$H,MATCH(CR:CR,[8]Sheet1!$AU:$AU,0))</f>
        <v>Economic Development/Planning</v>
      </c>
    </row>
    <row r="2085" spans="1:97" x14ac:dyDescent="0.2">
      <c r="H2085"/>
      <c r="L2085"/>
      <c r="AK2085"/>
      <c r="BU2085"/>
      <c r="BV2085"/>
      <c r="BW2085"/>
      <c r="BX2085"/>
      <c r="BY2085"/>
      <c r="BZ2085"/>
      <c r="CR2085" t="s">
        <v>2335</v>
      </c>
      <c r="CS2085" s="1369" t="str">
        <f>INDEX([8]Sheet1!$H:$H,MATCH(CR:CR,[8]Sheet1!$AU:$AU,0))</f>
        <v>Economic Development/Planning</v>
      </c>
    </row>
    <row r="2086" spans="1:97" x14ac:dyDescent="0.2">
      <c r="H2086"/>
      <c r="L2086"/>
      <c r="AK2086"/>
      <c r="BU2086"/>
      <c r="BV2086"/>
      <c r="BW2086"/>
      <c r="BX2086"/>
      <c r="BY2086"/>
      <c r="BZ2086"/>
      <c r="CR2086" t="s">
        <v>2335</v>
      </c>
      <c r="CS2086" s="1369" t="str">
        <f>INDEX([8]Sheet1!$H:$H,MATCH(CR:CR,[8]Sheet1!$AU:$AU,0))</f>
        <v>Economic Development/Planning</v>
      </c>
    </row>
    <row r="2087" spans="1:97" x14ac:dyDescent="0.2">
      <c r="H2087"/>
      <c r="L2087"/>
      <c r="AK2087"/>
      <c r="BU2087"/>
      <c r="BV2087"/>
      <c r="BW2087"/>
      <c r="BX2087"/>
      <c r="BY2087"/>
      <c r="BZ2087"/>
      <c r="CR2087" t="s">
        <v>2335</v>
      </c>
      <c r="CS2087" s="1369" t="str">
        <f>INDEX([8]Sheet1!$H:$H,MATCH(CR:CR,[8]Sheet1!$AU:$AU,0))</f>
        <v>Economic Development/Planning</v>
      </c>
    </row>
    <row r="2088" spans="1:97" x14ac:dyDescent="0.2">
      <c r="H2088"/>
      <c r="L2088"/>
      <c r="AK2088"/>
      <c r="BU2088"/>
      <c r="BV2088"/>
      <c r="BW2088"/>
      <c r="BX2088"/>
      <c r="BY2088"/>
      <c r="BZ2088"/>
      <c r="CR2088" t="s">
        <v>2335</v>
      </c>
      <c r="CS2088" s="1369" t="str">
        <f>INDEX([8]Sheet1!$H:$H,MATCH(CR:CR,[8]Sheet1!$AU:$AU,0))</f>
        <v>Economic Development/Planning</v>
      </c>
    </row>
    <row r="2089" spans="1:97" x14ac:dyDescent="0.2">
      <c r="H2089"/>
      <c r="L2089"/>
      <c r="AK2089"/>
      <c r="BU2089"/>
      <c r="BV2089"/>
      <c r="BW2089"/>
      <c r="BX2089"/>
      <c r="BY2089"/>
      <c r="BZ2089"/>
      <c r="CR2089" t="s">
        <v>2335</v>
      </c>
      <c r="CS2089" s="1369" t="str">
        <f>INDEX([8]Sheet1!$H:$H,MATCH(CR:CR,[8]Sheet1!$AU:$AU,0))</f>
        <v>Economic Development/Planning</v>
      </c>
    </row>
    <row r="2090" spans="1:97" x14ac:dyDescent="0.2">
      <c r="H2090"/>
      <c r="L2090"/>
      <c r="AK2090"/>
      <c r="BU2090"/>
      <c r="BV2090"/>
      <c r="BW2090"/>
      <c r="BX2090"/>
      <c r="BY2090"/>
      <c r="BZ2090"/>
      <c r="CR2090" t="s">
        <v>2335</v>
      </c>
      <c r="CS2090" s="1369" t="str">
        <f>INDEX([8]Sheet1!$H:$H,MATCH(CR:CR,[8]Sheet1!$AU:$AU,0))</f>
        <v>Economic Development/Planning</v>
      </c>
    </row>
    <row r="2091" spans="1:97" x14ac:dyDescent="0.2">
      <c r="H2091"/>
      <c r="L2091"/>
      <c r="BU2091"/>
      <c r="BV2091"/>
      <c r="BW2091"/>
      <c r="BX2091"/>
      <c r="BY2091"/>
      <c r="BZ2091"/>
      <c r="CR2091" t="s">
        <v>2335</v>
      </c>
      <c r="CS2091" s="1369" t="str">
        <f>INDEX([8]Sheet1!$H:$H,MATCH(CR:CR,[8]Sheet1!$AU:$AU,0))</f>
        <v>Economic Development/Planning</v>
      </c>
    </row>
    <row r="2092" spans="1:97" x14ac:dyDescent="0.2">
      <c r="H2092"/>
      <c r="L2092"/>
      <c r="BU2092"/>
      <c r="BV2092"/>
      <c r="BW2092"/>
      <c r="BX2092"/>
      <c r="BY2092"/>
      <c r="BZ2092"/>
      <c r="CR2092" t="s">
        <v>2333</v>
      </c>
      <c r="CS2092" s="1369" t="str">
        <f>INDEX([8]Sheet1!$H:$H,MATCH(CR:CR,[8]Sheet1!$AU:$AU,0))</f>
        <v>Municipal Manager, Town Secretary and Chief Executive</v>
      </c>
    </row>
    <row r="2093" spans="1:97" x14ac:dyDescent="0.2">
      <c r="H2093"/>
      <c r="L2093"/>
      <c r="BU2093"/>
      <c r="BV2093"/>
      <c r="BW2093"/>
      <c r="BX2093"/>
      <c r="BY2093"/>
      <c r="BZ2093"/>
      <c r="CR2093" t="s">
        <v>2324</v>
      </c>
      <c r="CS2093" s="1369" t="str">
        <f>INDEX([8]Sheet1!$H:$H,MATCH(CR:CR,[8]Sheet1!$AU:$AU,0))</f>
        <v>Finance</v>
      </c>
    </row>
    <row r="2094" spans="1:97" x14ac:dyDescent="0.2">
      <c r="H2094"/>
      <c r="L2094"/>
      <c r="BU2094"/>
      <c r="BV2094"/>
      <c r="BW2094"/>
      <c r="BX2094"/>
      <c r="BY2094"/>
      <c r="BZ2094"/>
      <c r="CR2094" t="s">
        <v>2324</v>
      </c>
      <c r="CS2094" s="1369" t="str">
        <f>INDEX([8]Sheet1!$H:$H,MATCH(CR:CR,[8]Sheet1!$AU:$AU,0))</f>
        <v>Finance</v>
      </c>
    </row>
    <row r="2095" spans="1:97" x14ac:dyDescent="0.2">
      <c r="H2095"/>
      <c r="L2095"/>
      <c r="BU2095"/>
      <c r="BV2095"/>
      <c r="BW2095"/>
      <c r="BX2095"/>
      <c r="BY2095"/>
      <c r="BZ2095"/>
      <c r="CR2095" t="s">
        <v>2324</v>
      </c>
      <c r="CS2095" s="1369" t="str">
        <f>INDEX([8]Sheet1!$H:$H,MATCH(CR:CR,[8]Sheet1!$AU:$AU,0))</f>
        <v>Finance</v>
      </c>
    </row>
    <row r="2096" spans="1:97" x14ac:dyDescent="0.2">
      <c r="H2096"/>
      <c r="L2096"/>
      <c r="AK2096"/>
      <c r="BU2096"/>
      <c r="BV2096"/>
      <c r="BW2096"/>
      <c r="BX2096"/>
      <c r="BY2096"/>
      <c r="BZ2096"/>
      <c r="CR2096" t="s">
        <v>2324</v>
      </c>
      <c r="CS2096" s="1369" t="str">
        <f>INDEX([8]Sheet1!$H:$H,MATCH(CR:CR,[8]Sheet1!$AU:$AU,0))</f>
        <v>Finance</v>
      </c>
    </row>
    <row r="2097" spans="8:97" x14ac:dyDescent="0.2">
      <c r="H2097"/>
      <c r="L2097"/>
      <c r="AK2097"/>
      <c r="BU2097"/>
      <c r="BV2097"/>
      <c r="BW2097"/>
      <c r="BX2097"/>
      <c r="BY2097"/>
      <c r="BZ2097"/>
      <c r="CR2097" t="s">
        <v>2340</v>
      </c>
      <c r="CS2097" s="1369" t="str">
        <f>INDEX([8]Sheet1!$H:$H,MATCH(CR:CR,[8]Sheet1!$AU:$AU,0))</f>
        <v>Disaster Management</v>
      </c>
    </row>
    <row r="2098" spans="8:97" x14ac:dyDescent="0.2">
      <c r="AK2098"/>
      <c r="BZ2098"/>
      <c r="CR2098" t="s">
        <v>2340</v>
      </c>
      <c r="CS2098" s="1369" t="str">
        <f>INDEX([8]Sheet1!$H:$H,MATCH(CR:CR,[8]Sheet1!$AU:$AU,0))</f>
        <v>Disaster Management</v>
      </c>
    </row>
    <row r="2099" spans="8:97" x14ac:dyDescent="0.2">
      <c r="H2099"/>
      <c r="L2099"/>
      <c r="AK2099"/>
      <c r="BU2099"/>
      <c r="BV2099"/>
      <c r="BW2099"/>
      <c r="BX2099"/>
      <c r="BY2099"/>
      <c r="BZ2099"/>
      <c r="CR2099" t="s">
        <v>2340</v>
      </c>
      <c r="CS2099" s="1369" t="str">
        <f>INDEX([8]Sheet1!$H:$H,MATCH(CR:CR,[8]Sheet1!$AU:$AU,0))</f>
        <v>Disaster Management</v>
      </c>
    </row>
    <row r="2100" spans="8:97" x14ac:dyDescent="0.2">
      <c r="H2100"/>
      <c r="L2100"/>
      <c r="AK2100"/>
      <c r="BU2100"/>
      <c r="BV2100"/>
      <c r="BX2100" s="1372"/>
      <c r="BY2100"/>
      <c r="BZ2100"/>
      <c r="CR2100" t="s">
        <v>2324</v>
      </c>
      <c r="CS2100" s="1369" t="str">
        <f>INDEX([8]Sheet1!$H:$H,MATCH(CR:CR,[8]Sheet1!$AU:$AU,0))</f>
        <v>Finance</v>
      </c>
    </row>
    <row r="2101" spans="8:97" x14ac:dyDescent="0.2">
      <c r="H2101"/>
      <c r="L2101"/>
      <c r="AK2101"/>
      <c r="BU2101"/>
      <c r="BV2101"/>
      <c r="BW2101"/>
      <c r="BX2101"/>
      <c r="BY2101"/>
      <c r="BZ2101"/>
      <c r="CR2101" t="s">
        <v>2324</v>
      </c>
      <c r="CS2101" s="1369" t="str">
        <f>INDEX([8]Sheet1!$H:$H,MATCH(CR:CR,[8]Sheet1!$AU:$AU,0))</f>
        <v>Finance</v>
      </c>
    </row>
    <row r="2102" spans="8:97" x14ac:dyDescent="0.2">
      <c r="H2102"/>
      <c r="L2102"/>
      <c r="BU2102"/>
      <c r="BV2102"/>
      <c r="BW2102"/>
      <c r="BX2102"/>
      <c r="BY2102"/>
      <c r="BZ2102"/>
      <c r="CR2102" t="s">
        <v>2328</v>
      </c>
      <c r="CS2102" s="1369" t="str">
        <f>INDEX([8]Sheet1!$H:$H,MATCH(CR:CR,[8]Sheet1!$AU:$AU,0))</f>
        <v>Water Distribution</v>
      </c>
    </row>
    <row r="2103" spans="8:97" x14ac:dyDescent="0.2">
      <c r="H2103"/>
      <c r="L2103"/>
      <c r="AK2103"/>
      <c r="BU2103"/>
      <c r="BV2103"/>
      <c r="BW2103"/>
      <c r="BX2103"/>
      <c r="BY2103"/>
      <c r="BZ2103"/>
      <c r="CR2103" t="s">
        <v>2327</v>
      </c>
      <c r="CS2103" s="1369" t="str">
        <f>INDEX([8]Sheet1!$H:$H,MATCH(CR:CR,[8]Sheet1!$AU:$AU,0))</f>
        <v>Education</v>
      </c>
    </row>
    <row r="2104" spans="8:97" x14ac:dyDescent="0.2">
      <c r="H2104"/>
      <c r="L2104"/>
      <c r="AK2104"/>
      <c r="BU2104"/>
      <c r="BV2104"/>
      <c r="BW2104"/>
      <c r="BX2104"/>
      <c r="BY2104"/>
      <c r="BZ2104"/>
      <c r="CR2104" t="s">
        <v>2324</v>
      </c>
      <c r="CS2104" s="1369" t="str">
        <f>INDEX([8]Sheet1!$H:$H,MATCH(CR:CR,[8]Sheet1!$AU:$AU,0))</f>
        <v>Finance</v>
      </c>
    </row>
    <row r="2105" spans="8:97" x14ac:dyDescent="0.2">
      <c r="H2105"/>
      <c r="L2105"/>
      <c r="AK2105"/>
      <c r="BU2105"/>
      <c r="BV2105"/>
      <c r="BW2105"/>
      <c r="BX2105"/>
      <c r="BY2105"/>
      <c r="BZ2105"/>
      <c r="CR2105" t="s">
        <v>2324</v>
      </c>
      <c r="CS2105" s="1369" t="str">
        <f>INDEX([8]Sheet1!$H:$H,MATCH(CR:CR,[8]Sheet1!$AU:$AU,0))</f>
        <v>Finance</v>
      </c>
    </row>
    <row r="2106" spans="8:97" x14ac:dyDescent="0.2">
      <c r="H2106"/>
      <c r="L2106"/>
      <c r="AK2106"/>
      <c r="BU2106"/>
      <c r="BV2106"/>
      <c r="BW2106"/>
      <c r="BX2106"/>
      <c r="BY2106"/>
      <c r="BZ2106"/>
      <c r="CR2106" t="s">
        <v>2324</v>
      </c>
      <c r="CS2106" s="1369" t="str">
        <f>INDEX([8]Sheet1!$H:$H,MATCH(CR:CR,[8]Sheet1!$AU:$AU,0))</f>
        <v>Finance</v>
      </c>
    </row>
    <row r="2107" spans="8:97" x14ac:dyDescent="0.2">
      <c r="H2107"/>
      <c r="L2107"/>
      <c r="AK2107"/>
      <c r="BU2107"/>
      <c r="BV2107"/>
      <c r="BW2107"/>
      <c r="BX2107"/>
      <c r="BY2107"/>
      <c r="BZ2107"/>
      <c r="CR2107" t="s">
        <v>2327</v>
      </c>
      <c r="CS2107" s="1369" t="str">
        <f>INDEX([8]Sheet1!$H:$H,MATCH(CR:CR,[8]Sheet1!$AU:$AU,0))</f>
        <v>Education</v>
      </c>
    </row>
    <row r="2108" spans="8:97" x14ac:dyDescent="0.2">
      <c r="H2108"/>
      <c r="L2108"/>
      <c r="AK2108"/>
      <c r="BU2108"/>
      <c r="BV2108"/>
      <c r="BW2108"/>
      <c r="BX2108"/>
      <c r="BY2108"/>
      <c r="BZ2108"/>
      <c r="CR2108" t="s">
        <v>2320</v>
      </c>
      <c r="CS2108" s="1369" t="str">
        <f>INDEX([8]Sheet1!$H:$H,MATCH(CR:CR,[8]Sheet1!$AU:$AU,0))</f>
        <v>Administrative and Corporate Support</v>
      </c>
    </row>
    <row r="2109" spans="8:97" x14ac:dyDescent="0.2">
      <c r="H2109"/>
      <c r="L2109"/>
      <c r="AK2109"/>
      <c r="BU2109"/>
      <c r="BV2109"/>
      <c r="BW2109"/>
      <c r="BX2109"/>
      <c r="BY2109"/>
      <c r="BZ2109"/>
      <c r="CR2109" t="s">
        <v>2324</v>
      </c>
      <c r="CS2109" s="1369" t="str">
        <f>INDEX([8]Sheet1!$H:$H,MATCH(CR:CR,[8]Sheet1!$AU:$AU,0))</f>
        <v>Finance</v>
      </c>
    </row>
    <row r="2110" spans="8:97" x14ac:dyDescent="0.2">
      <c r="H2110"/>
      <c r="L2110"/>
      <c r="BU2110"/>
      <c r="BV2110"/>
      <c r="BW2110"/>
      <c r="BX2110"/>
      <c r="BY2110"/>
      <c r="BZ2110"/>
      <c r="CR2110" t="s">
        <v>2324</v>
      </c>
      <c r="CS2110" s="1369" t="str">
        <f>INDEX([8]Sheet1!$H:$H,MATCH(CR:CR,[8]Sheet1!$AU:$AU,0))</f>
        <v>Finance</v>
      </c>
    </row>
    <row r="2111" spans="8:97" x14ac:dyDescent="0.2">
      <c r="H2111"/>
      <c r="L2111"/>
      <c r="BU2111"/>
      <c r="BV2111"/>
      <c r="BW2111"/>
      <c r="BX2111"/>
      <c r="BY2111"/>
      <c r="BZ2111"/>
      <c r="CR2111" t="s">
        <v>2319</v>
      </c>
      <c r="CS2111" s="1369" t="str">
        <f>INDEX([8]Sheet1!$H:$H,MATCH(CR:CR,[8]Sheet1!$AU:$AU,0))</f>
        <v>Mayor and Council</v>
      </c>
    </row>
    <row r="2112" spans="8:97" x14ac:dyDescent="0.2">
      <c r="H2112"/>
      <c r="L2112"/>
      <c r="AK2112"/>
      <c r="BU2112"/>
      <c r="BV2112"/>
      <c r="BW2112"/>
      <c r="BX2112"/>
      <c r="BY2112"/>
      <c r="BZ2112"/>
      <c r="CR2112" t="s">
        <v>2328</v>
      </c>
      <c r="CS2112" s="1369" t="str">
        <f>INDEX([8]Sheet1!$H:$H,MATCH(CR:CR,[8]Sheet1!$AU:$AU,0))</f>
        <v>Water Distribution</v>
      </c>
    </row>
    <row r="2113" spans="8:97" x14ac:dyDescent="0.2">
      <c r="H2113"/>
      <c r="L2113"/>
      <c r="AK2113"/>
      <c r="BU2113"/>
      <c r="BV2113"/>
      <c r="BW2113"/>
      <c r="BX2113"/>
      <c r="BY2113"/>
      <c r="BZ2113"/>
      <c r="CR2113" t="s">
        <v>2320</v>
      </c>
      <c r="CS2113" s="1369" t="str">
        <f>INDEX([8]Sheet1!$H:$H,MATCH(CR:CR,[8]Sheet1!$AU:$AU,0))</f>
        <v>Administrative and Corporate Support</v>
      </c>
    </row>
    <row r="2114" spans="8:97" x14ac:dyDescent="0.2">
      <c r="H2114"/>
      <c r="L2114"/>
      <c r="BU2114"/>
      <c r="BV2114"/>
      <c r="BW2114"/>
      <c r="BX2114"/>
      <c r="BY2114"/>
      <c r="BZ2114"/>
      <c r="CR2114" t="s">
        <v>2322</v>
      </c>
      <c r="CS2114" s="1369" t="str">
        <f>INDEX([8]Sheet1!$H:$H,MATCH(CR:CR,[8]Sheet1!$AU:$AU,0))</f>
        <v>Human Resources</v>
      </c>
    </row>
    <row r="2115" spans="8:97" x14ac:dyDescent="0.2">
      <c r="H2115"/>
      <c r="L2115"/>
      <c r="BU2115"/>
      <c r="BV2115"/>
      <c r="BX2115" s="1372"/>
      <c r="BY2115"/>
      <c r="BZ2115"/>
      <c r="CR2115" t="s">
        <v>2324</v>
      </c>
      <c r="CS2115" s="1369" t="str">
        <f>INDEX([8]Sheet1!$H:$H,MATCH(CR:CR,[8]Sheet1!$AU:$AU,0))</f>
        <v>Finance</v>
      </c>
    </row>
    <row r="2116" spans="8:97" x14ac:dyDescent="0.2">
      <c r="H2116"/>
      <c r="L2116"/>
      <c r="BU2116"/>
      <c r="BV2116"/>
      <c r="BW2116"/>
      <c r="BX2116"/>
      <c r="BY2116"/>
      <c r="BZ2116"/>
      <c r="CR2116" t="s">
        <v>2319</v>
      </c>
      <c r="CS2116" s="1369" t="str">
        <f>INDEX([8]Sheet1!$H:$H,MATCH(CR:CR,[8]Sheet1!$AU:$AU,0))</f>
        <v>Mayor and Council</v>
      </c>
    </row>
    <row r="2117" spans="8:97" x14ac:dyDescent="0.2">
      <c r="H2117"/>
      <c r="L2117"/>
      <c r="BU2117"/>
      <c r="BV2117"/>
      <c r="BW2117"/>
      <c r="BX2117"/>
      <c r="BY2117"/>
      <c r="BZ2117"/>
      <c r="CR2117" t="s">
        <v>2324</v>
      </c>
      <c r="CS2117" s="1369" t="str">
        <f>INDEX([8]Sheet1!$H:$H,MATCH(CR:CR,[8]Sheet1!$AU:$AU,0))</f>
        <v>Finance</v>
      </c>
    </row>
    <row r="2118" spans="8:97" x14ac:dyDescent="0.2">
      <c r="BZ2118"/>
      <c r="CR2118" t="s">
        <v>2324</v>
      </c>
      <c r="CS2118" s="1369" t="str">
        <f>INDEX([8]Sheet1!$H:$H,MATCH(CR:CR,[8]Sheet1!$AU:$AU,0))</f>
        <v>Finance</v>
      </c>
    </row>
    <row r="2119" spans="8:97" x14ac:dyDescent="0.2">
      <c r="H2119"/>
      <c r="L2119"/>
      <c r="BU2119"/>
      <c r="BV2119"/>
      <c r="BX2119" s="1372"/>
      <c r="BY2119"/>
      <c r="BZ2119"/>
      <c r="CR2119" t="s">
        <v>2324</v>
      </c>
      <c r="CS2119" s="1369" t="str">
        <f>INDEX([8]Sheet1!$H:$H,MATCH(CR:CR,[8]Sheet1!$AU:$AU,0))</f>
        <v>Finance</v>
      </c>
    </row>
    <row r="2120" spans="8:97" x14ac:dyDescent="0.2">
      <c r="H2120"/>
      <c r="L2120"/>
      <c r="BU2120"/>
      <c r="BV2120"/>
      <c r="BX2120" s="1372"/>
      <c r="BY2120"/>
      <c r="BZ2120"/>
      <c r="CR2120" t="s">
        <v>2324</v>
      </c>
      <c r="CS2120" s="1369" t="str">
        <f>INDEX([8]Sheet1!$H:$H,MATCH(CR:CR,[8]Sheet1!$AU:$AU,0))</f>
        <v>Finance</v>
      </c>
    </row>
    <row r="2121" spans="8:97" x14ac:dyDescent="0.2">
      <c r="BZ2121"/>
      <c r="CR2121" t="s">
        <v>2324</v>
      </c>
      <c r="CS2121" s="1369" t="str">
        <f>INDEX([8]Sheet1!$H:$H,MATCH(CR:CR,[8]Sheet1!$AU:$AU,0))</f>
        <v>Finance</v>
      </c>
    </row>
    <row r="2122" spans="8:97" x14ac:dyDescent="0.2">
      <c r="H2122"/>
      <c r="L2122"/>
      <c r="BU2122"/>
      <c r="BV2122"/>
      <c r="BW2122"/>
      <c r="BX2122"/>
      <c r="BY2122"/>
      <c r="BZ2122"/>
      <c r="CR2122" t="s">
        <v>2324</v>
      </c>
      <c r="CS2122" s="1369" t="str">
        <f>INDEX([8]Sheet1!$H:$H,MATCH(CR:CR,[8]Sheet1!$AU:$AU,0))</f>
        <v>Finance</v>
      </c>
    </row>
    <row r="2123" spans="8:97" x14ac:dyDescent="0.2">
      <c r="BZ2123"/>
      <c r="CR2123" t="s">
        <v>2324</v>
      </c>
      <c r="CS2123" s="1369" t="str">
        <f>INDEX([8]Sheet1!$H:$H,MATCH(CR:CR,[8]Sheet1!$AU:$AU,0))</f>
        <v>Finance</v>
      </c>
    </row>
    <row r="2124" spans="8:97" x14ac:dyDescent="0.2">
      <c r="H2124"/>
      <c r="L2124"/>
      <c r="AK2124"/>
      <c r="BU2124"/>
      <c r="BV2124"/>
      <c r="BX2124" s="1372"/>
      <c r="BY2124"/>
      <c r="BZ2124"/>
      <c r="CR2124" t="s">
        <v>2324</v>
      </c>
      <c r="CS2124" s="1369" t="str">
        <f>INDEX([8]Sheet1!$H:$H,MATCH(CR:CR,[8]Sheet1!$AU:$AU,0))</f>
        <v>Finance</v>
      </c>
    </row>
    <row r="2125" spans="8:97" x14ac:dyDescent="0.2">
      <c r="H2125"/>
      <c r="L2125"/>
      <c r="BU2125"/>
      <c r="BV2125"/>
      <c r="BW2125"/>
      <c r="BX2125"/>
      <c r="BY2125"/>
      <c r="BZ2125"/>
      <c r="CR2125" t="s">
        <v>2324</v>
      </c>
      <c r="CS2125" s="1369" t="str">
        <f>INDEX([8]Sheet1!$H:$H,MATCH(CR:CR,[8]Sheet1!$AU:$AU,0))</f>
        <v>Finance</v>
      </c>
    </row>
    <row r="2126" spans="8:97" x14ac:dyDescent="0.2">
      <c r="H2126"/>
      <c r="L2126"/>
      <c r="AK2126"/>
      <c r="BU2126"/>
      <c r="BV2126"/>
      <c r="BW2126"/>
      <c r="BX2126"/>
      <c r="BY2126"/>
      <c r="BZ2126"/>
      <c r="CR2126" t="s">
        <v>2324</v>
      </c>
      <c r="CS2126" s="1369" t="str">
        <f>INDEX([8]Sheet1!$H:$H,MATCH(CR:CR,[8]Sheet1!$AU:$AU,0))</f>
        <v>Finance</v>
      </c>
    </row>
    <row r="2127" spans="8:97" x14ac:dyDescent="0.2">
      <c r="H2127"/>
      <c r="L2127"/>
      <c r="AK2127"/>
      <c r="BU2127"/>
      <c r="BV2127"/>
      <c r="BW2127"/>
      <c r="BX2127"/>
      <c r="BY2127"/>
      <c r="BZ2127"/>
      <c r="CR2127" t="s">
        <v>2325</v>
      </c>
      <c r="CS2127" s="1369" t="str">
        <f>INDEX([8]Sheet1!$H:$H,MATCH(CR:CR,[8]Sheet1!$AU:$AU,0))</f>
        <v>Asset Management</v>
      </c>
    </row>
    <row r="2128" spans="8:97" x14ac:dyDescent="0.2">
      <c r="H2128"/>
      <c r="L2128"/>
      <c r="AK2128"/>
      <c r="BU2128"/>
      <c r="BV2128"/>
      <c r="BW2128"/>
      <c r="BX2128"/>
      <c r="BY2128"/>
      <c r="BZ2128"/>
      <c r="CR2128" t="s">
        <v>2325</v>
      </c>
      <c r="CS2128" s="1369" t="str">
        <f>INDEX([8]Sheet1!$H:$H,MATCH(CR:CR,[8]Sheet1!$AU:$AU,0))</f>
        <v>Asset Management</v>
      </c>
    </row>
    <row r="2129" spans="8:97" x14ac:dyDescent="0.2">
      <c r="H2129"/>
      <c r="L2129"/>
      <c r="BU2129"/>
      <c r="BV2129"/>
      <c r="BW2129"/>
      <c r="BX2129"/>
      <c r="BY2129"/>
      <c r="BZ2129"/>
      <c r="CR2129" t="s">
        <v>2325</v>
      </c>
      <c r="CS2129" s="1369" t="str">
        <f>INDEX([8]Sheet1!$H:$H,MATCH(CR:CR,[8]Sheet1!$AU:$AU,0))</f>
        <v>Asset Management</v>
      </c>
    </row>
    <row r="2130" spans="8:97" x14ac:dyDescent="0.2">
      <c r="H2130"/>
      <c r="L2130"/>
      <c r="AK2130"/>
      <c r="BU2130"/>
      <c r="BV2130"/>
      <c r="BW2130"/>
      <c r="BX2130"/>
      <c r="BY2130"/>
      <c r="BZ2130"/>
      <c r="CR2130" t="s">
        <v>2325</v>
      </c>
      <c r="CS2130" s="1369" t="str">
        <f>INDEX([8]Sheet1!$H:$H,MATCH(CR:CR,[8]Sheet1!$AU:$AU,0))</f>
        <v>Asset Management</v>
      </c>
    </row>
    <row r="2131" spans="8:97" x14ac:dyDescent="0.2">
      <c r="H2131"/>
      <c r="L2131"/>
      <c r="AK2131"/>
      <c r="BU2131"/>
      <c r="BV2131"/>
      <c r="BW2131"/>
      <c r="BX2131"/>
      <c r="BY2131"/>
      <c r="BZ2131"/>
      <c r="CR2131" t="s">
        <v>2325</v>
      </c>
      <c r="CS2131" s="1369" t="str">
        <f>INDEX([8]Sheet1!$H:$H,MATCH(CR:CR,[8]Sheet1!$AU:$AU,0))</f>
        <v>Asset Management</v>
      </c>
    </row>
    <row r="2132" spans="8:97" x14ac:dyDescent="0.2">
      <c r="H2132"/>
      <c r="L2132"/>
      <c r="AK2132"/>
      <c r="BU2132"/>
      <c r="BV2132"/>
      <c r="BW2132"/>
      <c r="BX2132"/>
      <c r="BY2132"/>
      <c r="BZ2132"/>
      <c r="CR2132" t="s">
        <v>2325</v>
      </c>
      <c r="CS2132" s="1369" t="str">
        <f>INDEX([8]Sheet1!$H:$H,MATCH(CR:CR,[8]Sheet1!$AU:$AU,0))</f>
        <v>Asset Management</v>
      </c>
    </row>
    <row r="2133" spans="8:97" x14ac:dyDescent="0.2">
      <c r="H2133"/>
      <c r="L2133"/>
      <c r="AK2133"/>
      <c r="BU2133"/>
      <c r="BV2133"/>
      <c r="BW2133"/>
      <c r="BX2133"/>
      <c r="BY2133"/>
      <c r="BZ2133"/>
      <c r="CR2133" t="s">
        <v>2325</v>
      </c>
      <c r="CS2133" s="1369" t="str">
        <f>INDEX([8]Sheet1!$H:$H,MATCH(CR:CR,[8]Sheet1!$AU:$AU,0))</f>
        <v>Asset Management</v>
      </c>
    </row>
    <row r="2134" spans="8:97" x14ac:dyDescent="0.2">
      <c r="H2134"/>
      <c r="L2134"/>
      <c r="AK2134"/>
      <c r="BU2134"/>
      <c r="BV2134"/>
      <c r="BW2134"/>
      <c r="BX2134"/>
      <c r="BY2134"/>
      <c r="BZ2134"/>
      <c r="CR2134" t="s">
        <v>2325</v>
      </c>
      <c r="CS2134" s="1369" t="str">
        <f>INDEX([8]Sheet1!$H:$H,MATCH(CR:CR,[8]Sheet1!$AU:$AU,0))</f>
        <v>Asset Management</v>
      </c>
    </row>
    <row r="2135" spans="8:97" x14ac:dyDescent="0.2">
      <c r="H2135"/>
      <c r="L2135"/>
      <c r="AK2135"/>
      <c r="BU2135"/>
      <c r="BV2135"/>
      <c r="BW2135"/>
      <c r="BX2135"/>
      <c r="BY2135"/>
      <c r="BZ2135"/>
      <c r="CR2135" t="s">
        <v>2325</v>
      </c>
      <c r="CS2135" s="1369" t="str">
        <f>INDEX([8]Sheet1!$H:$H,MATCH(CR:CR,[8]Sheet1!$AU:$AU,0))</f>
        <v>Asset Management</v>
      </c>
    </row>
    <row r="2136" spans="8:97" x14ac:dyDescent="0.2">
      <c r="AK2136"/>
      <c r="BZ2136"/>
      <c r="CR2136" t="s">
        <v>2325</v>
      </c>
      <c r="CS2136" s="1369" t="str">
        <f>INDEX([8]Sheet1!$H:$H,MATCH(CR:CR,[8]Sheet1!$AU:$AU,0))</f>
        <v>Asset Management</v>
      </c>
    </row>
    <row r="2137" spans="8:97" x14ac:dyDescent="0.2">
      <c r="H2137"/>
      <c r="L2137"/>
      <c r="AK2137"/>
      <c r="BU2137"/>
      <c r="BV2137"/>
      <c r="BW2137"/>
      <c r="BX2137"/>
      <c r="BY2137"/>
      <c r="BZ2137"/>
      <c r="CR2137" t="s">
        <v>2325</v>
      </c>
      <c r="CS2137" s="1369" t="str">
        <f>INDEX([8]Sheet1!$H:$H,MATCH(CR:CR,[8]Sheet1!$AU:$AU,0))</f>
        <v>Asset Management</v>
      </c>
    </row>
    <row r="2138" spans="8:97" x14ac:dyDescent="0.2">
      <c r="H2138"/>
      <c r="L2138"/>
      <c r="AK2138"/>
      <c r="BU2138"/>
      <c r="BV2138"/>
      <c r="BW2138"/>
      <c r="BX2138"/>
      <c r="BY2138"/>
      <c r="BZ2138"/>
      <c r="CR2138" t="s">
        <v>2325</v>
      </c>
      <c r="CS2138" s="1369" t="str">
        <f>INDEX([8]Sheet1!$H:$H,MATCH(CR:CR,[8]Sheet1!$AU:$AU,0))</f>
        <v>Asset Management</v>
      </c>
    </row>
    <row r="2139" spans="8:97" x14ac:dyDescent="0.2">
      <c r="H2139"/>
      <c r="L2139"/>
      <c r="AK2139"/>
      <c r="BU2139"/>
      <c r="BV2139"/>
      <c r="BW2139"/>
      <c r="BX2139"/>
      <c r="BY2139"/>
      <c r="BZ2139"/>
      <c r="CR2139" t="s">
        <v>2325</v>
      </c>
      <c r="CS2139" s="1369" t="str">
        <f>INDEX([8]Sheet1!$H:$H,MATCH(CR:CR,[8]Sheet1!$AU:$AU,0))</f>
        <v>Asset Management</v>
      </c>
    </row>
    <row r="2140" spans="8:97" x14ac:dyDescent="0.2">
      <c r="H2140"/>
      <c r="L2140"/>
      <c r="AK2140"/>
      <c r="BU2140"/>
      <c r="BV2140"/>
      <c r="BW2140"/>
      <c r="BX2140"/>
      <c r="BY2140"/>
      <c r="BZ2140"/>
      <c r="CR2140" t="s">
        <v>2325</v>
      </c>
      <c r="CS2140" s="1369" t="str">
        <f>INDEX([8]Sheet1!$H:$H,MATCH(CR:CR,[8]Sheet1!$AU:$AU,0))</f>
        <v>Asset Management</v>
      </c>
    </row>
    <row r="2141" spans="8:97" x14ac:dyDescent="0.2">
      <c r="H2141"/>
      <c r="L2141"/>
      <c r="AK2141"/>
      <c r="BU2141"/>
      <c r="BV2141"/>
      <c r="BW2141"/>
      <c r="BX2141"/>
      <c r="BY2141"/>
      <c r="BZ2141"/>
      <c r="CR2141" t="s">
        <v>2325</v>
      </c>
      <c r="CS2141" s="1369" t="str">
        <f>INDEX([8]Sheet1!$H:$H,MATCH(CR:CR,[8]Sheet1!$AU:$AU,0))</f>
        <v>Asset Management</v>
      </c>
    </row>
    <row r="2142" spans="8:97" x14ac:dyDescent="0.2">
      <c r="H2142"/>
      <c r="L2142"/>
      <c r="AK2142"/>
      <c r="BU2142"/>
      <c r="BV2142"/>
      <c r="BW2142"/>
      <c r="BX2142"/>
      <c r="BY2142"/>
      <c r="BZ2142"/>
      <c r="CR2142" t="s">
        <v>2325</v>
      </c>
      <c r="CS2142" s="1369" t="str">
        <f>INDEX([8]Sheet1!$H:$H,MATCH(CR:CR,[8]Sheet1!$AU:$AU,0))</f>
        <v>Asset Management</v>
      </c>
    </row>
    <row r="2143" spans="8:97" x14ac:dyDescent="0.2">
      <c r="H2143"/>
      <c r="L2143"/>
      <c r="BU2143"/>
      <c r="BV2143"/>
      <c r="BW2143"/>
      <c r="BX2143"/>
      <c r="BY2143"/>
      <c r="BZ2143"/>
      <c r="CR2143" t="s">
        <v>2325</v>
      </c>
      <c r="CS2143" s="1369" t="str">
        <f>INDEX([8]Sheet1!$H:$H,MATCH(CR:CR,[8]Sheet1!$AU:$AU,0))</f>
        <v>Asset Management</v>
      </c>
    </row>
    <row r="2144" spans="8:97" x14ac:dyDescent="0.2">
      <c r="H2144"/>
      <c r="L2144"/>
      <c r="BU2144"/>
      <c r="BV2144"/>
      <c r="BW2144"/>
      <c r="BX2144"/>
      <c r="BY2144"/>
      <c r="BZ2144"/>
      <c r="CR2144" t="s">
        <v>2325</v>
      </c>
      <c r="CS2144" s="1369" t="str">
        <f>INDEX([8]Sheet1!$H:$H,MATCH(CR:CR,[8]Sheet1!$AU:$AU,0))</f>
        <v>Asset Management</v>
      </c>
    </row>
    <row r="2145" spans="8:78" x14ac:dyDescent="0.2">
      <c r="H2145"/>
      <c r="L2145"/>
      <c r="BU2145"/>
      <c r="BV2145"/>
      <c r="BX2145"/>
      <c r="BY2145"/>
      <c r="BZ2145"/>
    </row>
    <row r="2146" spans="8:78" x14ac:dyDescent="0.2">
      <c r="H2146"/>
      <c r="L2146"/>
      <c r="BU2146"/>
      <c r="BV2146"/>
      <c r="BX2146"/>
      <c r="BY2146"/>
      <c r="BZ2146"/>
    </row>
    <row r="2147" spans="8:78" x14ac:dyDescent="0.2">
      <c r="H2147"/>
      <c r="L2147"/>
      <c r="BU2147"/>
      <c r="BV2147"/>
      <c r="BX2147"/>
      <c r="BY2147"/>
      <c r="BZ2147"/>
    </row>
    <row r="2148" spans="8:78" x14ac:dyDescent="0.2">
      <c r="H2148"/>
      <c r="L2148"/>
      <c r="AK2148"/>
      <c r="BU2148"/>
      <c r="BV2148"/>
      <c r="BX2148"/>
      <c r="BY2148"/>
      <c r="BZ2148"/>
    </row>
    <row r="2149" spans="8:78" x14ac:dyDescent="0.2">
      <c r="H2149"/>
      <c r="L2149"/>
      <c r="AK2149"/>
      <c r="BU2149"/>
      <c r="BV2149"/>
      <c r="BX2149"/>
      <c r="BY2149"/>
      <c r="BZ2149"/>
    </row>
    <row r="2150" spans="8:78" x14ac:dyDescent="0.2">
      <c r="H2150"/>
      <c r="L2150"/>
      <c r="AK2150"/>
      <c r="BU2150"/>
      <c r="BV2150"/>
      <c r="BX2150"/>
      <c r="BY2150"/>
      <c r="BZ2150"/>
    </row>
    <row r="2151" spans="8:78" x14ac:dyDescent="0.2">
      <c r="H2151"/>
      <c r="L2151"/>
      <c r="AK2151"/>
      <c r="BU2151"/>
      <c r="BV2151"/>
      <c r="BX2151"/>
      <c r="BY2151"/>
      <c r="BZ2151"/>
    </row>
    <row r="2152" spans="8:78" x14ac:dyDescent="0.2">
      <c r="AK2152"/>
      <c r="BZ2152"/>
    </row>
    <row r="2153" spans="8:78" x14ac:dyDescent="0.2">
      <c r="AK2153"/>
      <c r="BZ2153"/>
    </row>
    <row r="2154" spans="8:78" x14ac:dyDescent="0.2">
      <c r="H2154"/>
      <c r="L2154"/>
      <c r="AK2154"/>
      <c r="BU2154"/>
      <c r="BV2154"/>
      <c r="BX2154"/>
      <c r="BY2154"/>
      <c r="BZ2154"/>
    </row>
    <row r="2155" spans="8:78" x14ac:dyDescent="0.2">
      <c r="H2155"/>
      <c r="L2155"/>
      <c r="AK2155"/>
      <c r="BU2155"/>
      <c r="BV2155"/>
      <c r="BX2155"/>
      <c r="BY2155"/>
      <c r="BZ2155"/>
    </row>
    <row r="2156" spans="8:78" x14ac:dyDescent="0.2">
      <c r="AK2156"/>
      <c r="BZ2156"/>
    </row>
    <row r="2157" spans="8:78" x14ac:dyDescent="0.2">
      <c r="H2157"/>
      <c r="L2157"/>
      <c r="AK2157"/>
      <c r="BU2157"/>
      <c r="BV2157"/>
      <c r="BX2157"/>
      <c r="BY2157"/>
      <c r="BZ2157"/>
    </row>
    <row r="2158" spans="8:78" x14ac:dyDescent="0.2">
      <c r="H2158"/>
      <c r="L2158"/>
      <c r="AK2158"/>
      <c r="BU2158"/>
      <c r="BV2158"/>
      <c r="BX2158"/>
      <c r="BY2158"/>
      <c r="BZ2158"/>
    </row>
    <row r="2159" spans="8:78" x14ac:dyDescent="0.2">
      <c r="H2159"/>
      <c r="L2159"/>
      <c r="AK2159"/>
      <c r="BU2159"/>
      <c r="BV2159"/>
      <c r="BX2159"/>
      <c r="BY2159"/>
      <c r="BZ2159"/>
    </row>
    <row r="2160" spans="8:78" x14ac:dyDescent="0.2">
      <c r="H2160"/>
      <c r="L2160"/>
      <c r="AK2160"/>
      <c r="BU2160"/>
      <c r="BV2160"/>
      <c r="BX2160"/>
      <c r="BY2160"/>
      <c r="BZ2160"/>
    </row>
    <row r="2161" spans="8:78" x14ac:dyDescent="0.2">
      <c r="H2161"/>
      <c r="L2161"/>
      <c r="AK2161"/>
      <c r="BU2161"/>
      <c r="BV2161"/>
      <c r="BX2161"/>
      <c r="BY2161"/>
      <c r="BZ2161"/>
    </row>
    <row r="2162" spans="8:78" x14ac:dyDescent="0.2">
      <c r="H2162"/>
      <c r="L2162"/>
      <c r="AK2162"/>
      <c r="BU2162"/>
      <c r="BV2162"/>
      <c r="BX2162"/>
      <c r="BY2162"/>
      <c r="BZ2162"/>
    </row>
    <row r="2163" spans="8:78" x14ac:dyDescent="0.2">
      <c r="H2163"/>
      <c r="L2163"/>
      <c r="AK2163"/>
      <c r="BU2163"/>
      <c r="BV2163"/>
      <c r="BX2163"/>
      <c r="BY2163"/>
      <c r="BZ2163"/>
    </row>
    <row r="2164" spans="8:78" x14ac:dyDescent="0.2">
      <c r="H2164"/>
      <c r="L2164"/>
      <c r="AK2164"/>
      <c r="BU2164"/>
      <c r="BV2164"/>
      <c r="BX2164"/>
      <c r="BY2164"/>
      <c r="BZ2164"/>
    </row>
    <row r="2165" spans="8:78" x14ac:dyDescent="0.2">
      <c r="H2165"/>
      <c r="L2165"/>
      <c r="AK2165"/>
      <c r="BU2165"/>
      <c r="BV2165"/>
      <c r="BX2165"/>
      <c r="BY2165"/>
      <c r="BZ2165"/>
    </row>
    <row r="2166" spans="8:78" x14ac:dyDescent="0.2">
      <c r="AK2166"/>
      <c r="BZ2166"/>
    </row>
    <row r="2167" spans="8:78" x14ac:dyDescent="0.2">
      <c r="H2167"/>
      <c r="L2167"/>
      <c r="AK2167"/>
      <c r="BU2167"/>
      <c r="BV2167"/>
      <c r="BX2167"/>
      <c r="BY2167"/>
      <c r="BZ2167"/>
    </row>
    <row r="2168" spans="8:78" x14ac:dyDescent="0.2">
      <c r="H2168"/>
      <c r="L2168"/>
      <c r="AK2168"/>
      <c r="BU2168"/>
      <c r="BV2168"/>
      <c r="BX2168"/>
      <c r="BY2168"/>
      <c r="BZ2168"/>
    </row>
    <row r="2169" spans="8:78" x14ac:dyDescent="0.2">
      <c r="H2169"/>
      <c r="L2169"/>
      <c r="AK2169"/>
      <c r="BU2169"/>
      <c r="BV2169"/>
      <c r="BX2169"/>
      <c r="BY2169"/>
      <c r="BZ2169"/>
    </row>
    <row r="2170" spans="8:78" x14ac:dyDescent="0.2">
      <c r="H2170"/>
      <c r="L2170"/>
      <c r="AK2170"/>
      <c r="BU2170"/>
      <c r="BV2170"/>
      <c r="BX2170"/>
      <c r="BY2170"/>
      <c r="BZ2170"/>
    </row>
    <row r="2171" spans="8:78" x14ac:dyDescent="0.2">
      <c r="H2171"/>
      <c r="L2171"/>
      <c r="AK2171"/>
      <c r="BU2171"/>
      <c r="BV2171"/>
      <c r="BX2171"/>
      <c r="BY2171"/>
      <c r="BZ2171"/>
    </row>
    <row r="2172" spans="8:78" x14ac:dyDescent="0.2">
      <c r="H2172"/>
      <c r="L2172"/>
      <c r="AK2172"/>
      <c r="BU2172"/>
      <c r="BV2172"/>
      <c r="BX2172"/>
      <c r="BY2172"/>
      <c r="BZ2172"/>
    </row>
    <row r="2173" spans="8:78" x14ac:dyDescent="0.2">
      <c r="H2173"/>
      <c r="L2173"/>
      <c r="AK2173"/>
      <c r="BU2173"/>
      <c r="BV2173"/>
      <c r="BX2173"/>
      <c r="BY2173"/>
      <c r="BZ2173"/>
    </row>
    <row r="2174" spans="8:78" x14ac:dyDescent="0.2">
      <c r="H2174"/>
      <c r="L2174"/>
      <c r="AK2174"/>
      <c r="BU2174"/>
      <c r="BV2174"/>
      <c r="BX2174"/>
      <c r="BY2174"/>
      <c r="BZ2174"/>
    </row>
    <row r="2175" spans="8:78" x14ac:dyDescent="0.2">
      <c r="H2175"/>
      <c r="L2175"/>
      <c r="BU2175"/>
      <c r="BV2175"/>
      <c r="BX2175"/>
      <c r="BY2175"/>
      <c r="BZ2175"/>
    </row>
    <row r="2176" spans="8:78" x14ac:dyDescent="0.2">
      <c r="H2176"/>
      <c r="L2176"/>
      <c r="BU2176"/>
      <c r="BV2176"/>
      <c r="BX2176"/>
      <c r="BY2176"/>
      <c r="BZ2176"/>
    </row>
    <row r="2177" spans="8:78" x14ac:dyDescent="0.2">
      <c r="H2177"/>
      <c r="L2177"/>
      <c r="AK2177"/>
      <c r="BU2177"/>
      <c r="BV2177"/>
      <c r="BX2177"/>
      <c r="BY2177"/>
      <c r="BZ2177"/>
    </row>
    <row r="2178" spans="8:78" x14ac:dyDescent="0.2">
      <c r="H2178"/>
      <c r="L2178"/>
      <c r="AK2178"/>
      <c r="BU2178"/>
      <c r="BV2178"/>
      <c r="BX2178"/>
      <c r="BY2178"/>
      <c r="BZ2178"/>
    </row>
    <row r="2179" spans="8:78" x14ac:dyDescent="0.2">
      <c r="H2179"/>
      <c r="L2179"/>
      <c r="BU2179"/>
      <c r="BV2179"/>
      <c r="BX2179"/>
      <c r="BY2179"/>
      <c r="BZ2179"/>
    </row>
    <row r="2180" spans="8:78" x14ac:dyDescent="0.2">
      <c r="H2180"/>
      <c r="L2180"/>
      <c r="BU2180"/>
      <c r="BV2180"/>
      <c r="BX2180"/>
      <c r="BY2180"/>
      <c r="BZ2180"/>
    </row>
    <row r="2181" spans="8:78" x14ac:dyDescent="0.2">
      <c r="H2181"/>
      <c r="L2181"/>
      <c r="BU2181"/>
      <c r="BV2181"/>
      <c r="BX2181"/>
      <c r="BY2181"/>
      <c r="BZ2181"/>
    </row>
    <row r="2182" spans="8:78" x14ac:dyDescent="0.2">
      <c r="H2182"/>
      <c r="L2182"/>
      <c r="BU2182"/>
      <c r="BV2182"/>
      <c r="BX2182"/>
      <c r="BY2182"/>
      <c r="BZ2182"/>
    </row>
    <row r="2183" spans="8:78" x14ac:dyDescent="0.2">
      <c r="H2183"/>
      <c r="L2183"/>
      <c r="BU2183"/>
      <c r="BV2183"/>
      <c r="BX2183"/>
      <c r="BY2183"/>
      <c r="BZ2183"/>
    </row>
    <row r="2184" spans="8:78" x14ac:dyDescent="0.2">
      <c r="H2184"/>
      <c r="L2184"/>
      <c r="BU2184"/>
      <c r="BV2184"/>
      <c r="BX2184"/>
      <c r="BY2184"/>
      <c r="BZ2184"/>
    </row>
    <row r="2185" spans="8:78" x14ac:dyDescent="0.2">
      <c r="H2185"/>
      <c r="L2185"/>
      <c r="AK2185"/>
      <c r="BU2185"/>
      <c r="BV2185"/>
      <c r="BX2185"/>
      <c r="BY2185"/>
      <c r="BZ2185"/>
    </row>
    <row r="2186" spans="8:78" x14ac:dyDescent="0.2">
      <c r="H2186"/>
      <c r="L2186"/>
      <c r="BU2186"/>
      <c r="BV2186"/>
      <c r="BX2186"/>
      <c r="BY2186"/>
      <c r="BZ2186"/>
    </row>
    <row r="2187" spans="8:78" x14ac:dyDescent="0.2">
      <c r="H2187"/>
      <c r="L2187"/>
      <c r="BU2187"/>
      <c r="BV2187"/>
      <c r="BX2187"/>
      <c r="BY2187"/>
      <c r="BZ2187"/>
    </row>
    <row r="2188" spans="8:78" x14ac:dyDescent="0.2">
      <c r="H2188"/>
      <c r="L2188"/>
      <c r="BU2188"/>
      <c r="BV2188"/>
      <c r="BX2188"/>
      <c r="BY2188"/>
      <c r="BZ2188"/>
    </row>
    <row r="2189" spans="8:78" x14ac:dyDescent="0.2">
      <c r="H2189"/>
      <c r="L2189"/>
      <c r="AK2189"/>
      <c r="BU2189"/>
      <c r="BV2189"/>
      <c r="BX2189"/>
      <c r="BY2189"/>
      <c r="BZ2189"/>
    </row>
    <row r="2190" spans="8:78" x14ac:dyDescent="0.2">
      <c r="H2190"/>
      <c r="L2190"/>
      <c r="AK2190"/>
      <c r="BU2190"/>
      <c r="BV2190"/>
      <c r="BX2190"/>
      <c r="BY2190"/>
      <c r="BZ2190"/>
    </row>
    <row r="2191" spans="8:78" x14ac:dyDescent="0.2">
      <c r="H2191"/>
      <c r="L2191"/>
      <c r="AK2191"/>
      <c r="BU2191"/>
      <c r="BV2191"/>
      <c r="BX2191"/>
      <c r="BY2191"/>
      <c r="BZ2191"/>
    </row>
    <row r="2192" spans="8:78" x14ac:dyDescent="0.2">
      <c r="H2192"/>
      <c r="L2192"/>
      <c r="AK2192"/>
      <c r="BU2192"/>
      <c r="BV2192"/>
      <c r="BX2192"/>
      <c r="BY2192"/>
      <c r="BZ2192"/>
    </row>
    <row r="2193" spans="8:78" x14ac:dyDescent="0.2">
      <c r="H2193"/>
      <c r="L2193"/>
      <c r="AK2193"/>
      <c r="BU2193"/>
      <c r="BV2193"/>
      <c r="BX2193"/>
      <c r="BY2193"/>
      <c r="BZ2193"/>
    </row>
    <row r="2194" spans="8:78" x14ac:dyDescent="0.2">
      <c r="H2194"/>
      <c r="L2194"/>
      <c r="AK2194"/>
      <c r="BU2194"/>
      <c r="BV2194"/>
      <c r="BX2194"/>
      <c r="BY2194"/>
      <c r="BZ2194"/>
    </row>
    <row r="2195" spans="8:78" x14ac:dyDescent="0.2">
      <c r="H2195"/>
      <c r="L2195"/>
      <c r="AK2195"/>
      <c r="BU2195"/>
      <c r="BV2195"/>
      <c r="BX2195"/>
      <c r="BY2195"/>
      <c r="BZ2195"/>
    </row>
    <row r="2196" spans="8:78" x14ac:dyDescent="0.2">
      <c r="H2196"/>
      <c r="L2196"/>
      <c r="BU2196"/>
      <c r="BV2196"/>
      <c r="BX2196"/>
      <c r="BY2196"/>
      <c r="BZ2196"/>
    </row>
    <row r="2197" spans="8:78" x14ac:dyDescent="0.2">
      <c r="H2197"/>
      <c r="L2197"/>
      <c r="AK2197"/>
      <c r="BU2197"/>
      <c r="BV2197"/>
      <c r="BX2197"/>
      <c r="BY2197"/>
      <c r="BZ2197"/>
    </row>
    <row r="2198" spans="8:78" x14ac:dyDescent="0.2">
      <c r="H2198"/>
      <c r="L2198"/>
      <c r="AK2198"/>
      <c r="BU2198"/>
      <c r="BV2198"/>
      <c r="BX2198"/>
      <c r="BY2198"/>
      <c r="BZ2198"/>
    </row>
    <row r="2199" spans="8:78" x14ac:dyDescent="0.2">
      <c r="H2199"/>
      <c r="L2199"/>
      <c r="BU2199"/>
      <c r="BV2199"/>
      <c r="BX2199"/>
      <c r="BY2199"/>
      <c r="BZ2199"/>
    </row>
    <row r="2200" spans="8:78" x14ac:dyDescent="0.2">
      <c r="H2200"/>
      <c r="L2200"/>
      <c r="AK2200"/>
      <c r="BU2200"/>
      <c r="BV2200"/>
      <c r="BX2200"/>
      <c r="BY2200"/>
      <c r="BZ2200"/>
    </row>
    <row r="2201" spans="8:78" x14ac:dyDescent="0.2">
      <c r="H2201"/>
      <c r="L2201"/>
      <c r="BU2201"/>
      <c r="BV2201"/>
      <c r="BX2201"/>
      <c r="BY2201"/>
      <c r="BZ2201"/>
    </row>
    <row r="2202" spans="8:78" x14ac:dyDescent="0.2">
      <c r="H2202"/>
      <c r="L2202"/>
      <c r="AK2202"/>
      <c r="BU2202"/>
      <c r="BV2202"/>
      <c r="BX2202"/>
      <c r="BY2202"/>
      <c r="BZ2202"/>
    </row>
    <row r="2203" spans="8:78" x14ac:dyDescent="0.2">
      <c r="H2203"/>
      <c r="L2203"/>
      <c r="AK2203"/>
      <c r="BU2203"/>
      <c r="BV2203"/>
      <c r="BX2203"/>
      <c r="BY2203"/>
      <c r="BZ2203"/>
    </row>
    <row r="2204" spans="8:78" x14ac:dyDescent="0.2">
      <c r="H2204"/>
      <c r="L2204"/>
      <c r="AK2204"/>
      <c r="BU2204"/>
      <c r="BV2204"/>
      <c r="BX2204"/>
      <c r="BY2204"/>
      <c r="BZ2204"/>
    </row>
    <row r="2205" spans="8:78" x14ac:dyDescent="0.2">
      <c r="H2205"/>
      <c r="L2205"/>
      <c r="AK2205"/>
      <c r="BU2205"/>
      <c r="BV2205"/>
      <c r="BX2205"/>
      <c r="BY2205"/>
      <c r="BZ2205"/>
    </row>
    <row r="2206" spans="8:78" x14ac:dyDescent="0.2">
      <c r="H2206"/>
      <c r="L2206"/>
      <c r="AK2206"/>
      <c r="BU2206"/>
      <c r="BV2206"/>
      <c r="BX2206"/>
      <c r="BY2206"/>
      <c r="BZ2206"/>
    </row>
    <row r="2207" spans="8:78" x14ac:dyDescent="0.2">
      <c r="H2207"/>
      <c r="L2207"/>
      <c r="AK2207"/>
      <c r="BU2207"/>
      <c r="BV2207"/>
      <c r="BX2207"/>
      <c r="BY2207"/>
      <c r="BZ2207"/>
    </row>
    <row r="2208" spans="8:78" x14ac:dyDescent="0.2">
      <c r="H2208"/>
      <c r="L2208"/>
      <c r="BU2208"/>
      <c r="BV2208"/>
      <c r="BX2208"/>
      <c r="BY2208"/>
      <c r="BZ2208"/>
    </row>
    <row r="2209" spans="8:78" x14ac:dyDescent="0.2">
      <c r="H2209"/>
      <c r="L2209"/>
      <c r="AK2209"/>
      <c r="BU2209"/>
      <c r="BV2209"/>
      <c r="BX2209"/>
      <c r="BY2209"/>
      <c r="BZ2209"/>
    </row>
    <row r="2210" spans="8:78" x14ac:dyDescent="0.2">
      <c r="H2210"/>
      <c r="L2210"/>
      <c r="AK2210"/>
      <c r="BU2210"/>
      <c r="BV2210"/>
      <c r="BX2210"/>
      <c r="BY2210"/>
      <c r="BZ2210"/>
    </row>
    <row r="2211" spans="8:78" x14ac:dyDescent="0.2">
      <c r="H2211"/>
      <c r="L2211"/>
      <c r="AK2211"/>
      <c r="BU2211"/>
      <c r="BV2211"/>
      <c r="BX2211"/>
      <c r="BY2211"/>
      <c r="BZ2211"/>
    </row>
    <row r="2212" spans="8:78" x14ac:dyDescent="0.2">
      <c r="AK2212"/>
      <c r="BZ2212"/>
    </row>
    <row r="2213" spans="8:78" x14ac:dyDescent="0.2">
      <c r="AK2213"/>
      <c r="BZ2213"/>
    </row>
    <row r="2214" spans="8:78" x14ac:dyDescent="0.2">
      <c r="H2214"/>
      <c r="L2214"/>
      <c r="AK2214"/>
      <c r="BU2214"/>
      <c r="BV2214"/>
      <c r="BX2214"/>
      <c r="BY2214"/>
      <c r="BZ2214"/>
    </row>
    <row r="2215" spans="8:78" x14ac:dyDescent="0.2">
      <c r="AK2215"/>
      <c r="BZ2215"/>
    </row>
    <row r="2216" spans="8:78" x14ac:dyDescent="0.2">
      <c r="AK2216"/>
      <c r="BZ2216"/>
    </row>
    <row r="2217" spans="8:78" x14ac:dyDescent="0.2">
      <c r="AK2217"/>
      <c r="BZ2217"/>
    </row>
    <row r="2218" spans="8:78" x14ac:dyDescent="0.2">
      <c r="H2218"/>
      <c r="L2218"/>
      <c r="AK2218"/>
      <c r="BU2218"/>
      <c r="BV2218"/>
      <c r="BX2218"/>
      <c r="BY2218"/>
      <c r="BZ2218"/>
    </row>
    <row r="2219" spans="8:78" x14ac:dyDescent="0.2">
      <c r="H2219"/>
      <c r="L2219"/>
      <c r="AK2219"/>
      <c r="BU2219"/>
      <c r="BV2219"/>
      <c r="BX2219"/>
      <c r="BY2219"/>
      <c r="BZ2219"/>
    </row>
    <row r="2220" spans="8:78" x14ac:dyDescent="0.2">
      <c r="H2220"/>
      <c r="L2220"/>
      <c r="BU2220"/>
      <c r="BV2220"/>
      <c r="BX2220"/>
      <c r="BY2220"/>
      <c r="BZ2220"/>
    </row>
    <row r="2221" spans="8:78" x14ac:dyDescent="0.2">
      <c r="H2221"/>
      <c r="L2221"/>
      <c r="BU2221"/>
      <c r="BV2221"/>
      <c r="BX2221"/>
      <c r="BY2221"/>
      <c r="BZ2221"/>
    </row>
    <row r="2222" spans="8:78" x14ac:dyDescent="0.2">
      <c r="H2222"/>
      <c r="L2222"/>
      <c r="BU2222"/>
      <c r="BV2222"/>
      <c r="BX2222"/>
      <c r="BY2222"/>
      <c r="BZ2222"/>
    </row>
    <row r="2223" spans="8:78" x14ac:dyDescent="0.2">
      <c r="BZ2223"/>
    </row>
    <row r="2224" spans="8:78" x14ac:dyDescent="0.2">
      <c r="H2224"/>
      <c r="L2224"/>
      <c r="BU2224"/>
      <c r="BV2224"/>
      <c r="BX2224"/>
      <c r="BY2224"/>
      <c r="BZ2224"/>
    </row>
    <row r="2225" spans="8:78" x14ac:dyDescent="0.2">
      <c r="H2225"/>
      <c r="L2225"/>
      <c r="BU2225"/>
      <c r="BV2225"/>
      <c r="BX2225"/>
      <c r="BY2225"/>
      <c r="BZ2225"/>
    </row>
    <row r="2226" spans="8:78" x14ac:dyDescent="0.2">
      <c r="H2226"/>
      <c r="L2226"/>
      <c r="BU2226"/>
      <c r="BV2226"/>
      <c r="BX2226"/>
      <c r="BY2226"/>
      <c r="BZ2226"/>
    </row>
    <row r="2227" spans="8:78" x14ac:dyDescent="0.2">
      <c r="H2227"/>
      <c r="L2227"/>
      <c r="BU2227"/>
      <c r="BV2227"/>
      <c r="BX2227"/>
      <c r="BY2227"/>
      <c r="BZ2227"/>
    </row>
    <row r="2228" spans="8:78" x14ac:dyDescent="0.2">
      <c r="H2228"/>
      <c r="L2228"/>
      <c r="BU2228"/>
      <c r="BV2228"/>
      <c r="BX2228"/>
      <c r="BY2228"/>
      <c r="BZ2228"/>
    </row>
    <row r="2229" spans="8:78" x14ac:dyDescent="0.2">
      <c r="H2229"/>
      <c r="L2229"/>
      <c r="BU2229"/>
      <c r="BV2229"/>
      <c r="BX2229"/>
      <c r="BY2229"/>
      <c r="BZ2229"/>
    </row>
    <row r="2230" spans="8:78" x14ac:dyDescent="0.2">
      <c r="H2230"/>
      <c r="L2230"/>
      <c r="AK2230"/>
      <c r="BU2230"/>
      <c r="BV2230"/>
      <c r="BX2230"/>
      <c r="BY2230"/>
      <c r="BZ2230"/>
    </row>
    <row r="2231" spans="8:78" x14ac:dyDescent="0.2">
      <c r="H2231"/>
      <c r="L2231"/>
      <c r="AK2231"/>
      <c r="BU2231"/>
      <c r="BV2231"/>
      <c r="BX2231"/>
      <c r="BY2231"/>
      <c r="BZ2231"/>
    </row>
    <row r="2232" spans="8:78" x14ac:dyDescent="0.2">
      <c r="H2232"/>
      <c r="L2232"/>
      <c r="AK2232"/>
      <c r="BU2232"/>
      <c r="BV2232"/>
      <c r="BX2232"/>
      <c r="BY2232"/>
      <c r="BZ2232"/>
    </row>
    <row r="2233" spans="8:78" x14ac:dyDescent="0.2">
      <c r="H2233"/>
      <c r="L2233"/>
      <c r="AK2233"/>
      <c r="BU2233"/>
      <c r="BV2233"/>
      <c r="BX2233"/>
      <c r="BY2233"/>
      <c r="BZ2233"/>
    </row>
    <row r="2234" spans="8:78" x14ac:dyDescent="0.2">
      <c r="H2234"/>
      <c r="L2234"/>
      <c r="AK2234"/>
      <c r="BU2234"/>
      <c r="BV2234"/>
      <c r="BX2234"/>
      <c r="BY2234"/>
      <c r="BZ2234"/>
    </row>
    <row r="2235" spans="8:78" x14ac:dyDescent="0.2">
      <c r="H2235"/>
      <c r="L2235"/>
      <c r="AK2235"/>
      <c r="BU2235"/>
      <c r="BV2235"/>
      <c r="BX2235"/>
      <c r="BY2235"/>
      <c r="BZ2235"/>
    </row>
    <row r="2236" spans="8:78" x14ac:dyDescent="0.2">
      <c r="H2236"/>
      <c r="L2236"/>
      <c r="AK2236"/>
      <c r="BU2236"/>
      <c r="BV2236"/>
      <c r="BX2236"/>
      <c r="BY2236"/>
      <c r="BZ2236"/>
    </row>
    <row r="2237" spans="8:78" x14ac:dyDescent="0.2">
      <c r="H2237"/>
      <c r="L2237"/>
      <c r="AK2237"/>
      <c r="BU2237"/>
      <c r="BV2237"/>
      <c r="BX2237"/>
      <c r="BY2237"/>
      <c r="BZ2237"/>
    </row>
    <row r="2238" spans="8:78" x14ac:dyDescent="0.2">
      <c r="H2238"/>
      <c r="L2238"/>
      <c r="AK2238"/>
      <c r="BU2238"/>
      <c r="BV2238"/>
      <c r="BX2238"/>
      <c r="BY2238"/>
      <c r="BZ2238"/>
    </row>
    <row r="2239" spans="8:78" x14ac:dyDescent="0.2">
      <c r="H2239"/>
      <c r="L2239"/>
      <c r="AK2239"/>
      <c r="BU2239"/>
      <c r="BV2239"/>
      <c r="BX2239"/>
      <c r="BY2239"/>
      <c r="BZ2239"/>
    </row>
    <row r="2240" spans="8:78" x14ac:dyDescent="0.2">
      <c r="H2240"/>
      <c r="L2240"/>
      <c r="AK2240"/>
      <c r="BU2240"/>
      <c r="BV2240"/>
      <c r="BX2240"/>
      <c r="BY2240"/>
      <c r="BZ2240"/>
    </row>
    <row r="2241" spans="8:78" x14ac:dyDescent="0.2">
      <c r="H2241"/>
      <c r="L2241"/>
      <c r="AK2241"/>
      <c r="BU2241"/>
      <c r="BV2241"/>
      <c r="BX2241"/>
      <c r="BY2241"/>
      <c r="BZ2241"/>
    </row>
    <row r="2242" spans="8:78" x14ac:dyDescent="0.2">
      <c r="H2242"/>
      <c r="L2242"/>
      <c r="AK2242"/>
      <c r="BU2242"/>
      <c r="BV2242"/>
      <c r="BX2242"/>
      <c r="BY2242"/>
      <c r="BZ2242"/>
    </row>
    <row r="2243" spans="8:78" x14ac:dyDescent="0.2">
      <c r="H2243"/>
      <c r="L2243"/>
      <c r="BU2243"/>
      <c r="BV2243"/>
      <c r="BX2243"/>
      <c r="BY2243"/>
      <c r="BZ2243"/>
    </row>
    <row r="2244" spans="8:78" x14ac:dyDescent="0.2">
      <c r="H2244"/>
      <c r="L2244"/>
      <c r="BU2244"/>
      <c r="BV2244"/>
      <c r="BX2244"/>
      <c r="BY2244"/>
      <c r="BZ2244"/>
    </row>
    <row r="2245" spans="8:78" x14ac:dyDescent="0.2">
      <c r="H2245"/>
      <c r="L2245"/>
      <c r="BU2245"/>
      <c r="BV2245"/>
      <c r="BX2245"/>
      <c r="BY2245"/>
      <c r="BZ2245"/>
    </row>
    <row r="2246" spans="8:78" x14ac:dyDescent="0.2">
      <c r="H2246"/>
      <c r="L2246"/>
      <c r="BU2246"/>
      <c r="BV2246"/>
      <c r="BX2246"/>
      <c r="BY2246"/>
      <c r="BZ2246"/>
    </row>
    <row r="2247" spans="8:78" x14ac:dyDescent="0.2">
      <c r="H2247"/>
      <c r="L2247"/>
      <c r="BU2247"/>
      <c r="BV2247"/>
      <c r="BX2247"/>
      <c r="BY2247"/>
      <c r="BZ2247"/>
    </row>
    <row r="2248" spans="8:78" x14ac:dyDescent="0.2">
      <c r="H2248"/>
      <c r="L2248"/>
      <c r="AK2248"/>
      <c r="BU2248"/>
      <c r="BV2248"/>
      <c r="BX2248"/>
      <c r="BY2248"/>
      <c r="BZ2248"/>
    </row>
    <row r="2249" spans="8:78" x14ac:dyDescent="0.2">
      <c r="H2249"/>
      <c r="L2249"/>
      <c r="AK2249"/>
      <c r="BU2249"/>
      <c r="BV2249"/>
      <c r="BX2249"/>
      <c r="BY2249"/>
      <c r="BZ2249"/>
    </row>
    <row r="2250" spans="8:78" x14ac:dyDescent="0.2">
      <c r="H2250"/>
      <c r="L2250"/>
      <c r="AK2250"/>
      <c r="BU2250"/>
      <c r="BV2250"/>
      <c r="BX2250"/>
      <c r="BY2250"/>
      <c r="BZ2250"/>
    </row>
    <row r="2251" spans="8:78" x14ac:dyDescent="0.2">
      <c r="H2251"/>
      <c r="L2251"/>
      <c r="AK2251"/>
      <c r="BU2251"/>
      <c r="BV2251"/>
      <c r="BX2251"/>
      <c r="BY2251"/>
      <c r="BZ2251"/>
    </row>
    <row r="2252" spans="8:78" x14ac:dyDescent="0.2">
      <c r="H2252"/>
      <c r="L2252"/>
      <c r="AK2252"/>
      <c r="BU2252"/>
      <c r="BV2252"/>
      <c r="BX2252"/>
      <c r="BY2252"/>
      <c r="BZ2252"/>
    </row>
    <row r="2253" spans="8:78" x14ac:dyDescent="0.2">
      <c r="H2253"/>
      <c r="L2253"/>
      <c r="AK2253"/>
      <c r="BU2253"/>
      <c r="BV2253"/>
      <c r="BX2253"/>
      <c r="BY2253"/>
      <c r="BZ2253"/>
    </row>
    <row r="2254" spans="8:78" x14ac:dyDescent="0.2">
      <c r="H2254"/>
      <c r="L2254"/>
      <c r="AK2254"/>
      <c r="BU2254"/>
      <c r="BV2254"/>
      <c r="BX2254"/>
      <c r="BY2254"/>
      <c r="BZ2254"/>
    </row>
    <row r="2255" spans="8:78" x14ac:dyDescent="0.2">
      <c r="H2255"/>
      <c r="L2255"/>
      <c r="AK2255"/>
      <c r="BU2255"/>
      <c r="BV2255"/>
      <c r="BX2255"/>
      <c r="BY2255"/>
      <c r="BZ2255"/>
    </row>
    <row r="2256" spans="8:78" x14ac:dyDescent="0.2">
      <c r="H2256"/>
      <c r="L2256"/>
      <c r="AK2256"/>
      <c r="BU2256"/>
      <c r="BV2256"/>
      <c r="BX2256"/>
      <c r="BY2256"/>
      <c r="BZ2256"/>
    </row>
    <row r="2257" spans="8:78" x14ac:dyDescent="0.2">
      <c r="H2257"/>
      <c r="L2257"/>
      <c r="AK2257"/>
      <c r="BU2257"/>
      <c r="BV2257"/>
      <c r="BX2257"/>
      <c r="BY2257"/>
      <c r="BZ2257"/>
    </row>
    <row r="2258" spans="8:78" x14ac:dyDescent="0.2">
      <c r="H2258"/>
      <c r="L2258"/>
      <c r="AK2258"/>
      <c r="BU2258"/>
      <c r="BV2258"/>
      <c r="BX2258"/>
      <c r="BY2258"/>
      <c r="BZ2258"/>
    </row>
    <row r="2259" spans="8:78" x14ac:dyDescent="0.2">
      <c r="H2259"/>
      <c r="L2259"/>
      <c r="AK2259"/>
      <c r="BU2259"/>
      <c r="BV2259"/>
      <c r="BX2259"/>
      <c r="BY2259"/>
      <c r="BZ2259"/>
    </row>
    <row r="2260" spans="8:78" x14ac:dyDescent="0.2">
      <c r="H2260"/>
      <c r="L2260"/>
      <c r="AK2260"/>
      <c r="BU2260"/>
      <c r="BV2260"/>
      <c r="BX2260"/>
      <c r="BY2260"/>
      <c r="BZ2260"/>
    </row>
    <row r="2261" spans="8:78" x14ac:dyDescent="0.2">
      <c r="H2261"/>
      <c r="L2261"/>
      <c r="AK2261"/>
      <c r="BU2261"/>
      <c r="BV2261"/>
      <c r="BX2261"/>
      <c r="BY2261"/>
      <c r="BZ2261"/>
    </row>
    <row r="2262" spans="8:78" x14ac:dyDescent="0.2">
      <c r="H2262"/>
      <c r="L2262"/>
      <c r="AK2262"/>
      <c r="BU2262"/>
      <c r="BV2262"/>
      <c r="BX2262"/>
      <c r="BY2262"/>
      <c r="BZ2262"/>
    </row>
    <row r="2263" spans="8:78" x14ac:dyDescent="0.2">
      <c r="H2263"/>
      <c r="L2263"/>
      <c r="AK2263"/>
      <c r="BU2263"/>
      <c r="BV2263"/>
      <c r="BX2263"/>
      <c r="BY2263"/>
      <c r="BZ2263"/>
    </row>
    <row r="2264" spans="8:78" x14ac:dyDescent="0.2">
      <c r="H2264"/>
      <c r="L2264"/>
      <c r="AK2264"/>
      <c r="BU2264"/>
      <c r="BV2264"/>
      <c r="BX2264"/>
      <c r="BY2264"/>
      <c r="BZ2264"/>
    </row>
    <row r="2265" spans="8:78" x14ac:dyDescent="0.2">
      <c r="H2265"/>
      <c r="L2265"/>
      <c r="AK2265"/>
      <c r="BU2265"/>
      <c r="BV2265"/>
      <c r="BX2265"/>
      <c r="BY2265"/>
      <c r="BZ2265"/>
    </row>
    <row r="2266" spans="8:78" x14ac:dyDescent="0.2">
      <c r="H2266"/>
      <c r="L2266"/>
      <c r="AK2266"/>
      <c r="BU2266"/>
      <c r="BV2266"/>
      <c r="BX2266"/>
      <c r="BY2266"/>
      <c r="BZ2266"/>
    </row>
    <row r="2267" spans="8:78" x14ac:dyDescent="0.2">
      <c r="H2267"/>
      <c r="L2267"/>
      <c r="AK2267"/>
      <c r="BU2267"/>
      <c r="BV2267"/>
      <c r="BX2267"/>
      <c r="BY2267"/>
      <c r="BZ2267"/>
    </row>
    <row r="2268" spans="8:78" x14ac:dyDescent="0.2">
      <c r="H2268"/>
      <c r="L2268"/>
      <c r="AK2268"/>
      <c r="BU2268"/>
      <c r="BV2268"/>
      <c r="BX2268"/>
      <c r="BY2268"/>
      <c r="BZ2268"/>
    </row>
    <row r="2269" spans="8:78" x14ac:dyDescent="0.2">
      <c r="H2269"/>
      <c r="L2269"/>
      <c r="AK2269"/>
      <c r="BU2269"/>
      <c r="BV2269"/>
      <c r="BX2269"/>
      <c r="BY2269"/>
      <c r="BZ2269"/>
    </row>
    <row r="2270" spans="8:78" x14ac:dyDescent="0.2">
      <c r="H2270"/>
      <c r="L2270"/>
      <c r="AK2270"/>
      <c r="BU2270"/>
      <c r="BV2270"/>
      <c r="BX2270"/>
      <c r="BY2270"/>
      <c r="BZ2270"/>
    </row>
    <row r="2271" spans="8:78" x14ac:dyDescent="0.2">
      <c r="H2271"/>
      <c r="L2271"/>
      <c r="AK2271"/>
      <c r="BU2271"/>
      <c r="BV2271"/>
      <c r="BX2271"/>
      <c r="BY2271"/>
      <c r="BZ2271"/>
    </row>
    <row r="2272" spans="8:78" x14ac:dyDescent="0.2">
      <c r="H2272"/>
      <c r="L2272"/>
      <c r="AK2272"/>
      <c r="BU2272"/>
      <c r="BV2272"/>
      <c r="BX2272"/>
      <c r="BY2272"/>
      <c r="BZ2272"/>
    </row>
    <row r="2273" spans="8:78" x14ac:dyDescent="0.2">
      <c r="H2273"/>
      <c r="L2273"/>
      <c r="AK2273"/>
      <c r="BU2273"/>
      <c r="BV2273"/>
      <c r="BX2273"/>
      <c r="BY2273"/>
      <c r="BZ2273"/>
    </row>
    <row r="2274" spans="8:78" x14ac:dyDescent="0.2">
      <c r="H2274"/>
      <c r="L2274"/>
      <c r="AK2274"/>
      <c r="BU2274"/>
      <c r="BV2274"/>
      <c r="BX2274"/>
      <c r="BY2274"/>
      <c r="BZ2274"/>
    </row>
    <row r="2275" spans="8:78" x14ac:dyDescent="0.2">
      <c r="H2275"/>
      <c r="L2275"/>
      <c r="AK2275"/>
      <c r="BU2275"/>
      <c r="BV2275"/>
      <c r="BX2275"/>
      <c r="BY2275"/>
      <c r="BZ2275"/>
    </row>
    <row r="2276" spans="8:78" x14ac:dyDescent="0.2">
      <c r="H2276"/>
      <c r="L2276"/>
      <c r="AK2276"/>
      <c r="BU2276"/>
      <c r="BV2276"/>
      <c r="BX2276"/>
      <c r="BY2276"/>
      <c r="BZ2276"/>
    </row>
    <row r="2277" spans="8:78" x14ac:dyDescent="0.2">
      <c r="H2277"/>
      <c r="L2277"/>
      <c r="AK2277"/>
      <c r="BU2277"/>
      <c r="BV2277"/>
      <c r="BX2277"/>
      <c r="BY2277"/>
      <c r="BZ2277"/>
    </row>
    <row r="2278" spans="8:78" x14ac:dyDescent="0.2">
      <c r="H2278"/>
      <c r="L2278"/>
      <c r="BU2278"/>
      <c r="BV2278"/>
      <c r="BX2278"/>
      <c r="BY2278"/>
      <c r="BZ2278"/>
    </row>
    <row r="2279" spans="8:78" x14ac:dyDescent="0.2">
      <c r="H2279"/>
      <c r="L2279"/>
      <c r="BU2279"/>
      <c r="BV2279"/>
      <c r="BX2279"/>
      <c r="BY2279"/>
      <c r="BZ2279"/>
    </row>
    <row r="2280" spans="8:78" x14ac:dyDescent="0.2">
      <c r="H2280"/>
      <c r="L2280"/>
      <c r="BU2280"/>
      <c r="BV2280"/>
      <c r="BX2280"/>
      <c r="BY2280"/>
      <c r="BZ2280"/>
    </row>
    <row r="2281" spans="8:78" x14ac:dyDescent="0.2">
      <c r="H2281"/>
      <c r="L2281"/>
      <c r="AK2281"/>
      <c r="BU2281"/>
      <c r="BV2281"/>
      <c r="BX2281"/>
      <c r="BY2281"/>
      <c r="BZ2281"/>
    </row>
    <row r="2282" spans="8:78" x14ac:dyDescent="0.2">
      <c r="H2282"/>
      <c r="L2282"/>
      <c r="AK2282"/>
      <c r="BU2282"/>
      <c r="BV2282"/>
      <c r="BX2282"/>
      <c r="BY2282"/>
      <c r="BZ2282"/>
    </row>
    <row r="2283" spans="8:78" x14ac:dyDescent="0.2">
      <c r="H2283"/>
      <c r="L2283"/>
      <c r="AK2283"/>
      <c r="BU2283"/>
      <c r="BV2283"/>
      <c r="BX2283"/>
      <c r="BY2283"/>
      <c r="BZ2283"/>
    </row>
    <row r="2284" spans="8:78" x14ac:dyDescent="0.2">
      <c r="H2284"/>
      <c r="L2284"/>
      <c r="AK2284"/>
      <c r="BU2284"/>
      <c r="BV2284"/>
      <c r="BX2284"/>
      <c r="BY2284"/>
      <c r="BZ2284"/>
    </row>
    <row r="2285" spans="8:78" x14ac:dyDescent="0.2">
      <c r="H2285"/>
      <c r="L2285"/>
      <c r="BU2285"/>
      <c r="BV2285"/>
      <c r="BX2285"/>
      <c r="BY2285"/>
      <c r="BZ2285"/>
    </row>
    <row r="2286" spans="8:78" x14ac:dyDescent="0.2">
      <c r="H2286"/>
      <c r="L2286"/>
      <c r="BU2286"/>
      <c r="BV2286"/>
      <c r="BX2286"/>
      <c r="BY2286"/>
      <c r="BZ2286"/>
    </row>
    <row r="2287" spans="8:78" x14ac:dyDescent="0.2">
      <c r="H2287"/>
      <c r="L2287"/>
      <c r="BU2287"/>
      <c r="BV2287"/>
      <c r="BX2287"/>
      <c r="BY2287"/>
      <c r="BZ2287"/>
    </row>
    <row r="2288" spans="8:78" x14ac:dyDescent="0.2">
      <c r="H2288"/>
      <c r="L2288"/>
      <c r="BU2288"/>
      <c r="BV2288"/>
      <c r="BX2288"/>
      <c r="BY2288"/>
      <c r="BZ2288"/>
    </row>
    <row r="2289" spans="8:78" x14ac:dyDescent="0.2">
      <c r="H2289"/>
      <c r="L2289"/>
      <c r="BU2289"/>
      <c r="BV2289"/>
      <c r="BX2289"/>
      <c r="BY2289"/>
      <c r="BZ2289"/>
    </row>
    <row r="2290" spans="8:78" x14ac:dyDescent="0.2">
      <c r="H2290"/>
      <c r="L2290"/>
      <c r="BU2290"/>
      <c r="BV2290"/>
      <c r="BX2290"/>
      <c r="BY2290"/>
      <c r="BZ2290"/>
    </row>
    <row r="2291" spans="8:78" x14ac:dyDescent="0.2">
      <c r="H2291"/>
      <c r="L2291"/>
      <c r="BU2291"/>
      <c r="BV2291"/>
      <c r="BX2291"/>
      <c r="BY2291"/>
      <c r="BZ2291"/>
    </row>
    <row r="2292" spans="8:78" x14ac:dyDescent="0.2">
      <c r="H2292"/>
      <c r="L2292"/>
      <c r="BU2292"/>
      <c r="BV2292"/>
      <c r="BX2292"/>
      <c r="BY2292"/>
      <c r="BZ2292"/>
    </row>
    <row r="2293" spans="8:78" x14ac:dyDescent="0.2">
      <c r="H2293"/>
      <c r="L2293"/>
      <c r="BU2293"/>
      <c r="BV2293"/>
      <c r="BX2293"/>
      <c r="BY2293"/>
      <c r="BZ2293"/>
    </row>
    <row r="2294" spans="8:78" x14ac:dyDescent="0.2">
      <c r="H2294"/>
      <c r="L2294"/>
      <c r="BU2294"/>
      <c r="BV2294"/>
      <c r="BX2294"/>
      <c r="BY2294"/>
      <c r="BZ2294"/>
    </row>
    <row r="2295" spans="8:78" x14ac:dyDescent="0.2">
      <c r="H2295"/>
      <c r="L2295"/>
      <c r="BU2295"/>
      <c r="BV2295"/>
      <c r="BX2295"/>
      <c r="BY2295"/>
      <c r="BZ2295"/>
    </row>
    <row r="2296" spans="8:78" x14ac:dyDescent="0.2">
      <c r="H2296"/>
      <c r="L2296"/>
      <c r="BU2296"/>
      <c r="BV2296"/>
      <c r="BX2296"/>
      <c r="BY2296"/>
      <c r="BZ2296"/>
    </row>
    <row r="2297" spans="8:78" x14ac:dyDescent="0.2">
      <c r="H2297"/>
      <c r="L2297"/>
      <c r="BU2297"/>
      <c r="BV2297"/>
      <c r="BX2297"/>
      <c r="BY2297"/>
      <c r="BZ2297"/>
    </row>
    <row r="2298" spans="8:78" x14ac:dyDescent="0.2">
      <c r="H2298"/>
      <c r="L2298"/>
      <c r="AK2298"/>
      <c r="BU2298"/>
      <c r="BV2298"/>
      <c r="BX2298"/>
      <c r="BY2298"/>
      <c r="BZ2298"/>
    </row>
    <row r="2299" spans="8:78" x14ac:dyDescent="0.2">
      <c r="H2299"/>
      <c r="L2299"/>
      <c r="AK2299"/>
      <c r="BU2299"/>
      <c r="BV2299"/>
      <c r="BX2299"/>
      <c r="BY2299"/>
      <c r="BZ2299"/>
    </row>
    <row r="2300" spans="8:78" x14ac:dyDescent="0.2">
      <c r="H2300"/>
      <c r="L2300"/>
      <c r="AK2300"/>
      <c r="BU2300"/>
      <c r="BV2300"/>
      <c r="BX2300"/>
      <c r="BY2300"/>
      <c r="BZ2300"/>
    </row>
    <row r="2301" spans="8:78" x14ac:dyDescent="0.2">
      <c r="H2301"/>
      <c r="L2301"/>
      <c r="AK2301"/>
      <c r="BU2301"/>
      <c r="BV2301"/>
      <c r="BX2301"/>
      <c r="BY2301"/>
      <c r="BZ2301"/>
    </row>
    <row r="2302" spans="8:78" x14ac:dyDescent="0.2">
      <c r="H2302"/>
      <c r="L2302"/>
      <c r="BU2302"/>
      <c r="BV2302"/>
      <c r="BX2302"/>
      <c r="BY2302"/>
      <c r="BZ2302"/>
    </row>
    <row r="2303" spans="8:78" x14ac:dyDescent="0.2">
      <c r="H2303"/>
      <c r="L2303"/>
      <c r="BU2303"/>
      <c r="BV2303"/>
      <c r="BX2303"/>
      <c r="BY2303"/>
      <c r="BZ2303"/>
    </row>
    <row r="2304" spans="8:78" x14ac:dyDescent="0.2">
      <c r="H2304"/>
      <c r="L2304"/>
      <c r="AK2304"/>
      <c r="BU2304"/>
      <c r="BV2304"/>
      <c r="BX2304"/>
      <c r="BY2304"/>
      <c r="BZ2304"/>
    </row>
    <row r="2305" spans="8:78" x14ac:dyDescent="0.2">
      <c r="H2305"/>
      <c r="L2305"/>
      <c r="AK2305"/>
      <c r="BU2305"/>
      <c r="BV2305"/>
      <c r="BX2305"/>
      <c r="BY2305"/>
      <c r="BZ2305"/>
    </row>
    <row r="2306" spans="8:78" x14ac:dyDescent="0.2">
      <c r="H2306"/>
      <c r="L2306"/>
      <c r="AK2306"/>
      <c r="BU2306"/>
      <c r="BV2306"/>
      <c r="BX2306"/>
      <c r="BY2306"/>
      <c r="BZ2306"/>
    </row>
    <row r="2307" spans="8:78" x14ac:dyDescent="0.2">
      <c r="H2307"/>
      <c r="L2307"/>
      <c r="AK2307"/>
      <c r="BU2307"/>
      <c r="BV2307"/>
      <c r="BX2307"/>
      <c r="BY2307"/>
      <c r="BZ2307"/>
    </row>
    <row r="2308" spans="8:78" x14ac:dyDescent="0.2">
      <c r="H2308"/>
      <c r="L2308"/>
      <c r="AK2308"/>
      <c r="BU2308"/>
      <c r="BV2308"/>
      <c r="BX2308"/>
      <c r="BY2308"/>
      <c r="BZ2308"/>
    </row>
    <row r="2309" spans="8:78" x14ac:dyDescent="0.2">
      <c r="H2309"/>
      <c r="L2309"/>
      <c r="AK2309"/>
      <c r="BU2309"/>
      <c r="BV2309"/>
      <c r="BX2309"/>
      <c r="BY2309"/>
      <c r="BZ2309"/>
    </row>
    <row r="2310" spans="8:78" x14ac:dyDescent="0.2">
      <c r="H2310"/>
      <c r="L2310"/>
      <c r="AK2310"/>
      <c r="BU2310"/>
      <c r="BV2310"/>
      <c r="BX2310"/>
      <c r="BY2310"/>
      <c r="BZ2310"/>
    </row>
    <row r="2311" spans="8:78" x14ac:dyDescent="0.2">
      <c r="H2311"/>
      <c r="L2311"/>
      <c r="AK2311"/>
      <c r="BU2311"/>
      <c r="BV2311"/>
      <c r="BX2311"/>
      <c r="BY2311"/>
      <c r="BZ2311"/>
    </row>
    <row r="2312" spans="8:78" x14ac:dyDescent="0.2">
      <c r="H2312"/>
      <c r="L2312"/>
      <c r="AK2312"/>
      <c r="BU2312"/>
      <c r="BV2312"/>
      <c r="BX2312"/>
      <c r="BY2312"/>
      <c r="BZ2312"/>
    </row>
    <row r="2313" spans="8:78" x14ac:dyDescent="0.2">
      <c r="H2313"/>
      <c r="L2313"/>
      <c r="AK2313"/>
      <c r="BU2313"/>
      <c r="BV2313"/>
      <c r="BX2313"/>
      <c r="BY2313"/>
      <c r="BZ2313"/>
    </row>
    <row r="2314" spans="8:78" x14ac:dyDescent="0.2">
      <c r="H2314"/>
      <c r="L2314"/>
      <c r="AK2314"/>
      <c r="BU2314"/>
      <c r="BV2314"/>
      <c r="BX2314"/>
      <c r="BY2314"/>
      <c r="BZ2314"/>
    </row>
    <row r="2315" spans="8:78" x14ac:dyDescent="0.2">
      <c r="H2315"/>
      <c r="L2315"/>
      <c r="AK2315"/>
      <c r="BU2315"/>
      <c r="BV2315"/>
      <c r="BX2315"/>
      <c r="BY2315"/>
      <c r="BZ2315"/>
    </row>
    <row r="2316" spans="8:78" x14ac:dyDescent="0.2">
      <c r="H2316"/>
      <c r="L2316"/>
      <c r="AK2316"/>
      <c r="BU2316"/>
      <c r="BV2316"/>
      <c r="BX2316"/>
      <c r="BY2316"/>
      <c r="BZ2316"/>
    </row>
    <row r="2317" spans="8:78" x14ac:dyDescent="0.2">
      <c r="H2317"/>
      <c r="L2317"/>
      <c r="AK2317"/>
      <c r="BU2317"/>
      <c r="BV2317"/>
      <c r="BX2317"/>
      <c r="BY2317"/>
      <c r="BZ2317"/>
    </row>
    <row r="2318" spans="8:78" x14ac:dyDescent="0.2">
      <c r="H2318"/>
      <c r="L2318"/>
      <c r="AK2318"/>
      <c r="BU2318"/>
      <c r="BV2318"/>
      <c r="BX2318"/>
      <c r="BY2318"/>
      <c r="BZ2318"/>
    </row>
    <row r="2319" spans="8:78" x14ac:dyDescent="0.2">
      <c r="AK2319"/>
      <c r="BZ2319"/>
    </row>
    <row r="2320" spans="8:78" x14ac:dyDescent="0.2">
      <c r="H2320"/>
      <c r="L2320"/>
      <c r="AK2320"/>
      <c r="BU2320"/>
      <c r="BV2320"/>
      <c r="BX2320"/>
      <c r="BY2320"/>
      <c r="BZ2320"/>
    </row>
    <row r="2321" spans="8:78" x14ac:dyDescent="0.2">
      <c r="H2321"/>
      <c r="L2321"/>
      <c r="AK2321"/>
      <c r="BU2321"/>
      <c r="BV2321"/>
      <c r="BX2321"/>
      <c r="BY2321"/>
      <c r="BZ2321"/>
    </row>
    <row r="2322" spans="8:78" x14ac:dyDescent="0.2">
      <c r="H2322"/>
      <c r="L2322"/>
      <c r="BU2322"/>
      <c r="BV2322"/>
      <c r="BX2322"/>
      <c r="BY2322"/>
      <c r="BZ2322"/>
    </row>
    <row r="2323" spans="8:78" x14ac:dyDescent="0.2">
      <c r="H2323"/>
      <c r="L2323"/>
      <c r="AK2323"/>
      <c r="BU2323"/>
      <c r="BV2323"/>
      <c r="BX2323"/>
      <c r="BY2323"/>
      <c r="BZ2323"/>
    </row>
    <row r="2324" spans="8:78" x14ac:dyDescent="0.2">
      <c r="H2324"/>
      <c r="L2324"/>
      <c r="BU2324"/>
      <c r="BV2324"/>
      <c r="BX2324"/>
      <c r="BY2324"/>
      <c r="BZ2324"/>
    </row>
    <row r="2325" spans="8:78" x14ac:dyDescent="0.2">
      <c r="H2325"/>
      <c r="L2325"/>
      <c r="BU2325"/>
      <c r="BV2325"/>
      <c r="BX2325"/>
      <c r="BY2325"/>
      <c r="BZ2325"/>
    </row>
    <row r="2326" spans="8:78" x14ac:dyDescent="0.2">
      <c r="H2326"/>
      <c r="L2326"/>
      <c r="BU2326"/>
      <c r="BV2326"/>
      <c r="BX2326"/>
      <c r="BY2326"/>
      <c r="BZ2326"/>
    </row>
    <row r="2327" spans="8:78" x14ac:dyDescent="0.2">
      <c r="H2327"/>
      <c r="L2327"/>
      <c r="AK2327"/>
      <c r="BU2327"/>
      <c r="BV2327"/>
      <c r="BX2327"/>
      <c r="BY2327"/>
      <c r="BZ2327"/>
    </row>
    <row r="2328" spans="8:78" x14ac:dyDescent="0.2">
      <c r="H2328"/>
      <c r="L2328"/>
      <c r="AK2328"/>
      <c r="BU2328"/>
      <c r="BV2328"/>
      <c r="BX2328"/>
      <c r="BY2328"/>
      <c r="BZ2328"/>
    </row>
    <row r="2329" spans="8:78" x14ac:dyDescent="0.2">
      <c r="H2329"/>
      <c r="L2329"/>
      <c r="AK2329"/>
      <c r="BU2329"/>
      <c r="BV2329"/>
      <c r="BX2329"/>
      <c r="BY2329"/>
      <c r="BZ2329"/>
    </row>
    <row r="2330" spans="8:78" x14ac:dyDescent="0.2">
      <c r="H2330"/>
      <c r="L2330"/>
      <c r="AK2330"/>
      <c r="BU2330"/>
      <c r="BV2330"/>
      <c r="BX2330"/>
      <c r="BY2330"/>
      <c r="BZ2330"/>
    </row>
    <row r="2331" spans="8:78" x14ac:dyDescent="0.2">
      <c r="H2331"/>
      <c r="L2331"/>
      <c r="BU2331"/>
      <c r="BV2331"/>
      <c r="BX2331"/>
      <c r="BY2331"/>
      <c r="BZ2331"/>
    </row>
    <row r="2332" spans="8:78" x14ac:dyDescent="0.2">
      <c r="H2332"/>
      <c r="L2332"/>
      <c r="AK2332"/>
      <c r="BU2332"/>
      <c r="BV2332"/>
      <c r="BX2332"/>
      <c r="BY2332"/>
      <c r="BZ2332"/>
    </row>
    <row r="2333" spans="8:78" x14ac:dyDescent="0.2">
      <c r="H2333"/>
      <c r="L2333"/>
      <c r="AK2333"/>
      <c r="BU2333"/>
      <c r="BV2333"/>
      <c r="BX2333"/>
      <c r="BY2333"/>
      <c r="BZ2333"/>
    </row>
    <row r="2334" spans="8:78" x14ac:dyDescent="0.2">
      <c r="H2334"/>
      <c r="L2334"/>
      <c r="AK2334"/>
      <c r="BU2334"/>
      <c r="BV2334"/>
      <c r="BX2334"/>
      <c r="BY2334"/>
      <c r="BZ2334"/>
    </row>
    <row r="2335" spans="8:78" x14ac:dyDescent="0.2">
      <c r="H2335"/>
      <c r="L2335"/>
      <c r="AK2335"/>
      <c r="BU2335"/>
      <c r="BV2335"/>
      <c r="BX2335"/>
      <c r="BY2335"/>
      <c r="BZ2335"/>
    </row>
    <row r="2336" spans="8:78" x14ac:dyDescent="0.2">
      <c r="H2336"/>
      <c r="L2336"/>
      <c r="AK2336"/>
      <c r="BU2336"/>
      <c r="BV2336"/>
      <c r="BX2336"/>
      <c r="BY2336"/>
      <c r="BZ2336"/>
    </row>
    <row r="2337" spans="8:78" x14ac:dyDescent="0.2">
      <c r="H2337"/>
      <c r="L2337"/>
      <c r="AK2337"/>
      <c r="BU2337"/>
      <c r="BV2337"/>
      <c r="BX2337"/>
      <c r="BY2337"/>
      <c r="BZ2337"/>
    </row>
    <row r="2338" spans="8:78" x14ac:dyDescent="0.2">
      <c r="H2338"/>
      <c r="L2338"/>
      <c r="AK2338"/>
      <c r="BU2338"/>
      <c r="BV2338"/>
      <c r="BX2338"/>
      <c r="BY2338"/>
      <c r="BZ2338"/>
    </row>
    <row r="2339" spans="8:78" x14ac:dyDescent="0.2">
      <c r="H2339"/>
      <c r="L2339"/>
      <c r="AK2339"/>
      <c r="BU2339"/>
      <c r="BV2339"/>
      <c r="BX2339"/>
      <c r="BY2339"/>
      <c r="BZ2339"/>
    </row>
    <row r="2340" spans="8:78" x14ac:dyDescent="0.2">
      <c r="H2340"/>
      <c r="L2340"/>
      <c r="AK2340"/>
      <c r="BU2340"/>
      <c r="BV2340"/>
      <c r="BX2340"/>
      <c r="BY2340"/>
      <c r="BZ2340"/>
    </row>
    <row r="2341" spans="8:78" x14ac:dyDescent="0.2">
      <c r="H2341"/>
      <c r="L2341"/>
      <c r="AK2341"/>
      <c r="BU2341"/>
      <c r="BV2341"/>
      <c r="BX2341"/>
      <c r="BY2341"/>
      <c r="BZ2341"/>
    </row>
    <row r="2342" spans="8:78" x14ac:dyDescent="0.2">
      <c r="H2342"/>
      <c r="L2342"/>
      <c r="AK2342"/>
      <c r="BU2342"/>
      <c r="BV2342"/>
      <c r="BX2342"/>
      <c r="BY2342"/>
      <c r="BZ2342"/>
    </row>
    <row r="2343" spans="8:78" x14ac:dyDescent="0.2">
      <c r="H2343"/>
      <c r="L2343"/>
      <c r="AK2343"/>
      <c r="BU2343"/>
      <c r="BV2343"/>
      <c r="BX2343"/>
      <c r="BY2343"/>
      <c r="BZ2343"/>
    </row>
    <row r="2344" spans="8:78" x14ac:dyDescent="0.2">
      <c r="H2344"/>
      <c r="L2344"/>
      <c r="AK2344"/>
      <c r="BU2344"/>
      <c r="BV2344"/>
      <c r="BX2344"/>
      <c r="BY2344"/>
      <c r="BZ2344"/>
    </row>
    <row r="2345" spans="8:78" x14ac:dyDescent="0.2">
      <c r="H2345"/>
      <c r="L2345"/>
      <c r="AK2345"/>
      <c r="BU2345"/>
      <c r="BV2345"/>
      <c r="BX2345"/>
      <c r="BY2345"/>
      <c r="BZ2345"/>
    </row>
    <row r="2346" spans="8:78" x14ac:dyDescent="0.2">
      <c r="H2346"/>
      <c r="L2346"/>
      <c r="AK2346"/>
      <c r="BU2346"/>
      <c r="BV2346"/>
      <c r="BX2346"/>
      <c r="BY2346"/>
      <c r="BZ2346"/>
    </row>
    <row r="2347" spans="8:78" x14ac:dyDescent="0.2">
      <c r="H2347"/>
      <c r="L2347"/>
      <c r="AK2347"/>
      <c r="BU2347"/>
      <c r="BV2347"/>
      <c r="BX2347"/>
      <c r="BY2347"/>
      <c r="BZ2347"/>
    </row>
    <row r="2348" spans="8:78" x14ac:dyDescent="0.2">
      <c r="H2348"/>
      <c r="L2348"/>
      <c r="AK2348"/>
      <c r="BU2348"/>
      <c r="BV2348"/>
      <c r="BX2348"/>
      <c r="BY2348"/>
      <c r="BZ2348"/>
    </row>
    <row r="2349" spans="8:78" x14ac:dyDescent="0.2">
      <c r="H2349"/>
      <c r="L2349"/>
      <c r="AK2349"/>
      <c r="BU2349"/>
      <c r="BV2349"/>
      <c r="BX2349"/>
      <c r="BY2349"/>
      <c r="BZ2349"/>
    </row>
    <row r="2350" spans="8:78" x14ac:dyDescent="0.2">
      <c r="H2350"/>
      <c r="L2350"/>
      <c r="AK2350"/>
      <c r="BU2350"/>
      <c r="BV2350"/>
      <c r="BX2350"/>
      <c r="BY2350"/>
      <c r="BZ2350"/>
    </row>
    <row r="2351" spans="8:78" x14ac:dyDescent="0.2">
      <c r="H2351"/>
      <c r="L2351"/>
      <c r="AK2351"/>
      <c r="BU2351"/>
      <c r="BV2351"/>
      <c r="BX2351"/>
      <c r="BY2351"/>
      <c r="BZ2351"/>
    </row>
    <row r="2352" spans="8:78" x14ac:dyDescent="0.2">
      <c r="H2352"/>
      <c r="L2352"/>
      <c r="BU2352"/>
      <c r="BV2352"/>
      <c r="BX2352"/>
      <c r="BY2352"/>
      <c r="BZ2352"/>
    </row>
    <row r="2353" spans="8:78" x14ac:dyDescent="0.2">
      <c r="H2353"/>
      <c r="L2353"/>
      <c r="BU2353"/>
      <c r="BV2353"/>
      <c r="BX2353"/>
      <c r="BY2353"/>
      <c r="BZ2353"/>
    </row>
    <row r="2354" spans="8:78" x14ac:dyDescent="0.2">
      <c r="H2354"/>
      <c r="L2354"/>
      <c r="BU2354"/>
      <c r="BV2354"/>
      <c r="BX2354"/>
      <c r="BY2354"/>
      <c r="BZ2354"/>
    </row>
    <row r="2355" spans="8:78" x14ac:dyDescent="0.2">
      <c r="H2355"/>
      <c r="L2355"/>
      <c r="BU2355"/>
      <c r="BV2355"/>
      <c r="BX2355"/>
      <c r="BY2355"/>
      <c r="BZ2355"/>
    </row>
    <row r="2356" spans="8:78" x14ac:dyDescent="0.2">
      <c r="H2356"/>
      <c r="L2356"/>
      <c r="BU2356"/>
      <c r="BV2356"/>
      <c r="BX2356"/>
      <c r="BY2356"/>
      <c r="BZ2356"/>
    </row>
    <row r="2357" spans="8:78" x14ac:dyDescent="0.2">
      <c r="H2357"/>
      <c r="L2357"/>
      <c r="AK2357"/>
      <c r="BU2357"/>
      <c r="BV2357"/>
      <c r="BX2357"/>
      <c r="BY2357"/>
      <c r="BZ2357"/>
    </row>
    <row r="2358" spans="8:78" x14ac:dyDescent="0.2">
      <c r="H2358"/>
      <c r="L2358"/>
      <c r="AK2358"/>
      <c r="BU2358"/>
      <c r="BV2358"/>
      <c r="BX2358"/>
      <c r="BY2358"/>
      <c r="BZ2358"/>
    </row>
    <row r="2359" spans="8:78" x14ac:dyDescent="0.2">
      <c r="H2359"/>
      <c r="L2359"/>
      <c r="AK2359"/>
      <c r="BU2359"/>
      <c r="BV2359"/>
      <c r="BX2359"/>
      <c r="BY2359"/>
      <c r="BZ2359"/>
    </row>
    <row r="2360" spans="8:78" x14ac:dyDescent="0.2">
      <c r="H2360"/>
      <c r="L2360"/>
      <c r="AK2360"/>
      <c r="BU2360"/>
      <c r="BV2360"/>
      <c r="BX2360"/>
      <c r="BY2360"/>
      <c r="BZ2360"/>
    </row>
    <row r="2361" spans="8:78" x14ac:dyDescent="0.2">
      <c r="H2361"/>
      <c r="L2361"/>
      <c r="AK2361"/>
      <c r="BU2361"/>
      <c r="BV2361"/>
      <c r="BX2361"/>
      <c r="BY2361"/>
      <c r="BZ2361"/>
    </row>
    <row r="2362" spans="8:78" x14ac:dyDescent="0.2">
      <c r="H2362"/>
      <c r="L2362"/>
      <c r="AK2362"/>
      <c r="BU2362"/>
      <c r="BV2362"/>
      <c r="BX2362"/>
      <c r="BY2362"/>
      <c r="BZ2362"/>
    </row>
    <row r="2363" spans="8:78" x14ac:dyDescent="0.2">
      <c r="H2363"/>
      <c r="L2363"/>
      <c r="AK2363"/>
      <c r="BU2363"/>
      <c r="BV2363"/>
      <c r="BX2363"/>
      <c r="BY2363"/>
      <c r="BZ2363"/>
    </row>
    <row r="2364" spans="8:78" x14ac:dyDescent="0.2">
      <c r="H2364"/>
      <c r="L2364"/>
      <c r="AK2364"/>
      <c r="BU2364"/>
      <c r="BV2364"/>
      <c r="BX2364"/>
      <c r="BY2364"/>
      <c r="BZ2364"/>
    </row>
    <row r="2365" spans="8:78" x14ac:dyDescent="0.2">
      <c r="H2365"/>
      <c r="L2365"/>
      <c r="BU2365"/>
      <c r="BV2365"/>
      <c r="BX2365"/>
      <c r="BY2365"/>
      <c r="BZ2365"/>
    </row>
    <row r="2366" spans="8:78" x14ac:dyDescent="0.2">
      <c r="H2366"/>
      <c r="L2366"/>
      <c r="AK2366"/>
      <c r="BU2366"/>
      <c r="BV2366"/>
      <c r="BX2366"/>
      <c r="BY2366"/>
      <c r="BZ2366"/>
    </row>
    <row r="2367" spans="8:78" x14ac:dyDescent="0.2">
      <c r="H2367"/>
      <c r="L2367"/>
      <c r="BU2367"/>
      <c r="BV2367"/>
      <c r="BX2367"/>
      <c r="BY2367"/>
      <c r="BZ2367"/>
    </row>
    <row r="2368" spans="8:78" x14ac:dyDescent="0.2">
      <c r="H2368"/>
      <c r="L2368"/>
      <c r="BU2368"/>
      <c r="BV2368"/>
      <c r="BX2368"/>
      <c r="BY2368"/>
      <c r="BZ2368"/>
    </row>
    <row r="2369" spans="8:78" x14ac:dyDescent="0.2">
      <c r="H2369"/>
      <c r="L2369"/>
      <c r="BU2369"/>
      <c r="BV2369"/>
      <c r="BX2369"/>
      <c r="BY2369"/>
      <c r="BZ2369"/>
    </row>
    <row r="2370" spans="8:78" x14ac:dyDescent="0.2">
      <c r="H2370"/>
      <c r="L2370"/>
      <c r="AK2370"/>
      <c r="BU2370"/>
      <c r="BV2370"/>
      <c r="BX2370"/>
      <c r="BY2370"/>
      <c r="BZ2370"/>
    </row>
    <row r="2371" spans="8:78" x14ac:dyDescent="0.2">
      <c r="H2371"/>
      <c r="L2371"/>
      <c r="AK2371"/>
      <c r="BU2371"/>
      <c r="BV2371"/>
      <c r="BX2371"/>
      <c r="BY2371"/>
      <c r="BZ2371"/>
    </row>
    <row r="2372" spans="8:78" x14ac:dyDescent="0.2">
      <c r="H2372"/>
      <c r="L2372"/>
      <c r="AK2372"/>
      <c r="BU2372"/>
      <c r="BV2372"/>
      <c r="BX2372"/>
      <c r="BY2372"/>
      <c r="BZ2372"/>
    </row>
    <row r="2373" spans="8:78" x14ac:dyDescent="0.2">
      <c r="H2373"/>
      <c r="L2373"/>
      <c r="AK2373"/>
      <c r="BU2373"/>
      <c r="BV2373"/>
      <c r="BX2373"/>
      <c r="BY2373"/>
      <c r="BZ2373"/>
    </row>
    <row r="2374" spans="8:78" x14ac:dyDescent="0.2">
      <c r="H2374"/>
      <c r="L2374"/>
      <c r="AK2374"/>
      <c r="BU2374"/>
      <c r="BV2374"/>
      <c r="BX2374"/>
      <c r="BY2374"/>
      <c r="BZ2374"/>
    </row>
    <row r="2375" spans="8:78" x14ac:dyDescent="0.2">
      <c r="H2375"/>
      <c r="L2375"/>
      <c r="AK2375"/>
      <c r="BU2375"/>
      <c r="BV2375"/>
      <c r="BX2375"/>
      <c r="BY2375"/>
      <c r="BZ2375"/>
    </row>
    <row r="2376" spans="8:78" x14ac:dyDescent="0.2">
      <c r="H2376"/>
      <c r="L2376"/>
      <c r="AK2376"/>
      <c r="BU2376"/>
      <c r="BV2376"/>
      <c r="BX2376"/>
      <c r="BY2376"/>
      <c r="BZ2376"/>
    </row>
    <row r="2377" spans="8:78" x14ac:dyDescent="0.2">
      <c r="H2377"/>
      <c r="L2377"/>
      <c r="AK2377"/>
      <c r="BU2377"/>
      <c r="BV2377"/>
      <c r="BX2377"/>
      <c r="BY2377"/>
      <c r="BZ2377"/>
    </row>
    <row r="2378" spans="8:78" x14ac:dyDescent="0.2">
      <c r="H2378"/>
      <c r="L2378"/>
      <c r="AK2378"/>
      <c r="BU2378"/>
      <c r="BV2378"/>
      <c r="BX2378"/>
      <c r="BY2378"/>
      <c r="BZ2378"/>
    </row>
    <row r="2379" spans="8:78" x14ac:dyDescent="0.2">
      <c r="H2379"/>
      <c r="L2379"/>
      <c r="AK2379"/>
      <c r="BU2379"/>
      <c r="BV2379"/>
      <c r="BX2379"/>
      <c r="BY2379"/>
      <c r="BZ2379"/>
    </row>
    <row r="2380" spans="8:78" x14ac:dyDescent="0.2">
      <c r="H2380"/>
      <c r="L2380"/>
      <c r="AK2380"/>
      <c r="BU2380"/>
      <c r="BV2380"/>
      <c r="BX2380"/>
      <c r="BY2380"/>
      <c r="BZ2380"/>
    </row>
    <row r="2381" spans="8:78" x14ac:dyDescent="0.2">
      <c r="H2381"/>
      <c r="L2381"/>
      <c r="AK2381"/>
      <c r="BU2381"/>
      <c r="BV2381"/>
      <c r="BX2381"/>
      <c r="BY2381"/>
      <c r="BZ2381"/>
    </row>
    <row r="2382" spans="8:78" x14ac:dyDescent="0.2">
      <c r="H2382"/>
      <c r="L2382"/>
      <c r="AK2382"/>
      <c r="BU2382"/>
      <c r="BV2382"/>
      <c r="BX2382"/>
      <c r="BY2382"/>
      <c r="BZ2382"/>
    </row>
    <row r="2383" spans="8:78" x14ac:dyDescent="0.2">
      <c r="H2383"/>
      <c r="L2383"/>
      <c r="AK2383"/>
      <c r="BU2383"/>
      <c r="BV2383"/>
      <c r="BX2383"/>
      <c r="BY2383"/>
      <c r="BZ2383"/>
    </row>
    <row r="2384" spans="8:78" x14ac:dyDescent="0.2">
      <c r="H2384"/>
      <c r="L2384"/>
      <c r="AK2384"/>
      <c r="BU2384"/>
      <c r="BV2384"/>
      <c r="BX2384"/>
      <c r="BY2384"/>
      <c r="BZ2384"/>
    </row>
    <row r="2385" spans="8:78" x14ac:dyDescent="0.2">
      <c r="H2385"/>
      <c r="L2385"/>
      <c r="AK2385"/>
      <c r="BU2385"/>
      <c r="BV2385"/>
      <c r="BX2385"/>
      <c r="BY2385"/>
      <c r="BZ2385"/>
    </row>
    <row r="2386" spans="8:78" x14ac:dyDescent="0.2">
      <c r="H2386"/>
      <c r="L2386"/>
      <c r="AK2386"/>
      <c r="BU2386"/>
      <c r="BV2386"/>
      <c r="BX2386"/>
      <c r="BY2386"/>
      <c r="BZ2386"/>
    </row>
    <row r="2387" spans="8:78" x14ac:dyDescent="0.2">
      <c r="H2387"/>
      <c r="L2387"/>
      <c r="AK2387"/>
      <c r="BU2387"/>
      <c r="BV2387"/>
      <c r="BX2387"/>
      <c r="BY2387"/>
      <c r="BZ2387"/>
    </row>
    <row r="2388" spans="8:78" x14ac:dyDescent="0.2">
      <c r="H2388"/>
      <c r="L2388"/>
      <c r="AK2388"/>
      <c r="BU2388"/>
      <c r="BV2388"/>
      <c r="BX2388"/>
      <c r="BY2388"/>
      <c r="BZ2388"/>
    </row>
    <row r="2389" spans="8:78" x14ac:dyDescent="0.2">
      <c r="H2389"/>
      <c r="L2389"/>
      <c r="AK2389"/>
      <c r="BU2389"/>
      <c r="BV2389"/>
      <c r="BX2389"/>
      <c r="BY2389"/>
      <c r="BZ2389"/>
    </row>
    <row r="2390" spans="8:78" x14ac:dyDescent="0.2">
      <c r="H2390"/>
      <c r="L2390"/>
      <c r="AK2390"/>
      <c r="BU2390"/>
      <c r="BV2390"/>
      <c r="BX2390"/>
      <c r="BY2390"/>
      <c r="BZ2390"/>
    </row>
    <row r="2391" spans="8:78" x14ac:dyDescent="0.2">
      <c r="AK2391"/>
      <c r="BZ2391"/>
    </row>
    <row r="2392" spans="8:78" x14ac:dyDescent="0.2">
      <c r="H2392"/>
      <c r="L2392"/>
      <c r="AK2392"/>
      <c r="BU2392"/>
      <c r="BV2392"/>
      <c r="BX2392"/>
      <c r="BY2392"/>
      <c r="BZ2392"/>
    </row>
    <row r="2393" spans="8:78" x14ac:dyDescent="0.2">
      <c r="H2393"/>
      <c r="L2393"/>
      <c r="AK2393"/>
      <c r="BU2393"/>
      <c r="BV2393"/>
      <c r="BX2393"/>
      <c r="BY2393"/>
      <c r="BZ2393"/>
    </row>
    <row r="2394" spans="8:78" x14ac:dyDescent="0.2">
      <c r="H2394"/>
      <c r="L2394"/>
      <c r="AK2394"/>
      <c r="BU2394"/>
      <c r="BV2394"/>
      <c r="BX2394"/>
      <c r="BY2394"/>
      <c r="BZ2394"/>
    </row>
    <row r="2395" spans="8:78" x14ac:dyDescent="0.2">
      <c r="H2395"/>
      <c r="L2395"/>
      <c r="AK2395"/>
      <c r="BU2395"/>
      <c r="BV2395"/>
      <c r="BX2395"/>
      <c r="BY2395"/>
      <c r="BZ2395"/>
    </row>
    <row r="2396" spans="8:78" x14ac:dyDescent="0.2">
      <c r="H2396"/>
      <c r="L2396"/>
      <c r="AK2396"/>
      <c r="BU2396"/>
      <c r="BV2396"/>
      <c r="BX2396"/>
      <c r="BY2396"/>
      <c r="BZ2396"/>
    </row>
    <row r="2397" spans="8:78" x14ac:dyDescent="0.2">
      <c r="H2397"/>
      <c r="L2397"/>
      <c r="AK2397"/>
      <c r="BU2397"/>
      <c r="BV2397"/>
      <c r="BX2397"/>
      <c r="BY2397"/>
      <c r="BZ2397"/>
    </row>
    <row r="2398" spans="8:78" x14ac:dyDescent="0.2">
      <c r="H2398"/>
      <c r="L2398"/>
      <c r="AK2398"/>
      <c r="BU2398"/>
      <c r="BV2398"/>
      <c r="BX2398"/>
      <c r="BY2398"/>
      <c r="BZ2398"/>
    </row>
    <row r="2399" spans="8:78" x14ac:dyDescent="0.2">
      <c r="H2399"/>
      <c r="L2399"/>
      <c r="AK2399"/>
      <c r="BU2399"/>
      <c r="BV2399"/>
      <c r="BX2399"/>
      <c r="BY2399"/>
      <c r="BZ2399"/>
    </row>
    <row r="2400" spans="8:78" x14ac:dyDescent="0.2">
      <c r="AK2400"/>
      <c r="BZ2400"/>
    </row>
    <row r="2401" spans="8:78" x14ac:dyDescent="0.2">
      <c r="H2401"/>
      <c r="L2401"/>
      <c r="AK2401"/>
      <c r="BU2401"/>
      <c r="BV2401"/>
      <c r="BX2401"/>
      <c r="BY2401"/>
      <c r="BZ2401"/>
    </row>
    <row r="2402" spans="8:78" x14ac:dyDescent="0.2">
      <c r="H2402"/>
      <c r="L2402"/>
      <c r="BU2402"/>
      <c r="BV2402"/>
      <c r="BX2402"/>
      <c r="BY2402"/>
      <c r="BZ2402"/>
    </row>
    <row r="2403" spans="8:78" x14ac:dyDescent="0.2">
      <c r="H2403"/>
      <c r="L2403"/>
      <c r="BU2403"/>
      <c r="BV2403"/>
      <c r="BX2403"/>
      <c r="BY2403"/>
      <c r="BZ2403"/>
    </row>
    <row r="2404" spans="8:78" x14ac:dyDescent="0.2">
      <c r="H2404"/>
      <c r="L2404"/>
      <c r="AK2404"/>
      <c r="BU2404"/>
      <c r="BV2404"/>
      <c r="BX2404"/>
      <c r="BY2404"/>
      <c r="BZ2404"/>
    </row>
    <row r="2405" spans="8:78" x14ac:dyDescent="0.2">
      <c r="H2405"/>
      <c r="L2405"/>
      <c r="AK2405"/>
      <c r="BU2405"/>
      <c r="BV2405"/>
      <c r="BX2405"/>
      <c r="BY2405"/>
      <c r="BZ2405"/>
    </row>
    <row r="2406" spans="8:78" x14ac:dyDescent="0.2">
      <c r="AK2406"/>
      <c r="BZ2406"/>
    </row>
    <row r="2407" spans="8:78" x14ac:dyDescent="0.2">
      <c r="H2407"/>
      <c r="L2407"/>
      <c r="AK2407"/>
      <c r="BU2407"/>
      <c r="BV2407"/>
      <c r="BX2407"/>
      <c r="BY2407"/>
      <c r="BZ2407"/>
    </row>
    <row r="2408" spans="8:78" x14ac:dyDescent="0.2">
      <c r="H2408"/>
      <c r="L2408"/>
      <c r="AK2408"/>
      <c r="BU2408"/>
      <c r="BV2408"/>
      <c r="BX2408"/>
      <c r="BY2408"/>
      <c r="BZ2408"/>
    </row>
    <row r="2409" spans="8:78" x14ac:dyDescent="0.2">
      <c r="H2409"/>
      <c r="L2409"/>
      <c r="AK2409"/>
      <c r="BU2409"/>
      <c r="BV2409"/>
      <c r="BX2409"/>
      <c r="BY2409"/>
      <c r="BZ2409"/>
    </row>
    <row r="2410" spans="8:78" x14ac:dyDescent="0.2">
      <c r="H2410"/>
      <c r="L2410"/>
      <c r="AK2410"/>
      <c r="BU2410"/>
      <c r="BV2410"/>
      <c r="BX2410"/>
      <c r="BY2410"/>
      <c r="BZ2410"/>
    </row>
    <row r="2411" spans="8:78" x14ac:dyDescent="0.2">
      <c r="H2411"/>
      <c r="L2411"/>
      <c r="AK2411"/>
      <c r="BU2411"/>
      <c r="BV2411"/>
      <c r="BX2411"/>
      <c r="BY2411"/>
      <c r="BZ2411"/>
    </row>
    <row r="2412" spans="8:78" x14ac:dyDescent="0.2">
      <c r="H2412"/>
      <c r="L2412"/>
      <c r="AK2412"/>
      <c r="BU2412"/>
      <c r="BV2412"/>
      <c r="BX2412"/>
      <c r="BY2412"/>
      <c r="BZ2412"/>
    </row>
    <row r="2413" spans="8:78" x14ac:dyDescent="0.2">
      <c r="H2413"/>
      <c r="L2413"/>
      <c r="AK2413"/>
      <c r="BU2413"/>
      <c r="BV2413"/>
      <c r="BX2413"/>
      <c r="BY2413"/>
      <c r="BZ2413"/>
    </row>
    <row r="2414" spans="8:78" x14ac:dyDescent="0.2">
      <c r="H2414"/>
      <c r="L2414"/>
      <c r="AK2414"/>
      <c r="BU2414"/>
      <c r="BV2414"/>
      <c r="BX2414"/>
      <c r="BY2414"/>
      <c r="BZ2414"/>
    </row>
    <row r="2415" spans="8:78" x14ac:dyDescent="0.2">
      <c r="H2415"/>
      <c r="L2415"/>
      <c r="AK2415"/>
      <c r="BU2415"/>
      <c r="BV2415"/>
      <c r="BX2415"/>
      <c r="BY2415"/>
      <c r="BZ2415"/>
    </row>
    <row r="2416" spans="8:78" x14ac:dyDescent="0.2">
      <c r="H2416"/>
      <c r="L2416"/>
      <c r="AK2416"/>
      <c r="BU2416"/>
      <c r="BV2416"/>
      <c r="BX2416"/>
      <c r="BY2416"/>
      <c r="BZ2416"/>
    </row>
    <row r="2417" spans="8:78" x14ac:dyDescent="0.2">
      <c r="H2417"/>
      <c r="L2417"/>
      <c r="AK2417"/>
      <c r="BU2417"/>
      <c r="BV2417"/>
      <c r="BX2417"/>
      <c r="BY2417"/>
      <c r="BZ2417"/>
    </row>
    <row r="2418" spans="8:78" x14ac:dyDescent="0.2">
      <c r="H2418"/>
      <c r="L2418"/>
      <c r="AK2418"/>
      <c r="BU2418"/>
      <c r="BV2418"/>
      <c r="BX2418"/>
      <c r="BY2418"/>
      <c r="BZ2418"/>
    </row>
    <row r="2419" spans="8:78" x14ac:dyDescent="0.2">
      <c r="H2419"/>
      <c r="L2419"/>
      <c r="AK2419"/>
      <c r="BU2419"/>
      <c r="BV2419"/>
      <c r="BX2419"/>
      <c r="BY2419"/>
      <c r="BZ2419"/>
    </row>
    <row r="2420" spans="8:78" x14ac:dyDescent="0.2">
      <c r="H2420"/>
      <c r="L2420"/>
      <c r="AK2420"/>
      <c r="BU2420"/>
      <c r="BV2420"/>
      <c r="BX2420"/>
      <c r="BY2420"/>
      <c r="BZ2420"/>
    </row>
    <row r="2421" spans="8:78" x14ac:dyDescent="0.2">
      <c r="H2421"/>
      <c r="L2421"/>
      <c r="AK2421"/>
      <c r="BU2421"/>
      <c r="BV2421"/>
      <c r="BX2421"/>
      <c r="BY2421"/>
      <c r="BZ2421"/>
    </row>
    <row r="2422" spans="8:78" x14ac:dyDescent="0.2">
      <c r="H2422"/>
      <c r="L2422"/>
      <c r="AK2422"/>
      <c r="BU2422"/>
      <c r="BV2422"/>
      <c r="BX2422"/>
      <c r="BY2422"/>
      <c r="BZ2422"/>
    </row>
    <row r="2423" spans="8:78" x14ac:dyDescent="0.2">
      <c r="H2423"/>
      <c r="L2423"/>
      <c r="AK2423"/>
      <c r="BU2423"/>
      <c r="BV2423"/>
      <c r="BX2423"/>
      <c r="BY2423"/>
      <c r="BZ2423"/>
    </row>
    <row r="2424" spans="8:78" x14ac:dyDescent="0.2">
      <c r="H2424"/>
      <c r="L2424"/>
      <c r="AK2424"/>
      <c r="BU2424"/>
      <c r="BV2424"/>
      <c r="BX2424"/>
      <c r="BY2424"/>
      <c r="BZ2424"/>
    </row>
    <row r="2425" spans="8:78" x14ac:dyDescent="0.2">
      <c r="AK2425"/>
      <c r="BZ2425"/>
    </row>
    <row r="2426" spans="8:78" x14ac:dyDescent="0.2">
      <c r="AK2426"/>
      <c r="BZ2426"/>
    </row>
    <row r="2427" spans="8:78" x14ac:dyDescent="0.2">
      <c r="H2427"/>
      <c r="L2427"/>
      <c r="AK2427"/>
      <c r="BU2427"/>
      <c r="BV2427"/>
      <c r="BX2427"/>
      <c r="BY2427"/>
      <c r="BZ2427"/>
    </row>
    <row r="2428" spans="8:78" x14ac:dyDescent="0.2">
      <c r="H2428"/>
      <c r="L2428"/>
      <c r="AK2428"/>
      <c r="BU2428"/>
      <c r="BV2428"/>
      <c r="BX2428"/>
      <c r="BY2428"/>
      <c r="BZ2428"/>
    </row>
    <row r="2429" spans="8:78" x14ac:dyDescent="0.2">
      <c r="H2429"/>
      <c r="L2429"/>
      <c r="AK2429"/>
      <c r="BU2429"/>
      <c r="BV2429"/>
      <c r="BX2429"/>
      <c r="BY2429"/>
      <c r="BZ2429"/>
    </row>
    <row r="2430" spans="8:78" x14ac:dyDescent="0.2">
      <c r="AK2430"/>
      <c r="BZ2430"/>
    </row>
    <row r="2431" spans="8:78" x14ac:dyDescent="0.2">
      <c r="H2431"/>
      <c r="L2431"/>
      <c r="AK2431"/>
      <c r="BU2431"/>
      <c r="BV2431"/>
      <c r="BX2431"/>
      <c r="BY2431"/>
      <c r="BZ2431"/>
    </row>
    <row r="2432" spans="8:78" x14ac:dyDescent="0.2">
      <c r="H2432"/>
      <c r="L2432"/>
      <c r="AK2432"/>
      <c r="BU2432"/>
      <c r="BV2432"/>
      <c r="BX2432"/>
      <c r="BY2432"/>
      <c r="BZ2432"/>
    </row>
    <row r="2433" spans="8:78" x14ac:dyDescent="0.2">
      <c r="H2433"/>
      <c r="L2433"/>
      <c r="AK2433"/>
      <c r="BU2433"/>
      <c r="BV2433"/>
      <c r="BX2433"/>
      <c r="BY2433"/>
      <c r="BZ2433"/>
    </row>
    <row r="2434" spans="8:78" x14ac:dyDescent="0.2">
      <c r="H2434"/>
      <c r="L2434"/>
      <c r="AK2434"/>
      <c r="BU2434"/>
      <c r="BV2434"/>
      <c r="BX2434"/>
      <c r="BY2434"/>
      <c r="BZ2434"/>
    </row>
    <row r="2435" spans="8:78" x14ac:dyDescent="0.2">
      <c r="H2435"/>
      <c r="L2435"/>
      <c r="AK2435"/>
      <c r="BU2435"/>
      <c r="BV2435"/>
      <c r="BX2435"/>
      <c r="BY2435"/>
      <c r="BZ2435"/>
    </row>
    <row r="2436" spans="8:78" x14ac:dyDescent="0.2">
      <c r="H2436"/>
      <c r="L2436"/>
      <c r="AK2436"/>
      <c r="BU2436"/>
      <c r="BV2436"/>
      <c r="BX2436"/>
      <c r="BY2436"/>
      <c r="BZ2436"/>
    </row>
    <row r="2437" spans="8:78" x14ac:dyDescent="0.2">
      <c r="H2437"/>
      <c r="L2437"/>
      <c r="AK2437"/>
      <c r="BU2437"/>
      <c r="BV2437"/>
      <c r="BX2437"/>
      <c r="BY2437"/>
      <c r="BZ2437"/>
    </row>
    <row r="2438" spans="8:78" x14ac:dyDescent="0.2">
      <c r="H2438"/>
      <c r="L2438"/>
      <c r="AK2438"/>
      <c r="BU2438"/>
      <c r="BV2438"/>
      <c r="BX2438"/>
      <c r="BY2438"/>
      <c r="BZ2438"/>
    </row>
    <row r="2439" spans="8:78" x14ac:dyDescent="0.2">
      <c r="H2439"/>
      <c r="L2439"/>
      <c r="AK2439"/>
      <c r="BU2439"/>
      <c r="BV2439"/>
      <c r="BX2439"/>
      <c r="BY2439"/>
      <c r="BZ2439"/>
    </row>
    <row r="2440" spans="8:78" x14ac:dyDescent="0.2">
      <c r="H2440"/>
      <c r="L2440"/>
      <c r="AK2440"/>
      <c r="BU2440"/>
      <c r="BV2440"/>
      <c r="BX2440"/>
      <c r="BY2440"/>
      <c r="BZ2440"/>
    </row>
    <row r="2441" spans="8:78" x14ac:dyDescent="0.2">
      <c r="H2441"/>
      <c r="L2441"/>
      <c r="BU2441"/>
      <c r="BV2441"/>
      <c r="BX2441"/>
      <c r="BY2441"/>
      <c r="BZ2441"/>
    </row>
    <row r="2442" spans="8:78" x14ac:dyDescent="0.2">
      <c r="H2442"/>
      <c r="L2442"/>
      <c r="BU2442"/>
      <c r="BV2442"/>
      <c r="BX2442"/>
      <c r="BY2442"/>
      <c r="BZ2442"/>
    </row>
    <row r="2443" spans="8:78" x14ac:dyDescent="0.2">
      <c r="BZ2443"/>
    </row>
    <row r="2444" spans="8:78" x14ac:dyDescent="0.2">
      <c r="BZ2444"/>
    </row>
    <row r="2445" spans="8:78" x14ac:dyDescent="0.2">
      <c r="AK2445"/>
      <c r="BZ2445"/>
    </row>
    <row r="2446" spans="8:78" x14ac:dyDescent="0.2">
      <c r="AK2446"/>
      <c r="BZ2446"/>
    </row>
    <row r="2447" spans="8:78" x14ac:dyDescent="0.2">
      <c r="H2447"/>
      <c r="L2447"/>
      <c r="AK2447"/>
      <c r="BU2447"/>
      <c r="BV2447"/>
      <c r="BX2447"/>
      <c r="BY2447"/>
      <c r="BZ2447"/>
    </row>
    <row r="2448" spans="8:78" x14ac:dyDescent="0.2">
      <c r="AK2448"/>
      <c r="BZ2448"/>
    </row>
    <row r="2449" spans="8:78" x14ac:dyDescent="0.2">
      <c r="H2449"/>
      <c r="L2449"/>
      <c r="AK2449"/>
      <c r="BU2449"/>
      <c r="BV2449"/>
      <c r="BX2449"/>
      <c r="BY2449"/>
      <c r="BZ2449"/>
    </row>
    <row r="2450" spans="8:78" x14ac:dyDescent="0.2">
      <c r="H2450"/>
      <c r="L2450"/>
      <c r="AK2450"/>
      <c r="BU2450"/>
      <c r="BV2450"/>
      <c r="BX2450"/>
      <c r="BY2450"/>
      <c r="BZ2450"/>
    </row>
    <row r="2451" spans="8:78" x14ac:dyDescent="0.2">
      <c r="H2451"/>
      <c r="L2451"/>
      <c r="AK2451"/>
      <c r="BU2451"/>
      <c r="BV2451"/>
      <c r="BX2451"/>
      <c r="BY2451"/>
      <c r="BZ2451"/>
    </row>
    <row r="2452" spans="8:78" x14ac:dyDescent="0.2">
      <c r="H2452"/>
      <c r="L2452"/>
      <c r="BU2452"/>
      <c r="BV2452"/>
      <c r="BX2452"/>
      <c r="BY2452"/>
      <c r="BZ2452"/>
    </row>
    <row r="2453" spans="8:78" x14ac:dyDescent="0.2">
      <c r="H2453"/>
      <c r="L2453"/>
      <c r="BU2453"/>
      <c r="BV2453"/>
      <c r="BX2453"/>
      <c r="BY2453"/>
      <c r="BZ2453"/>
    </row>
    <row r="2454" spans="8:78" x14ac:dyDescent="0.2">
      <c r="H2454"/>
      <c r="L2454"/>
      <c r="BU2454"/>
      <c r="BV2454"/>
      <c r="BX2454"/>
      <c r="BY2454"/>
      <c r="BZ2454"/>
    </row>
    <row r="2455" spans="8:78" x14ac:dyDescent="0.2">
      <c r="H2455"/>
      <c r="L2455"/>
      <c r="BU2455"/>
      <c r="BV2455"/>
      <c r="BX2455"/>
      <c r="BY2455"/>
      <c r="BZ2455"/>
    </row>
    <row r="2456" spans="8:78" x14ac:dyDescent="0.2">
      <c r="H2456"/>
      <c r="L2456"/>
      <c r="AK2456"/>
      <c r="BU2456"/>
      <c r="BV2456"/>
      <c r="BX2456"/>
      <c r="BY2456"/>
      <c r="BZ2456"/>
    </row>
    <row r="2457" spans="8:78" x14ac:dyDescent="0.2">
      <c r="H2457"/>
      <c r="L2457"/>
      <c r="AK2457"/>
      <c r="BU2457"/>
      <c r="BV2457"/>
      <c r="BX2457"/>
      <c r="BY2457"/>
      <c r="BZ2457"/>
    </row>
    <row r="2458" spans="8:78" x14ac:dyDescent="0.2">
      <c r="H2458"/>
      <c r="L2458"/>
      <c r="AK2458"/>
      <c r="BU2458"/>
      <c r="BV2458"/>
      <c r="BX2458"/>
      <c r="BY2458"/>
      <c r="BZ2458"/>
    </row>
    <row r="2459" spans="8:78" x14ac:dyDescent="0.2">
      <c r="H2459"/>
      <c r="L2459"/>
      <c r="AK2459"/>
      <c r="BU2459"/>
      <c r="BV2459"/>
      <c r="BX2459"/>
      <c r="BY2459"/>
      <c r="BZ2459"/>
    </row>
    <row r="2460" spans="8:78" x14ac:dyDescent="0.2">
      <c r="H2460"/>
      <c r="L2460"/>
      <c r="AK2460"/>
      <c r="BU2460"/>
      <c r="BV2460"/>
      <c r="BX2460"/>
      <c r="BY2460"/>
      <c r="BZ2460"/>
    </row>
    <row r="2461" spans="8:78" x14ac:dyDescent="0.2">
      <c r="H2461"/>
      <c r="L2461"/>
      <c r="AK2461"/>
      <c r="BU2461"/>
      <c r="BV2461"/>
      <c r="BX2461"/>
      <c r="BY2461"/>
      <c r="BZ2461"/>
    </row>
    <row r="2462" spans="8:78" x14ac:dyDescent="0.2">
      <c r="H2462"/>
      <c r="L2462"/>
      <c r="AK2462"/>
      <c r="BU2462"/>
      <c r="BV2462"/>
      <c r="BX2462"/>
      <c r="BY2462"/>
      <c r="BZ2462"/>
    </row>
    <row r="2463" spans="8:78" x14ac:dyDescent="0.2">
      <c r="H2463"/>
      <c r="L2463"/>
      <c r="AK2463"/>
      <c r="BU2463"/>
      <c r="BV2463"/>
      <c r="BX2463"/>
      <c r="BY2463"/>
      <c r="BZ2463"/>
    </row>
    <row r="2464" spans="8:78" x14ac:dyDescent="0.2">
      <c r="H2464"/>
      <c r="L2464"/>
      <c r="AK2464"/>
      <c r="BU2464"/>
      <c r="BV2464"/>
      <c r="BX2464"/>
      <c r="BY2464"/>
      <c r="BZ2464"/>
    </row>
    <row r="2465" spans="8:78" x14ac:dyDescent="0.2">
      <c r="BZ2465"/>
    </row>
    <row r="2466" spans="8:78" x14ac:dyDescent="0.2">
      <c r="H2466"/>
      <c r="L2466"/>
      <c r="BU2466"/>
      <c r="BV2466"/>
      <c r="BX2466"/>
      <c r="BY2466"/>
      <c r="BZ2466"/>
    </row>
    <row r="2467" spans="8:78" x14ac:dyDescent="0.2">
      <c r="H2467"/>
      <c r="L2467"/>
      <c r="BU2467"/>
      <c r="BV2467"/>
      <c r="BX2467"/>
      <c r="BY2467"/>
      <c r="BZ2467"/>
    </row>
    <row r="2468" spans="8:78" x14ac:dyDescent="0.2">
      <c r="H2468"/>
      <c r="L2468"/>
      <c r="BU2468"/>
      <c r="BV2468"/>
      <c r="BX2468"/>
      <c r="BY2468"/>
      <c r="BZ2468"/>
    </row>
    <row r="2469" spans="8:78" x14ac:dyDescent="0.2">
      <c r="H2469"/>
      <c r="L2469"/>
      <c r="BU2469"/>
      <c r="BV2469"/>
      <c r="BX2469"/>
      <c r="BY2469"/>
      <c r="BZ2469"/>
    </row>
    <row r="2470" spans="8:78" x14ac:dyDescent="0.2">
      <c r="H2470"/>
      <c r="L2470"/>
      <c r="BU2470"/>
      <c r="BV2470"/>
      <c r="BX2470"/>
      <c r="BY2470"/>
      <c r="BZ2470"/>
    </row>
    <row r="2471" spans="8:78" x14ac:dyDescent="0.2">
      <c r="H2471"/>
      <c r="L2471"/>
      <c r="AK2471"/>
      <c r="BU2471"/>
      <c r="BV2471"/>
      <c r="BX2471"/>
      <c r="BY2471"/>
      <c r="BZ2471"/>
    </row>
    <row r="2472" spans="8:78" x14ac:dyDescent="0.2">
      <c r="H2472"/>
      <c r="L2472"/>
      <c r="AK2472"/>
      <c r="BU2472"/>
      <c r="BV2472"/>
      <c r="BX2472"/>
      <c r="BY2472"/>
      <c r="BZ2472"/>
    </row>
    <row r="2473" spans="8:78" x14ac:dyDescent="0.2">
      <c r="H2473"/>
      <c r="L2473"/>
      <c r="BU2473"/>
      <c r="BV2473"/>
      <c r="BX2473"/>
      <c r="BY2473"/>
      <c r="BZ2473"/>
    </row>
    <row r="2474" spans="8:78" x14ac:dyDescent="0.2">
      <c r="H2474"/>
      <c r="L2474"/>
      <c r="BU2474"/>
      <c r="BV2474"/>
      <c r="BX2474"/>
      <c r="BY2474"/>
      <c r="BZ2474"/>
    </row>
    <row r="2475" spans="8:78" x14ac:dyDescent="0.2">
      <c r="H2475"/>
      <c r="L2475"/>
      <c r="BU2475"/>
      <c r="BV2475"/>
      <c r="BX2475"/>
      <c r="BY2475"/>
      <c r="BZ2475"/>
    </row>
    <row r="2476" spans="8:78" x14ac:dyDescent="0.2">
      <c r="BZ2476"/>
    </row>
    <row r="2477" spans="8:78" x14ac:dyDescent="0.2">
      <c r="H2477"/>
      <c r="L2477"/>
      <c r="BU2477"/>
      <c r="BV2477"/>
      <c r="BX2477"/>
      <c r="BY2477"/>
      <c r="BZ2477"/>
    </row>
    <row r="2478" spans="8:78" x14ac:dyDescent="0.2">
      <c r="H2478"/>
      <c r="L2478"/>
      <c r="BU2478"/>
      <c r="BV2478"/>
      <c r="BX2478"/>
      <c r="BY2478"/>
      <c r="BZ2478"/>
    </row>
    <row r="2479" spans="8:78" x14ac:dyDescent="0.2">
      <c r="H2479"/>
      <c r="L2479"/>
      <c r="BU2479"/>
      <c r="BV2479"/>
      <c r="BX2479"/>
      <c r="BY2479"/>
      <c r="BZ2479"/>
    </row>
    <row r="2480" spans="8:78" x14ac:dyDescent="0.2">
      <c r="H2480"/>
      <c r="L2480"/>
      <c r="AK2480"/>
      <c r="BU2480"/>
      <c r="BV2480"/>
      <c r="BX2480"/>
      <c r="BY2480"/>
      <c r="BZ2480"/>
    </row>
    <row r="2481" spans="8:78" x14ac:dyDescent="0.2">
      <c r="H2481"/>
      <c r="L2481"/>
      <c r="AK2481"/>
      <c r="BU2481"/>
      <c r="BV2481"/>
      <c r="BX2481"/>
      <c r="BY2481"/>
      <c r="BZ2481"/>
    </row>
    <row r="2482" spans="8:78" x14ac:dyDescent="0.2">
      <c r="H2482"/>
      <c r="L2482"/>
      <c r="AK2482"/>
      <c r="BU2482"/>
      <c r="BV2482"/>
      <c r="BX2482"/>
      <c r="BY2482"/>
      <c r="BZ2482"/>
    </row>
    <row r="2483" spans="8:78" x14ac:dyDescent="0.2">
      <c r="H2483"/>
      <c r="L2483"/>
      <c r="AK2483"/>
      <c r="BU2483"/>
      <c r="BV2483"/>
      <c r="BX2483"/>
      <c r="BY2483"/>
      <c r="BZ2483"/>
    </row>
    <row r="2484" spans="8:78" x14ac:dyDescent="0.2">
      <c r="H2484"/>
      <c r="L2484"/>
      <c r="AK2484"/>
      <c r="BU2484"/>
      <c r="BV2484"/>
      <c r="BX2484"/>
      <c r="BY2484"/>
      <c r="BZ2484"/>
    </row>
    <row r="2485" spans="8:78" x14ac:dyDescent="0.2">
      <c r="H2485"/>
      <c r="L2485"/>
      <c r="AK2485"/>
      <c r="BU2485"/>
      <c r="BV2485"/>
      <c r="BX2485"/>
      <c r="BY2485"/>
      <c r="BZ2485"/>
    </row>
    <row r="2486" spans="8:78" x14ac:dyDescent="0.2">
      <c r="H2486"/>
      <c r="L2486"/>
      <c r="AK2486"/>
      <c r="BU2486"/>
      <c r="BV2486"/>
      <c r="BX2486"/>
      <c r="BY2486"/>
      <c r="BZ2486"/>
    </row>
    <row r="2487" spans="8:78" x14ac:dyDescent="0.2">
      <c r="H2487"/>
      <c r="L2487"/>
      <c r="AK2487"/>
      <c r="BU2487"/>
      <c r="BV2487"/>
      <c r="BX2487"/>
      <c r="BY2487"/>
      <c r="BZ2487"/>
    </row>
    <row r="2488" spans="8:78" x14ac:dyDescent="0.2">
      <c r="AK2488"/>
      <c r="BZ2488"/>
    </row>
    <row r="2489" spans="8:78" x14ac:dyDescent="0.2">
      <c r="H2489"/>
      <c r="L2489"/>
      <c r="AK2489"/>
      <c r="BU2489"/>
      <c r="BV2489"/>
      <c r="BX2489"/>
      <c r="BY2489"/>
      <c r="BZ2489"/>
    </row>
    <row r="2490" spans="8:78" x14ac:dyDescent="0.2">
      <c r="H2490"/>
      <c r="L2490"/>
      <c r="AK2490"/>
      <c r="BU2490"/>
      <c r="BV2490"/>
      <c r="BX2490"/>
      <c r="BY2490"/>
      <c r="BZ2490"/>
    </row>
    <row r="2491" spans="8:78" x14ac:dyDescent="0.2">
      <c r="H2491"/>
      <c r="L2491"/>
      <c r="AK2491"/>
      <c r="BU2491"/>
      <c r="BV2491"/>
      <c r="BX2491"/>
      <c r="BY2491"/>
      <c r="BZ2491"/>
    </row>
    <row r="2492" spans="8:78" x14ac:dyDescent="0.2">
      <c r="H2492"/>
      <c r="L2492"/>
      <c r="AK2492"/>
      <c r="BU2492"/>
      <c r="BV2492"/>
      <c r="BX2492"/>
      <c r="BY2492"/>
      <c r="BZ2492"/>
    </row>
    <row r="2493" spans="8:78" x14ac:dyDescent="0.2">
      <c r="H2493"/>
      <c r="L2493"/>
      <c r="AK2493"/>
      <c r="BU2493"/>
      <c r="BV2493"/>
      <c r="BX2493"/>
      <c r="BY2493"/>
      <c r="BZ2493"/>
    </row>
    <row r="2494" spans="8:78" x14ac:dyDescent="0.2">
      <c r="H2494"/>
      <c r="L2494"/>
      <c r="AK2494"/>
      <c r="BU2494"/>
      <c r="BV2494"/>
      <c r="BX2494"/>
      <c r="BY2494"/>
      <c r="BZ2494"/>
    </row>
    <row r="2495" spans="8:78" x14ac:dyDescent="0.2">
      <c r="H2495"/>
      <c r="L2495"/>
      <c r="AK2495"/>
      <c r="BU2495"/>
      <c r="BV2495"/>
      <c r="BX2495"/>
      <c r="BY2495"/>
      <c r="BZ2495"/>
    </row>
    <row r="2496" spans="8:78" x14ac:dyDescent="0.2">
      <c r="H2496"/>
      <c r="L2496"/>
      <c r="AK2496"/>
      <c r="BU2496"/>
      <c r="BV2496"/>
      <c r="BX2496"/>
      <c r="BY2496"/>
      <c r="BZ2496"/>
    </row>
    <row r="2497" spans="8:78" x14ac:dyDescent="0.2">
      <c r="H2497"/>
      <c r="L2497"/>
      <c r="AK2497"/>
      <c r="BU2497"/>
      <c r="BV2497"/>
      <c r="BX2497"/>
      <c r="BY2497"/>
      <c r="BZ2497"/>
    </row>
    <row r="2498" spans="8:78" x14ac:dyDescent="0.2">
      <c r="H2498"/>
      <c r="L2498"/>
      <c r="AK2498"/>
      <c r="BU2498"/>
      <c r="BV2498"/>
      <c r="BX2498"/>
      <c r="BY2498"/>
      <c r="BZ2498"/>
    </row>
    <row r="2499" spans="8:78" x14ac:dyDescent="0.2">
      <c r="H2499"/>
      <c r="L2499"/>
      <c r="AK2499"/>
      <c r="BU2499"/>
      <c r="BV2499"/>
      <c r="BX2499"/>
      <c r="BY2499"/>
      <c r="BZ2499"/>
    </row>
    <row r="2500" spans="8:78" x14ac:dyDescent="0.2">
      <c r="H2500"/>
      <c r="L2500"/>
      <c r="AK2500"/>
      <c r="BU2500"/>
      <c r="BV2500"/>
      <c r="BX2500"/>
      <c r="BY2500"/>
      <c r="BZ2500"/>
    </row>
    <row r="2501" spans="8:78" x14ac:dyDescent="0.2">
      <c r="H2501"/>
      <c r="L2501"/>
      <c r="AK2501"/>
      <c r="BU2501"/>
      <c r="BV2501"/>
      <c r="BX2501"/>
      <c r="BY2501"/>
      <c r="BZ2501"/>
    </row>
    <row r="2502" spans="8:78" x14ac:dyDescent="0.2">
      <c r="H2502"/>
      <c r="L2502"/>
      <c r="BU2502"/>
      <c r="BV2502"/>
      <c r="BX2502"/>
      <c r="BY2502"/>
      <c r="BZ2502"/>
    </row>
    <row r="2503" spans="8:78" x14ac:dyDescent="0.2">
      <c r="H2503"/>
      <c r="L2503"/>
      <c r="AK2503"/>
      <c r="BU2503"/>
      <c r="BV2503"/>
      <c r="BX2503"/>
      <c r="BY2503"/>
      <c r="BZ2503"/>
    </row>
    <row r="2504" spans="8:78" x14ac:dyDescent="0.2">
      <c r="H2504"/>
      <c r="L2504"/>
      <c r="AK2504"/>
      <c r="BU2504"/>
      <c r="BV2504"/>
      <c r="BX2504"/>
      <c r="BY2504"/>
      <c r="BZ2504"/>
    </row>
    <row r="2505" spans="8:78" x14ac:dyDescent="0.2">
      <c r="H2505"/>
      <c r="L2505"/>
      <c r="AK2505"/>
      <c r="BU2505"/>
      <c r="BV2505"/>
      <c r="BX2505"/>
      <c r="BY2505"/>
      <c r="BZ2505"/>
    </row>
    <row r="2506" spans="8:78" x14ac:dyDescent="0.2">
      <c r="H2506"/>
      <c r="L2506"/>
      <c r="AK2506"/>
      <c r="BU2506"/>
      <c r="BV2506"/>
      <c r="BX2506"/>
      <c r="BY2506"/>
      <c r="BZ2506"/>
    </row>
    <row r="2507" spans="8:78" x14ac:dyDescent="0.2">
      <c r="H2507"/>
      <c r="L2507"/>
      <c r="AK2507"/>
      <c r="BU2507"/>
      <c r="BV2507"/>
      <c r="BX2507"/>
      <c r="BY2507"/>
      <c r="BZ2507"/>
    </row>
    <row r="2508" spans="8:78" x14ac:dyDescent="0.2">
      <c r="H2508"/>
      <c r="L2508"/>
      <c r="AK2508"/>
      <c r="BU2508"/>
      <c r="BV2508"/>
      <c r="BX2508"/>
      <c r="BY2508"/>
      <c r="BZ2508"/>
    </row>
    <row r="2509" spans="8:78" x14ac:dyDescent="0.2">
      <c r="H2509"/>
      <c r="L2509"/>
      <c r="BU2509"/>
      <c r="BV2509"/>
      <c r="BX2509"/>
      <c r="BY2509"/>
      <c r="BZ2509"/>
    </row>
    <row r="2510" spans="8:78" x14ac:dyDescent="0.2">
      <c r="H2510"/>
      <c r="L2510"/>
      <c r="AK2510"/>
      <c r="BU2510"/>
      <c r="BV2510"/>
      <c r="BX2510"/>
      <c r="BY2510"/>
      <c r="BZ2510"/>
    </row>
    <row r="2511" spans="8:78" x14ac:dyDescent="0.2">
      <c r="H2511"/>
      <c r="L2511"/>
      <c r="BU2511"/>
      <c r="BV2511"/>
      <c r="BX2511"/>
      <c r="BY2511"/>
      <c r="BZ2511"/>
    </row>
    <row r="2512" spans="8:78" x14ac:dyDescent="0.2">
      <c r="H2512"/>
      <c r="L2512"/>
      <c r="AK2512"/>
      <c r="BU2512"/>
      <c r="BV2512"/>
      <c r="BX2512"/>
      <c r="BY2512"/>
      <c r="BZ2512"/>
    </row>
    <row r="2513" spans="8:78" x14ac:dyDescent="0.2">
      <c r="H2513"/>
      <c r="L2513"/>
      <c r="AK2513"/>
      <c r="BU2513"/>
      <c r="BV2513"/>
      <c r="BX2513"/>
      <c r="BY2513"/>
      <c r="BZ2513"/>
    </row>
    <row r="2514" spans="8:78" x14ac:dyDescent="0.2">
      <c r="H2514"/>
      <c r="L2514"/>
      <c r="AK2514"/>
      <c r="BU2514"/>
      <c r="BV2514"/>
      <c r="BX2514"/>
      <c r="BY2514"/>
      <c r="BZ2514"/>
    </row>
    <row r="2515" spans="8:78" x14ac:dyDescent="0.2">
      <c r="H2515"/>
      <c r="L2515"/>
      <c r="BU2515"/>
      <c r="BV2515"/>
      <c r="BX2515"/>
      <c r="BY2515"/>
      <c r="BZ2515"/>
    </row>
    <row r="2516" spans="8:78" x14ac:dyDescent="0.2">
      <c r="H2516"/>
      <c r="L2516"/>
      <c r="AK2516"/>
      <c r="BU2516"/>
      <c r="BV2516"/>
      <c r="BX2516"/>
      <c r="BY2516"/>
      <c r="BZ2516"/>
    </row>
    <row r="2517" spans="8:78" x14ac:dyDescent="0.2">
      <c r="BZ2517"/>
    </row>
    <row r="2518" spans="8:78" x14ac:dyDescent="0.2">
      <c r="AK2518"/>
      <c r="BZ2518"/>
    </row>
    <row r="2519" spans="8:78" x14ac:dyDescent="0.2">
      <c r="AK2519"/>
      <c r="BZ2519"/>
    </row>
    <row r="2520" spans="8:78" x14ac:dyDescent="0.2">
      <c r="AK2520"/>
      <c r="BZ2520"/>
    </row>
    <row r="2521" spans="8:78" x14ac:dyDescent="0.2">
      <c r="H2521"/>
      <c r="L2521"/>
      <c r="AK2521"/>
      <c r="BU2521"/>
      <c r="BV2521"/>
      <c r="BX2521"/>
      <c r="BY2521"/>
      <c r="BZ2521"/>
    </row>
    <row r="2522" spans="8:78" x14ac:dyDescent="0.2">
      <c r="H2522"/>
      <c r="L2522"/>
      <c r="AK2522"/>
      <c r="BU2522"/>
      <c r="BV2522"/>
      <c r="BX2522"/>
      <c r="BY2522"/>
      <c r="BZ2522"/>
    </row>
    <row r="2523" spans="8:78" x14ac:dyDescent="0.2">
      <c r="H2523"/>
      <c r="L2523"/>
      <c r="AK2523"/>
      <c r="BU2523"/>
      <c r="BV2523"/>
      <c r="BX2523"/>
      <c r="BY2523"/>
      <c r="BZ2523"/>
    </row>
    <row r="2524" spans="8:78" x14ac:dyDescent="0.2">
      <c r="H2524"/>
      <c r="L2524"/>
      <c r="BU2524"/>
      <c r="BV2524"/>
      <c r="BX2524"/>
      <c r="BY2524"/>
      <c r="BZ2524"/>
    </row>
    <row r="2525" spans="8:78" x14ac:dyDescent="0.2">
      <c r="H2525"/>
      <c r="L2525"/>
      <c r="BU2525"/>
      <c r="BV2525"/>
      <c r="BX2525"/>
      <c r="BY2525"/>
      <c r="BZ2525"/>
    </row>
    <row r="2526" spans="8:78" x14ac:dyDescent="0.2">
      <c r="H2526"/>
      <c r="L2526"/>
      <c r="AK2526"/>
      <c r="BU2526"/>
      <c r="BV2526"/>
      <c r="BX2526"/>
      <c r="BY2526"/>
      <c r="BZ2526"/>
    </row>
    <row r="2527" spans="8:78" x14ac:dyDescent="0.2">
      <c r="H2527"/>
      <c r="L2527"/>
      <c r="BU2527"/>
      <c r="BV2527"/>
      <c r="BX2527"/>
      <c r="BY2527"/>
      <c r="BZ2527"/>
    </row>
    <row r="2528" spans="8:78" x14ac:dyDescent="0.2">
      <c r="H2528"/>
      <c r="L2528"/>
      <c r="AK2528"/>
      <c r="BU2528"/>
      <c r="BV2528"/>
      <c r="BX2528"/>
      <c r="BY2528"/>
      <c r="BZ2528"/>
    </row>
    <row r="2529" spans="8:78" x14ac:dyDescent="0.2">
      <c r="H2529"/>
      <c r="L2529"/>
      <c r="BU2529"/>
      <c r="BV2529"/>
      <c r="BX2529"/>
      <c r="BY2529"/>
      <c r="BZ2529"/>
    </row>
    <row r="2530" spans="8:78" x14ac:dyDescent="0.2">
      <c r="H2530"/>
      <c r="L2530"/>
      <c r="BU2530"/>
      <c r="BV2530"/>
      <c r="BX2530"/>
      <c r="BY2530"/>
      <c r="BZ2530"/>
    </row>
    <row r="2531" spans="8:78" x14ac:dyDescent="0.2">
      <c r="H2531"/>
      <c r="L2531"/>
      <c r="BU2531"/>
      <c r="BV2531"/>
      <c r="BX2531"/>
      <c r="BY2531"/>
      <c r="BZ2531"/>
    </row>
    <row r="2532" spans="8:78" x14ac:dyDescent="0.2">
      <c r="H2532"/>
      <c r="L2532"/>
      <c r="AK2532"/>
      <c r="BU2532"/>
      <c r="BV2532"/>
      <c r="BX2532"/>
      <c r="BY2532"/>
      <c r="BZ2532"/>
    </row>
    <row r="2533" spans="8:78" x14ac:dyDescent="0.2">
      <c r="H2533"/>
      <c r="L2533"/>
      <c r="AK2533"/>
      <c r="BU2533"/>
      <c r="BV2533"/>
      <c r="BX2533"/>
      <c r="BY2533"/>
      <c r="BZ2533"/>
    </row>
    <row r="2534" spans="8:78" x14ac:dyDescent="0.2">
      <c r="H2534"/>
      <c r="L2534"/>
      <c r="AK2534"/>
      <c r="BU2534"/>
      <c r="BV2534"/>
      <c r="BX2534"/>
      <c r="BY2534"/>
      <c r="BZ2534"/>
    </row>
    <row r="2535" spans="8:78" x14ac:dyDescent="0.2">
      <c r="H2535"/>
      <c r="L2535"/>
      <c r="AK2535"/>
      <c r="BU2535"/>
      <c r="BV2535"/>
      <c r="BX2535"/>
      <c r="BY2535"/>
      <c r="BZ2535"/>
    </row>
    <row r="2536" spans="8:78" x14ac:dyDescent="0.2">
      <c r="H2536"/>
      <c r="L2536"/>
      <c r="AK2536"/>
      <c r="BU2536"/>
      <c r="BV2536"/>
      <c r="BX2536"/>
      <c r="BY2536"/>
      <c r="BZ2536"/>
    </row>
    <row r="2537" spans="8:78" x14ac:dyDescent="0.2">
      <c r="H2537"/>
      <c r="L2537"/>
      <c r="AK2537"/>
      <c r="BU2537"/>
      <c r="BV2537"/>
      <c r="BX2537"/>
      <c r="BY2537"/>
      <c r="BZ2537"/>
    </row>
    <row r="2538" spans="8:78" x14ac:dyDescent="0.2">
      <c r="H2538"/>
      <c r="L2538"/>
      <c r="AK2538"/>
      <c r="BU2538"/>
      <c r="BV2538"/>
      <c r="BX2538"/>
      <c r="BY2538"/>
      <c r="BZ2538"/>
    </row>
    <row r="2539" spans="8:78" x14ac:dyDescent="0.2">
      <c r="H2539"/>
      <c r="L2539"/>
      <c r="BU2539"/>
      <c r="BV2539"/>
      <c r="BX2539"/>
      <c r="BY2539"/>
      <c r="BZ2539"/>
    </row>
    <row r="2540" spans="8:78" x14ac:dyDescent="0.2">
      <c r="H2540"/>
      <c r="L2540"/>
      <c r="BU2540"/>
      <c r="BV2540"/>
      <c r="BX2540"/>
      <c r="BY2540"/>
      <c r="BZ2540"/>
    </row>
    <row r="2541" spans="8:78" x14ac:dyDescent="0.2">
      <c r="H2541"/>
      <c r="L2541"/>
      <c r="BU2541"/>
      <c r="BV2541"/>
      <c r="BX2541"/>
      <c r="BY2541"/>
      <c r="BZ2541"/>
    </row>
    <row r="2542" spans="8:78" x14ac:dyDescent="0.2">
      <c r="H2542"/>
      <c r="L2542"/>
      <c r="BU2542"/>
      <c r="BV2542"/>
      <c r="BX2542"/>
      <c r="BY2542"/>
      <c r="BZ2542"/>
    </row>
    <row r="2543" spans="8:78" x14ac:dyDescent="0.2">
      <c r="H2543"/>
      <c r="L2543"/>
      <c r="BU2543"/>
      <c r="BV2543"/>
      <c r="BX2543"/>
      <c r="BY2543"/>
      <c r="BZ2543"/>
    </row>
    <row r="2544" spans="8:78" x14ac:dyDescent="0.2">
      <c r="H2544"/>
      <c r="L2544"/>
      <c r="AK2544"/>
      <c r="BU2544"/>
      <c r="BV2544"/>
      <c r="BX2544"/>
      <c r="BY2544"/>
      <c r="BZ2544"/>
    </row>
    <row r="2545" spans="8:78" x14ac:dyDescent="0.2">
      <c r="H2545"/>
      <c r="L2545"/>
      <c r="AK2545"/>
      <c r="BU2545"/>
      <c r="BV2545"/>
      <c r="BX2545"/>
      <c r="BY2545"/>
      <c r="BZ2545"/>
    </row>
    <row r="2546" spans="8:78" x14ac:dyDescent="0.2">
      <c r="H2546"/>
      <c r="L2546"/>
      <c r="AK2546"/>
      <c r="BU2546"/>
      <c r="BV2546"/>
      <c r="BX2546"/>
      <c r="BY2546"/>
      <c r="BZ2546"/>
    </row>
    <row r="2547" spans="8:78" x14ac:dyDescent="0.2">
      <c r="H2547"/>
      <c r="L2547"/>
      <c r="AK2547"/>
      <c r="BU2547"/>
      <c r="BV2547"/>
      <c r="BX2547"/>
      <c r="BY2547"/>
      <c r="BZ2547"/>
    </row>
    <row r="2548" spans="8:78" x14ac:dyDescent="0.2">
      <c r="H2548"/>
      <c r="L2548"/>
      <c r="AK2548"/>
      <c r="BU2548"/>
      <c r="BV2548"/>
      <c r="BX2548"/>
      <c r="BY2548"/>
      <c r="BZ2548"/>
    </row>
    <row r="2549" spans="8:78" x14ac:dyDescent="0.2">
      <c r="H2549"/>
      <c r="L2549"/>
      <c r="AK2549"/>
      <c r="BU2549"/>
      <c r="BV2549"/>
      <c r="BX2549"/>
      <c r="BY2549"/>
      <c r="BZ2549"/>
    </row>
    <row r="2550" spans="8:78" x14ac:dyDescent="0.2">
      <c r="H2550"/>
      <c r="L2550"/>
      <c r="AK2550"/>
      <c r="BU2550"/>
      <c r="BV2550"/>
      <c r="BX2550"/>
      <c r="BY2550"/>
      <c r="BZ2550"/>
    </row>
    <row r="2551" spans="8:78" x14ac:dyDescent="0.2">
      <c r="H2551"/>
      <c r="L2551"/>
      <c r="AK2551"/>
      <c r="BU2551"/>
      <c r="BV2551"/>
      <c r="BX2551"/>
      <c r="BY2551"/>
      <c r="BZ2551"/>
    </row>
    <row r="2552" spans="8:78" x14ac:dyDescent="0.2">
      <c r="H2552"/>
      <c r="L2552"/>
      <c r="AK2552"/>
      <c r="BU2552"/>
      <c r="BV2552"/>
      <c r="BX2552"/>
      <c r="BY2552"/>
      <c r="BZ2552"/>
    </row>
    <row r="2553" spans="8:78" x14ac:dyDescent="0.2">
      <c r="H2553"/>
      <c r="L2553"/>
      <c r="AK2553"/>
      <c r="BU2553"/>
      <c r="BV2553"/>
      <c r="BX2553"/>
      <c r="BY2553"/>
      <c r="BZ2553"/>
    </row>
    <row r="2554" spans="8:78" x14ac:dyDescent="0.2">
      <c r="H2554"/>
      <c r="L2554"/>
      <c r="BU2554"/>
      <c r="BV2554"/>
      <c r="BX2554"/>
      <c r="BY2554"/>
      <c r="BZ2554"/>
    </row>
    <row r="2555" spans="8:78" x14ac:dyDescent="0.2">
      <c r="H2555"/>
      <c r="L2555"/>
      <c r="AK2555"/>
      <c r="BU2555"/>
      <c r="BV2555"/>
      <c r="BX2555"/>
      <c r="BY2555"/>
      <c r="BZ2555"/>
    </row>
    <row r="2556" spans="8:78" x14ac:dyDescent="0.2">
      <c r="H2556"/>
      <c r="L2556"/>
      <c r="BU2556"/>
      <c r="BV2556"/>
      <c r="BX2556"/>
      <c r="BY2556"/>
      <c r="BZ2556"/>
    </row>
    <row r="2557" spans="8:78" x14ac:dyDescent="0.2">
      <c r="H2557"/>
      <c r="L2557"/>
      <c r="AK2557"/>
      <c r="BU2557"/>
      <c r="BV2557"/>
      <c r="BX2557"/>
      <c r="BY2557"/>
      <c r="BZ2557"/>
    </row>
    <row r="2558" spans="8:78" x14ac:dyDescent="0.2">
      <c r="H2558"/>
      <c r="L2558"/>
      <c r="AK2558"/>
      <c r="BU2558"/>
      <c r="BV2558"/>
      <c r="BX2558"/>
      <c r="BY2558"/>
      <c r="BZ2558"/>
    </row>
    <row r="2559" spans="8:78" x14ac:dyDescent="0.2">
      <c r="H2559"/>
      <c r="L2559"/>
      <c r="BU2559"/>
      <c r="BV2559"/>
      <c r="BX2559"/>
      <c r="BY2559"/>
      <c r="BZ2559"/>
    </row>
    <row r="2560" spans="8:78" x14ac:dyDescent="0.2">
      <c r="H2560"/>
      <c r="L2560"/>
      <c r="AK2560"/>
      <c r="BU2560"/>
      <c r="BV2560"/>
      <c r="BX2560"/>
      <c r="BY2560"/>
      <c r="BZ2560"/>
    </row>
    <row r="2561" spans="8:78" x14ac:dyDescent="0.2">
      <c r="H2561"/>
      <c r="L2561"/>
      <c r="AK2561"/>
      <c r="BU2561"/>
      <c r="BV2561"/>
      <c r="BX2561"/>
      <c r="BY2561"/>
      <c r="BZ2561"/>
    </row>
    <row r="2562" spans="8:78" x14ac:dyDescent="0.2">
      <c r="H2562"/>
      <c r="L2562"/>
      <c r="AK2562"/>
      <c r="BU2562"/>
      <c r="BV2562"/>
      <c r="BX2562"/>
      <c r="BY2562"/>
      <c r="BZ2562"/>
    </row>
    <row r="2563" spans="8:78" x14ac:dyDescent="0.2">
      <c r="H2563"/>
      <c r="L2563"/>
      <c r="AK2563"/>
      <c r="BU2563"/>
      <c r="BV2563"/>
      <c r="BX2563"/>
      <c r="BY2563"/>
      <c r="BZ2563"/>
    </row>
    <row r="2564" spans="8:78" x14ac:dyDescent="0.2">
      <c r="H2564"/>
      <c r="L2564"/>
      <c r="AK2564"/>
      <c r="BU2564"/>
      <c r="BV2564"/>
      <c r="BX2564"/>
      <c r="BY2564"/>
      <c r="BZ2564"/>
    </row>
    <row r="2565" spans="8:78" x14ac:dyDescent="0.2">
      <c r="H2565"/>
      <c r="L2565"/>
      <c r="AK2565"/>
      <c r="BU2565"/>
      <c r="BV2565"/>
      <c r="BX2565"/>
      <c r="BY2565"/>
      <c r="BZ2565"/>
    </row>
    <row r="2566" spans="8:78" x14ac:dyDescent="0.2">
      <c r="H2566"/>
      <c r="L2566"/>
      <c r="AK2566"/>
      <c r="BU2566"/>
      <c r="BV2566"/>
      <c r="BX2566"/>
      <c r="BY2566"/>
      <c r="BZ2566"/>
    </row>
    <row r="2567" spans="8:78" x14ac:dyDescent="0.2">
      <c r="H2567"/>
      <c r="L2567"/>
      <c r="AK2567"/>
      <c r="BU2567"/>
      <c r="BV2567"/>
      <c r="BX2567"/>
      <c r="BY2567"/>
      <c r="BZ2567"/>
    </row>
    <row r="2568" spans="8:78" x14ac:dyDescent="0.2">
      <c r="H2568"/>
      <c r="L2568"/>
      <c r="AK2568"/>
      <c r="BU2568"/>
      <c r="BV2568"/>
      <c r="BX2568"/>
      <c r="BY2568"/>
      <c r="BZ2568"/>
    </row>
    <row r="2569" spans="8:78" x14ac:dyDescent="0.2">
      <c r="H2569"/>
      <c r="L2569"/>
      <c r="AK2569"/>
      <c r="BU2569"/>
      <c r="BV2569"/>
      <c r="BX2569"/>
      <c r="BY2569"/>
      <c r="BZ2569"/>
    </row>
    <row r="2570" spans="8:78" x14ac:dyDescent="0.2">
      <c r="H2570"/>
      <c r="L2570"/>
      <c r="AK2570"/>
      <c r="BU2570"/>
      <c r="BV2570"/>
      <c r="BX2570"/>
      <c r="BY2570"/>
      <c r="BZ2570"/>
    </row>
    <row r="2571" spans="8:78" x14ac:dyDescent="0.2">
      <c r="AK2571"/>
      <c r="BZ2571"/>
    </row>
    <row r="2572" spans="8:78" x14ac:dyDescent="0.2">
      <c r="AK2572"/>
      <c r="BZ2572"/>
    </row>
    <row r="2573" spans="8:78" x14ac:dyDescent="0.2">
      <c r="H2573"/>
      <c r="L2573"/>
      <c r="AK2573"/>
      <c r="BU2573"/>
      <c r="BV2573"/>
      <c r="BX2573"/>
      <c r="BY2573"/>
      <c r="BZ2573"/>
    </row>
    <row r="2574" spans="8:78" x14ac:dyDescent="0.2">
      <c r="H2574"/>
      <c r="L2574"/>
      <c r="AK2574"/>
      <c r="BU2574"/>
      <c r="BV2574"/>
      <c r="BX2574"/>
      <c r="BY2574"/>
      <c r="BZ2574"/>
    </row>
    <row r="2575" spans="8:78" x14ac:dyDescent="0.2">
      <c r="H2575"/>
      <c r="L2575"/>
      <c r="AK2575"/>
      <c r="BU2575"/>
      <c r="BV2575"/>
      <c r="BX2575"/>
      <c r="BY2575"/>
      <c r="BZ2575"/>
    </row>
    <row r="2576" spans="8:78" x14ac:dyDescent="0.2">
      <c r="AK2576"/>
      <c r="BZ2576"/>
    </row>
    <row r="2577" spans="8:78" x14ac:dyDescent="0.2">
      <c r="H2577"/>
      <c r="L2577"/>
      <c r="AK2577"/>
      <c r="BU2577"/>
      <c r="BV2577"/>
      <c r="BX2577"/>
      <c r="BY2577"/>
      <c r="BZ2577"/>
    </row>
    <row r="2578" spans="8:78" x14ac:dyDescent="0.2">
      <c r="H2578"/>
      <c r="L2578"/>
      <c r="AK2578"/>
      <c r="BU2578"/>
      <c r="BV2578"/>
      <c r="BX2578"/>
      <c r="BY2578"/>
      <c r="BZ2578"/>
    </row>
    <row r="2579" spans="8:78" x14ac:dyDescent="0.2">
      <c r="H2579"/>
      <c r="L2579"/>
      <c r="AK2579"/>
      <c r="BU2579"/>
      <c r="BV2579"/>
      <c r="BX2579"/>
      <c r="BY2579"/>
      <c r="BZ2579"/>
    </row>
    <row r="2580" spans="8:78" x14ac:dyDescent="0.2">
      <c r="H2580"/>
      <c r="L2580"/>
      <c r="AK2580"/>
      <c r="BU2580"/>
      <c r="BV2580"/>
      <c r="BX2580"/>
      <c r="BY2580"/>
      <c r="BZ2580"/>
    </row>
    <row r="2581" spans="8:78" x14ac:dyDescent="0.2">
      <c r="H2581"/>
      <c r="L2581"/>
      <c r="AK2581"/>
      <c r="BU2581"/>
      <c r="BV2581"/>
      <c r="BX2581"/>
      <c r="BY2581"/>
      <c r="BZ2581"/>
    </row>
    <row r="2582" spans="8:78" x14ac:dyDescent="0.2">
      <c r="H2582"/>
      <c r="L2582"/>
      <c r="AK2582"/>
      <c r="BU2582"/>
      <c r="BV2582"/>
      <c r="BX2582"/>
      <c r="BY2582"/>
      <c r="BZ2582"/>
    </row>
    <row r="2583" spans="8:78" x14ac:dyDescent="0.2">
      <c r="H2583"/>
      <c r="L2583"/>
      <c r="AK2583"/>
      <c r="BU2583"/>
      <c r="BV2583"/>
      <c r="BX2583"/>
      <c r="BY2583"/>
      <c r="BZ2583"/>
    </row>
    <row r="2584" spans="8:78" x14ac:dyDescent="0.2">
      <c r="H2584"/>
      <c r="L2584"/>
      <c r="AK2584"/>
      <c r="BU2584"/>
      <c r="BV2584"/>
      <c r="BX2584"/>
      <c r="BY2584"/>
      <c r="BZ2584"/>
    </row>
    <row r="2585" spans="8:78" x14ac:dyDescent="0.2">
      <c r="H2585"/>
      <c r="L2585"/>
      <c r="AK2585"/>
      <c r="BU2585"/>
      <c r="BV2585"/>
      <c r="BX2585"/>
      <c r="BY2585"/>
      <c r="BZ2585"/>
    </row>
    <row r="2586" spans="8:78" x14ac:dyDescent="0.2">
      <c r="H2586"/>
      <c r="L2586"/>
      <c r="AK2586"/>
      <c r="BU2586"/>
      <c r="BV2586"/>
      <c r="BX2586"/>
      <c r="BY2586"/>
      <c r="BZ2586"/>
    </row>
    <row r="2587" spans="8:78" x14ac:dyDescent="0.2">
      <c r="H2587"/>
      <c r="L2587"/>
      <c r="AK2587"/>
      <c r="BU2587"/>
      <c r="BV2587"/>
      <c r="BX2587"/>
      <c r="BY2587"/>
      <c r="BZ2587"/>
    </row>
    <row r="2588" spans="8:78" x14ac:dyDescent="0.2">
      <c r="H2588"/>
      <c r="L2588"/>
      <c r="BU2588"/>
      <c r="BV2588"/>
      <c r="BX2588"/>
      <c r="BY2588"/>
      <c r="BZ2588"/>
    </row>
    <row r="2589" spans="8:78" x14ac:dyDescent="0.2">
      <c r="H2589"/>
      <c r="L2589"/>
      <c r="AK2589"/>
      <c r="BU2589"/>
      <c r="BV2589"/>
      <c r="BX2589"/>
      <c r="BY2589"/>
      <c r="BZ2589"/>
    </row>
    <row r="2590" spans="8:78" x14ac:dyDescent="0.2">
      <c r="H2590"/>
      <c r="L2590"/>
      <c r="AK2590"/>
      <c r="BU2590"/>
      <c r="BV2590"/>
      <c r="BX2590"/>
      <c r="BY2590"/>
      <c r="BZ2590"/>
    </row>
    <row r="2591" spans="8:78" x14ac:dyDescent="0.2">
      <c r="H2591"/>
      <c r="L2591"/>
      <c r="BU2591"/>
      <c r="BV2591"/>
      <c r="BX2591"/>
      <c r="BY2591"/>
      <c r="BZ2591"/>
    </row>
    <row r="2592" spans="8:78" x14ac:dyDescent="0.2">
      <c r="H2592"/>
      <c r="L2592"/>
      <c r="BU2592"/>
      <c r="BV2592"/>
      <c r="BX2592"/>
      <c r="BY2592"/>
      <c r="BZ2592"/>
    </row>
    <row r="2593" spans="8:78" x14ac:dyDescent="0.2">
      <c r="H2593"/>
      <c r="L2593"/>
      <c r="BU2593"/>
      <c r="BV2593"/>
      <c r="BX2593"/>
      <c r="BY2593"/>
      <c r="BZ2593"/>
    </row>
    <row r="2594" spans="8:78" x14ac:dyDescent="0.2">
      <c r="H2594"/>
      <c r="L2594"/>
      <c r="BU2594"/>
      <c r="BV2594"/>
      <c r="BX2594"/>
      <c r="BY2594"/>
      <c r="BZ2594"/>
    </row>
    <row r="2595" spans="8:78" x14ac:dyDescent="0.2">
      <c r="H2595"/>
      <c r="L2595"/>
      <c r="AK2595"/>
      <c r="BU2595"/>
      <c r="BV2595"/>
      <c r="BX2595"/>
      <c r="BY2595"/>
      <c r="BZ2595"/>
    </row>
    <row r="2596" spans="8:78" x14ac:dyDescent="0.2">
      <c r="H2596"/>
      <c r="L2596"/>
      <c r="AK2596"/>
      <c r="BU2596"/>
      <c r="BV2596"/>
      <c r="BX2596"/>
      <c r="BY2596"/>
      <c r="BZ2596"/>
    </row>
    <row r="2597" spans="8:78" x14ac:dyDescent="0.2">
      <c r="H2597"/>
      <c r="L2597"/>
      <c r="AK2597"/>
      <c r="BU2597"/>
      <c r="BV2597"/>
      <c r="BX2597"/>
      <c r="BY2597"/>
      <c r="BZ2597"/>
    </row>
    <row r="2598" spans="8:78" x14ac:dyDescent="0.2">
      <c r="H2598"/>
      <c r="L2598"/>
      <c r="AK2598"/>
      <c r="BU2598"/>
      <c r="BV2598"/>
      <c r="BX2598"/>
      <c r="BY2598"/>
      <c r="BZ2598"/>
    </row>
    <row r="2599" spans="8:78" x14ac:dyDescent="0.2">
      <c r="H2599"/>
      <c r="L2599"/>
      <c r="AK2599"/>
      <c r="BU2599"/>
      <c r="BV2599"/>
      <c r="BX2599"/>
      <c r="BY2599"/>
      <c r="BZ2599"/>
    </row>
    <row r="2600" spans="8:78" x14ac:dyDescent="0.2">
      <c r="H2600"/>
      <c r="L2600"/>
      <c r="BU2600"/>
      <c r="BV2600"/>
      <c r="BX2600"/>
      <c r="BY2600"/>
      <c r="BZ2600"/>
    </row>
    <row r="2601" spans="8:78" x14ac:dyDescent="0.2">
      <c r="H2601"/>
      <c r="L2601"/>
      <c r="BU2601"/>
      <c r="BV2601"/>
      <c r="BX2601"/>
      <c r="BY2601"/>
      <c r="BZ2601"/>
    </row>
    <row r="2602" spans="8:78" x14ac:dyDescent="0.2">
      <c r="H2602"/>
      <c r="L2602"/>
      <c r="BU2602"/>
      <c r="BV2602"/>
      <c r="BX2602"/>
      <c r="BY2602"/>
      <c r="BZ2602"/>
    </row>
    <row r="2603" spans="8:78" x14ac:dyDescent="0.2">
      <c r="H2603"/>
      <c r="L2603"/>
      <c r="BU2603"/>
      <c r="BV2603"/>
      <c r="BX2603"/>
      <c r="BY2603"/>
      <c r="BZ2603"/>
    </row>
    <row r="2604" spans="8:78" x14ac:dyDescent="0.2">
      <c r="H2604"/>
      <c r="L2604"/>
      <c r="BU2604"/>
      <c r="BV2604"/>
      <c r="BX2604"/>
      <c r="BY2604"/>
      <c r="BZ2604"/>
    </row>
    <row r="2605" spans="8:78" x14ac:dyDescent="0.2">
      <c r="H2605"/>
      <c r="L2605"/>
      <c r="BU2605"/>
      <c r="BV2605"/>
      <c r="BX2605"/>
      <c r="BY2605"/>
      <c r="BZ2605"/>
    </row>
    <row r="2606" spans="8:78" x14ac:dyDescent="0.2">
      <c r="H2606"/>
      <c r="L2606"/>
      <c r="AK2606"/>
      <c r="BU2606"/>
      <c r="BV2606"/>
      <c r="BX2606"/>
      <c r="BY2606"/>
      <c r="BZ2606"/>
    </row>
    <row r="2607" spans="8:78" x14ac:dyDescent="0.2">
      <c r="H2607"/>
      <c r="L2607"/>
      <c r="AK2607"/>
      <c r="BU2607"/>
      <c r="BV2607"/>
      <c r="BX2607"/>
      <c r="BY2607"/>
      <c r="BZ2607"/>
    </row>
    <row r="2608" spans="8:78" x14ac:dyDescent="0.2">
      <c r="H2608"/>
      <c r="L2608"/>
      <c r="AK2608"/>
      <c r="BU2608"/>
      <c r="BV2608"/>
      <c r="BX2608"/>
      <c r="BY2608"/>
      <c r="BZ2608"/>
    </row>
    <row r="2609" spans="8:78" x14ac:dyDescent="0.2">
      <c r="H2609"/>
      <c r="L2609"/>
      <c r="AK2609"/>
      <c r="BU2609"/>
      <c r="BV2609"/>
      <c r="BX2609"/>
      <c r="BY2609"/>
      <c r="BZ2609"/>
    </row>
    <row r="2610" spans="8:78" x14ac:dyDescent="0.2">
      <c r="H2610"/>
      <c r="L2610"/>
      <c r="AK2610"/>
      <c r="BU2610"/>
      <c r="BV2610"/>
      <c r="BX2610"/>
      <c r="BY2610"/>
      <c r="BZ2610"/>
    </row>
    <row r="2611" spans="8:78" x14ac:dyDescent="0.2">
      <c r="H2611"/>
      <c r="L2611"/>
      <c r="AK2611"/>
      <c r="BU2611"/>
      <c r="BV2611"/>
      <c r="BX2611"/>
      <c r="BY2611"/>
      <c r="BZ2611"/>
    </row>
    <row r="2612" spans="8:78" x14ac:dyDescent="0.2">
      <c r="H2612"/>
      <c r="L2612"/>
      <c r="AK2612"/>
      <c r="BU2612"/>
      <c r="BV2612"/>
      <c r="BX2612"/>
      <c r="BY2612"/>
      <c r="BZ2612"/>
    </row>
    <row r="2613" spans="8:78" x14ac:dyDescent="0.2">
      <c r="H2613"/>
      <c r="L2613"/>
      <c r="BU2613"/>
      <c r="BV2613"/>
      <c r="BX2613"/>
      <c r="BY2613"/>
      <c r="BZ2613"/>
    </row>
    <row r="2614" spans="8:78" x14ac:dyDescent="0.2">
      <c r="H2614"/>
      <c r="L2614"/>
      <c r="AK2614"/>
      <c r="BU2614"/>
      <c r="BV2614"/>
      <c r="BX2614"/>
      <c r="BY2614"/>
      <c r="BZ2614"/>
    </row>
    <row r="2615" spans="8:78" x14ac:dyDescent="0.2">
      <c r="H2615"/>
      <c r="L2615"/>
      <c r="AK2615"/>
      <c r="BU2615"/>
      <c r="BV2615"/>
      <c r="BX2615"/>
      <c r="BY2615"/>
      <c r="BZ2615"/>
    </row>
    <row r="2616" spans="8:78" x14ac:dyDescent="0.2">
      <c r="H2616"/>
      <c r="L2616"/>
      <c r="AK2616"/>
      <c r="BU2616"/>
      <c r="BV2616"/>
      <c r="BX2616"/>
      <c r="BY2616"/>
      <c r="BZ2616"/>
    </row>
    <row r="2617" spans="8:78" x14ac:dyDescent="0.2">
      <c r="H2617"/>
      <c r="L2617"/>
      <c r="BU2617"/>
      <c r="BV2617"/>
      <c r="BX2617"/>
      <c r="BY2617"/>
      <c r="BZ2617"/>
    </row>
    <row r="2618" spans="8:78" x14ac:dyDescent="0.2">
      <c r="H2618"/>
      <c r="L2618"/>
      <c r="BU2618"/>
      <c r="BV2618"/>
      <c r="BX2618"/>
      <c r="BY2618"/>
      <c r="BZ2618"/>
    </row>
    <row r="2619" spans="8:78" x14ac:dyDescent="0.2">
      <c r="H2619"/>
      <c r="L2619"/>
      <c r="BU2619"/>
      <c r="BV2619"/>
      <c r="BX2619"/>
      <c r="BY2619"/>
      <c r="BZ2619"/>
    </row>
    <row r="2620" spans="8:78" x14ac:dyDescent="0.2">
      <c r="H2620"/>
      <c r="L2620"/>
      <c r="BU2620"/>
      <c r="BV2620"/>
      <c r="BX2620"/>
      <c r="BY2620"/>
      <c r="BZ2620"/>
    </row>
    <row r="2621" spans="8:78" x14ac:dyDescent="0.2">
      <c r="H2621"/>
      <c r="L2621"/>
      <c r="BU2621"/>
      <c r="BV2621"/>
      <c r="BX2621"/>
      <c r="BY2621"/>
      <c r="BZ2621"/>
    </row>
    <row r="2622" spans="8:78" x14ac:dyDescent="0.2">
      <c r="H2622"/>
      <c r="L2622"/>
      <c r="BU2622"/>
      <c r="BV2622"/>
      <c r="BX2622"/>
      <c r="BY2622"/>
      <c r="BZ2622"/>
    </row>
    <row r="2623" spans="8:78" x14ac:dyDescent="0.2">
      <c r="H2623"/>
      <c r="L2623"/>
      <c r="AK2623"/>
      <c r="BU2623"/>
      <c r="BV2623"/>
      <c r="BX2623"/>
      <c r="BY2623"/>
      <c r="BZ2623"/>
    </row>
    <row r="2624" spans="8:78" x14ac:dyDescent="0.2">
      <c r="H2624"/>
      <c r="L2624"/>
      <c r="AK2624"/>
      <c r="BU2624"/>
      <c r="BV2624"/>
      <c r="BX2624"/>
      <c r="BY2624"/>
      <c r="BZ2624"/>
    </row>
    <row r="2625" spans="8:78" x14ac:dyDescent="0.2">
      <c r="AK2625"/>
      <c r="BZ2625"/>
    </row>
    <row r="2626" spans="8:78" x14ac:dyDescent="0.2">
      <c r="H2626"/>
      <c r="L2626"/>
      <c r="AK2626"/>
      <c r="BU2626"/>
      <c r="BV2626"/>
      <c r="BX2626"/>
      <c r="BY2626"/>
      <c r="BZ2626"/>
    </row>
    <row r="2627" spans="8:78" x14ac:dyDescent="0.2">
      <c r="H2627"/>
      <c r="L2627"/>
      <c r="AK2627"/>
      <c r="BU2627"/>
      <c r="BV2627"/>
      <c r="BX2627"/>
      <c r="BY2627"/>
      <c r="BZ2627"/>
    </row>
    <row r="2628" spans="8:78" x14ac:dyDescent="0.2">
      <c r="H2628"/>
      <c r="L2628"/>
      <c r="AK2628"/>
      <c r="BU2628"/>
      <c r="BV2628"/>
      <c r="BX2628"/>
      <c r="BY2628"/>
      <c r="BZ2628"/>
    </row>
    <row r="2629" spans="8:78" x14ac:dyDescent="0.2">
      <c r="H2629"/>
      <c r="L2629"/>
      <c r="BU2629"/>
      <c r="BV2629"/>
      <c r="BX2629"/>
      <c r="BY2629"/>
      <c r="BZ2629"/>
    </row>
    <row r="2630" spans="8:78" x14ac:dyDescent="0.2">
      <c r="H2630"/>
      <c r="L2630"/>
      <c r="BU2630"/>
      <c r="BV2630"/>
      <c r="BX2630"/>
      <c r="BY2630"/>
      <c r="BZ2630"/>
    </row>
    <row r="2631" spans="8:78" x14ac:dyDescent="0.2">
      <c r="H2631"/>
      <c r="L2631"/>
      <c r="BU2631"/>
      <c r="BV2631"/>
      <c r="BX2631"/>
      <c r="BY2631"/>
      <c r="BZ2631"/>
    </row>
    <row r="2632" spans="8:78" x14ac:dyDescent="0.2">
      <c r="H2632"/>
      <c r="L2632"/>
      <c r="BU2632"/>
      <c r="BV2632"/>
      <c r="BX2632"/>
      <c r="BY2632"/>
      <c r="BZ2632"/>
    </row>
    <row r="2633" spans="8:78" x14ac:dyDescent="0.2">
      <c r="H2633"/>
      <c r="L2633"/>
      <c r="BU2633"/>
      <c r="BV2633"/>
      <c r="BX2633"/>
      <c r="BY2633"/>
      <c r="BZ2633"/>
    </row>
    <row r="2634" spans="8:78" x14ac:dyDescent="0.2">
      <c r="H2634"/>
      <c r="L2634"/>
      <c r="BU2634"/>
      <c r="BV2634"/>
      <c r="BX2634"/>
      <c r="BY2634"/>
      <c r="BZ2634"/>
    </row>
    <row r="2635" spans="8:78" x14ac:dyDescent="0.2">
      <c r="H2635"/>
      <c r="L2635"/>
      <c r="BU2635"/>
      <c r="BV2635"/>
      <c r="BX2635"/>
      <c r="BY2635"/>
      <c r="BZ2635"/>
    </row>
    <row r="2636" spans="8:78" x14ac:dyDescent="0.2">
      <c r="H2636"/>
      <c r="L2636"/>
      <c r="BU2636"/>
      <c r="BV2636"/>
      <c r="BX2636"/>
      <c r="BY2636"/>
      <c r="BZ2636"/>
    </row>
    <row r="2637" spans="8:78" x14ac:dyDescent="0.2">
      <c r="H2637"/>
      <c r="L2637"/>
      <c r="BU2637"/>
      <c r="BV2637"/>
      <c r="BX2637"/>
      <c r="BY2637"/>
      <c r="BZ2637"/>
    </row>
    <row r="2638" spans="8:78" x14ac:dyDescent="0.2">
      <c r="H2638"/>
      <c r="L2638"/>
      <c r="BU2638"/>
      <c r="BV2638"/>
      <c r="BX2638"/>
      <c r="BY2638"/>
      <c r="BZ2638"/>
    </row>
    <row r="2639" spans="8:78" x14ac:dyDescent="0.2">
      <c r="H2639"/>
      <c r="L2639"/>
      <c r="BU2639"/>
      <c r="BV2639"/>
      <c r="BX2639"/>
      <c r="BY2639"/>
      <c r="BZ2639"/>
    </row>
    <row r="2640" spans="8:78" x14ac:dyDescent="0.2">
      <c r="H2640"/>
      <c r="L2640"/>
      <c r="BU2640"/>
      <c r="BV2640"/>
      <c r="BX2640"/>
      <c r="BY2640"/>
      <c r="BZ2640"/>
    </row>
    <row r="2641" spans="8:78" x14ac:dyDescent="0.2">
      <c r="H2641"/>
      <c r="L2641"/>
      <c r="BU2641"/>
      <c r="BV2641"/>
      <c r="BX2641"/>
      <c r="BY2641"/>
      <c r="BZ2641"/>
    </row>
    <row r="2642" spans="8:78" x14ac:dyDescent="0.2">
      <c r="H2642"/>
      <c r="L2642"/>
      <c r="BU2642"/>
      <c r="BV2642"/>
      <c r="BX2642"/>
      <c r="BY2642"/>
      <c r="BZ2642"/>
    </row>
    <row r="2643" spans="8:78" x14ac:dyDescent="0.2">
      <c r="H2643"/>
      <c r="L2643"/>
      <c r="BU2643"/>
      <c r="BV2643"/>
      <c r="BX2643"/>
      <c r="BY2643"/>
      <c r="BZ2643"/>
    </row>
    <row r="2644" spans="8:78" x14ac:dyDescent="0.2">
      <c r="H2644"/>
      <c r="L2644"/>
      <c r="BU2644"/>
      <c r="BV2644"/>
      <c r="BX2644"/>
      <c r="BY2644"/>
      <c r="BZ2644"/>
    </row>
    <row r="2645" spans="8:78" x14ac:dyDescent="0.2">
      <c r="H2645"/>
      <c r="L2645"/>
      <c r="BU2645"/>
      <c r="BV2645"/>
      <c r="BX2645"/>
      <c r="BY2645"/>
      <c r="BZ2645"/>
    </row>
    <row r="2646" spans="8:78" x14ac:dyDescent="0.2">
      <c r="H2646"/>
      <c r="L2646"/>
      <c r="AK2646"/>
      <c r="BU2646"/>
      <c r="BV2646"/>
      <c r="BX2646"/>
      <c r="BY2646"/>
      <c r="BZ2646"/>
    </row>
    <row r="2647" spans="8:78" x14ac:dyDescent="0.2">
      <c r="AK2647"/>
      <c r="BZ2647"/>
    </row>
    <row r="2648" spans="8:78" x14ac:dyDescent="0.2">
      <c r="AK2648"/>
      <c r="BZ2648"/>
    </row>
    <row r="2649" spans="8:78" x14ac:dyDescent="0.2">
      <c r="H2649"/>
      <c r="L2649"/>
      <c r="AK2649"/>
      <c r="BU2649"/>
      <c r="BV2649"/>
      <c r="BX2649"/>
      <c r="BY2649"/>
      <c r="BZ2649"/>
    </row>
    <row r="2650" spans="8:78" x14ac:dyDescent="0.2">
      <c r="H2650"/>
      <c r="L2650"/>
      <c r="AK2650"/>
      <c r="BU2650"/>
      <c r="BV2650"/>
      <c r="BX2650"/>
      <c r="BY2650"/>
      <c r="BZ2650"/>
    </row>
    <row r="2651" spans="8:78" x14ac:dyDescent="0.2">
      <c r="H2651"/>
      <c r="L2651"/>
      <c r="AK2651"/>
      <c r="BU2651"/>
      <c r="BV2651"/>
      <c r="BX2651"/>
      <c r="BY2651"/>
      <c r="BZ2651"/>
    </row>
    <row r="2652" spans="8:78" x14ac:dyDescent="0.2">
      <c r="H2652"/>
      <c r="L2652"/>
      <c r="BU2652"/>
      <c r="BV2652"/>
      <c r="BX2652"/>
      <c r="BY2652"/>
      <c r="BZ2652"/>
    </row>
    <row r="2653" spans="8:78" x14ac:dyDescent="0.2">
      <c r="BZ2653"/>
    </row>
    <row r="2654" spans="8:78" x14ac:dyDescent="0.2">
      <c r="H2654"/>
      <c r="L2654"/>
      <c r="BU2654"/>
      <c r="BV2654"/>
      <c r="BX2654"/>
      <c r="BY2654"/>
      <c r="BZ2654"/>
    </row>
    <row r="2655" spans="8:78" x14ac:dyDescent="0.2">
      <c r="H2655"/>
      <c r="L2655"/>
      <c r="BU2655"/>
      <c r="BV2655"/>
      <c r="BX2655"/>
      <c r="BY2655"/>
      <c r="BZ2655"/>
    </row>
    <row r="2656" spans="8:78" x14ac:dyDescent="0.2">
      <c r="H2656"/>
      <c r="L2656"/>
      <c r="BU2656"/>
      <c r="BV2656"/>
      <c r="BX2656"/>
      <c r="BY2656"/>
      <c r="BZ2656"/>
    </row>
    <row r="2657" spans="8:78" x14ac:dyDescent="0.2">
      <c r="H2657"/>
      <c r="L2657"/>
      <c r="BU2657"/>
      <c r="BV2657"/>
      <c r="BX2657"/>
      <c r="BY2657"/>
      <c r="BZ2657"/>
    </row>
    <row r="2658" spans="8:78" x14ac:dyDescent="0.2">
      <c r="H2658"/>
      <c r="L2658"/>
      <c r="BU2658"/>
      <c r="BV2658"/>
      <c r="BX2658"/>
      <c r="BY2658"/>
      <c r="BZ2658"/>
    </row>
    <row r="2659" spans="8:78" x14ac:dyDescent="0.2">
      <c r="H2659"/>
      <c r="L2659"/>
      <c r="BU2659"/>
      <c r="BV2659"/>
      <c r="BX2659"/>
      <c r="BY2659"/>
      <c r="BZ2659"/>
    </row>
    <row r="2660" spans="8:78" x14ac:dyDescent="0.2">
      <c r="H2660"/>
      <c r="L2660"/>
      <c r="BU2660"/>
      <c r="BV2660"/>
      <c r="BX2660"/>
      <c r="BY2660"/>
      <c r="BZ2660"/>
    </row>
    <row r="2661" spans="8:78" x14ac:dyDescent="0.2">
      <c r="H2661"/>
      <c r="L2661"/>
      <c r="BU2661"/>
      <c r="BV2661"/>
      <c r="BX2661"/>
      <c r="BY2661"/>
      <c r="BZ2661"/>
    </row>
    <row r="2662" spans="8:78" x14ac:dyDescent="0.2">
      <c r="H2662"/>
      <c r="L2662"/>
      <c r="BU2662"/>
      <c r="BV2662"/>
      <c r="BX2662"/>
      <c r="BY2662"/>
      <c r="BZ2662"/>
    </row>
    <row r="2663" spans="8:78" x14ac:dyDescent="0.2">
      <c r="H2663"/>
      <c r="L2663"/>
      <c r="BU2663"/>
      <c r="BV2663"/>
      <c r="BX2663"/>
      <c r="BY2663"/>
      <c r="BZ2663"/>
    </row>
    <row r="2664" spans="8:78" x14ac:dyDescent="0.2">
      <c r="H2664"/>
      <c r="L2664"/>
      <c r="BU2664"/>
      <c r="BV2664"/>
      <c r="BX2664"/>
      <c r="BY2664"/>
      <c r="BZ2664"/>
    </row>
    <row r="2665" spans="8:78" x14ac:dyDescent="0.2">
      <c r="H2665"/>
      <c r="L2665"/>
      <c r="BU2665"/>
      <c r="BV2665"/>
      <c r="BX2665"/>
      <c r="BY2665"/>
      <c r="BZ2665"/>
    </row>
    <row r="2666" spans="8:78" x14ac:dyDescent="0.2">
      <c r="H2666"/>
      <c r="L2666"/>
      <c r="BU2666"/>
      <c r="BV2666"/>
      <c r="BX2666"/>
      <c r="BY2666"/>
      <c r="BZ2666"/>
    </row>
    <row r="2667" spans="8:78" x14ac:dyDescent="0.2">
      <c r="H2667"/>
      <c r="L2667"/>
      <c r="BU2667"/>
      <c r="BV2667"/>
      <c r="BX2667"/>
      <c r="BY2667"/>
      <c r="BZ2667"/>
    </row>
    <row r="2668" spans="8:78" x14ac:dyDescent="0.2">
      <c r="H2668"/>
      <c r="L2668"/>
      <c r="BU2668"/>
      <c r="BV2668"/>
      <c r="BX2668"/>
      <c r="BY2668"/>
      <c r="BZ2668"/>
    </row>
    <row r="2669" spans="8:78" x14ac:dyDescent="0.2">
      <c r="H2669"/>
      <c r="L2669"/>
      <c r="BU2669"/>
      <c r="BV2669"/>
      <c r="BX2669"/>
      <c r="BY2669"/>
      <c r="BZ2669"/>
    </row>
    <row r="2670" spans="8:78" x14ac:dyDescent="0.2">
      <c r="H2670"/>
      <c r="L2670"/>
      <c r="BU2670"/>
      <c r="BV2670"/>
      <c r="BX2670"/>
      <c r="BY2670"/>
      <c r="BZ2670"/>
    </row>
    <row r="2671" spans="8:78" x14ac:dyDescent="0.2">
      <c r="H2671"/>
      <c r="L2671"/>
      <c r="BU2671"/>
      <c r="BV2671"/>
      <c r="BX2671"/>
      <c r="BY2671"/>
      <c r="BZ2671"/>
    </row>
    <row r="2672" spans="8:78" x14ac:dyDescent="0.2">
      <c r="H2672"/>
      <c r="L2672"/>
      <c r="BU2672"/>
      <c r="BV2672"/>
      <c r="BX2672"/>
      <c r="BY2672"/>
      <c r="BZ2672"/>
    </row>
    <row r="2673" spans="8:78" x14ac:dyDescent="0.2">
      <c r="H2673"/>
      <c r="L2673"/>
      <c r="BU2673"/>
      <c r="BV2673"/>
      <c r="BX2673"/>
      <c r="BY2673"/>
      <c r="BZ2673"/>
    </row>
    <row r="2674" spans="8:78" x14ac:dyDescent="0.2">
      <c r="H2674"/>
      <c r="L2674"/>
      <c r="BU2674"/>
      <c r="BV2674"/>
      <c r="BX2674"/>
      <c r="BY2674"/>
      <c r="BZ2674"/>
    </row>
    <row r="2675" spans="8:78" x14ac:dyDescent="0.2">
      <c r="H2675"/>
      <c r="L2675"/>
      <c r="BU2675"/>
      <c r="BV2675"/>
      <c r="BX2675"/>
      <c r="BY2675"/>
      <c r="BZ2675"/>
    </row>
    <row r="2676" spans="8:78" x14ac:dyDescent="0.2">
      <c r="H2676"/>
      <c r="L2676"/>
      <c r="BU2676"/>
      <c r="BV2676"/>
      <c r="BX2676"/>
      <c r="BY2676"/>
      <c r="BZ2676"/>
    </row>
    <row r="2677" spans="8:78" x14ac:dyDescent="0.2">
      <c r="H2677"/>
      <c r="L2677"/>
      <c r="BU2677"/>
      <c r="BV2677"/>
      <c r="BX2677"/>
      <c r="BY2677"/>
      <c r="BZ2677"/>
    </row>
    <row r="2678" spans="8:78" x14ac:dyDescent="0.2">
      <c r="H2678"/>
      <c r="L2678"/>
      <c r="BU2678"/>
      <c r="BV2678"/>
      <c r="BX2678"/>
      <c r="BY2678"/>
      <c r="BZ2678"/>
    </row>
    <row r="2679" spans="8:78" x14ac:dyDescent="0.2">
      <c r="H2679"/>
      <c r="L2679"/>
      <c r="BU2679"/>
      <c r="BV2679"/>
      <c r="BX2679"/>
      <c r="BY2679"/>
      <c r="BZ2679"/>
    </row>
    <row r="2680" spans="8:78" x14ac:dyDescent="0.2">
      <c r="H2680"/>
      <c r="L2680"/>
      <c r="BU2680"/>
      <c r="BV2680"/>
      <c r="BX2680"/>
      <c r="BY2680"/>
      <c r="BZ2680"/>
    </row>
    <row r="2681" spans="8:78" x14ac:dyDescent="0.2">
      <c r="H2681"/>
      <c r="L2681"/>
      <c r="AK2681"/>
      <c r="BU2681"/>
      <c r="BV2681"/>
      <c r="BX2681"/>
      <c r="BY2681"/>
      <c r="BZ2681"/>
    </row>
    <row r="2682" spans="8:78" x14ac:dyDescent="0.2">
      <c r="H2682"/>
      <c r="L2682"/>
      <c r="AK2682"/>
      <c r="BU2682"/>
      <c r="BV2682"/>
      <c r="BX2682"/>
      <c r="BY2682"/>
      <c r="BZ2682"/>
    </row>
    <row r="2683" spans="8:78" x14ac:dyDescent="0.2">
      <c r="H2683"/>
      <c r="L2683"/>
      <c r="BU2683"/>
      <c r="BV2683"/>
      <c r="BX2683"/>
      <c r="BY2683"/>
      <c r="BZ2683"/>
    </row>
    <row r="2684" spans="8:78" x14ac:dyDescent="0.2">
      <c r="H2684"/>
      <c r="L2684"/>
      <c r="BU2684"/>
      <c r="BV2684"/>
      <c r="BX2684"/>
      <c r="BY2684"/>
      <c r="BZ2684"/>
    </row>
    <row r="2685" spans="8:78" x14ac:dyDescent="0.2">
      <c r="H2685"/>
      <c r="L2685"/>
      <c r="BU2685"/>
      <c r="BV2685"/>
      <c r="BX2685"/>
      <c r="BY2685"/>
      <c r="BZ2685"/>
    </row>
    <row r="2686" spans="8:78" x14ac:dyDescent="0.2">
      <c r="H2686"/>
      <c r="L2686"/>
      <c r="BU2686"/>
      <c r="BV2686"/>
      <c r="BX2686"/>
      <c r="BY2686"/>
      <c r="BZ2686"/>
    </row>
    <row r="2687" spans="8:78" x14ac:dyDescent="0.2">
      <c r="H2687"/>
      <c r="L2687"/>
      <c r="BU2687"/>
      <c r="BV2687"/>
      <c r="BX2687"/>
      <c r="BY2687"/>
      <c r="BZ2687"/>
    </row>
    <row r="2688" spans="8:78" x14ac:dyDescent="0.2">
      <c r="H2688"/>
      <c r="L2688"/>
      <c r="BU2688"/>
      <c r="BV2688"/>
      <c r="BX2688"/>
      <c r="BY2688"/>
      <c r="BZ2688"/>
    </row>
    <row r="2689" spans="8:78" x14ac:dyDescent="0.2">
      <c r="H2689"/>
      <c r="L2689"/>
      <c r="BU2689"/>
      <c r="BV2689"/>
      <c r="BX2689"/>
      <c r="BY2689"/>
      <c r="BZ2689"/>
    </row>
    <row r="2690" spans="8:78" x14ac:dyDescent="0.2">
      <c r="BZ2690"/>
    </row>
    <row r="2691" spans="8:78" x14ac:dyDescent="0.2">
      <c r="H2691"/>
      <c r="L2691"/>
      <c r="BU2691"/>
      <c r="BV2691"/>
      <c r="BX2691"/>
      <c r="BY2691"/>
      <c r="BZ2691"/>
    </row>
    <row r="2692" spans="8:78" x14ac:dyDescent="0.2">
      <c r="H2692"/>
      <c r="L2692"/>
      <c r="BU2692"/>
      <c r="BV2692"/>
      <c r="BX2692"/>
      <c r="BY2692"/>
      <c r="BZ2692"/>
    </row>
    <row r="2693" spans="8:78" x14ac:dyDescent="0.2">
      <c r="H2693"/>
      <c r="L2693"/>
      <c r="AK2693"/>
      <c r="BU2693"/>
      <c r="BV2693"/>
      <c r="BX2693"/>
      <c r="BY2693"/>
      <c r="BZ2693"/>
    </row>
    <row r="2694" spans="8:78" x14ac:dyDescent="0.2">
      <c r="H2694"/>
      <c r="L2694"/>
      <c r="AK2694"/>
      <c r="BU2694"/>
      <c r="BV2694"/>
      <c r="BX2694"/>
      <c r="BY2694"/>
      <c r="BZ2694"/>
    </row>
    <row r="2695" spans="8:78" x14ac:dyDescent="0.2">
      <c r="H2695"/>
      <c r="L2695"/>
      <c r="AK2695"/>
      <c r="BU2695"/>
      <c r="BV2695"/>
      <c r="BX2695"/>
      <c r="BY2695"/>
      <c r="BZ2695"/>
    </row>
    <row r="2696" spans="8:78" x14ac:dyDescent="0.2">
      <c r="H2696"/>
      <c r="L2696"/>
      <c r="AK2696"/>
      <c r="BU2696"/>
      <c r="BV2696"/>
      <c r="BX2696"/>
      <c r="BY2696"/>
      <c r="BZ2696"/>
    </row>
    <row r="2697" spans="8:78" x14ac:dyDescent="0.2">
      <c r="H2697"/>
      <c r="L2697"/>
      <c r="AK2697"/>
      <c r="BU2697"/>
      <c r="BV2697"/>
      <c r="BX2697"/>
      <c r="BY2697"/>
      <c r="BZ2697"/>
    </row>
    <row r="2698" spans="8:78" x14ac:dyDescent="0.2">
      <c r="H2698"/>
      <c r="L2698"/>
      <c r="AK2698"/>
      <c r="BU2698"/>
      <c r="BV2698"/>
      <c r="BX2698"/>
      <c r="BY2698"/>
      <c r="BZ2698"/>
    </row>
    <row r="2699" spans="8:78" x14ac:dyDescent="0.2">
      <c r="H2699"/>
      <c r="L2699"/>
      <c r="BU2699"/>
      <c r="BV2699"/>
      <c r="BX2699"/>
      <c r="BY2699"/>
      <c r="BZ2699"/>
    </row>
    <row r="2700" spans="8:78" x14ac:dyDescent="0.2">
      <c r="H2700"/>
      <c r="L2700"/>
      <c r="BU2700"/>
      <c r="BV2700"/>
      <c r="BX2700"/>
      <c r="BY2700"/>
      <c r="BZ2700"/>
    </row>
    <row r="2701" spans="8:78" x14ac:dyDescent="0.2">
      <c r="H2701"/>
      <c r="L2701"/>
      <c r="BU2701"/>
      <c r="BV2701"/>
      <c r="BX2701"/>
      <c r="BY2701"/>
      <c r="BZ2701"/>
    </row>
    <row r="2702" spans="8:78" x14ac:dyDescent="0.2">
      <c r="H2702"/>
      <c r="L2702"/>
      <c r="BU2702"/>
      <c r="BV2702"/>
      <c r="BX2702"/>
      <c r="BY2702"/>
      <c r="BZ2702"/>
    </row>
    <row r="2703" spans="8:78" x14ac:dyDescent="0.2">
      <c r="H2703"/>
      <c r="L2703"/>
      <c r="BU2703"/>
      <c r="BV2703"/>
      <c r="BX2703"/>
      <c r="BY2703"/>
      <c r="BZ2703"/>
    </row>
    <row r="2704" spans="8:78" x14ac:dyDescent="0.2">
      <c r="H2704"/>
      <c r="L2704"/>
      <c r="BU2704"/>
      <c r="BV2704"/>
      <c r="BX2704"/>
      <c r="BY2704"/>
      <c r="BZ2704"/>
    </row>
    <row r="2705" spans="8:78" x14ac:dyDescent="0.2">
      <c r="H2705"/>
      <c r="L2705"/>
      <c r="BU2705"/>
      <c r="BV2705"/>
      <c r="BX2705"/>
      <c r="BY2705"/>
      <c r="BZ2705"/>
    </row>
    <row r="2706" spans="8:78" x14ac:dyDescent="0.2">
      <c r="H2706"/>
      <c r="L2706"/>
      <c r="BU2706"/>
      <c r="BV2706"/>
      <c r="BX2706"/>
      <c r="BY2706"/>
      <c r="BZ2706"/>
    </row>
    <row r="2707" spans="8:78" x14ac:dyDescent="0.2">
      <c r="BZ2707"/>
    </row>
    <row r="2708" spans="8:78" x14ac:dyDescent="0.2">
      <c r="BZ2708"/>
    </row>
    <row r="2709" spans="8:78" x14ac:dyDescent="0.2">
      <c r="H2709"/>
      <c r="L2709"/>
      <c r="AK2709"/>
      <c r="BU2709"/>
      <c r="BV2709"/>
      <c r="BX2709"/>
      <c r="BY2709"/>
      <c r="BZ2709"/>
    </row>
    <row r="2710" spans="8:78" x14ac:dyDescent="0.2">
      <c r="H2710"/>
      <c r="L2710"/>
      <c r="AK2710"/>
      <c r="BU2710"/>
      <c r="BV2710"/>
      <c r="BX2710"/>
      <c r="BY2710"/>
      <c r="BZ2710"/>
    </row>
    <row r="2711" spans="8:78" x14ac:dyDescent="0.2">
      <c r="H2711"/>
      <c r="L2711"/>
      <c r="AK2711"/>
      <c r="BU2711"/>
      <c r="BV2711"/>
      <c r="BX2711"/>
      <c r="BY2711"/>
      <c r="BZ2711"/>
    </row>
    <row r="2712" spans="8:78" x14ac:dyDescent="0.2">
      <c r="H2712"/>
      <c r="L2712"/>
      <c r="AK2712"/>
      <c r="BU2712"/>
      <c r="BV2712"/>
      <c r="BX2712"/>
      <c r="BY2712"/>
      <c r="BZ2712"/>
    </row>
    <row r="2713" spans="8:78" x14ac:dyDescent="0.2">
      <c r="H2713"/>
      <c r="L2713"/>
      <c r="BU2713"/>
      <c r="BV2713"/>
      <c r="BX2713"/>
      <c r="BY2713"/>
      <c r="BZ2713"/>
    </row>
    <row r="2714" spans="8:78" x14ac:dyDescent="0.2">
      <c r="H2714"/>
      <c r="L2714"/>
      <c r="AK2714"/>
      <c r="BU2714"/>
      <c r="BV2714"/>
      <c r="BX2714"/>
      <c r="BY2714"/>
      <c r="BZ2714"/>
    </row>
    <row r="2715" spans="8:78" x14ac:dyDescent="0.2">
      <c r="BZ2715"/>
    </row>
    <row r="2716" spans="8:78" x14ac:dyDescent="0.2">
      <c r="BZ2716"/>
    </row>
    <row r="2717" spans="8:78" x14ac:dyDescent="0.2">
      <c r="H2717"/>
      <c r="L2717"/>
      <c r="BU2717"/>
      <c r="BV2717"/>
      <c r="BX2717"/>
      <c r="BY2717"/>
      <c r="BZ2717"/>
    </row>
    <row r="2718" spans="8:78" x14ac:dyDescent="0.2">
      <c r="H2718"/>
      <c r="L2718"/>
      <c r="BU2718"/>
      <c r="BV2718"/>
      <c r="BX2718"/>
      <c r="BY2718"/>
      <c r="BZ2718"/>
    </row>
    <row r="2719" spans="8:78" x14ac:dyDescent="0.2">
      <c r="H2719"/>
      <c r="L2719"/>
      <c r="BU2719"/>
      <c r="BV2719"/>
      <c r="BX2719"/>
      <c r="BY2719"/>
      <c r="BZ2719"/>
    </row>
    <row r="2720" spans="8:78" x14ac:dyDescent="0.2">
      <c r="AK2720"/>
      <c r="BZ2720"/>
    </row>
    <row r="2721" spans="8:78" x14ac:dyDescent="0.2">
      <c r="AK2721"/>
      <c r="BZ2721"/>
    </row>
    <row r="2722" spans="8:78" x14ac:dyDescent="0.2">
      <c r="H2722"/>
      <c r="L2722"/>
      <c r="AK2722"/>
      <c r="BU2722"/>
      <c r="BV2722"/>
      <c r="BX2722"/>
      <c r="BY2722"/>
      <c r="BZ2722"/>
    </row>
    <row r="2723" spans="8:78" x14ac:dyDescent="0.2">
      <c r="H2723"/>
      <c r="L2723"/>
      <c r="AK2723"/>
      <c r="BU2723"/>
      <c r="BV2723"/>
      <c r="BX2723"/>
      <c r="BY2723"/>
      <c r="BZ2723"/>
    </row>
    <row r="2724" spans="8:78" x14ac:dyDescent="0.2">
      <c r="H2724"/>
      <c r="L2724"/>
      <c r="AK2724"/>
      <c r="BU2724"/>
      <c r="BV2724"/>
      <c r="BX2724"/>
      <c r="BY2724"/>
      <c r="BZ2724"/>
    </row>
    <row r="2725" spans="8:78" x14ac:dyDescent="0.2">
      <c r="H2725"/>
      <c r="L2725"/>
      <c r="AK2725"/>
      <c r="BU2725"/>
      <c r="BV2725"/>
      <c r="BX2725"/>
      <c r="BY2725"/>
      <c r="BZ2725"/>
    </row>
    <row r="2726" spans="8:78" x14ac:dyDescent="0.2">
      <c r="H2726"/>
      <c r="L2726"/>
      <c r="BU2726"/>
      <c r="BV2726"/>
      <c r="BX2726"/>
      <c r="BY2726"/>
      <c r="BZ2726"/>
    </row>
    <row r="2727" spans="8:78" x14ac:dyDescent="0.2">
      <c r="H2727"/>
      <c r="L2727"/>
      <c r="BU2727"/>
      <c r="BV2727"/>
      <c r="BX2727"/>
      <c r="BY2727"/>
      <c r="BZ2727"/>
    </row>
    <row r="2728" spans="8:78" x14ac:dyDescent="0.2">
      <c r="H2728"/>
      <c r="L2728"/>
      <c r="BU2728"/>
      <c r="BV2728"/>
      <c r="BX2728"/>
      <c r="BY2728"/>
      <c r="BZ2728"/>
    </row>
    <row r="2729" spans="8:78" x14ac:dyDescent="0.2">
      <c r="H2729"/>
      <c r="L2729"/>
      <c r="BU2729"/>
      <c r="BV2729"/>
      <c r="BX2729"/>
      <c r="BY2729"/>
      <c r="BZ2729"/>
    </row>
    <row r="2730" spans="8:78" x14ac:dyDescent="0.2">
      <c r="BZ2730"/>
    </row>
    <row r="2731" spans="8:78" x14ac:dyDescent="0.2">
      <c r="BZ2731"/>
    </row>
    <row r="2732" spans="8:78" x14ac:dyDescent="0.2">
      <c r="BZ2732"/>
    </row>
    <row r="2733" spans="8:78" x14ac:dyDescent="0.2">
      <c r="BZ2733"/>
    </row>
    <row r="2734" spans="8:78" x14ac:dyDescent="0.2">
      <c r="H2734"/>
      <c r="L2734"/>
      <c r="BU2734"/>
      <c r="BV2734"/>
      <c r="BX2734"/>
      <c r="BY2734"/>
      <c r="BZ2734"/>
    </row>
    <row r="2735" spans="8:78" x14ac:dyDescent="0.2">
      <c r="H2735"/>
      <c r="L2735"/>
      <c r="AK2735"/>
      <c r="BU2735"/>
      <c r="BV2735"/>
      <c r="BX2735"/>
      <c r="BY2735"/>
      <c r="BZ2735"/>
    </row>
    <row r="2736" spans="8:78" x14ac:dyDescent="0.2">
      <c r="H2736"/>
      <c r="L2736"/>
      <c r="BU2736"/>
      <c r="BV2736"/>
      <c r="BX2736"/>
      <c r="BY2736"/>
      <c r="BZ2736"/>
    </row>
    <row r="2737" spans="8:78" x14ac:dyDescent="0.2">
      <c r="H2737"/>
      <c r="L2737"/>
      <c r="BU2737"/>
      <c r="BV2737"/>
      <c r="BX2737"/>
      <c r="BY2737"/>
      <c r="BZ2737"/>
    </row>
    <row r="2738" spans="8:78" x14ac:dyDescent="0.2">
      <c r="H2738"/>
      <c r="L2738"/>
      <c r="BU2738"/>
      <c r="BV2738"/>
      <c r="BX2738"/>
      <c r="BY2738"/>
      <c r="BZ2738"/>
    </row>
    <row r="2739" spans="8:78" x14ac:dyDescent="0.2">
      <c r="H2739"/>
      <c r="L2739"/>
      <c r="BU2739"/>
      <c r="BV2739"/>
      <c r="BX2739"/>
      <c r="BY2739"/>
      <c r="BZ2739"/>
    </row>
    <row r="2740" spans="8:78" x14ac:dyDescent="0.2">
      <c r="H2740"/>
      <c r="L2740"/>
      <c r="BU2740"/>
      <c r="BV2740"/>
      <c r="BX2740"/>
      <c r="BY2740"/>
      <c r="BZ2740"/>
    </row>
    <row r="2741" spans="8:78" x14ac:dyDescent="0.2">
      <c r="H2741"/>
      <c r="L2741"/>
      <c r="BU2741"/>
      <c r="BV2741"/>
      <c r="BX2741"/>
      <c r="BY2741"/>
      <c r="BZ2741"/>
    </row>
    <row r="2742" spans="8:78" x14ac:dyDescent="0.2">
      <c r="H2742"/>
      <c r="L2742"/>
      <c r="AK2742"/>
      <c r="BU2742"/>
      <c r="BV2742"/>
      <c r="BX2742"/>
      <c r="BY2742"/>
      <c r="BZ2742"/>
    </row>
    <row r="2743" spans="8:78" x14ac:dyDescent="0.2">
      <c r="H2743"/>
      <c r="L2743"/>
      <c r="AK2743"/>
      <c r="BU2743"/>
      <c r="BV2743"/>
      <c r="BX2743"/>
      <c r="BY2743"/>
      <c r="BZ2743"/>
    </row>
    <row r="2744" spans="8:78" x14ac:dyDescent="0.2">
      <c r="H2744"/>
      <c r="L2744"/>
      <c r="AK2744"/>
      <c r="BU2744"/>
      <c r="BV2744"/>
      <c r="BX2744"/>
      <c r="BY2744"/>
      <c r="BZ2744"/>
    </row>
    <row r="2745" spans="8:78" x14ac:dyDescent="0.2">
      <c r="H2745"/>
      <c r="L2745"/>
      <c r="AK2745"/>
      <c r="BU2745"/>
      <c r="BV2745"/>
      <c r="BX2745"/>
      <c r="BY2745"/>
      <c r="BZ2745"/>
    </row>
    <row r="2746" spans="8:78" x14ac:dyDescent="0.2">
      <c r="AK2746"/>
      <c r="BZ2746"/>
    </row>
    <row r="2747" spans="8:78" x14ac:dyDescent="0.2">
      <c r="H2747"/>
      <c r="L2747"/>
      <c r="AK2747"/>
      <c r="BU2747"/>
      <c r="BV2747"/>
      <c r="BX2747"/>
      <c r="BY2747"/>
      <c r="BZ2747"/>
    </row>
    <row r="2748" spans="8:78" x14ac:dyDescent="0.2">
      <c r="H2748"/>
      <c r="L2748"/>
      <c r="AK2748"/>
      <c r="BU2748"/>
      <c r="BV2748"/>
      <c r="BX2748"/>
      <c r="BY2748"/>
      <c r="BZ2748"/>
    </row>
    <row r="2749" spans="8:78" x14ac:dyDescent="0.2">
      <c r="H2749"/>
      <c r="L2749"/>
      <c r="AK2749"/>
      <c r="BU2749"/>
      <c r="BV2749"/>
      <c r="BX2749"/>
      <c r="BY2749"/>
      <c r="BZ2749"/>
    </row>
    <row r="2750" spans="8:78" x14ac:dyDescent="0.2">
      <c r="H2750"/>
      <c r="L2750"/>
      <c r="AK2750"/>
      <c r="BU2750"/>
      <c r="BV2750"/>
      <c r="BX2750"/>
      <c r="BY2750"/>
      <c r="BZ2750"/>
    </row>
    <row r="2751" spans="8:78" x14ac:dyDescent="0.2">
      <c r="H2751"/>
      <c r="L2751"/>
      <c r="BU2751"/>
      <c r="BV2751"/>
      <c r="BX2751"/>
      <c r="BY2751"/>
      <c r="BZ2751"/>
    </row>
    <row r="2752" spans="8:78" x14ac:dyDescent="0.2">
      <c r="H2752"/>
      <c r="L2752"/>
      <c r="BU2752"/>
      <c r="BV2752"/>
      <c r="BX2752"/>
      <c r="BY2752"/>
      <c r="BZ2752"/>
    </row>
    <row r="2753" spans="8:78" x14ac:dyDescent="0.2">
      <c r="AK2753"/>
      <c r="BZ2753"/>
    </row>
    <row r="2754" spans="8:78" x14ac:dyDescent="0.2">
      <c r="AK2754"/>
      <c r="BZ2754"/>
    </row>
    <row r="2755" spans="8:78" x14ac:dyDescent="0.2">
      <c r="H2755"/>
      <c r="L2755"/>
      <c r="AK2755"/>
      <c r="BU2755"/>
      <c r="BV2755"/>
      <c r="BX2755"/>
      <c r="BY2755"/>
      <c r="BZ2755"/>
    </row>
    <row r="2756" spans="8:78" x14ac:dyDescent="0.2">
      <c r="AK2756"/>
      <c r="BZ2756"/>
    </row>
    <row r="2757" spans="8:78" x14ac:dyDescent="0.2">
      <c r="H2757"/>
      <c r="L2757"/>
      <c r="AK2757"/>
      <c r="BU2757"/>
      <c r="BV2757"/>
      <c r="BX2757"/>
      <c r="BY2757"/>
      <c r="BZ2757"/>
    </row>
    <row r="2758" spans="8:78" x14ac:dyDescent="0.2">
      <c r="AK2758"/>
      <c r="BZ2758"/>
    </row>
    <row r="2759" spans="8:78" x14ac:dyDescent="0.2">
      <c r="H2759"/>
      <c r="L2759"/>
      <c r="AK2759"/>
      <c r="BU2759"/>
      <c r="BV2759"/>
      <c r="BX2759"/>
      <c r="BY2759"/>
      <c r="BZ2759"/>
    </row>
    <row r="2760" spans="8:78" x14ac:dyDescent="0.2">
      <c r="BZ2760"/>
    </row>
    <row r="2761" spans="8:78" x14ac:dyDescent="0.2">
      <c r="H2761"/>
      <c r="L2761"/>
      <c r="BU2761"/>
      <c r="BV2761"/>
      <c r="BX2761"/>
      <c r="BY2761"/>
      <c r="BZ2761"/>
    </row>
    <row r="2762" spans="8:78" x14ac:dyDescent="0.2">
      <c r="H2762"/>
      <c r="L2762"/>
      <c r="BU2762"/>
      <c r="BV2762"/>
      <c r="BX2762"/>
      <c r="BY2762"/>
      <c r="BZ2762"/>
    </row>
    <row r="2763" spans="8:78" x14ac:dyDescent="0.2">
      <c r="H2763"/>
      <c r="L2763"/>
      <c r="BU2763"/>
      <c r="BV2763"/>
      <c r="BX2763"/>
      <c r="BY2763"/>
      <c r="BZ2763"/>
    </row>
    <row r="2764" spans="8:78" x14ac:dyDescent="0.2">
      <c r="H2764"/>
      <c r="L2764"/>
      <c r="BU2764"/>
      <c r="BV2764"/>
      <c r="BX2764"/>
      <c r="BY2764"/>
      <c r="BZ2764"/>
    </row>
    <row r="2765" spans="8:78" x14ac:dyDescent="0.2">
      <c r="H2765"/>
      <c r="L2765"/>
      <c r="BU2765"/>
      <c r="BV2765"/>
      <c r="BX2765"/>
      <c r="BY2765"/>
      <c r="BZ2765"/>
    </row>
    <row r="2766" spans="8:78" x14ac:dyDescent="0.2">
      <c r="AK2766"/>
      <c r="BZ2766"/>
    </row>
    <row r="2767" spans="8:78" x14ac:dyDescent="0.2">
      <c r="AK2767"/>
      <c r="BZ2767"/>
    </row>
    <row r="2768" spans="8:78" x14ac:dyDescent="0.2">
      <c r="AK2768"/>
      <c r="BZ2768"/>
    </row>
    <row r="2769" spans="8:78" x14ac:dyDescent="0.2">
      <c r="AK2769"/>
      <c r="BZ2769"/>
    </row>
    <row r="2770" spans="8:78" x14ac:dyDescent="0.2">
      <c r="H2770"/>
      <c r="L2770"/>
      <c r="AK2770"/>
      <c r="BU2770"/>
      <c r="BV2770"/>
      <c r="BX2770"/>
      <c r="BY2770"/>
      <c r="BZ2770"/>
    </row>
    <row r="2771" spans="8:78" x14ac:dyDescent="0.2">
      <c r="BZ2771"/>
    </row>
    <row r="2772" spans="8:78" x14ac:dyDescent="0.2">
      <c r="BZ2772"/>
    </row>
    <row r="2773" spans="8:78" x14ac:dyDescent="0.2">
      <c r="H2773"/>
      <c r="L2773"/>
      <c r="AK2773"/>
      <c r="BU2773"/>
      <c r="BV2773"/>
      <c r="BX2773"/>
      <c r="BY2773"/>
      <c r="BZ2773"/>
    </row>
    <row r="2774" spans="8:78" x14ac:dyDescent="0.2">
      <c r="H2774"/>
      <c r="L2774"/>
      <c r="BU2774"/>
      <c r="BV2774"/>
      <c r="BX2774"/>
      <c r="BY2774"/>
      <c r="BZ2774"/>
    </row>
    <row r="2775" spans="8:78" x14ac:dyDescent="0.2">
      <c r="H2775"/>
      <c r="L2775"/>
      <c r="BU2775"/>
      <c r="BV2775"/>
      <c r="BX2775"/>
      <c r="BY2775"/>
      <c r="BZ2775"/>
    </row>
    <row r="2776" spans="8:78" x14ac:dyDescent="0.2">
      <c r="H2776"/>
      <c r="L2776"/>
      <c r="BU2776"/>
      <c r="BV2776"/>
      <c r="BX2776"/>
      <c r="BY2776"/>
      <c r="BZ2776"/>
    </row>
    <row r="2777" spans="8:78" x14ac:dyDescent="0.2">
      <c r="H2777"/>
      <c r="L2777"/>
      <c r="BU2777"/>
      <c r="BV2777"/>
      <c r="BX2777"/>
      <c r="BY2777"/>
      <c r="BZ2777"/>
    </row>
    <row r="2778" spans="8:78" x14ac:dyDescent="0.2">
      <c r="H2778"/>
      <c r="L2778"/>
      <c r="AK2778"/>
      <c r="BU2778"/>
      <c r="BV2778"/>
      <c r="BX2778"/>
      <c r="BY2778"/>
      <c r="BZ2778"/>
    </row>
    <row r="2779" spans="8:78" x14ac:dyDescent="0.2">
      <c r="H2779"/>
      <c r="L2779"/>
      <c r="AK2779"/>
      <c r="BU2779"/>
      <c r="BV2779"/>
      <c r="BX2779"/>
      <c r="BY2779"/>
      <c r="BZ2779"/>
    </row>
    <row r="2780" spans="8:78" x14ac:dyDescent="0.2">
      <c r="H2780"/>
      <c r="L2780"/>
      <c r="AK2780"/>
      <c r="BU2780"/>
      <c r="BV2780"/>
      <c r="BX2780"/>
      <c r="BY2780"/>
      <c r="BZ2780"/>
    </row>
    <row r="2781" spans="8:78" x14ac:dyDescent="0.2">
      <c r="H2781"/>
      <c r="L2781"/>
      <c r="AK2781"/>
      <c r="BU2781"/>
      <c r="BV2781"/>
      <c r="BX2781"/>
      <c r="BY2781"/>
      <c r="BZ2781"/>
    </row>
    <row r="2782" spans="8:78" x14ac:dyDescent="0.2">
      <c r="AK2782"/>
      <c r="BZ2782"/>
    </row>
    <row r="2783" spans="8:78" x14ac:dyDescent="0.2">
      <c r="H2783"/>
      <c r="L2783"/>
      <c r="AK2783"/>
      <c r="BU2783"/>
      <c r="BV2783"/>
      <c r="BX2783"/>
      <c r="BY2783"/>
      <c r="BZ2783"/>
    </row>
    <row r="2784" spans="8:78" x14ac:dyDescent="0.2">
      <c r="AK2784"/>
      <c r="BZ2784"/>
    </row>
    <row r="2785" spans="8:78" x14ac:dyDescent="0.2">
      <c r="H2785"/>
      <c r="L2785"/>
      <c r="BU2785"/>
      <c r="BV2785"/>
      <c r="BX2785"/>
      <c r="BY2785"/>
      <c r="BZ2785"/>
    </row>
    <row r="2786" spans="8:78" x14ac:dyDescent="0.2">
      <c r="H2786"/>
      <c r="L2786"/>
      <c r="BU2786"/>
      <c r="BV2786"/>
      <c r="BX2786"/>
      <c r="BY2786"/>
      <c r="BZ2786"/>
    </row>
    <row r="2787" spans="8:78" x14ac:dyDescent="0.2">
      <c r="H2787"/>
      <c r="L2787"/>
      <c r="BU2787"/>
      <c r="BV2787"/>
      <c r="BX2787"/>
      <c r="BY2787"/>
      <c r="BZ2787"/>
    </row>
    <row r="2788" spans="8:78" x14ac:dyDescent="0.2">
      <c r="H2788"/>
      <c r="L2788"/>
      <c r="BU2788"/>
      <c r="BV2788"/>
      <c r="BX2788"/>
      <c r="BY2788"/>
      <c r="BZ2788"/>
    </row>
    <row r="2789" spans="8:78" x14ac:dyDescent="0.2">
      <c r="H2789"/>
      <c r="L2789"/>
      <c r="BU2789"/>
      <c r="BV2789"/>
      <c r="BX2789"/>
      <c r="BY2789"/>
      <c r="BZ2789"/>
    </row>
    <row r="2790" spans="8:78" x14ac:dyDescent="0.2">
      <c r="H2790"/>
      <c r="L2790"/>
      <c r="BU2790"/>
      <c r="BV2790"/>
      <c r="BX2790"/>
      <c r="BY2790"/>
      <c r="BZ2790"/>
    </row>
    <row r="2791" spans="8:78" x14ac:dyDescent="0.2">
      <c r="H2791"/>
      <c r="L2791"/>
      <c r="BU2791"/>
      <c r="BV2791"/>
      <c r="BX2791"/>
      <c r="BY2791"/>
      <c r="BZ2791"/>
    </row>
    <row r="2792" spans="8:78" x14ac:dyDescent="0.2">
      <c r="H2792"/>
      <c r="L2792"/>
      <c r="BU2792"/>
      <c r="BV2792"/>
      <c r="BX2792"/>
      <c r="BY2792"/>
      <c r="BZ2792"/>
    </row>
    <row r="2793" spans="8:78" x14ac:dyDescent="0.2">
      <c r="H2793"/>
      <c r="L2793"/>
      <c r="BU2793"/>
      <c r="BV2793"/>
      <c r="BX2793"/>
      <c r="BY2793"/>
      <c r="BZ2793"/>
    </row>
    <row r="2794" spans="8:78" x14ac:dyDescent="0.2">
      <c r="H2794"/>
      <c r="L2794"/>
      <c r="BU2794"/>
      <c r="BV2794"/>
      <c r="BX2794"/>
      <c r="BY2794"/>
      <c r="BZ2794"/>
    </row>
    <row r="2795" spans="8:78" x14ac:dyDescent="0.2">
      <c r="H2795"/>
      <c r="L2795"/>
      <c r="AK2795"/>
      <c r="BU2795"/>
      <c r="BV2795"/>
      <c r="BX2795"/>
      <c r="BY2795"/>
      <c r="BZ2795"/>
    </row>
    <row r="2796" spans="8:78" x14ac:dyDescent="0.2">
      <c r="AK2796"/>
      <c r="BZ2796"/>
    </row>
    <row r="2797" spans="8:78" x14ac:dyDescent="0.2">
      <c r="AK2797"/>
      <c r="BZ2797"/>
    </row>
    <row r="2798" spans="8:78" x14ac:dyDescent="0.2">
      <c r="H2798"/>
      <c r="L2798"/>
      <c r="AK2798"/>
      <c r="BU2798"/>
      <c r="BV2798"/>
      <c r="BX2798"/>
      <c r="BY2798"/>
      <c r="BZ2798"/>
    </row>
    <row r="2799" spans="8:78" x14ac:dyDescent="0.2">
      <c r="H2799"/>
      <c r="L2799"/>
      <c r="AK2799"/>
      <c r="BU2799"/>
      <c r="BV2799"/>
      <c r="BX2799"/>
      <c r="BY2799"/>
      <c r="BZ2799"/>
    </row>
    <row r="2800" spans="8:78" x14ac:dyDescent="0.2">
      <c r="H2800"/>
      <c r="L2800"/>
      <c r="AK2800"/>
      <c r="BU2800"/>
      <c r="BV2800"/>
      <c r="BX2800"/>
      <c r="BY2800"/>
      <c r="BZ2800"/>
    </row>
    <row r="2801" spans="8:78" x14ac:dyDescent="0.2">
      <c r="H2801"/>
      <c r="L2801"/>
      <c r="AK2801"/>
      <c r="BU2801"/>
      <c r="BV2801"/>
      <c r="BX2801"/>
      <c r="BY2801"/>
      <c r="BZ2801"/>
    </row>
    <row r="2802" spans="8:78" x14ac:dyDescent="0.2">
      <c r="H2802"/>
      <c r="L2802"/>
      <c r="BU2802"/>
      <c r="BV2802"/>
      <c r="BX2802"/>
      <c r="BY2802"/>
      <c r="BZ2802"/>
    </row>
    <row r="2803" spans="8:78" x14ac:dyDescent="0.2">
      <c r="BZ2803"/>
    </row>
    <row r="2804" spans="8:78" x14ac:dyDescent="0.2">
      <c r="H2804"/>
      <c r="L2804"/>
      <c r="BU2804"/>
      <c r="BV2804"/>
      <c r="BX2804"/>
      <c r="BY2804"/>
      <c r="BZ2804"/>
    </row>
    <row r="2805" spans="8:78" x14ac:dyDescent="0.2">
      <c r="H2805"/>
      <c r="L2805"/>
      <c r="BU2805"/>
      <c r="BV2805"/>
      <c r="BX2805"/>
      <c r="BY2805"/>
      <c r="BZ2805"/>
    </row>
    <row r="2806" spans="8:78" x14ac:dyDescent="0.2">
      <c r="H2806"/>
      <c r="L2806"/>
      <c r="BU2806"/>
      <c r="BV2806"/>
      <c r="BX2806"/>
      <c r="BY2806"/>
      <c r="BZ2806"/>
    </row>
    <row r="2807" spans="8:78" x14ac:dyDescent="0.2">
      <c r="H2807"/>
      <c r="L2807"/>
      <c r="BU2807"/>
      <c r="BV2807"/>
      <c r="BX2807"/>
      <c r="BY2807"/>
      <c r="BZ2807"/>
    </row>
    <row r="2808" spans="8:78" x14ac:dyDescent="0.2">
      <c r="H2808"/>
      <c r="L2808"/>
      <c r="BU2808"/>
      <c r="BV2808"/>
      <c r="BX2808"/>
      <c r="BY2808"/>
      <c r="BZ2808"/>
    </row>
    <row r="2809" spans="8:78" x14ac:dyDescent="0.2">
      <c r="H2809"/>
      <c r="L2809"/>
      <c r="BU2809"/>
      <c r="BV2809"/>
      <c r="BX2809"/>
      <c r="BY2809"/>
      <c r="BZ2809"/>
    </row>
    <row r="2810" spans="8:78" x14ac:dyDescent="0.2">
      <c r="H2810"/>
      <c r="L2810"/>
      <c r="BU2810"/>
      <c r="BV2810"/>
      <c r="BX2810"/>
      <c r="BY2810"/>
      <c r="BZ2810"/>
    </row>
    <row r="2811" spans="8:78" x14ac:dyDescent="0.2">
      <c r="H2811"/>
      <c r="L2811"/>
      <c r="BU2811"/>
      <c r="BV2811"/>
      <c r="BX2811"/>
      <c r="BY2811"/>
      <c r="BZ2811"/>
    </row>
    <row r="2812" spans="8:78" x14ac:dyDescent="0.2">
      <c r="H2812"/>
      <c r="L2812"/>
      <c r="AK2812"/>
      <c r="BU2812"/>
      <c r="BV2812"/>
      <c r="BX2812"/>
      <c r="BY2812"/>
      <c r="BZ2812"/>
    </row>
    <row r="2813" spans="8:78" x14ac:dyDescent="0.2">
      <c r="H2813"/>
      <c r="L2813"/>
      <c r="AK2813"/>
      <c r="BU2813"/>
      <c r="BV2813"/>
      <c r="BX2813"/>
      <c r="BY2813"/>
      <c r="BZ2813"/>
    </row>
    <row r="2814" spans="8:78" x14ac:dyDescent="0.2">
      <c r="H2814"/>
      <c r="L2814"/>
      <c r="AK2814"/>
      <c r="BU2814"/>
      <c r="BV2814"/>
      <c r="BX2814"/>
      <c r="BY2814"/>
      <c r="BZ2814"/>
    </row>
    <row r="2815" spans="8:78" x14ac:dyDescent="0.2">
      <c r="H2815"/>
      <c r="L2815"/>
      <c r="AK2815"/>
      <c r="BU2815"/>
      <c r="BV2815"/>
      <c r="BX2815"/>
      <c r="BY2815"/>
      <c r="BZ2815"/>
    </row>
    <row r="2816" spans="8:78" x14ac:dyDescent="0.2">
      <c r="H2816"/>
      <c r="L2816"/>
      <c r="AK2816"/>
      <c r="BU2816"/>
      <c r="BV2816"/>
      <c r="BX2816"/>
      <c r="BY2816"/>
      <c r="BZ2816"/>
    </row>
    <row r="2817" spans="8:78" x14ac:dyDescent="0.2">
      <c r="H2817"/>
      <c r="L2817"/>
      <c r="AK2817"/>
      <c r="BU2817"/>
      <c r="BV2817"/>
      <c r="BX2817"/>
      <c r="BY2817"/>
      <c r="BZ2817"/>
    </row>
    <row r="2818" spans="8:78" x14ac:dyDescent="0.2">
      <c r="H2818"/>
      <c r="L2818"/>
      <c r="AK2818"/>
      <c r="BU2818"/>
      <c r="BV2818"/>
      <c r="BX2818"/>
      <c r="BY2818"/>
      <c r="BZ2818"/>
    </row>
    <row r="2819" spans="8:78" x14ac:dyDescent="0.2">
      <c r="H2819"/>
      <c r="L2819"/>
      <c r="AK2819"/>
      <c r="BU2819"/>
      <c r="BV2819"/>
      <c r="BX2819"/>
      <c r="BY2819"/>
      <c r="BZ2819"/>
    </row>
    <row r="2820" spans="8:78" x14ac:dyDescent="0.2">
      <c r="H2820"/>
      <c r="L2820"/>
      <c r="AK2820"/>
      <c r="BU2820"/>
      <c r="BV2820"/>
      <c r="BX2820"/>
      <c r="BY2820"/>
      <c r="BZ2820"/>
    </row>
    <row r="2821" spans="8:78" x14ac:dyDescent="0.2">
      <c r="H2821"/>
      <c r="L2821"/>
      <c r="AK2821"/>
      <c r="BU2821"/>
      <c r="BV2821"/>
      <c r="BX2821"/>
      <c r="BY2821"/>
      <c r="BZ2821"/>
    </row>
    <row r="2822" spans="8:78" x14ac:dyDescent="0.2">
      <c r="H2822"/>
      <c r="L2822"/>
      <c r="AK2822"/>
      <c r="BU2822"/>
      <c r="BV2822"/>
      <c r="BX2822"/>
      <c r="BY2822"/>
      <c r="BZ2822"/>
    </row>
    <row r="2823" spans="8:78" x14ac:dyDescent="0.2">
      <c r="H2823"/>
      <c r="L2823"/>
      <c r="AK2823"/>
      <c r="BU2823"/>
      <c r="BV2823"/>
      <c r="BX2823"/>
      <c r="BY2823"/>
      <c r="BZ2823"/>
    </row>
    <row r="2824" spans="8:78" x14ac:dyDescent="0.2">
      <c r="H2824"/>
      <c r="L2824"/>
      <c r="AK2824"/>
      <c r="BU2824"/>
      <c r="BV2824"/>
      <c r="BX2824"/>
      <c r="BY2824"/>
      <c r="BZ2824"/>
    </row>
    <row r="2825" spans="8:78" x14ac:dyDescent="0.2">
      <c r="H2825"/>
      <c r="L2825"/>
      <c r="AK2825"/>
      <c r="BU2825"/>
      <c r="BV2825"/>
      <c r="BX2825"/>
      <c r="BY2825"/>
      <c r="BZ2825"/>
    </row>
    <row r="2826" spans="8:78" x14ac:dyDescent="0.2">
      <c r="H2826"/>
      <c r="L2826"/>
      <c r="AK2826"/>
      <c r="BU2826"/>
      <c r="BV2826"/>
      <c r="BX2826"/>
      <c r="BY2826"/>
      <c r="BZ2826"/>
    </row>
    <row r="2827" spans="8:78" x14ac:dyDescent="0.2">
      <c r="H2827"/>
      <c r="L2827"/>
      <c r="AK2827"/>
      <c r="BU2827"/>
      <c r="BV2827"/>
      <c r="BX2827"/>
      <c r="BY2827"/>
      <c r="BZ2827"/>
    </row>
    <row r="2828" spans="8:78" x14ac:dyDescent="0.2">
      <c r="H2828"/>
      <c r="L2828"/>
      <c r="AK2828"/>
      <c r="BU2828"/>
      <c r="BV2828"/>
      <c r="BX2828"/>
      <c r="BY2828"/>
      <c r="BZ2828"/>
    </row>
    <row r="2829" spans="8:78" x14ac:dyDescent="0.2">
      <c r="AK2829"/>
      <c r="BZ2829"/>
    </row>
    <row r="2830" spans="8:78" x14ac:dyDescent="0.2">
      <c r="H2830"/>
      <c r="L2830"/>
      <c r="AK2830"/>
      <c r="BU2830"/>
      <c r="BV2830"/>
      <c r="BX2830"/>
      <c r="BY2830"/>
      <c r="BZ2830"/>
    </row>
    <row r="2831" spans="8:78" x14ac:dyDescent="0.2">
      <c r="H2831"/>
      <c r="L2831"/>
      <c r="AK2831"/>
      <c r="BU2831"/>
      <c r="BV2831"/>
      <c r="BX2831"/>
      <c r="BY2831"/>
      <c r="BZ2831"/>
    </row>
    <row r="2832" spans="8:78" x14ac:dyDescent="0.2">
      <c r="H2832"/>
      <c r="L2832"/>
      <c r="BU2832"/>
      <c r="BV2832"/>
      <c r="BX2832"/>
      <c r="BY2832"/>
      <c r="BZ2832"/>
    </row>
    <row r="2833" spans="8:78" x14ac:dyDescent="0.2">
      <c r="H2833"/>
      <c r="L2833"/>
      <c r="BU2833"/>
      <c r="BV2833"/>
      <c r="BX2833"/>
      <c r="BY2833"/>
      <c r="BZ2833"/>
    </row>
    <row r="2834" spans="8:78" x14ac:dyDescent="0.2">
      <c r="H2834"/>
      <c r="L2834"/>
      <c r="BU2834"/>
      <c r="BV2834"/>
      <c r="BX2834"/>
      <c r="BY2834"/>
      <c r="BZ2834"/>
    </row>
    <row r="2835" spans="8:78" x14ac:dyDescent="0.2">
      <c r="H2835"/>
      <c r="L2835"/>
      <c r="BU2835"/>
      <c r="BV2835"/>
      <c r="BX2835"/>
      <c r="BY2835"/>
      <c r="BZ2835"/>
    </row>
    <row r="2836" spans="8:78" x14ac:dyDescent="0.2">
      <c r="H2836"/>
      <c r="L2836"/>
      <c r="BU2836"/>
      <c r="BV2836"/>
      <c r="BX2836"/>
      <c r="BY2836"/>
      <c r="BZ2836"/>
    </row>
    <row r="2837" spans="8:78" x14ac:dyDescent="0.2">
      <c r="H2837"/>
      <c r="L2837"/>
      <c r="AK2837"/>
      <c r="BU2837"/>
      <c r="BV2837"/>
      <c r="BX2837"/>
      <c r="BY2837"/>
      <c r="BZ2837"/>
    </row>
    <row r="2838" spans="8:78" x14ac:dyDescent="0.2">
      <c r="H2838"/>
      <c r="L2838"/>
      <c r="AK2838"/>
      <c r="BU2838"/>
      <c r="BV2838"/>
      <c r="BX2838"/>
      <c r="BY2838"/>
      <c r="BZ2838"/>
    </row>
    <row r="2839" spans="8:78" x14ac:dyDescent="0.2">
      <c r="H2839"/>
      <c r="L2839"/>
      <c r="AK2839"/>
      <c r="BU2839"/>
      <c r="BV2839"/>
      <c r="BX2839"/>
      <c r="BY2839"/>
      <c r="BZ2839"/>
    </row>
    <row r="2840" spans="8:78" x14ac:dyDescent="0.2">
      <c r="H2840"/>
      <c r="L2840"/>
      <c r="AK2840"/>
      <c r="BU2840"/>
      <c r="BV2840"/>
      <c r="BX2840"/>
      <c r="BY2840"/>
      <c r="BZ2840"/>
    </row>
    <row r="2841" spans="8:78" x14ac:dyDescent="0.2">
      <c r="H2841"/>
      <c r="L2841"/>
      <c r="AK2841"/>
      <c r="BU2841"/>
      <c r="BV2841"/>
      <c r="BX2841"/>
      <c r="BY2841"/>
      <c r="BZ2841"/>
    </row>
    <row r="2842" spans="8:78" x14ac:dyDescent="0.2">
      <c r="H2842"/>
      <c r="L2842"/>
      <c r="AK2842"/>
      <c r="BU2842"/>
      <c r="BV2842"/>
      <c r="BX2842"/>
      <c r="BY2842"/>
      <c r="BZ2842"/>
    </row>
    <row r="2843" spans="8:78" x14ac:dyDescent="0.2">
      <c r="H2843"/>
      <c r="L2843"/>
      <c r="AK2843"/>
      <c r="BU2843"/>
      <c r="BV2843"/>
      <c r="BX2843"/>
      <c r="BY2843"/>
      <c r="BZ2843"/>
    </row>
    <row r="2844" spans="8:78" x14ac:dyDescent="0.2">
      <c r="H2844"/>
      <c r="L2844"/>
      <c r="BU2844"/>
      <c r="BV2844"/>
      <c r="BX2844"/>
      <c r="BY2844"/>
      <c r="BZ2844"/>
    </row>
    <row r="2845" spans="8:78" x14ac:dyDescent="0.2">
      <c r="H2845"/>
      <c r="L2845"/>
      <c r="AK2845"/>
      <c r="BU2845"/>
      <c r="BV2845"/>
      <c r="BX2845"/>
      <c r="BY2845"/>
      <c r="BZ2845"/>
    </row>
    <row r="2846" spans="8:78" x14ac:dyDescent="0.2">
      <c r="H2846"/>
      <c r="L2846"/>
      <c r="AK2846"/>
      <c r="BU2846"/>
      <c r="BV2846"/>
      <c r="BX2846"/>
      <c r="BY2846"/>
      <c r="BZ2846"/>
    </row>
    <row r="2847" spans="8:78" x14ac:dyDescent="0.2">
      <c r="H2847"/>
      <c r="L2847"/>
      <c r="AK2847"/>
      <c r="BU2847"/>
      <c r="BV2847"/>
      <c r="BX2847"/>
      <c r="BY2847"/>
      <c r="BZ2847"/>
    </row>
    <row r="2848" spans="8:78" x14ac:dyDescent="0.2">
      <c r="H2848"/>
      <c r="L2848"/>
      <c r="AK2848"/>
      <c r="BU2848"/>
      <c r="BV2848"/>
      <c r="BX2848"/>
      <c r="BY2848"/>
      <c r="BZ2848"/>
    </row>
    <row r="2849" spans="8:78" x14ac:dyDescent="0.2">
      <c r="H2849"/>
      <c r="L2849"/>
      <c r="BU2849"/>
      <c r="BV2849"/>
      <c r="BX2849"/>
      <c r="BY2849"/>
      <c r="BZ2849"/>
    </row>
    <row r="2850" spans="8:78" x14ac:dyDescent="0.2">
      <c r="H2850"/>
      <c r="L2850"/>
      <c r="BU2850"/>
      <c r="BV2850"/>
      <c r="BX2850"/>
      <c r="BY2850"/>
      <c r="BZ2850"/>
    </row>
    <row r="2851" spans="8:78" x14ac:dyDescent="0.2">
      <c r="H2851"/>
      <c r="L2851"/>
      <c r="BU2851"/>
      <c r="BV2851"/>
      <c r="BX2851"/>
      <c r="BY2851"/>
      <c r="BZ2851"/>
    </row>
    <row r="2852" spans="8:78" x14ac:dyDescent="0.2">
      <c r="H2852"/>
      <c r="L2852"/>
      <c r="BU2852"/>
      <c r="BV2852"/>
      <c r="BX2852"/>
      <c r="BY2852"/>
      <c r="BZ2852"/>
    </row>
    <row r="2853" spans="8:78" x14ac:dyDescent="0.2">
      <c r="H2853"/>
      <c r="L2853"/>
      <c r="BU2853"/>
      <c r="BV2853"/>
      <c r="BX2853"/>
      <c r="BY2853"/>
      <c r="BZ2853"/>
    </row>
    <row r="2854" spans="8:78" x14ac:dyDescent="0.2">
      <c r="H2854"/>
      <c r="L2854"/>
      <c r="AK2854"/>
      <c r="BU2854"/>
      <c r="BV2854"/>
      <c r="BX2854"/>
      <c r="BY2854"/>
      <c r="BZ2854"/>
    </row>
    <row r="2855" spans="8:78" x14ac:dyDescent="0.2">
      <c r="AK2855"/>
      <c r="BZ2855"/>
    </row>
    <row r="2856" spans="8:78" x14ac:dyDescent="0.2">
      <c r="AK2856"/>
      <c r="BZ2856"/>
    </row>
    <row r="2857" spans="8:78" x14ac:dyDescent="0.2">
      <c r="H2857"/>
      <c r="L2857"/>
      <c r="AK2857"/>
      <c r="BU2857"/>
      <c r="BV2857"/>
      <c r="BX2857"/>
      <c r="BY2857"/>
      <c r="BZ2857"/>
    </row>
    <row r="2858" spans="8:78" x14ac:dyDescent="0.2">
      <c r="H2858"/>
      <c r="L2858"/>
      <c r="AK2858"/>
      <c r="BU2858"/>
      <c r="BV2858"/>
      <c r="BX2858"/>
      <c r="BY2858"/>
      <c r="BZ2858"/>
    </row>
    <row r="2859" spans="8:78" x14ac:dyDescent="0.2">
      <c r="H2859"/>
      <c r="L2859"/>
      <c r="AK2859"/>
      <c r="BU2859"/>
      <c r="BV2859"/>
      <c r="BX2859"/>
      <c r="BY2859"/>
      <c r="BZ2859"/>
    </row>
    <row r="2860" spans="8:78" x14ac:dyDescent="0.2">
      <c r="H2860"/>
      <c r="L2860"/>
      <c r="AK2860"/>
      <c r="BU2860"/>
      <c r="BV2860"/>
      <c r="BX2860"/>
      <c r="BY2860"/>
      <c r="BZ2860"/>
    </row>
    <row r="2861" spans="8:78" x14ac:dyDescent="0.2">
      <c r="H2861"/>
      <c r="L2861"/>
      <c r="AK2861"/>
      <c r="BU2861"/>
      <c r="BV2861"/>
      <c r="BX2861"/>
      <c r="BY2861"/>
      <c r="BZ2861"/>
    </row>
    <row r="2862" spans="8:78" x14ac:dyDescent="0.2">
      <c r="H2862"/>
      <c r="L2862"/>
      <c r="AK2862"/>
      <c r="BU2862"/>
      <c r="BV2862"/>
      <c r="BX2862"/>
      <c r="BY2862"/>
      <c r="BZ2862"/>
    </row>
    <row r="2863" spans="8:78" x14ac:dyDescent="0.2">
      <c r="AK2863"/>
      <c r="BZ2863"/>
    </row>
    <row r="2864" spans="8:78" x14ac:dyDescent="0.2">
      <c r="AK2864"/>
      <c r="BZ2864"/>
    </row>
    <row r="2865" spans="8:78" x14ac:dyDescent="0.2">
      <c r="H2865"/>
      <c r="L2865"/>
      <c r="AK2865"/>
      <c r="BU2865"/>
      <c r="BV2865"/>
      <c r="BX2865"/>
      <c r="BY2865"/>
      <c r="BZ2865"/>
    </row>
    <row r="2866" spans="8:78" x14ac:dyDescent="0.2">
      <c r="AK2866"/>
      <c r="BZ2866"/>
    </row>
    <row r="2867" spans="8:78" x14ac:dyDescent="0.2">
      <c r="AK2867"/>
      <c r="BZ2867"/>
    </row>
    <row r="2868" spans="8:78" x14ac:dyDescent="0.2">
      <c r="AK2868"/>
      <c r="BZ2868"/>
    </row>
    <row r="2869" spans="8:78" x14ac:dyDescent="0.2">
      <c r="H2869"/>
      <c r="L2869"/>
      <c r="AK2869"/>
      <c r="BU2869"/>
      <c r="BV2869"/>
      <c r="BX2869"/>
      <c r="BY2869"/>
      <c r="BZ2869"/>
    </row>
    <row r="2870" spans="8:78" x14ac:dyDescent="0.2">
      <c r="H2870"/>
      <c r="L2870"/>
      <c r="AK2870"/>
      <c r="BU2870"/>
      <c r="BV2870"/>
      <c r="BX2870"/>
      <c r="BY2870"/>
      <c r="BZ2870"/>
    </row>
    <row r="2871" spans="8:78" x14ac:dyDescent="0.2">
      <c r="H2871"/>
      <c r="L2871"/>
      <c r="AK2871"/>
      <c r="BU2871"/>
      <c r="BV2871"/>
      <c r="BX2871"/>
      <c r="BY2871"/>
      <c r="BZ2871"/>
    </row>
    <row r="2872" spans="8:78" x14ac:dyDescent="0.2">
      <c r="H2872"/>
      <c r="L2872"/>
      <c r="AK2872"/>
      <c r="BU2872"/>
      <c r="BV2872"/>
      <c r="BX2872"/>
      <c r="BY2872"/>
      <c r="BZ2872"/>
    </row>
    <row r="2873" spans="8:78" x14ac:dyDescent="0.2">
      <c r="H2873"/>
      <c r="L2873"/>
      <c r="AK2873"/>
      <c r="BU2873"/>
      <c r="BV2873"/>
      <c r="BX2873"/>
      <c r="BY2873"/>
      <c r="BZ2873"/>
    </row>
    <row r="2874" spans="8:78" x14ac:dyDescent="0.2">
      <c r="H2874"/>
      <c r="L2874"/>
      <c r="AK2874"/>
      <c r="BU2874"/>
      <c r="BV2874"/>
      <c r="BX2874"/>
      <c r="BY2874"/>
      <c r="BZ2874"/>
    </row>
    <row r="2875" spans="8:78" x14ac:dyDescent="0.2">
      <c r="H2875"/>
      <c r="L2875"/>
      <c r="AK2875"/>
      <c r="BU2875"/>
      <c r="BV2875"/>
      <c r="BX2875"/>
      <c r="BY2875"/>
      <c r="BZ2875"/>
    </row>
    <row r="2876" spans="8:78" x14ac:dyDescent="0.2">
      <c r="H2876"/>
      <c r="L2876"/>
      <c r="AK2876"/>
      <c r="BU2876"/>
      <c r="BV2876"/>
      <c r="BX2876"/>
      <c r="BY2876"/>
      <c r="BZ2876"/>
    </row>
    <row r="2877" spans="8:78" x14ac:dyDescent="0.2">
      <c r="H2877"/>
      <c r="L2877"/>
      <c r="AK2877"/>
      <c r="BU2877"/>
      <c r="BV2877"/>
      <c r="BX2877"/>
      <c r="BY2877"/>
      <c r="BZ2877"/>
    </row>
    <row r="2878" spans="8:78" x14ac:dyDescent="0.2">
      <c r="H2878"/>
      <c r="L2878"/>
      <c r="AK2878"/>
      <c r="BU2878"/>
      <c r="BV2878"/>
      <c r="BX2878"/>
      <c r="BY2878"/>
      <c r="BZ2878"/>
    </row>
    <row r="2879" spans="8:78" x14ac:dyDescent="0.2">
      <c r="H2879"/>
      <c r="L2879"/>
      <c r="AK2879"/>
      <c r="BU2879"/>
      <c r="BV2879"/>
      <c r="BX2879"/>
      <c r="BY2879"/>
      <c r="BZ2879"/>
    </row>
    <row r="2880" spans="8:78" x14ac:dyDescent="0.2">
      <c r="H2880"/>
      <c r="L2880"/>
      <c r="AK2880"/>
      <c r="BU2880"/>
      <c r="BV2880"/>
      <c r="BX2880"/>
      <c r="BY2880"/>
      <c r="BZ2880"/>
    </row>
    <row r="2881" spans="8:78" x14ac:dyDescent="0.2">
      <c r="H2881"/>
      <c r="L2881"/>
      <c r="BU2881"/>
      <c r="BV2881"/>
      <c r="BX2881"/>
      <c r="BY2881"/>
      <c r="BZ2881"/>
    </row>
    <row r="2882" spans="8:78" x14ac:dyDescent="0.2">
      <c r="H2882"/>
      <c r="L2882"/>
      <c r="BU2882"/>
      <c r="BV2882"/>
      <c r="BX2882"/>
      <c r="BY2882"/>
      <c r="BZ2882"/>
    </row>
    <row r="2883" spans="8:78" x14ac:dyDescent="0.2">
      <c r="H2883"/>
      <c r="L2883"/>
      <c r="BU2883"/>
      <c r="BV2883"/>
      <c r="BX2883"/>
      <c r="BY2883"/>
      <c r="BZ2883"/>
    </row>
    <row r="2884" spans="8:78" x14ac:dyDescent="0.2">
      <c r="H2884"/>
      <c r="L2884"/>
      <c r="BU2884"/>
      <c r="BV2884"/>
      <c r="BX2884"/>
      <c r="BY2884"/>
      <c r="BZ2884"/>
    </row>
    <row r="2885" spans="8:78" x14ac:dyDescent="0.2">
      <c r="H2885"/>
      <c r="L2885"/>
      <c r="BU2885"/>
      <c r="BV2885"/>
      <c r="BX2885"/>
      <c r="BY2885"/>
      <c r="BZ2885"/>
    </row>
    <row r="2886" spans="8:78" x14ac:dyDescent="0.2">
      <c r="H2886"/>
      <c r="L2886"/>
      <c r="BU2886"/>
      <c r="BV2886"/>
      <c r="BX2886"/>
      <c r="BY2886"/>
      <c r="BZ2886"/>
    </row>
    <row r="2887" spans="8:78" x14ac:dyDescent="0.2">
      <c r="H2887"/>
      <c r="L2887"/>
      <c r="AK2887"/>
      <c r="BU2887"/>
      <c r="BV2887"/>
      <c r="BX2887"/>
      <c r="BY2887"/>
      <c r="BZ2887"/>
    </row>
    <row r="2888" spans="8:78" x14ac:dyDescent="0.2">
      <c r="H2888"/>
      <c r="L2888"/>
      <c r="AK2888"/>
      <c r="BU2888"/>
      <c r="BV2888"/>
      <c r="BX2888"/>
      <c r="BY2888"/>
      <c r="BZ2888"/>
    </row>
    <row r="2889" spans="8:78" x14ac:dyDescent="0.2">
      <c r="H2889"/>
      <c r="L2889"/>
      <c r="AK2889"/>
      <c r="BU2889"/>
      <c r="BV2889"/>
      <c r="BX2889"/>
      <c r="BY2889"/>
      <c r="BZ2889"/>
    </row>
    <row r="2890" spans="8:78" x14ac:dyDescent="0.2">
      <c r="H2890"/>
      <c r="L2890"/>
      <c r="AK2890"/>
      <c r="BU2890"/>
      <c r="BV2890"/>
      <c r="BX2890"/>
      <c r="BY2890"/>
      <c r="BZ2890"/>
    </row>
    <row r="2891" spans="8:78" x14ac:dyDescent="0.2">
      <c r="H2891"/>
      <c r="L2891"/>
      <c r="AK2891"/>
      <c r="BU2891"/>
      <c r="BV2891"/>
      <c r="BX2891"/>
      <c r="BY2891"/>
      <c r="BZ2891"/>
    </row>
    <row r="2892" spans="8:78" x14ac:dyDescent="0.2">
      <c r="H2892"/>
      <c r="L2892"/>
      <c r="AK2892"/>
      <c r="BU2892"/>
      <c r="BV2892"/>
      <c r="BX2892"/>
      <c r="BY2892"/>
      <c r="BZ2892"/>
    </row>
    <row r="2893" spans="8:78" x14ac:dyDescent="0.2">
      <c r="H2893"/>
      <c r="L2893"/>
      <c r="AK2893"/>
      <c r="BU2893"/>
      <c r="BV2893"/>
      <c r="BX2893"/>
      <c r="BY2893"/>
      <c r="BZ2893"/>
    </row>
    <row r="2894" spans="8:78" x14ac:dyDescent="0.2">
      <c r="H2894"/>
      <c r="L2894"/>
      <c r="AK2894"/>
      <c r="BU2894"/>
      <c r="BV2894"/>
      <c r="BX2894"/>
      <c r="BY2894"/>
      <c r="BZ2894"/>
    </row>
    <row r="2895" spans="8:78" x14ac:dyDescent="0.2">
      <c r="H2895"/>
      <c r="L2895"/>
      <c r="AK2895"/>
      <c r="BU2895"/>
      <c r="BV2895"/>
      <c r="BX2895"/>
      <c r="BY2895"/>
      <c r="BZ2895"/>
    </row>
    <row r="2896" spans="8:78" x14ac:dyDescent="0.2">
      <c r="H2896"/>
      <c r="L2896"/>
      <c r="AK2896"/>
      <c r="BU2896"/>
      <c r="BV2896"/>
      <c r="BX2896"/>
      <c r="BY2896"/>
      <c r="BZ2896"/>
    </row>
    <row r="2897" spans="8:78" x14ac:dyDescent="0.2">
      <c r="H2897"/>
      <c r="L2897"/>
      <c r="AK2897"/>
      <c r="BU2897"/>
      <c r="BV2897"/>
      <c r="BX2897"/>
      <c r="BY2897"/>
      <c r="BZ2897"/>
    </row>
    <row r="2898" spans="8:78" x14ac:dyDescent="0.2">
      <c r="H2898"/>
      <c r="L2898"/>
      <c r="BU2898"/>
      <c r="BV2898"/>
      <c r="BX2898"/>
      <c r="BY2898"/>
      <c r="BZ2898"/>
    </row>
    <row r="2899" spans="8:78" x14ac:dyDescent="0.2">
      <c r="BZ2899"/>
    </row>
    <row r="2900" spans="8:78" x14ac:dyDescent="0.2">
      <c r="BZ2900"/>
    </row>
    <row r="2901" spans="8:78" x14ac:dyDescent="0.2">
      <c r="H2901"/>
      <c r="L2901"/>
      <c r="BU2901"/>
      <c r="BV2901"/>
      <c r="BX2901"/>
      <c r="BY2901"/>
      <c r="BZ2901"/>
    </row>
    <row r="2902" spans="8:78" x14ac:dyDescent="0.2">
      <c r="H2902"/>
      <c r="L2902"/>
      <c r="BU2902"/>
      <c r="BV2902"/>
      <c r="BX2902"/>
      <c r="BY2902"/>
      <c r="BZ2902"/>
    </row>
    <row r="2903" spans="8:78" x14ac:dyDescent="0.2">
      <c r="H2903"/>
      <c r="L2903"/>
      <c r="AK2903"/>
      <c r="BU2903"/>
      <c r="BV2903"/>
      <c r="BX2903"/>
      <c r="BY2903"/>
      <c r="BZ2903"/>
    </row>
    <row r="2904" spans="8:78" x14ac:dyDescent="0.2">
      <c r="H2904"/>
      <c r="L2904"/>
      <c r="AK2904"/>
      <c r="BU2904"/>
      <c r="BV2904"/>
      <c r="BX2904"/>
      <c r="BY2904"/>
      <c r="BZ2904"/>
    </row>
    <row r="2905" spans="8:78" x14ac:dyDescent="0.2">
      <c r="H2905"/>
      <c r="L2905"/>
      <c r="AK2905"/>
      <c r="BU2905"/>
      <c r="BV2905"/>
      <c r="BX2905"/>
      <c r="BY2905"/>
      <c r="BZ2905"/>
    </row>
    <row r="2906" spans="8:78" x14ac:dyDescent="0.2">
      <c r="H2906"/>
      <c r="L2906"/>
      <c r="AK2906"/>
      <c r="BU2906"/>
      <c r="BV2906"/>
      <c r="BX2906"/>
      <c r="BY2906"/>
      <c r="BZ2906"/>
    </row>
    <row r="2907" spans="8:78" x14ac:dyDescent="0.2">
      <c r="H2907"/>
      <c r="L2907"/>
      <c r="AK2907"/>
      <c r="BU2907"/>
      <c r="BV2907"/>
      <c r="BX2907"/>
      <c r="BY2907"/>
      <c r="BZ2907"/>
    </row>
    <row r="2908" spans="8:78" x14ac:dyDescent="0.2">
      <c r="H2908"/>
      <c r="L2908"/>
      <c r="BU2908"/>
      <c r="BV2908"/>
      <c r="BX2908"/>
      <c r="BY2908"/>
      <c r="BZ2908"/>
    </row>
    <row r="2909" spans="8:78" x14ac:dyDescent="0.2">
      <c r="H2909"/>
      <c r="L2909"/>
      <c r="BU2909"/>
      <c r="BV2909"/>
      <c r="BX2909"/>
      <c r="BY2909"/>
      <c r="BZ2909"/>
    </row>
    <row r="2910" spans="8:78" x14ac:dyDescent="0.2">
      <c r="H2910"/>
      <c r="L2910"/>
      <c r="BU2910"/>
      <c r="BV2910"/>
      <c r="BX2910"/>
      <c r="BY2910"/>
      <c r="BZ2910"/>
    </row>
    <row r="2911" spans="8:78" x14ac:dyDescent="0.2">
      <c r="H2911"/>
      <c r="L2911"/>
      <c r="BU2911"/>
      <c r="BV2911"/>
      <c r="BX2911"/>
      <c r="BY2911"/>
      <c r="BZ2911"/>
    </row>
    <row r="2912" spans="8:78" x14ac:dyDescent="0.2">
      <c r="H2912"/>
      <c r="L2912"/>
      <c r="BU2912"/>
      <c r="BV2912"/>
      <c r="BX2912"/>
      <c r="BY2912"/>
      <c r="BZ2912"/>
    </row>
    <row r="2913" spans="8:78" x14ac:dyDescent="0.2">
      <c r="H2913"/>
      <c r="L2913"/>
      <c r="AK2913"/>
      <c r="BU2913"/>
      <c r="BV2913"/>
      <c r="BX2913"/>
      <c r="BY2913"/>
      <c r="BZ2913"/>
    </row>
    <row r="2914" spans="8:78" x14ac:dyDescent="0.2">
      <c r="H2914"/>
      <c r="L2914"/>
      <c r="AK2914"/>
      <c r="BU2914"/>
      <c r="BV2914"/>
      <c r="BX2914"/>
      <c r="BY2914"/>
      <c r="BZ2914"/>
    </row>
    <row r="2915" spans="8:78" x14ac:dyDescent="0.2">
      <c r="H2915"/>
      <c r="L2915"/>
      <c r="AK2915"/>
      <c r="BU2915"/>
      <c r="BV2915"/>
      <c r="BX2915"/>
      <c r="BY2915"/>
      <c r="BZ2915"/>
    </row>
    <row r="2916" spans="8:78" x14ac:dyDescent="0.2">
      <c r="H2916"/>
      <c r="L2916"/>
      <c r="AK2916"/>
      <c r="BU2916"/>
      <c r="BV2916"/>
      <c r="BX2916"/>
      <c r="BY2916"/>
      <c r="BZ2916"/>
    </row>
    <row r="2917" spans="8:78" x14ac:dyDescent="0.2">
      <c r="H2917"/>
      <c r="L2917"/>
      <c r="AK2917"/>
      <c r="BU2917"/>
      <c r="BV2917"/>
      <c r="BX2917"/>
      <c r="BY2917"/>
      <c r="BZ2917"/>
    </row>
    <row r="2918" spans="8:78" x14ac:dyDescent="0.2">
      <c r="H2918"/>
      <c r="L2918"/>
      <c r="AK2918"/>
      <c r="BU2918"/>
      <c r="BV2918"/>
      <c r="BX2918"/>
      <c r="BY2918"/>
      <c r="BZ2918"/>
    </row>
    <row r="2919" spans="8:78" x14ac:dyDescent="0.2">
      <c r="H2919"/>
      <c r="L2919"/>
      <c r="AK2919"/>
      <c r="BU2919"/>
      <c r="BV2919"/>
      <c r="BX2919"/>
      <c r="BY2919"/>
      <c r="BZ2919"/>
    </row>
    <row r="2920" spans="8:78" x14ac:dyDescent="0.2">
      <c r="H2920"/>
      <c r="L2920"/>
      <c r="AK2920"/>
      <c r="BU2920"/>
      <c r="BV2920"/>
      <c r="BX2920"/>
      <c r="BY2920"/>
      <c r="BZ2920"/>
    </row>
    <row r="2921" spans="8:78" x14ac:dyDescent="0.2">
      <c r="H2921"/>
      <c r="L2921"/>
      <c r="AK2921"/>
      <c r="BU2921"/>
      <c r="BV2921"/>
      <c r="BX2921"/>
      <c r="BY2921"/>
      <c r="BZ2921"/>
    </row>
    <row r="2922" spans="8:78" x14ac:dyDescent="0.2">
      <c r="H2922"/>
      <c r="L2922"/>
      <c r="AK2922"/>
      <c r="BU2922"/>
      <c r="BV2922"/>
      <c r="BX2922"/>
      <c r="BY2922"/>
      <c r="BZ2922"/>
    </row>
    <row r="2923" spans="8:78" x14ac:dyDescent="0.2">
      <c r="H2923"/>
      <c r="L2923"/>
      <c r="AK2923"/>
      <c r="BU2923"/>
      <c r="BV2923"/>
      <c r="BX2923"/>
      <c r="BY2923"/>
      <c r="BZ2923"/>
    </row>
    <row r="2924" spans="8:78" x14ac:dyDescent="0.2">
      <c r="H2924"/>
      <c r="L2924"/>
      <c r="AK2924"/>
      <c r="BU2924"/>
      <c r="BV2924"/>
      <c r="BX2924"/>
      <c r="BY2924"/>
      <c r="BZ2924"/>
    </row>
    <row r="2925" spans="8:78" x14ac:dyDescent="0.2">
      <c r="H2925"/>
      <c r="L2925"/>
      <c r="AK2925"/>
      <c r="BU2925"/>
      <c r="BV2925"/>
      <c r="BX2925"/>
      <c r="BY2925"/>
      <c r="BZ2925"/>
    </row>
    <row r="2926" spans="8:78" x14ac:dyDescent="0.2">
      <c r="H2926"/>
      <c r="L2926"/>
      <c r="AK2926"/>
      <c r="BU2926"/>
      <c r="BV2926"/>
      <c r="BX2926"/>
      <c r="BY2926"/>
      <c r="BZ2926"/>
    </row>
    <row r="2927" spans="8:78" x14ac:dyDescent="0.2">
      <c r="H2927"/>
      <c r="L2927"/>
      <c r="AK2927"/>
      <c r="BU2927"/>
      <c r="BV2927"/>
      <c r="BX2927"/>
      <c r="BY2927"/>
      <c r="BZ2927"/>
    </row>
    <row r="2928" spans="8:78" x14ac:dyDescent="0.2">
      <c r="H2928"/>
      <c r="L2928"/>
      <c r="AK2928"/>
      <c r="BU2928"/>
      <c r="BV2928"/>
      <c r="BX2928"/>
      <c r="BY2928"/>
      <c r="BZ2928"/>
    </row>
    <row r="2929" spans="8:78" x14ac:dyDescent="0.2">
      <c r="H2929"/>
      <c r="L2929"/>
      <c r="AK2929"/>
      <c r="BU2929"/>
      <c r="BV2929"/>
      <c r="BX2929"/>
      <c r="BY2929"/>
      <c r="BZ2929"/>
    </row>
    <row r="2930" spans="8:78" x14ac:dyDescent="0.2">
      <c r="H2930"/>
      <c r="L2930"/>
      <c r="AK2930"/>
      <c r="BU2930"/>
      <c r="BV2930"/>
      <c r="BX2930"/>
      <c r="BY2930"/>
      <c r="BZ2930"/>
    </row>
    <row r="2931" spans="8:78" x14ac:dyDescent="0.2">
      <c r="H2931"/>
      <c r="L2931"/>
      <c r="AK2931"/>
      <c r="BU2931"/>
      <c r="BV2931"/>
      <c r="BX2931"/>
      <c r="BY2931"/>
      <c r="BZ2931"/>
    </row>
    <row r="2932" spans="8:78" x14ac:dyDescent="0.2">
      <c r="H2932"/>
      <c r="L2932"/>
      <c r="AK2932"/>
      <c r="BU2932"/>
      <c r="BV2932"/>
      <c r="BX2932"/>
      <c r="BY2932"/>
      <c r="BZ2932"/>
    </row>
    <row r="2933" spans="8:78" x14ac:dyDescent="0.2">
      <c r="H2933"/>
      <c r="L2933"/>
      <c r="AK2933"/>
      <c r="BU2933"/>
      <c r="BV2933"/>
      <c r="BX2933"/>
      <c r="BY2933"/>
      <c r="BZ2933"/>
    </row>
    <row r="2934" spans="8:78" x14ac:dyDescent="0.2">
      <c r="H2934"/>
      <c r="L2934"/>
      <c r="AK2934"/>
      <c r="BU2934"/>
      <c r="BV2934"/>
      <c r="BX2934"/>
      <c r="BY2934"/>
      <c r="BZ2934"/>
    </row>
    <row r="2935" spans="8:78" x14ac:dyDescent="0.2">
      <c r="H2935"/>
      <c r="L2935"/>
      <c r="AK2935"/>
      <c r="BU2935"/>
      <c r="BV2935"/>
      <c r="BX2935"/>
      <c r="BY2935"/>
      <c r="BZ2935"/>
    </row>
    <row r="2936" spans="8:78" x14ac:dyDescent="0.2">
      <c r="H2936"/>
      <c r="L2936"/>
      <c r="AK2936"/>
      <c r="BU2936"/>
      <c r="BV2936"/>
      <c r="BX2936"/>
      <c r="BY2936"/>
      <c r="BZ2936"/>
    </row>
    <row r="2937" spans="8:78" x14ac:dyDescent="0.2">
      <c r="H2937"/>
      <c r="L2937"/>
      <c r="AK2937"/>
      <c r="BU2937"/>
      <c r="BV2937"/>
      <c r="BX2937"/>
      <c r="BY2937"/>
      <c r="BZ2937"/>
    </row>
    <row r="2938" spans="8:78" x14ac:dyDescent="0.2">
      <c r="H2938"/>
      <c r="L2938"/>
      <c r="BU2938"/>
      <c r="BV2938"/>
      <c r="BX2938"/>
      <c r="BY2938"/>
      <c r="BZ2938"/>
    </row>
    <row r="2939" spans="8:78" x14ac:dyDescent="0.2">
      <c r="H2939"/>
      <c r="L2939"/>
      <c r="BU2939"/>
      <c r="BV2939"/>
      <c r="BX2939"/>
      <c r="BY2939"/>
      <c r="BZ2939"/>
    </row>
    <row r="2940" spans="8:78" x14ac:dyDescent="0.2">
      <c r="H2940"/>
      <c r="L2940"/>
      <c r="BU2940"/>
      <c r="BV2940"/>
      <c r="BX2940"/>
      <c r="BY2940"/>
      <c r="BZ2940"/>
    </row>
    <row r="2941" spans="8:78" x14ac:dyDescent="0.2">
      <c r="H2941"/>
      <c r="L2941"/>
      <c r="BU2941"/>
      <c r="BV2941"/>
      <c r="BX2941"/>
      <c r="BY2941"/>
      <c r="BZ2941"/>
    </row>
    <row r="2942" spans="8:78" x14ac:dyDescent="0.2">
      <c r="H2942"/>
      <c r="L2942"/>
      <c r="AK2942"/>
      <c r="BU2942"/>
      <c r="BV2942"/>
      <c r="BX2942"/>
      <c r="BY2942"/>
      <c r="BZ2942"/>
    </row>
    <row r="2943" spans="8:78" x14ac:dyDescent="0.2">
      <c r="H2943"/>
      <c r="L2943"/>
      <c r="AK2943"/>
      <c r="BU2943"/>
      <c r="BV2943"/>
      <c r="BX2943"/>
      <c r="BY2943"/>
      <c r="BZ2943"/>
    </row>
    <row r="2944" spans="8:78" x14ac:dyDescent="0.2">
      <c r="H2944"/>
      <c r="L2944"/>
      <c r="BU2944"/>
      <c r="BV2944"/>
      <c r="BX2944"/>
      <c r="BY2944"/>
      <c r="BZ2944"/>
    </row>
    <row r="2945" spans="8:78" x14ac:dyDescent="0.2">
      <c r="H2945"/>
      <c r="L2945"/>
      <c r="AK2945"/>
      <c r="BU2945"/>
      <c r="BV2945"/>
      <c r="BX2945"/>
      <c r="BY2945"/>
      <c r="BZ2945"/>
    </row>
    <row r="2946" spans="8:78" x14ac:dyDescent="0.2">
      <c r="H2946"/>
      <c r="L2946"/>
      <c r="AK2946"/>
      <c r="BU2946"/>
      <c r="BV2946"/>
      <c r="BX2946"/>
      <c r="BY2946"/>
      <c r="BZ2946"/>
    </row>
    <row r="2947" spans="8:78" x14ac:dyDescent="0.2">
      <c r="H2947"/>
      <c r="L2947"/>
      <c r="AK2947"/>
      <c r="BU2947"/>
      <c r="BV2947"/>
      <c r="BX2947"/>
      <c r="BY2947"/>
      <c r="BZ2947"/>
    </row>
    <row r="2948" spans="8:78" x14ac:dyDescent="0.2">
      <c r="H2948"/>
      <c r="L2948"/>
      <c r="AK2948"/>
      <c r="BU2948"/>
      <c r="BV2948"/>
      <c r="BX2948"/>
      <c r="BY2948"/>
      <c r="BZ2948"/>
    </row>
    <row r="2949" spans="8:78" x14ac:dyDescent="0.2">
      <c r="H2949"/>
      <c r="L2949"/>
      <c r="AK2949"/>
      <c r="BU2949"/>
      <c r="BV2949"/>
      <c r="BX2949"/>
      <c r="BY2949"/>
      <c r="BZ2949"/>
    </row>
    <row r="2950" spans="8:78" x14ac:dyDescent="0.2">
      <c r="H2950"/>
      <c r="L2950"/>
      <c r="AK2950"/>
      <c r="BU2950"/>
      <c r="BV2950"/>
      <c r="BX2950"/>
      <c r="BY2950"/>
      <c r="BZ2950"/>
    </row>
    <row r="2951" spans="8:78" x14ac:dyDescent="0.2">
      <c r="H2951"/>
      <c r="L2951"/>
      <c r="AK2951"/>
      <c r="BU2951"/>
      <c r="BV2951"/>
      <c r="BX2951"/>
      <c r="BY2951"/>
      <c r="BZ2951"/>
    </row>
    <row r="2952" spans="8:78" x14ac:dyDescent="0.2">
      <c r="H2952"/>
      <c r="L2952"/>
      <c r="AK2952"/>
      <c r="BU2952"/>
      <c r="BV2952"/>
      <c r="BX2952"/>
      <c r="BY2952"/>
      <c r="BZ2952"/>
    </row>
    <row r="2953" spans="8:78" x14ac:dyDescent="0.2">
      <c r="H2953"/>
      <c r="L2953"/>
      <c r="AK2953"/>
      <c r="BU2953"/>
      <c r="BV2953"/>
      <c r="BX2953"/>
      <c r="BY2953"/>
      <c r="BZ2953"/>
    </row>
    <row r="2954" spans="8:78" x14ac:dyDescent="0.2">
      <c r="H2954"/>
      <c r="L2954"/>
      <c r="BU2954"/>
      <c r="BV2954"/>
      <c r="BX2954"/>
      <c r="BY2954"/>
      <c r="BZ2954"/>
    </row>
    <row r="2955" spans="8:78" x14ac:dyDescent="0.2">
      <c r="H2955"/>
      <c r="L2955"/>
      <c r="BU2955"/>
      <c r="BV2955"/>
      <c r="BX2955"/>
      <c r="BY2955"/>
      <c r="BZ2955"/>
    </row>
    <row r="2956" spans="8:78" x14ac:dyDescent="0.2">
      <c r="H2956"/>
      <c r="L2956"/>
      <c r="BU2956"/>
      <c r="BV2956"/>
      <c r="BX2956"/>
      <c r="BY2956"/>
      <c r="BZ2956"/>
    </row>
    <row r="2957" spans="8:78" x14ac:dyDescent="0.2">
      <c r="H2957"/>
      <c r="L2957"/>
      <c r="BU2957"/>
      <c r="BV2957"/>
      <c r="BX2957"/>
      <c r="BY2957"/>
      <c r="BZ2957"/>
    </row>
    <row r="2958" spans="8:78" x14ac:dyDescent="0.2">
      <c r="H2958"/>
      <c r="L2958"/>
      <c r="BU2958"/>
      <c r="BV2958"/>
      <c r="BX2958"/>
      <c r="BY2958"/>
      <c r="BZ2958"/>
    </row>
    <row r="2959" spans="8:78" x14ac:dyDescent="0.2">
      <c r="H2959"/>
      <c r="L2959"/>
      <c r="BU2959"/>
      <c r="BV2959"/>
      <c r="BX2959"/>
      <c r="BY2959"/>
      <c r="BZ2959"/>
    </row>
    <row r="2960" spans="8:78" x14ac:dyDescent="0.2">
      <c r="H2960"/>
      <c r="L2960"/>
      <c r="AK2960"/>
      <c r="BU2960"/>
      <c r="BV2960"/>
      <c r="BX2960"/>
      <c r="BY2960"/>
      <c r="BZ2960"/>
    </row>
    <row r="2961" spans="8:78" x14ac:dyDescent="0.2">
      <c r="H2961"/>
      <c r="L2961"/>
      <c r="AK2961"/>
      <c r="BU2961"/>
      <c r="BV2961"/>
      <c r="BX2961"/>
      <c r="BY2961"/>
      <c r="BZ2961"/>
    </row>
    <row r="2962" spans="8:78" x14ac:dyDescent="0.2">
      <c r="H2962"/>
      <c r="L2962"/>
      <c r="AK2962"/>
      <c r="BU2962"/>
      <c r="BV2962"/>
      <c r="BX2962"/>
      <c r="BY2962"/>
      <c r="BZ2962"/>
    </row>
    <row r="2963" spans="8:78" x14ac:dyDescent="0.2">
      <c r="H2963"/>
      <c r="L2963"/>
      <c r="AK2963"/>
      <c r="BU2963"/>
      <c r="BV2963"/>
      <c r="BX2963"/>
      <c r="BY2963"/>
      <c r="BZ2963"/>
    </row>
    <row r="2964" spans="8:78" x14ac:dyDescent="0.2">
      <c r="H2964"/>
      <c r="L2964"/>
      <c r="AK2964"/>
      <c r="BU2964"/>
      <c r="BV2964"/>
      <c r="BX2964"/>
      <c r="BY2964"/>
      <c r="BZ2964"/>
    </row>
    <row r="2965" spans="8:78" x14ac:dyDescent="0.2">
      <c r="H2965"/>
      <c r="L2965"/>
      <c r="AK2965"/>
      <c r="BU2965"/>
      <c r="BV2965"/>
      <c r="BX2965"/>
      <c r="BY2965"/>
      <c r="BZ2965"/>
    </row>
    <row r="2966" spans="8:78" x14ac:dyDescent="0.2">
      <c r="H2966"/>
      <c r="L2966"/>
      <c r="AK2966"/>
      <c r="BU2966"/>
      <c r="BV2966"/>
      <c r="BX2966"/>
      <c r="BY2966"/>
      <c r="BZ2966"/>
    </row>
    <row r="2967" spans="8:78" x14ac:dyDescent="0.2">
      <c r="H2967"/>
      <c r="L2967"/>
      <c r="BU2967"/>
      <c r="BV2967"/>
      <c r="BX2967"/>
      <c r="BY2967"/>
      <c r="BZ2967"/>
    </row>
    <row r="2968" spans="8:78" x14ac:dyDescent="0.2">
      <c r="H2968"/>
      <c r="L2968"/>
      <c r="BU2968"/>
      <c r="BV2968"/>
      <c r="BX2968"/>
      <c r="BY2968"/>
      <c r="BZ2968"/>
    </row>
    <row r="2969" spans="8:78" x14ac:dyDescent="0.2">
      <c r="H2969"/>
      <c r="L2969"/>
      <c r="BU2969"/>
      <c r="BV2969"/>
      <c r="BX2969"/>
      <c r="BY2969"/>
      <c r="BZ2969"/>
    </row>
    <row r="2970" spans="8:78" x14ac:dyDescent="0.2">
      <c r="H2970"/>
      <c r="L2970"/>
      <c r="BU2970"/>
      <c r="BV2970"/>
      <c r="BX2970"/>
      <c r="BY2970"/>
      <c r="BZ2970"/>
    </row>
    <row r="2971" spans="8:78" x14ac:dyDescent="0.2">
      <c r="H2971"/>
      <c r="L2971"/>
      <c r="BU2971"/>
      <c r="BV2971"/>
      <c r="BX2971"/>
      <c r="BY2971"/>
      <c r="BZ2971"/>
    </row>
    <row r="2972" spans="8:78" x14ac:dyDescent="0.2">
      <c r="H2972"/>
      <c r="L2972"/>
      <c r="BU2972"/>
      <c r="BV2972"/>
      <c r="BX2972"/>
      <c r="BY2972"/>
      <c r="BZ2972"/>
    </row>
    <row r="2973" spans="8:78" x14ac:dyDescent="0.2">
      <c r="H2973"/>
      <c r="L2973"/>
      <c r="BU2973"/>
      <c r="BV2973"/>
      <c r="BX2973"/>
      <c r="BY2973"/>
      <c r="BZ2973"/>
    </row>
    <row r="2974" spans="8:78" x14ac:dyDescent="0.2">
      <c r="H2974"/>
      <c r="L2974"/>
      <c r="BU2974"/>
      <c r="BV2974"/>
      <c r="BX2974"/>
      <c r="BY2974"/>
      <c r="BZ2974"/>
    </row>
    <row r="2975" spans="8:78" x14ac:dyDescent="0.2">
      <c r="H2975"/>
      <c r="L2975"/>
      <c r="AK2975"/>
      <c r="BU2975"/>
      <c r="BV2975"/>
      <c r="BX2975"/>
      <c r="BY2975"/>
      <c r="BZ2975"/>
    </row>
    <row r="2976" spans="8:78" x14ac:dyDescent="0.2">
      <c r="H2976"/>
      <c r="L2976"/>
      <c r="AK2976"/>
      <c r="BU2976"/>
      <c r="BV2976"/>
      <c r="BX2976"/>
      <c r="BY2976"/>
      <c r="BZ2976"/>
    </row>
    <row r="2977" spans="8:78" x14ac:dyDescent="0.2">
      <c r="H2977"/>
      <c r="L2977"/>
      <c r="AK2977"/>
      <c r="BU2977"/>
      <c r="BV2977"/>
      <c r="BX2977"/>
      <c r="BY2977"/>
      <c r="BZ2977"/>
    </row>
    <row r="2978" spans="8:78" x14ac:dyDescent="0.2">
      <c r="AK2978"/>
      <c r="BZ2978"/>
    </row>
    <row r="2979" spans="8:78" x14ac:dyDescent="0.2">
      <c r="AK2979"/>
      <c r="BZ2979"/>
    </row>
    <row r="2980" spans="8:78" x14ac:dyDescent="0.2">
      <c r="AK2980"/>
      <c r="BZ2980"/>
    </row>
    <row r="2981" spans="8:78" x14ac:dyDescent="0.2">
      <c r="H2981"/>
      <c r="L2981"/>
      <c r="AK2981"/>
      <c r="BU2981"/>
      <c r="BV2981"/>
      <c r="BX2981"/>
      <c r="BY2981"/>
      <c r="BZ2981"/>
    </row>
    <row r="2982" spans="8:78" x14ac:dyDescent="0.2">
      <c r="H2982"/>
      <c r="L2982"/>
      <c r="AK2982"/>
      <c r="BU2982"/>
      <c r="BV2982"/>
      <c r="BX2982"/>
      <c r="BY2982"/>
      <c r="BZ2982"/>
    </row>
    <row r="2983" spans="8:78" x14ac:dyDescent="0.2">
      <c r="H2983"/>
      <c r="L2983"/>
      <c r="AK2983"/>
      <c r="BU2983"/>
      <c r="BV2983"/>
      <c r="BX2983"/>
      <c r="BY2983"/>
      <c r="BZ2983"/>
    </row>
    <row r="2984" spans="8:78" x14ac:dyDescent="0.2">
      <c r="H2984"/>
      <c r="L2984"/>
      <c r="BU2984"/>
      <c r="BV2984"/>
      <c r="BX2984"/>
      <c r="BY2984"/>
      <c r="BZ2984"/>
    </row>
    <row r="2985" spans="8:78" x14ac:dyDescent="0.2">
      <c r="H2985"/>
      <c r="L2985"/>
      <c r="BU2985"/>
      <c r="BV2985"/>
      <c r="BX2985"/>
      <c r="BY2985"/>
      <c r="BZ2985"/>
    </row>
    <row r="2986" spans="8:78" x14ac:dyDescent="0.2">
      <c r="H2986"/>
      <c r="L2986"/>
      <c r="BU2986"/>
      <c r="BV2986"/>
      <c r="BX2986"/>
      <c r="BY2986"/>
      <c r="BZ2986"/>
    </row>
    <row r="2987" spans="8:78" x14ac:dyDescent="0.2">
      <c r="H2987"/>
      <c r="L2987"/>
      <c r="BU2987"/>
      <c r="BV2987"/>
      <c r="BX2987"/>
      <c r="BY2987"/>
      <c r="BZ2987"/>
    </row>
    <row r="2988" spans="8:78" x14ac:dyDescent="0.2">
      <c r="H2988"/>
      <c r="L2988"/>
      <c r="BU2988"/>
      <c r="BV2988"/>
      <c r="BX2988"/>
      <c r="BY2988"/>
      <c r="BZ2988"/>
    </row>
    <row r="2989" spans="8:78" x14ac:dyDescent="0.2">
      <c r="H2989"/>
      <c r="L2989"/>
      <c r="BU2989"/>
      <c r="BV2989"/>
      <c r="BZ2989"/>
    </row>
    <row r="2990" spans="8:78" x14ac:dyDescent="0.2">
      <c r="H2990"/>
      <c r="L2990"/>
      <c r="AK2990"/>
      <c r="BU2990"/>
      <c r="BV2990"/>
      <c r="BX2990"/>
      <c r="BY2990"/>
      <c r="BZ2990"/>
    </row>
    <row r="2991" spans="8:78" x14ac:dyDescent="0.2">
      <c r="H2991"/>
      <c r="L2991"/>
      <c r="AK2991"/>
      <c r="BU2991"/>
      <c r="BV2991"/>
      <c r="BX2991"/>
      <c r="BY2991"/>
      <c r="BZ2991"/>
    </row>
    <row r="2992" spans="8:78" x14ac:dyDescent="0.2">
      <c r="H2992"/>
      <c r="L2992"/>
      <c r="BU2992"/>
      <c r="BV2992"/>
      <c r="BX2992"/>
      <c r="BY2992"/>
      <c r="BZ2992"/>
    </row>
    <row r="2993" spans="8:78" x14ac:dyDescent="0.2">
      <c r="H2993"/>
      <c r="L2993"/>
      <c r="AK2993"/>
      <c r="BU2993"/>
      <c r="BV2993"/>
      <c r="BX2993"/>
      <c r="BY2993"/>
      <c r="BZ2993"/>
    </row>
    <row r="2994" spans="8:78" x14ac:dyDescent="0.2">
      <c r="H2994"/>
      <c r="L2994"/>
      <c r="AK2994"/>
      <c r="BU2994"/>
      <c r="BV2994"/>
      <c r="BX2994"/>
      <c r="BY2994"/>
      <c r="BZ2994"/>
    </row>
    <row r="2995" spans="8:78" x14ac:dyDescent="0.2">
      <c r="AK2995"/>
      <c r="BZ2995"/>
    </row>
    <row r="2996" spans="8:78" x14ac:dyDescent="0.2">
      <c r="AK2996"/>
      <c r="BZ2996"/>
    </row>
    <row r="2997" spans="8:78" x14ac:dyDescent="0.2">
      <c r="H2997"/>
      <c r="L2997"/>
      <c r="AK2997"/>
      <c r="BU2997"/>
      <c r="BV2997"/>
      <c r="BX2997"/>
      <c r="BY2997"/>
      <c r="BZ2997"/>
    </row>
    <row r="2998" spans="8:78" x14ac:dyDescent="0.2">
      <c r="AK2998"/>
      <c r="BZ2998"/>
    </row>
    <row r="2999" spans="8:78" x14ac:dyDescent="0.2">
      <c r="AK2999"/>
      <c r="BZ2999"/>
    </row>
    <row r="3000" spans="8:78" x14ac:dyDescent="0.2">
      <c r="AK3000"/>
      <c r="BZ3000"/>
    </row>
    <row r="3001" spans="8:78" x14ac:dyDescent="0.2">
      <c r="AK3001"/>
      <c r="BZ3001"/>
    </row>
    <row r="3002" spans="8:78" x14ac:dyDescent="0.2">
      <c r="H3002"/>
      <c r="L3002"/>
      <c r="AK3002"/>
      <c r="BU3002"/>
      <c r="BV3002"/>
      <c r="BX3002"/>
      <c r="BY3002"/>
      <c r="BZ3002"/>
    </row>
    <row r="3003" spans="8:78" x14ac:dyDescent="0.2">
      <c r="H3003"/>
      <c r="L3003"/>
      <c r="AK3003"/>
      <c r="BU3003"/>
      <c r="BV3003"/>
      <c r="BX3003"/>
      <c r="BY3003"/>
      <c r="BZ3003"/>
    </row>
    <row r="3004" spans="8:78" x14ac:dyDescent="0.2">
      <c r="H3004"/>
      <c r="L3004"/>
      <c r="AK3004"/>
      <c r="BU3004"/>
      <c r="BV3004"/>
      <c r="BX3004"/>
      <c r="BY3004"/>
      <c r="BZ3004"/>
    </row>
    <row r="3005" spans="8:78" x14ac:dyDescent="0.2">
      <c r="H3005"/>
      <c r="L3005"/>
      <c r="AK3005"/>
      <c r="BU3005"/>
      <c r="BV3005"/>
      <c r="BX3005"/>
      <c r="BY3005"/>
      <c r="BZ3005"/>
    </row>
    <row r="3006" spans="8:78" x14ac:dyDescent="0.2">
      <c r="H3006"/>
      <c r="L3006"/>
      <c r="AK3006"/>
      <c r="BU3006"/>
      <c r="BV3006"/>
      <c r="BX3006"/>
      <c r="BY3006"/>
      <c r="BZ3006"/>
    </row>
    <row r="3007" spans="8:78" x14ac:dyDescent="0.2">
      <c r="H3007"/>
      <c r="L3007"/>
      <c r="AK3007"/>
      <c r="BU3007"/>
      <c r="BV3007"/>
      <c r="BX3007"/>
      <c r="BY3007"/>
      <c r="BZ3007"/>
    </row>
    <row r="3008" spans="8:78" x14ac:dyDescent="0.2">
      <c r="AK3008"/>
      <c r="BZ3008"/>
    </row>
    <row r="3009" spans="8:78" x14ac:dyDescent="0.2">
      <c r="AK3009"/>
      <c r="BZ3009"/>
    </row>
    <row r="3010" spans="8:78" x14ac:dyDescent="0.2">
      <c r="H3010"/>
      <c r="L3010"/>
      <c r="AK3010"/>
      <c r="BU3010"/>
      <c r="BV3010"/>
      <c r="BX3010"/>
      <c r="BY3010"/>
      <c r="BZ3010"/>
    </row>
    <row r="3011" spans="8:78" x14ac:dyDescent="0.2">
      <c r="H3011"/>
      <c r="L3011"/>
      <c r="AK3011"/>
      <c r="BU3011"/>
      <c r="BV3011"/>
      <c r="BX3011"/>
      <c r="BY3011"/>
      <c r="BZ3011"/>
    </row>
    <row r="3012" spans="8:78" x14ac:dyDescent="0.2">
      <c r="H3012"/>
      <c r="L3012"/>
      <c r="AK3012"/>
      <c r="BU3012"/>
      <c r="BV3012"/>
      <c r="BX3012"/>
      <c r="BY3012"/>
      <c r="BZ3012"/>
    </row>
    <row r="3013" spans="8:78" x14ac:dyDescent="0.2">
      <c r="BZ3013"/>
    </row>
    <row r="3014" spans="8:78" x14ac:dyDescent="0.2">
      <c r="H3014"/>
      <c r="L3014"/>
      <c r="BU3014"/>
      <c r="BV3014"/>
      <c r="BX3014"/>
      <c r="BY3014"/>
      <c r="BZ3014"/>
    </row>
    <row r="3015" spans="8:78" x14ac:dyDescent="0.2">
      <c r="H3015"/>
      <c r="L3015"/>
      <c r="BU3015"/>
      <c r="BV3015"/>
      <c r="BX3015"/>
      <c r="BY3015"/>
      <c r="BZ3015"/>
    </row>
    <row r="3016" spans="8:78" x14ac:dyDescent="0.2">
      <c r="H3016"/>
      <c r="L3016"/>
      <c r="AK3016"/>
      <c r="BU3016"/>
      <c r="BV3016"/>
      <c r="BX3016"/>
      <c r="BY3016"/>
      <c r="BZ3016"/>
    </row>
    <row r="3017" spans="8:78" x14ac:dyDescent="0.2">
      <c r="H3017"/>
      <c r="L3017"/>
      <c r="AK3017"/>
      <c r="BU3017"/>
      <c r="BV3017"/>
      <c r="BX3017"/>
      <c r="BY3017"/>
      <c r="BZ3017"/>
    </row>
    <row r="3018" spans="8:78" x14ac:dyDescent="0.2">
      <c r="H3018"/>
      <c r="L3018"/>
      <c r="AK3018"/>
      <c r="BU3018"/>
      <c r="BV3018"/>
      <c r="BX3018"/>
      <c r="BY3018"/>
      <c r="BZ3018"/>
    </row>
    <row r="3019" spans="8:78" x14ac:dyDescent="0.2">
      <c r="H3019"/>
      <c r="L3019"/>
      <c r="AK3019"/>
      <c r="BU3019"/>
      <c r="BV3019"/>
      <c r="BX3019"/>
      <c r="BY3019"/>
      <c r="BZ3019"/>
    </row>
    <row r="3020" spans="8:78" x14ac:dyDescent="0.2">
      <c r="H3020"/>
      <c r="L3020"/>
      <c r="AK3020"/>
      <c r="BU3020"/>
      <c r="BV3020"/>
      <c r="BX3020"/>
      <c r="BY3020"/>
      <c r="BZ3020"/>
    </row>
    <row r="3021" spans="8:78" x14ac:dyDescent="0.2">
      <c r="H3021"/>
      <c r="L3021"/>
      <c r="AK3021"/>
      <c r="BU3021"/>
      <c r="BV3021"/>
      <c r="BX3021"/>
      <c r="BY3021"/>
      <c r="BZ3021"/>
    </row>
    <row r="3022" spans="8:78" x14ac:dyDescent="0.2">
      <c r="H3022"/>
      <c r="L3022"/>
      <c r="AK3022"/>
      <c r="BU3022"/>
      <c r="BV3022"/>
      <c r="BX3022"/>
      <c r="BY3022"/>
      <c r="BZ3022"/>
    </row>
    <row r="3023" spans="8:78" x14ac:dyDescent="0.2">
      <c r="H3023"/>
      <c r="L3023"/>
      <c r="BU3023"/>
      <c r="BV3023"/>
      <c r="BX3023"/>
      <c r="BY3023"/>
      <c r="BZ3023"/>
    </row>
    <row r="3024" spans="8:78" x14ac:dyDescent="0.2">
      <c r="H3024"/>
      <c r="L3024"/>
      <c r="BU3024"/>
      <c r="BV3024"/>
      <c r="BX3024"/>
      <c r="BY3024"/>
      <c r="BZ3024"/>
    </row>
    <row r="3025" spans="8:78" x14ac:dyDescent="0.2">
      <c r="H3025"/>
      <c r="L3025"/>
      <c r="BU3025"/>
      <c r="BV3025"/>
      <c r="BX3025"/>
      <c r="BY3025"/>
      <c r="BZ3025"/>
    </row>
    <row r="3026" spans="8:78" x14ac:dyDescent="0.2">
      <c r="H3026"/>
      <c r="L3026"/>
      <c r="BU3026"/>
      <c r="BV3026"/>
      <c r="BX3026"/>
      <c r="BY3026"/>
      <c r="BZ3026"/>
    </row>
    <row r="3027" spans="8:78" x14ac:dyDescent="0.2">
      <c r="H3027"/>
      <c r="L3027"/>
      <c r="BU3027"/>
      <c r="BV3027"/>
      <c r="BX3027"/>
      <c r="BY3027"/>
      <c r="BZ3027"/>
    </row>
    <row r="3028" spans="8:78" x14ac:dyDescent="0.2">
      <c r="H3028"/>
      <c r="L3028"/>
      <c r="AK3028"/>
      <c r="BU3028"/>
      <c r="BV3028"/>
      <c r="BX3028"/>
      <c r="BY3028"/>
      <c r="BZ3028"/>
    </row>
    <row r="3029" spans="8:78" x14ac:dyDescent="0.2">
      <c r="H3029"/>
      <c r="L3029"/>
      <c r="AK3029"/>
      <c r="BU3029"/>
      <c r="BV3029"/>
      <c r="BX3029"/>
      <c r="BY3029"/>
      <c r="BZ3029"/>
    </row>
    <row r="3030" spans="8:78" x14ac:dyDescent="0.2">
      <c r="H3030"/>
      <c r="L3030"/>
      <c r="BU3030"/>
      <c r="BV3030"/>
      <c r="BX3030"/>
      <c r="BY3030"/>
      <c r="BZ3030"/>
    </row>
    <row r="3031" spans="8:78" x14ac:dyDescent="0.2">
      <c r="H3031"/>
      <c r="L3031"/>
      <c r="BU3031"/>
      <c r="BV3031"/>
      <c r="BX3031"/>
      <c r="BY3031"/>
      <c r="BZ3031"/>
    </row>
    <row r="3032" spans="8:78" x14ac:dyDescent="0.2">
      <c r="H3032"/>
      <c r="L3032"/>
      <c r="BU3032"/>
      <c r="BV3032"/>
      <c r="BX3032"/>
      <c r="BY3032"/>
      <c r="BZ3032"/>
    </row>
    <row r="3033" spans="8:78" x14ac:dyDescent="0.2">
      <c r="H3033"/>
      <c r="L3033"/>
      <c r="AK3033"/>
      <c r="BU3033"/>
      <c r="BV3033"/>
      <c r="BX3033"/>
      <c r="BY3033"/>
      <c r="BZ3033"/>
    </row>
    <row r="3034" spans="8:78" x14ac:dyDescent="0.2">
      <c r="H3034"/>
      <c r="L3034"/>
      <c r="BU3034"/>
      <c r="BV3034"/>
      <c r="BX3034"/>
      <c r="BY3034"/>
      <c r="BZ3034"/>
    </row>
    <row r="3035" spans="8:78" x14ac:dyDescent="0.2">
      <c r="H3035"/>
      <c r="L3035"/>
      <c r="BU3035"/>
      <c r="BV3035"/>
      <c r="BX3035"/>
      <c r="BY3035"/>
      <c r="BZ3035"/>
    </row>
    <row r="3036" spans="8:78" x14ac:dyDescent="0.2">
      <c r="H3036"/>
      <c r="L3036"/>
      <c r="BU3036"/>
      <c r="BV3036"/>
      <c r="BX3036"/>
      <c r="BY3036"/>
      <c r="BZ3036"/>
    </row>
    <row r="3037" spans="8:78" x14ac:dyDescent="0.2">
      <c r="H3037"/>
      <c r="L3037"/>
      <c r="BU3037"/>
      <c r="BV3037"/>
      <c r="BX3037"/>
      <c r="BY3037"/>
      <c r="BZ3037"/>
    </row>
    <row r="3038" spans="8:78" x14ac:dyDescent="0.2">
      <c r="H3038"/>
      <c r="L3038"/>
      <c r="BU3038"/>
      <c r="BV3038"/>
      <c r="BX3038"/>
      <c r="BY3038"/>
      <c r="BZ3038"/>
    </row>
    <row r="3039" spans="8:78" x14ac:dyDescent="0.2">
      <c r="H3039"/>
      <c r="L3039"/>
      <c r="AK3039"/>
      <c r="BU3039"/>
      <c r="BV3039"/>
      <c r="BX3039"/>
      <c r="BY3039"/>
      <c r="BZ3039"/>
    </row>
    <row r="3040" spans="8:78" x14ac:dyDescent="0.2">
      <c r="H3040"/>
      <c r="L3040"/>
      <c r="AK3040"/>
      <c r="BU3040"/>
      <c r="BV3040"/>
      <c r="BX3040"/>
      <c r="BY3040"/>
      <c r="BZ3040"/>
    </row>
    <row r="3041" spans="8:78" x14ac:dyDescent="0.2">
      <c r="AK3041"/>
      <c r="BZ3041"/>
    </row>
    <row r="3042" spans="8:78" x14ac:dyDescent="0.2">
      <c r="H3042"/>
      <c r="L3042"/>
      <c r="AK3042"/>
      <c r="BU3042"/>
      <c r="BV3042"/>
      <c r="BX3042"/>
      <c r="BY3042"/>
      <c r="BZ3042"/>
    </row>
    <row r="3043" spans="8:78" x14ac:dyDescent="0.2">
      <c r="H3043"/>
      <c r="L3043"/>
      <c r="AK3043"/>
      <c r="BU3043"/>
      <c r="BV3043"/>
      <c r="BX3043"/>
      <c r="BY3043"/>
      <c r="BZ3043"/>
    </row>
    <row r="3044" spans="8:78" x14ac:dyDescent="0.2">
      <c r="H3044"/>
      <c r="L3044"/>
      <c r="AK3044"/>
      <c r="BU3044"/>
      <c r="BV3044"/>
      <c r="BX3044"/>
      <c r="BY3044"/>
      <c r="BZ3044"/>
    </row>
    <row r="3045" spans="8:78" x14ac:dyDescent="0.2">
      <c r="H3045"/>
      <c r="L3045"/>
      <c r="AK3045"/>
      <c r="BU3045"/>
      <c r="BV3045"/>
      <c r="BX3045"/>
      <c r="BY3045"/>
      <c r="BZ3045"/>
    </row>
    <row r="3046" spans="8:78" x14ac:dyDescent="0.2">
      <c r="H3046"/>
      <c r="L3046"/>
      <c r="BU3046"/>
      <c r="BV3046"/>
      <c r="BX3046"/>
      <c r="BY3046"/>
      <c r="BZ3046"/>
    </row>
    <row r="3047" spans="8:78" x14ac:dyDescent="0.2">
      <c r="H3047"/>
      <c r="L3047"/>
      <c r="BU3047"/>
      <c r="BV3047"/>
      <c r="BX3047"/>
      <c r="BY3047"/>
      <c r="BZ3047"/>
    </row>
    <row r="3048" spans="8:78" x14ac:dyDescent="0.2">
      <c r="H3048"/>
      <c r="L3048"/>
      <c r="BU3048"/>
      <c r="BV3048"/>
      <c r="BX3048"/>
      <c r="BY3048"/>
      <c r="BZ3048"/>
    </row>
    <row r="3049" spans="8:78" x14ac:dyDescent="0.2">
      <c r="H3049"/>
      <c r="L3049"/>
      <c r="BU3049"/>
      <c r="BV3049"/>
      <c r="BX3049"/>
      <c r="BY3049"/>
      <c r="BZ3049"/>
    </row>
    <row r="3050" spans="8:78" x14ac:dyDescent="0.2">
      <c r="H3050"/>
      <c r="L3050"/>
      <c r="BU3050"/>
      <c r="BV3050"/>
      <c r="BX3050"/>
      <c r="BY3050"/>
      <c r="BZ3050"/>
    </row>
    <row r="3051" spans="8:78" x14ac:dyDescent="0.2">
      <c r="H3051"/>
      <c r="L3051"/>
      <c r="BU3051"/>
      <c r="BV3051"/>
      <c r="BX3051"/>
      <c r="BY3051"/>
      <c r="BZ3051"/>
    </row>
    <row r="3052" spans="8:78" x14ac:dyDescent="0.2">
      <c r="H3052"/>
      <c r="L3052"/>
      <c r="AK3052"/>
      <c r="BU3052"/>
      <c r="BV3052"/>
      <c r="BX3052"/>
      <c r="BY3052"/>
      <c r="BZ3052"/>
    </row>
    <row r="3053" spans="8:78" x14ac:dyDescent="0.2">
      <c r="H3053"/>
      <c r="L3053"/>
      <c r="BU3053"/>
      <c r="BV3053"/>
      <c r="BX3053"/>
      <c r="BY3053"/>
      <c r="BZ3053"/>
    </row>
    <row r="3054" spans="8:78" x14ac:dyDescent="0.2">
      <c r="H3054"/>
      <c r="L3054"/>
      <c r="AK3054"/>
      <c r="BU3054"/>
      <c r="BV3054"/>
      <c r="BX3054"/>
      <c r="BY3054"/>
      <c r="BZ3054"/>
    </row>
    <row r="3055" spans="8:78" x14ac:dyDescent="0.2">
      <c r="H3055"/>
      <c r="L3055"/>
      <c r="AK3055"/>
      <c r="BU3055"/>
      <c r="BV3055"/>
      <c r="BX3055"/>
      <c r="BY3055"/>
      <c r="BZ3055"/>
    </row>
    <row r="3056" spans="8:78" x14ac:dyDescent="0.2">
      <c r="H3056"/>
      <c r="L3056"/>
      <c r="AK3056"/>
      <c r="BU3056"/>
      <c r="BV3056"/>
      <c r="BX3056"/>
      <c r="BY3056"/>
      <c r="BZ3056"/>
    </row>
    <row r="3057" spans="8:78" x14ac:dyDescent="0.2">
      <c r="H3057"/>
      <c r="L3057"/>
      <c r="AK3057"/>
      <c r="BU3057"/>
      <c r="BV3057"/>
      <c r="BX3057"/>
      <c r="BY3057"/>
      <c r="BZ3057"/>
    </row>
    <row r="3058" spans="8:78" x14ac:dyDescent="0.2">
      <c r="H3058"/>
      <c r="L3058"/>
      <c r="AK3058"/>
      <c r="BU3058"/>
      <c r="BV3058"/>
      <c r="BX3058"/>
      <c r="BY3058"/>
      <c r="BZ3058"/>
    </row>
    <row r="3059" spans="8:78" x14ac:dyDescent="0.2">
      <c r="H3059"/>
      <c r="L3059"/>
      <c r="AK3059"/>
      <c r="BU3059"/>
      <c r="BV3059"/>
      <c r="BX3059"/>
      <c r="BY3059"/>
      <c r="BZ3059"/>
    </row>
    <row r="3060" spans="8:78" x14ac:dyDescent="0.2">
      <c r="H3060"/>
      <c r="L3060"/>
      <c r="AK3060"/>
      <c r="BU3060"/>
      <c r="BV3060"/>
      <c r="BX3060"/>
      <c r="BY3060"/>
      <c r="BZ3060"/>
    </row>
    <row r="3061" spans="8:78" x14ac:dyDescent="0.2">
      <c r="H3061"/>
      <c r="L3061"/>
      <c r="AK3061"/>
      <c r="BU3061"/>
      <c r="BV3061"/>
      <c r="BX3061"/>
      <c r="BY3061"/>
      <c r="BZ3061"/>
    </row>
    <row r="3062" spans="8:78" x14ac:dyDescent="0.2">
      <c r="H3062"/>
      <c r="L3062"/>
      <c r="AK3062"/>
      <c r="BU3062"/>
      <c r="BV3062"/>
      <c r="BX3062"/>
      <c r="BY3062"/>
      <c r="BZ3062"/>
    </row>
    <row r="3063" spans="8:78" x14ac:dyDescent="0.2">
      <c r="AK3063"/>
      <c r="BZ3063"/>
    </row>
    <row r="3064" spans="8:78" x14ac:dyDescent="0.2">
      <c r="AK3064"/>
      <c r="BZ3064"/>
    </row>
    <row r="3065" spans="8:78" x14ac:dyDescent="0.2">
      <c r="AK3065"/>
      <c r="BZ3065"/>
    </row>
    <row r="3066" spans="8:78" x14ac:dyDescent="0.2">
      <c r="H3066"/>
      <c r="L3066"/>
      <c r="AK3066"/>
      <c r="BU3066"/>
      <c r="BV3066"/>
      <c r="BX3066"/>
      <c r="BY3066"/>
      <c r="BZ3066"/>
    </row>
    <row r="3067" spans="8:78" x14ac:dyDescent="0.2">
      <c r="H3067"/>
      <c r="L3067"/>
      <c r="AK3067"/>
      <c r="BU3067"/>
      <c r="BV3067"/>
      <c r="BX3067"/>
      <c r="BY3067"/>
      <c r="BZ3067"/>
    </row>
    <row r="3068" spans="8:78" x14ac:dyDescent="0.2">
      <c r="H3068"/>
      <c r="L3068"/>
      <c r="AK3068"/>
      <c r="BU3068"/>
      <c r="BV3068"/>
      <c r="BX3068"/>
      <c r="BY3068"/>
      <c r="BZ3068"/>
    </row>
    <row r="3069" spans="8:78" x14ac:dyDescent="0.2">
      <c r="H3069"/>
      <c r="L3069"/>
      <c r="AK3069"/>
      <c r="BU3069"/>
      <c r="BV3069"/>
      <c r="BX3069"/>
      <c r="BY3069"/>
      <c r="BZ3069"/>
    </row>
    <row r="3070" spans="8:78" x14ac:dyDescent="0.2">
      <c r="H3070"/>
      <c r="L3070"/>
      <c r="BU3070"/>
      <c r="BV3070"/>
      <c r="BX3070"/>
      <c r="BY3070"/>
      <c r="BZ3070"/>
    </row>
    <row r="3071" spans="8:78" x14ac:dyDescent="0.2">
      <c r="H3071"/>
      <c r="L3071"/>
      <c r="BU3071"/>
      <c r="BV3071"/>
      <c r="BX3071"/>
      <c r="BY3071"/>
      <c r="BZ3071"/>
    </row>
    <row r="3072" spans="8:78" x14ac:dyDescent="0.2">
      <c r="H3072"/>
      <c r="L3072"/>
      <c r="BU3072"/>
      <c r="BV3072"/>
      <c r="BX3072"/>
      <c r="BY3072"/>
      <c r="BZ3072"/>
    </row>
    <row r="3073" spans="8:78" x14ac:dyDescent="0.2">
      <c r="H3073"/>
      <c r="L3073"/>
      <c r="BU3073"/>
      <c r="BV3073"/>
      <c r="BX3073"/>
      <c r="BY3073"/>
      <c r="BZ3073"/>
    </row>
    <row r="3074" spans="8:78" x14ac:dyDescent="0.2">
      <c r="H3074"/>
      <c r="L3074"/>
      <c r="BU3074"/>
      <c r="BV3074"/>
      <c r="BX3074"/>
      <c r="BY3074"/>
      <c r="BZ3074"/>
    </row>
    <row r="3075" spans="8:78" x14ac:dyDescent="0.2">
      <c r="H3075"/>
      <c r="L3075"/>
      <c r="AK3075"/>
      <c r="BU3075"/>
      <c r="BV3075"/>
      <c r="BX3075"/>
      <c r="BY3075"/>
      <c r="BZ3075"/>
    </row>
    <row r="3076" spans="8:78" x14ac:dyDescent="0.2">
      <c r="H3076"/>
      <c r="L3076"/>
      <c r="AK3076"/>
      <c r="BU3076"/>
      <c r="BV3076"/>
      <c r="BX3076"/>
      <c r="BY3076"/>
      <c r="BZ3076"/>
    </row>
    <row r="3077" spans="8:78" x14ac:dyDescent="0.2">
      <c r="H3077"/>
      <c r="L3077"/>
      <c r="BU3077"/>
      <c r="BV3077"/>
      <c r="BX3077"/>
      <c r="BY3077"/>
      <c r="BZ3077"/>
    </row>
    <row r="3078" spans="8:78" x14ac:dyDescent="0.2">
      <c r="H3078"/>
      <c r="L3078"/>
      <c r="AK3078"/>
      <c r="BU3078"/>
      <c r="BV3078"/>
      <c r="BX3078"/>
      <c r="BY3078"/>
      <c r="BZ3078"/>
    </row>
    <row r="3079" spans="8:78" x14ac:dyDescent="0.2">
      <c r="H3079"/>
      <c r="L3079"/>
      <c r="AK3079"/>
      <c r="BU3079"/>
      <c r="BV3079"/>
      <c r="BX3079"/>
      <c r="BY3079"/>
      <c r="BZ3079"/>
    </row>
    <row r="3080" spans="8:78" x14ac:dyDescent="0.2">
      <c r="H3080"/>
      <c r="L3080"/>
      <c r="AK3080"/>
      <c r="BU3080"/>
      <c r="BV3080"/>
      <c r="BX3080"/>
      <c r="BY3080"/>
      <c r="BZ3080"/>
    </row>
    <row r="3081" spans="8:78" x14ac:dyDescent="0.2">
      <c r="H3081"/>
      <c r="L3081"/>
      <c r="BU3081"/>
      <c r="BV3081"/>
      <c r="BX3081"/>
      <c r="BY3081"/>
      <c r="BZ3081"/>
    </row>
    <row r="3082" spans="8:78" x14ac:dyDescent="0.2">
      <c r="H3082"/>
      <c r="L3082"/>
      <c r="BU3082"/>
      <c r="BV3082"/>
      <c r="BX3082"/>
      <c r="BY3082"/>
      <c r="BZ3082"/>
    </row>
    <row r="3083" spans="8:78" x14ac:dyDescent="0.2">
      <c r="H3083"/>
      <c r="L3083"/>
      <c r="BU3083"/>
      <c r="BV3083"/>
      <c r="BX3083"/>
      <c r="BY3083"/>
      <c r="BZ3083"/>
    </row>
    <row r="3084" spans="8:78" x14ac:dyDescent="0.2">
      <c r="H3084"/>
      <c r="L3084"/>
      <c r="BU3084"/>
      <c r="BV3084"/>
      <c r="BX3084"/>
      <c r="BY3084"/>
      <c r="BZ3084"/>
    </row>
    <row r="3085" spans="8:78" x14ac:dyDescent="0.2">
      <c r="H3085"/>
      <c r="L3085"/>
      <c r="BU3085"/>
      <c r="BV3085"/>
      <c r="BX3085"/>
      <c r="BY3085"/>
      <c r="BZ3085"/>
    </row>
    <row r="3086" spans="8:78" x14ac:dyDescent="0.2">
      <c r="H3086"/>
      <c r="L3086"/>
      <c r="AK3086"/>
      <c r="BU3086"/>
      <c r="BV3086"/>
      <c r="BX3086"/>
      <c r="BY3086"/>
      <c r="BZ3086"/>
    </row>
    <row r="3087" spans="8:78" x14ac:dyDescent="0.2">
      <c r="H3087"/>
      <c r="L3087"/>
      <c r="AK3087"/>
      <c r="BU3087"/>
      <c r="BV3087"/>
      <c r="BX3087"/>
      <c r="BY3087"/>
      <c r="BZ3087"/>
    </row>
    <row r="3088" spans="8:78" x14ac:dyDescent="0.2">
      <c r="H3088"/>
      <c r="L3088"/>
      <c r="AK3088"/>
      <c r="BU3088"/>
      <c r="BV3088"/>
      <c r="BX3088"/>
      <c r="BY3088"/>
      <c r="BZ3088"/>
    </row>
    <row r="3089" spans="8:78" x14ac:dyDescent="0.2">
      <c r="H3089"/>
      <c r="L3089"/>
      <c r="BU3089"/>
      <c r="BV3089"/>
      <c r="BX3089"/>
      <c r="BY3089"/>
      <c r="BZ3089"/>
    </row>
    <row r="3090" spans="8:78" x14ac:dyDescent="0.2">
      <c r="H3090"/>
      <c r="L3090"/>
      <c r="AK3090"/>
      <c r="BU3090"/>
      <c r="BV3090"/>
      <c r="BX3090"/>
      <c r="BY3090"/>
      <c r="BZ3090"/>
    </row>
    <row r="3091" spans="8:78" x14ac:dyDescent="0.2">
      <c r="H3091"/>
      <c r="L3091"/>
      <c r="AK3091"/>
      <c r="BU3091"/>
      <c r="BV3091"/>
      <c r="BX3091"/>
      <c r="BY3091"/>
      <c r="BZ3091"/>
    </row>
    <row r="3092" spans="8:78" x14ac:dyDescent="0.2">
      <c r="H3092"/>
      <c r="L3092"/>
      <c r="AK3092"/>
      <c r="BU3092"/>
      <c r="BV3092"/>
      <c r="BX3092"/>
      <c r="BY3092"/>
      <c r="BZ3092"/>
    </row>
    <row r="3093" spans="8:78" x14ac:dyDescent="0.2">
      <c r="H3093"/>
      <c r="L3093"/>
      <c r="AK3093"/>
      <c r="BU3093"/>
      <c r="BV3093"/>
      <c r="BX3093"/>
      <c r="BY3093"/>
      <c r="BZ3093"/>
    </row>
    <row r="3094" spans="8:78" x14ac:dyDescent="0.2">
      <c r="H3094"/>
      <c r="L3094"/>
      <c r="AK3094"/>
      <c r="BU3094"/>
      <c r="BV3094"/>
      <c r="BX3094"/>
      <c r="BY3094"/>
      <c r="BZ3094"/>
    </row>
    <row r="3095" spans="8:78" x14ac:dyDescent="0.2">
      <c r="H3095"/>
      <c r="L3095"/>
      <c r="AK3095"/>
      <c r="BU3095"/>
      <c r="BV3095"/>
      <c r="BX3095"/>
      <c r="BY3095"/>
      <c r="BZ3095"/>
    </row>
    <row r="3096" spans="8:78" x14ac:dyDescent="0.2">
      <c r="H3096"/>
      <c r="L3096"/>
      <c r="BU3096"/>
      <c r="BV3096"/>
      <c r="BX3096"/>
      <c r="BY3096"/>
      <c r="BZ3096"/>
    </row>
    <row r="3097" spans="8:78" x14ac:dyDescent="0.2">
      <c r="H3097"/>
      <c r="L3097"/>
      <c r="AK3097"/>
      <c r="BU3097"/>
      <c r="BV3097"/>
      <c r="BX3097"/>
      <c r="BY3097"/>
      <c r="BZ3097"/>
    </row>
    <row r="3098" spans="8:78" x14ac:dyDescent="0.2">
      <c r="H3098"/>
      <c r="L3098"/>
      <c r="AK3098"/>
      <c r="BU3098"/>
      <c r="BV3098"/>
      <c r="BX3098"/>
      <c r="BY3098"/>
      <c r="BZ3098"/>
    </row>
    <row r="3099" spans="8:78" x14ac:dyDescent="0.2">
      <c r="H3099"/>
      <c r="L3099"/>
      <c r="BU3099"/>
      <c r="BV3099"/>
      <c r="BX3099"/>
      <c r="BY3099"/>
      <c r="BZ3099"/>
    </row>
    <row r="3100" spans="8:78" x14ac:dyDescent="0.2">
      <c r="H3100"/>
      <c r="L3100"/>
      <c r="BU3100"/>
      <c r="BV3100"/>
      <c r="BX3100"/>
      <c r="BY3100"/>
      <c r="BZ3100"/>
    </row>
    <row r="3101" spans="8:78" x14ac:dyDescent="0.2">
      <c r="BZ3101"/>
    </row>
    <row r="3102" spans="8:78" x14ac:dyDescent="0.2">
      <c r="AK3102"/>
      <c r="BZ3102"/>
    </row>
    <row r="3103" spans="8:78" x14ac:dyDescent="0.2">
      <c r="AK3103"/>
      <c r="BZ3103"/>
    </row>
    <row r="3104" spans="8:78" x14ac:dyDescent="0.2">
      <c r="BZ3104"/>
    </row>
    <row r="3105" spans="8:78" x14ac:dyDescent="0.2">
      <c r="BZ3105"/>
    </row>
    <row r="3106" spans="8:78" x14ac:dyDescent="0.2">
      <c r="BZ3106"/>
    </row>
    <row r="3107" spans="8:78" x14ac:dyDescent="0.2">
      <c r="BZ3107"/>
    </row>
    <row r="3108" spans="8:78" x14ac:dyDescent="0.2">
      <c r="BZ3108"/>
    </row>
    <row r="3109" spans="8:78" x14ac:dyDescent="0.2">
      <c r="H3109"/>
      <c r="L3109"/>
      <c r="AK3109"/>
      <c r="BU3109"/>
      <c r="BV3109"/>
      <c r="BX3109"/>
      <c r="BY3109"/>
      <c r="BZ3109"/>
    </row>
    <row r="3110" spans="8:78" x14ac:dyDescent="0.2">
      <c r="H3110"/>
      <c r="L3110"/>
      <c r="AK3110"/>
      <c r="BU3110"/>
      <c r="BV3110"/>
      <c r="BX3110"/>
      <c r="BY3110"/>
      <c r="BZ3110"/>
    </row>
    <row r="3111" spans="8:78" x14ac:dyDescent="0.2">
      <c r="H3111"/>
      <c r="L3111"/>
      <c r="AK3111"/>
      <c r="BU3111"/>
      <c r="BV3111"/>
      <c r="BX3111"/>
      <c r="BY3111"/>
      <c r="BZ3111"/>
    </row>
    <row r="3112" spans="8:78" x14ac:dyDescent="0.2">
      <c r="H3112"/>
      <c r="L3112"/>
      <c r="BU3112"/>
      <c r="BV3112"/>
      <c r="BX3112"/>
      <c r="BY3112"/>
      <c r="BZ3112"/>
    </row>
    <row r="3113" spans="8:78" x14ac:dyDescent="0.2">
      <c r="H3113"/>
      <c r="L3113"/>
      <c r="BU3113"/>
      <c r="BV3113"/>
      <c r="BX3113"/>
      <c r="BY3113"/>
      <c r="BZ3113"/>
    </row>
    <row r="3114" spans="8:78" x14ac:dyDescent="0.2">
      <c r="H3114"/>
      <c r="L3114"/>
      <c r="BU3114"/>
      <c r="BV3114"/>
      <c r="BX3114"/>
      <c r="BY3114"/>
      <c r="BZ3114"/>
    </row>
    <row r="3115" spans="8:78" x14ac:dyDescent="0.2">
      <c r="H3115"/>
      <c r="L3115"/>
      <c r="BU3115"/>
      <c r="BV3115"/>
      <c r="BX3115"/>
      <c r="BY3115"/>
      <c r="BZ3115"/>
    </row>
    <row r="3116" spans="8:78" x14ac:dyDescent="0.2">
      <c r="H3116"/>
      <c r="L3116"/>
      <c r="BU3116"/>
      <c r="BV3116"/>
      <c r="BX3116"/>
      <c r="BY3116"/>
      <c r="BZ3116"/>
    </row>
    <row r="3117" spans="8:78" x14ac:dyDescent="0.2">
      <c r="H3117"/>
      <c r="L3117"/>
      <c r="AK3117"/>
      <c r="BU3117"/>
      <c r="BV3117"/>
      <c r="BX3117"/>
      <c r="BY3117"/>
      <c r="BZ3117"/>
    </row>
    <row r="3118" spans="8:78" x14ac:dyDescent="0.2">
      <c r="H3118"/>
      <c r="L3118"/>
      <c r="AK3118"/>
      <c r="BU3118"/>
      <c r="BV3118"/>
      <c r="BX3118"/>
      <c r="BY3118"/>
      <c r="BZ3118"/>
    </row>
    <row r="3119" spans="8:78" x14ac:dyDescent="0.2">
      <c r="H3119"/>
      <c r="L3119"/>
      <c r="AK3119"/>
      <c r="BU3119"/>
      <c r="BV3119"/>
      <c r="BX3119"/>
      <c r="BY3119"/>
      <c r="BZ3119"/>
    </row>
    <row r="3120" spans="8:78" x14ac:dyDescent="0.2">
      <c r="H3120"/>
      <c r="L3120"/>
      <c r="AK3120"/>
      <c r="BU3120"/>
      <c r="BV3120"/>
      <c r="BX3120"/>
      <c r="BY3120"/>
      <c r="BZ3120"/>
    </row>
    <row r="3121" spans="8:78" x14ac:dyDescent="0.2">
      <c r="H3121"/>
      <c r="L3121"/>
      <c r="AK3121"/>
      <c r="BU3121"/>
      <c r="BV3121"/>
      <c r="BX3121"/>
      <c r="BY3121"/>
      <c r="BZ3121"/>
    </row>
    <row r="3122" spans="8:78" x14ac:dyDescent="0.2">
      <c r="H3122"/>
      <c r="L3122"/>
      <c r="AK3122"/>
      <c r="BU3122"/>
      <c r="BV3122"/>
      <c r="BX3122"/>
      <c r="BY3122"/>
      <c r="BZ3122"/>
    </row>
    <row r="3123" spans="8:78" x14ac:dyDescent="0.2">
      <c r="H3123"/>
      <c r="L3123"/>
      <c r="AK3123"/>
      <c r="BU3123"/>
      <c r="BV3123"/>
      <c r="BX3123"/>
      <c r="BY3123"/>
      <c r="BZ3123"/>
    </row>
    <row r="3124" spans="8:78" x14ac:dyDescent="0.2">
      <c r="H3124"/>
      <c r="L3124"/>
      <c r="AK3124"/>
      <c r="BU3124"/>
      <c r="BV3124"/>
      <c r="BX3124"/>
      <c r="BY3124"/>
      <c r="BZ3124"/>
    </row>
    <row r="3125" spans="8:78" x14ac:dyDescent="0.2">
      <c r="H3125"/>
      <c r="L3125"/>
      <c r="BU3125"/>
      <c r="BV3125"/>
      <c r="BX3125"/>
      <c r="BY3125"/>
      <c r="BZ3125"/>
    </row>
    <row r="3126" spans="8:78" x14ac:dyDescent="0.2">
      <c r="H3126"/>
      <c r="L3126"/>
      <c r="BU3126"/>
      <c r="BV3126"/>
      <c r="BX3126"/>
      <c r="BY3126"/>
      <c r="BZ3126"/>
    </row>
    <row r="3127" spans="8:78" x14ac:dyDescent="0.2">
      <c r="H3127"/>
      <c r="L3127"/>
      <c r="BU3127"/>
      <c r="BV3127"/>
      <c r="BX3127"/>
      <c r="BY3127"/>
      <c r="BZ3127"/>
    </row>
    <row r="3128" spans="8:78" x14ac:dyDescent="0.2">
      <c r="H3128"/>
      <c r="L3128"/>
      <c r="BU3128"/>
      <c r="BV3128"/>
      <c r="BX3128"/>
      <c r="BY3128"/>
      <c r="BZ3128"/>
    </row>
    <row r="3129" spans="8:78" x14ac:dyDescent="0.2">
      <c r="H3129"/>
      <c r="L3129"/>
      <c r="BU3129"/>
      <c r="BV3129"/>
      <c r="BX3129"/>
      <c r="BY3129"/>
      <c r="BZ3129"/>
    </row>
    <row r="3130" spans="8:78" x14ac:dyDescent="0.2">
      <c r="H3130"/>
      <c r="L3130"/>
      <c r="BU3130"/>
      <c r="BV3130"/>
      <c r="BX3130"/>
      <c r="BY3130"/>
      <c r="BZ3130"/>
    </row>
    <row r="3131" spans="8:78" x14ac:dyDescent="0.2">
      <c r="H3131"/>
      <c r="L3131"/>
      <c r="BU3131"/>
      <c r="BV3131"/>
      <c r="BX3131"/>
      <c r="BY3131"/>
      <c r="BZ3131"/>
    </row>
    <row r="3132" spans="8:78" x14ac:dyDescent="0.2">
      <c r="H3132"/>
      <c r="L3132"/>
      <c r="BU3132"/>
      <c r="BV3132"/>
      <c r="BX3132"/>
      <c r="BY3132"/>
      <c r="BZ3132"/>
    </row>
    <row r="3133" spans="8:78" x14ac:dyDescent="0.2">
      <c r="H3133"/>
      <c r="L3133"/>
      <c r="BU3133"/>
      <c r="BV3133"/>
      <c r="BX3133"/>
      <c r="BY3133"/>
      <c r="BZ3133"/>
    </row>
    <row r="3134" spans="8:78" x14ac:dyDescent="0.2">
      <c r="H3134"/>
      <c r="L3134"/>
      <c r="AK3134"/>
      <c r="BU3134"/>
      <c r="BV3134"/>
      <c r="BX3134"/>
      <c r="BY3134"/>
      <c r="BZ3134"/>
    </row>
    <row r="3135" spans="8:78" x14ac:dyDescent="0.2">
      <c r="H3135"/>
      <c r="L3135"/>
      <c r="AK3135"/>
      <c r="BU3135"/>
      <c r="BV3135"/>
      <c r="BX3135"/>
      <c r="BY3135"/>
      <c r="BZ3135"/>
    </row>
    <row r="3136" spans="8:78" x14ac:dyDescent="0.2">
      <c r="H3136"/>
      <c r="L3136"/>
      <c r="AK3136"/>
      <c r="BU3136"/>
      <c r="BV3136"/>
      <c r="BX3136"/>
      <c r="BY3136"/>
      <c r="BZ3136"/>
    </row>
    <row r="3137" spans="8:78" x14ac:dyDescent="0.2">
      <c r="H3137"/>
      <c r="L3137"/>
      <c r="AK3137"/>
      <c r="BU3137"/>
      <c r="BV3137"/>
      <c r="BX3137"/>
      <c r="BY3137"/>
      <c r="BZ3137"/>
    </row>
    <row r="3138" spans="8:78" x14ac:dyDescent="0.2">
      <c r="H3138"/>
      <c r="L3138"/>
      <c r="AK3138"/>
      <c r="BU3138"/>
      <c r="BV3138"/>
      <c r="BX3138"/>
      <c r="BY3138"/>
      <c r="BZ3138"/>
    </row>
    <row r="3139" spans="8:78" x14ac:dyDescent="0.2">
      <c r="H3139"/>
      <c r="L3139"/>
      <c r="AK3139"/>
      <c r="BU3139"/>
      <c r="BV3139"/>
      <c r="BX3139"/>
      <c r="BY3139"/>
      <c r="BZ3139"/>
    </row>
    <row r="3140" spans="8:78" x14ac:dyDescent="0.2">
      <c r="H3140"/>
      <c r="L3140"/>
      <c r="AK3140"/>
      <c r="BU3140"/>
      <c r="BV3140"/>
      <c r="BX3140"/>
      <c r="BY3140"/>
      <c r="BZ3140"/>
    </row>
    <row r="3141" spans="8:78" x14ac:dyDescent="0.2">
      <c r="H3141"/>
      <c r="L3141"/>
      <c r="BU3141"/>
      <c r="BV3141"/>
      <c r="BX3141"/>
      <c r="BY3141"/>
      <c r="BZ3141"/>
    </row>
    <row r="3142" spans="8:78" x14ac:dyDescent="0.2">
      <c r="H3142"/>
      <c r="L3142"/>
      <c r="AK3142"/>
      <c r="BU3142"/>
      <c r="BV3142"/>
      <c r="BX3142"/>
      <c r="BY3142"/>
      <c r="BZ3142"/>
    </row>
    <row r="3143" spans="8:78" x14ac:dyDescent="0.2">
      <c r="H3143"/>
      <c r="L3143"/>
      <c r="AK3143"/>
      <c r="BU3143"/>
      <c r="BV3143"/>
      <c r="BX3143"/>
      <c r="BY3143"/>
      <c r="BZ3143"/>
    </row>
    <row r="3144" spans="8:78" x14ac:dyDescent="0.2">
      <c r="H3144"/>
      <c r="L3144"/>
      <c r="AK3144"/>
      <c r="BU3144"/>
      <c r="BV3144"/>
      <c r="BX3144"/>
      <c r="BY3144"/>
      <c r="BZ3144"/>
    </row>
    <row r="3145" spans="8:78" x14ac:dyDescent="0.2">
      <c r="H3145"/>
      <c r="L3145"/>
      <c r="AK3145"/>
      <c r="BU3145"/>
      <c r="BV3145"/>
      <c r="BX3145"/>
      <c r="BY3145"/>
      <c r="BZ3145"/>
    </row>
    <row r="3146" spans="8:78" x14ac:dyDescent="0.2">
      <c r="H3146"/>
      <c r="L3146"/>
      <c r="AK3146"/>
      <c r="BU3146"/>
      <c r="BV3146"/>
      <c r="BX3146"/>
      <c r="BY3146"/>
      <c r="BZ3146"/>
    </row>
    <row r="3147" spans="8:78" x14ac:dyDescent="0.2">
      <c r="H3147"/>
      <c r="L3147"/>
      <c r="BU3147"/>
      <c r="BV3147"/>
      <c r="BX3147"/>
      <c r="BY3147"/>
      <c r="BZ3147"/>
    </row>
    <row r="3148" spans="8:78" x14ac:dyDescent="0.2">
      <c r="H3148"/>
      <c r="L3148"/>
      <c r="BU3148"/>
      <c r="BV3148"/>
      <c r="BX3148"/>
      <c r="BY3148"/>
      <c r="BZ3148"/>
    </row>
    <row r="3149" spans="8:78" x14ac:dyDescent="0.2">
      <c r="H3149"/>
      <c r="L3149"/>
      <c r="BU3149"/>
      <c r="BV3149"/>
      <c r="BX3149"/>
      <c r="BY3149"/>
      <c r="BZ3149"/>
    </row>
    <row r="3150" spans="8:78" x14ac:dyDescent="0.2">
      <c r="H3150"/>
      <c r="L3150"/>
      <c r="BU3150"/>
      <c r="BV3150"/>
      <c r="BX3150"/>
      <c r="BY3150"/>
      <c r="BZ3150"/>
    </row>
    <row r="3151" spans="8:78" x14ac:dyDescent="0.2">
      <c r="H3151"/>
      <c r="L3151"/>
      <c r="BU3151"/>
      <c r="BV3151"/>
      <c r="BX3151"/>
      <c r="BY3151"/>
      <c r="BZ3151"/>
    </row>
    <row r="3152" spans="8:78" x14ac:dyDescent="0.2">
      <c r="H3152"/>
      <c r="L3152"/>
      <c r="BU3152"/>
      <c r="BV3152"/>
      <c r="BX3152"/>
      <c r="BY3152"/>
      <c r="BZ3152"/>
    </row>
    <row r="3153" spans="8:78" x14ac:dyDescent="0.2">
      <c r="H3153"/>
      <c r="L3153"/>
      <c r="BU3153"/>
      <c r="BV3153"/>
      <c r="BX3153"/>
      <c r="BY3153"/>
      <c r="BZ3153"/>
    </row>
    <row r="3154" spans="8:78" x14ac:dyDescent="0.2">
      <c r="H3154"/>
      <c r="L3154"/>
      <c r="BU3154"/>
      <c r="BV3154"/>
      <c r="BX3154"/>
      <c r="BY3154"/>
      <c r="BZ3154"/>
    </row>
    <row r="3155" spans="8:78" x14ac:dyDescent="0.2">
      <c r="H3155"/>
      <c r="L3155"/>
      <c r="BU3155"/>
      <c r="BV3155"/>
      <c r="BX3155"/>
      <c r="BY3155"/>
      <c r="BZ3155"/>
    </row>
    <row r="3156" spans="8:78" x14ac:dyDescent="0.2">
      <c r="H3156"/>
      <c r="L3156"/>
      <c r="BU3156"/>
      <c r="BV3156"/>
      <c r="BX3156"/>
      <c r="BY3156"/>
      <c r="BZ3156"/>
    </row>
    <row r="3157" spans="8:78" x14ac:dyDescent="0.2">
      <c r="H3157"/>
      <c r="L3157"/>
      <c r="BU3157"/>
      <c r="BV3157"/>
      <c r="BX3157"/>
      <c r="BY3157"/>
      <c r="BZ3157"/>
    </row>
    <row r="3158" spans="8:78" x14ac:dyDescent="0.2">
      <c r="H3158"/>
      <c r="L3158"/>
      <c r="AK3158"/>
      <c r="BU3158"/>
      <c r="BV3158"/>
      <c r="BX3158"/>
      <c r="BY3158"/>
      <c r="BZ3158"/>
    </row>
    <row r="3159" spans="8:78" x14ac:dyDescent="0.2">
      <c r="H3159"/>
      <c r="L3159"/>
      <c r="BU3159"/>
      <c r="BV3159"/>
      <c r="BX3159"/>
      <c r="BY3159"/>
      <c r="BZ3159"/>
    </row>
    <row r="3160" spans="8:78" x14ac:dyDescent="0.2">
      <c r="H3160"/>
      <c r="L3160"/>
      <c r="BU3160"/>
      <c r="BV3160"/>
      <c r="BX3160"/>
      <c r="BY3160"/>
      <c r="BZ3160"/>
    </row>
    <row r="3161" spans="8:78" x14ac:dyDescent="0.2">
      <c r="H3161"/>
      <c r="L3161"/>
      <c r="BU3161"/>
      <c r="BV3161"/>
      <c r="BX3161"/>
      <c r="BY3161"/>
      <c r="BZ3161"/>
    </row>
    <row r="3162" spans="8:78" x14ac:dyDescent="0.2">
      <c r="H3162"/>
      <c r="L3162"/>
      <c r="BU3162"/>
      <c r="BV3162"/>
      <c r="BX3162"/>
      <c r="BY3162"/>
      <c r="BZ3162"/>
    </row>
    <row r="3163" spans="8:78" x14ac:dyDescent="0.2">
      <c r="H3163"/>
      <c r="L3163"/>
      <c r="AK3163"/>
      <c r="BU3163"/>
      <c r="BV3163"/>
      <c r="BX3163"/>
      <c r="BY3163"/>
      <c r="BZ3163"/>
    </row>
    <row r="3164" spans="8:78" x14ac:dyDescent="0.2">
      <c r="H3164"/>
      <c r="L3164"/>
      <c r="AK3164"/>
      <c r="BU3164"/>
      <c r="BV3164"/>
      <c r="BX3164"/>
      <c r="BY3164"/>
      <c r="BZ3164"/>
    </row>
    <row r="3165" spans="8:78" x14ac:dyDescent="0.2">
      <c r="H3165"/>
      <c r="L3165"/>
      <c r="AK3165"/>
      <c r="BU3165"/>
      <c r="BV3165"/>
      <c r="BX3165"/>
      <c r="BY3165"/>
      <c r="BZ3165"/>
    </row>
    <row r="3166" spans="8:78" x14ac:dyDescent="0.2">
      <c r="H3166"/>
      <c r="L3166"/>
      <c r="AK3166"/>
      <c r="BU3166"/>
      <c r="BV3166"/>
      <c r="BX3166"/>
      <c r="BY3166"/>
      <c r="BZ3166"/>
    </row>
    <row r="3167" spans="8:78" x14ac:dyDescent="0.2">
      <c r="H3167"/>
      <c r="L3167"/>
      <c r="AK3167"/>
      <c r="BU3167"/>
      <c r="BV3167"/>
      <c r="BX3167"/>
      <c r="BY3167"/>
      <c r="BZ3167"/>
    </row>
    <row r="3168" spans="8:78" x14ac:dyDescent="0.2">
      <c r="H3168"/>
      <c r="L3168"/>
      <c r="BU3168"/>
      <c r="BV3168"/>
      <c r="BX3168"/>
      <c r="BY3168"/>
      <c r="BZ3168"/>
    </row>
    <row r="3169" spans="8:78" x14ac:dyDescent="0.2">
      <c r="H3169"/>
      <c r="L3169"/>
      <c r="AK3169"/>
      <c r="BU3169"/>
      <c r="BV3169"/>
      <c r="BX3169"/>
      <c r="BY3169"/>
      <c r="BZ3169"/>
    </row>
    <row r="3170" spans="8:78" x14ac:dyDescent="0.2">
      <c r="H3170"/>
      <c r="L3170"/>
      <c r="BU3170"/>
      <c r="BV3170"/>
      <c r="BX3170"/>
      <c r="BY3170"/>
      <c r="BZ3170"/>
    </row>
    <row r="3171" spans="8:78" x14ac:dyDescent="0.2">
      <c r="H3171"/>
      <c r="L3171"/>
      <c r="BU3171"/>
      <c r="BV3171"/>
      <c r="BX3171"/>
      <c r="BY3171"/>
      <c r="BZ3171"/>
    </row>
    <row r="3172" spans="8:78" x14ac:dyDescent="0.2">
      <c r="H3172"/>
      <c r="L3172"/>
      <c r="AK3172"/>
      <c r="BU3172"/>
      <c r="BV3172"/>
      <c r="BX3172"/>
      <c r="BY3172"/>
      <c r="BZ3172"/>
    </row>
    <row r="3173" spans="8:78" x14ac:dyDescent="0.2">
      <c r="H3173"/>
      <c r="L3173"/>
      <c r="AK3173"/>
      <c r="BU3173"/>
      <c r="BV3173"/>
      <c r="BX3173"/>
      <c r="BY3173"/>
      <c r="BZ3173"/>
    </row>
    <row r="3174" spans="8:78" x14ac:dyDescent="0.2">
      <c r="H3174"/>
      <c r="L3174"/>
      <c r="AK3174"/>
      <c r="BU3174"/>
      <c r="BV3174"/>
      <c r="BX3174"/>
      <c r="BY3174"/>
      <c r="BZ3174"/>
    </row>
    <row r="3175" spans="8:78" x14ac:dyDescent="0.2">
      <c r="H3175"/>
      <c r="L3175"/>
      <c r="AK3175"/>
      <c r="BU3175"/>
      <c r="BV3175"/>
      <c r="BX3175"/>
      <c r="BY3175"/>
      <c r="BZ3175"/>
    </row>
    <row r="3176" spans="8:78" x14ac:dyDescent="0.2">
      <c r="H3176"/>
      <c r="L3176"/>
      <c r="AK3176"/>
      <c r="BU3176"/>
      <c r="BV3176"/>
      <c r="BX3176"/>
      <c r="BY3176"/>
      <c r="BZ3176"/>
    </row>
    <row r="3177" spans="8:78" x14ac:dyDescent="0.2">
      <c r="H3177"/>
      <c r="L3177"/>
      <c r="AK3177"/>
      <c r="BU3177"/>
      <c r="BV3177"/>
      <c r="BX3177"/>
      <c r="BY3177"/>
      <c r="BZ3177"/>
    </row>
    <row r="3178" spans="8:78" x14ac:dyDescent="0.2">
      <c r="H3178"/>
      <c r="L3178"/>
      <c r="AK3178"/>
      <c r="BU3178"/>
      <c r="BV3178"/>
      <c r="BX3178"/>
      <c r="BY3178"/>
      <c r="BZ3178"/>
    </row>
    <row r="3179" spans="8:78" x14ac:dyDescent="0.2">
      <c r="H3179"/>
      <c r="L3179"/>
      <c r="AK3179"/>
      <c r="BU3179"/>
      <c r="BV3179"/>
      <c r="BX3179"/>
      <c r="BY3179"/>
      <c r="BZ3179"/>
    </row>
    <row r="3180" spans="8:78" x14ac:dyDescent="0.2">
      <c r="H3180"/>
      <c r="L3180"/>
      <c r="AK3180"/>
      <c r="BU3180"/>
      <c r="BV3180"/>
      <c r="BX3180"/>
      <c r="BY3180"/>
      <c r="BZ3180"/>
    </row>
    <row r="3181" spans="8:78" x14ac:dyDescent="0.2">
      <c r="H3181"/>
      <c r="L3181"/>
      <c r="AK3181"/>
      <c r="BU3181"/>
      <c r="BV3181"/>
      <c r="BX3181"/>
      <c r="BY3181"/>
      <c r="BZ3181"/>
    </row>
    <row r="3182" spans="8:78" x14ac:dyDescent="0.2">
      <c r="H3182"/>
      <c r="L3182"/>
      <c r="AK3182"/>
      <c r="BU3182"/>
      <c r="BV3182"/>
      <c r="BX3182"/>
      <c r="BY3182"/>
      <c r="BZ3182"/>
    </row>
    <row r="3183" spans="8:78" x14ac:dyDescent="0.2">
      <c r="H3183"/>
      <c r="L3183"/>
      <c r="AK3183"/>
      <c r="BU3183"/>
      <c r="BV3183"/>
      <c r="BX3183"/>
      <c r="BY3183"/>
      <c r="BZ3183"/>
    </row>
    <row r="3184" spans="8:78" x14ac:dyDescent="0.2">
      <c r="H3184"/>
      <c r="L3184"/>
      <c r="AK3184"/>
      <c r="BU3184"/>
      <c r="BV3184"/>
      <c r="BX3184"/>
      <c r="BY3184"/>
      <c r="BZ3184"/>
    </row>
    <row r="3185" spans="8:78" x14ac:dyDescent="0.2">
      <c r="H3185"/>
      <c r="L3185"/>
      <c r="AK3185"/>
      <c r="BU3185"/>
      <c r="BV3185"/>
      <c r="BX3185"/>
      <c r="BY3185"/>
      <c r="BZ3185"/>
    </row>
    <row r="3186" spans="8:78" x14ac:dyDescent="0.2">
      <c r="H3186"/>
      <c r="L3186"/>
      <c r="BU3186"/>
      <c r="BV3186"/>
      <c r="BX3186"/>
      <c r="BY3186"/>
      <c r="BZ3186"/>
    </row>
    <row r="3187" spans="8:78" x14ac:dyDescent="0.2">
      <c r="H3187"/>
      <c r="L3187"/>
      <c r="BU3187"/>
      <c r="BV3187"/>
      <c r="BX3187"/>
      <c r="BY3187"/>
      <c r="BZ3187"/>
    </row>
    <row r="3188" spans="8:78" x14ac:dyDescent="0.2">
      <c r="H3188"/>
      <c r="L3188"/>
      <c r="BU3188"/>
      <c r="BV3188"/>
      <c r="BX3188"/>
      <c r="BY3188"/>
      <c r="BZ3188"/>
    </row>
    <row r="3189" spans="8:78" x14ac:dyDescent="0.2">
      <c r="H3189"/>
      <c r="L3189"/>
      <c r="BU3189"/>
      <c r="BV3189"/>
      <c r="BX3189"/>
      <c r="BY3189"/>
      <c r="BZ3189"/>
    </row>
    <row r="3190" spans="8:78" x14ac:dyDescent="0.2">
      <c r="H3190"/>
      <c r="L3190"/>
      <c r="BU3190"/>
      <c r="BV3190"/>
      <c r="BX3190"/>
      <c r="BY3190"/>
      <c r="BZ3190"/>
    </row>
    <row r="3191" spans="8:78" x14ac:dyDescent="0.2">
      <c r="H3191"/>
      <c r="L3191"/>
      <c r="AK3191"/>
      <c r="BU3191"/>
      <c r="BV3191"/>
      <c r="BX3191"/>
      <c r="BY3191"/>
      <c r="BZ3191"/>
    </row>
    <row r="3192" spans="8:78" x14ac:dyDescent="0.2">
      <c r="H3192"/>
      <c r="L3192"/>
      <c r="AK3192"/>
      <c r="BU3192"/>
      <c r="BV3192"/>
      <c r="BX3192"/>
      <c r="BY3192"/>
      <c r="BZ3192"/>
    </row>
    <row r="3193" spans="8:78" x14ac:dyDescent="0.2">
      <c r="H3193"/>
      <c r="L3193"/>
      <c r="BU3193"/>
      <c r="BV3193"/>
      <c r="BX3193"/>
      <c r="BY3193"/>
      <c r="BZ3193"/>
    </row>
    <row r="3194" spans="8:78" x14ac:dyDescent="0.2">
      <c r="H3194"/>
      <c r="L3194"/>
      <c r="BU3194"/>
      <c r="BV3194"/>
      <c r="BX3194"/>
      <c r="BY3194"/>
      <c r="BZ3194"/>
    </row>
    <row r="3195" spans="8:78" x14ac:dyDescent="0.2">
      <c r="H3195"/>
      <c r="L3195"/>
      <c r="BU3195"/>
      <c r="BV3195"/>
      <c r="BX3195"/>
      <c r="BY3195"/>
      <c r="BZ3195"/>
    </row>
    <row r="3196" spans="8:78" x14ac:dyDescent="0.2">
      <c r="H3196"/>
      <c r="L3196"/>
      <c r="BU3196"/>
      <c r="BV3196"/>
      <c r="BX3196"/>
      <c r="BY3196"/>
      <c r="BZ3196"/>
    </row>
    <row r="3197" spans="8:78" x14ac:dyDescent="0.2">
      <c r="H3197"/>
      <c r="L3197"/>
      <c r="AK3197"/>
      <c r="BU3197"/>
      <c r="BV3197"/>
      <c r="BX3197"/>
      <c r="BY3197"/>
      <c r="BZ3197"/>
    </row>
    <row r="3198" spans="8:78" x14ac:dyDescent="0.2">
      <c r="H3198"/>
      <c r="L3198"/>
      <c r="AK3198"/>
      <c r="BU3198"/>
      <c r="BV3198"/>
      <c r="BX3198"/>
      <c r="BY3198"/>
      <c r="BZ3198"/>
    </row>
    <row r="3199" spans="8:78" x14ac:dyDescent="0.2">
      <c r="H3199"/>
      <c r="L3199"/>
      <c r="BU3199"/>
      <c r="BV3199"/>
      <c r="BX3199"/>
      <c r="BY3199"/>
      <c r="BZ3199"/>
    </row>
    <row r="3200" spans="8:78" x14ac:dyDescent="0.2">
      <c r="H3200"/>
      <c r="L3200"/>
      <c r="BU3200"/>
      <c r="BV3200"/>
      <c r="BX3200"/>
      <c r="BY3200"/>
      <c r="BZ3200"/>
    </row>
    <row r="3201" spans="8:78" x14ac:dyDescent="0.2">
      <c r="H3201"/>
      <c r="L3201"/>
      <c r="BU3201"/>
      <c r="BV3201"/>
      <c r="BX3201"/>
      <c r="BY3201"/>
      <c r="BZ3201"/>
    </row>
    <row r="3202" spans="8:78" x14ac:dyDescent="0.2">
      <c r="H3202"/>
      <c r="L3202"/>
      <c r="BU3202"/>
      <c r="BV3202"/>
      <c r="BX3202"/>
      <c r="BY3202"/>
      <c r="BZ3202"/>
    </row>
    <row r="3203" spans="8:78" x14ac:dyDescent="0.2">
      <c r="H3203"/>
      <c r="L3203"/>
      <c r="BU3203"/>
      <c r="BV3203"/>
      <c r="BX3203"/>
      <c r="BY3203"/>
      <c r="BZ3203"/>
    </row>
    <row r="3204" spans="8:78" x14ac:dyDescent="0.2">
      <c r="H3204"/>
      <c r="L3204"/>
      <c r="BU3204"/>
      <c r="BV3204"/>
      <c r="BX3204"/>
      <c r="BY3204"/>
      <c r="BZ3204"/>
    </row>
    <row r="3205" spans="8:78" x14ac:dyDescent="0.2">
      <c r="H3205"/>
      <c r="L3205"/>
      <c r="BU3205"/>
      <c r="BV3205"/>
      <c r="BX3205"/>
      <c r="BY3205"/>
      <c r="BZ3205"/>
    </row>
    <row r="3206" spans="8:78" x14ac:dyDescent="0.2">
      <c r="H3206"/>
      <c r="L3206"/>
      <c r="BU3206"/>
      <c r="BV3206"/>
      <c r="BX3206"/>
      <c r="BY3206"/>
      <c r="BZ3206"/>
    </row>
    <row r="3207" spans="8:78" x14ac:dyDescent="0.2">
      <c r="H3207"/>
      <c r="L3207"/>
      <c r="AK3207"/>
      <c r="BU3207"/>
      <c r="BV3207"/>
      <c r="BX3207"/>
      <c r="BY3207"/>
      <c r="BZ3207"/>
    </row>
    <row r="3208" spans="8:78" x14ac:dyDescent="0.2">
      <c r="H3208"/>
      <c r="L3208"/>
      <c r="AK3208"/>
      <c r="BU3208"/>
      <c r="BV3208"/>
      <c r="BX3208"/>
      <c r="BY3208"/>
      <c r="BZ3208"/>
    </row>
    <row r="3209" spans="8:78" x14ac:dyDescent="0.2">
      <c r="H3209"/>
      <c r="L3209"/>
      <c r="AK3209"/>
      <c r="BU3209"/>
      <c r="BV3209"/>
      <c r="BX3209"/>
      <c r="BY3209"/>
      <c r="BZ3209"/>
    </row>
    <row r="3210" spans="8:78" x14ac:dyDescent="0.2">
      <c r="BZ3210"/>
    </row>
    <row r="3211" spans="8:78" x14ac:dyDescent="0.2">
      <c r="BZ3211"/>
    </row>
    <row r="3212" spans="8:78" x14ac:dyDescent="0.2">
      <c r="H3212"/>
      <c r="L3212"/>
      <c r="BU3212"/>
      <c r="BV3212"/>
      <c r="BX3212"/>
      <c r="BY3212"/>
      <c r="BZ3212"/>
    </row>
    <row r="3213" spans="8:78" x14ac:dyDescent="0.2">
      <c r="H3213"/>
      <c r="L3213"/>
      <c r="AK3213"/>
      <c r="BU3213"/>
      <c r="BV3213"/>
      <c r="BX3213"/>
      <c r="BY3213"/>
      <c r="BZ3213"/>
    </row>
    <row r="3214" spans="8:78" x14ac:dyDescent="0.2">
      <c r="H3214"/>
      <c r="L3214"/>
      <c r="BU3214"/>
      <c r="BV3214"/>
      <c r="BX3214"/>
      <c r="BY3214"/>
      <c r="BZ3214"/>
    </row>
    <row r="3215" spans="8:78" x14ac:dyDescent="0.2">
      <c r="H3215"/>
      <c r="L3215"/>
      <c r="AK3215"/>
      <c r="BU3215"/>
      <c r="BV3215"/>
      <c r="BX3215"/>
      <c r="BY3215"/>
      <c r="BZ3215"/>
    </row>
    <row r="3216" spans="8:78" x14ac:dyDescent="0.2">
      <c r="H3216"/>
      <c r="L3216"/>
      <c r="AK3216"/>
      <c r="BU3216"/>
      <c r="BV3216"/>
      <c r="BX3216"/>
      <c r="BY3216"/>
      <c r="BZ3216"/>
    </row>
    <row r="3217" spans="8:78" x14ac:dyDescent="0.2">
      <c r="H3217"/>
      <c r="L3217"/>
      <c r="AK3217"/>
      <c r="BU3217"/>
      <c r="BV3217"/>
      <c r="BX3217"/>
      <c r="BY3217"/>
      <c r="BZ3217"/>
    </row>
    <row r="3218" spans="8:78" x14ac:dyDescent="0.2">
      <c r="H3218"/>
      <c r="L3218"/>
      <c r="AK3218"/>
      <c r="BU3218"/>
      <c r="BV3218"/>
      <c r="BX3218"/>
      <c r="BY3218"/>
      <c r="BZ3218"/>
    </row>
    <row r="3219" spans="8:78" x14ac:dyDescent="0.2">
      <c r="H3219"/>
      <c r="L3219"/>
      <c r="AK3219"/>
      <c r="BU3219"/>
      <c r="BV3219"/>
      <c r="BX3219"/>
      <c r="BY3219"/>
      <c r="BZ3219"/>
    </row>
    <row r="3220" spans="8:78" x14ac:dyDescent="0.2">
      <c r="H3220"/>
      <c r="L3220"/>
      <c r="AK3220"/>
      <c r="BU3220"/>
      <c r="BV3220"/>
      <c r="BX3220"/>
      <c r="BY3220"/>
      <c r="BZ3220"/>
    </row>
    <row r="3221" spans="8:78" x14ac:dyDescent="0.2">
      <c r="H3221"/>
      <c r="L3221"/>
      <c r="AK3221"/>
      <c r="BU3221"/>
      <c r="BV3221"/>
      <c r="BX3221"/>
      <c r="BY3221"/>
      <c r="BZ3221"/>
    </row>
    <row r="3222" spans="8:78" x14ac:dyDescent="0.2">
      <c r="H3222"/>
      <c r="L3222"/>
      <c r="AK3222"/>
      <c r="BU3222"/>
      <c r="BV3222"/>
      <c r="BX3222"/>
      <c r="BY3222"/>
      <c r="BZ3222"/>
    </row>
    <row r="3223" spans="8:78" x14ac:dyDescent="0.2">
      <c r="H3223"/>
      <c r="L3223"/>
      <c r="AK3223"/>
      <c r="BU3223"/>
      <c r="BV3223"/>
      <c r="BX3223"/>
      <c r="BY3223"/>
      <c r="BZ3223"/>
    </row>
    <row r="3224" spans="8:78" x14ac:dyDescent="0.2">
      <c r="H3224"/>
      <c r="L3224"/>
      <c r="AK3224"/>
      <c r="BU3224"/>
      <c r="BV3224"/>
      <c r="BX3224"/>
      <c r="BY3224"/>
      <c r="BZ3224"/>
    </row>
    <row r="3225" spans="8:78" x14ac:dyDescent="0.2">
      <c r="H3225"/>
      <c r="L3225"/>
      <c r="AK3225"/>
      <c r="BU3225"/>
      <c r="BV3225"/>
      <c r="BX3225"/>
      <c r="BY3225"/>
      <c r="BZ3225"/>
    </row>
    <row r="3226" spans="8:78" x14ac:dyDescent="0.2">
      <c r="H3226"/>
      <c r="L3226"/>
      <c r="AK3226"/>
      <c r="BU3226"/>
      <c r="BV3226"/>
      <c r="BX3226"/>
      <c r="BY3226"/>
      <c r="BZ3226"/>
    </row>
    <row r="3227" spans="8:78" x14ac:dyDescent="0.2">
      <c r="H3227"/>
      <c r="L3227"/>
      <c r="BU3227"/>
      <c r="BV3227"/>
      <c r="BX3227"/>
      <c r="BY3227"/>
      <c r="BZ3227"/>
    </row>
    <row r="3228" spans="8:78" x14ac:dyDescent="0.2">
      <c r="H3228"/>
      <c r="L3228"/>
      <c r="BU3228"/>
      <c r="BV3228"/>
      <c r="BX3228"/>
      <c r="BY3228"/>
      <c r="BZ3228"/>
    </row>
    <row r="3229" spans="8:78" x14ac:dyDescent="0.2">
      <c r="H3229"/>
      <c r="L3229"/>
      <c r="BU3229"/>
      <c r="BV3229"/>
      <c r="BX3229"/>
      <c r="BY3229"/>
      <c r="BZ3229"/>
    </row>
    <row r="3230" spans="8:78" x14ac:dyDescent="0.2">
      <c r="H3230"/>
      <c r="L3230"/>
      <c r="BU3230"/>
      <c r="BV3230"/>
      <c r="BX3230"/>
      <c r="BY3230"/>
      <c r="BZ3230"/>
    </row>
    <row r="3231" spans="8:78" x14ac:dyDescent="0.2">
      <c r="H3231"/>
      <c r="L3231"/>
      <c r="BU3231"/>
      <c r="BV3231"/>
      <c r="BX3231"/>
      <c r="BY3231"/>
      <c r="BZ3231"/>
    </row>
    <row r="3232" spans="8:78" x14ac:dyDescent="0.2">
      <c r="H3232"/>
      <c r="L3232"/>
      <c r="AK3232"/>
      <c r="BU3232"/>
      <c r="BV3232"/>
      <c r="BX3232"/>
      <c r="BY3232"/>
      <c r="BZ3232"/>
    </row>
    <row r="3233" spans="8:78" x14ac:dyDescent="0.2">
      <c r="H3233"/>
      <c r="L3233"/>
      <c r="AK3233"/>
      <c r="BU3233"/>
      <c r="BV3233"/>
      <c r="BX3233"/>
      <c r="BY3233"/>
      <c r="BZ3233"/>
    </row>
    <row r="3234" spans="8:78" x14ac:dyDescent="0.2">
      <c r="H3234"/>
      <c r="L3234"/>
      <c r="AK3234"/>
      <c r="BU3234"/>
      <c r="BV3234"/>
      <c r="BX3234"/>
      <c r="BY3234"/>
      <c r="BZ3234"/>
    </row>
    <row r="3235" spans="8:78" x14ac:dyDescent="0.2">
      <c r="H3235"/>
      <c r="L3235"/>
      <c r="AK3235"/>
      <c r="BU3235"/>
      <c r="BV3235"/>
      <c r="BX3235"/>
      <c r="BY3235"/>
      <c r="BZ3235"/>
    </row>
    <row r="3236" spans="8:78" x14ac:dyDescent="0.2">
      <c r="H3236"/>
      <c r="L3236"/>
      <c r="AK3236"/>
      <c r="BU3236"/>
      <c r="BV3236"/>
      <c r="BX3236"/>
      <c r="BY3236"/>
      <c r="BZ3236"/>
    </row>
    <row r="3237" spans="8:78" x14ac:dyDescent="0.2">
      <c r="H3237"/>
      <c r="L3237"/>
      <c r="AK3237"/>
      <c r="BU3237"/>
      <c r="BV3237"/>
      <c r="BX3237"/>
      <c r="BY3237"/>
      <c r="BZ3237"/>
    </row>
    <row r="3238" spans="8:78" x14ac:dyDescent="0.2">
      <c r="H3238"/>
      <c r="L3238"/>
      <c r="AK3238"/>
      <c r="BU3238"/>
      <c r="BV3238"/>
      <c r="BX3238"/>
      <c r="BY3238"/>
      <c r="BZ3238"/>
    </row>
    <row r="3239" spans="8:78" x14ac:dyDescent="0.2">
      <c r="BZ3239"/>
    </row>
    <row r="3240" spans="8:78" x14ac:dyDescent="0.2">
      <c r="H3240"/>
      <c r="L3240"/>
      <c r="BU3240"/>
      <c r="BV3240"/>
      <c r="BX3240"/>
      <c r="BY3240"/>
      <c r="BZ3240"/>
    </row>
    <row r="3241" spans="8:78" x14ac:dyDescent="0.2">
      <c r="H3241"/>
      <c r="L3241"/>
      <c r="BU3241"/>
      <c r="BV3241"/>
      <c r="BX3241"/>
      <c r="BY3241"/>
      <c r="BZ3241"/>
    </row>
    <row r="3242" spans="8:78" x14ac:dyDescent="0.2">
      <c r="H3242"/>
      <c r="L3242"/>
      <c r="BU3242"/>
      <c r="BV3242"/>
      <c r="BX3242"/>
      <c r="BY3242"/>
      <c r="BZ3242"/>
    </row>
    <row r="3243" spans="8:78" x14ac:dyDescent="0.2">
      <c r="H3243"/>
      <c r="L3243"/>
      <c r="BU3243"/>
      <c r="BV3243"/>
      <c r="BX3243"/>
      <c r="BY3243"/>
      <c r="BZ3243"/>
    </row>
    <row r="3244" spans="8:78" x14ac:dyDescent="0.2">
      <c r="H3244"/>
      <c r="L3244"/>
      <c r="BU3244"/>
      <c r="BV3244"/>
      <c r="BX3244"/>
      <c r="BY3244"/>
      <c r="BZ3244"/>
    </row>
    <row r="3245" spans="8:78" x14ac:dyDescent="0.2">
      <c r="H3245"/>
      <c r="L3245"/>
      <c r="BU3245"/>
      <c r="BV3245"/>
      <c r="BX3245"/>
      <c r="BY3245"/>
      <c r="BZ3245"/>
    </row>
    <row r="3246" spans="8:78" x14ac:dyDescent="0.2">
      <c r="H3246"/>
      <c r="L3246"/>
      <c r="BU3246"/>
      <c r="BV3246"/>
      <c r="BX3246"/>
      <c r="BY3246"/>
      <c r="BZ3246"/>
    </row>
    <row r="3247" spans="8:78" x14ac:dyDescent="0.2">
      <c r="H3247"/>
      <c r="L3247"/>
      <c r="BU3247"/>
      <c r="BV3247"/>
      <c r="BX3247"/>
      <c r="BY3247"/>
      <c r="BZ3247"/>
    </row>
    <row r="3248" spans="8:78" x14ac:dyDescent="0.2">
      <c r="H3248"/>
      <c r="L3248"/>
      <c r="BU3248"/>
      <c r="BV3248"/>
      <c r="BX3248"/>
      <c r="BY3248"/>
      <c r="BZ3248"/>
    </row>
    <row r="3249" spans="8:78" x14ac:dyDescent="0.2">
      <c r="H3249"/>
      <c r="L3249"/>
      <c r="BU3249"/>
      <c r="BV3249"/>
      <c r="BX3249"/>
      <c r="BY3249"/>
      <c r="BZ3249"/>
    </row>
    <row r="3250" spans="8:78" x14ac:dyDescent="0.2">
      <c r="H3250"/>
      <c r="L3250"/>
      <c r="BU3250"/>
      <c r="BV3250"/>
      <c r="BX3250"/>
      <c r="BY3250"/>
      <c r="BZ3250"/>
    </row>
    <row r="3251" spans="8:78" x14ac:dyDescent="0.2">
      <c r="H3251"/>
      <c r="L3251"/>
      <c r="BU3251"/>
      <c r="BV3251"/>
      <c r="BX3251"/>
      <c r="BY3251"/>
      <c r="BZ3251"/>
    </row>
    <row r="3252" spans="8:78" x14ac:dyDescent="0.2">
      <c r="H3252"/>
      <c r="L3252"/>
      <c r="BU3252"/>
      <c r="BV3252"/>
      <c r="BX3252"/>
      <c r="BY3252"/>
      <c r="BZ3252"/>
    </row>
    <row r="3253" spans="8:78" x14ac:dyDescent="0.2">
      <c r="H3253"/>
      <c r="L3253"/>
      <c r="BU3253"/>
      <c r="BV3253"/>
      <c r="BX3253"/>
      <c r="BY3253"/>
      <c r="BZ3253"/>
    </row>
    <row r="3254" spans="8:78" x14ac:dyDescent="0.2">
      <c r="H3254"/>
      <c r="L3254"/>
      <c r="BU3254"/>
      <c r="BV3254"/>
      <c r="BX3254"/>
      <c r="BY3254"/>
      <c r="BZ3254"/>
    </row>
    <row r="3255" spans="8:78" x14ac:dyDescent="0.2">
      <c r="H3255"/>
      <c r="L3255"/>
      <c r="AK3255"/>
      <c r="BU3255"/>
      <c r="BV3255"/>
      <c r="BX3255"/>
      <c r="BY3255"/>
      <c r="BZ3255"/>
    </row>
    <row r="3256" spans="8:78" x14ac:dyDescent="0.2">
      <c r="H3256"/>
      <c r="L3256"/>
      <c r="AK3256"/>
      <c r="BU3256"/>
      <c r="BV3256"/>
      <c r="BX3256"/>
      <c r="BY3256"/>
      <c r="BZ3256"/>
    </row>
    <row r="3257" spans="8:78" x14ac:dyDescent="0.2">
      <c r="H3257"/>
      <c r="L3257"/>
      <c r="AK3257"/>
      <c r="BU3257"/>
      <c r="BV3257"/>
      <c r="BX3257"/>
      <c r="BY3257"/>
      <c r="BZ3257"/>
    </row>
    <row r="3258" spans="8:78" x14ac:dyDescent="0.2">
      <c r="H3258"/>
      <c r="L3258"/>
      <c r="AK3258"/>
      <c r="BU3258"/>
      <c r="BV3258"/>
      <c r="BX3258"/>
      <c r="BY3258"/>
      <c r="BZ3258"/>
    </row>
    <row r="3259" spans="8:78" x14ac:dyDescent="0.2">
      <c r="H3259"/>
      <c r="L3259"/>
      <c r="AK3259"/>
      <c r="BU3259"/>
      <c r="BV3259"/>
      <c r="BX3259"/>
      <c r="BY3259"/>
      <c r="BZ3259"/>
    </row>
    <row r="3260" spans="8:78" x14ac:dyDescent="0.2">
      <c r="H3260"/>
      <c r="L3260"/>
      <c r="AK3260"/>
      <c r="BU3260"/>
      <c r="BV3260"/>
      <c r="BX3260"/>
      <c r="BY3260"/>
      <c r="BZ3260"/>
    </row>
    <row r="3261" spans="8:78" x14ac:dyDescent="0.2">
      <c r="H3261"/>
      <c r="L3261"/>
      <c r="BU3261"/>
      <c r="BV3261"/>
      <c r="BX3261"/>
      <c r="BY3261"/>
      <c r="BZ3261"/>
    </row>
    <row r="3262" spans="8:78" x14ac:dyDescent="0.2">
      <c r="H3262"/>
      <c r="L3262"/>
      <c r="BU3262"/>
      <c r="BV3262"/>
      <c r="BX3262"/>
      <c r="BY3262"/>
      <c r="BZ3262"/>
    </row>
    <row r="3263" spans="8:78" x14ac:dyDescent="0.2">
      <c r="H3263"/>
      <c r="L3263"/>
      <c r="BU3263"/>
      <c r="BV3263"/>
      <c r="BX3263"/>
      <c r="BY3263"/>
      <c r="BZ3263"/>
    </row>
    <row r="3264" spans="8:78" x14ac:dyDescent="0.2">
      <c r="H3264"/>
      <c r="L3264"/>
      <c r="BU3264"/>
      <c r="BV3264"/>
      <c r="BX3264"/>
      <c r="BY3264"/>
      <c r="BZ3264"/>
    </row>
    <row r="3265" spans="8:78" x14ac:dyDescent="0.2">
      <c r="H3265"/>
      <c r="L3265"/>
      <c r="BU3265"/>
      <c r="BV3265"/>
      <c r="BX3265"/>
      <c r="BY3265"/>
      <c r="BZ3265"/>
    </row>
    <row r="3266" spans="8:78" x14ac:dyDescent="0.2">
      <c r="H3266"/>
      <c r="L3266"/>
      <c r="BU3266"/>
      <c r="BV3266"/>
      <c r="BX3266"/>
      <c r="BY3266"/>
      <c r="BZ3266"/>
    </row>
    <row r="3267" spans="8:78" x14ac:dyDescent="0.2">
      <c r="H3267"/>
      <c r="L3267"/>
      <c r="BU3267"/>
      <c r="BV3267"/>
      <c r="BX3267"/>
      <c r="BY3267"/>
      <c r="BZ3267"/>
    </row>
    <row r="3268" spans="8:78" x14ac:dyDescent="0.2">
      <c r="H3268"/>
      <c r="L3268"/>
      <c r="BU3268"/>
      <c r="BV3268"/>
      <c r="BX3268"/>
      <c r="BY3268"/>
      <c r="BZ3268"/>
    </row>
    <row r="3269" spans="8:78" x14ac:dyDescent="0.2">
      <c r="H3269"/>
      <c r="L3269"/>
      <c r="AK3269"/>
      <c r="BU3269"/>
      <c r="BV3269"/>
      <c r="BX3269"/>
      <c r="BY3269"/>
      <c r="BZ3269"/>
    </row>
    <row r="3270" spans="8:78" x14ac:dyDescent="0.2">
      <c r="H3270"/>
      <c r="L3270"/>
      <c r="AK3270"/>
      <c r="BU3270"/>
      <c r="BV3270"/>
      <c r="BX3270"/>
      <c r="BY3270"/>
      <c r="BZ3270"/>
    </row>
    <row r="3271" spans="8:78" x14ac:dyDescent="0.2">
      <c r="H3271"/>
      <c r="L3271"/>
      <c r="AK3271"/>
      <c r="BU3271"/>
      <c r="BV3271"/>
      <c r="BX3271"/>
      <c r="BY3271"/>
      <c r="BZ3271"/>
    </row>
    <row r="3272" spans="8:78" x14ac:dyDescent="0.2">
      <c r="H3272"/>
      <c r="L3272"/>
      <c r="AK3272"/>
      <c r="BU3272"/>
      <c r="BV3272"/>
      <c r="BX3272"/>
      <c r="BY3272"/>
      <c r="BZ3272"/>
    </row>
    <row r="3273" spans="8:78" x14ac:dyDescent="0.2">
      <c r="H3273"/>
      <c r="L3273"/>
      <c r="AK3273"/>
      <c r="BU3273"/>
      <c r="BV3273"/>
      <c r="BX3273"/>
      <c r="BY3273"/>
      <c r="BZ3273"/>
    </row>
    <row r="3274" spans="8:78" x14ac:dyDescent="0.2">
      <c r="H3274"/>
      <c r="L3274"/>
      <c r="AK3274"/>
      <c r="BU3274"/>
      <c r="BV3274"/>
      <c r="BX3274"/>
      <c r="BY3274"/>
      <c r="BZ3274"/>
    </row>
    <row r="3275" spans="8:78" x14ac:dyDescent="0.2">
      <c r="H3275"/>
      <c r="L3275"/>
      <c r="AK3275"/>
      <c r="BU3275"/>
      <c r="BV3275"/>
      <c r="BX3275"/>
      <c r="BY3275"/>
      <c r="BZ3275"/>
    </row>
    <row r="3276" spans="8:78" x14ac:dyDescent="0.2">
      <c r="H3276"/>
      <c r="L3276"/>
      <c r="AK3276"/>
      <c r="BU3276"/>
      <c r="BV3276"/>
      <c r="BX3276"/>
      <c r="BY3276"/>
      <c r="BZ3276"/>
    </row>
    <row r="3277" spans="8:78" x14ac:dyDescent="0.2">
      <c r="H3277"/>
      <c r="L3277"/>
      <c r="AK3277"/>
      <c r="BU3277"/>
      <c r="BV3277"/>
      <c r="BX3277"/>
      <c r="BY3277"/>
      <c r="BZ3277"/>
    </row>
    <row r="3278" spans="8:78" x14ac:dyDescent="0.2">
      <c r="H3278"/>
      <c r="L3278"/>
      <c r="AK3278"/>
      <c r="BU3278"/>
      <c r="BV3278"/>
      <c r="BX3278"/>
      <c r="BY3278"/>
      <c r="BZ3278"/>
    </row>
    <row r="3279" spans="8:78" x14ac:dyDescent="0.2">
      <c r="H3279"/>
      <c r="L3279"/>
      <c r="AK3279"/>
      <c r="BU3279"/>
      <c r="BV3279"/>
      <c r="BX3279"/>
      <c r="BY3279"/>
      <c r="BZ3279"/>
    </row>
    <row r="3280" spans="8:78" x14ac:dyDescent="0.2">
      <c r="H3280"/>
      <c r="L3280"/>
      <c r="AK3280"/>
      <c r="BU3280"/>
      <c r="BV3280"/>
      <c r="BX3280"/>
      <c r="BY3280"/>
      <c r="BZ3280"/>
    </row>
    <row r="3281" spans="8:78" x14ac:dyDescent="0.2">
      <c r="H3281"/>
      <c r="L3281"/>
      <c r="AK3281"/>
      <c r="BU3281"/>
      <c r="BV3281"/>
      <c r="BX3281"/>
      <c r="BY3281"/>
      <c r="BZ3281"/>
    </row>
    <row r="3282" spans="8:78" x14ac:dyDescent="0.2">
      <c r="H3282"/>
      <c r="L3282"/>
      <c r="BU3282"/>
      <c r="BV3282"/>
      <c r="BX3282"/>
      <c r="BY3282"/>
      <c r="BZ3282"/>
    </row>
    <row r="3283" spans="8:78" x14ac:dyDescent="0.2">
      <c r="H3283"/>
      <c r="L3283"/>
      <c r="BU3283"/>
      <c r="BV3283"/>
      <c r="BX3283"/>
      <c r="BY3283"/>
      <c r="BZ3283"/>
    </row>
    <row r="3284" spans="8:78" x14ac:dyDescent="0.2">
      <c r="H3284"/>
      <c r="L3284"/>
      <c r="AK3284"/>
      <c r="BU3284"/>
      <c r="BV3284"/>
      <c r="BX3284"/>
      <c r="BY3284"/>
      <c r="BZ3284"/>
    </row>
    <row r="3285" spans="8:78" x14ac:dyDescent="0.2">
      <c r="H3285"/>
      <c r="L3285"/>
      <c r="BU3285"/>
      <c r="BV3285"/>
      <c r="BX3285"/>
      <c r="BY3285"/>
      <c r="BZ3285"/>
    </row>
    <row r="3286" spans="8:78" x14ac:dyDescent="0.2">
      <c r="H3286"/>
      <c r="L3286"/>
      <c r="BU3286"/>
      <c r="BV3286"/>
      <c r="BX3286"/>
      <c r="BY3286"/>
      <c r="BZ3286"/>
    </row>
    <row r="3287" spans="8:78" x14ac:dyDescent="0.2">
      <c r="H3287"/>
      <c r="L3287"/>
      <c r="BU3287"/>
      <c r="BV3287"/>
      <c r="BX3287"/>
      <c r="BY3287"/>
      <c r="BZ3287"/>
    </row>
    <row r="3288" spans="8:78" x14ac:dyDescent="0.2">
      <c r="H3288"/>
      <c r="L3288"/>
      <c r="BU3288"/>
      <c r="BV3288"/>
      <c r="BX3288"/>
      <c r="BY3288"/>
      <c r="BZ3288"/>
    </row>
    <row r="3289" spans="8:78" x14ac:dyDescent="0.2">
      <c r="H3289"/>
      <c r="L3289"/>
      <c r="BU3289"/>
      <c r="BV3289"/>
      <c r="BX3289"/>
      <c r="BY3289"/>
      <c r="BZ3289"/>
    </row>
    <row r="3290" spans="8:78" x14ac:dyDescent="0.2">
      <c r="H3290"/>
      <c r="L3290"/>
      <c r="AK3290"/>
      <c r="BU3290"/>
      <c r="BV3290"/>
      <c r="BX3290"/>
      <c r="BY3290"/>
      <c r="BZ3290"/>
    </row>
    <row r="3291" spans="8:78" x14ac:dyDescent="0.2">
      <c r="H3291"/>
      <c r="L3291"/>
      <c r="BU3291"/>
      <c r="BV3291"/>
      <c r="BX3291"/>
      <c r="BY3291"/>
      <c r="BZ3291"/>
    </row>
    <row r="3292" spans="8:78" x14ac:dyDescent="0.2">
      <c r="H3292"/>
      <c r="L3292"/>
      <c r="BU3292"/>
      <c r="BV3292"/>
      <c r="BX3292"/>
      <c r="BY3292"/>
      <c r="BZ3292"/>
    </row>
    <row r="3293" spans="8:78" x14ac:dyDescent="0.2">
      <c r="H3293"/>
      <c r="L3293"/>
      <c r="BU3293"/>
      <c r="BV3293"/>
      <c r="BX3293"/>
      <c r="BY3293"/>
      <c r="BZ3293"/>
    </row>
    <row r="3294" spans="8:78" x14ac:dyDescent="0.2">
      <c r="H3294"/>
      <c r="L3294"/>
      <c r="AK3294"/>
      <c r="BU3294"/>
      <c r="BV3294"/>
      <c r="BX3294"/>
      <c r="BY3294"/>
      <c r="BZ3294"/>
    </row>
    <row r="3295" spans="8:78" x14ac:dyDescent="0.2">
      <c r="H3295"/>
      <c r="L3295"/>
      <c r="BU3295"/>
      <c r="BV3295"/>
      <c r="BX3295"/>
      <c r="BY3295"/>
      <c r="BZ3295"/>
    </row>
    <row r="3296" spans="8:78" x14ac:dyDescent="0.2">
      <c r="H3296"/>
      <c r="L3296"/>
      <c r="BU3296"/>
      <c r="BV3296"/>
      <c r="BX3296"/>
      <c r="BY3296"/>
      <c r="BZ3296"/>
    </row>
    <row r="3297" spans="8:78" x14ac:dyDescent="0.2">
      <c r="H3297"/>
      <c r="L3297"/>
      <c r="BU3297"/>
      <c r="BV3297"/>
      <c r="BX3297"/>
      <c r="BY3297"/>
      <c r="BZ3297"/>
    </row>
    <row r="3298" spans="8:78" x14ac:dyDescent="0.2">
      <c r="H3298"/>
      <c r="L3298"/>
      <c r="BU3298"/>
      <c r="BV3298"/>
      <c r="BX3298"/>
      <c r="BY3298"/>
      <c r="BZ3298"/>
    </row>
    <row r="3299" spans="8:78" x14ac:dyDescent="0.2">
      <c r="H3299"/>
      <c r="L3299"/>
      <c r="BU3299"/>
      <c r="BV3299"/>
      <c r="BX3299"/>
      <c r="BY3299"/>
      <c r="BZ3299"/>
    </row>
    <row r="3300" spans="8:78" x14ac:dyDescent="0.2">
      <c r="H3300"/>
      <c r="L3300"/>
      <c r="BU3300"/>
      <c r="BV3300"/>
      <c r="BX3300"/>
      <c r="BY3300"/>
      <c r="BZ3300"/>
    </row>
    <row r="3301" spans="8:78" x14ac:dyDescent="0.2">
      <c r="H3301"/>
      <c r="L3301"/>
      <c r="AK3301"/>
      <c r="BU3301"/>
      <c r="BV3301"/>
      <c r="BX3301"/>
      <c r="BY3301"/>
      <c r="BZ3301"/>
    </row>
    <row r="3302" spans="8:78" x14ac:dyDescent="0.2">
      <c r="H3302"/>
      <c r="L3302"/>
      <c r="AK3302"/>
      <c r="BU3302"/>
      <c r="BV3302"/>
      <c r="BX3302"/>
      <c r="BY3302"/>
      <c r="BZ3302"/>
    </row>
    <row r="3303" spans="8:78" x14ac:dyDescent="0.2">
      <c r="H3303"/>
      <c r="L3303"/>
      <c r="BU3303"/>
      <c r="BV3303"/>
      <c r="BX3303"/>
      <c r="BY3303"/>
      <c r="BZ3303"/>
    </row>
    <row r="3304" spans="8:78" x14ac:dyDescent="0.2">
      <c r="H3304"/>
      <c r="L3304"/>
      <c r="BU3304"/>
      <c r="BV3304"/>
      <c r="BX3304"/>
      <c r="BY3304"/>
      <c r="BZ3304"/>
    </row>
    <row r="3305" spans="8:78" x14ac:dyDescent="0.2">
      <c r="H3305"/>
      <c r="L3305"/>
      <c r="BU3305"/>
      <c r="BV3305"/>
      <c r="BX3305"/>
      <c r="BY3305"/>
      <c r="BZ3305"/>
    </row>
    <row r="3306" spans="8:78" x14ac:dyDescent="0.2">
      <c r="H3306"/>
      <c r="L3306"/>
      <c r="BU3306"/>
      <c r="BV3306"/>
      <c r="BX3306"/>
      <c r="BY3306"/>
      <c r="BZ3306"/>
    </row>
    <row r="3307" spans="8:78" x14ac:dyDescent="0.2">
      <c r="H3307"/>
      <c r="L3307"/>
      <c r="AK3307"/>
      <c r="BU3307"/>
      <c r="BV3307"/>
      <c r="BX3307"/>
      <c r="BY3307"/>
      <c r="BZ3307"/>
    </row>
    <row r="3308" spans="8:78" x14ac:dyDescent="0.2">
      <c r="H3308"/>
      <c r="L3308"/>
      <c r="BU3308"/>
      <c r="BV3308"/>
      <c r="BX3308"/>
      <c r="BY3308"/>
      <c r="BZ3308"/>
    </row>
    <row r="3309" spans="8:78" x14ac:dyDescent="0.2">
      <c r="H3309"/>
      <c r="L3309"/>
      <c r="AK3309"/>
      <c r="BU3309"/>
      <c r="BV3309"/>
      <c r="BX3309"/>
      <c r="BY3309"/>
      <c r="BZ3309"/>
    </row>
    <row r="3310" spans="8:78" x14ac:dyDescent="0.2">
      <c r="H3310"/>
      <c r="L3310"/>
      <c r="BU3310"/>
      <c r="BV3310"/>
      <c r="BX3310"/>
      <c r="BY3310"/>
      <c r="BZ3310"/>
    </row>
    <row r="3311" spans="8:78" x14ac:dyDescent="0.2">
      <c r="H3311"/>
      <c r="L3311"/>
      <c r="BU3311"/>
      <c r="BV3311"/>
      <c r="BX3311"/>
      <c r="BY3311"/>
      <c r="BZ3311"/>
    </row>
    <row r="3312" spans="8:78" x14ac:dyDescent="0.2">
      <c r="H3312"/>
      <c r="L3312"/>
      <c r="BU3312"/>
      <c r="BV3312"/>
      <c r="BX3312"/>
      <c r="BY3312"/>
      <c r="BZ3312"/>
    </row>
    <row r="3313" spans="8:78" x14ac:dyDescent="0.2">
      <c r="H3313"/>
      <c r="L3313"/>
      <c r="BU3313"/>
      <c r="BV3313"/>
      <c r="BX3313"/>
      <c r="BY3313"/>
      <c r="BZ3313"/>
    </row>
    <row r="3314" spans="8:78" x14ac:dyDescent="0.2">
      <c r="H3314"/>
      <c r="L3314"/>
      <c r="BU3314"/>
      <c r="BV3314"/>
      <c r="BX3314"/>
      <c r="BY3314"/>
      <c r="BZ3314"/>
    </row>
    <row r="3315" spans="8:78" x14ac:dyDescent="0.2">
      <c r="H3315"/>
      <c r="L3315"/>
      <c r="BU3315"/>
      <c r="BV3315"/>
      <c r="BX3315"/>
      <c r="BY3315"/>
      <c r="BZ3315"/>
    </row>
    <row r="3316" spans="8:78" x14ac:dyDescent="0.2">
      <c r="H3316"/>
      <c r="L3316"/>
      <c r="BU3316"/>
      <c r="BV3316"/>
      <c r="BX3316"/>
      <c r="BY3316"/>
      <c r="BZ3316"/>
    </row>
    <row r="3317" spans="8:78" x14ac:dyDescent="0.2">
      <c r="H3317"/>
      <c r="L3317"/>
      <c r="BU3317"/>
      <c r="BV3317"/>
      <c r="BZ3317"/>
    </row>
    <row r="3318" spans="8:78" x14ac:dyDescent="0.2">
      <c r="H3318"/>
      <c r="L3318"/>
      <c r="AK3318"/>
      <c r="BU3318"/>
      <c r="BV3318"/>
      <c r="BZ3318"/>
    </row>
    <row r="3319" spans="8:78" x14ac:dyDescent="0.2">
      <c r="H3319"/>
      <c r="L3319"/>
      <c r="AK3319"/>
      <c r="BU3319"/>
      <c r="BV3319"/>
      <c r="BZ3319"/>
    </row>
    <row r="3320" spans="8:78" x14ac:dyDescent="0.2">
      <c r="H3320"/>
      <c r="L3320"/>
      <c r="AK3320"/>
      <c r="BU3320"/>
      <c r="BV3320"/>
      <c r="BX3320"/>
      <c r="BY3320"/>
      <c r="BZ3320"/>
    </row>
    <row r="3321" spans="8:78" x14ac:dyDescent="0.2">
      <c r="H3321"/>
      <c r="L3321"/>
      <c r="AK3321"/>
      <c r="BU3321"/>
      <c r="BV3321"/>
      <c r="BX3321"/>
      <c r="BY3321"/>
      <c r="BZ3321"/>
    </row>
    <row r="3322" spans="8:78" x14ac:dyDescent="0.2">
      <c r="H3322"/>
      <c r="L3322"/>
      <c r="AK3322"/>
      <c r="BU3322"/>
      <c r="BV3322"/>
      <c r="BX3322"/>
      <c r="BY3322"/>
      <c r="BZ3322"/>
    </row>
    <row r="3323" spans="8:78" x14ac:dyDescent="0.2">
      <c r="H3323"/>
      <c r="L3323"/>
      <c r="AK3323"/>
      <c r="BU3323"/>
      <c r="BV3323"/>
      <c r="BX3323"/>
      <c r="BY3323"/>
      <c r="BZ3323"/>
    </row>
    <row r="3324" spans="8:78" x14ac:dyDescent="0.2">
      <c r="H3324"/>
      <c r="L3324"/>
      <c r="BU3324"/>
      <c r="BV3324"/>
      <c r="BX3324"/>
      <c r="BY3324"/>
      <c r="BZ3324"/>
    </row>
    <row r="3325" spans="8:78" x14ac:dyDescent="0.2">
      <c r="H3325"/>
      <c r="L3325"/>
      <c r="BU3325"/>
      <c r="BV3325"/>
      <c r="BX3325"/>
      <c r="BY3325"/>
      <c r="BZ3325"/>
    </row>
    <row r="3326" spans="8:78" x14ac:dyDescent="0.2">
      <c r="H3326"/>
      <c r="L3326"/>
      <c r="BU3326"/>
      <c r="BV3326"/>
      <c r="BX3326"/>
      <c r="BY3326"/>
      <c r="BZ3326"/>
    </row>
    <row r="3327" spans="8:78" x14ac:dyDescent="0.2">
      <c r="H3327"/>
      <c r="L3327"/>
      <c r="AK3327"/>
      <c r="BU3327"/>
      <c r="BV3327"/>
      <c r="BX3327"/>
      <c r="BY3327"/>
      <c r="BZ3327"/>
    </row>
    <row r="3328" spans="8:78" x14ac:dyDescent="0.2">
      <c r="H3328"/>
      <c r="L3328"/>
      <c r="AK3328"/>
      <c r="BU3328"/>
      <c r="BV3328"/>
      <c r="BX3328"/>
      <c r="BY3328"/>
      <c r="BZ3328"/>
    </row>
    <row r="3329" spans="8:78" x14ac:dyDescent="0.2">
      <c r="H3329"/>
      <c r="L3329"/>
      <c r="BU3329"/>
      <c r="BV3329"/>
      <c r="BX3329"/>
      <c r="BY3329"/>
      <c r="BZ3329"/>
    </row>
    <row r="3330" spans="8:78" x14ac:dyDescent="0.2">
      <c r="H3330"/>
      <c r="L3330"/>
      <c r="BU3330"/>
      <c r="BV3330"/>
      <c r="BX3330"/>
      <c r="BY3330"/>
      <c r="BZ3330"/>
    </row>
    <row r="3331" spans="8:78" x14ac:dyDescent="0.2">
      <c r="H3331"/>
      <c r="L3331"/>
      <c r="BU3331"/>
      <c r="BV3331"/>
      <c r="BX3331"/>
      <c r="BY3331"/>
      <c r="BZ3331"/>
    </row>
    <row r="3332" spans="8:78" x14ac:dyDescent="0.2">
      <c r="H3332"/>
      <c r="L3332"/>
      <c r="BU3332"/>
      <c r="BV3332"/>
      <c r="BX3332"/>
      <c r="BY3332"/>
      <c r="BZ3332"/>
    </row>
    <row r="3333" spans="8:78" x14ac:dyDescent="0.2">
      <c r="H3333"/>
      <c r="L3333"/>
      <c r="BU3333"/>
      <c r="BV3333"/>
      <c r="BX3333"/>
      <c r="BY3333"/>
      <c r="BZ3333"/>
    </row>
    <row r="3334" spans="8:78" x14ac:dyDescent="0.2">
      <c r="H3334"/>
      <c r="L3334"/>
      <c r="BU3334"/>
      <c r="BV3334"/>
      <c r="BX3334"/>
      <c r="BY3334"/>
      <c r="BZ3334"/>
    </row>
    <row r="3335" spans="8:78" x14ac:dyDescent="0.2">
      <c r="H3335"/>
      <c r="L3335"/>
      <c r="BU3335"/>
      <c r="BV3335"/>
      <c r="BX3335"/>
      <c r="BY3335"/>
      <c r="BZ3335"/>
    </row>
    <row r="3336" spans="8:78" x14ac:dyDescent="0.2">
      <c r="H3336"/>
      <c r="L3336"/>
      <c r="AK3336"/>
      <c r="BU3336"/>
      <c r="BV3336"/>
      <c r="BX3336"/>
      <c r="BY3336"/>
      <c r="BZ3336"/>
    </row>
    <row r="3337" spans="8:78" x14ac:dyDescent="0.2">
      <c r="H3337"/>
      <c r="L3337"/>
      <c r="BU3337"/>
      <c r="BV3337"/>
      <c r="BX3337"/>
      <c r="BY3337"/>
      <c r="BZ3337"/>
    </row>
    <row r="3338" spans="8:78" x14ac:dyDescent="0.2">
      <c r="H3338"/>
      <c r="L3338"/>
      <c r="AK3338"/>
      <c r="BU3338"/>
      <c r="BV3338"/>
      <c r="BX3338"/>
      <c r="BY3338"/>
      <c r="BZ3338"/>
    </row>
    <row r="3339" spans="8:78" x14ac:dyDescent="0.2">
      <c r="H3339"/>
      <c r="L3339"/>
      <c r="AK3339"/>
      <c r="BU3339"/>
      <c r="BV3339"/>
      <c r="BX3339"/>
      <c r="BY3339"/>
      <c r="BZ3339"/>
    </row>
    <row r="3340" spans="8:78" x14ac:dyDescent="0.2">
      <c r="H3340"/>
      <c r="L3340"/>
      <c r="AK3340"/>
      <c r="BU3340"/>
      <c r="BV3340"/>
      <c r="BX3340"/>
      <c r="BY3340"/>
      <c r="BZ3340"/>
    </row>
    <row r="3341" spans="8:78" x14ac:dyDescent="0.2">
      <c r="H3341"/>
      <c r="L3341"/>
      <c r="AK3341"/>
      <c r="BU3341"/>
      <c r="BV3341"/>
      <c r="BX3341"/>
      <c r="BY3341"/>
      <c r="BZ3341"/>
    </row>
    <row r="3342" spans="8:78" x14ac:dyDescent="0.2">
      <c r="H3342"/>
      <c r="L3342"/>
      <c r="AK3342"/>
      <c r="BU3342"/>
      <c r="BV3342"/>
      <c r="BX3342"/>
      <c r="BY3342"/>
      <c r="BZ3342"/>
    </row>
    <row r="3343" spans="8:78" x14ac:dyDescent="0.2">
      <c r="H3343"/>
      <c r="L3343"/>
      <c r="AK3343"/>
      <c r="BU3343"/>
      <c r="BV3343"/>
      <c r="BX3343"/>
      <c r="BY3343"/>
      <c r="BZ3343"/>
    </row>
    <row r="3344" spans="8:78" x14ac:dyDescent="0.2">
      <c r="H3344"/>
      <c r="L3344"/>
      <c r="AK3344"/>
      <c r="BU3344"/>
      <c r="BV3344"/>
      <c r="BX3344"/>
      <c r="BY3344"/>
      <c r="BZ3344"/>
    </row>
    <row r="3345" spans="8:78" x14ac:dyDescent="0.2">
      <c r="H3345"/>
      <c r="L3345"/>
      <c r="AK3345"/>
      <c r="BU3345"/>
      <c r="BV3345"/>
      <c r="BX3345"/>
      <c r="BY3345"/>
      <c r="BZ3345"/>
    </row>
    <row r="3346" spans="8:78" x14ac:dyDescent="0.2">
      <c r="H3346"/>
      <c r="L3346"/>
      <c r="AK3346"/>
      <c r="BU3346"/>
      <c r="BV3346"/>
      <c r="BX3346"/>
      <c r="BY3346"/>
      <c r="BZ3346"/>
    </row>
    <row r="3347" spans="8:78" x14ac:dyDescent="0.2">
      <c r="H3347"/>
      <c r="L3347"/>
      <c r="BU3347"/>
      <c r="BV3347"/>
      <c r="BX3347"/>
      <c r="BY3347"/>
      <c r="BZ3347"/>
    </row>
    <row r="3348" spans="8:78" x14ac:dyDescent="0.2">
      <c r="H3348"/>
      <c r="L3348"/>
      <c r="BU3348"/>
      <c r="BV3348"/>
      <c r="BX3348"/>
      <c r="BY3348"/>
      <c r="BZ3348"/>
    </row>
    <row r="3349" spans="8:78" x14ac:dyDescent="0.2">
      <c r="H3349"/>
      <c r="L3349"/>
      <c r="BU3349"/>
      <c r="BV3349"/>
      <c r="BX3349"/>
      <c r="BY3349"/>
      <c r="BZ3349"/>
    </row>
    <row r="3350" spans="8:78" x14ac:dyDescent="0.2">
      <c r="H3350"/>
      <c r="L3350"/>
      <c r="BU3350"/>
      <c r="BV3350"/>
      <c r="BX3350"/>
      <c r="BY3350"/>
      <c r="BZ3350"/>
    </row>
    <row r="3351" spans="8:78" x14ac:dyDescent="0.2">
      <c r="H3351"/>
      <c r="L3351"/>
      <c r="BU3351"/>
      <c r="BV3351"/>
      <c r="BX3351"/>
      <c r="BY3351"/>
      <c r="BZ3351"/>
    </row>
    <row r="3352" spans="8:78" x14ac:dyDescent="0.2">
      <c r="H3352"/>
      <c r="L3352"/>
      <c r="BU3352"/>
      <c r="BV3352"/>
      <c r="BX3352"/>
      <c r="BY3352"/>
      <c r="BZ3352"/>
    </row>
    <row r="3353" spans="8:78" x14ac:dyDescent="0.2">
      <c r="H3353"/>
      <c r="L3353"/>
      <c r="AK3353"/>
      <c r="BU3353"/>
      <c r="BV3353"/>
      <c r="BX3353"/>
      <c r="BY3353"/>
      <c r="BZ3353"/>
    </row>
    <row r="3354" spans="8:78" x14ac:dyDescent="0.2">
      <c r="H3354"/>
      <c r="L3354"/>
      <c r="AK3354"/>
      <c r="BU3354"/>
      <c r="BV3354"/>
      <c r="BX3354"/>
      <c r="BY3354"/>
      <c r="BZ3354"/>
    </row>
    <row r="3355" spans="8:78" x14ac:dyDescent="0.2">
      <c r="H3355"/>
      <c r="L3355"/>
      <c r="AK3355"/>
      <c r="BU3355"/>
      <c r="BV3355"/>
      <c r="BX3355"/>
      <c r="BY3355"/>
      <c r="BZ3355"/>
    </row>
    <row r="3356" spans="8:78" x14ac:dyDescent="0.2">
      <c r="H3356"/>
      <c r="L3356"/>
      <c r="AK3356"/>
      <c r="BU3356"/>
      <c r="BV3356"/>
      <c r="BX3356"/>
      <c r="BY3356"/>
      <c r="BZ3356"/>
    </row>
    <row r="3357" spans="8:78" x14ac:dyDescent="0.2">
      <c r="H3357"/>
      <c r="L3357"/>
      <c r="AK3357"/>
      <c r="BU3357"/>
      <c r="BV3357"/>
      <c r="BX3357"/>
      <c r="BY3357"/>
      <c r="BZ3357"/>
    </row>
    <row r="3358" spans="8:78" x14ac:dyDescent="0.2">
      <c r="H3358"/>
      <c r="L3358"/>
      <c r="BU3358"/>
      <c r="BV3358"/>
      <c r="BX3358"/>
      <c r="BY3358"/>
      <c r="BZ3358"/>
    </row>
    <row r="3359" spans="8:78" x14ac:dyDescent="0.2">
      <c r="H3359"/>
      <c r="L3359"/>
      <c r="BU3359"/>
      <c r="BV3359"/>
      <c r="BX3359"/>
      <c r="BY3359"/>
      <c r="BZ3359"/>
    </row>
    <row r="3360" spans="8:78" x14ac:dyDescent="0.2">
      <c r="H3360"/>
      <c r="L3360"/>
      <c r="AK3360"/>
      <c r="BU3360"/>
      <c r="BV3360"/>
      <c r="BX3360"/>
      <c r="BY3360"/>
      <c r="BZ3360"/>
    </row>
    <row r="3361" spans="8:78" x14ac:dyDescent="0.2">
      <c r="H3361"/>
      <c r="L3361"/>
      <c r="AK3361"/>
      <c r="BU3361"/>
      <c r="BV3361"/>
      <c r="BX3361"/>
      <c r="BY3361"/>
      <c r="BZ3361"/>
    </row>
    <row r="3362" spans="8:78" x14ac:dyDescent="0.2">
      <c r="H3362"/>
      <c r="L3362"/>
      <c r="AK3362"/>
      <c r="BU3362"/>
      <c r="BV3362"/>
      <c r="BX3362"/>
      <c r="BY3362"/>
      <c r="BZ3362"/>
    </row>
    <row r="3363" spans="8:78" x14ac:dyDescent="0.2">
      <c r="H3363"/>
      <c r="L3363"/>
      <c r="AK3363"/>
      <c r="BU3363"/>
      <c r="BV3363"/>
      <c r="BX3363"/>
      <c r="BY3363"/>
      <c r="BZ3363"/>
    </row>
    <row r="3364" spans="8:78" x14ac:dyDescent="0.2">
      <c r="H3364"/>
      <c r="L3364"/>
      <c r="AK3364"/>
      <c r="BU3364"/>
      <c r="BV3364"/>
      <c r="BX3364"/>
      <c r="BY3364"/>
      <c r="BZ3364"/>
    </row>
    <row r="3365" spans="8:78" x14ac:dyDescent="0.2">
      <c r="H3365"/>
      <c r="L3365"/>
      <c r="AK3365"/>
      <c r="BU3365"/>
      <c r="BV3365"/>
      <c r="BX3365"/>
      <c r="BY3365"/>
      <c r="BZ3365"/>
    </row>
    <row r="3366" spans="8:78" x14ac:dyDescent="0.2">
      <c r="H3366"/>
      <c r="L3366"/>
      <c r="AK3366"/>
      <c r="BU3366"/>
      <c r="BV3366"/>
      <c r="BX3366"/>
      <c r="BY3366"/>
      <c r="BZ3366"/>
    </row>
    <row r="3367" spans="8:78" x14ac:dyDescent="0.2">
      <c r="H3367"/>
      <c r="L3367"/>
      <c r="AK3367"/>
      <c r="BU3367"/>
      <c r="BV3367"/>
      <c r="BX3367"/>
      <c r="BY3367"/>
      <c r="BZ3367"/>
    </row>
    <row r="3368" spans="8:78" x14ac:dyDescent="0.2">
      <c r="H3368"/>
      <c r="L3368"/>
      <c r="BU3368"/>
      <c r="BV3368"/>
      <c r="BX3368"/>
      <c r="BY3368"/>
      <c r="BZ3368"/>
    </row>
    <row r="3369" spans="8:78" x14ac:dyDescent="0.2">
      <c r="H3369"/>
      <c r="L3369"/>
      <c r="BU3369"/>
      <c r="BV3369"/>
      <c r="BX3369"/>
      <c r="BY3369"/>
      <c r="BZ3369"/>
    </row>
    <row r="3370" spans="8:78" x14ac:dyDescent="0.2">
      <c r="H3370"/>
      <c r="L3370"/>
      <c r="AK3370"/>
      <c r="BU3370"/>
      <c r="BV3370"/>
      <c r="BX3370"/>
      <c r="BY3370"/>
      <c r="BZ3370"/>
    </row>
    <row r="3371" spans="8:78" x14ac:dyDescent="0.2">
      <c r="H3371"/>
      <c r="L3371"/>
      <c r="AK3371"/>
      <c r="BU3371"/>
      <c r="BV3371"/>
      <c r="BX3371"/>
      <c r="BY3371"/>
      <c r="BZ3371"/>
    </row>
    <row r="3372" spans="8:78" x14ac:dyDescent="0.2">
      <c r="H3372"/>
      <c r="L3372"/>
      <c r="AK3372"/>
      <c r="BU3372"/>
      <c r="BV3372"/>
      <c r="BX3372"/>
      <c r="BY3372"/>
      <c r="BZ3372"/>
    </row>
    <row r="3373" spans="8:78" x14ac:dyDescent="0.2">
      <c r="H3373"/>
      <c r="L3373"/>
      <c r="AK3373"/>
      <c r="BU3373"/>
      <c r="BV3373"/>
      <c r="BX3373"/>
      <c r="BY3373"/>
      <c r="BZ3373"/>
    </row>
    <row r="3374" spans="8:78" x14ac:dyDescent="0.2">
      <c r="H3374"/>
      <c r="L3374"/>
      <c r="BU3374"/>
      <c r="BV3374"/>
      <c r="BX3374"/>
      <c r="BY3374"/>
      <c r="BZ3374"/>
    </row>
    <row r="3375" spans="8:78" x14ac:dyDescent="0.2">
      <c r="H3375"/>
      <c r="L3375"/>
      <c r="BU3375"/>
      <c r="BV3375"/>
      <c r="BX3375"/>
      <c r="BY3375"/>
      <c r="BZ3375"/>
    </row>
    <row r="3376" spans="8:78" x14ac:dyDescent="0.2">
      <c r="H3376"/>
      <c r="L3376"/>
      <c r="BU3376"/>
      <c r="BV3376"/>
      <c r="BX3376"/>
      <c r="BY3376"/>
      <c r="BZ3376"/>
    </row>
    <row r="3377" spans="8:78" x14ac:dyDescent="0.2">
      <c r="H3377"/>
      <c r="L3377"/>
      <c r="AK3377"/>
      <c r="BU3377"/>
      <c r="BV3377"/>
      <c r="BX3377"/>
      <c r="BY3377"/>
      <c r="BZ3377"/>
    </row>
    <row r="3378" spans="8:78" x14ac:dyDescent="0.2">
      <c r="H3378"/>
      <c r="L3378"/>
      <c r="AK3378"/>
      <c r="BU3378"/>
      <c r="BV3378"/>
      <c r="BX3378"/>
      <c r="BY3378"/>
      <c r="BZ3378"/>
    </row>
    <row r="3379" spans="8:78" x14ac:dyDescent="0.2">
      <c r="H3379"/>
      <c r="L3379"/>
      <c r="AK3379"/>
      <c r="BU3379"/>
      <c r="BV3379"/>
      <c r="BX3379"/>
      <c r="BY3379"/>
      <c r="BZ3379"/>
    </row>
    <row r="3380" spans="8:78" x14ac:dyDescent="0.2">
      <c r="AK3380"/>
      <c r="BZ3380"/>
    </row>
    <row r="3381" spans="8:78" x14ac:dyDescent="0.2">
      <c r="AK3381"/>
      <c r="BZ3381"/>
    </row>
    <row r="3382" spans="8:78" x14ac:dyDescent="0.2">
      <c r="AK3382"/>
      <c r="BZ3382"/>
    </row>
    <row r="3383" spans="8:78" x14ac:dyDescent="0.2">
      <c r="AK3383"/>
      <c r="BZ3383"/>
    </row>
    <row r="3384" spans="8:78" x14ac:dyDescent="0.2">
      <c r="H3384"/>
      <c r="L3384"/>
      <c r="BU3384"/>
      <c r="BV3384"/>
      <c r="BX3384"/>
      <c r="BY3384"/>
      <c r="BZ3384"/>
    </row>
    <row r="3385" spans="8:78" x14ac:dyDescent="0.2">
      <c r="H3385"/>
      <c r="L3385"/>
      <c r="BU3385"/>
      <c r="BV3385"/>
      <c r="BX3385"/>
      <c r="BY3385"/>
      <c r="BZ3385"/>
    </row>
    <row r="3386" spans="8:78" x14ac:dyDescent="0.2">
      <c r="H3386"/>
      <c r="L3386"/>
      <c r="BU3386"/>
      <c r="BV3386"/>
      <c r="BX3386"/>
      <c r="BY3386"/>
      <c r="BZ3386"/>
    </row>
    <row r="3387" spans="8:78" x14ac:dyDescent="0.2">
      <c r="H3387"/>
      <c r="L3387"/>
      <c r="BU3387"/>
      <c r="BV3387"/>
      <c r="BX3387"/>
      <c r="BY3387"/>
      <c r="BZ3387"/>
    </row>
    <row r="3388" spans="8:78" x14ac:dyDescent="0.2">
      <c r="H3388"/>
      <c r="L3388"/>
      <c r="BU3388"/>
      <c r="BV3388"/>
      <c r="BX3388"/>
      <c r="BY3388"/>
      <c r="BZ3388"/>
    </row>
    <row r="3389" spans="8:78" x14ac:dyDescent="0.2">
      <c r="H3389"/>
      <c r="L3389"/>
      <c r="AK3389"/>
      <c r="BU3389"/>
      <c r="BV3389"/>
      <c r="BX3389"/>
      <c r="BY3389"/>
      <c r="BZ3389"/>
    </row>
    <row r="3390" spans="8:78" x14ac:dyDescent="0.2">
      <c r="H3390"/>
      <c r="L3390"/>
      <c r="AK3390"/>
      <c r="BU3390"/>
      <c r="BV3390"/>
      <c r="BX3390"/>
      <c r="BY3390"/>
      <c r="BZ3390"/>
    </row>
    <row r="3391" spans="8:78" x14ac:dyDescent="0.2">
      <c r="H3391"/>
      <c r="L3391"/>
      <c r="AK3391"/>
      <c r="BU3391"/>
      <c r="BV3391"/>
      <c r="BX3391"/>
      <c r="BY3391"/>
      <c r="BZ3391"/>
    </row>
    <row r="3392" spans="8:78" x14ac:dyDescent="0.2">
      <c r="H3392"/>
      <c r="L3392"/>
      <c r="AK3392"/>
      <c r="BU3392"/>
      <c r="BV3392"/>
      <c r="BX3392"/>
      <c r="BY3392"/>
      <c r="BZ3392"/>
    </row>
    <row r="3393" spans="8:78" x14ac:dyDescent="0.2">
      <c r="H3393"/>
      <c r="L3393"/>
      <c r="AK3393"/>
      <c r="BU3393"/>
      <c r="BV3393"/>
      <c r="BX3393"/>
      <c r="BY3393"/>
      <c r="BZ3393"/>
    </row>
    <row r="3394" spans="8:78" x14ac:dyDescent="0.2">
      <c r="H3394"/>
      <c r="L3394"/>
      <c r="AK3394"/>
      <c r="BU3394"/>
      <c r="BV3394"/>
      <c r="BX3394"/>
      <c r="BY3394"/>
      <c r="BZ3394"/>
    </row>
    <row r="3395" spans="8:78" x14ac:dyDescent="0.2">
      <c r="H3395"/>
      <c r="L3395"/>
      <c r="BU3395"/>
      <c r="BV3395"/>
      <c r="BX3395"/>
      <c r="BY3395"/>
      <c r="BZ3395"/>
    </row>
    <row r="3396" spans="8:78" x14ac:dyDescent="0.2">
      <c r="H3396"/>
      <c r="L3396"/>
      <c r="BU3396"/>
      <c r="BV3396"/>
      <c r="BX3396"/>
      <c r="BY3396"/>
      <c r="BZ3396"/>
    </row>
    <row r="3397" spans="8:78" x14ac:dyDescent="0.2">
      <c r="H3397"/>
      <c r="L3397"/>
      <c r="BU3397"/>
      <c r="BV3397"/>
      <c r="BX3397"/>
      <c r="BY3397"/>
      <c r="BZ3397"/>
    </row>
    <row r="3398" spans="8:78" x14ac:dyDescent="0.2">
      <c r="H3398"/>
      <c r="L3398"/>
      <c r="AK3398"/>
      <c r="BU3398"/>
      <c r="BV3398"/>
      <c r="BX3398"/>
      <c r="BY3398"/>
      <c r="BZ3398"/>
    </row>
    <row r="3399" spans="8:78" x14ac:dyDescent="0.2">
      <c r="H3399"/>
      <c r="L3399"/>
      <c r="AK3399"/>
      <c r="BU3399"/>
      <c r="BV3399"/>
      <c r="BX3399"/>
      <c r="BY3399"/>
      <c r="BZ3399"/>
    </row>
    <row r="3400" spans="8:78" x14ac:dyDescent="0.2">
      <c r="H3400"/>
      <c r="L3400"/>
      <c r="AK3400"/>
      <c r="BU3400"/>
      <c r="BV3400"/>
      <c r="BX3400"/>
      <c r="BY3400"/>
      <c r="BZ3400"/>
    </row>
    <row r="3401" spans="8:78" x14ac:dyDescent="0.2">
      <c r="H3401"/>
      <c r="L3401"/>
      <c r="AK3401"/>
      <c r="BU3401"/>
      <c r="BV3401"/>
      <c r="BX3401"/>
      <c r="BY3401"/>
      <c r="BZ3401"/>
    </row>
    <row r="3402" spans="8:78" x14ac:dyDescent="0.2">
      <c r="H3402"/>
      <c r="L3402"/>
      <c r="AK3402"/>
      <c r="BU3402"/>
      <c r="BV3402"/>
      <c r="BX3402"/>
      <c r="BY3402"/>
      <c r="BZ3402"/>
    </row>
    <row r="3403" spans="8:78" x14ac:dyDescent="0.2">
      <c r="H3403"/>
      <c r="L3403"/>
      <c r="AK3403"/>
      <c r="BU3403"/>
      <c r="BV3403"/>
      <c r="BX3403"/>
      <c r="BY3403"/>
      <c r="BZ3403"/>
    </row>
    <row r="3404" spans="8:78" x14ac:dyDescent="0.2">
      <c r="H3404"/>
      <c r="L3404"/>
      <c r="AK3404"/>
      <c r="BU3404"/>
      <c r="BV3404"/>
      <c r="BX3404"/>
      <c r="BY3404"/>
      <c r="BZ3404"/>
    </row>
    <row r="3405" spans="8:78" x14ac:dyDescent="0.2">
      <c r="H3405"/>
      <c r="L3405"/>
      <c r="BU3405"/>
      <c r="BV3405"/>
      <c r="BX3405"/>
      <c r="BY3405"/>
      <c r="BZ3405"/>
    </row>
    <row r="3406" spans="8:78" x14ac:dyDescent="0.2">
      <c r="H3406"/>
      <c r="L3406"/>
      <c r="BU3406"/>
      <c r="BV3406"/>
      <c r="BX3406"/>
      <c r="BY3406"/>
      <c r="BZ3406"/>
    </row>
    <row r="3407" spans="8:78" x14ac:dyDescent="0.2">
      <c r="H3407"/>
      <c r="L3407"/>
      <c r="BU3407"/>
      <c r="BV3407"/>
      <c r="BX3407"/>
      <c r="BY3407"/>
      <c r="BZ3407"/>
    </row>
    <row r="3408" spans="8:78" x14ac:dyDescent="0.2">
      <c r="H3408"/>
      <c r="L3408"/>
      <c r="AK3408"/>
      <c r="BU3408"/>
      <c r="BV3408"/>
      <c r="BX3408"/>
      <c r="BY3408"/>
      <c r="BZ3408"/>
    </row>
    <row r="3409" spans="8:78" x14ac:dyDescent="0.2">
      <c r="H3409"/>
      <c r="L3409"/>
      <c r="AK3409"/>
      <c r="BU3409"/>
      <c r="BV3409"/>
      <c r="BX3409"/>
      <c r="BY3409"/>
      <c r="BZ3409"/>
    </row>
    <row r="3410" spans="8:78" x14ac:dyDescent="0.2">
      <c r="H3410"/>
      <c r="L3410"/>
      <c r="AK3410"/>
      <c r="BU3410"/>
      <c r="BV3410"/>
      <c r="BX3410"/>
      <c r="BY3410"/>
      <c r="BZ3410"/>
    </row>
    <row r="3411" spans="8:78" x14ac:dyDescent="0.2">
      <c r="H3411"/>
      <c r="L3411"/>
      <c r="AK3411"/>
      <c r="BU3411"/>
      <c r="BV3411"/>
      <c r="BX3411"/>
      <c r="BY3411"/>
      <c r="BZ3411"/>
    </row>
    <row r="3412" spans="8:78" x14ac:dyDescent="0.2">
      <c r="H3412"/>
      <c r="L3412"/>
      <c r="AK3412"/>
      <c r="BU3412"/>
      <c r="BV3412"/>
      <c r="BX3412"/>
      <c r="BY3412"/>
      <c r="BZ3412"/>
    </row>
    <row r="3413" spans="8:78" x14ac:dyDescent="0.2">
      <c r="H3413"/>
      <c r="L3413"/>
      <c r="AK3413"/>
      <c r="BU3413"/>
      <c r="BV3413"/>
      <c r="BX3413"/>
      <c r="BY3413"/>
      <c r="BZ3413"/>
    </row>
    <row r="3414" spans="8:78" x14ac:dyDescent="0.2">
      <c r="AK3414"/>
      <c r="BZ3414"/>
    </row>
    <row r="3415" spans="8:78" x14ac:dyDescent="0.2">
      <c r="H3415"/>
      <c r="L3415"/>
      <c r="AK3415"/>
      <c r="BU3415"/>
      <c r="BV3415"/>
      <c r="BX3415"/>
      <c r="BY3415"/>
      <c r="BZ3415"/>
    </row>
    <row r="3416" spans="8:78" x14ac:dyDescent="0.2">
      <c r="H3416"/>
      <c r="L3416"/>
      <c r="AK3416"/>
      <c r="BU3416"/>
      <c r="BV3416"/>
      <c r="BX3416"/>
      <c r="BY3416"/>
      <c r="BZ3416"/>
    </row>
    <row r="3417" spans="8:78" x14ac:dyDescent="0.2">
      <c r="H3417"/>
      <c r="L3417"/>
      <c r="AK3417"/>
      <c r="BU3417"/>
      <c r="BV3417"/>
      <c r="BX3417"/>
      <c r="BY3417"/>
      <c r="BZ3417"/>
    </row>
    <row r="3418" spans="8:78" x14ac:dyDescent="0.2">
      <c r="H3418"/>
      <c r="L3418"/>
      <c r="AK3418"/>
      <c r="BU3418"/>
      <c r="BV3418"/>
      <c r="BX3418"/>
      <c r="BY3418"/>
      <c r="BZ3418"/>
    </row>
    <row r="3419" spans="8:78" x14ac:dyDescent="0.2">
      <c r="H3419"/>
      <c r="L3419"/>
      <c r="AK3419"/>
      <c r="BU3419"/>
      <c r="BV3419"/>
      <c r="BX3419"/>
      <c r="BY3419"/>
      <c r="BZ3419"/>
    </row>
    <row r="3420" spans="8:78" x14ac:dyDescent="0.2">
      <c r="H3420"/>
      <c r="L3420"/>
      <c r="AK3420"/>
      <c r="BU3420"/>
      <c r="BV3420"/>
      <c r="BX3420"/>
      <c r="BY3420"/>
      <c r="BZ3420"/>
    </row>
    <row r="3421" spans="8:78" x14ac:dyDescent="0.2">
      <c r="H3421"/>
      <c r="L3421"/>
      <c r="BU3421"/>
      <c r="BV3421"/>
      <c r="BX3421"/>
      <c r="BY3421"/>
      <c r="BZ3421"/>
    </row>
    <row r="3422" spans="8:78" x14ac:dyDescent="0.2">
      <c r="H3422"/>
      <c r="L3422"/>
      <c r="BU3422"/>
      <c r="BV3422"/>
      <c r="BX3422"/>
      <c r="BY3422"/>
      <c r="BZ3422"/>
    </row>
    <row r="3423" spans="8:78" x14ac:dyDescent="0.2">
      <c r="H3423"/>
      <c r="L3423"/>
      <c r="BU3423"/>
      <c r="BV3423"/>
      <c r="BX3423"/>
      <c r="BY3423"/>
      <c r="BZ3423"/>
    </row>
    <row r="3424" spans="8:78" x14ac:dyDescent="0.2">
      <c r="H3424"/>
      <c r="L3424"/>
      <c r="BU3424"/>
      <c r="BV3424"/>
      <c r="BX3424"/>
      <c r="BY3424"/>
      <c r="BZ3424"/>
    </row>
    <row r="3425" spans="8:78" x14ac:dyDescent="0.2">
      <c r="H3425"/>
      <c r="L3425"/>
      <c r="BU3425"/>
      <c r="BV3425"/>
      <c r="BX3425"/>
      <c r="BY3425"/>
      <c r="BZ3425"/>
    </row>
    <row r="3426" spans="8:78" x14ac:dyDescent="0.2">
      <c r="H3426"/>
      <c r="L3426"/>
      <c r="AK3426"/>
      <c r="BU3426"/>
      <c r="BV3426"/>
      <c r="BX3426"/>
      <c r="BY3426"/>
      <c r="BZ3426"/>
    </row>
    <row r="3427" spans="8:78" x14ac:dyDescent="0.2">
      <c r="H3427"/>
      <c r="L3427"/>
      <c r="AK3427"/>
      <c r="BU3427"/>
      <c r="BV3427"/>
      <c r="BX3427"/>
      <c r="BY3427"/>
      <c r="BZ3427"/>
    </row>
    <row r="3428" spans="8:78" x14ac:dyDescent="0.2">
      <c r="H3428"/>
      <c r="L3428"/>
      <c r="BU3428"/>
      <c r="BV3428"/>
      <c r="BX3428"/>
      <c r="BY3428"/>
      <c r="BZ3428"/>
    </row>
    <row r="3429" spans="8:78" x14ac:dyDescent="0.2">
      <c r="H3429"/>
      <c r="L3429"/>
      <c r="AK3429"/>
      <c r="BU3429"/>
      <c r="BV3429"/>
      <c r="BX3429"/>
      <c r="BY3429"/>
      <c r="BZ3429"/>
    </row>
    <row r="3430" spans="8:78" x14ac:dyDescent="0.2">
      <c r="H3430"/>
      <c r="L3430"/>
      <c r="BU3430"/>
      <c r="BV3430"/>
      <c r="BX3430"/>
      <c r="BY3430"/>
      <c r="BZ3430"/>
    </row>
    <row r="3431" spans="8:78" x14ac:dyDescent="0.2">
      <c r="H3431"/>
      <c r="L3431"/>
      <c r="BU3431"/>
      <c r="BV3431"/>
      <c r="BX3431"/>
      <c r="BY3431"/>
      <c r="BZ3431"/>
    </row>
    <row r="3432" spans="8:78" x14ac:dyDescent="0.2">
      <c r="H3432"/>
      <c r="L3432"/>
      <c r="AK3432"/>
      <c r="BU3432"/>
      <c r="BV3432"/>
      <c r="BX3432"/>
      <c r="BY3432"/>
      <c r="BZ3432"/>
    </row>
    <row r="3433" spans="8:78" x14ac:dyDescent="0.2">
      <c r="H3433"/>
      <c r="L3433"/>
      <c r="AK3433"/>
      <c r="BU3433"/>
      <c r="BV3433"/>
      <c r="BX3433"/>
      <c r="BY3433"/>
      <c r="BZ3433"/>
    </row>
    <row r="3434" spans="8:78" x14ac:dyDescent="0.2">
      <c r="H3434"/>
      <c r="L3434"/>
      <c r="AK3434"/>
      <c r="BU3434"/>
      <c r="BV3434"/>
      <c r="BX3434"/>
      <c r="BY3434"/>
      <c r="BZ3434"/>
    </row>
    <row r="3435" spans="8:78" x14ac:dyDescent="0.2">
      <c r="H3435"/>
      <c r="L3435"/>
      <c r="AK3435"/>
      <c r="BU3435"/>
      <c r="BV3435"/>
      <c r="BX3435"/>
      <c r="BY3435"/>
      <c r="BZ3435"/>
    </row>
    <row r="3436" spans="8:78" x14ac:dyDescent="0.2">
      <c r="H3436"/>
      <c r="L3436"/>
      <c r="AK3436"/>
      <c r="BU3436"/>
      <c r="BV3436"/>
      <c r="BX3436"/>
      <c r="BY3436"/>
      <c r="BZ3436"/>
    </row>
    <row r="3437" spans="8:78" x14ac:dyDescent="0.2">
      <c r="H3437"/>
      <c r="L3437"/>
      <c r="BU3437"/>
      <c r="BV3437"/>
      <c r="BX3437"/>
      <c r="BY3437"/>
      <c r="BZ3437"/>
    </row>
    <row r="3438" spans="8:78" x14ac:dyDescent="0.2">
      <c r="BZ3438"/>
    </row>
    <row r="3439" spans="8:78" x14ac:dyDescent="0.2">
      <c r="H3439"/>
      <c r="L3439"/>
      <c r="BU3439"/>
      <c r="BV3439"/>
      <c r="BX3439"/>
      <c r="BY3439"/>
      <c r="BZ3439"/>
    </row>
    <row r="3440" spans="8:78" x14ac:dyDescent="0.2">
      <c r="H3440"/>
      <c r="L3440"/>
      <c r="BU3440"/>
      <c r="BV3440"/>
      <c r="BX3440"/>
      <c r="BY3440"/>
      <c r="BZ3440"/>
    </row>
    <row r="3441" spans="8:78" x14ac:dyDescent="0.2">
      <c r="H3441"/>
      <c r="L3441"/>
      <c r="BU3441"/>
      <c r="BV3441"/>
      <c r="BX3441"/>
      <c r="BY3441"/>
      <c r="BZ3441"/>
    </row>
    <row r="3442" spans="8:78" x14ac:dyDescent="0.2">
      <c r="H3442"/>
      <c r="L3442"/>
      <c r="AK3442"/>
      <c r="BU3442"/>
      <c r="BV3442"/>
      <c r="BX3442"/>
      <c r="BY3442"/>
      <c r="BZ3442"/>
    </row>
    <row r="3443" spans="8:78" x14ac:dyDescent="0.2">
      <c r="H3443"/>
      <c r="L3443"/>
      <c r="AK3443"/>
      <c r="BU3443"/>
      <c r="BV3443"/>
      <c r="BX3443"/>
      <c r="BY3443"/>
      <c r="BZ3443"/>
    </row>
    <row r="3444" spans="8:78" x14ac:dyDescent="0.2">
      <c r="H3444"/>
      <c r="L3444"/>
      <c r="AK3444"/>
      <c r="BU3444"/>
      <c r="BV3444"/>
      <c r="BX3444"/>
      <c r="BY3444"/>
      <c r="BZ3444"/>
    </row>
    <row r="3445" spans="8:78" x14ac:dyDescent="0.2">
      <c r="H3445"/>
      <c r="L3445"/>
      <c r="AK3445"/>
      <c r="BU3445"/>
      <c r="BV3445"/>
      <c r="BX3445"/>
      <c r="BY3445"/>
      <c r="BZ3445"/>
    </row>
    <row r="3446" spans="8:78" x14ac:dyDescent="0.2">
      <c r="AK3446"/>
      <c r="BZ3446"/>
    </row>
    <row r="3447" spans="8:78" x14ac:dyDescent="0.2">
      <c r="AK3447"/>
      <c r="BZ3447"/>
    </row>
    <row r="3448" spans="8:78" x14ac:dyDescent="0.2">
      <c r="AK3448"/>
      <c r="BZ3448"/>
    </row>
    <row r="3449" spans="8:78" x14ac:dyDescent="0.2">
      <c r="AK3449"/>
      <c r="BZ3449"/>
    </row>
    <row r="3450" spans="8:78" x14ac:dyDescent="0.2">
      <c r="AK3450"/>
      <c r="BZ3450"/>
    </row>
    <row r="3451" spans="8:78" x14ac:dyDescent="0.2">
      <c r="H3451"/>
      <c r="L3451"/>
      <c r="AK3451"/>
      <c r="BU3451"/>
      <c r="BV3451"/>
      <c r="BX3451"/>
      <c r="BY3451"/>
      <c r="BZ3451"/>
    </row>
    <row r="3452" spans="8:78" x14ac:dyDescent="0.2">
      <c r="H3452"/>
      <c r="L3452"/>
      <c r="BU3452"/>
      <c r="BV3452"/>
      <c r="BX3452"/>
      <c r="BY3452"/>
      <c r="BZ3452"/>
    </row>
    <row r="3453" spans="8:78" x14ac:dyDescent="0.2">
      <c r="BZ3453"/>
    </row>
    <row r="3454" spans="8:78" x14ac:dyDescent="0.2">
      <c r="BZ3454"/>
    </row>
    <row r="3455" spans="8:78" x14ac:dyDescent="0.2">
      <c r="BZ3455"/>
    </row>
    <row r="3456" spans="8:78" x14ac:dyDescent="0.2">
      <c r="AK3456"/>
      <c r="BZ3456"/>
    </row>
    <row r="3457" spans="8:78" x14ac:dyDescent="0.2">
      <c r="BZ3457"/>
    </row>
    <row r="3458" spans="8:78" x14ac:dyDescent="0.2">
      <c r="AK3458"/>
      <c r="BZ3458"/>
    </row>
    <row r="3459" spans="8:78" x14ac:dyDescent="0.2">
      <c r="BZ3459"/>
    </row>
    <row r="3460" spans="8:78" x14ac:dyDescent="0.2">
      <c r="BZ3460"/>
    </row>
    <row r="3461" spans="8:78" x14ac:dyDescent="0.2">
      <c r="H3461"/>
      <c r="L3461"/>
      <c r="BU3461"/>
      <c r="BV3461"/>
      <c r="BX3461"/>
      <c r="BY3461"/>
      <c r="BZ3461"/>
    </row>
    <row r="3462" spans="8:78" x14ac:dyDescent="0.2">
      <c r="H3462"/>
      <c r="L3462"/>
      <c r="BU3462"/>
      <c r="BV3462"/>
      <c r="BX3462"/>
      <c r="BY3462"/>
      <c r="BZ3462"/>
    </row>
    <row r="3463" spans="8:78" x14ac:dyDescent="0.2">
      <c r="H3463"/>
      <c r="L3463"/>
      <c r="BU3463"/>
      <c r="BV3463"/>
      <c r="BX3463"/>
      <c r="BY3463"/>
      <c r="BZ3463"/>
    </row>
    <row r="3464" spans="8:78" x14ac:dyDescent="0.2">
      <c r="H3464"/>
      <c r="L3464"/>
      <c r="BU3464"/>
      <c r="BV3464"/>
      <c r="BX3464"/>
      <c r="BY3464"/>
      <c r="BZ3464"/>
    </row>
    <row r="3465" spans="8:78" x14ac:dyDescent="0.2">
      <c r="H3465"/>
      <c r="L3465"/>
      <c r="BU3465"/>
      <c r="BV3465"/>
      <c r="BX3465"/>
      <c r="BY3465"/>
      <c r="BZ3465"/>
    </row>
    <row r="3466" spans="8:78" x14ac:dyDescent="0.2">
      <c r="H3466"/>
      <c r="L3466"/>
      <c r="BU3466"/>
      <c r="BV3466"/>
      <c r="BX3466"/>
      <c r="BY3466"/>
      <c r="BZ3466"/>
    </row>
    <row r="3467" spans="8:78" x14ac:dyDescent="0.2">
      <c r="H3467"/>
      <c r="L3467"/>
      <c r="AK3467"/>
      <c r="BU3467"/>
      <c r="BV3467"/>
      <c r="BX3467"/>
      <c r="BY3467"/>
      <c r="BZ3467"/>
    </row>
    <row r="3468" spans="8:78" x14ac:dyDescent="0.2">
      <c r="H3468"/>
      <c r="L3468"/>
      <c r="AK3468"/>
      <c r="BU3468"/>
      <c r="BV3468"/>
      <c r="BX3468"/>
      <c r="BY3468"/>
      <c r="BZ3468"/>
    </row>
    <row r="3469" spans="8:78" x14ac:dyDescent="0.2">
      <c r="H3469"/>
      <c r="L3469"/>
      <c r="AK3469"/>
      <c r="BU3469"/>
      <c r="BV3469"/>
      <c r="BX3469"/>
      <c r="BY3469"/>
      <c r="BZ3469"/>
    </row>
    <row r="3470" spans="8:78" x14ac:dyDescent="0.2">
      <c r="H3470"/>
      <c r="L3470"/>
      <c r="AK3470"/>
      <c r="BU3470"/>
      <c r="BV3470"/>
      <c r="BX3470"/>
      <c r="BY3470"/>
      <c r="BZ3470"/>
    </row>
    <row r="3471" spans="8:78" x14ac:dyDescent="0.2">
      <c r="H3471"/>
      <c r="L3471"/>
      <c r="AK3471"/>
      <c r="BU3471"/>
      <c r="BV3471"/>
      <c r="BX3471"/>
      <c r="BY3471"/>
      <c r="BZ3471"/>
    </row>
    <row r="3472" spans="8:78" x14ac:dyDescent="0.2">
      <c r="H3472"/>
      <c r="L3472"/>
      <c r="AK3472"/>
      <c r="BU3472"/>
      <c r="BV3472"/>
      <c r="BX3472"/>
      <c r="BY3472"/>
      <c r="BZ3472"/>
    </row>
    <row r="3473" spans="8:78" x14ac:dyDescent="0.2">
      <c r="AK3473"/>
      <c r="BZ3473"/>
    </row>
    <row r="3474" spans="8:78" x14ac:dyDescent="0.2">
      <c r="AK3474"/>
      <c r="BZ3474"/>
    </row>
    <row r="3475" spans="8:78" x14ac:dyDescent="0.2">
      <c r="BZ3475"/>
    </row>
    <row r="3476" spans="8:78" x14ac:dyDescent="0.2">
      <c r="BZ3476"/>
    </row>
    <row r="3477" spans="8:78" x14ac:dyDescent="0.2">
      <c r="H3477"/>
      <c r="L3477"/>
      <c r="BU3477"/>
      <c r="BV3477"/>
      <c r="BX3477"/>
      <c r="BY3477"/>
      <c r="BZ3477"/>
    </row>
    <row r="3478" spans="8:78" x14ac:dyDescent="0.2">
      <c r="H3478"/>
      <c r="L3478"/>
      <c r="BU3478"/>
      <c r="BV3478"/>
      <c r="BX3478"/>
      <c r="BY3478"/>
      <c r="BZ3478"/>
    </row>
    <row r="3479" spans="8:78" x14ac:dyDescent="0.2">
      <c r="H3479"/>
      <c r="L3479"/>
      <c r="BU3479"/>
      <c r="BV3479"/>
      <c r="BX3479"/>
      <c r="BY3479"/>
      <c r="BZ3479"/>
    </row>
    <row r="3480" spans="8:78" x14ac:dyDescent="0.2">
      <c r="BZ3480"/>
    </row>
    <row r="3481" spans="8:78" x14ac:dyDescent="0.2">
      <c r="H3481"/>
      <c r="L3481"/>
      <c r="BU3481"/>
      <c r="BV3481"/>
      <c r="BX3481"/>
      <c r="BY3481"/>
      <c r="BZ3481"/>
    </row>
    <row r="3482" spans="8:78" x14ac:dyDescent="0.2">
      <c r="BZ3482"/>
    </row>
    <row r="3483" spans="8:78" x14ac:dyDescent="0.2">
      <c r="H3483"/>
      <c r="L3483"/>
      <c r="BU3483"/>
      <c r="BV3483"/>
      <c r="BX3483"/>
      <c r="BY3483"/>
      <c r="BZ3483"/>
    </row>
    <row r="3484" spans="8:78" x14ac:dyDescent="0.2">
      <c r="H3484"/>
      <c r="L3484"/>
      <c r="BU3484"/>
      <c r="BV3484"/>
      <c r="BX3484"/>
      <c r="BY3484"/>
      <c r="BZ3484"/>
    </row>
    <row r="3485" spans="8:78" x14ac:dyDescent="0.2">
      <c r="H3485"/>
      <c r="L3485"/>
      <c r="BU3485"/>
      <c r="BV3485"/>
      <c r="BX3485"/>
      <c r="BY3485"/>
      <c r="BZ3485"/>
    </row>
    <row r="3486" spans="8:78" x14ac:dyDescent="0.2">
      <c r="H3486"/>
      <c r="L3486"/>
      <c r="BU3486"/>
      <c r="BV3486"/>
      <c r="BX3486"/>
      <c r="BY3486"/>
      <c r="BZ3486"/>
    </row>
    <row r="3487" spans="8:78" x14ac:dyDescent="0.2">
      <c r="H3487"/>
      <c r="L3487"/>
      <c r="AK3487"/>
      <c r="BU3487"/>
      <c r="BV3487"/>
      <c r="BX3487"/>
      <c r="BY3487"/>
      <c r="BZ3487"/>
    </row>
    <row r="3488" spans="8:78" x14ac:dyDescent="0.2">
      <c r="H3488"/>
      <c r="L3488"/>
      <c r="AK3488"/>
      <c r="BU3488"/>
      <c r="BV3488"/>
      <c r="BX3488"/>
      <c r="BY3488"/>
      <c r="BZ3488"/>
    </row>
    <row r="3489" spans="8:78" x14ac:dyDescent="0.2">
      <c r="H3489"/>
      <c r="L3489"/>
      <c r="BU3489"/>
      <c r="BV3489"/>
      <c r="BX3489"/>
      <c r="BY3489"/>
      <c r="BZ3489"/>
    </row>
    <row r="3490" spans="8:78" x14ac:dyDescent="0.2">
      <c r="H3490"/>
      <c r="L3490"/>
      <c r="BU3490"/>
      <c r="BV3490"/>
      <c r="BX3490"/>
      <c r="BY3490"/>
      <c r="BZ3490"/>
    </row>
    <row r="3491" spans="8:78" x14ac:dyDescent="0.2">
      <c r="AK3491"/>
      <c r="BZ3491"/>
    </row>
    <row r="3492" spans="8:78" x14ac:dyDescent="0.2">
      <c r="H3492"/>
      <c r="L3492"/>
      <c r="AK3492"/>
      <c r="BU3492"/>
      <c r="BV3492"/>
      <c r="BX3492"/>
      <c r="BY3492"/>
      <c r="BZ3492"/>
    </row>
    <row r="3493" spans="8:78" x14ac:dyDescent="0.2">
      <c r="H3493"/>
      <c r="L3493"/>
      <c r="AK3493"/>
      <c r="BU3493"/>
      <c r="BV3493"/>
      <c r="BX3493"/>
      <c r="BY3493"/>
      <c r="BZ3493"/>
    </row>
    <row r="3494" spans="8:78" x14ac:dyDescent="0.2">
      <c r="H3494"/>
      <c r="L3494"/>
      <c r="AK3494"/>
      <c r="BU3494"/>
      <c r="BV3494"/>
      <c r="BX3494"/>
      <c r="BY3494"/>
      <c r="BZ3494"/>
    </row>
    <row r="3495" spans="8:78" x14ac:dyDescent="0.2">
      <c r="H3495"/>
      <c r="L3495"/>
      <c r="AK3495"/>
      <c r="BU3495"/>
      <c r="BV3495"/>
      <c r="BX3495"/>
      <c r="BY3495"/>
      <c r="BZ3495"/>
    </row>
    <row r="3496" spans="8:78" x14ac:dyDescent="0.2">
      <c r="H3496"/>
      <c r="L3496"/>
      <c r="BU3496"/>
      <c r="BV3496"/>
      <c r="BX3496"/>
      <c r="BY3496"/>
      <c r="BZ3496"/>
    </row>
    <row r="3497" spans="8:78" x14ac:dyDescent="0.2">
      <c r="H3497"/>
      <c r="L3497"/>
      <c r="BU3497"/>
      <c r="BV3497"/>
      <c r="BX3497"/>
      <c r="BY3497"/>
      <c r="BZ3497"/>
    </row>
    <row r="3498" spans="8:78" x14ac:dyDescent="0.2">
      <c r="H3498"/>
      <c r="L3498"/>
      <c r="BU3498"/>
      <c r="BV3498"/>
      <c r="BX3498"/>
      <c r="BY3498"/>
      <c r="BZ3498"/>
    </row>
    <row r="3499" spans="8:78" x14ac:dyDescent="0.2">
      <c r="H3499"/>
      <c r="L3499"/>
      <c r="BU3499"/>
      <c r="BV3499"/>
      <c r="BX3499"/>
      <c r="BY3499"/>
      <c r="BZ3499"/>
    </row>
    <row r="3500" spans="8:78" x14ac:dyDescent="0.2">
      <c r="H3500"/>
      <c r="L3500"/>
      <c r="BU3500"/>
      <c r="BV3500"/>
      <c r="BX3500"/>
      <c r="BY3500"/>
      <c r="BZ3500"/>
    </row>
    <row r="3501" spans="8:78" x14ac:dyDescent="0.2">
      <c r="H3501"/>
      <c r="L3501"/>
      <c r="BU3501"/>
      <c r="BV3501"/>
      <c r="BX3501"/>
      <c r="BY3501"/>
      <c r="BZ3501"/>
    </row>
    <row r="3502" spans="8:78" x14ac:dyDescent="0.2">
      <c r="H3502"/>
      <c r="L3502"/>
      <c r="BU3502"/>
      <c r="BV3502"/>
      <c r="BX3502"/>
      <c r="BY3502"/>
      <c r="BZ3502"/>
    </row>
    <row r="3503" spans="8:78" x14ac:dyDescent="0.2">
      <c r="H3503"/>
      <c r="L3503"/>
      <c r="BU3503"/>
      <c r="BV3503"/>
      <c r="BX3503"/>
      <c r="BY3503"/>
      <c r="BZ3503"/>
    </row>
    <row r="3504" spans="8:78" x14ac:dyDescent="0.2">
      <c r="BZ3504"/>
    </row>
    <row r="3505" spans="8:78" x14ac:dyDescent="0.2">
      <c r="BZ3505"/>
    </row>
    <row r="3506" spans="8:78" x14ac:dyDescent="0.2">
      <c r="BZ3506"/>
    </row>
    <row r="3507" spans="8:78" x14ac:dyDescent="0.2">
      <c r="BZ3507"/>
    </row>
    <row r="3508" spans="8:78" x14ac:dyDescent="0.2">
      <c r="H3508"/>
      <c r="L3508"/>
      <c r="BU3508"/>
      <c r="BV3508"/>
      <c r="BX3508"/>
      <c r="BY3508"/>
      <c r="BZ3508"/>
    </row>
    <row r="3509" spans="8:78" x14ac:dyDescent="0.2">
      <c r="H3509"/>
      <c r="L3509"/>
      <c r="BU3509"/>
      <c r="BV3509"/>
      <c r="BX3509"/>
      <c r="BY3509"/>
      <c r="BZ3509"/>
    </row>
    <row r="3510" spans="8:78" x14ac:dyDescent="0.2">
      <c r="H3510"/>
      <c r="L3510"/>
      <c r="BU3510"/>
      <c r="BV3510"/>
      <c r="BX3510"/>
      <c r="BY3510"/>
      <c r="BZ3510"/>
    </row>
    <row r="3511" spans="8:78" x14ac:dyDescent="0.2">
      <c r="H3511"/>
      <c r="L3511"/>
      <c r="AK3511"/>
      <c r="BU3511"/>
      <c r="BV3511"/>
      <c r="BX3511"/>
      <c r="BY3511"/>
      <c r="BZ3511"/>
    </row>
    <row r="3512" spans="8:78" x14ac:dyDescent="0.2">
      <c r="H3512"/>
      <c r="L3512"/>
      <c r="AK3512"/>
      <c r="BU3512"/>
      <c r="BV3512"/>
      <c r="BX3512"/>
      <c r="BY3512"/>
      <c r="BZ3512"/>
    </row>
    <row r="3513" spans="8:78" x14ac:dyDescent="0.2">
      <c r="H3513"/>
      <c r="L3513"/>
      <c r="AK3513"/>
      <c r="BU3513"/>
      <c r="BV3513"/>
      <c r="BX3513"/>
      <c r="BY3513"/>
      <c r="BZ3513"/>
    </row>
    <row r="3514" spans="8:78" x14ac:dyDescent="0.2">
      <c r="H3514"/>
      <c r="L3514"/>
      <c r="AK3514"/>
      <c r="BU3514"/>
      <c r="BV3514"/>
      <c r="BX3514"/>
      <c r="BY3514"/>
      <c r="BZ3514"/>
    </row>
    <row r="3515" spans="8:78" x14ac:dyDescent="0.2">
      <c r="H3515"/>
      <c r="L3515"/>
      <c r="AK3515"/>
      <c r="BU3515"/>
      <c r="BV3515"/>
      <c r="BX3515"/>
      <c r="BY3515"/>
      <c r="BZ3515"/>
    </row>
    <row r="3516" spans="8:78" x14ac:dyDescent="0.2">
      <c r="AK3516"/>
      <c r="BZ3516"/>
    </row>
    <row r="3517" spans="8:78" x14ac:dyDescent="0.2">
      <c r="H3517"/>
      <c r="L3517"/>
      <c r="BU3517"/>
      <c r="BV3517"/>
      <c r="BX3517"/>
      <c r="BY3517"/>
      <c r="BZ3517"/>
    </row>
    <row r="3518" spans="8:78" x14ac:dyDescent="0.2">
      <c r="H3518"/>
      <c r="L3518"/>
      <c r="BU3518"/>
      <c r="BV3518"/>
      <c r="BX3518"/>
      <c r="BY3518"/>
      <c r="BZ3518"/>
    </row>
    <row r="3519" spans="8:78" x14ac:dyDescent="0.2">
      <c r="H3519"/>
      <c r="L3519"/>
      <c r="BU3519"/>
      <c r="BV3519"/>
      <c r="BX3519"/>
      <c r="BY3519"/>
      <c r="BZ3519"/>
    </row>
    <row r="3520" spans="8:78" x14ac:dyDescent="0.2">
      <c r="H3520"/>
      <c r="L3520"/>
      <c r="BU3520"/>
      <c r="BV3520"/>
      <c r="BX3520"/>
      <c r="BY3520"/>
      <c r="BZ3520"/>
    </row>
    <row r="3521" spans="8:78" x14ac:dyDescent="0.2">
      <c r="H3521"/>
      <c r="L3521"/>
      <c r="AK3521"/>
      <c r="BU3521"/>
      <c r="BV3521"/>
      <c r="BX3521"/>
      <c r="BY3521"/>
      <c r="BZ3521"/>
    </row>
    <row r="3522" spans="8:78" x14ac:dyDescent="0.2">
      <c r="H3522"/>
      <c r="L3522"/>
      <c r="BU3522"/>
      <c r="BV3522"/>
      <c r="BX3522"/>
      <c r="BY3522"/>
      <c r="BZ3522"/>
    </row>
    <row r="3523" spans="8:78" x14ac:dyDescent="0.2">
      <c r="H3523"/>
      <c r="L3523"/>
      <c r="BU3523"/>
      <c r="BV3523"/>
      <c r="BX3523"/>
      <c r="BY3523"/>
      <c r="BZ3523"/>
    </row>
    <row r="3524" spans="8:78" x14ac:dyDescent="0.2">
      <c r="H3524"/>
      <c r="L3524"/>
      <c r="BU3524"/>
      <c r="BV3524"/>
      <c r="BX3524"/>
      <c r="BY3524"/>
      <c r="BZ3524"/>
    </row>
    <row r="3525" spans="8:78" x14ac:dyDescent="0.2">
      <c r="H3525"/>
      <c r="L3525"/>
      <c r="BU3525"/>
      <c r="BV3525"/>
      <c r="BX3525"/>
      <c r="BY3525"/>
      <c r="BZ3525"/>
    </row>
    <row r="3526" spans="8:78" x14ac:dyDescent="0.2">
      <c r="H3526"/>
      <c r="L3526"/>
      <c r="BU3526"/>
      <c r="BV3526"/>
      <c r="BX3526"/>
      <c r="BY3526"/>
      <c r="BZ3526"/>
    </row>
    <row r="3527" spans="8:78" x14ac:dyDescent="0.2">
      <c r="H3527"/>
      <c r="L3527"/>
      <c r="BU3527"/>
      <c r="BV3527"/>
      <c r="BX3527"/>
      <c r="BY3527"/>
      <c r="BZ3527"/>
    </row>
    <row r="3528" spans="8:78" x14ac:dyDescent="0.2">
      <c r="H3528"/>
      <c r="L3528"/>
      <c r="BU3528"/>
      <c r="BV3528"/>
      <c r="BX3528"/>
      <c r="BY3528"/>
      <c r="BZ3528"/>
    </row>
    <row r="3529" spans="8:78" x14ac:dyDescent="0.2">
      <c r="H3529"/>
      <c r="L3529"/>
      <c r="BU3529"/>
      <c r="BV3529"/>
      <c r="BX3529"/>
      <c r="BY3529"/>
      <c r="BZ3529"/>
    </row>
    <row r="3530" spans="8:78" x14ac:dyDescent="0.2">
      <c r="H3530"/>
      <c r="L3530"/>
      <c r="BU3530"/>
      <c r="BV3530"/>
      <c r="BX3530"/>
      <c r="BY3530"/>
      <c r="BZ3530"/>
    </row>
    <row r="3531" spans="8:78" x14ac:dyDescent="0.2">
      <c r="H3531"/>
      <c r="L3531"/>
      <c r="BU3531"/>
      <c r="BV3531"/>
      <c r="BX3531"/>
      <c r="BY3531"/>
      <c r="BZ3531"/>
    </row>
    <row r="3532" spans="8:78" x14ac:dyDescent="0.2">
      <c r="H3532"/>
      <c r="L3532"/>
      <c r="BU3532"/>
      <c r="BV3532"/>
      <c r="BX3532"/>
      <c r="BY3532"/>
      <c r="BZ3532"/>
    </row>
    <row r="3533" spans="8:78" x14ac:dyDescent="0.2">
      <c r="H3533"/>
      <c r="L3533"/>
      <c r="BU3533"/>
      <c r="BV3533"/>
      <c r="BX3533"/>
      <c r="BY3533"/>
      <c r="BZ3533"/>
    </row>
    <row r="3534" spans="8:78" x14ac:dyDescent="0.2">
      <c r="H3534"/>
      <c r="L3534"/>
      <c r="BU3534"/>
      <c r="BV3534"/>
      <c r="BX3534"/>
      <c r="BY3534"/>
      <c r="BZ3534"/>
    </row>
    <row r="3535" spans="8:78" x14ac:dyDescent="0.2">
      <c r="H3535"/>
      <c r="L3535"/>
      <c r="BU3535"/>
      <c r="BV3535"/>
      <c r="BX3535"/>
      <c r="BY3535"/>
      <c r="BZ3535"/>
    </row>
    <row r="3536" spans="8:78" x14ac:dyDescent="0.2">
      <c r="H3536"/>
      <c r="L3536"/>
      <c r="BU3536"/>
      <c r="BV3536"/>
      <c r="BX3536"/>
      <c r="BY3536"/>
      <c r="BZ3536"/>
    </row>
    <row r="3537" spans="8:78" x14ac:dyDescent="0.2">
      <c r="BZ3537"/>
    </row>
    <row r="3538" spans="8:78" x14ac:dyDescent="0.2">
      <c r="BZ3538"/>
    </row>
    <row r="3539" spans="8:78" x14ac:dyDescent="0.2">
      <c r="H3539"/>
      <c r="L3539"/>
      <c r="BU3539"/>
      <c r="BV3539"/>
      <c r="BX3539"/>
      <c r="BY3539"/>
      <c r="BZ3539"/>
    </row>
    <row r="3540" spans="8:78" x14ac:dyDescent="0.2">
      <c r="H3540"/>
      <c r="L3540"/>
      <c r="BU3540"/>
      <c r="BV3540"/>
      <c r="BX3540"/>
      <c r="BY3540"/>
      <c r="BZ3540"/>
    </row>
    <row r="3541" spans="8:78" x14ac:dyDescent="0.2">
      <c r="H3541"/>
      <c r="L3541"/>
      <c r="BU3541"/>
      <c r="BV3541"/>
      <c r="BX3541"/>
      <c r="BY3541"/>
      <c r="BZ3541"/>
    </row>
    <row r="3542" spans="8:78" x14ac:dyDescent="0.2">
      <c r="H3542"/>
      <c r="L3542"/>
      <c r="BU3542"/>
      <c r="BV3542"/>
      <c r="BX3542"/>
      <c r="BY3542"/>
      <c r="BZ3542"/>
    </row>
    <row r="3543" spans="8:78" x14ac:dyDescent="0.2">
      <c r="H3543"/>
      <c r="L3543"/>
      <c r="BU3543"/>
      <c r="BV3543"/>
      <c r="BX3543"/>
      <c r="BY3543"/>
      <c r="BZ3543"/>
    </row>
    <row r="3544" spans="8:78" x14ac:dyDescent="0.2">
      <c r="H3544"/>
      <c r="L3544"/>
      <c r="BU3544"/>
      <c r="BV3544"/>
      <c r="BX3544"/>
      <c r="BY3544"/>
      <c r="BZ3544"/>
    </row>
    <row r="3545" spans="8:78" x14ac:dyDescent="0.2">
      <c r="H3545"/>
      <c r="L3545"/>
      <c r="BU3545"/>
      <c r="BV3545"/>
      <c r="BX3545"/>
      <c r="BY3545"/>
      <c r="BZ3545"/>
    </row>
    <row r="3546" spans="8:78" x14ac:dyDescent="0.2">
      <c r="H3546"/>
      <c r="L3546"/>
      <c r="BU3546"/>
      <c r="BV3546"/>
      <c r="BX3546"/>
      <c r="BY3546"/>
      <c r="BZ3546"/>
    </row>
    <row r="3547" spans="8:78" x14ac:dyDescent="0.2">
      <c r="H3547"/>
      <c r="L3547"/>
      <c r="BU3547"/>
      <c r="BV3547"/>
      <c r="BX3547"/>
      <c r="BY3547"/>
      <c r="BZ3547"/>
    </row>
    <row r="3548" spans="8:78" x14ac:dyDescent="0.2">
      <c r="H3548"/>
      <c r="L3548"/>
      <c r="BU3548"/>
      <c r="BV3548"/>
      <c r="BX3548"/>
      <c r="BY3548"/>
      <c r="BZ3548"/>
    </row>
    <row r="3549" spans="8:78" x14ac:dyDescent="0.2">
      <c r="H3549"/>
      <c r="L3549"/>
      <c r="BU3549"/>
      <c r="BV3549"/>
      <c r="BX3549"/>
      <c r="BY3549"/>
      <c r="BZ3549"/>
    </row>
    <row r="3550" spans="8:78" x14ac:dyDescent="0.2">
      <c r="H3550"/>
      <c r="L3550"/>
      <c r="BU3550"/>
      <c r="BV3550"/>
      <c r="BX3550"/>
      <c r="BY3550"/>
      <c r="BZ3550"/>
    </row>
    <row r="3551" spans="8:78" x14ac:dyDescent="0.2">
      <c r="H3551"/>
      <c r="L3551"/>
      <c r="BU3551"/>
      <c r="BV3551"/>
      <c r="BX3551"/>
      <c r="BY3551"/>
      <c r="BZ3551"/>
    </row>
    <row r="3552" spans="8:78" x14ac:dyDescent="0.2">
      <c r="H3552"/>
      <c r="L3552"/>
      <c r="BU3552"/>
      <c r="BV3552"/>
      <c r="BX3552"/>
      <c r="BY3552"/>
      <c r="BZ3552"/>
    </row>
    <row r="3553" spans="8:78" x14ac:dyDescent="0.2">
      <c r="H3553"/>
      <c r="L3553"/>
      <c r="BU3553"/>
      <c r="BV3553"/>
      <c r="BX3553"/>
      <c r="BY3553"/>
      <c r="BZ3553"/>
    </row>
    <row r="3554" spans="8:78" x14ac:dyDescent="0.2">
      <c r="H3554"/>
      <c r="L3554"/>
      <c r="BU3554"/>
      <c r="BV3554"/>
      <c r="BX3554"/>
      <c r="BY3554"/>
      <c r="BZ3554"/>
    </row>
    <row r="3555" spans="8:78" x14ac:dyDescent="0.2">
      <c r="H3555"/>
      <c r="L3555"/>
      <c r="BU3555"/>
      <c r="BV3555"/>
      <c r="BX3555"/>
      <c r="BY3555"/>
      <c r="BZ3555"/>
    </row>
    <row r="3556" spans="8:78" x14ac:dyDescent="0.2">
      <c r="H3556"/>
      <c r="L3556"/>
      <c r="BU3556"/>
      <c r="BV3556"/>
      <c r="BX3556"/>
      <c r="BY3556"/>
      <c r="BZ3556"/>
    </row>
    <row r="3557" spans="8:78" x14ac:dyDescent="0.2">
      <c r="H3557"/>
      <c r="L3557"/>
      <c r="BU3557"/>
      <c r="BV3557"/>
      <c r="BX3557"/>
      <c r="BY3557"/>
      <c r="BZ3557"/>
    </row>
    <row r="3558" spans="8:78" x14ac:dyDescent="0.2">
      <c r="H3558"/>
      <c r="L3558"/>
      <c r="BU3558"/>
      <c r="BV3558"/>
      <c r="BX3558"/>
      <c r="BY3558"/>
      <c r="BZ3558"/>
    </row>
    <row r="3559" spans="8:78" x14ac:dyDescent="0.2">
      <c r="BZ3559"/>
    </row>
    <row r="3560" spans="8:78" x14ac:dyDescent="0.2">
      <c r="BZ3560"/>
    </row>
    <row r="3561" spans="8:78" x14ac:dyDescent="0.2">
      <c r="H3561"/>
      <c r="L3561"/>
      <c r="BU3561"/>
      <c r="BV3561"/>
      <c r="BX3561"/>
      <c r="BY3561"/>
      <c r="BZ3561"/>
    </row>
    <row r="3562" spans="8:78" x14ac:dyDescent="0.2">
      <c r="BZ3562"/>
    </row>
    <row r="3563" spans="8:78" x14ac:dyDescent="0.2">
      <c r="H3563"/>
      <c r="L3563"/>
      <c r="BU3563"/>
      <c r="BV3563"/>
      <c r="BX3563"/>
      <c r="BY3563"/>
      <c r="BZ3563"/>
    </row>
    <row r="3564" spans="8:78" x14ac:dyDescent="0.2">
      <c r="BZ3564"/>
    </row>
    <row r="3565" spans="8:78" x14ac:dyDescent="0.2">
      <c r="H3565"/>
      <c r="L3565"/>
      <c r="BU3565"/>
      <c r="BV3565"/>
      <c r="BX3565"/>
      <c r="BY3565"/>
      <c r="BZ3565"/>
    </row>
    <row r="3566" spans="8:78" x14ac:dyDescent="0.2">
      <c r="H3566"/>
      <c r="L3566"/>
      <c r="BU3566"/>
      <c r="BV3566"/>
      <c r="BX3566"/>
      <c r="BY3566"/>
      <c r="BZ3566"/>
    </row>
    <row r="3567" spans="8:78" x14ac:dyDescent="0.2">
      <c r="H3567"/>
      <c r="L3567"/>
      <c r="BU3567"/>
      <c r="BV3567"/>
      <c r="BX3567"/>
      <c r="BY3567"/>
      <c r="BZ3567"/>
    </row>
    <row r="3568" spans="8:78" x14ac:dyDescent="0.2">
      <c r="H3568"/>
      <c r="L3568"/>
      <c r="BU3568"/>
      <c r="BV3568"/>
      <c r="BX3568"/>
      <c r="BY3568"/>
      <c r="BZ3568"/>
    </row>
    <row r="3569" spans="8:78" x14ac:dyDescent="0.2">
      <c r="H3569"/>
      <c r="L3569"/>
      <c r="BU3569"/>
      <c r="BV3569"/>
      <c r="BX3569"/>
      <c r="BY3569"/>
      <c r="BZ3569"/>
    </row>
    <row r="3570" spans="8:78" x14ac:dyDescent="0.2">
      <c r="H3570"/>
      <c r="L3570"/>
      <c r="BU3570"/>
      <c r="BV3570"/>
      <c r="BX3570"/>
      <c r="BY3570"/>
      <c r="BZ3570"/>
    </row>
    <row r="3571" spans="8:78" x14ac:dyDescent="0.2">
      <c r="H3571"/>
      <c r="L3571"/>
      <c r="BU3571"/>
      <c r="BV3571"/>
      <c r="BX3571"/>
      <c r="BY3571"/>
      <c r="BZ3571"/>
    </row>
    <row r="3572" spans="8:78" x14ac:dyDescent="0.2">
      <c r="H3572"/>
      <c r="L3572"/>
      <c r="AK3572"/>
      <c r="BU3572"/>
      <c r="BV3572"/>
      <c r="BX3572"/>
      <c r="BY3572"/>
      <c r="BZ3572"/>
    </row>
    <row r="3573" spans="8:78" x14ac:dyDescent="0.2">
      <c r="H3573"/>
      <c r="L3573"/>
      <c r="AK3573"/>
      <c r="BU3573"/>
      <c r="BV3573"/>
      <c r="BX3573"/>
      <c r="BY3573"/>
      <c r="BZ3573"/>
    </row>
    <row r="3574" spans="8:78" x14ac:dyDescent="0.2">
      <c r="H3574"/>
      <c r="L3574"/>
      <c r="AK3574"/>
      <c r="BU3574"/>
      <c r="BV3574"/>
      <c r="BX3574"/>
      <c r="BY3574"/>
      <c r="BZ3574"/>
    </row>
    <row r="3575" spans="8:78" x14ac:dyDescent="0.2">
      <c r="H3575"/>
      <c r="L3575"/>
      <c r="AK3575"/>
      <c r="BU3575"/>
      <c r="BV3575"/>
      <c r="BX3575"/>
      <c r="BY3575"/>
      <c r="BZ3575"/>
    </row>
    <row r="3576" spans="8:78" x14ac:dyDescent="0.2">
      <c r="H3576"/>
      <c r="L3576"/>
      <c r="AK3576"/>
      <c r="BU3576"/>
      <c r="BV3576"/>
      <c r="BX3576"/>
      <c r="BY3576"/>
      <c r="BZ3576"/>
    </row>
    <row r="3577" spans="8:78" x14ac:dyDescent="0.2">
      <c r="H3577"/>
      <c r="L3577"/>
      <c r="AK3577"/>
      <c r="BU3577"/>
      <c r="BV3577"/>
      <c r="BX3577"/>
      <c r="BY3577"/>
      <c r="BZ3577"/>
    </row>
    <row r="3578" spans="8:78" x14ac:dyDescent="0.2">
      <c r="H3578"/>
      <c r="L3578"/>
      <c r="BU3578"/>
      <c r="BV3578"/>
      <c r="BX3578"/>
      <c r="BY3578"/>
      <c r="BZ3578"/>
    </row>
    <row r="3579" spans="8:78" x14ac:dyDescent="0.2">
      <c r="H3579"/>
      <c r="L3579"/>
      <c r="BU3579"/>
      <c r="BV3579"/>
      <c r="BX3579"/>
      <c r="BY3579"/>
      <c r="BZ3579"/>
    </row>
    <row r="3580" spans="8:78" x14ac:dyDescent="0.2">
      <c r="H3580"/>
      <c r="L3580"/>
      <c r="BU3580"/>
      <c r="BV3580"/>
      <c r="BX3580"/>
      <c r="BY3580"/>
      <c r="BZ3580"/>
    </row>
    <row r="3581" spans="8:78" x14ac:dyDescent="0.2">
      <c r="H3581"/>
      <c r="L3581"/>
      <c r="BU3581"/>
      <c r="BV3581"/>
      <c r="BX3581"/>
      <c r="BY3581"/>
      <c r="BZ3581"/>
    </row>
    <row r="3582" spans="8:78" x14ac:dyDescent="0.2">
      <c r="H3582"/>
      <c r="L3582"/>
      <c r="BU3582"/>
      <c r="BV3582"/>
      <c r="BX3582"/>
      <c r="BY3582"/>
      <c r="BZ3582"/>
    </row>
    <row r="3583" spans="8:78" x14ac:dyDescent="0.2">
      <c r="H3583"/>
      <c r="L3583"/>
      <c r="BU3583"/>
      <c r="BV3583"/>
      <c r="BX3583"/>
      <c r="BY3583"/>
      <c r="BZ3583"/>
    </row>
    <row r="3584" spans="8:78" x14ac:dyDescent="0.2">
      <c r="H3584"/>
      <c r="L3584"/>
      <c r="BU3584"/>
      <c r="BV3584"/>
      <c r="BX3584"/>
      <c r="BY3584"/>
      <c r="BZ3584"/>
    </row>
    <row r="3585" spans="8:78" x14ac:dyDescent="0.2">
      <c r="H3585"/>
      <c r="L3585"/>
      <c r="BU3585"/>
      <c r="BV3585"/>
      <c r="BX3585"/>
      <c r="BY3585"/>
      <c r="BZ3585"/>
    </row>
    <row r="3586" spans="8:78" x14ac:dyDescent="0.2">
      <c r="H3586"/>
      <c r="L3586"/>
      <c r="BU3586"/>
      <c r="BV3586"/>
      <c r="BX3586"/>
      <c r="BY3586"/>
      <c r="BZ3586"/>
    </row>
    <row r="3587" spans="8:78" x14ac:dyDescent="0.2">
      <c r="H3587"/>
      <c r="L3587"/>
      <c r="BU3587"/>
      <c r="BV3587"/>
      <c r="BX3587"/>
      <c r="BY3587"/>
      <c r="BZ3587"/>
    </row>
    <row r="3588" spans="8:78" x14ac:dyDescent="0.2">
      <c r="H3588"/>
      <c r="L3588"/>
      <c r="BU3588"/>
      <c r="BV3588"/>
      <c r="BX3588"/>
      <c r="BY3588"/>
      <c r="BZ3588"/>
    </row>
    <row r="3589" spans="8:78" x14ac:dyDescent="0.2">
      <c r="H3589"/>
      <c r="L3589"/>
      <c r="AK3589"/>
      <c r="BU3589"/>
      <c r="BV3589"/>
      <c r="BX3589"/>
      <c r="BY3589"/>
      <c r="BZ3589"/>
    </row>
    <row r="3590" spans="8:78" x14ac:dyDescent="0.2">
      <c r="H3590"/>
      <c r="L3590"/>
      <c r="BU3590"/>
      <c r="BV3590"/>
      <c r="BX3590"/>
      <c r="BY3590"/>
      <c r="BZ3590"/>
    </row>
    <row r="3591" spans="8:78" x14ac:dyDescent="0.2">
      <c r="H3591"/>
      <c r="L3591"/>
      <c r="BU3591"/>
      <c r="BV3591"/>
      <c r="BX3591"/>
      <c r="BY3591"/>
      <c r="BZ3591"/>
    </row>
    <row r="3592" spans="8:78" x14ac:dyDescent="0.2">
      <c r="H3592"/>
      <c r="L3592"/>
      <c r="BU3592"/>
      <c r="BV3592"/>
      <c r="BX3592"/>
      <c r="BY3592"/>
      <c r="BZ3592"/>
    </row>
    <row r="3593" spans="8:78" x14ac:dyDescent="0.2">
      <c r="H3593"/>
      <c r="L3593"/>
      <c r="BU3593"/>
      <c r="BV3593"/>
      <c r="BX3593"/>
      <c r="BY3593"/>
      <c r="BZ3593"/>
    </row>
    <row r="3594" spans="8:78" x14ac:dyDescent="0.2">
      <c r="H3594"/>
      <c r="L3594"/>
      <c r="BU3594"/>
      <c r="BV3594"/>
      <c r="BX3594"/>
      <c r="BY3594"/>
      <c r="BZ3594"/>
    </row>
    <row r="3595" spans="8:78" x14ac:dyDescent="0.2">
      <c r="H3595"/>
      <c r="L3595"/>
      <c r="BU3595"/>
      <c r="BV3595"/>
      <c r="BX3595"/>
      <c r="BY3595"/>
      <c r="BZ3595"/>
    </row>
    <row r="3596" spans="8:78" x14ac:dyDescent="0.2">
      <c r="H3596"/>
      <c r="L3596"/>
      <c r="BU3596"/>
      <c r="BV3596"/>
      <c r="BX3596"/>
      <c r="BY3596"/>
      <c r="BZ3596"/>
    </row>
    <row r="3597" spans="8:78" x14ac:dyDescent="0.2">
      <c r="H3597"/>
      <c r="L3597"/>
      <c r="BU3597"/>
      <c r="BV3597"/>
      <c r="BX3597"/>
      <c r="BY3597"/>
      <c r="BZ3597"/>
    </row>
    <row r="3598" spans="8:78" x14ac:dyDescent="0.2">
      <c r="H3598"/>
      <c r="L3598"/>
      <c r="BU3598"/>
      <c r="BV3598"/>
      <c r="BX3598"/>
      <c r="BY3598"/>
      <c r="BZ3598"/>
    </row>
    <row r="3599" spans="8:78" x14ac:dyDescent="0.2">
      <c r="H3599"/>
      <c r="L3599"/>
      <c r="BU3599"/>
      <c r="BV3599"/>
      <c r="BX3599"/>
      <c r="BY3599"/>
      <c r="BZ3599"/>
    </row>
    <row r="3600" spans="8:78" x14ac:dyDescent="0.2">
      <c r="H3600"/>
      <c r="L3600"/>
      <c r="BU3600"/>
      <c r="BV3600"/>
      <c r="BX3600"/>
      <c r="BY3600"/>
      <c r="BZ3600"/>
    </row>
    <row r="3601" spans="8:78" x14ac:dyDescent="0.2">
      <c r="H3601"/>
      <c r="L3601"/>
      <c r="BU3601"/>
      <c r="BV3601"/>
      <c r="BX3601"/>
      <c r="BY3601"/>
      <c r="BZ3601"/>
    </row>
    <row r="3602" spans="8:78" x14ac:dyDescent="0.2">
      <c r="H3602"/>
      <c r="L3602"/>
      <c r="BU3602"/>
      <c r="BV3602"/>
      <c r="BX3602"/>
      <c r="BY3602"/>
      <c r="BZ3602"/>
    </row>
    <row r="3603" spans="8:78" x14ac:dyDescent="0.2">
      <c r="H3603"/>
      <c r="L3603"/>
      <c r="BU3603"/>
      <c r="BV3603"/>
      <c r="BX3603"/>
      <c r="BY3603"/>
      <c r="BZ3603"/>
    </row>
    <row r="3604" spans="8:78" x14ac:dyDescent="0.2">
      <c r="H3604"/>
      <c r="L3604"/>
      <c r="BU3604"/>
      <c r="BV3604"/>
      <c r="BX3604"/>
      <c r="BY3604"/>
      <c r="BZ3604"/>
    </row>
    <row r="3605" spans="8:78" x14ac:dyDescent="0.2">
      <c r="H3605"/>
      <c r="L3605"/>
      <c r="BU3605"/>
      <c r="BV3605"/>
      <c r="BX3605"/>
      <c r="BY3605"/>
      <c r="BZ3605"/>
    </row>
    <row r="3606" spans="8:78" x14ac:dyDescent="0.2">
      <c r="H3606"/>
      <c r="L3606"/>
      <c r="BU3606"/>
      <c r="BV3606"/>
      <c r="BX3606"/>
      <c r="BY3606"/>
      <c r="BZ3606"/>
    </row>
    <row r="3607" spans="8:78" x14ac:dyDescent="0.2">
      <c r="H3607"/>
      <c r="L3607"/>
      <c r="BU3607"/>
      <c r="BV3607"/>
      <c r="BX3607"/>
      <c r="BY3607"/>
      <c r="BZ3607"/>
    </row>
    <row r="3608" spans="8:78" x14ac:dyDescent="0.2">
      <c r="H3608"/>
      <c r="L3608"/>
      <c r="BU3608"/>
      <c r="BV3608"/>
      <c r="BX3608"/>
      <c r="BY3608"/>
      <c r="BZ3608"/>
    </row>
    <row r="3609" spans="8:78" x14ac:dyDescent="0.2">
      <c r="H3609"/>
      <c r="L3609"/>
      <c r="BU3609"/>
      <c r="BV3609"/>
      <c r="BX3609"/>
      <c r="BY3609"/>
      <c r="BZ3609"/>
    </row>
    <row r="3610" spans="8:78" x14ac:dyDescent="0.2">
      <c r="H3610"/>
      <c r="L3610"/>
      <c r="BU3610"/>
      <c r="BV3610"/>
      <c r="BX3610"/>
      <c r="BY3610"/>
      <c r="BZ3610"/>
    </row>
    <row r="3611" spans="8:78" x14ac:dyDescent="0.2">
      <c r="H3611"/>
      <c r="L3611"/>
      <c r="BU3611"/>
      <c r="BV3611"/>
      <c r="BX3611"/>
      <c r="BY3611"/>
      <c r="BZ3611"/>
    </row>
    <row r="3612" spans="8:78" x14ac:dyDescent="0.2">
      <c r="H3612"/>
      <c r="L3612"/>
      <c r="BU3612"/>
      <c r="BV3612"/>
      <c r="BX3612"/>
      <c r="BY3612"/>
      <c r="BZ3612"/>
    </row>
    <row r="3613" spans="8:78" x14ac:dyDescent="0.2">
      <c r="H3613"/>
      <c r="L3613"/>
      <c r="BU3613"/>
      <c r="BV3613"/>
      <c r="BX3613"/>
      <c r="BY3613"/>
      <c r="BZ3613"/>
    </row>
    <row r="3614" spans="8:78" x14ac:dyDescent="0.2">
      <c r="H3614"/>
      <c r="L3614"/>
      <c r="BU3614"/>
      <c r="BV3614"/>
      <c r="BX3614"/>
      <c r="BY3614"/>
      <c r="BZ3614"/>
    </row>
    <row r="3615" spans="8:78" x14ac:dyDescent="0.2">
      <c r="BZ3615"/>
    </row>
    <row r="3616" spans="8:78" x14ac:dyDescent="0.2">
      <c r="H3616"/>
      <c r="L3616"/>
      <c r="BU3616"/>
      <c r="BV3616"/>
      <c r="BX3616"/>
      <c r="BY3616"/>
      <c r="BZ3616"/>
    </row>
    <row r="3617" spans="8:78" x14ac:dyDescent="0.2">
      <c r="H3617"/>
      <c r="L3617"/>
      <c r="BU3617"/>
      <c r="BV3617"/>
      <c r="BX3617"/>
      <c r="BY3617"/>
      <c r="BZ3617"/>
    </row>
    <row r="3618" spans="8:78" x14ac:dyDescent="0.2">
      <c r="H3618"/>
      <c r="L3618"/>
      <c r="BU3618"/>
      <c r="BV3618"/>
      <c r="BX3618"/>
      <c r="BY3618"/>
      <c r="BZ3618"/>
    </row>
    <row r="3619" spans="8:78" x14ac:dyDescent="0.2">
      <c r="H3619"/>
      <c r="L3619"/>
      <c r="BU3619"/>
      <c r="BV3619"/>
      <c r="BX3619"/>
      <c r="BY3619"/>
      <c r="BZ3619"/>
    </row>
    <row r="3620" spans="8:78" x14ac:dyDescent="0.2">
      <c r="H3620"/>
      <c r="L3620"/>
      <c r="BU3620"/>
      <c r="BV3620"/>
      <c r="BX3620"/>
      <c r="BY3620"/>
      <c r="BZ3620"/>
    </row>
    <row r="3621" spans="8:78" x14ac:dyDescent="0.2">
      <c r="H3621"/>
      <c r="L3621"/>
      <c r="BU3621"/>
      <c r="BV3621"/>
      <c r="BX3621"/>
      <c r="BY3621"/>
      <c r="BZ3621"/>
    </row>
    <row r="3622" spans="8:78" x14ac:dyDescent="0.2">
      <c r="H3622"/>
      <c r="L3622"/>
      <c r="BU3622"/>
      <c r="BV3622"/>
      <c r="BX3622"/>
      <c r="BY3622"/>
      <c r="BZ3622"/>
    </row>
    <row r="3623" spans="8:78" x14ac:dyDescent="0.2">
      <c r="H3623"/>
      <c r="L3623"/>
      <c r="BU3623"/>
      <c r="BV3623"/>
      <c r="BX3623"/>
      <c r="BY3623"/>
      <c r="BZ3623"/>
    </row>
    <row r="3624" spans="8:78" x14ac:dyDescent="0.2">
      <c r="H3624"/>
      <c r="L3624"/>
      <c r="BU3624"/>
      <c r="BV3624"/>
      <c r="BX3624"/>
      <c r="BY3624"/>
      <c r="BZ3624"/>
    </row>
    <row r="3625" spans="8:78" x14ac:dyDescent="0.2">
      <c r="H3625"/>
      <c r="L3625"/>
      <c r="BU3625"/>
      <c r="BV3625"/>
      <c r="BX3625"/>
      <c r="BY3625"/>
      <c r="BZ3625"/>
    </row>
    <row r="3626" spans="8:78" x14ac:dyDescent="0.2">
      <c r="H3626"/>
      <c r="L3626"/>
      <c r="BU3626"/>
      <c r="BV3626"/>
      <c r="BX3626"/>
      <c r="BY3626"/>
      <c r="BZ3626"/>
    </row>
    <row r="3627" spans="8:78" x14ac:dyDescent="0.2">
      <c r="H3627"/>
      <c r="L3627"/>
      <c r="BU3627"/>
      <c r="BV3627"/>
      <c r="BX3627"/>
      <c r="BY3627"/>
      <c r="BZ3627"/>
    </row>
    <row r="3628" spans="8:78" x14ac:dyDescent="0.2">
      <c r="H3628"/>
      <c r="L3628"/>
      <c r="BU3628"/>
      <c r="BV3628"/>
      <c r="BX3628"/>
      <c r="BY3628"/>
      <c r="BZ3628"/>
    </row>
    <row r="3629" spans="8:78" x14ac:dyDescent="0.2">
      <c r="H3629"/>
      <c r="L3629"/>
      <c r="BU3629"/>
      <c r="BV3629"/>
      <c r="BX3629"/>
      <c r="BY3629"/>
      <c r="BZ3629"/>
    </row>
    <row r="3630" spans="8:78" x14ac:dyDescent="0.2">
      <c r="H3630"/>
      <c r="L3630"/>
      <c r="BU3630"/>
      <c r="BV3630"/>
      <c r="BX3630"/>
      <c r="BY3630"/>
      <c r="BZ3630"/>
    </row>
    <row r="3631" spans="8:78" x14ac:dyDescent="0.2">
      <c r="H3631"/>
      <c r="L3631"/>
      <c r="BU3631"/>
      <c r="BV3631"/>
      <c r="BX3631"/>
      <c r="BY3631"/>
      <c r="BZ3631"/>
    </row>
    <row r="3632" spans="8:78" x14ac:dyDescent="0.2">
      <c r="H3632"/>
      <c r="L3632"/>
      <c r="BU3632"/>
      <c r="BV3632"/>
      <c r="BX3632"/>
      <c r="BY3632"/>
      <c r="BZ3632"/>
    </row>
    <row r="3633" spans="8:78" x14ac:dyDescent="0.2">
      <c r="H3633"/>
      <c r="L3633"/>
      <c r="BU3633"/>
      <c r="BV3633"/>
      <c r="BX3633"/>
      <c r="BY3633"/>
      <c r="BZ3633"/>
    </row>
    <row r="3634" spans="8:78" x14ac:dyDescent="0.2">
      <c r="H3634"/>
      <c r="L3634"/>
      <c r="BU3634"/>
      <c r="BV3634"/>
      <c r="BX3634"/>
      <c r="BY3634"/>
      <c r="BZ3634"/>
    </row>
    <row r="3635" spans="8:78" x14ac:dyDescent="0.2">
      <c r="H3635"/>
      <c r="L3635"/>
      <c r="BU3635"/>
      <c r="BV3635"/>
      <c r="BX3635"/>
      <c r="BY3635"/>
      <c r="BZ3635"/>
    </row>
    <row r="3636" spans="8:78" x14ac:dyDescent="0.2">
      <c r="H3636"/>
      <c r="L3636"/>
      <c r="BU3636"/>
      <c r="BV3636"/>
      <c r="BX3636"/>
      <c r="BY3636"/>
      <c r="BZ3636"/>
    </row>
    <row r="3637" spans="8:78" x14ac:dyDescent="0.2">
      <c r="H3637"/>
      <c r="L3637"/>
      <c r="BU3637"/>
      <c r="BV3637"/>
      <c r="BX3637"/>
      <c r="BY3637"/>
      <c r="BZ3637"/>
    </row>
    <row r="3638" spans="8:78" x14ac:dyDescent="0.2">
      <c r="H3638"/>
      <c r="L3638"/>
      <c r="BU3638"/>
      <c r="BV3638"/>
      <c r="BX3638"/>
      <c r="BY3638"/>
      <c r="BZ3638"/>
    </row>
    <row r="3639" spans="8:78" x14ac:dyDescent="0.2">
      <c r="H3639"/>
      <c r="L3639"/>
      <c r="BU3639"/>
      <c r="BV3639"/>
      <c r="BX3639"/>
      <c r="BY3639"/>
      <c r="BZ3639"/>
    </row>
    <row r="3640" spans="8:78" x14ac:dyDescent="0.2">
      <c r="H3640"/>
      <c r="L3640"/>
      <c r="BU3640"/>
      <c r="BV3640"/>
      <c r="BX3640"/>
      <c r="BY3640"/>
      <c r="BZ3640"/>
    </row>
    <row r="3641" spans="8:78" x14ac:dyDescent="0.2">
      <c r="H3641"/>
      <c r="L3641"/>
      <c r="BU3641"/>
      <c r="BV3641"/>
      <c r="BX3641"/>
      <c r="BY3641"/>
      <c r="BZ3641"/>
    </row>
    <row r="3642" spans="8:78" x14ac:dyDescent="0.2">
      <c r="H3642"/>
      <c r="L3642"/>
      <c r="BU3642"/>
      <c r="BV3642"/>
      <c r="BX3642"/>
      <c r="BY3642"/>
      <c r="BZ3642"/>
    </row>
    <row r="3643" spans="8:78" x14ac:dyDescent="0.2">
      <c r="H3643"/>
      <c r="L3643"/>
      <c r="BU3643"/>
      <c r="BV3643"/>
      <c r="BX3643"/>
      <c r="BY3643"/>
      <c r="BZ3643"/>
    </row>
    <row r="3644" spans="8:78" x14ac:dyDescent="0.2">
      <c r="H3644"/>
      <c r="L3644"/>
      <c r="BU3644"/>
      <c r="BV3644"/>
      <c r="BX3644"/>
      <c r="BY3644"/>
      <c r="BZ3644"/>
    </row>
    <row r="3645" spans="8:78" x14ac:dyDescent="0.2">
      <c r="H3645"/>
      <c r="L3645"/>
      <c r="BU3645"/>
      <c r="BV3645"/>
      <c r="BX3645"/>
      <c r="BY3645"/>
      <c r="BZ3645"/>
    </row>
    <row r="3646" spans="8:78" x14ac:dyDescent="0.2">
      <c r="H3646"/>
      <c r="L3646"/>
      <c r="BU3646"/>
      <c r="BV3646"/>
      <c r="BX3646"/>
      <c r="BY3646"/>
      <c r="BZ3646"/>
    </row>
    <row r="3647" spans="8:78" x14ac:dyDescent="0.2">
      <c r="H3647"/>
      <c r="L3647"/>
      <c r="BU3647"/>
      <c r="BV3647"/>
      <c r="BX3647"/>
      <c r="BY3647"/>
      <c r="BZ3647"/>
    </row>
    <row r="3648" spans="8:78" x14ac:dyDescent="0.2">
      <c r="H3648"/>
      <c r="L3648"/>
      <c r="BU3648"/>
      <c r="BV3648"/>
      <c r="BX3648"/>
      <c r="BY3648"/>
      <c r="BZ3648"/>
    </row>
    <row r="3649" spans="8:78" x14ac:dyDescent="0.2">
      <c r="H3649"/>
      <c r="L3649"/>
      <c r="BU3649"/>
      <c r="BV3649"/>
      <c r="BX3649"/>
      <c r="BY3649"/>
      <c r="BZ3649"/>
    </row>
    <row r="3650" spans="8:78" x14ac:dyDescent="0.2">
      <c r="H3650"/>
      <c r="L3650"/>
      <c r="BU3650"/>
      <c r="BV3650"/>
      <c r="BX3650"/>
      <c r="BY3650"/>
      <c r="BZ3650"/>
    </row>
    <row r="3651" spans="8:78" x14ac:dyDescent="0.2">
      <c r="H3651"/>
      <c r="L3651"/>
      <c r="BU3651"/>
      <c r="BV3651"/>
      <c r="BX3651"/>
      <c r="BY3651"/>
      <c r="BZ3651"/>
    </row>
    <row r="3652" spans="8:78" x14ac:dyDescent="0.2">
      <c r="H3652"/>
      <c r="L3652"/>
      <c r="BU3652"/>
      <c r="BV3652"/>
      <c r="BX3652"/>
      <c r="BY3652"/>
      <c r="BZ3652"/>
    </row>
    <row r="3653" spans="8:78" x14ac:dyDescent="0.2">
      <c r="H3653"/>
      <c r="L3653"/>
      <c r="BU3653"/>
      <c r="BV3653"/>
      <c r="BX3653"/>
      <c r="BY3653"/>
      <c r="BZ3653"/>
    </row>
    <row r="3654" spans="8:78" x14ac:dyDescent="0.2">
      <c r="H3654"/>
      <c r="L3654"/>
      <c r="BU3654"/>
      <c r="BV3654"/>
      <c r="BX3654"/>
      <c r="BY3654"/>
      <c r="BZ3654"/>
    </row>
    <row r="3655" spans="8:78" x14ac:dyDescent="0.2">
      <c r="H3655"/>
      <c r="L3655"/>
      <c r="BU3655"/>
      <c r="BV3655"/>
      <c r="BX3655"/>
      <c r="BY3655"/>
      <c r="BZ3655"/>
    </row>
    <row r="3656" spans="8:78" x14ac:dyDescent="0.2">
      <c r="H3656"/>
      <c r="L3656"/>
      <c r="BU3656"/>
      <c r="BV3656"/>
      <c r="BX3656"/>
      <c r="BY3656"/>
      <c r="BZ3656"/>
    </row>
    <row r="3657" spans="8:78" x14ac:dyDescent="0.2">
      <c r="H3657"/>
      <c r="L3657"/>
      <c r="BU3657"/>
      <c r="BV3657"/>
      <c r="BX3657"/>
      <c r="BY3657"/>
      <c r="BZ3657"/>
    </row>
    <row r="3658" spans="8:78" x14ac:dyDescent="0.2">
      <c r="H3658"/>
      <c r="L3658"/>
      <c r="BU3658"/>
      <c r="BV3658"/>
      <c r="BX3658"/>
      <c r="BY3658"/>
      <c r="BZ3658"/>
    </row>
    <row r="3659" spans="8:78" x14ac:dyDescent="0.2">
      <c r="H3659"/>
      <c r="L3659"/>
      <c r="BU3659"/>
      <c r="BV3659"/>
      <c r="BZ3659"/>
    </row>
    <row r="3660" spans="8:78" x14ac:dyDescent="0.2">
      <c r="H3660"/>
      <c r="L3660"/>
      <c r="BU3660"/>
      <c r="BV3660"/>
      <c r="BX3660"/>
      <c r="BY3660"/>
      <c r="BZ3660"/>
    </row>
    <row r="3661" spans="8:78" x14ac:dyDescent="0.2">
      <c r="H3661"/>
      <c r="L3661"/>
      <c r="AK3661"/>
      <c r="BU3661"/>
      <c r="BV3661"/>
      <c r="BZ3661"/>
    </row>
    <row r="3662" spans="8:78" x14ac:dyDescent="0.2">
      <c r="H3662"/>
      <c r="L3662"/>
      <c r="AK3662"/>
      <c r="BU3662"/>
      <c r="BV3662"/>
      <c r="BZ3662"/>
    </row>
    <row r="3663" spans="8:78" x14ac:dyDescent="0.2">
      <c r="H3663"/>
      <c r="L3663"/>
      <c r="AK3663"/>
      <c r="BU3663"/>
      <c r="BV3663"/>
      <c r="BZ3663"/>
    </row>
    <row r="3664" spans="8:78" x14ac:dyDescent="0.2">
      <c r="AK3664"/>
      <c r="BZ3664"/>
    </row>
    <row r="3665" spans="8:78" x14ac:dyDescent="0.2">
      <c r="H3665"/>
      <c r="L3665"/>
      <c r="AK3665"/>
      <c r="BU3665"/>
      <c r="BV3665"/>
      <c r="BZ3665"/>
    </row>
    <row r="3666" spans="8:78" x14ac:dyDescent="0.2">
      <c r="H3666"/>
      <c r="L3666"/>
      <c r="AK3666"/>
      <c r="BU3666"/>
      <c r="BV3666"/>
      <c r="BZ3666"/>
    </row>
    <row r="3667" spans="8:78" x14ac:dyDescent="0.2">
      <c r="H3667"/>
      <c r="L3667"/>
      <c r="BU3667"/>
      <c r="BV3667"/>
      <c r="BZ3667"/>
    </row>
    <row r="3668" spans="8:78" x14ac:dyDescent="0.2">
      <c r="BZ3668"/>
    </row>
    <row r="3669" spans="8:78" x14ac:dyDescent="0.2">
      <c r="H3669"/>
      <c r="L3669"/>
      <c r="BU3669"/>
      <c r="BV3669"/>
      <c r="BZ3669"/>
    </row>
    <row r="3670" spans="8:78" x14ac:dyDescent="0.2">
      <c r="H3670"/>
      <c r="L3670"/>
      <c r="BU3670"/>
      <c r="BV3670"/>
      <c r="BZ3670"/>
    </row>
    <row r="3671" spans="8:78" x14ac:dyDescent="0.2">
      <c r="H3671"/>
      <c r="L3671"/>
      <c r="BU3671"/>
      <c r="BV3671"/>
      <c r="BZ3671"/>
    </row>
    <row r="3672" spans="8:78" x14ac:dyDescent="0.2">
      <c r="H3672"/>
      <c r="L3672"/>
      <c r="BU3672"/>
      <c r="BV3672"/>
      <c r="BZ3672"/>
    </row>
    <row r="3673" spans="8:78" x14ac:dyDescent="0.2">
      <c r="H3673"/>
      <c r="L3673"/>
      <c r="BU3673"/>
      <c r="BV3673"/>
      <c r="BZ3673"/>
    </row>
    <row r="3674" spans="8:78" x14ac:dyDescent="0.2">
      <c r="H3674"/>
      <c r="L3674"/>
      <c r="AK3674"/>
      <c r="BU3674"/>
      <c r="BV3674"/>
      <c r="BZ3674"/>
    </row>
    <row r="3675" spans="8:78" x14ac:dyDescent="0.2">
      <c r="H3675"/>
      <c r="L3675"/>
      <c r="AK3675"/>
      <c r="BU3675"/>
      <c r="BV3675"/>
      <c r="BZ3675"/>
    </row>
    <row r="3676" spans="8:78" x14ac:dyDescent="0.2">
      <c r="H3676"/>
      <c r="L3676"/>
      <c r="AK3676"/>
      <c r="BU3676"/>
      <c r="BV3676"/>
      <c r="BZ3676"/>
    </row>
    <row r="3677" spans="8:78" x14ac:dyDescent="0.2">
      <c r="H3677"/>
      <c r="L3677"/>
      <c r="BU3677"/>
      <c r="BV3677"/>
      <c r="BZ3677"/>
    </row>
    <row r="3678" spans="8:78" x14ac:dyDescent="0.2">
      <c r="H3678"/>
      <c r="L3678"/>
      <c r="BU3678"/>
      <c r="BV3678"/>
      <c r="BZ3678"/>
    </row>
    <row r="3679" spans="8:78" x14ac:dyDescent="0.2">
      <c r="H3679"/>
      <c r="L3679"/>
      <c r="BU3679"/>
      <c r="BV3679"/>
      <c r="BZ3679"/>
    </row>
    <row r="3680" spans="8:78" x14ac:dyDescent="0.2">
      <c r="H3680"/>
      <c r="L3680"/>
      <c r="BU3680"/>
      <c r="BV3680"/>
      <c r="BZ3680"/>
    </row>
    <row r="3681" spans="8:78" x14ac:dyDescent="0.2">
      <c r="BZ3681"/>
    </row>
    <row r="3682" spans="8:78" x14ac:dyDescent="0.2">
      <c r="H3682"/>
      <c r="L3682"/>
      <c r="BU3682"/>
      <c r="BV3682"/>
      <c r="BZ3682"/>
    </row>
    <row r="3683" spans="8:78" x14ac:dyDescent="0.2">
      <c r="H3683"/>
      <c r="L3683"/>
      <c r="BU3683"/>
      <c r="BV3683"/>
      <c r="BZ3683"/>
    </row>
    <row r="3684" spans="8:78" x14ac:dyDescent="0.2">
      <c r="H3684"/>
      <c r="L3684"/>
      <c r="BU3684"/>
      <c r="BV3684"/>
      <c r="BZ3684"/>
    </row>
    <row r="3685" spans="8:78" x14ac:dyDescent="0.2">
      <c r="H3685"/>
      <c r="L3685"/>
      <c r="BU3685"/>
      <c r="BV3685"/>
      <c r="BZ3685"/>
    </row>
    <row r="3686" spans="8:78" x14ac:dyDescent="0.2">
      <c r="H3686"/>
      <c r="L3686"/>
      <c r="BU3686"/>
      <c r="BV3686"/>
      <c r="BX3686"/>
      <c r="BY3686"/>
      <c r="BZ3686"/>
    </row>
    <row r="3687" spans="8:78" x14ac:dyDescent="0.2">
      <c r="H3687"/>
      <c r="L3687"/>
      <c r="BU3687"/>
      <c r="BV3687"/>
      <c r="BZ3687"/>
    </row>
    <row r="3688" spans="8:78" x14ac:dyDescent="0.2">
      <c r="H3688"/>
      <c r="L3688"/>
      <c r="AK3688"/>
      <c r="BU3688"/>
      <c r="BV3688"/>
      <c r="BX3688"/>
      <c r="BY3688"/>
      <c r="BZ3688"/>
    </row>
    <row r="3689" spans="8:78" x14ac:dyDescent="0.2">
      <c r="H3689"/>
      <c r="L3689"/>
      <c r="AK3689"/>
      <c r="BU3689"/>
      <c r="BV3689"/>
      <c r="BZ3689"/>
    </row>
    <row r="3690" spans="8:78" x14ac:dyDescent="0.2">
      <c r="H3690"/>
      <c r="L3690"/>
      <c r="AK3690"/>
      <c r="BU3690"/>
      <c r="BV3690"/>
      <c r="BX3690"/>
      <c r="BY3690"/>
      <c r="BZ3690"/>
    </row>
    <row r="3691" spans="8:78" x14ac:dyDescent="0.2">
      <c r="H3691"/>
      <c r="L3691"/>
      <c r="AK3691"/>
      <c r="BU3691"/>
      <c r="BV3691"/>
      <c r="BX3691"/>
      <c r="BY3691"/>
      <c r="BZ3691"/>
    </row>
    <row r="3692" spans="8:78" x14ac:dyDescent="0.2">
      <c r="H3692"/>
      <c r="L3692"/>
      <c r="BU3692"/>
      <c r="BV3692"/>
      <c r="BX3692"/>
      <c r="BY3692"/>
      <c r="BZ3692"/>
    </row>
    <row r="3693" spans="8:78" x14ac:dyDescent="0.2">
      <c r="H3693"/>
      <c r="L3693"/>
      <c r="AK3693"/>
      <c r="BU3693"/>
      <c r="BV3693"/>
      <c r="BX3693"/>
      <c r="BY3693"/>
      <c r="BZ3693"/>
    </row>
    <row r="3694" spans="8:78" x14ac:dyDescent="0.2">
      <c r="H3694"/>
      <c r="L3694"/>
      <c r="BU3694"/>
      <c r="BV3694"/>
      <c r="BX3694"/>
      <c r="BY3694"/>
      <c r="BZ3694"/>
    </row>
    <row r="3695" spans="8:78" x14ac:dyDescent="0.2">
      <c r="H3695"/>
      <c r="L3695"/>
      <c r="BU3695"/>
      <c r="BV3695"/>
      <c r="BX3695"/>
      <c r="BY3695"/>
      <c r="BZ3695"/>
    </row>
    <row r="3696" spans="8:78" x14ac:dyDescent="0.2">
      <c r="H3696"/>
      <c r="L3696"/>
      <c r="BU3696"/>
      <c r="BV3696"/>
      <c r="BX3696"/>
      <c r="BY3696"/>
      <c r="BZ3696"/>
    </row>
    <row r="3697" spans="8:78" x14ac:dyDescent="0.2">
      <c r="H3697"/>
      <c r="L3697"/>
      <c r="BU3697"/>
      <c r="BV3697"/>
      <c r="BX3697"/>
      <c r="BY3697"/>
      <c r="BZ3697"/>
    </row>
    <row r="3698" spans="8:78" x14ac:dyDescent="0.2">
      <c r="H3698"/>
      <c r="L3698"/>
      <c r="BU3698"/>
      <c r="BV3698"/>
      <c r="BX3698"/>
      <c r="BY3698"/>
      <c r="BZ3698"/>
    </row>
    <row r="3699" spans="8:78" x14ac:dyDescent="0.2">
      <c r="H3699"/>
      <c r="L3699"/>
      <c r="AK3699"/>
      <c r="BU3699"/>
      <c r="BV3699"/>
      <c r="BX3699"/>
      <c r="BY3699"/>
      <c r="BZ3699"/>
    </row>
    <row r="3700" spans="8:78" x14ac:dyDescent="0.2">
      <c r="H3700"/>
      <c r="L3700"/>
      <c r="AK3700"/>
      <c r="BU3700"/>
      <c r="BV3700"/>
      <c r="BX3700"/>
      <c r="BY3700"/>
      <c r="BZ3700"/>
    </row>
    <row r="3701" spans="8:78" x14ac:dyDescent="0.2">
      <c r="H3701"/>
      <c r="L3701"/>
      <c r="BU3701"/>
      <c r="BV3701"/>
      <c r="BX3701"/>
      <c r="BY3701"/>
      <c r="BZ3701"/>
    </row>
    <row r="3702" spans="8:78" x14ac:dyDescent="0.2">
      <c r="H3702"/>
      <c r="L3702"/>
      <c r="AK3702"/>
      <c r="BU3702"/>
      <c r="BV3702"/>
      <c r="BX3702"/>
      <c r="BY3702"/>
      <c r="BZ3702"/>
    </row>
    <row r="3703" spans="8:78" x14ac:dyDescent="0.2">
      <c r="H3703"/>
      <c r="L3703"/>
      <c r="AK3703"/>
      <c r="BU3703"/>
      <c r="BV3703"/>
      <c r="BX3703"/>
      <c r="BY3703"/>
      <c r="BZ3703"/>
    </row>
    <row r="3704" spans="8:78" x14ac:dyDescent="0.2">
      <c r="H3704"/>
      <c r="L3704"/>
      <c r="AK3704"/>
      <c r="BU3704"/>
      <c r="BV3704"/>
      <c r="BX3704"/>
      <c r="BY3704"/>
      <c r="BZ3704"/>
    </row>
    <row r="3705" spans="8:78" x14ac:dyDescent="0.2">
      <c r="H3705"/>
      <c r="L3705"/>
      <c r="AK3705"/>
      <c r="BU3705"/>
      <c r="BV3705"/>
      <c r="BX3705"/>
      <c r="BY3705"/>
      <c r="BZ3705"/>
    </row>
    <row r="3706" spans="8:78" x14ac:dyDescent="0.2">
      <c r="H3706"/>
      <c r="L3706"/>
      <c r="AK3706"/>
      <c r="BU3706"/>
      <c r="BV3706"/>
      <c r="BX3706"/>
      <c r="BY3706"/>
      <c r="BZ3706"/>
    </row>
    <row r="3707" spans="8:78" x14ac:dyDescent="0.2">
      <c r="H3707"/>
      <c r="L3707"/>
      <c r="BU3707"/>
      <c r="BV3707"/>
      <c r="BX3707"/>
      <c r="BY3707"/>
      <c r="BZ3707"/>
    </row>
    <row r="3708" spans="8:78" x14ac:dyDescent="0.2">
      <c r="H3708"/>
      <c r="L3708"/>
      <c r="BU3708"/>
      <c r="BV3708"/>
      <c r="BX3708"/>
      <c r="BY3708"/>
      <c r="BZ3708"/>
    </row>
    <row r="3709" spans="8:78" x14ac:dyDescent="0.2">
      <c r="H3709"/>
      <c r="L3709"/>
      <c r="BU3709"/>
      <c r="BV3709"/>
      <c r="BX3709"/>
      <c r="BY3709"/>
      <c r="BZ3709"/>
    </row>
    <row r="3710" spans="8:78" x14ac:dyDescent="0.2">
      <c r="H3710"/>
      <c r="L3710"/>
      <c r="BU3710"/>
      <c r="BV3710"/>
      <c r="BX3710"/>
      <c r="BY3710"/>
      <c r="BZ3710"/>
    </row>
    <row r="3711" spans="8:78" x14ac:dyDescent="0.2">
      <c r="H3711"/>
      <c r="L3711"/>
      <c r="BU3711"/>
      <c r="BV3711"/>
      <c r="BX3711"/>
      <c r="BY3711"/>
      <c r="BZ3711"/>
    </row>
    <row r="3712" spans="8:78" x14ac:dyDescent="0.2">
      <c r="H3712"/>
      <c r="L3712"/>
      <c r="AK3712"/>
      <c r="BU3712"/>
      <c r="BV3712"/>
      <c r="BX3712"/>
      <c r="BY3712"/>
      <c r="BZ3712"/>
    </row>
    <row r="3713" spans="8:78" x14ac:dyDescent="0.2">
      <c r="H3713"/>
      <c r="L3713"/>
      <c r="BU3713"/>
      <c r="BV3713"/>
      <c r="BX3713"/>
      <c r="BY3713"/>
      <c r="BZ3713"/>
    </row>
    <row r="3714" spans="8:78" x14ac:dyDescent="0.2">
      <c r="H3714"/>
      <c r="L3714"/>
      <c r="BU3714"/>
      <c r="BV3714"/>
      <c r="BX3714"/>
      <c r="BY3714"/>
      <c r="BZ3714"/>
    </row>
    <row r="3715" spans="8:78" x14ac:dyDescent="0.2">
      <c r="H3715"/>
      <c r="L3715"/>
      <c r="BU3715"/>
      <c r="BV3715"/>
      <c r="BX3715"/>
      <c r="BY3715"/>
      <c r="BZ3715"/>
    </row>
    <row r="3716" spans="8:78" x14ac:dyDescent="0.2">
      <c r="H3716"/>
      <c r="L3716"/>
      <c r="BU3716"/>
      <c r="BV3716"/>
      <c r="BX3716"/>
      <c r="BY3716"/>
      <c r="BZ3716"/>
    </row>
    <row r="3717" spans="8:78" x14ac:dyDescent="0.2">
      <c r="H3717"/>
      <c r="L3717"/>
      <c r="BU3717"/>
      <c r="BV3717"/>
      <c r="BX3717"/>
      <c r="BY3717"/>
      <c r="BZ3717"/>
    </row>
    <row r="3718" spans="8:78" x14ac:dyDescent="0.2">
      <c r="H3718"/>
      <c r="L3718"/>
      <c r="BU3718"/>
      <c r="BV3718"/>
      <c r="BX3718"/>
      <c r="BY3718"/>
      <c r="BZ3718"/>
    </row>
    <row r="3719" spans="8:78" x14ac:dyDescent="0.2">
      <c r="H3719"/>
      <c r="L3719"/>
      <c r="BU3719"/>
      <c r="BV3719"/>
      <c r="BX3719"/>
      <c r="BY3719"/>
      <c r="BZ3719"/>
    </row>
    <row r="3720" spans="8:78" x14ac:dyDescent="0.2">
      <c r="H3720"/>
      <c r="L3720"/>
      <c r="BU3720"/>
      <c r="BV3720"/>
      <c r="BX3720"/>
      <c r="BY3720"/>
      <c r="BZ3720"/>
    </row>
    <row r="3721" spans="8:78" x14ac:dyDescent="0.2">
      <c r="H3721"/>
      <c r="L3721"/>
      <c r="BU3721"/>
      <c r="BV3721"/>
      <c r="BX3721"/>
      <c r="BY3721"/>
      <c r="BZ3721"/>
    </row>
    <row r="3722" spans="8:78" x14ac:dyDescent="0.2">
      <c r="H3722"/>
      <c r="L3722"/>
      <c r="BU3722"/>
      <c r="BV3722"/>
      <c r="BX3722"/>
      <c r="BY3722"/>
      <c r="BZ3722"/>
    </row>
    <row r="3723" spans="8:78" x14ac:dyDescent="0.2">
      <c r="H3723"/>
      <c r="L3723"/>
      <c r="BU3723"/>
      <c r="BV3723"/>
      <c r="BX3723"/>
      <c r="BY3723"/>
      <c r="BZ3723"/>
    </row>
    <row r="3724" spans="8:78" x14ac:dyDescent="0.2">
      <c r="H3724"/>
      <c r="L3724"/>
      <c r="AK3724"/>
      <c r="BU3724"/>
      <c r="BV3724"/>
      <c r="BX3724"/>
      <c r="BY3724"/>
      <c r="BZ3724"/>
    </row>
    <row r="3725" spans="8:78" x14ac:dyDescent="0.2">
      <c r="H3725"/>
      <c r="L3725"/>
      <c r="AK3725"/>
      <c r="BU3725"/>
      <c r="BV3725"/>
      <c r="BX3725"/>
      <c r="BY3725"/>
      <c r="BZ3725"/>
    </row>
    <row r="3726" spans="8:78" x14ac:dyDescent="0.2">
      <c r="H3726"/>
      <c r="L3726"/>
      <c r="AK3726"/>
      <c r="BU3726"/>
      <c r="BV3726"/>
      <c r="BX3726"/>
      <c r="BY3726"/>
      <c r="BZ3726"/>
    </row>
    <row r="3727" spans="8:78" x14ac:dyDescent="0.2">
      <c r="BZ3727"/>
    </row>
    <row r="3728" spans="8:78" x14ac:dyDescent="0.2">
      <c r="BZ3728"/>
    </row>
    <row r="3729" spans="8:78" x14ac:dyDescent="0.2">
      <c r="H3729"/>
      <c r="L3729"/>
      <c r="BU3729"/>
      <c r="BV3729"/>
      <c r="BX3729"/>
      <c r="BY3729"/>
      <c r="BZ3729"/>
    </row>
    <row r="3730" spans="8:78" x14ac:dyDescent="0.2">
      <c r="H3730"/>
      <c r="L3730"/>
      <c r="BU3730"/>
      <c r="BV3730"/>
      <c r="BX3730"/>
      <c r="BY3730"/>
      <c r="BZ3730"/>
    </row>
    <row r="3731" spans="8:78" x14ac:dyDescent="0.2">
      <c r="H3731"/>
      <c r="L3731"/>
      <c r="BU3731"/>
      <c r="BV3731"/>
      <c r="BX3731"/>
      <c r="BY3731"/>
      <c r="BZ3731"/>
    </row>
    <row r="3732" spans="8:78" x14ac:dyDescent="0.2">
      <c r="H3732"/>
      <c r="L3732"/>
      <c r="BU3732"/>
      <c r="BV3732"/>
      <c r="BX3732"/>
      <c r="BY3732"/>
      <c r="BZ3732"/>
    </row>
    <row r="3733" spans="8:78" x14ac:dyDescent="0.2">
      <c r="H3733"/>
      <c r="L3733"/>
      <c r="BU3733"/>
      <c r="BV3733"/>
      <c r="BX3733"/>
      <c r="BY3733"/>
      <c r="BZ3733"/>
    </row>
    <row r="3734" spans="8:78" x14ac:dyDescent="0.2">
      <c r="H3734"/>
      <c r="L3734"/>
      <c r="AK3734"/>
      <c r="BU3734"/>
      <c r="BV3734"/>
      <c r="BX3734"/>
      <c r="BY3734"/>
      <c r="BZ3734"/>
    </row>
    <row r="3735" spans="8:78" x14ac:dyDescent="0.2">
      <c r="BZ3735"/>
    </row>
    <row r="3736" spans="8:78" x14ac:dyDescent="0.2">
      <c r="H3736"/>
      <c r="L3736"/>
      <c r="BU3736"/>
      <c r="BV3736"/>
      <c r="BX3736"/>
      <c r="BY3736"/>
      <c r="BZ3736"/>
    </row>
    <row r="3737" spans="8:78" x14ac:dyDescent="0.2">
      <c r="H3737"/>
      <c r="L3737"/>
      <c r="BU3737"/>
      <c r="BV3737"/>
      <c r="BX3737"/>
      <c r="BY3737"/>
      <c r="BZ3737"/>
    </row>
    <row r="3738" spans="8:78" x14ac:dyDescent="0.2">
      <c r="H3738"/>
      <c r="L3738"/>
      <c r="BU3738"/>
      <c r="BV3738"/>
      <c r="BX3738"/>
      <c r="BY3738"/>
      <c r="BZ3738"/>
    </row>
    <row r="3739" spans="8:78" x14ac:dyDescent="0.2">
      <c r="BZ3739"/>
    </row>
    <row r="3740" spans="8:78" x14ac:dyDescent="0.2">
      <c r="H3740"/>
      <c r="L3740"/>
      <c r="BU3740"/>
      <c r="BV3740"/>
      <c r="BX3740"/>
      <c r="BY3740"/>
      <c r="BZ3740"/>
    </row>
    <row r="3741" spans="8:78" x14ac:dyDescent="0.2">
      <c r="H3741"/>
      <c r="L3741"/>
      <c r="BU3741"/>
      <c r="BV3741"/>
      <c r="BX3741"/>
      <c r="BY3741"/>
      <c r="BZ3741"/>
    </row>
    <row r="3742" spans="8:78" x14ac:dyDescent="0.2">
      <c r="H3742"/>
      <c r="L3742"/>
      <c r="BU3742"/>
      <c r="BV3742"/>
      <c r="BX3742"/>
      <c r="BY3742"/>
      <c r="BZ3742"/>
    </row>
    <row r="3743" spans="8:78" x14ac:dyDescent="0.2">
      <c r="H3743"/>
      <c r="L3743"/>
      <c r="AK3743"/>
      <c r="BU3743"/>
      <c r="BV3743"/>
      <c r="BX3743"/>
      <c r="BY3743"/>
      <c r="BZ3743"/>
    </row>
    <row r="3744" spans="8:78" x14ac:dyDescent="0.2">
      <c r="H3744"/>
      <c r="L3744"/>
      <c r="AK3744"/>
      <c r="BU3744"/>
      <c r="BV3744"/>
      <c r="BX3744"/>
      <c r="BY3744"/>
      <c r="BZ3744"/>
    </row>
    <row r="3745" spans="8:78" x14ac:dyDescent="0.2">
      <c r="H3745"/>
      <c r="L3745"/>
      <c r="AK3745"/>
      <c r="BU3745"/>
      <c r="BV3745"/>
      <c r="BX3745"/>
      <c r="BY3745"/>
      <c r="BZ3745"/>
    </row>
    <row r="3746" spans="8:78" x14ac:dyDescent="0.2">
      <c r="H3746"/>
      <c r="L3746"/>
      <c r="BU3746"/>
      <c r="BV3746"/>
      <c r="BX3746"/>
      <c r="BY3746"/>
      <c r="BZ3746"/>
    </row>
    <row r="3747" spans="8:78" x14ac:dyDescent="0.2">
      <c r="H3747"/>
      <c r="L3747"/>
      <c r="BU3747"/>
      <c r="BV3747"/>
      <c r="BX3747"/>
      <c r="BY3747"/>
      <c r="BZ3747"/>
    </row>
    <row r="3748" spans="8:78" x14ac:dyDescent="0.2">
      <c r="BZ3748"/>
    </row>
    <row r="3749" spans="8:78" x14ac:dyDescent="0.2">
      <c r="BZ3749"/>
    </row>
    <row r="3750" spans="8:78" x14ac:dyDescent="0.2">
      <c r="BZ3750"/>
    </row>
    <row r="3751" spans="8:78" x14ac:dyDescent="0.2">
      <c r="BZ3751"/>
    </row>
    <row r="3752" spans="8:78" x14ac:dyDescent="0.2">
      <c r="H3752"/>
      <c r="L3752"/>
      <c r="BU3752"/>
      <c r="BV3752"/>
      <c r="BX3752"/>
      <c r="BY3752"/>
      <c r="BZ3752"/>
    </row>
    <row r="3753" spans="8:78" x14ac:dyDescent="0.2">
      <c r="BZ3753"/>
    </row>
    <row r="3754" spans="8:78" x14ac:dyDescent="0.2">
      <c r="H3754"/>
      <c r="L3754"/>
      <c r="BU3754"/>
      <c r="BV3754"/>
      <c r="BX3754"/>
      <c r="BY3754"/>
      <c r="BZ3754"/>
    </row>
    <row r="3755" spans="8:78" x14ac:dyDescent="0.2">
      <c r="H3755"/>
      <c r="L3755"/>
      <c r="BU3755"/>
      <c r="BV3755"/>
      <c r="BX3755"/>
      <c r="BY3755"/>
      <c r="BZ3755"/>
    </row>
    <row r="3756" spans="8:78" x14ac:dyDescent="0.2">
      <c r="H3756"/>
      <c r="L3756"/>
      <c r="BU3756"/>
      <c r="BV3756"/>
      <c r="BX3756"/>
      <c r="BY3756"/>
      <c r="BZ3756"/>
    </row>
    <row r="3757" spans="8:78" x14ac:dyDescent="0.2">
      <c r="H3757"/>
      <c r="L3757"/>
      <c r="BU3757"/>
      <c r="BV3757"/>
      <c r="BX3757"/>
      <c r="BY3757"/>
      <c r="BZ3757"/>
    </row>
    <row r="3758" spans="8:78" x14ac:dyDescent="0.2">
      <c r="H3758"/>
      <c r="L3758"/>
      <c r="BU3758"/>
      <c r="BV3758"/>
      <c r="BX3758"/>
      <c r="BY3758"/>
      <c r="BZ3758"/>
    </row>
    <row r="3759" spans="8:78" x14ac:dyDescent="0.2">
      <c r="H3759"/>
      <c r="L3759"/>
      <c r="BU3759"/>
      <c r="BV3759"/>
      <c r="BX3759"/>
      <c r="BY3759"/>
      <c r="BZ3759"/>
    </row>
    <row r="3760" spans="8:78" x14ac:dyDescent="0.2">
      <c r="H3760"/>
      <c r="L3760"/>
      <c r="AK3760"/>
      <c r="BU3760"/>
      <c r="BV3760"/>
      <c r="BX3760"/>
      <c r="BY3760"/>
      <c r="BZ3760"/>
    </row>
    <row r="3761" spans="8:78" x14ac:dyDescent="0.2">
      <c r="H3761"/>
      <c r="L3761"/>
      <c r="BU3761"/>
      <c r="BV3761"/>
      <c r="BX3761"/>
      <c r="BY3761"/>
      <c r="BZ3761"/>
    </row>
    <row r="3762" spans="8:78" x14ac:dyDescent="0.2">
      <c r="H3762"/>
      <c r="L3762"/>
      <c r="BU3762"/>
      <c r="BV3762"/>
      <c r="BX3762"/>
      <c r="BY3762"/>
      <c r="BZ3762"/>
    </row>
    <row r="3763" spans="8:78" x14ac:dyDescent="0.2">
      <c r="H3763"/>
      <c r="L3763"/>
      <c r="BU3763"/>
      <c r="BV3763"/>
      <c r="BX3763"/>
      <c r="BY3763"/>
      <c r="BZ3763"/>
    </row>
    <row r="3764" spans="8:78" x14ac:dyDescent="0.2">
      <c r="H3764"/>
      <c r="L3764"/>
      <c r="BU3764"/>
      <c r="BV3764"/>
      <c r="BX3764"/>
      <c r="BY3764"/>
      <c r="BZ3764"/>
    </row>
    <row r="3765" spans="8:78" x14ac:dyDescent="0.2">
      <c r="H3765"/>
      <c r="L3765"/>
      <c r="BU3765"/>
      <c r="BV3765"/>
      <c r="BX3765"/>
      <c r="BY3765"/>
      <c r="BZ3765"/>
    </row>
    <row r="3766" spans="8:78" x14ac:dyDescent="0.2">
      <c r="BZ3766"/>
    </row>
    <row r="3767" spans="8:78" x14ac:dyDescent="0.2">
      <c r="H3767"/>
      <c r="L3767"/>
      <c r="BU3767"/>
      <c r="BV3767"/>
      <c r="BX3767"/>
      <c r="BY3767"/>
      <c r="BZ3767"/>
    </row>
    <row r="3768" spans="8:78" x14ac:dyDescent="0.2">
      <c r="H3768"/>
      <c r="L3768"/>
      <c r="BU3768"/>
      <c r="BV3768"/>
      <c r="BX3768"/>
      <c r="BY3768"/>
      <c r="BZ3768"/>
    </row>
    <row r="3769" spans="8:78" x14ac:dyDescent="0.2">
      <c r="H3769"/>
      <c r="L3769"/>
      <c r="AK3769"/>
      <c r="BU3769"/>
      <c r="BV3769"/>
      <c r="BX3769"/>
      <c r="BY3769"/>
      <c r="BZ3769"/>
    </row>
    <row r="3770" spans="8:78" x14ac:dyDescent="0.2">
      <c r="H3770"/>
      <c r="L3770"/>
      <c r="AK3770"/>
      <c r="BU3770"/>
      <c r="BV3770"/>
      <c r="BX3770"/>
      <c r="BY3770"/>
      <c r="BZ3770"/>
    </row>
    <row r="3771" spans="8:78" x14ac:dyDescent="0.2">
      <c r="H3771"/>
      <c r="L3771"/>
      <c r="AK3771"/>
      <c r="BU3771"/>
      <c r="BV3771"/>
      <c r="BX3771"/>
      <c r="BY3771"/>
      <c r="BZ3771"/>
    </row>
    <row r="3772" spans="8:78" x14ac:dyDescent="0.2">
      <c r="H3772"/>
      <c r="L3772"/>
      <c r="AK3772"/>
      <c r="BU3772"/>
      <c r="BV3772"/>
      <c r="BX3772"/>
      <c r="BY3772"/>
      <c r="BZ3772"/>
    </row>
    <row r="3773" spans="8:78" x14ac:dyDescent="0.2">
      <c r="H3773"/>
      <c r="L3773"/>
      <c r="AK3773"/>
      <c r="BU3773"/>
      <c r="BV3773"/>
      <c r="BX3773"/>
      <c r="BY3773"/>
      <c r="BZ3773"/>
    </row>
    <row r="3774" spans="8:78" x14ac:dyDescent="0.2">
      <c r="H3774"/>
      <c r="L3774"/>
      <c r="AK3774"/>
      <c r="BU3774"/>
      <c r="BV3774"/>
      <c r="BX3774"/>
      <c r="BY3774"/>
      <c r="BZ3774"/>
    </row>
    <row r="3775" spans="8:78" x14ac:dyDescent="0.2">
      <c r="H3775"/>
      <c r="L3775"/>
      <c r="AK3775"/>
      <c r="BU3775"/>
      <c r="BV3775"/>
      <c r="BX3775"/>
      <c r="BY3775"/>
      <c r="BZ3775"/>
    </row>
    <row r="3776" spans="8:78" x14ac:dyDescent="0.2">
      <c r="H3776"/>
      <c r="L3776"/>
      <c r="BU3776"/>
      <c r="BV3776"/>
      <c r="BX3776"/>
      <c r="BY3776"/>
      <c r="BZ3776"/>
    </row>
    <row r="3777" spans="8:78" x14ac:dyDescent="0.2">
      <c r="H3777"/>
      <c r="L3777"/>
      <c r="BU3777"/>
      <c r="BV3777"/>
      <c r="BX3777"/>
      <c r="BY3777"/>
      <c r="BZ3777"/>
    </row>
    <row r="3778" spans="8:78" x14ac:dyDescent="0.2">
      <c r="H3778"/>
      <c r="L3778"/>
      <c r="BU3778"/>
      <c r="BV3778"/>
      <c r="BX3778"/>
      <c r="BY3778"/>
      <c r="BZ3778"/>
    </row>
    <row r="3779" spans="8:78" x14ac:dyDescent="0.2">
      <c r="H3779"/>
      <c r="L3779"/>
      <c r="BU3779"/>
      <c r="BV3779"/>
      <c r="BX3779"/>
      <c r="BY3779"/>
      <c r="BZ3779"/>
    </row>
    <row r="3780" spans="8:78" x14ac:dyDescent="0.2">
      <c r="H3780"/>
      <c r="L3780"/>
      <c r="BU3780"/>
      <c r="BV3780"/>
      <c r="BX3780"/>
      <c r="BY3780"/>
      <c r="BZ3780"/>
    </row>
    <row r="3781" spans="8:78" x14ac:dyDescent="0.2">
      <c r="H3781"/>
      <c r="L3781"/>
      <c r="BU3781"/>
      <c r="BV3781"/>
      <c r="BX3781"/>
      <c r="BY3781"/>
      <c r="BZ3781"/>
    </row>
    <row r="3782" spans="8:78" x14ac:dyDescent="0.2">
      <c r="H3782"/>
      <c r="L3782"/>
      <c r="BU3782"/>
      <c r="BV3782"/>
      <c r="BX3782"/>
      <c r="BY3782"/>
      <c r="BZ3782"/>
    </row>
    <row r="3783" spans="8:78" x14ac:dyDescent="0.2">
      <c r="H3783"/>
      <c r="L3783"/>
      <c r="BU3783"/>
      <c r="BV3783"/>
      <c r="BX3783"/>
      <c r="BY3783"/>
      <c r="BZ3783"/>
    </row>
    <row r="3784" spans="8:78" x14ac:dyDescent="0.2">
      <c r="H3784"/>
      <c r="L3784"/>
      <c r="BU3784"/>
      <c r="BV3784"/>
      <c r="BX3784"/>
      <c r="BY3784"/>
      <c r="BZ3784"/>
    </row>
    <row r="3785" spans="8:78" x14ac:dyDescent="0.2">
      <c r="H3785"/>
      <c r="L3785"/>
      <c r="BU3785"/>
      <c r="BV3785"/>
      <c r="BX3785"/>
      <c r="BY3785"/>
      <c r="BZ3785"/>
    </row>
    <row r="3786" spans="8:78" x14ac:dyDescent="0.2">
      <c r="H3786"/>
      <c r="L3786"/>
      <c r="BU3786"/>
      <c r="BV3786"/>
      <c r="BX3786"/>
      <c r="BY3786"/>
      <c r="BZ3786"/>
    </row>
    <row r="3787" spans="8:78" x14ac:dyDescent="0.2">
      <c r="H3787"/>
      <c r="L3787"/>
      <c r="BU3787"/>
      <c r="BV3787"/>
      <c r="BX3787"/>
      <c r="BY3787"/>
      <c r="BZ3787"/>
    </row>
    <row r="3788" spans="8:78" x14ac:dyDescent="0.2">
      <c r="H3788"/>
      <c r="L3788"/>
      <c r="BU3788"/>
      <c r="BV3788"/>
      <c r="BX3788"/>
      <c r="BY3788"/>
      <c r="BZ3788"/>
    </row>
    <row r="3789" spans="8:78" x14ac:dyDescent="0.2">
      <c r="H3789"/>
      <c r="L3789"/>
      <c r="BU3789"/>
      <c r="BV3789"/>
      <c r="BX3789"/>
      <c r="BY3789"/>
      <c r="BZ3789"/>
    </row>
    <row r="3790" spans="8:78" x14ac:dyDescent="0.2">
      <c r="H3790"/>
      <c r="L3790"/>
      <c r="BU3790"/>
      <c r="BV3790"/>
      <c r="BX3790"/>
      <c r="BY3790"/>
      <c r="BZ3790"/>
    </row>
    <row r="3791" spans="8:78" x14ac:dyDescent="0.2">
      <c r="H3791"/>
      <c r="L3791"/>
      <c r="AK3791"/>
      <c r="BU3791"/>
      <c r="BV3791"/>
      <c r="BX3791"/>
      <c r="BY3791"/>
      <c r="BZ3791"/>
    </row>
    <row r="3792" spans="8:78" x14ac:dyDescent="0.2">
      <c r="H3792"/>
      <c r="L3792"/>
      <c r="AK3792"/>
      <c r="BU3792"/>
      <c r="BV3792"/>
      <c r="BX3792"/>
      <c r="BY3792"/>
      <c r="BZ3792"/>
    </row>
    <row r="3793" spans="8:78" x14ac:dyDescent="0.2">
      <c r="H3793"/>
      <c r="L3793"/>
      <c r="AK3793"/>
      <c r="BU3793"/>
      <c r="BV3793"/>
      <c r="BX3793"/>
      <c r="BY3793"/>
      <c r="BZ3793"/>
    </row>
    <row r="3794" spans="8:78" x14ac:dyDescent="0.2">
      <c r="H3794"/>
      <c r="L3794"/>
      <c r="AK3794"/>
      <c r="BU3794"/>
      <c r="BV3794"/>
      <c r="BX3794"/>
      <c r="BY3794"/>
      <c r="BZ3794"/>
    </row>
    <row r="3795" spans="8:78" x14ac:dyDescent="0.2">
      <c r="H3795"/>
      <c r="L3795"/>
      <c r="AK3795"/>
      <c r="BU3795"/>
      <c r="BV3795"/>
      <c r="BX3795"/>
      <c r="BY3795"/>
      <c r="BZ3795"/>
    </row>
    <row r="3796" spans="8:78" x14ac:dyDescent="0.2">
      <c r="H3796"/>
      <c r="L3796"/>
      <c r="AK3796"/>
      <c r="BU3796"/>
      <c r="BV3796"/>
      <c r="BX3796"/>
      <c r="BY3796"/>
      <c r="BZ3796"/>
    </row>
    <row r="3797" spans="8:78" x14ac:dyDescent="0.2">
      <c r="H3797"/>
      <c r="L3797"/>
      <c r="BU3797"/>
      <c r="BV3797"/>
      <c r="BX3797"/>
      <c r="BY3797"/>
      <c r="BZ3797"/>
    </row>
    <row r="3798" spans="8:78" x14ac:dyDescent="0.2">
      <c r="H3798"/>
      <c r="L3798"/>
      <c r="BU3798"/>
      <c r="BV3798"/>
      <c r="BX3798"/>
      <c r="BY3798"/>
      <c r="BZ3798"/>
    </row>
    <row r="3799" spans="8:78" x14ac:dyDescent="0.2">
      <c r="H3799"/>
      <c r="L3799"/>
      <c r="BU3799"/>
      <c r="BV3799"/>
      <c r="BX3799"/>
      <c r="BY3799"/>
      <c r="BZ3799"/>
    </row>
    <row r="3800" spans="8:78" x14ac:dyDescent="0.2">
      <c r="H3800"/>
      <c r="L3800"/>
      <c r="BU3800"/>
      <c r="BV3800"/>
      <c r="BX3800"/>
      <c r="BY3800"/>
      <c r="BZ3800"/>
    </row>
    <row r="3801" spans="8:78" x14ac:dyDescent="0.2">
      <c r="H3801"/>
      <c r="L3801"/>
      <c r="BU3801"/>
      <c r="BV3801"/>
      <c r="BX3801"/>
      <c r="BY3801"/>
      <c r="BZ3801"/>
    </row>
    <row r="3802" spans="8:78" x14ac:dyDescent="0.2">
      <c r="H3802"/>
      <c r="L3802"/>
      <c r="BU3802"/>
      <c r="BV3802"/>
      <c r="BX3802"/>
      <c r="BY3802"/>
      <c r="BZ3802"/>
    </row>
    <row r="3803" spans="8:78" x14ac:dyDescent="0.2">
      <c r="H3803"/>
      <c r="L3803"/>
      <c r="BU3803"/>
      <c r="BV3803"/>
      <c r="BX3803"/>
      <c r="BY3803"/>
      <c r="BZ3803"/>
    </row>
    <row r="3804" spans="8:78" x14ac:dyDescent="0.2">
      <c r="H3804"/>
      <c r="L3804"/>
      <c r="BU3804"/>
      <c r="BV3804"/>
      <c r="BX3804"/>
      <c r="BY3804"/>
      <c r="BZ3804"/>
    </row>
    <row r="3805" spans="8:78" x14ac:dyDescent="0.2">
      <c r="H3805"/>
      <c r="L3805"/>
      <c r="BU3805"/>
      <c r="BV3805"/>
      <c r="BX3805"/>
      <c r="BY3805"/>
      <c r="BZ3805"/>
    </row>
    <row r="3806" spans="8:78" x14ac:dyDescent="0.2">
      <c r="H3806"/>
      <c r="L3806"/>
      <c r="BU3806"/>
      <c r="BV3806"/>
      <c r="BX3806"/>
      <c r="BY3806"/>
      <c r="BZ3806"/>
    </row>
    <row r="3807" spans="8:78" x14ac:dyDescent="0.2">
      <c r="H3807"/>
      <c r="L3807"/>
      <c r="AK3807"/>
      <c r="BU3807"/>
      <c r="BV3807"/>
      <c r="BX3807"/>
      <c r="BY3807"/>
      <c r="BZ3807"/>
    </row>
    <row r="3808" spans="8:78" x14ac:dyDescent="0.2">
      <c r="H3808"/>
      <c r="L3808"/>
      <c r="AK3808"/>
      <c r="BU3808"/>
      <c r="BV3808"/>
      <c r="BX3808"/>
      <c r="BY3808"/>
      <c r="BZ3808"/>
    </row>
    <row r="3809" spans="8:78" x14ac:dyDescent="0.2">
      <c r="H3809"/>
      <c r="L3809"/>
      <c r="AK3809"/>
      <c r="BU3809"/>
      <c r="BV3809"/>
      <c r="BX3809"/>
      <c r="BY3809"/>
      <c r="BZ3809"/>
    </row>
    <row r="3810" spans="8:78" x14ac:dyDescent="0.2">
      <c r="H3810"/>
      <c r="L3810"/>
      <c r="AK3810"/>
      <c r="BU3810"/>
      <c r="BV3810"/>
      <c r="BX3810"/>
      <c r="BY3810"/>
      <c r="BZ3810"/>
    </row>
    <row r="3811" spans="8:78" x14ac:dyDescent="0.2">
      <c r="H3811"/>
      <c r="L3811"/>
      <c r="AK3811"/>
      <c r="BU3811"/>
      <c r="BV3811"/>
      <c r="BX3811"/>
      <c r="BY3811"/>
      <c r="BZ3811"/>
    </row>
    <row r="3812" spans="8:78" x14ac:dyDescent="0.2">
      <c r="H3812"/>
      <c r="L3812"/>
      <c r="BU3812"/>
      <c r="BV3812"/>
      <c r="BX3812"/>
      <c r="BY3812"/>
      <c r="BZ3812"/>
    </row>
    <row r="3813" spans="8:78" x14ac:dyDescent="0.2">
      <c r="H3813"/>
      <c r="L3813"/>
      <c r="BU3813"/>
      <c r="BV3813"/>
      <c r="BX3813"/>
      <c r="BY3813"/>
      <c r="BZ3813"/>
    </row>
    <row r="3814" spans="8:78" x14ac:dyDescent="0.2">
      <c r="H3814"/>
      <c r="L3814"/>
      <c r="AK3814"/>
      <c r="BU3814"/>
      <c r="BV3814"/>
      <c r="BX3814"/>
      <c r="BY3814"/>
      <c r="BZ3814"/>
    </row>
    <row r="3815" spans="8:78" x14ac:dyDescent="0.2">
      <c r="BZ3815"/>
    </row>
    <row r="3816" spans="8:78" x14ac:dyDescent="0.2">
      <c r="H3816"/>
      <c r="L3816"/>
      <c r="BU3816"/>
      <c r="BV3816"/>
      <c r="BX3816"/>
      <c r="BY3816"/>
      <c r="BZ3816"/>
    </row>
    <row r="3817" spans="8:78" x14ac:dyDescent="0.2">
      <c r="H3817"/>
      <c r="L3817"/>
      <c r="BU3817"/>
      <c r="BV3817"/>
      <c r="BX3817"/>
      <c r="BY3817"/>
      <c r="BZ3817"/>
    </row>
    <row r="3818" spans="8:78" x14ac:dyDescent="0.2">
      <c r="H3818"/>
      <c r="L3818"/>
      <c r="BU3818"/>
      <c r="BV3818"/>
      <c r="BX3818"/>
      <c r="BY3818"/>
      <c r="BZ3818"/>
    </row>
    <row r="3819" spans="8:78" x14ac:dyDescent="0.2">
      <c r="AK3819"/>
      <c r="BZ3819"/>
    </row>
    <row r="3820" spans="8:78" x14ac:dyDescent="0.2">
      <c r="BZ3820"/>
    </row>
    <row r="3821" spans="8:78" x14ac:dyDescent="0.2">
      <c r="BZ3821"/>
    </row>
    <row r="3822" spans="8:78" x14ac:dyDescent="0.2">
      <c r="BZ3822"/>
    </row>
    <row r="3823" spans="8:78" x14ac:dyDescent="0.2">
      <c r="BZ3823"/>
    </row>
    <row r="3824" spans="8:78" x14ac:dyDescent="0.2">
      <c r="H3824"/>
      <c r="L3824"/>
      <c r="AK3824"/>
      <c r="BU3824"/>
      <c r="BV3824"/>
      <c r="BX3824"/>
      <c r="BY3824"/>
      <c r="BZ3824"/>
    </row>
    <row r="3825" spans="8:78" x14ac:dyDescent="0.2">
      <c r="H3825"/>
      <c r="L3825"/>
      <c r="AK3825"/>
      <c r="BU3825"/>
      <c r="BV3825"/>
      <c r="BX3825"/>
      <c r="BY3825"/>
      <c r="BZ3825"/>
    </row>
    <row r="3826" spans="8:78" x14ac:dyDescent="0.2">
      <c r="H3826"/>
      <c r="L3826"/>
      <c r="BU3826"/>
      <c r="BV3826"/>
      <c r="BX3826"/>
      <c r="BY3826"/>
      <c r="BZ3826"/>
    </row>
    <row r="3827" spans="8:78" x14ac:dyDescent="0.2">
      <c r="H3827"/>
      <c r="L3827"/>
      <c r="BU3827"/>
      <c r="BV3827"/>
      <c r="BX3827"/>
      <c r="BY3827"/>
      <c r="BZ3827"/>
    </row>
    <row r="3828" spans="8:78" x14ac:dyDescent="0.2">
      <c r="H3828"/>
      <c r="L3828"/>
      <c r="BU3828"/>
      <c r="BV3828"/>
      <c r="BX3828"/>
      <c r="BY3828"/>
      <c r="BZ3828"/>
    </row>
    <row r="3829" spans="8:78" x14ac:dyDescent="0.2">
      <c r="H3829"/>
      <c r="L3829"/>
      <c r="BU3829"/>
      <c r="BV3829"/>
      <c r="BX3829"/>
      <c r="BY3829"/>
      <c r="BZ3829"/>
    </row>
    <row r="3830" spans="8:78" x14ac:dyDescent="0.2">
      <c r="H3830"/>
      <c r="L3830"/>
      <c r="BU3830"/>
      <c r="BV3830"/>
      <c r="BX3830"/>
      <c r="BY3830"/>
      <c r="BZ3830"/>
    </row>
    <row r="3831" spans="8:78" x14ac:dyDescent="0.2">
      <c r="H3831"/>
      <c r="L3831"/>
      <c r="BU3831"/>
      <c r="BV3831"/>
      <c r="BX3831"/>
      <c r="BY3831"/>
      <c r="BZ3831"/>
    </row>
    <row r="3832" spans="8:78" x14ac:dyDescent="0.2">
      <c r="H3832"/>
      <c r="L3832"/>
      <c r="BU3832"/>
      <c r="BV3832"/>
      <c r="BX3832"/>
      <c r="BY3832"/>
      <c r="BZ3832"/>
    </row>
    <row r="3833" spans="8:78" x14ac:dyDescent="0.2">
      <c r="H3833"/>
      <c r="L3833"/>
      <c r="BU3833"/>
      <c r="BV3833"/>
      <c r="BX3833"/>
      <c r="BY3833"/>
      <c r="BZ3833"/>
    </row>
    <row r="3834" spans="8:78" x14ac:dyDescent="0.2">
      <c r="H3834"/>
      <c r="L3834"/>
      <c r="BU3834"/>
      <c r="BV3834"/>
      <c r="BX3834"/>
      <c r="BY3834"/>
      <c r="BZ3834"/>
    </row>
    <row r="3835" spans="8:78" x14ac:dyDescent="0.2">
      <c r="H3835"/>
      <c r="L3835"/>
      <c r="BU3835"/>
      <c r="BV3835"/>
      <c r="BX3835"/>
      <c r="BY3835"/>
      <c r="BZ3835"/>
    </row>
    <row r="3836" spans="8:78" x14ac:dyDescent="0.2">
      <c r="H3836"/>
      <c r="L3836"/>
      <c r="AK3836"/>
      <c r="BU3836"/>
      <c r="BV3836"/>
      <c r="BX3836"/>
      <c r="BY3836"/>
      <c r="BZ3836"/>
    </row>
    <row r="3837" spans="8:78" x14ac:dyDescent="0.2">
      <c r="H3837"/>
      <c r="L3837"/>
      <c r="AK3837"/>
      <c r="BU3837"/>
      <c r="BV3837"/>
      <c r="BX3837"/>
      <c r="BY3837"/>
      <c r="BZ3837"/>
    </row>
    <row r="3838" spans="8:78" x14ac:dyDescent="0.2">
      <c r="H3838"/>
      <c r="L3838"/>
      <c r="AK3838"/>
      <c r="BU3838"/>
      <c r="BV3838"/>
      <c r="BX3838"/>
      <c r="BY3838"/>
      <c r="BZ3838"/>
    </row>
    <row r="3839" spans="8:78" x14ac:dyDescent="0.2">
      <c r="H3839"/>
      <c r="L3839"/>
      <c r="AK3839"/>
      <c r="BU3839"/>
      <c r="BV3839"/>
      <c r="BX3839"/>
      <c r="BY3839"/>
      <c r="BZ3839"/>
    </row>
    <row r="3840" spans="8:78" x14ac:dyDescent="0.2">
      <c r="H3840"/>
      <c r="L3840"/>
      <c r="AK3840"/>
      <c r="BU3840"/>
      <c r="BV3840"/>
      <c r="BX3840"/>
      <c r="BY3840"/>
      <c r="BZ3840"/>
    </row>
    <row r="3841" spans="8:78" x14ac:dyDescent="0.2">
      <c r="H3841"/>
      <c r="L3841"/>
      <c r="AK3841"/>
      <c r="BU3841"/>
      <c r="BV3841"/>
      <c r="BX3841"/>
      <c r="BY3841"/>
      <c r="BZ3841"/>
    </row>
    <row r="3842" spans="8:78" x14ac:dyDescent="0.2">
      <c r="H3842"/>
      <c r="L3842"/>
      <c r="BU3842"/>
      <c r="BV3842"/>
      <c r="BX3842"/>
      <c r="BY3842"/>
      <c r="BZ3842"/>
    </row>
    <row r="3843" spans="8:78" x14ac:dyDescent="0.2">
      <c r="H3843"/>
      <c r="L3843"/>
      <c r="BU3843"/>
      <c r="BV3843"/>
      <c r="BX3843"/>
      <c r="BY3843"/>
      <c r="BZ3843"/>
    </row>
    <row r="3844" spans="8:78" x14ac:dyDescent="0.2">
      <c r="H3844"/>
      <c r="L3844"/>
      <c r="BU3844"/>
      <c r="BV3844"/>
      <c r="BX3844"/>
      <c r="BY3844"/>
      <c r="BZ3844"/>
    </row>
    <row r="3845" spans="8:78" x14ac:dyDescent="0.2">
      <c r="H3845"/>
      <c r="L3845"/>
      <c r="BU3845"/>
      <c r="BV3845"/>
      <c r="BX3845"/>
      <c r="BY3845"/>
      <c r="BZ3845"/>
    </row>
    <row r="3846" spans="8:78" x14ac:dyDescent="0.2">
      <c r="H3846"/>
      <c r="L3846"/>
      <c r="AK3846"/>
      <c r="BU3846"/>
      <c r="BV3846"/>
      <c r="BX3846"/>
      <c r="BY3846"/>
      <c r="BZ3846"/>
    </row>
    <row r="3847" spans="8:78" x14ac:dyDescent="0.2">
      <c r="H3847"/>
      <c r="L3847"/>
      <c r="AK3847"/>
      <c r="BU3847"/>
      <c r="BV3847"/>
      <c r="BX3847"/>
      <c r="BY3847"/>
      <c r="BZ3847"/>
    </row>
    <row r="3848" spans="8:78" x14ac:dyDescent="0.2">
      <c r="H3848"/>
      <c r="L3848"/>
      <c r="AK3848"/>
      <c r="BU3848"/>
      <c r="BV3848"/>
      <c r="BX3848"/>
      <c r="BY3848"/>
      <c r="BZ3848"/>
    </row>
    <row r="3849" spans="8:78" x14ac:dyDescent="0.2">
      <c r="H3849"/>
      <c r="L3849"/>
      <c r="AK3849"/>
      <c r="BU3849"/>
      <c r="BV3849"/>
      <c r="BX3849"/>
      <c r="BY3849"/>
      <c r="BZ3849"/>
    </row>
    <row r="3850" spans="8:78" x14ac:dyDescent="0.2">
      <c r="H3850"/>
      <c r="L3850"/>
      <c r="AK3850"/>
      <c r="BU3850"/>
      <c r="BV3850"/>
      <c r="BX3850"/>
      <c r="BY3850"/>
      <c r="BZ3850"/>
    </row>
    <row r="3851" spans="8:78" x14ac:dyDescent="0.2">
      <c r="H3851"/>
      <c r="L3851"/>
      <c r="AK3851"/>
      <c r="BU3851"/>
      <c r="BV3851"/>
      <c r="BX3851"/>
      <c r="BY3851"/>
      <c r="BZ3851"/>
    </row>
    <row r="3852" spans="8:78" x14ac:dyDescent="0.2">
      <c r="H3852"/>
      <c r="L3852"/>
      <c r="AK3852"/>
      <c r="BU3852"/>
      <c r="BV3852"/>
      <c r="BX3852"/>
      <c r="BY3852"/>
      <c r="BZ3852"/>
    </row>
    <row r="3853" spans="8:78" x14ac:dyDescent="0.2">
      <c r="H3853"/>
      <c r="L3853"/>
      <c r="AK3853"/>
      <c r="BU3853"/>
      <c r="BV3853"/>
      <c r="BX3853"/>
      <c r="BY3853"/>
      <c r="BZ3853"/>
    </row>
    <row r="3854" spans="8:78" x14ac:dyDescent="0.2">
      <c r="H3854"/>
      <c r="L3854"/>
      <c r="AK3854"/>
      <c r="BU3854"/>
      <c r="BV3854"/>
      <c r="BX3854"/>
      <c r="BY3854"/>
      <c r="BZ3854"/>
    </row>
    <row r="3855" spans="8:78" x14ac:dyDescent="0.2">
      <c r="H3855"/>
      <c r="L3855"/>
      <c r="AK3855"/>
      <c r="BU3855"/>
      <c r="BV3855"/>
      <c r="BX3855"/>
      <c r="BY3855"/>
      <c r="BZ3855"/>
    </row>
    <row r="3856" spans="8:78" x14ac:dyDescent="0.2">
      <c r="H3856"/>
      <c r="L3856"/>
      <c r="AK3856"/>
      <c r="BU3856"/>
      <c r="BV3856"/>
      <c r="BX3856"/>
      <c r="BY3856"/>
      <c r="BZ3856"/>
    </row>
    <row r="3857" spans="8:78" x14ac:dyDescent="0.2">
      <c r="H3857"/>
      <c r="L3857"/>
      <c r="AK3857"/>
      <c r="BU3857"/>
      <c r="BV3857"/>
      <c r="BX3857"/>
      <c r="BY3857"/>
      <c r="BZ3857"/>
    </row>
    <row r="3858" spans="8:78" x14ac:dyDescent="0.2">
      <c r="H3858"/>
      <c r="L3858"/>
      <c r="AK3858"/>
      <c r="BU3858"/>
      <c r="BV3858"/>
      <c r="BX3858"/>
      <c r="BY3858"/>
      <c r="BZ3858"/>
    </row>
    <row r="3859" spans="8:78" x14ac:dyDescent="0.2">
      <c r="H3859"/>
      <c r="L3859"/>
      <c r="AK3859"/>
      <c r="BU3859"/>
      <c r="BV3859"/>
      <c r="BX3859"/>
      <c r="BY3859"/>
      <c r="BZ3859"/>
    </row>
    <row r="3860" spans="8:78" x14ac:dyDescent="0.2">
      <c r="H3860"/>
      <c r="L3860"/>
      <c r="BU3860"/>
      <c r="BV3860"/>
      <c r="BX3860"/>
      <c r="BY3860"/>
      <c r="BZ3860"/>
    </row>
    <row r="3861" spans="8:78" x14ac:dyDescent="0.2">
      <c r="H3861"/>
      <c r="L3861"/>
      <c r="BU3861"/>
      <c r="BV3861"/>
      <c r="BX3861"/>
      <c r="BY3861"/>
      <c r="BZ3861"/>
    </row>
    <row r="3862" spans="8:78" x14ac:dyDescent="0.2">
      <c r="H3862"/>
      <c r="L3862"/>
      <c r="BU3862"/>
      <c r="BV3862"/>
      <c r="BX3862"/>
      <c r="BY3862"/>
      <c r="BZ3862"/>
    </row>
    <row r="3863" spans="8:78" x14ac:dyDescent="0.2">
      <c r="H3863"/>
      <c r="L3863"/>
      <c r="BU3863"/>
      <c r="BV3863"/>
      <c r="BX3863"/>
      <c r="BY3863"/>
      <c r="BZ3863"/>
    </row>
    <row r="3864" spans="8:78" x14ac:dyDescent="0.2">
      <c r="H3864"/>
      <c r="L3864"/>
      <c r="BU3864"/>
      <c r="BV3864"/>
      <c r="BX3864"/>
      <c r="BY3864"/>
      <c r="BZ3864"/>
    </row>
    <row r="3865" spans="8:78" x14ac:dyDescent="0.2">
      <c r="H3865"/>
      <c r="L3865"/>
      <c r="BU3865"/>
      <c r="BV3865"/>
      <c r="BX3865"/>
      <c r="BY3865"/>
      <c r="BZ3865"/>
    </row>
    <row r="3866" spans="8:78" x14ac:dyDescent="0.2">
      <c r="H3866"/>
      <c r="L3866"/>
      <c r="BU3866"/>
      <c r="BV3866"/>
      <c r="BX3866"/>
      <c r="BY3866"/>
      <c r="BZ3866"/>
    </row>
    <row r="3867" spans="8:78" x14ac:dyDescent="0.2">
      <c r="H3867"/>
      <c r="L3867"/>
      <c r="BU3867"/>
      <c r="BV3867"/>
      <c r="BX3867"/>
      <c r="BY3867"/>
      <c r="BZ3867"/>
    </row>
    <row r="3868" spans="8:78" x14ac:dyDescent="0.2">
      <c r="H3868"/>
      <c r="L3868"/>
      <c r="BU3868"/>
      <c r="BV3868"/>
      <c r="BX3868"/>
      <c r="BY3868"/>
      <c r="BZ3868"/>
    </row>
    <row r="3869" spans="8:78" x14ac:dyDescent="0.2">
      <c r="H3869"/>
      <c r="L3869"/>
      <c r="BU3869"/>
      <c r="BV3869"/>
      <c r="BX3869"/>
      <c r="BY3869"/>
      <c r="BZ3869"/>
    </row>
    <row r="3870" spans="8:78" x14ac:dyDescent="0.2">
      <c r="H3870"/>
      <c r="L3870"/>
      <c r="BU3870"/>
      <c r="BV3870"/>
      <c r="BX3870"/>
      <c r="BY3870"/>
      <c r="BZ3870"/>
    </row>
    <row r="3871" spans="8:78" x14ac:dyDescent="0.2">
      <c r="H3871"/>
      <c r="L3871"/>
      <c r="BU3871"/>
      <c r="BV3871"/>
      <c r="BX3871"/>
      <c r="BY3871"/>
      <c r="BZ3871"/>
    </row>
    <row r="3872" spans="8:78" x14ac:dyDescent="0.2">
      <c r="H3872"/>
      <c r="L3872"/>
      <c r="BU3872"/>
      <c r="BV3872"/>
      <c r="BX3872"/>
      <c r="BY3872"/>
      <c r="BZ3872"/>
    </row>
    <row r="3873" spans="8:78" x14ac:dyDescent="0.2">
      <c r="H3873"/>
      <c r="L3873"/>
      <c r="BU3873"/>
      <c r="BV3873"/>
      <c r="BX3873"/>
      <c r="BY3873"/>
      <c r="BZ3873"/>
    </row>
    <row r="3874" spans="8:78" x14ac:dyDescent="0.2">
      <c r="H3874"/>
      <c r="L3874"/>
      <c r="BU3874"/>
      <c r="BV3874"/>
      <c r="BX3874"/>
      <c r="BY3874"/>
      <c r="BZ3874"/>
    </row>
    <row r="3875" spans="8:78" x14ac:dyDescent="0.2">
      <c r="H3875"/>
      <c r="L3875"/>
      <c r="BU3875"/>
      <c r="BV3875"/>
      <c r="BX3875"/>
      <c r="BY3875"/>
      <c r="BZ3875"/>
    </row>
    <row r="3876" spans="8:78" x14ac:dyDescent="0.2">
      <c r="H3876"/>
      <c r="L3876"/>
      <c r="AK3876"/>
      <c r="BU3876"/>
      <c r="BV3876"/>
      <c r="BX3876"/>
      <c r="BY3876"/>
      <c r="BZ3876"/>
    </row>
    <row r="3877" spans="8:78" x14ac:dyDescent="0.2">
      <c r="H3877"/>
      <c r="L3877"/>
      <c r="AK3877"/>
      <c r="BU3877"/>
      <c r="BV3877"/>
      <c r="BX3877"/>
      <c r="BY3877"/>
      <c r="BZ3877"/>
    </row>
    <row r="3878" spans="8:78" x14ac:dyDescent="0.2">
      <c r="H3878"/>
      <c r="L3878"/>
      <c r="AK3878"/>
      <c r="BU3878"/>
      <c r="BV3878"/>
      <c r="BX3878"/>
      <c r="BY3878"/>
      <c r="BZ3878"/>
    </row>
    <row r="3879" spans="8:78" x14ac:dyDescent="0.2">
      <c r="H3879"/>
      <c r="L3879"/>
      <c r="AK3879"/>
      <c r="BU3879"/>
      <c r="BV3879"/>
      <c r="BX3879"/>
      <c r="BY3879"/>
      <c r="BZ3879"/>
    </row>
    <row r="3880" spans="8:78" x14ac:dyDescent="0.2">
      <c r="H3880"/>
      <c r="L3880"/>
      <c r="AK3880"/>
      <c r="BU3880"/>
      <c r="BV3880"/>
      <c r="BX3880"/>
      <c r="BY3880"/>
      <c r="BZ3880"/>
    </row>
    <row r="3881" spans="8:78" x14ac:dyDescent="0.2">
      <c r="H3881"/>
      <c r="L3881"/>
      <c r="AK3881"/>
      <c r="BU3881"/>
      <c r="BV3881"/>
      <c r="BX3881"/>
      <c r="BY3881"/>
      <c r="BZ3881"/>
    </row>
    <row r="3882" spans="8:78" x14ac:dyDescent="0.2">
      <c r="H3882"/>
      <c r="L3882"/>
      <c r="AK3882"/>
      <c r="BU3882"/>
      <c r="BV3882"/>
      <c r="BX3882"/>
      <c r="BY3882"/>
      <c r="BZ3882"/>
    </row>
    <row r="3883" spans="8:78" x14ac:dyDescent="0.2">
      <c r="AK3883"/>
      <c r="BZ3883"/>
    </row>
    <row r="3884" spans="8:78" x14ac:dyDescent="0.2">
      <c r="AK3884"/>
      <c r="BZ3884"/>
    </row>
    <row r="3885" spans="8:78" x14ac:dyDescent="0.2">
      <c r="H3885"/>
      <c r="L3885"/>
      <c r="AK3885"/>
      <c r="BU3885"/>
      <c r="BV3885"/>
      <c r="BX3885"/>
      <c r="BY3885"/>
      <c r="BZ3885"/>
    </row>
    <row r="3886" spans="8:78" x14ac:dyDescent="0.2">
      <c r="H3886"/>
      <c r="L3886"/>
      <c r="AK3886"/>
      <c r="BU3886"/>
      <c r="BV3886"/>
      <c r="BX3886"/>
      <c r="BY3886"/>
      <c r="BZ3886"/>
    </row>
    <row r="3887" spans="8:78" x14ac:dyDescent="0.2">
      <c r="H3887"/>
      <c r="L3887"/>
      <c r="AK3887"/>
      <c r="BU3887"/>
      <c r="BV3887"/>
      <c r="BX3887"/>
      <c r="BY3887"/>
      <c r="BZ3887"/>
    </row>
    <row r="3888" spans="8:78" x14ac:dyDescent="0.2">
      <c r="H3888"/>
      <c r="L3888"/>
      <c r="BU3888"/>
      <c r="BV3888"/>
      <c r="BX3888"/>
      <c r="BY3888"/>
      <c r="BZ3888"/>
    </row>
    <row r="3889" spans="8:78" x14ac:dyDescent="0.2">
      <c r="H3889"/>
      <c r="L3889"/>
      <c r="BU3889"/>
      <c r="BV3889"/>
      <c r="BX3889"/>
      <c r="BY3889"/>
      <c r="BZ3889"/>
    </row>
    <row r="3890" spans="8:78" x14ac:dyDescent="0.2">
      <c r="H3890"/>
      <c r="L3890"/>
      <c r="BU3890"/>
      <c r="BV3890"/>
      <c r="BX3890"/>
      <c r="BY3890"/>
      <c r="BZ3890"/>
    </row>
    <row r="3891" spans="8:78" x14ac:dyDescent="0.2">
      <c r="H3891"/>
      <c r="L3891"/>
      <c r="BU3891"/>
      <c r="BV3891"/>
      <c r="BX3891"/>
      <c r="BY3891"/>
      <c r="BZ3891"/>
    </row>
    <row r="3892" spans="8:78" x14ac:dyDescent="0.2">
      <c r="H3892"/>
      <c r="L3892"/>
      <c r="BU3892"/>
      <c r="BV3892"/>
      <c r="BX3892"/>
      <c r="BY3892"/>
      <c r="BZ3892"/>
    </row>
    <row r="3893" spans="8:78" x14ac:dyDescent="0.2">
      <c r="H3893"/>
      <c r="L3893"/>
      <c r="BU3893"/>
      <c r="BV3893"/>
      <c r="BX3893"/>
      <c r="BY3893"/>
      <c r="BZ3893"/>
    </row>
    <row r="3894" spans="8:78" x14ac:dyDescent="0.2">
      <c r="H3894"/>
      <c r="L3894"/>
      <c r="BU3894"/>
      <c r="BV3894"/>
      <c r="BX3894"/>
      <c r="BY3894"/>
      <c r="BZ3894"/>
    </row>
    <row r="3895" spans="8:78" x14ac:dyDescent="0.2">
      <c r="H3895"/>
      <c r="L3895"/>
      <c r="BU3895"/>
      <c r="BV3895"/>
      <c r="BX3895"/>
      <c r="BY3895"/>
      <c r="BZ3895"/>
    </row>
    <row r="3896" spans="8:78" x14ac:dyDescent="0.2">
      <c r="H3896"/>
      <c r="L3896"/>
      <c r="BU3896"/>
      <c r="BV3896"/>
      <c r="BX3896"/>
      <c r="BY3896"/>
      <c r="BZ3896"/>
    </row>
    <row r="3897" spans="8:78" x14ac:dyDescent="0.2">
      <c r="BZ3897"/>
    </row>
    <row r="3898" spans="8:78" x14ac:dyDescent="0.2">
      <c r="H3898"/>
      <c r="L3898"/>
      <c r="BU3898"/>
      <c r="BV3898"/>
      <c r="BX3898"/>
      <c r="BY3898"/>
      <c r="BZ3898"/>
    </row>
    <row r="3899" spans="8:78" x14ac:dyDescent="0.2">
      <c r="H3899"/>
      <c r="L3899"/>
      <c r="BU3899"/>
      <c r="BV3899"/>
      <c r="BX3899"/>
      <c r="BY3899"/>
      <c r="BZ3899"/>
    </row>
    <row r="3900" spans="8:78" x14ac:dyDescent="0.2">
      <c r="H3900"/>
      <c r="L3900"/>
      <c r="BU3900"/>
      <c r="BV3900"/>
      <c r="BX3900"/>
      <c r="BY3900"/>
      <c r="BZ3900"/>
    </row>
    <row r="3901" spans="8:78" x14ac:dyDescent="0.2">
      <c r="H3901"/>
      <c r="L3901"/>
      <c r="AK3901"/>
      <c r="BU3901"/>
      <c r="BV3901"/>
      <c r="BX3901"/>
      <c r="BY3901"/>
      <c r="BZ3901"/>
    </row>
    <row r="3902" spans="8:78" x14ac:dyDescent="0.2">
      <c r="H3902"/>
      <c r="L3902"/>
      <c r="AK3902"/>
      <c r="BU3902"/>
      <c r="BV3902"/>
      <c r="BX3902"/>
      <c r="BY3902"/>
      <c r="BZ3902"/>
    </row>
    <row r="3903" spans="8:78" x14ac:dyDescent="0.2">
      <c r="AK3903"/>
      <c r="BZ3903"/>
    </row>
    <row r="3904" spans="8:78" x14ac:dyDescent="0.2">
      <c r="AK3904"/>
      <c r="BZ3904"/>
    </row>
    <row r="3905" spans="8:78" x14ac:dyDescent="0.2">
      <c r="AK3905"/>
      <c r="BZ3905"/>
    </row>
    <row r="3906" spans="8:78" x14ac:dyDescent="0.2">
      <c r="H3906"/>
      <c r="L3906"/>
      <c r="AK3906"/>
      <c r="BU3906"/>
      <c r="BV3906"/>
      <c r="BX3906"/>
      <c r="BY3906"/>
      <c r="BZ3906"/>
    </row>
    <row r="3907" spans="8:78" x14ac:dyDescent="0.2">
      <c r="AK3907"/>
      <c r="BZ3907"/>
    </row>
    <row r="3908" spans="8:78" x14ac:dyDescent="0.2">
      <c r="H3908"/>
      <c r="L3908"/>
      <c r="AK3908"/>
      <c r="BU3908"/>
      <c r="BV3908"/>
      <c r="BX3908"/>
      <c r="BY3908"/>
      <c r="BZ3908"/>
    </row>
    <row r="3909" spans="8:78" x14ac:dyDescent="0.2">
      <c r="H3909"/>
      <c r="L3909"/>
      <c r="AK3909"/>
      <c r="BU3909"/>
      <c r="BV3909"/>
      <c r="BX3909"/>
      <c r="BY3909"/>
      <c r="BZ3909"/>
    </row>
    <row r="3910" spans="8:78" x14ac:dyDescent="0.2">
      <c r="H3910"/>
      <c r="L3910"/>
      <c r="AK3910"/>
      <c r="BU3910"/>
      <c r="BV3910"/>
      <c r="BX3910"/>
      <c r="BY3910"/>
      <c r="BZ3910"/>
    </row>
    <row r="3911" spans="8:78" x14ac:dyDescent="0.2">
      <c r="H3911"/>
      <c r="L3911"/>
      <c r="AK3911"/>
      <c r="BU3911"/>
      <c r="BV3911"/>
      <c r="BX3911"/>
      <c r="BY3911"/>
      <c r="BZ3911"/>
    </row>
    <row r="3912" spans="8:78" x14ac:dyDescent="0.2">
      <c r="H3912"/>
      <c r="L3912"/>
      <c r="AK3912"/>
      <c r="BU3912"/>
      <c r="BV3912"/>
      <c r="BX3912"/>
      <c r="BY3912"/>
      <c r="BZ3912"/>
    </row>
    <row r="3913" spans="8:78" x14ac:dyDescent="0.2">
      <c r="H3913"/>
      <c r="L3913"/>
      <c r="AK3913"/>
      <c r="BU3913"/>
      <c r="BV3913"/>
      <c r="BX3913"/>
      <c r="BY3913"/>
      <c r="BZ3913"/>
    </row>
    <row r="3914" spans="8:78" x14ac:dyDescent="0.2">
      <c r="H3914"/>
      <c r="L3914"/>
      <c r="AK3914"/>
      <c r="BU3914"/>
      <c r="BV3914"/>
      <c r="BX3914"/>
      <c r="BY3914"/>
      <c r="BZ3914"/>
    </row>
    <row r="3915" spans="8:78" x14ac:dyDescent="0.2">
      <c r="AK3915"/>
      <c r="BZ3915"/>
    </row>
    <row r="3916" spans="8:78" x14ac:dyDescent="0.2">
      <c r="BZ3916"/>
    </row>
    <row r="3917" spans="8:78" x14ac:dyDescent="0.2">
      <c r="H3917"/>
      <c r="L3917"/>
      <c r="BU3917"/>
      <c r="BV3917"/>
      <c r="BX3917"/>
      <c r="BY3917"/>
      <c r="BZ3917"/>
    </row>
    <row r="3918" spans="8:78" x14ac:dyDescent="0.2">
      <c r="H3918"/>
      <c r="L3918"/>
      <c r="BU3918"/>
      <c r="BV3918"/>
      <c r="BX3918"/>
      <c r="BY3918"/>
      <c r="BZ3918"/>
    </row>
    <row r="3919" spans="8:78" x14ac:dyDescent="0.2">
      <c r="H3919"/>
      <c r="L3919"/>
      <c r="BU3919"/>
      <c r="BV3919"/>
      <c r="BX3919"/>
      <c r="BY3919"/>
      <c r="BZ3919"/>
    </row>
    <row r="3920" spans="8:78" x14ac:dyDescent="0.2">
      <c r="H3920"/>
      <c r="L3920"/>
      <c r="BU3920"/>
      <c r="BV3920"/>
      <c r="BX3920"/>
      <c r="BY3920"/>
      <c r="BZ3920"/>
    </row>
    <row r="3921" spans="8:78" x14ac:dyDescent="0.2">
      <c r="H3921"/>
      <c r="L3921"/>
      <c r="BU3921"/>
      <c r="BV3921"/>
      <c r="BX3921"/>
      <c r="BY3921"/>
      <c r="BZ3921"/>
    </row>
    <row r="3922" spans="8:78" x14ac:dyDescent="0.2">
      <c r="AK3922"/>
      <c r="BZ3922"/>
    </row>
    <row r="3923" spans="8:78" x14ac:dyDescent="0.2">
      <c r="H3923"/>
      <c r="L3923"/>
      <c r="AK3923"/>
      <c r="BU3923"/>
      <c r="BV3923"/>
      <c r="BX3923"/>
      <c r="BY3923"/>
      <c r="BZ3923"/>
    </row>
    <row r="3924" spans="8:78" x14ac:dyDescent="0.2">
      <c r="H3924"/>
      <c r="L3924"/>
      <c r="AK3924"/>
      <c r="BU3924"/>
      <c r="BV3924"/>
      <c r="BX3924"/>
      <c r="BY3924"/>
      <c r="BZ3924"/>
    </row>
    <row r="3925" spans="8:78" x14ac:dyDescent="0.2">
      <c r="H3925"/>
      <c r="L3925"/>
      <c r="AK3925"/>
      <c r="BU3925"/>
      <c r="BV3925"/>
      <c r="BX3925"/>
      <c r="BY3925"/>
      <c r="BZ3925"/>
    </row>
    <row r="3926" spans="8:78" x14ac:dyDescent="0.2">
      <c r="H3926"/>
      <c r="L3926"/>
      <c r="AK3926"/>
      <c r="BU3926"/>
      <c r="BV3926"/>
      <c r="BX3926"/>
      <c r="BY3926"/>
      <c r="BZ3926"/>
    </row>
    <row r="3927" spans="8:78" x14ac:dyDescent="0.2">
      <c r="AK3927"/>
      <c r="BZ3927"/>
    </row>
    <row r="3928" spans="8:78" x14ac:dyDescent="0.2">
      <c r="AK3928"/>
      <c r="BZ3928"/>
    </row>
    <row r="3929" spans="8:78" x14ac:dyDescent="0.2">
      <c r="AK3929"/>
      <c r="BZ3929"/>
    </row>
    <row r="3930" spans="8:78" x14ac:dyDescent="0.2">
      <c r="AK3930"/>
      <c r="BZ3930"/>
    </row>
    <row r="3931" spans="8:78" x14ac:dyDescent="0.2">
      <c r="H3931"/>
      <c r="L3931"/>
      <c r="AK3931"/>
      <c r="BU3931"/>
      <c r="BV3931"/>
      <c r="BX3931"/>
      <c r="BY3931"/>
      <c r="BZ3931"/>
    </row>
    <row r="3932" spans="8:78" x14ac:dyDescent="0.2">
      <c r="H3932"/>
      <c r="L3932"/>
      <c r="AK3932"/>
      <c r="BU3932"/>
      <c r="BV3932"/>
      <c r="BX3932"/>
      <c r="BY3932"/>
      <c r="BZ3932"/>
    </row>
    <row r="3933" spans="8:78" x14ac:dyDescent="0.2">
      <c r="H3933"/>
      <c r="L3933"/>
      <c r="AK3933"/>
      <c r="BU3933"/>
      <c r="BV3933"/>
      <c r="BX3933"/>
      <c r="BY3933"/>
      <c r="BZ3933"/>
    </row>
    <row r="3934" spans="8:78" x14ac:dyDescent="0.2">
      <c r="AK3934"/>
      <c r="BZ3934"/>
    </row>
    <row r="3935" spans="8:78" x14ac:dyDescent="0.2">
      <c r="H3935"/>
      <c r="L3935"/>
      <c r="BU3935"/>
      <c r="BV3935"/>
      <c r="BX3935"/>
      <c r="BY3935"/>
      <c r="BZ3935"/>
    </row>
    <row r="3936" spans="8:78" x14ac:dyDescent="0.2">
      <c r="H3936"/>
      <c r="L3936"/>
      <c r="BU3936"/>
      <c r="BV3936"/>
      <c r="BX3936"/>
      <c r="BY3936"/>
      <c r="BZ3936"/>
    </row>
    <row r="3937" spans="8:78" x14ac:dyDescent="0.2">
      <c r="H3937"/>
      <c r="L3937"/>
      <c r="BU3937"/>
      <c r="BV3937"/>
      <c r="BX3937"/>
      <c r="BY3937"/>
      <c r="BZ3937"/>
    </row>
    <row r="3938" spans="8:78" x14ac:dyDescent="0.2">
      <c r="H3938"/>
      <c r="L3938"/>
      <c r="BU3938"/>
      <c r="BV3938"/>
      <c r="BX3938"/>
      <c r="BY3938"/>
      <c r="BZ3938"/>
    </row>
    <row r="3939" spans="8:78" x14ac:dyDescent="0.2">
      <c r="H3939"/>
      <c r="L3939"/>
      <c r="BU3939"/>
      <c r="BV3939"/>
      <c r="BX3939"/>
      <c r="BY3939"/>
      <c r="BZ3939"/>
    </row>
    <row r="3940" spans="8:78" x14ac:dyDescent="0.2">
      <c r="H3940"/>
      <c r="L3940"/>
      <c r="BU3940"/>
      <c r="BV3940"/>
      <c r="BX3940"/>
      <c r="BY3940"/>
      <c r="BZ3940"/>
    </row>
    <row r="3941" spans="8:78" x14ac:dyDescent="0.2">
      <c r="H3941"/>
      <c r="L3941"/>
      <c r="BU3941"/>
      <c r="BV3941"/>
      <c r="BX3941"/>
      <c r="BY3941"/>
      <c r="BZ3941"/>
    </row>
    <row r="3942" spans="8:78" x14ac:dyDescent="0.2">
      <c r="H3942"/>
      <c r="L3942"/>
      <c r="BU3942"/>
      <c r="BV3942"/>
      <c r="BX3942"/>
      <c r="BY3942"/>
      <c r="BZ3942"/>
    </row>
    <row r="3943" spans="8:78" x14ac:dyDescent="0.2">
      <c r="H3943"/>
      <c r="L3943"/>
      <c r="BU3943"/>
      <c r="BV3943"/>
      <c r="BX3943"/>
      <c r="BY3943"/>
      <c r="BZ3943"/>
    </row>
    <row r="3944" spans="8:78" x14ac:dyDescent="0.2">
      <c r="H3944"/>
      <c r="L3944"/>
      <c r="BU3944"/>
      <c r="BV3944"/>
      <c r="BX3944"/>
      <c r="BY3944"/>
      <c r="BZ3944"/>
    </row>
    <row r="3945" spans="8:78" x14ac:dyDescent="0.2">
      <c r="H3945"/>
      <c r="L3945"/>
      <c r="AK3945"/>
      <c r="BU3945"/>
      <c r="BV3945"/>
      <c r="BX3945"/>
      <c r="BY3945"/>
      <c r="BZ3945"/>
    </row>
    <row r="3946" spans="8:78" x14ac:dyDescent="0.2">
      <c r="H3946"/>
      <c r="L3946"/>
      <c r="AK3946"/>
      <c r="BU3946"/>
      <c r="BV3946"/>
      <c r="BX3946"/>
      <c r="BY3946"/>
      <c r="BZ3946"/>
    </row>
    <row r="3947" spans="8:78" x14ac:dyDescent="0.2">
      <c r="H3947"/>
      <c r="L3947"/>
      <c r="AK3947"/>
      <c r="BU3947"/>
      <c r="BV3947"/>
      <c r="BX3947"/>
      <c r="BY3947"/>
      <c r="BZ3947"/>
    </row>
    <row r="3948" spans="8:78" x14ac:dyDescent="0.2">
      <c r="H3948"/>
      <c r="L3948"/>
      <c r="AK3948"/>
      <c r="BU3948"/>
      <c r="BV3948"/>
      <c r="BX3948"/>
      <c r="BY3948"/>
      <c r="BZ3948"/>
    </row>
    <row r="3949" spans="8:78" x14ac:dyDescent="0.2">
      <c r="H3949"/>
      <c r="L3949"/>
      <c r="AK3949"/>
      <c r="BU3949"/>
      <c r="BV3949"/>
      <c r="BX3949"/>
      <c r="BY3949"/>
      <c r="BZ3949"/>
    </row>
    <row r="3950" spans="8:78" x14ac:dyDescent="0.2">
      <c r="H3950"/>
      <c r="L3950"/>
      <c r="AK3950"/>
      <c r="BU3950"/>
      <c r="BV3950"/>
      <c r="BX3950"/>
      <c r="BY3950"/>
      <c r="BZ3950"/>
    </row>
    <row r="3951" spans="8:78" x14ac:dyDescent="0.2">
      <c r="H3951"/>
      <c r="L3951"/>
      <c r="BU3951"/>
      <c r="BV3951"/>
      <c r="BX3951"/>
      <c r="BY3951"/>
      <c r="BZ3951"/>
    </row>
    <row r="3952" spans="8:78" x14ac:dyDescent="0.2">
      <c r="H3952"/>
      <c r="L3952"/>
      <c r="BU3952"/>
      <c r="BV3952"/>
      <c r="BX3952"/>
      <c r="BY3952"/>
      <c r="BZ3952"/>
    </row>
    <row r="3953" spans="8:78" x14ac:dyDescent="0.2">
      <c r="H3953"/>
      <c r="L3953"/>
      <c r="BU3953"/>
      <c r="BV3953"/>
      <c r="BX3953"/>
      <c r="BY3953"/>
      <c r="BZ3953"/>
    </row>
    <row r="3954" spans="8:78" x14ac:dyDescent="0.2">
      <c r="H3954"/>
      <c r="L3954"/>
      <c r="BU3954"/>
      <c r="BV3954"/>
      <c r="BX3954"/>
      <c r="BY3954"/>
      <c r="BZ3954"/>
    </row>
    <row r="3955" spans="8:78" x14ac:dyDescent="0.2">
      <c r="H3955"/>
      <c r="L3955"/>
      <c r="BU3955"/>
      <c r="BV3955"/>
      <c r="BX3955"/>
      <c r="BY3955"/>
      <c r="BZ3955"/>
    </row>
    <row r="3956" spans="8:78" x14ac:dyDescent="0.2">
      <c r="H3956"/>
      <c r="L3956"/>
      <c r="BU3956"/>
      <c r="BV3956"/>
      <c r="BX3956"/>
      <c r="BY3956"/>
      <c r="BZ3956"/>
    </row>
    <row r="3957" spans="8:78" x14ac:dyDescent="0.2">
      <c r="H3957"/>
      <c r="L3957"/>
      <c r="BU3957"/>
      <c r="BV3957"/>
      <c r="BX3957"/>
      <c r="BY3957"/>
      <c r="BZ3957"/>
    </row>
    <row r="3958" spans="8:78" x14ac:dyDescent="0.2">
      <c r="H3958"/>
      <c r="L3958"/>
      <c r="BU3958"/>
      <c r="BV3958"/>
      <c r="BX3958"/>
      <c r="BY3958"/>
      <c r="BZ3958"/>
    </row>
    <row r="3959" spans="8:78" x14ac:dyDescent="0.2">
      <c r="H3959"/>
      <c r="L3959"/>
      <c r="BU3959"/>
      <c r="BV3959"/>
      <c r="BX3959"/>
      <c r="BY3959"/>
      <c r="BZ3959"/>
    </row>
    <row r="3960" spans="8:78" x14ac:dyDescent="0.2">
      <c r="H3960"/>
      <c r="L3960"/>
      <c r="AK3960"/>
      <c r="BU3960"/>
      <c r="BV3960"/>
      <c r="BX3960"/>
      <c r="BY3960"/>
      <c r="BZ3960"/>
    </row>
    <row r="3961" spans="8:78" x14ac:dyDescent="0.2">
      <c r="H3961"/>
      <c r="L3961"/>
      <c r="BU3961"/>
      <c r="BV3961"/>
      <c r="BX3961"/>
      <c r="BY3961"/>
      <c r="BZ3961"/>
    </row>
    <row r="3962" spans="8:78" x14ac:dyDescent="0.2">
      <c r="H3962"/>
      <c r="L3962"/>
      <c r="BU3962"/>
      <c r="BV3962"/>
      <c r="BX3962"/>
      <c r="BY3962"/>
      <c r="BZ3962"/>
    </row>
    <row r="3963" spans="8:78" x14ac:dyDescent="0.2">
      <c r="H3963"/>
      <c r="L3963"/>
      <c r="BU3963"/>
      <c r="BV3963"/>
      <c r="BX3963"/>
      <c r="BY3963"/>
      <c r="BZ3963"/>
    </row>
    <row r="3964" spans="8:78" x14ac:dyDescent="0.2">
      <c r="H3964"/>
      <c r="L3964"/>
      <c r="BU3964"/>
      <c r="BV3964"/>
      <c r="BX3964"/>
      <c r="BY3964"/>
      <c r="BZ3964"/>
    </row>
    <row r="3965" spans="8:78" x14ac:dyDescent="0.2">
      <c r="H3965"/>
      <c r="L3965"/>
      <c r="BU3965"/>
      <c r="BV3965"/>
      <c r="BX3965"/>
      <c r="BY3965"/>
      <c r="BZ3965"/>
    </row>
    <row r="3966" spans="8:78" x14ac:dyDescent="0.2">
      <c r="H3966"/>
      <c r="L3966"/>
      <c r="AK3966"/>
      <c r="BU3966"/>
      <c r="BV3966"/>
      <c r="BX3966"/>
      <c r="BY3966"/>
      <c r="BZ3966"/>
    </row>
    <row r="3967" spans="8:78" x14ac:dyDescent="0.2">
      <c r="H3967"/>
      <c r="L3967"/>
      <c r="AK3967"/>
      <c r="BU3967"/>
      <c r="BV3967"/>
      <c r="BX3967"/>
      <c r="BY3967"/>
      <c r="BZ3967"/>
    </row>
    <row r="3968" spans="8:78" x14ac:dyDescent="0.2">
      <c r="H3968"/>
      <c r="L3968"/>
      <c r="AK3968"/>
      <c r="BU3968"/>
      <c r="BV3968"/>
      <c r="BX3968"/>
      <c r="BY3968"/>
      <c r="BZ3968"/>
    </row>
    <row r="3969" spans="8:78" x14ac:dyDescent="0.2">
      <c r="H3969"/>
      <c r="L3969"/>
      <c r="AK3969"/>
      <c r="BU3969"/>
      <c r="BV3969"/>
      <c r="BX3969"/>
      <c r="BY3969"/>
      <c r="BZ3969"/>
    </row>
    <row r="3970" spans="8:78" x14ac:dyDescent="0.2">
      <c r="H3970"/>
      <c r="L3970"/>
      <c r="AK3970"/>
      <c r="BU3970"/>
      <c r="BV3970"/>
      <c r="BX3970"/>
      <c r="BY3970"/>
      <c r="BZ3970"/>
    </row>
    <row r="3971" spans="8:78" x14ac:dyDescent="0.2">
      <c r="H3971"/>
      <c r="L3971"/>
      <c r="AK3971"/>
      <c r="BU3971"/>
      <c r="BV3971"/>
      <c r="BX3971"/>
      <c r="BY3971"/>
      <c r="BZ3971"/>
    </row>
    <row r="3972" spans="8:78" x14ac:dyDescent="0.2">
      <c r="H3972"/>
      <c r="L3972"/>
      <c r="AK3972"/>
      <c r="BU3972"/>
      <c r="BV3972"/>
      <c r="BZ3972"/>
    </row>
    <row r="3973" spans="8:78" x14ac:dyDescent="0.2">
      <c r="H3973"/>
      <c r="L3973"/>
      <c r="AK3973"/>
      <c r="BU3973"/>
      <c r="BV3973"/>
      <c r="BX3973"/>
      <c r="BY3973"/>
      <c r="BZ3973"/>
    </row>
    <row r="3974" spans="8:78" x14ac:dyDescent="0.2">
      <c r="H3974"/>
      <c r="L3974"/>
      <c r="AK3974"/>
      <c r="BU3974"/>
      <c r="BV3974"/>
      <c r="BZ3974"/>
    </row>
    <row r="3975" spans="8:78" x14ac:dyDescent="0.2">
      <c r="AK3975"/>
      <c r="BZ3975"/>
    </row>
    <row r="3976" spans="8:78" x14ac:dyDescent="0.2">
      <c r="AK3976"/>
      <c r="BZ3976"/>
    </row>
    <row r="3977" spans="8:78" x14ac:dyDescent="0.2">
      <c r="AK3977"/>
      <c r="BZ3977"/>
    </row>
    <row r="3978" spans="8:78" x14ac:dyDescent="0.2">
      <c r="H3978"/>
      <c r="L3978"/>
      <c r="BU3978"/>
      <c r="BV3978"/>
      <c r="BZ3978"/>
    </row>
    <row r="3979" spans="8:78" x14ac:dyDescent="0.2">
      <c r="H3979"/>
      <c r="L3979"/>
      <c r="AK3979"/>
      <c r="BU3979"/>
      <c r="BV3979"/>
      <c r="BZ3979"/>
    </row>
    <row r="3980" spans="8:78" x14ac:dyDescent="0.2">
      <c r="H3980"/>
      <c r="L3980"/>
      <c r="AK3980"/>
      <c r="BU3980"/>
      <c r="BV3980"/>
      <c r="BZ3980"/>
    </row>
    <row r="3981" spans="8:78" x14ac:dyDescent="0.2">
      <c r="H3981"/>
      <c r="L3981"/>
      <c r="AK3981"/>
      <c r="BU3981"/>
      <c r="BV3981"/>
      <c r="BZ3981"/>
    </row>
    <row r="3982" spans="8:78" x14ac:dyDescent="0.2">
      <c r="H3982"/>
      <c r="L3982"/>
      <c r="AK3982"/>
      <c r="BU3982"/>
      <c r="BV3982"/>
      <c r="BZ3982"/>
    </row>
    <row r="3983" spans="8:78" x14ac:dyDescent="0.2">
      <c r="H3983"/>
      <c r="L3983"/>
      <c r="AK3983"/>
      <c r="BU3983"/>
      <c r="BV3983"/>
      <c r="BZ3983"/>
    </row>
    <row r="3984" spans="8:78" x14ac:dyDescent="0.2">
      <c r="H3984"/>
      <c r="L3984"/>
      <c r="AK3984"/>
      <c r="BU3984"/>
      <c r="BV3984"/>
      <c r="BZ3984"/>
    </row>
    <row r="3985" spans="8:78" x14ac:dyDescent="0.2">
      <c r="H3985"/>
      <c r="L3985"/>
      <c r="BU3985"/>
      <c r="BV3985"/>
      <c r="BZ3985"/>
    </row>
    <row r="3986" spans="8:78" x14ac:dyDescent="0.2">
      <c r="H3986"/>
      <c r="L3986"/>
      <c r="BU3986"/>
      <c r="BV3986"/>
      <c r="BZ3986"/>
    </row>
    <row r="3987" spans="8:78" x14ac:dyDescent="0.2">
      <c r="BZ3987"/>
    </row>
    <row r="3988" spans="8:78" x14ac:dyDescent="0.2">
      <c r="H3988"/>
      <c r="L3988"/>
      <c r="AK3988"/>
      <c r="BU3988"/>
      <c r="BV3988"/>
      <c r="BZ3988"/>
    </row>
    <row r="3989" spans="8:78" x14ac:dyDescent="0.2">
      <c r="H3989"/>
      <c r="L3989"/>
      <c r="AK3989"/>
      <c r="BU3989"/>
      <c r="BV3989"/>
      <c r="BZ3989"/>
    </row>
    <row r="3990" spans="8:78" x14ac:dyDescent="0.2">
      <c r="H3990"/>
      <c r="L3990"/>
      <c r="AK3990"/>
      <c r="BU3990"/>
      <c r="BV3990"/>
      <c r="BZ3990"/>
    </row>
    <row r="3991" spans="8:78" x14ac:dyDescent="0.2">
      <c r="H3991"/>
      <c r="L3991"/>
      <c r="AK3991"/>
      <c r="BU3991"/>
      <c r="BV3991"/>
      <c r="BZ3991"/>
    </row>
    <row r="3992" spans="8:78" x14ac:dyDescent="0.2">
      <c r="H3992"/>
      <c r="L3992"/>
      <c r="AK3992"/>
      <c r="BU3992"/>
      <c r="BV3992"/>
      <c r="BZ3992"/>
    </row>
    <row r="3993" spans="8:78" x14ac:dyDescent="0.2">
      <c r="H3993"/>
      <c r="L3993"/>
      <c r="AK3993"/>
      <c r="BU3993"/>
      <c r="BV3993"/>
      <c r="BZ3993"/>
    </row>
    <row r="3994" spans="8:78" x14ac:dyDescent="0.2">
      <c r="AK3994"/>
      <c r="BZ3994"/>
    </row>
    <row r="3995" spans="8:78" x14ac:dyDescent="0.2">
      <c r="AK3995"/>
      <c r="BZ3995"/>
    </row>
    <row r="3996" spans="8:78" x14ac:dyDescent="0.2">
      <c r="AK3996"/>
      <c r="BZ3996"/>
    </row>
    <row r="3997" spans="8:78" x14ac:dyDescent="0.2">
      <c r="H3997"/>
      <c r="L3997"/>
      <c r="AK3997"/>
      <c r="BU3997"/>
      <c r="BV3997"/>
      <c r="BZ3997"/>
    </row>
    <row r="3998" spans="8:78" x14ac:dyDescent="0.2">
      <c r="H3998"/>
      <c r="L3998"/>
      <c r="BU3998"/>
      <c r="BV3998"/>
      <c r="BZ3998"/>
    </row>
    <row r="3999" spans="8:78" x14ac:dyDescent="0.2">
      <c r="H3999"/>
      <c r="L3999"/>
      <c r="BU3999"/>
      <c r="BV3999"/>
      <c r="BZ3999"/>
    </row>
    <row r="4000" spans="8:78" x14ac:dyDescent="0.2">
      <c r="H4000"/>
      <c r="L4000"/>
      <c r="BU4000"/>
      <c r="BV4000"/>
      <c r="BZ4000"/>
    </row>
    <row r="4001" spans="8:78" x14ac:dyDescent="0.2">
      <c r="H4001"/>
      <c r="L4001"/>
      <c r="AK4001"/>
      <c r="BU4001"/>
      <c r="BV4001"/>
      <c r="BZ4001"/>
    </row>
    <row r="4002" spans="8:78" x14ac:dyDescent="0.2">
      <c r="H4002"/>
      <c r="L4002"/>
      <c r="AK4002"/>
      <c r="BU4002"/>
      <c r="BV4002"/>
      <c r="BZ4002"/>
    </row>
    <row r="4003" spans="8:78" x14ac:dyDescent="0.2">
      <c r="H4003"/>
      <c r="L4003"/>
      <c r="BU4003"/>
      <c r="BV4003"/>
      <c r="BZ4003"/>
    </row>
    <row r="4004" spans="8:78" x14ac:dyDescent="0.2">
      <c r="H4004"/>
      <c r="L4004"/>
      <c r="BU4004"/>
      <c r="BV4004"/>
      <c r="BZ4004"/>
    </row>
    <row r="4005" spans="8:78" x14ac:dyDescent="0.2">
      <c r="H4005"/>
      <c r="L4005"/>
      <c r="AK4005"/>
      <c r="BU4005"/>
      <c r="BV4005"/>
      <c r="BZ4005"/>
    </row>
    <row r="4006" spans="8:78" x14ac:dyDescent="0.2">
      <c r="H4006"/>
      <c r="L4006"/>
      <c r="BU4006"/>
      <c r="BV4006"/>
      <c r="BZ4006"/>
    </row>
    <row r="4007" spans="8:78" x14ac:dyDescent="0.2">
      <c r="H4007"/>
      <c r="L4007"/>
      <c r="BU4007"/>
      <c r="BV4007"/>
      <c r="BZ4007"/>
    </row>
    <row r="4008" spans="8:78" x14ac:dyDescent="0.2">
      <c r="H4008"/>
      <c r="L4008"/>
      <c r="AK4008"/>
      <c r="BU4008"/>
      <c r="BV4008"/>
      <c r="BZ4008"/>
    </row>
    <row r="4009" spans="8:78" x14ac:dyDescent="0.2">
      <c r="H4009"/>
      <c r="L4009"/>
      <c r="BU4009"/>
      <c r="BV4009"/>
      <c r="BZ4009"/>
    </row>
    <row r="4010" spans="8:78" x14ac:dyDescent="0.2">
      <c r="H4010"/>
      <c r="L4010"/>
      <c r="BU4010"/>
      <c r="BV4010"/>
      <c r="BZ4010"/>
    </row>
    <row r="4011" spans="8:78" x14ac:dyDescent="0.2">
      <c r="H4011"/>
      <c r="L4011"/>
      <c r="BU4011"/>
      <c r="BV4011"/>
      <c r="BZ4011"/>
    </row>
    <row r="4012" spans="8:78" x14ac:dyDescent="0.2">
      <c r="BZ4012"/>
    </row>
    <row r="4013" spans="8:78" x14ac:dyDescent="0.2">
      <c r="BZ4013"/>
    </row>
    <row r="4014" spans="8:78" x14ac:dyDescent="0.2">
      <c r="BZ4014"/>
    </row>
    <row r="4015" spans="8:78" x14ac:dyDescent="0.2">
      <c r="H4015"/>
      <c r="L4015"/>
      <c r="BU4015"/>
      <c r="BV4015"/>
      <c r="BZ4015"/>
    </row>
    <row r="4016" spans="8:78" x14ac:dyDescent="0.2">
      <c r="H4016"/>
      <c r="L4016"/>
      <c r="BU4016"/>
      <c r="BV4016"/>
      <c r="BZ4016"/>
    </row>
    <row r="4017" spans="8:78" x14ac:dyDescent="0.2">
      <c r="H4017"/>
      <c r="L4017"/>
      <c r="BU4017"/>
      <c r="BV4017"/>
      <c r="BZ4017"/>
    </row>
    <row r="4018" spans="8:78" x14ac:dyDescent="0.2">
      <c r="H4018"/>
      <c r="L4018"/>
      <c r="BU4018"/>
      <c r="BV4018"/>
      <c r="BZ4018"/>
    </row>
    <row r="4019" spans="8:78" x14ac:dyDescent="0.2">
      <c r="H4019"/>
      <c r="L4019"/>
      <c r="BU4019"/>
      <c r="BV4019"/>
      <c r="BZ4019"/>
    </row>
    <row r="4020" spans="8:78" x14ac:dyDescent="0.2">
      <c r="H4020"/>
      <c r="L4020"/>
      <c r="BU4020"/>
      <c r="BV4020"/>
      <c r="BZ4020"/>
    </row>
    <row r="4021" spans="8:78" x14ac:dyDescent="0.2">
      <c r="H4021"/>
      <c r="L4021"/>
      <c r="AK4021"/>
      <c r="BU4021"/>
      <c r="BV4021"/>
      <c r="BZ4021"/>
    </row>
    <row r="4022" spans="8:78" x14ac:dyDescent="0.2">
      <c r="H4022"/>
      <c r="L4022"/>
      <c r="AK4022"/>
      <c r="BU4022"/>
      <c r="BV4022"/>
      <c r="BZ4022"/>
    </row>
    <row r="4023" spans="8:78" x14ac:dyDescent="0.2">
      <c r="H4023"/>
      <c r="L4023"/>
      <c r="AK4023"/>
      <c r="BU4023"/>
      <c r="BV4023"/>
      <c r="BZ4023"/>
    </row>
    <row r="4024" spans="8:78" x14ac:dyDescent="0.2">
      <c r="H4024"/>
      <c r="L4024"/>
      <c r="AK4024"/>
      <c r="BU4024"/>
      <c r="BV4024"/>
      <c r="BZ4024"/>
    </row>
    <row r="4025" spans="8:78" x14ac:dyDescent="0.2">
      <c r="H4025"/>
      <c r="L4025"/>
      <c r="AK4025"/>
      <c r="BU4025"/>
      <c r="BV4025"/>
      <c r="BZ4025"/>
    </row>
    <row r="4026" spans="8:78" x14ac:dyDescent="0.2">
      <c r="AK4026"/>
      <c r="BZ4026"/>
    </row>
    <row r="4027" spans="8:78" x14ac:dyDescent="0.2">
      <c r="BZ4027"/>
    </row>
    <row r="4028" spans="8:78" x14ac:dyDescent="0.2">
      <c r="AK4028"/>
      <c r="BZ4028"/>
    </row>
    <row r="4029" spans="8:78" x14ac:dyDescent="0.2">
      <c r="AK4029"/>
      <c r="BZ4029"/>
    </row>
    <row r="4030" spans="8:78" x14ac:dyDescent="0.2">
      <c r="BZ4030"/>
    </row>
    <row r="4031" spans="8:78" x14ac:dyDescent="0.2">
      <c r="BZ4031"/>
    </row>
    <row r="4032" spans="8:78" x14ac:dyDescent="0.2">
      <c r="BZ4032"/>
    </row>
    <row r="4033" spans="8:78" x14ac:dyDescent="0.2">
      <c r="H4033"/>
      <c r="L4033"/>
      <c r="AK4033"/>
      <c r="BU4033"/>
      <c r="BV4033"/>
      <c r="BZ4033"/>
    </row>
    <row r="4034" spans="8:78" x14ac:dyDescent="0.2">
      <c r="H4034"/>
      <c r="L4034"/>
      <c r="AK4034"/>
      <c r="BU4034"/>
      <c r="BV4034"/>
      <c r="BZ4034"/>
    </row>
    <row r="4035" spans="8:78" x14ac:dyDescent="0.2">
      <c r="H4035"/>
      <c r="L4035"/>
      <c r="BU4035"/>
      <c r="BV4035"/>
      <c r="BZ4035"/>
    </row>
    <row r="4036" spans="8:78" x14ac:dyDescent="0.2">
      <c r="H4036"/>
      <c r="L4036"/>
      <c r="AK4036"/>
      <c r="BU4036"/>
      <c r="BV4036"/>
      <c r="BZ4036"/>
    </row>
    <row r="4037" spans="8:78" x14ac:dyDescent="0.2">
      <c r="H4037"/>
      <c r="L4037"/>
      <c r="AK4037"/>
      <c r="BU4037"/>
      <c r="BV4037"/>
      <c r="BZ4037"/>
    </row>
    <row r="4038" spans="8:78" x14ac:dyDescent="0.2">
      <c r="H4038"/>
      <c r="L4038"/>
      <c r="AK4038"/>
      <c r="BU4038"/>
      <c r="BV4038"/>
      <c r="BZ4038"/>
    </row>
    <row r="4039" spans="8:78" x14ac:dyDescent="0.2">
      <c r="H4039"/>
      <c r="L4039"/>
      <c r="AK4039"/>
      <c r="BU4039"/>
      <c r="BV4039"/>
      <c r="BZ4039"/>
    </row>
    <row r="4040" spans="8:78" x14ac:dyDescent="0.2">
      <c r="H4040"/>
      <c r="L4040"/>
      <c r="AK4040"/>
      <c r="BU4040"/>
      <c r="BV4040"/>
      <c r="BZ4040"/>
    </row>
    <row r="4041" spans="8:78" x14ac:dyDescent="0.2">
      <c r="H4041"/>
      <c r="L4041"/>
      <c r="AK4041"/>
      <c r="BU4041"/>
      <c r="BV4041"/>
      <c r="BZ4041"/>
    </row>
    <row r="4042" spans="8:78" x14ac:dyDescent="0.2">
      <c r="H4042"/>
      <c r="L4042"/>
      <c r="AK4042"/>
      <c r="BU4042"/>
      <c r="BV4042"/>
      <c r="BZ4042"/>
    </row>
    <row r="4043" spans="8:78" x14ac:dyDescent="0.2">
      <c r="H4043"/>
      <c r="L4043"/>
      <c r="AK4043"/>
      <c r="BU4043"/>
      <c r="BV4043"/>
      <c r="BZ4043"/>
    </row>
    <row r="4044" spans="8:78" x14ac:dyDescent="0.2">
      <c r="H4044"/>
      <c r="L4044"/>
      <c r="AK4044"/>
      <c r="BU4044"/>
      <c r="BV4044"/>
      <c r="BZ4044"/>
    </row>
    <row r="4045" spans="8:78" x14ac:dyDescent="0.2">
      <c r="H4045"/>
      <c r="L4045"/>
      <c r="BU4045"/>
      <c r="BV4045"/>
      <c r="BZ4045"/>
    </row>
    <row r="4046" spans="8:78" x14ac:dyDescent="0.2">
      <c r="H4046"/>
      <c r="L4046"/>
      <c r="BU4046"/>
      <c r="BV4046"/>
      <c r="BZ4046"/>
    </row>
    <row r="4047" spans="8:78" x14ac:dyDescent="0.2">
      <c r="H4047"/>
      <c r="L4047"/>
      <c r="BU4047"/>
      <c r="BV4047"/>
      <c r="BZ4047"/>
    </row>
    <row r="4048" spans="8:78" x14ac:dyDescent="0.2">
      <c r="H4048"/>
      <c r="L4048"/>
      <c r="BU4048"/>
      <c r="BV4048"/>
      <c r="BZ4048"/>
    </row>
    <row r="4049" spans="8:78" x14ac:dyDescent="0.2">
      <c r="H4049"/>
      <c r="L4049"/>
      <c r="AK4049"/>
      <c r="BU4049"/>
      <c r="BV4049"/>
      <c r="BZ4049"/>
    </row>
    <row r="4050" spans="8:78" x14ac:dyDescent="0.2">
      <c r="H4050"/>
      <c r="L4050"/>
      <c r="AK4050"/>
      <c r="BU4050"/>
      <c r="BV4050"/>
      <c r="BZ4050"/>
    </row>
    <row r="4051" spans="8:78" x14ac:dyDescent="0.2">
      <c r="H4051"/>
      <c r="L4051"/>
      <c r="AK4051"/>
      <c r="BU4051"/>
      <c r="BV4051"/>
      <c r="BZ4051"/>
    </row>
    <row r="4052" spans="8:78" x14ac:dyDescent="0.2">
      <c r="H4052"/>
      <c r="L4052"/>
      <c r="AK4052"/>
      <c r="BU4052"/>
      <c r="BV4052"/>
      <c r="BZ4052"/>
    </row>
    <row r="4053" spans="8:78" x14ac:dyDescent="0.2">
      <c r="H4053"/>
      <c r="L4053"/>
      <c r="AK4053"/>
      <c r="BU4053"/>
      <c r="BV4053"/>
      <c r="BZ4053"/>
    </row>
    <row r="4054" spans="8:78" x14ac:dyDescent="0.2">
      <c r="AK4054"/>
      <c r="BZ4054"/>
    </row>
    <row r="4055" spans="8:78" x14ac:dyDescent="0.2">
      <c r="H4055"/>
      <c r="L4055"/>
      <c r="AK4055"/>
      <c r="BU4055"/>
      <c r="BV4055"/>
      <c r="BZ4055"/>
    </row>
    <row r="4056" spans="8:78" x14ac:dyDescent="0.2">
      <c r="BZ4056"/>
    </row>
    <row r="4057" spans="8:78" x14ac:dyDescent="0.2">
      <c r="BZ4057"/>
    </row>
    <row r="4058" spans="8:78" x14ac:dyDescent="0.2">
      <c r="BZ4058"/>
    </row>
    <row r="4059" spans="8:78" x14ac:dyDescent="0.2">
      <c r="H4059"/>
      <c r="L4059"/>
      <c r="BU4059"/>
      <c r="BV4059"/>
      <c r="BZ4059"/>
    </row>
    <row r="4060" spans="8:78" x14ac:dyDescent="0.2">
      <c r="H4060"/>
      <c r="L4060"/>
      <c r="BU4060"/>
      <c r="BV4060"/>
      <c r="BZ4060"/>
    </row>
    <row r="4061" spans="8:78" x14ac:dyDescent="0.2">
      <c r="H4061"/>
      <c r="L4061"/>
      <c r="BU4061"/>
      <c r="BV4061"/>
      <c r="BZ4061"/>
    </row>
    <row r="4062" spans="8:78" x14ac:dyDescent="0.2">
      <c r="H4062"/>
      <c r="L4062"/>
      <c r="BU4062"/>
      <c r="BV4062"/>
      <c r="BZ4062"/>
    </row>
    <row r="4063" spans="8:78" x14ac:dyDescent="0.2">
      <c r="H4063"/>
      <c r="L4063"/>
      <c r="BU4063"/>
      <c r="BV4063"/>
      <c r="BX4063"/>
      <c r="BY4063"/>
      <c r="BZ4063"/>
    </row>
    <row r="4064" spans="8:78" x14ac:dyDescent="0.2">
      <c r="H4064"/>
      <c r="L4064"/>
      <c r="AK4064"/>
      <c r="BU4064"/>
      <c r="BV4064"/>
      <c r="BZ4064"/>
    </row>
    <row r="4065" spans="8:78" x14ac:dyDescent="0.2">
      <c r="H4065"/>
      <c r="L4065"/>
      <c r="BU4065"/>
      <c r="BV4065"/>
      <c r="BZ4065"/>
    </row>
    <row r="4066" spans="8:78" x14ac:dyDescent="0.2">
      <c r="H4066"/>
      <c r="L4066"/>
      <c r="BU4066"/>
      <c r="BV4066"/>
      <c r="BZ4066"/>
    </row>
    <row r="4067" spans="8:78" x14ac:dyDescent="0.2">
      <c r="H4067"/>
      <c r="L4067"/>
      <c r="BU4067"/>
      <c r="BV4067"/>
      <c r="BZ4067"/>
    </row>
    <row r="4068" spans="8:78" x14ac:dyDescent="0.2">
      <c r="H4068"/>
      <c r="L4068"/>
      <c r="AK4068"/>
      <c r="BU4068"/>
      <c r="BV4068"/>
      <c r="BZ4068"/>
    </row>
    <row r="4069" spans="8:78" x14ac:dyDescent="0.2">
      <c r="H4069"/>
      <c r="L4069"/>
      <c r="AK4069"/>
      <c r="BU4069"/>
      <c r="BV4069"/>
      <c r="BZ4069"/>
    </row>
    <row r="4070" spans="8:78" x14ac:dyDescent="0.2">
      <c r="H4070"/>
      <c r="L4070"/>
      <c r="AK4070"/>
      <c r="BU4070"/>
      <c r="BV4070"/>
      <c r="BZ4070"/>
    </row>
    <row r="4071" spans="8:78" x14ac:dyDescent="0.2">
      <c r="H4071"/>
      <c r="L4071"/>
      <c r="AK4071"/>
      <c r="BU4071"/>
      <c r="BV4071"/>
      <c r="BZ4071"/>
    </row>
    <row r="4072" spans="8:78" x14ac:dyDescent="0.2">
      <c r="H4072"/>
      <c r="L4072"/>
      <c r="AK4072"/>
      <c r="BU4072"/>
      <c r="BV4072"/>
      <c r="BZ4072"/>
    </row>
    <row r="4073" spans="8:78" x14ac:dyDescent="0.2">
      <c r="H4073"/>
      <c r="L4073"/>
      <c r="AK4073"/>
      <c r="BU4073"/>
      <c r="BV4073"/>
      <c r="BZ4073"/>
    </row>
    <row r="4074" spans="8:78" x14ac:dyDescent="0.2">
      <c r="H4074"/>
      <c r="L4074"/>
      <c r="AK4074"/>
      <c r="BU4074"/>
      <c r="BV4074"/>
      <c r="BZ4074"/>
    </row>
    <row r="4075" spans="8:78" x14ac:dyDescent="0.2">
      <c r="H4075"/>
      <c r="L4075"/>
      <c r="AK4075"/>
      <c r="BU4075"/>
      <c r="BV4075"/>
      <c r="BZ4075"/>
    </row>
    <row r="4076" spans="8:78" x14ac:dyDescent="0.2">
      <c r="H4076"/>
      <c r="L4076"/>
      <c r="AK4076"/>
      <c r="BU4076"/>
      <c r="BV4076"/>
      <c r="BZ4076"/>
    </row>
    <row r="4077" spans="8:78" x14ac:dyDescent="0.2">
      <c r="H4077"/>
      <c r="L4077"/>
      <c r="AK4077"/>
      <c r="BU4077"/>
      <c r="BV4077"/>
      <c r="BZ4077"/>
    </row>
    <row r="4078" spans="8:78" x14ac:dyDescent="0.2">
      <c r="H4078"/>
      <c r="L4078"/>
      <c r="BU4078"/>
      <c r="BV4078"/>
      <c r="BZ4078"/>
    </row>
    <row r="4079" spans="8:78" x14ac:dyDescent="0.2">
      <c r="H4079"/>
      <c r="L4079"/>
      <c r="BU4079"/>
      <c r="BV4079"/>
      <c r="BZ4079"/>
    </row>
    <row r="4080" spans="8:78" x14ac:dyDescent="0.2">
      <c r="H4080"/>
      <c r="L4080"/>
      <c r="BU4080"/>
      <c r="BV4080"/>
      <c r="BZ4080"/>
    </row>
    <row r="4081" spans="8:78" x14ac:dyDescent="0.2">
      <c r="H4081"/>
      <c r="L4081"/>
      <c r="BU4081"/>
      <c r="BV4081"/>
      <c r="BZ4081"/>
    </row>
    <row r="4082" spans="8:78" x14ac:dyDescent="0.2">
      <c r="H4082"/>
      <c r="L4082"/>
      <c r="BU4082"/>
      <c r="BV4082"/>
      <c r="BZ4082"/>
    </row>
    <row r="4083" spans="8:78" x14ac:dyDescent="0.2">
      <c r="H4083"/>
      <c r="L4083"/>
      <c r="BU4083"/>
      <c r="BV4083"/>
      <c r="BZ4083"/>
    </row>
    <row r="4084" spans="8:78" x14ac:dyDescent="0.2">
      <c r="H4084"/>
      <c r="L4084"/>
      <c r="BU4084"/>
      <c r="BV4084"/>
      <c r="BZ4084"/>
    </row>
    <row r="4085" spans="8:78" x14ac:dyDescent="0.2">
      <c r="H4085"/>
      <c r="L4085"/>
      <c r="BU4085"/>
      <c r="BV4085"/>
      <c r="BZ4085"/>
    </row>
    <row r="4086" spans="8:78" x14ac:dyDescent="0.2">
      <c r="H4086"/>
      <c r="L4086"/>
      <c r="BU4086"/>
      <c r="BV4086"/>
      <c r="BZ4086"/>
    </row>
    <row r="4087" spans="8:78" x14ac:dyDescent="0.2">
      <c r="H4087"/>
      <c r="L4087"/>
      <c r="BU4087"/>
      <c r="BV4087"/>
      <c r="BZ4087"/>
    </row>
    <row r="4088" spans="8:78" x14ac:dyDescent="0.2">
      <c r="H4088"/>
      <c r="L4088"/>
      <c r="BU4088"/>
      <c r="BV4088"/>
      <c r="BZ4088"/>
    </row>
    <row r="4089" spans="8:78" x14ac:dyDescent="0.2">
      <c r="H4089"/>
      <c r="L4089"/>
      <c r="BU4089"/>
      <c r="BV4089"/>
      <c r="BZ4089"/>
    </row>
    <row r="4090" spans="8:78" x14ac:dyDescent="0.2">
      <c r="H4090"/>
      <c r="L4090"/>
      <c r="AK4090"/>
      <c r="BU4090"/>
      <c r="BV4090"/>
      <c r="BZ4090"/>
    </row>
    <row r="4091" spans="8:78" x14ac:dyDescent="0.2">
      <c r="H4091"/>
      <c r="L4091"/>
      <c r="AK4091"/>
      <c r="BU4091"/>
      <c r="BV4091"/>
      <c r="BZ4091"/>
    </row>
    <row r="4092" spans="8:78" x14ac:dyDescent="0.2">
      <c r="AK4092"/>
      <c r="BZ4092"/>
    </row>
    <row r="4093" spans="8:78" x14ac:dyDescent="0.2">
      <c r="H4093"/>
      <c r="L4093"/>
      <c r="AK4093"/>
      <c r="BU4093"/>
      <c r="BV4093"/>
      <c r="BZ4093"/>
    </row>
    <row r="4094" spans="8:78" x14ac:dyDescent="0.2">
      <c r="H4094"/>
      <c r="L4094"/>
      <c r="AK4094"/>
      <c r="BU4094"/>
      <c r="BV4094"/>
      <c r="BZ4094"/>
    </row>
    <row r="4095" spans="8:78" x14ac:dyDescent="0.2">
      <c r="H4095"/>
      <c r="L4095"/>
      <c r="AK4095"/>
      <c r="BU4095"/>
      <c r="BV4095"/>
      <c r="BX4095"/>
      <c r="BY4095"/>
      <c r="BZ4095"/>
    </row>
    <row r="4096" spans="8:78" x14ac:dyDescent="0.2">
      <c r="H4096"/>
      <c r="L4096"/>
      <c r="BU4096"/>
      <c r="BV4096"/>
      <c r="BX4096"/>
      <c r="BY4096"/>
      <c r="BZ4096"/>
    </row>
    <row r="4097" spans="8:78" x14ac:dyDescent="0.2">
      <c r="H4097"/>
      <c r="L4097"/>
      <c r="BU4097"/>
      <c r="BV4097"/>
      <c r="BX4097"/>
      <c r="BY4097"/>
      <c r="BZ4097"/>
    </row>
    <row r="4098" spans="8:78" x14ac:dyDescent="0.2">
      <c r="H4098"/>
      <c r="L4098"/>
      <c r="BU4098"/>
      <c r="BV4098"/>
      <c r="BZ4098"/>
    </row>
    <row r="4099" spans="8:78" x14ac:dyDescent="0.2">
      <c r="H4099"/>
      <c r="L4099"/>
      <c r="BU4099"/>
      <c r="BV4099"/>
      <c r="BZ4099"/>
    </row>
    <row r="4100" spans="8:78" x14ac:dyDescent="0.2">
      <c r="H4100"/>
      <c r="L4100"/>
      <c r="BU4100"/>
      <c r="BV4100"/>
      <c r="BX4100"/>
      <c r="BY4100"/>
      <c r="BZ4100"/>
    </row>
    <row r="4101" spans="8:78" x14ac:dyDescent="0.2">
      <c r="H4101"/>
      <c r="L4101"/>
      <c r="BU4101"/>
      <c r="BV4101"/>
      <c r="BX4101"/>
      <c r="BY4101"/>
      <c r="BZ4101"/>
    </row>
    <row r="4102" spans="8:78" x14ac:dyDescent="0.2">
      <c r="H4102"/>
      <c r="L4102"/>
      <c r="BU4102"/>
      <c r="BV4102"/>
      <c r="BX4102"/>
      <c r="BY4102"/>
      <c r="BZ4102"/>
    </row>
    <row r="4103" spans="8:78" x14ac:dyDescent="0.2">
      <c r="H4103"/>
      <c r="L4103"/>
      <c r="BU4103"/>
      <c r="BV4103"/>
      <c r="BX4103"/>
      <c r="BY4103"/>
      <c r="BZ4103"/>
    </row>
    <row r="4104" spans="8:78" x14ac:dyDescent="0.2">
      <c r="H4104"/>
      <c r="L4104"/>
      <c r="BU4104"/>
      <c r="BV4104"/>
      <c r="BX4104"/>
      <c r="BY4104"/>
      <c r="BZ4104"/>
    </row>
    <row r="4105" spans="8:78" x14ac:dyDescent="0.2">
      <c r="H4105"/>
      <c r="L4105"/>
      <c r="BU4105"/>
      <c r="BV4105"/>
      <c r="BX4105"/>
      <c r="BY4105"/>
      <c r="BZ4105"/>
    </row>
    <row r="4106" spans="8:78" x14ac:dyDescent="0.2">
      <c r="H4106"/>
      <c r="L4106"/>
      <c r="BU4106"/>
      <c r="BV4106"/>
      <c r="BX4106"/>
      <c r="BY4106"/>
      <c r="BZ4106"/>
    </row>
    <row r="4107" spans="8:78" x14ac:dyDescent="0.2">
      <c r="BZ4107"/>
    </row>
    <row r="4108" spans="8:78" x14ac:dyDescent="0.2">
      <c r="BZ4108"/>
    </row>
    <row r="4109" spans="8:78" x14ac:dyDescent="0.2">
      <c r="BZ4109"/>
    </row>
    <row r="4110" spans="8:78" x14ac:dyDescent="0.2">
      <c r="BZ4110"/>
    </row>
    <row r="4111" spans="8:78" x14ac:dyDescent="0.2">
      <c r="BZ4111"/>
    </row>
    <row r="4112" spans="8:78" x14ac:dyDescent="0.2">
      <c r="AK4112"/>
      <c r="BZ4112"/>
    </row>
    <row r="4113" spans="8:78" x14ac:dyDescent="0.2">
      <c r="H4113"/>
      <c r="L4113"/>
      <c r="BU4113"/>
      <c r="BV4113"/>
      <c r="BX4113"/>
      <c r="BY4113"/>
      <c r="BZ4113"/>
    </row>
    <row r="4114" spans="8:78" x14ac:dyDescent="0.2">
      <c r="H4114"/>
      <c r="L4114"/>
      <c r="BU4114"/>
      <c r="BV4114"/>
      <c r="BX4114"/>
      <c r="BY4114"/>
      <c r="BZ4114"/>
    </row>
    <row r="4115" spans="8:78" x14ac:dyDescent="0.2">
      <c r="H4115"/>
      <c r="L4115"/>
      <c r="AK4115"/>
      <c r="BU4115"/>
      <c r="BV4115"/>
      <c r="BX4115"/>
      <c r="BY4115"/>
      <c r="BZ4115"/>
    </row>
    <row r="4116" spans="8:78" x14ac:dyDescent="0.2">
      <c r="H4116"/>
      <c r="L4116"/>
      <c r="AK4116"/>
      <c r="BU4116"/>
      <c r="BV4116"/>
      <c r="BX4116"/>
      <c r="BY4116"/>
      <c r="BZ4116"/>
    </row>
    <row r="4117" spans="8:78" x14ac:dyDescent="0.2">
      <c r="H4117"/>
      <c r="L4117"/>
      <c r="BU4117"/>
      <c r="BV4117"/>
      <c r="BX4117"/>
      <c r="BY4117"/>
      <c r="BZ4117"/>
    </row>
    <row r="4118" spans="8:78" x14ac:dyDescent="0.2">
      <c r="H4118"/>
      <c r="L4118"/>
      <c r="BU4118"/>
      <c r="BV4118"/>
      <c r="BX4118"/>
      <c r="BY4118"/>
      <c r="BZ4118"/>
    </row>
    <row r="4119" spans="8:78" x14ac:dyDescent="0.2">
      <c r="H4119"/>
      <c r="L4119"/>
      <c r="AK4119"/>
      <c r="BU4119"/>
      <c r="BV4119"/>
      <c r="BX4119"/>
      <c r="BY4119"/>
      <c r="BZ4119"/>
    </row>
    <row r="4120" spans="8:78" x14ac:dyDescent="0.2">
      <c r="H4120"/>
      <c r="L4120"/>
      <c r="AK4120"/>
      <c r="BU4120"/>
      <c r="BV4120"/>
      <c r="BX4120"/>
      <c r="BY4120"/>
      <c r="BZ4120"/>
    </row>
    <row r="4121" spans="8:78" x14ac:dyDescent="0.2">
      <c r="H4121"/>
      <c r="L4121"/>
      <c r="BU4121"/>
      <c r="BV4121"/>
      <c r="BX4121"/>
      <c r="BY4121"/>
      <c r="BZ4121"/>
    </row>
    <row r="4122" spans="8:78" x14ac:dyDescent="0.2">
      <c r="H4122"/>
      <c r="L4122"/>
      <c r="BU4122"/>
      <c r="BV4122"/>
      <c r="BX4122"/>
      <c r="BY4122"/>
      <c r="BZ4122"/>
    </row>
    <row r="4123" spans="8:78" x14ac:dyDescent="0.2">
      <c r="H4123"/>
      <c r="L4123"/>
      <c r="BU4123"/>
      <c r="BV4123"/>
      <c r="BX4123"/>
      <c r="BY4123"/>
      <c r="BZ4123"/>
    </row>
    <row r="4124" spans="8:78" x14ac:dyDescent="0.2">
      <c r="H4124"/>
      <c r="L4124"/>
      <c r="BU4124"/>
      <c r="BV4124"/>
      <c r="BX4124"/>
      <c r="BY4124"/>
      <c r="BZ4124"/>
    </row>
    <row r="4125" spans="8:78" x14ac:dyDescent="0.2">
      <c r="BZ4125"/>
    </row>
    <row r="4126" spans="8:78" x14ac:dyDescent="0.2">
      <c r="BZ4126"/>
    </row>
    <row r="4127" spans="8:78" x14ac:dyDescent="0.2">
      <c r="H4127"/>
      <c r="L4127"/>
      <c r="BU4127"/>
      <c r="BV4127"/>
      <c r="BX4127"/>
      <c r="BY4127"/>
      <c r="BZ4127"/>
    </row>
    <row r="4128" spans="8:78" x14ac:dyDescent="0.2">
      <c r="H4128"/>
      <c r="L4128"/>
      <c r="BU4128"/>
      <c r="BV4128"/>
      <c r="BX4128"/>
      <c r="BY4128"/>
      <c r="BZ4128"/>
    </row>
    <row r="4129" spans="8:78" x14ac:dyDescent="0.2">
      <c r="H4129"/>
      <c r="L4129"/>
      <c r="BU4129"/>
      <c r="BV4129"/>
      <c r="BX4129"/>
      <c r="BY4129"/>
      <c r="BZ4129"/>
    </row>
    <row r="4130" spans="8:78" x14ac:dyDescent="0.2">
      <c r="H4130"/>
      <c r="L4130"/>
      <c r="BU4130"/>
      <c r="BV4130"/>
      <c r="BX4130"/>
      <c r="BY4130"/>
      <c r="BZ4130"/>
    </row>
    <row r="4131" spans="8:78" x14ac:dyDescent="0.2">
      <c r="H4131"/>
      <c r="L4131"/>
      <c r="BU4131"/>
      <c r="BV4131"/>
      <c r="BX4131"/>
      <c r="BY4131"/>
      <c r="BZ4131"/>
    </row>
    <row r="4132" spans="8:78" x14ac:dyDescent="0.2">
      <c r="H4132"/>
      <c r="L4132"/>
      <c r="BU4132"/>
      <c r="BV4132"/>
      <c r="BX4132"/>
      <c r="BY4132"/>
      <c r="BZ4132"/>
    </row>
    <row r="4133" spans="8:78" x14ac:dyDescent="0.2">
      <c r="H4133"/>
      <c r="L4133"/>
      <c r="AK4133"/>
      <c r="BU4133"/>
      <c r="BV4133"/>
      <c r="BX4133"/>
      <c r="BY4133"/>
      <c r="BZ4133"/>
    </row>
    <row r="4134" spans="8:78" x14ac:dyDescent="0.2">
      <c r="AK4134"/>
      <c r="BZ4134"/>
    </row>
    <row r="4135" spans="8:78" x14ac:dyDescent="0.2">
      <c r="H4135"/>
      <c r="L4135"/>
      <c r="AK4135"/>
      <c r="BU4135"/>
      <c r="BV4135"/>
      <c r="BX4135"/>
      <c r="BY4135"/>
      <c r="BZ4135"/>
    </row>
    <row r="4136" spans="8:78" x14ac:dyDescent="0.2">
      <c r="H4136"/>
      <c r="L4136"/>
      <c r="AK4136"/>
      <c r="BU4136"/>
      <c r="BV4136"/>
      <c r="BX4136"/>
      <c r="BY4136"/>
      <c r="BZ4136"/>
    </row>
    <row r="4137" spans="8:78" x14ac:dyDescent="0.2">
      <c r="H4137"/>
      <c r="L4137"/>
      <c r="AK4137"/>
      <c r="BU4137"/>
      <c r="BV4137"/>
      <c r="BX4137"/>
      <c r="BY4137"/>
      <c r="BZ4137"/>
    </row>
    <row r="4138" spans="8:78" x14ac:dyDescent="0.2">
      <c r="AK4138"/>
      <c r="BZ4138"/>
    </row>
    <row r="4139" spans="8:78" x14ac:dyDescent="0.2">
      <c r="H4139"/>
      <c r="L4139"/>
      <c r="AK4139"/>
      <c r="BU4139"/>
      <c r="BV4139"/>
      <c r="BX4139"/>
      <c r="BY4139"/>
      <c r="BZ4139"/>
    </row>
    <row r="4140" spans="8:78" x14ac:dyDescent="0.2">
      <c r="H4140"/>
      <c r="L4140"/>
      <c r="BU4140"/>
      <c r="BV4140"/>
      <c r="BX4140"/>
      <c r="BY4140"/>
      <c r="BZ4140"/>
    </row>
    <row r="4141" spans="8:78" x14ac:dyDescent="0.2">
      <c r="H4141"/>
      <c r="L4141"/>
      <c r="BU4141"/>
      <c r="BV4141"/>
      <c r="BX4141"/>
      <c r="BY4141"/>
      <c r="BZ4141"/>
    </row>
    <row r="4142" spans="8:78" x14ac:dyDescent="0.2">
      <c r="H4142"/>
      <c r="L4142"/>
      <c r="BU4142"/>
      <c r="BV4142"/>
      <c r="BX4142"/>
      <c r="BY4142"/>
      <c r="BZ4142"/>
    </row>
    <row r="4143" spans="8:78" x14ac:dyDescent="0.2">
      <c r="H4143"/>
      <c r="L4143"/>
      <c r="BU4143"/>
      <c r="BV4143"/>
      <c r="BX4143"/>
      <c r="BY4143"/>
      <c r="BZ4143"/>
    </row>
    <row r="4144" spans="8:78" x14ac:dyDescent="0.2">
      <c r="H4144"/>
      <c r="L4144"/>
      <c r="BU4144"/>
      <c r="BV4144"/>
      <c r="BX4144"/>
      <c r="BY4144"/>
      <c r="BZ4144"/>
    </row>
    <row r="4145" spans="8:78" x14ac:dyDescent="0.2">
      <c r="H4145"/>
      <c r="L4145"/>
      <c r="BU4145"/>
      <c r="BV4145"/>
      <c r="BX4145"/>
      <c r="BY4145"/>
      <c r="BZ4145"/>
    </row>
    <row r="4146" spans="8:78" x14ac:dyDescent="0.2">
      <c r="H4146"/>
      <c r="L4146"/>
      <c r="BU4146"/>
      <c r="BV4146"/>
      <c r="BX4146"/>
      <c r="BY4146"/>
      <c r="BZ4146"/>
    </row>
    <row r="4147" spans="8:78" x14ac:dyDescent="0.2">
      <c r="H4147"/>
      <c r="L4147"/>
      <c r="BU4147"/>
      <c r="BV4147"/>
      <c r="BX4147"/>
      <c r="BY4147"/>
      <c r="BZ4147"/>
    </row>
    <row r="4148" spans="8:78" x14ac:dyDescent="0.2">
      <c r="H4148"/>
      <c r="L4148"/>
      <c r="BU4148"/>
      <c r="BV4148"/>
      <c r="BX4148"/>
      <c r="BY4148"/>
      <c r="BZ4148"/>
    </row>
    <row r="4149" spans="8:78" x14ac:dyDescent="0.2">
      <c r="H4149"/>
      <c r="L4149"/>
      <c r="BU4149"/>
      <c r="BV4149"/>
      <c r="BX4149"/>
      <c r="BY4149"/>
      <c r="BZ4149"/>
    </row>
    <row r="4150" spans="8:78" x14ac:dyDescent="0.2">
      <c r="H4150"/>
      <c r="L4150"/>
      <c r="BU4150"/>
      <c r="BV4150"/>
      <c r="BX4150"/>
      <c r="BY4150"/>
      <c r="BZ4150"/>
    </row>
    <row r="4151" spans="8:78" x14ac:dyDescent="0.2">
      <c r="H4151"/>
      <c r="L4151"/>
      <c r="AK4151"/>
      <c r="BU4151"/>
      <c r="BV4151"/>
      <c r="BX4151"/>
      <c r="BY4151"/>
      <c r="BZ4151"/>
    </row>
    <row r="4152" spans="8:78" x14ac:dyDescent="0.2">
      <c r="H4152"/>
      <c r="L4152"/>
      <c r="AK4152"/>
      <c r="BU4152"/>
      <c r="BV4152"/>
      <c r="BX4152"/>
      <c r="BY4152"/>
      <c r="BZ4152"/>
    </row>
    <row r="4153" spans="8:78" x14ac:dyDescent="0.2">
      <c r="H4153"/>
      <c r="L4153"/>
      <c r="AK4153"/>
      <c r="BU4153"/>
      <c r="BV4153"/>
      <c r="BX4153"/>
      <c r="BY4153"/>
      <c r="BZ4153"/>
    </row>
    <row r="4154" spans="8:78" x14ac:dyDescent="0.2">
      <c r="H4154"/>
      <c r="L4154"/>
      <c r="AK4154"/>
      <c r="BU4154"/>
      <c r="BV4154"/>
      <c r="BX4154"/>
      <c r="BY4154"/>
      <c r="BZ4154"/>
    </row>
    <row r="4155" spans="8:78" x14ac:dyDescent="0.2">
      <c r="H4155"/>
      <c r="L4155"/>
      <c r="AK4155"/>
      <c r="BU4155"/>
      <c r="BV4155"/>
      <c r="BX4155"/>
      <c r="BY4155"/>
      <c r="BZ4155"/>
    </row>
    <row r="4156" spans="8:78" x14ac:dyDescent="0.2">
      <c r="H4156"/>
      <c r="L4156"/>
      <c r="AK4156"/>
      <c r="BU4156"/>
      <c r="BV4156"/>
      <c r="BX4156"/>
      <c r="BY4156"/>
      <c r="BZ4156"/>
    </row>
    <row r="4157" spans="8:78" x14ac:dyDescent="0.2">
      <c r="H4157"/>
      <c r="L4157"/>
      <c r="BU4157"/>
      <c r="BV4157"/>
      <c r="BX4157"/>
      <c r="BY4157"/>
      <c r="BZ4157"/>
    </row>
    <row r="4158" spans="8:78" x14ac:dyDescent="0.2">
      <c r="H4158"/>
      <c r="L4158"/>
      <c r="AK4158"/>
      <c r="BU4158"/>
      <c r="BV4158"/>
      <c r="BX4158"/>
      <c r="BY4158"/>
      <c r="BZ4158"/>
    </row>
    <row r="4159" spans="8:78" x14ac:dyDescent="0.2">
      <c r="H4159"/>
      <c r="L4159"/>
      <c r="AK4159"/>
      <c r="BU4159"/>
      <c r="BV4159"/>
      <c r="BX4159"/>
      <c r="BY4159"/>
      <c r="BZ4159"/>
    </row>
    <row r="4160" spans="8:78" x14ac:dyDescent="0.2">
      <c r="H4160"/>
      <c r="L4160"/>
      <c r="BU4160"/>
      <c r="BV4160"/>
      <c r="BX4160"/>
      <c r="BY4160"/>
      <c r="BZ4160"/>
    </row>
    <row r="4161" spans="8:78" x14ac:dyDescent="0.2">
      <c r="H4161"/>
      <c r="L4161"/>
      <c r="BU4161"/>
      <c r="BV4161"/>
      <c r="BX4161"/>
      <c r="BY4161"/>
      <c r="BZ4161"/>
    </row>
    <row r="4162" spans="8:78" x14ac:dyDescent="0.2">
      <c r="H4162"/>
      <c r="L4162"/>
      <c r="AK4162"/>
      <c r="BU4162"/>
      <c r="BV4162"/>
      <c r="BX4162"/>
      <c r="BY4162"/>
      <c r="BZ4162"/>
    </row>
    <row r="4163" spans="8:78" x14ac:dyDescent="0.2">
      <c r="H4163"/>
      <c r="L4163"/>
      <c r="AK4163"/>
      <c r="BU4163"/>
      <c r="BV4163"/>
      <c r="BX4163"/>
      <c r="BY4163"/>
      <c r="BZ4163"/>
    </row>
    <row r="4164" spans="8:78" x14ac:dyDescent="0.2">
      <c r="H4164"/>
      <c r="L4164"/>
      <c r="AK4164"/>
      <c r="BU4164"/>
      <c r="BV4164"/>
      <c r="BX4164"/>
      <c r="BY4164"/>
      <c r="BZ4164"/>
    </row>
    <row r="4165" spans="8:78" x14ac:dyDescent="0.2">
      <c r="H4165"/>
      <c r="L4165"/>
      <c r="BU4165"/>
      <c r="BV4165"/>
      <c r="BX4165"/>
      <c r="BY4165"/>
      <c r="BZ4165"/>
    </row>
    <row r="4166" spans="8:78" x14ac:dyDescent="0.2">
      <c r="H4166"/>
      <c r="L4166"/>
      <c r="BU4166"/>
      <c r="BV4166"/>
      <c r="BX4166"/>
      <c r="BY4166"/>
      <c r="BZ4166"/>
    </row>
    <row r="4167" spans="8:78" x14ac:dyDescent="0.2">
      <c r="H4167"/>
      <c r="L4167"/>
      <c r="AK4167"/>
      <c r="BU4167"/>
      <c r="BV4167"/>
      <c r="BX4167"/>
      <c r="BY4167"/>
      <c r="BZ4167"/>
    </row>
    <row r="4168" spans="8:78" x14ac:dyDescent="0.2">
      <c r="H4168"/>
      <c r="L4168"/>
      <c r="BU4168"/>
      <c r="BV4168"/>
      <c r="BX4168"/>
      <c r="BY4168"/>
      <c r="BZ4168"/>
    </row>
    <row r="4169" spans="8:78" x14ac:dyDescent="0.2">
      <c r="H4169"/>
      <c r="L4169"/>
      <c r="BU4169"/>
      <c r="BV4169"/>
      <c r="BX4169"/>
      <c r="BY4169"/>
      <c r="BZ4169"/>
    </row>
    <row r="4170" spans="8:78" x14ac:dyDescent="0.2">
      <c r="H4170"/>
      <c r="L4170"/>
      <c r="BU4170"/>
      <c r="BV4170"/>
      <c r="BX4170"/>
      <c r="BY4170"/>
      <c r="BZ4170"/>
    </row>
    <row r="4171" spans="8:78" x14ac:dyDescent="0.2">
      <c r="H4171"/>
      <c r="L4171"/>
      <c r="BU4171"/>
      <c r="BV4171"/>
      <c r="BX4171"/>
      <c r="BY4171"/>
      <c r="BZ4171"/>
    </row>
    <row r="4172" spans="8:78" x14ac:dyDescent="0.2">
      <c r="H4172"/>
      <c r="L4172"/>
      <c r="BU4172"/>
      <c r="BV4172"/>
      <c r="BX4172"/>
      <c r="BY4172"/>
      <c r="BZ4172"/>
    </row>
    <row r="4173" spans="8:78" x14ac:dyDescent="0.2">
      <c r="H4173"/>
      <c r="L4173"/>
      <c r="BU4173"/>
      <c r="BV4173"/>
      <c r="BX4173"/>
      <c r="BY4173"/>
      <c r="BZ4173"/>
    </row>
    <row r="4174" spans="8:78" x14ac:dyDescent="0.2">
      <c r="H4174"/>
      <c r="L4174"/>
      <c r="BU4174"/>
      <c r="BV4174"/>
      <c r="BX4174"/>
      <c r="BY4174"/>
      <c r="BZ4174"/>
    </row>
    <row r="4175" spans="8:78" x14ac:dyDescent="0.2">
      <c r="H4175"/>
      <c r="L4175"/>
      <c r="BU4175"/>
      <c r="BV4175"/>
      <c r="BX4175"/>
      <c r="BY4175"/>
      <c r="BZ4175"/>
    </row>
    <row r="4176" spans="8:78" x14ac:dyDescent="0.2">
      <c r="H4176"/>
      <c r="L4176"/>
      <c r="BU4176"/>
      <c r="BV4176"/>
      <c r="BX4176"/>
      <c r="BY4176"/>
      <c r="BZ4176"/>
    </row>
    <row r="4177" spans="8:78" x14ac:dyDescent="0.2">
      <c r="H4177"/>
      <c r="L4177"/>
      <c r="BU4177"/>
      <c r="BV4177"/>
      <c r="BX4177"/>
      <c r="BY4177"/>
      <c r="BZ4177"/>
    </row>
    <row r="4178" spans="8:78" x14ac:dyDescent="0.2">
      <c r="H4178"/>
      <c r="L4178"/>
      <c r="AK4178"/>
      <c r="BU4178"/>
      <c r="BV4178"/>
      <c r="BX4178"/>
      <c r="BY4178"/>
      <c r="BZ4178"/>
    </row>
    <row r="4179" spans="8:78" x14ac:dyDescent="0.2">
      <c r="H4179"/>
      <c r="L4179"/>
      <c r="AK4179"/>
      <c r="BU4179"/>
      <c r="BV4179"/>
      <c r="BX4179"/>
      <c r="BY4179"/>
      <c r="BZ4179"/>
    </row>
    <row r="4180" spans="8:78" x14ac:dyDescent="0.2">
      <c r="H4180"/>
      <c r="L4180"/>
      <c r="AK4180"/>
      <c r="BU4180"/>
      <c r="BV4180"/>
      <c r="BX4180"/>
      <c r="BY4180"/>
      <c r="BZ4180"/>
    </row>
    <row r="4181" spans="8:78" x14ac:dyDescent="0.2">
      <c r="H4181"/>
      <c r="L4181"/>
      <c r="AK4181"/>
      <c r="BU4181"/>
      <c r="BV4181"/>
      <c r="BX4181"/>
      <c r="BY4181"/>
      <c r="BZ4181"/>
    </row>
    <row r="4182" spans="8:78" x14ac:dyDescent="0.2">
      <c r="H4182"/>
      <c r="L4182"/>
      <c r="AK4182"/>
      <c r="BU4182"/>
      <c r="BV4182"/>
      <c r="BX4182"/>
      <c r="BY4182"/>
      <c r="BZ4182"/>
    </row>
    <row r="4183" spans="8:78" x14ac:dyDescent="0.2">
      <c r="H4183"/>
      <c r="L4183"/>
      <c r="AK4183"/>
      <c r="BU4183"/>
      <c r="BV4183"/>
      <c r="BX4183"/>
      <c r="BY4183"/>
      <c r="BZ4183"/>
    </row>
    <row r="4184" spans="8:78" x14ac:dyDescent="0.2">
      <c r="H4184"/>
      <c r="L4184"/>
      <c r="BU4184"/>
      <c r="BV4184"/>
      <c r="BX4184"/>
      <c r="BY4184"/>
      <c r="BZ4184"/>
    </row>
    <row r="4185" spans="8:78" x14ac:dyDescent="0.2">
      <c r="H4185"/>
      <c r="L4185"/>
      <c r="BU4185"/>
      <c r="BV4185"/>
      <c r="BX4185"/>
      <c r="BY4185"/>
      <c r="BZ4185"/>
    </row>
    <row r="4186" spans="8:78" x14ac:dyDescent="0.2">
      <c r="H4186"/>
      <c r="L4186"/>
      <c r="BU4186"/>
      <c r="BV4186"/>
      <c r="BX4186"/>
      <c r="BY4186"/>
      <c r="BZ4186"/>
    </row>
    <row r="4187" spans="8:78" x14ac:dyDescent="0.2">
      <c r="H4187"/>
      <c r="L4187"/>
      <c r="BU4187"/>
      <c r="BV4187"/>
      <c r="BX4187"/>
      <c r="BY4187"/>
      <c r="BZ4187"/>
    </row>
    <row r="4188" spans="8:78" x14ac:dyDescent="0.2">
      <c r="H4188"/>
      <c r="L4188"/>
      <c r="BU4188"/>
      <c r="BV4188"/>
      <c r="BX4188"/>
      <c r="BY4188"/>
      <c r="BZ4188"/>
    </row>
    <row r="4189" spans="8:78" x14ac:dyDescent="0.2">
      <c r="H4189"/>
      <c r="L4189"/>
      <c r="BU4189"/>
      <c r="BV4189"/>
      <c r="BX4189"/>
      <c r="BY4189"/>
      <c r="BZ4189"/>
    </row>
    <row r="4190" spans="8:78" x14ac:dyDescent="0.2">
      <c r="H4190"/>
      <c r="L4190"/>
      <c r="AK4190"/>
      <c r="BU4190"/>
      <c r="BV4190"/>
      <c r="BX4190"/>
      <c r="BY4190"/>
      <c r="BZ4190"/>
    </row>
    <row r="4191" spans="8:78" x14ac:dyDescent="0.2">
      <c r="H4191"/>
      <c r="L4191"/>
      <c r="BU4191"/>
      <c r="BV4191"/>
      <c r="BX4191"/>
      <c r="BY4191"/>
      <c r="BZ4191"/>
    </row>
    <row r="4192" spans="8:78" x14ac:dyDescent="0.2">
      <c r="H4192"/>
      <c r="L4192"/>
      <c r="AK4192"/>
      <c r="BU4192"/>
      <c r="BV4192"/>
      <c r="BX4192"/>
      <c r="BY4192"/>
      <c r="BZ4192"/>
    </row>
    <row r="4193" spans="8:78" x14ac:dyDescent="0.2">
      <c r="H4193"/>
      <c r="L4193"/>
      <c r="BU4193"/>
      <c r="BV4193"/>
      <c r="BX4193"/>
      <c r="BY4193"/>
      <c r="BZ4193"/>
    </row>
    <row r="4194" spans="8:78" x14ac:dyDescent="0.2">
      <c r="H4194"/>
      <c r="L4194"/>
      <c r="BU4194"/>
      <c r="BV4194"/>
      <c r="BX4194"/>
      <c r="BY4194"/>
      <c r="BZ4194"/>
    </row>
    <row r="4195" spans="8:78" x14ac:dyDescent="0.2">
      <c r="H4195"/>
      <c r="L4195"/>
      <c r="BU4195"/>
      <c r="BV4195"/>
      <c r="BX4195"/>
      <c r="BY4195"/>
      <c r="BZ4195"/>
    </row>
    <row r="4196" spans="8:78" x14ac:dyDescent="0.2">
      <c r="H4196"/>
      <c r="L4196"/>
      <c r="BU4196"/>
      <c r="BV4196"/>
      <c r="BX4196"/>
      <c r="BY4196"/>
      <c r="BZ4196"/>
    </row>
    <row r="4197" spans="8:78" x14ac:dyDescent="0.2">
      <c r="H4197"/>
      <c r="L4197"/>
      <c r="AK4197"/>
      <c r="BU4197"/>
      <c r="BV4197"/>
      <c r="BX4197"/>
      <c r="BY4197"/>
      <c r="BZ4197"/>
    </row>
    <row r="4198" spans="8:78" x14ac:dyDescent="0.2">
      <c r="H4198"/>
      <c r="L4198"/>
      <c r="AK4198"/>
      <c r="BU4198"/>
      <c r="BV4198"/>
      <c r="BX4198"/>
      <c r="BY4198"/>
      <c r="BZ4198"/>
    </row>
    <row r="4199" spans="8:78" x14ac:dyDescent="0.2">
      <c r="H4199"/>
      <c r="L4199"/>
      <c r="BU4199"/>
      <c r="BV4199"/>
      <c r="BX4199"/>
      <c r="BY4199"/>
      <c r="BZ4199"/>
    </row>
    <row r="4200" spans="8:78" x14ac:dyDescent="0.2">
      <c r="H4200"/>
      <c r="L4200"/>
      <c r="BU4200"/>
      <c r="BV4200"/>
      <c r="BX4200"/>
      <c r="BY4200"/>
      <c r="BZ4200"/>
    </row>
    <row r="4201" spans="8:78" x14ac:dyDescent="0.2">
      <c r="H4201"/>
      <c r="L4201"/>
      <c r="BU4201"/>
      <c r="BV4201"/>
      <c r="BX4201"/>
      <c r="BY4201"/>
      <c r="BZ4201"/>
    </row>
    <row r="4202" spans="8:78" x14ac:dyDescent="0.2">
      <c r="H4202"/>
      <c r="L4202"/>
      <c r="BU4202"/>
      <c r="BV4202"/>
      <c r="BX4202"/>
      <c r="BY4202"/>
      <c r="BZ4202"/>
    </row>
    <row r="4203" spans="8:78" x14ac:dyDescent="0.2">
      <c r="H4203"/>
      <c r="L4203"/>
      <c r="AK4203"/>
      <c r="BU4203"/>
      <c r="BV4203"/>
      <c r="BX4203"/>
      <c r="BY4203"/>
      <c r="BZ4203"/>
    </row>
    <row r="4204" spans="8:78" x14ac:dyDescent="0.2">
      <c r="H4204"/>
      <c r="L4204"/>
      <c r="BU4204"/>
      <c r="BV4204"/>
      <c r="BX4204"/>
      <c r="BY4204"/>
      <c r="BZ4204"/>
    </row>
    <row r="4205" spans="8:78" x14ac:dyDescent="0.2">
      <c r="H4205"/>
      <c r="L4205"/>
      <c r="BU4205"/>
      <c r="BV4205"/>
      <c r="BX4205"/>
      <c r="BY4205"/>
      <c r="BZ4205"/>
    </row>
    <row r="4206" spans="8:78" x14ac:dyDescent="0.2">
      <c r="H4206"/>
      <c r="L4206"/>
      <c r="AK4206"/>
      <c r="BU4206"/>
      <c r="BV4206"/>
      <c r="BX4206"/>
      <c r="BY4206"/>
      <c r="BZ4206"/>
    </row>
    <row r="4207" spans="8:78" x14ac:dyDescent="0.2">
      <c r="H4207"/>
      <c r="L4207"/>
      <c r="BU4207"/>
      <c r="BV4207"/>
      <c r="BX4207"/>
      <c r="BY4207"/>
      <c r="BZ4207"/>
    </row>
    <row r="4208" spans="8:78" x14ac:dyDescent="0.2">
      <c r="H4208"/>
      <c r="L4208"/>
      <c r="BU4208"/>
      <c r="BV4208"/>
      <c r="BX4208"/>
      <c r="BY4208"/>
      <c r="BZ4208"/>
    </row>
    <row r="4209" spans="8:78" x14ac:dyDescent="0.2">
      <c r="H4209"/>
      <c r="L4209"/>
      <c r="AK4209"/>
      <c r="BU4209"/>
      <c r="BV4209"/>
      <c r="BX4209"/>
      <c r="BY4209"/>
      <c r="BZ4209"/>
    </row>
    <row r="4210" spans="8:78" x14ac:dyDescent="0.2">
      <c r="H4210"/>
      <c r="L4210"/>
      <c r="BU4210"/>
      <c r="BV4210"/>
      <c r="BX4210"/>
      <c r="BY4210"/>
      <c r="BZ4210"/>
    </row>
    <row r="4211" spans="8:78" x14ac:dyDescent="0.2">
      <c r="H4211"/>
      <c r="L4211"/>
      <c r="AK4211"/>
      <c r="BU4211"/>
      <c r="BV4211"/>
      <c r="BX4211"/>
      <c r="BY4211"/>
      <c r="BZ4211"/>
    </row>
    <row r="4212" spans="8:78" x14ac:dyDescent="0.2">
      <c r="AK4212"/>
      <c r="BZ4212"/>
    </row>
    <row r="4213" spans="8:78" x14ac:dyDescent="0.2">
      <c r="AK4213"/>
      <c r="BZ4213"/>
    </row>
    <row r="4214" spans="8:78" x14ac:dyDescent="0.2">
      <c r="H4214"/>
      <c r="L4214"/>
      <c r="AK4214"/>
      <c r="BU4214"/>
      <c r="BV4214"/>
      <c r="BX4214"/>
      <c r="BY4214"/>
      <c r="BZ4214"/>
    </row>
    <row r="4215" spans="8:78" x14ac:dyDescent="0.2">
      <c r="H4215"/>
      <c r="L4215"/>
      <c r="AK4215"/>
      <c r="BU4215"/>
      <c r="BV4215"/>
      <c r="BX4215"/>
      <c r="BY4215"/>
      <c r="BZ4215"/>
    </row>
    <row r="4216" spans="8:78" x14ac:dyDescent="0.2">
      <c r="H4216"/>
      <c r="L4216"/>
      <c r="AK4216"/>
      <c r="BU4216"/>
      <c r="BV4216"/>
      <c r="BX4216"/>
      <c r="BY4216"/>
      <c r="BZ4216"/>
    </row>
    <row r="4217" spans="8:78" x14ac:dyDescent="0.2">
      <c r="H4217"/>
      <c r="L4217"/>
      <c r="BU4217"/>
      <c r="BV4217"/>
      <c r="BX4217"/>
      <c r="BY4217"/>
      <c r="BZ4217"/>
    </row>
    <row r="4218" spans="8:78" x14ac:dyDescent="0.2">
      <c r="H4218"/>
      <c r="L4218"/>
      <c r="BU4218"/>
      <c r="BV4218"/>
      <c r="BX4218"/>
      <c r="BY4218"/>
      <c r="BZ4218"/>
    </row>
    <row r="4219" spans="8:78" x14ac:dyDescent="0.2">
      <c r="H4219"/>
      <c r="L4219"/>
      <c r="BU4219"/>
      <c r="BV4219"/>
      <c r="BX4219"/>
      <c r="BY4219"/>
      <c r="BZ4219"/>
    </row>
    <row r="4220" spans="8:78" x14ac:dyDescent="0.2">
      <c r="H4220"/>
      <c r="L4220"/>
      <c r="BU4220"/>
      <c r="BV4220"/>
      <c r="BX4220"/>
      <c r="BY4220"/>
      <c r="BZ4220"/>
    </row>
    <row r="4221" spans="8:78" x14ac:dyDescent="0.2">
      <c r="H4221"/>
      <c r="L4221"/>
      <c r="BU4221"/>
      <c r="BV4221"/>
      <c r="BX4221"/>
      <c r="BY4221"/>
      <c r="BZ4221"/>
    </row>
    <row r="4222" spans="8:78" x14ac:dyDescent="0.2">
      <c r="H4222"/>
      <c r="L4222"/>
      <c r="BU4222"/>
      <c r="BV4222"/>
      <c r="BX4222"/>
      <c r="BY4222"/>
      <c r="BZ4222"/>
    </row>
    <row r="4223" spans="8:78" x14ac:dyDescent="0.2">
      <c r="H4223"/>
      <c r="L4223"/>
      <c r="AK4223"/>
      <c r="BU4223"/>
      <c r="BV4223"/>
      <c r="BX4223"/>
      <c r="BY4223"/>
      <c r="BZ4223"/>
    </row>
    <row r="4224" spans="8:78" x14ac:dyDescent="0.2">
      <c r="BZ4224"/>
    </row>
    <row r="4225" spans="8:78" x14ac:dyDescent="0.2">
      <c r="H4225"/>
      <c r="L4225"/>
      <c r="AK4225"/>
      <c r="BU4225"/>
      <c r="BV4225"/>
      <c r="BX4225"/>
      <c r="BY4225"/>
      <c r="BZ4225"/>
    </row>
    <row r="4226" spans="8:78" x14ac:dyDescent="0.2">
      <c r="BZ4226"/>
    </row>
    <row r="4227" spans="8:78" x14ac:dyDescent="0.2">
      <c r="H4227"/>
      <c r="L4227"/>
      <c r="BU4227"/>
      <c r="BV4227"/>
      <c r="BX4227"/>
      <c r="BY4227"/>
      <c r="BZ4227"/>
    </row>
    <row r="4228" spans="8:78" x14ac:dyDescent="0.2">
      <c r="BZ4228"/>
    </row>
    <row r="4229" spans="8:78" x14ac:dyDescent="0.2">
      <c r="H4229"/>
      <c r="L4229"/>
      <c r="AK4229"/>
      <c r="BU4229"/>
      <c r="BV4229"/>
      <c r="BX4229"/>
      <c r="BY4229"/>
      <c r="BZ4229"/>
    </row>
    <row r="4230" spans="8:78" x14ac:dyDescent="0.2">
      <c r="H4230"/>
      <c r="L4230"/>
      <c r="AK4230"/>
      <c r="BU4230"/>
      <c r="BV4230"/>
      <c r="BX4230"/>
      <c r="BY4230"/>
      <c r="BZ4230"/>
    </row>
    <row r="4231" spans="8:78" x14ac:dyDescent="0.2">
      <c r="H4231"/>
      <c r="L4231"/>
      <c r="AK4231"/>
      <c r="BU4231"/>
      <c r="BV4231"/>
      <c r="BX4231"/>
      <c r="BY4231"/>
      <c r="BZ4231"/>
    </row>
    <row r="4232" spans="8:78" x14ac:dyDescent="0.2">
      <c r="H4232"/>
      <c r="L4232"/>
      <c r="AK4232"/>
      <c r="BU4232"/>
      <c r="BV4232"/>
      <c r="BX4232"/>
      <c r="BY4232"/>
      <c r="BZ4232"/>
    </row>
    <row r="4233" spans="8:78" x14ac:dyDescent="0.2">
      <c r="H4233"/>
      <c r="L4233"/>
      <c r="AK4233"/>
      <c r="BU4233"/>
      <c r="BV4233"/>
      <c r="BX4233"/>
      <c r="BY4233"/>
      <c r="BZ4233"/>
    </row>
    <row r="4234" spans="8:78" x14ac:dyDescent="0.2">
      <c r="H4234"/>
      <c r="L4234"/>
      <c r="AK4234"/>
      <c r="BU4234"/>
      <c r="BV4234"/>
      <c r="BX4234"/>
      <c r="BY4234"/>
      <c r="BZ4234"/>
    </row>
    <row r="4235" spans="8:78" x14ac:dyDescent="0.2">
      <c r="H4235"/>
      <c r="L4235"/>
      <c r="AK4235"/>
      <c r="BU4235"/>
      <c r="BV4235"/>
      <c r="BX4235"/>
      <c r="BY4235"/>
      <c r="BZ4235"/>
    </row>
    <row r="4236" spans="8:78" x14ac:dyDescent="0.2">
      <c r="H4236"/>
      <c r="L4236"/>
      <c r="AK4236"/>
      <c r="BU4236"/>
      <c r="BV4236"/>
      <c r="BX4236"/>
      <c r="BY4236"/>
      <c r="BZ4236"/>
    </row>
    <row r="4237" spans="8:78" x14ac:dyDescent="0.2">
      <c r="H4237"/>
      <c r="L4237"/>
      <c r="AK4237"/>
      <c r="BU4237"/>
      <c r="BV4237"/>
      <c r="BX4237"/>
      <c r="BY4237"/>
      <c r="BZ4237"/>
    </row>
    <row r="4238" spans="8:78" x14ac:dyDescent="0.2">
      <c r="AK4238"/>
      <c r="BZ4238"/>
    </row>
    <row r="4239" spans="8:78" x14ac:dyDescent="0.2">
      <c r="H4239"/>
      <c r="L4239"/>
      <c r="BU4239"/>
      <c r="BV4239"/>
      <c r="BX4239"/>
      <c r="BY4239"/>
      <c r="BZ4239"/>
    </row>
    <row r="4240" spans="8:78" x14ac:dyDescent="0.2">
      <c r="H4240"/>
      <c r="L4240"/>
      <c r="BU4240"/>
      <c r="BV4240"/>
      <c r="BX4240"/>
      <c r="BY4240"/>
      <c r="BZ4240"/>
    </row>
    <row r="4241" spans="8:78" x14ac:dyDescent="0.2">
      <c r="H4241"/>
      <c r="L4241"/>
      <c r="AK4241"/>
      <c r="BU4241"/>
      <c r="BV4241"/>
      <c r="BX4241"/>
      <c r="BY4241"/>
      <c r="BZ4241"/>
    </row>
    <row r="4242" spans="8:78" x14ac:dyDescent="0.2">
      <c r="H4242"/>
      <c r="L4242"/>
      <c r="AK4242"/>
      <c r="BU4242"/>
      <c r="BV4242"/>
      <c r="BX4242"/>
      <c r="BY4242"/>
      <c r="BZ4242"/>
    </row>
    <row r="4243" spans="8:78" x14ac:dyDescent="0.2">
      <c r="H4243"/>
      <c r="L4243"/>
      <c r="AK4243"/>
      <c r="BU4243"/>
      <c r="BV4243"/>
      <c r="BX4243"/>
      <c r="BY4243"/>
      <c r="BZ4243"/>
    </row>
    <row r="4244" spans="8:78" x14ac:dyDescent="0.2">
      <c r="H4244"/>
      <c r="L4244"/>
      <c r="AK4244"/>
      <c r="BU4244"/>
      <c r="BV4244"/>
      <c r="BX4244"/>
      <c r="BY4244"/>
      <c r="BZ4244"/>
    </row>
    <row r="4245" spans="8:78" x14ac:dyDescent="0.2">
      <c r="H4245"/>
      <c r="L4245"/>
      <c r="AK4245"/>
      <c r="BU4245"/>
      <c r="BV4245"/>
      <c r="BX4245"/>
      <c r="BY4245"/>
      <c r="BZ4245"/>
    </row>
    <row r="4246" spans="8:78" x14ac:dyDescent="0.2">
      <c r="H4246"/>
      <c r="L4246"/>
      <c r="BU4246"/>
      <c r="BV4246"/>
      <c r="BX4246"/>
      <c r="BY4246"/>
      <c r="BZ4246"/>
    </row>
    <row r="4247" spans="8:78" x14ac:dyDescent="0.2">
      <c r="H4247"/>
      <c r="L4247"/>
      <c r="AK4247"/>
      <c r="BU4247"/>
      <c r="BV4247"/>
      <c r="BX4247"/>
      <c r="BY4247"/>
      <c r="BZ4247"/>
    </row>
    <row r="4248" spans="8:78" x14ac:dyDescent="0.2">
      <c r="H4248"/>
      <c r="L4248"/>
      <c r="AK4248"/>
      <c r="BU4248"/>
      <c r="BV4248"/>
      <c r="BX4248"/>
      <c r="BY4248"/>
      <c r="BZ4248"/>
    </row>
    <row r="4249" spans="8:78" x14ac:dyDescent="0.2">
      <c r="H4249"/>
      <c r="L4249"/>
      <c r="AK4249"/>
      <c r="BU4249"/>
      <c r="BV4249"/>
      <c r="BX4249"/>
      <c r="BY4249"/>
      <c r="BZ4249"/>
    </row>
    <row r="4250" spans="8:78" x14ac:dyDescent="0.2">
      <c r="H4250"/>
      <c r="L4250"/>
      <c r="AK4250"/>
      <c r="BU4250"/>
      <c r="BV4250"/>
      <c r="BX4250"/>
      <c r="BY4250"/>
      <c r="BZ4250"/>
    </row>
    <row r="4251" spans="8:78" x14ac:dyDescent="0.2">
      <c r="AK4251"/>
      <c r="BZ4251"/>
    </row>
    <row r="4252" spans="8:78" x14ac:dyDescent="0.2">
      <c r="H4252"/>
      <c r="L4252"/>
      <c r="AK4252"/>
      <c r="BU4252"/>
      <c r="BV4252"/>
      <c r="BX4252"/>
      <c r="BY4252"/>
      <c r="BZ4252"/>
    </row>
    <row r="4253" spans="8:78" x14ac:dyDescent="0.2">
      <c r="H4253"/>
      <c r="L4253"/>
      <c r="BU4253"/>
      <c r="BV4253"/>
      <c r="BX4253"/>
      <c r="BY4253"/>
      <c r="BZ4253"/>
    </row>
    <row r="4254" spans="8:78" x14ac:dyDescent="0.2">
      <c r="H4254"/>
      <c r="L4254"/>
      <c r="BU4254"/>
      <c r="BV4254"/>
      <c r="BX4254"/>
      <c r="BY4254"/>
      <c r="BZ4254"/>
    </row>
    <row r="4255" spans="8:78" x14ac:dyDescent="0.2">
      <c r="H4255"/>
      <c r="L4255"/>
      <c r="AK4255"/>
      <c r="BU4255"/>
      <c r="BV4255"/>
      <c r="BX4255"/>
      <c r="BY4255"/>
      <c r="BZ4255"/>
    </row>
    <row r="4256" spans="8:78" x14ac:dyDescent="0.2">
      <c r="H4256"/>
      <c r="L4256"/>
      <c r="AK4256"/>
      <c r="BU4256"/>
      <c r="BV4256"/>
      <c r="BX4256"/>
      <c r="BY4256"/>
      <c r="BZ4256"/>
    </row>
    <row r="4257" spans="8:78" x14ac:dyDescent="0.2">
      <c r="H4257"/>
      <c r="L4257"/>
      <c r="AK4257"/>
      <c r="BU4257"/>
      <c r="BV4257"/>
      <c r="BX4257"/>
      <c r="BY4257"/>
      <c r="BZ4257"/>
    </row>
    <row r="4258" spans="8:78" x14ac:dyDescent="0.2">
      <c r="H4258"/>
      <c r="L4258"/>
      <c r="AK4258"/>
      <c r="BU4258"/>
      <c r="BV4258"/>
      <c r="BX4258"/>
      <c r="BY4258"/>
      <c r="BZ4258"/>
    </row>
    <row r="4259" spans="8:78" x14ac:dyDescent="0.2">
      <c r="H4259"/>
      <c r="L4259"/>
      <c r="AK4259"/>
      <c r="BU4259"/>
      <c r="BV4259"/>
      <c r="BX4259"/>
      <c r="BY4259"/>
      <c r="BZ4259"/>
    </row>
    <row r="4260" spans="8:78" x14ac:dyDescent="0.2">
      <c r="H4260"/>
      <c r="L4260"/>
      <c r="AK4260"/>
      <c r="BU4260"/>
      <c r="BV4260"/>
      <c r="BX4260"/>
      <c r="BY4260"/>
      <c r="BZ4260"/>
    </row>
    <row r="4261" spans="8:78" x14ac:dyDescent="0.2">
      <c r="H4261"/>
      <c r="L4261"/>
      <c r="AK4261"/>
      <c r="BU4261"/>
      <c r="BV4261"/>
      <c r="BZ4261"/>
    </row>
    <row r="4262" spans="8:78" x14ac:dyDescent="0.2">
      <c r="H4262"/>
      <c r="L4262"/>
      <c r="AK4262"/>
      <c r="BU4262"/>
      <c r="BV4262"/>
      <c r="BX4262"/>
      <c r="BY4262"/>
      <c r="BZ4262"/>
    </row>
    <row r="4263" spans="8:78" x14ac:dyDescent="0.2">
      <c r="H4263"/>
      <c r="L4263"/>
      <c r="AK4263"/>
      <c r="BU4263"/>
      <c r="BV4263"/>
      <c r="BX4263"/>
      <c r="BY4263"/>
      <c r="BZ4263"/>
    </row>
    <row r="4264" spans="8:78" x14ac:dyDescent="0.2">
      <c r="H4264"/>
      <c r="L4264"/>
      <c r="AK4264"/>
      <c r="BU4264"/>
      <c r="BV4264"/>
      <c r="BX4264"/>
      <c r="BY4264"/>
      <c r="BZ4264"/>
    </row>
    <row r="4265" spans="8:78" x14ac:dyDescent="0.2">
      <c r="H4265"/>
      <c r="L4265"/>
      <c r="AK4265"/>
      <c r="BU4265"/>
      <c r="BV4265"/>
      <c r="BX4265"/>
      <c r="BY4265"/>
      <c r="BZ4265"/>
    </row>
    <row r="4266" spans="8:78" x14ac:dyDescent="0.2">
      <c r="H4266"/>
      <c r="L4266"/>
      <c r="AK4266"/>
      <c r="BU4266"/>
      <c r="BV4266"/>
      <c r="BX4266"/>
      <c r="BY4266"/>
      <c r="BZ4266"/>
    </row>
    <row r="4267" spans="8:78" x14ac:dyDescent="0.2">
      <c r="H4267"/>
      <c r="L4267"/>
      <c r="AK4267"/>
      <c r="BU4267"/>
      <c r="BV4267"/>
      <c r="BX4267"/>
      <c r="BY4267"/>
      <c r="BZ4267"/>
    </row>
    <row r="4268" spans="8:78" x14ac:dyDescent="0.2">
      <c r="H4268"/>
      <c r="L4268"/>
      <c r="AK4268"/>
      <c r="BU4268"/>
      <c r="BV4268"/>
      <c r="BX4268"/>
      <c r="BY4268"/>
      <c r="BZ4268"/>
    </row>
    <row r="4269" spans="8:78" x14ac:dyDescent="0.2">
      <c r="H4269"/>
      <c r="L4269"/>
      <c r="BU4269"/>
      <c r="BV4269"/>
      <c r="BX4269"/>
      <c r="BY4269"/>
      <c r="BZ4269"/>
    </row>
    <row r="4270" spans="8:78" x14ac:dyDescent="0.2">
      <c r="H4270"/>
      <c r="L4270"/>
      <c r="AK4270"/>
      <c r="BU4270"/>
      <c r="BV4270"/>
      <c r="BX4270"/>
    </row>
    <row r="4271" spans="8:78" x14ac:dyDescent="0.2">
      <c r="H4271"/>
      <c r="L4271"/>
      <c r="AK4271"/>
      <c r="BU4271"/>
      <c r="BV4271"/>
      <c r="BX4271"/>
    </row>
    <row r="4272" spans="8:78" x14ac:dyDescent="0.2">
      <c r="H4272"/>
      <c r="L4272"/>
      <c r="AK4272"/>
      <c r="BU4272"/>
      <c r="BV4272"/>
      <c r="BX4272"/>
      <c r="BY4272"/>
      <c r="BZ4272"/>
    </row>
    <row r="4273" spans="8:78" x14ac:dyDescent="0.2">
      <c r="H4273"/>
      <c r="L4273"/>
      <c r="AK4273"/>
      <c r="BU4273"/>
      <c r="BV4273"/>
      <c r="BX4273"/>
    </row>
    <row r="4274" spans="8:78" x14ac:dyDescent="0.2">
      <c r="H4274"/>
      <c r="L4274"/>
      <c r="AK4274"/>
      <c r="BU4274"/>
      <c r="BV4274"/>
      <c r="BX4274"/>
      <c r="BY4274"/>
      <c r="BZ4274"/>
    </row>
    <row r="4275" spans="8:78" x14ac:dyDescent="0.2">
      <c r="H4275"/>
      <c r="L4275"/>
      <c r="AK4275"/>
      <c r="BU4275"/>
      <c r="BV4275"/>
      <c r="BX4275"/>
    </row>
    <row r="4276" spans="8:78" x14ac:dyDescent="0.2">
      <c r="H4276"/>
      <c r="L4276"/>
      <c r="AK4276"/>
      <c r="BU4276"/>
      <c r="BV4276"/>
      <c r="BX4276"/>
      <c r="BY4276"/>
      <c r="BZ4276"/>
    </row>
    <row r="4277" spans="8:78" x14ac:dyDescent="0.2">
      <c r="H4277"/>
      <c r="L4277"/>
      <c r="BU4277"/>
      <c r="BV4277"/>
      <c r="BX4277"/>
    </row>
    <row r="4278" spans="8:78" x14ac:dyDescent="0.2">
      <c r="H4278"/>
      <c r="L4278"/>
      <c r="BU4278"/>
      <c r="BV4278"/>
      <c r="BX4278"/>
      <c r="BY4278"/>
      <c r="BZ4278"/>
    </row>
    <row r="4279" spans="8:78" x14ac:dyDescent="0.2">
      <c r="H4279"/>
      <c r="L4279"/>
      <c r="BU4279"/>
      <c r="BV4279"/>
      <c r="BX4279"/>
    </row>
    <row r="4280" spans="8:78" x14ac:dyDescent="0.2">
      <c r="H4280"/>
      <c r="L4280"/>
      <c r="AK4280"/>
      <c r="BU4280"/>
      <c r="BV4280"/>
      <c r="BX4280"/>
    </row>
    <row r="4281" spans="8:78" x14ac:dyDescent="0.2">
      <c r="H4281"/>
      <c r="L4281"/>
      <c r="AK4281"/>
      <c r="BU4281"/>
      <c r="BV4281"/>
      <c r="BX4281"/>
      <c r="BY4281"/>
      <c r="BZ4281"/>
    </row>
    <row r="4282" spans="8:78" x14ac:dyDescent="0.2">
      <c r="H4282"/>
      <c r="L4282"/>
      <c r="BU4282"/>
      <c r="BV4282"/>
      <c r="BX4282"/>
      <c r="BY4282"/>
      <c r="BZ4282"/>
    </row>
    <row r="4283" spans="8:78" x14ac:dyDescent="0.2">
      <c r="H4283"/>
      <c r="L4283"/>
      <c r="AK4283"/>
      <c r="BU4283"/>
      <c r="BV4283"/>
      <c r="BX4283"/>
    </row>
    <row r="4284" spans="8:78" x14ac:dyDescent="0.2">
      <c r="H4284"/>
      <c r="L4284"/>
      <c r="AK4284"/>
      <c r="BU4284"/>
      <c r="BV4284"/>
      <c r="BX4284"/>
    </row>
    <row r="4285" spans="8:78" x14ac:dyDescent="0.2">
      <c r="H4285"/>
      <c r="L4285"/>
      <c r="AK4285"/>
      <c r="BU4285"/>
      <c r="BV4285"/>
      <c r="BX4285"/>
      <c r="BY4285"/>
      <c r="BZ4285"/>
    </row>
    <row r="4286" spans="8:78" x14ac:dyDescent="0.2">
      <c r="H4286"/>
      <c r="L4286"/>
      <c r="AK4286"/>
      <c r="BU4286"/>
      <c r="BV4286"/>
      <c r="BX4286"/>
    </row>
    <row r="4287" spans="8:78" x14ac:dyDescent="0.2">
      <c r="H4287"/>
      <c r="L4287"/>
      <c r="AK4287"/>
      <c r="BU4287"/>
      <c r="BV4287"/>
      <c r="BX4287"/>
      <c r="BY4287"/>
      <c r="BZ4287"/>
    </row>
    <row r="4288" spans="8:78" x14ac:dyDescent="0.2">
      <c r="H4288"/>
      <c r="L4288"/>
      <c r="BU4288"/>
      <c r="BV4288"/>
      <c r="BX4288"/>
      <c r="BY4288"/>
      <c r="BZ4288"/>
    </row>
    <row r="4289" spans="8:78" x14ac:dyDescent="0.2">
      <c r="H4289"/>
      <c r="L4289"/>
      <c r="AK4289"/>
      <c r="BU4289"/>
      <c r="BV4289"/>
      <c r="BX4289"/>
      <c r="BY4289"/>
      <c r="BZ4289"/>
    </row>
    <row r="4290" spans="8:78" x14ac:dyDescent="0.2">
      <c r="H4290"/>
      <c r="L4290"/>
      <c r="AK4290"/>
      <c r="BU4290"/>
      <c r="BV4290"/>
      <c r="BX4290"/>
      <c r="BY4290"/>
      <c r="BZ4290"/>
    </row>
    <row r="4291" spans="8:78" x14ac:dyDescent="0.2">
      <c r="H4291"/>
      <c r="L4291"/>
      <c r="AK4291"/>
      <c r="BU4291"/>
      <c r="BV4291"/>
      <c r="BX4291"/>
      <c r="BY4291"/>
      <c r="BZ4291"/>
    </row>
    <row r="4292" spans="8:78" x14ac:dyDescent="0.2">
      <c r="H4292"/>
      <c r="L4292"/>
      <c r="AK4292"/>
      <c r="BU4292"/>
      <c r="BV4292"/>
      <c r="BX4292"/>
      <c r="BY4292"/>
      <c r="BZ4292"/>
    </row>
    <row r="4293" spans="8:78" x14ac:dyDescent="0.2">
      <c r="H4293"/>
      <c r="L4293"/>
      <c r="AK4293"/>
      <c r="BU4293"/>
      <c r="BV4293"/>
      <c r="BX4293"/>
      <c r="BY4293"/>
      <c r="BZ4293"/>
    </row>
    <row r="4294" spans="8:78" x14ac:dyDescent="0.2">
      <c r="H4294"/>
      <c r="L4294"/>
      <c r="AK4294"/>
      <c r="BU4294"/>
      <c r="BV4294"/>
      <c r="BX4294"/>
      <c r="BY4294"/>
      <c r="BZ4294"/>
    </row>
    <row r="4295" spans="8:78" x14ac:dyDescent="0.2">
      <c r="H4295"/>
      <c r="L4295"/>
      <c r="AK4295"/>
      <c r="BU4295"/>
      <c r="BV4295"/>
      <c r="BX4295"/>
      <c r="BY4295"/>
      <c r="BZ4295"/>
    </row>
    <row r="4296" spans="8:78" x14ac:dyDescent="0.2">
      <c r="H4296"/>
      <c r="L4296"/>
      <c r="AK4296"/>
      <c r="BU4296"/>
      <c r="BV4296"/>
      <c r="BX4296"/>
      <c r="BY4296"/>
      <c r="BZ4296"/>
    </row>
    <row r="4297" spans="8:78" x14ac:dyDescent="0.2">
      <c r="H4297"/>
      <c r="L4297"/>
      <c r="AK4297"/>
      <c r="BU4297"/>
      <c r="BV4297"/>
      <c r="BX4297"/>
      <c r="BY4297"/>
      <c r="BZ4297"/>
    </row>
    <row r="4298" spans="8:78" x14ac:dyDescent="0.2">
      <c r="H4298"/>
      <c r="L4298"/>
      <c r="AK4298"/>
      <c r="BU4298"/>
      <c r="BV4298"/>
      <c r="BX4298"/>
      <c r="BY4298"/>
      <c r="BZ4298"/>
    </row>
    <row r="4299" spans="8:78" x14ac:dyDescent="0.2">
      <c r="H4299"/>
      <c r="L4299"/>
      <c r="AK4299"/>
      <c r="BU4299"/>
      <c r="BV4299"/>
      <c r="BX4299"/>
      <c r="BY4299"/>
      <c r="BZ4299"/>
    </row>
    <row r="4300" spans="8:78" x14ac:dyDescent="0.2">
      <c r="H4300"/>
      <c r="L4300"/>
      <c r="AK4300"/>
      <c r="BU4300"/>
      <c r="BV4300"/>
      <c r="BX4300"/>
      <c r="BY4300"/>
      <c r="BZ4300"/>
    </row>
    <row r="4301" spans="8:78" x14ac:dyDescent="0.2">
      <c r="H4301"/>
      <c r="L4301"/>
      <c r="AK4301"/>
      <c r="BU4301"/>
      <c r="BV4301"/>
      <c r="BX4301"/>
      <c r="BY4301"/>
      <c r="BZ4301"/>
    </row>
    <row r="4302" spans="8:78" x14ac:dyDescent="0.2">
      <c r="H4302"/>
      <c r="L4302"/>
      <c r="AK4302"/>
      <c r="BU4302"/>
      <c r="BV4302"/>
      <c r="BX4302"/>
      <c r="BY4302"/>
      <c r="BZ4302"/>
    </row>
    <row r="4303" spans="8:78" x14ac:dyDescent="0.2">
      <c r="H4303"/>
      <c r="L4303"/>
      <c r="AK4303"/>
      <c r="BU4303"/>
      <c r="BV4303"/>
      <c r="BZ4303"/>
    </row>
    <row r="4304" spans="8:78" x14ac:dyDescent="0.2">
      <c r="H4304"/>
      <c r="L4304"/>
      <c r="AK4304"/>
      <c r="BU4304"/>
      <c r="BV4304"/>
      <c r="BX4304"/>
      <c r="BY4304"/>
      <c r="BZ4304"/>
    </row>
    <row r="4305" spans="8:78" x14ac:dyDescent="0.2">
      <c r="H4305"/>
      <c r="L4305"/>
      <c r="AK4305"/>
      <c r="BU4305"/>
      <c r="BV4305"/>
      <c r="BX4305"/>
      <c r="BY4305"/>
      <c r="BZ4305"/>
    </row>
    <row r="4306" spans="8:78" x14ac:dyDescent="0.2">
      <c r="H4306"/>
      <c r="L4306"/>
      <c r="AK4306"/>
      <c r="BU4306"/>
      <c r="BV4306"/>
      <c r="BX4306"/>
      <c r="BY4306"/>
      <c r="BZ4306"/>
    </row>
    <row r="4307" spans="8:78" x14ac:dyDescent="0.2">
      <c r="H4307"/>
      <c r="L4307"/>
      <c r="AK4307"/>
      <c r="BU4307"/>
      <c r="BV4307"/>
      <c r="BX4307"/>
      <c r="BY4307"/>
      <c r="BZ4307"/>
    </row>
    <row r="4308" spans="8:78" x14ac:dyDescent="0.2">
      <c r="H4308"/>
      <c r="L4308"/>
      <c r="BU4308"/>
      <c r="BV4308"/>
      <c r="BX4308"/>
      <c r="BY4308"/>
      <c r="BZ4308"/>
    </row>
    <row r="4309" spans="8:78" x14ac:dyDescent="0.2">
      <c r="H4309"/>
      <c r="L4309"/>
      <c r="BU4309"/>
      <c r="BV4309"/>
      <c r="BX4309"/>
      <c r="BY4309"/>
      <c r="BZ4309"/>
    </row>
    <row r="4310" spans="8:78" x14ac:dyDescent="0.2">
      <c r="H4310"/>
      <c r="L4310"/>
      <c r="BU4310"/>
      <c r="BV4310"/>
      <c r="BX4310"/>
      <c r="BY4310"/>
      <c r="BZ4310"/>
    </row>
    <row r="4311" spans="8:78" x14ac:dyDescent="0.2">
      <c r="H4311"/>
      <c r="L4311"/>
      <c r="BU4311"/>
      <c r="BV4311"/>
      <c r="BX4311"/>
      <c r="BY4311"/>
      <c r="BZ4311"/>
    </row>
    <row r="4312" spans="8:78" x14ac:dyDescent="0.2">
      <c r="H4312"/>
      <c r="L4312"/>
      <c r="BU4312"/>
      <c r="BV4312"/>
      <c r="BX4312"/>
      <c r="BY4312"/>
      <c r="BZ4312"/>
    </row>
    <row r="4313" spans="8:78" x14ac:dyDescent="0.2">
      <c r="H4313"/>
      <c r="L4313"/>
      <c r="BU4313"/>
      <c r="BV4313"/>
      <c r="BX4313"/>
      <c r="BY4313"/>
      <c r="BZ4313"/>
    </row>
    <row r="4314" spans="8:78" x14ac:dyDescent="0.2">
      <c r="H4314"/>
      <c r="L4314"/>
      <c r="BU4314"/>
      <c r="BV4314"/>
      <c r="BX4314"/>
      <c r="BY4314"/>
      <c r="BZ4314"/>
    </row>
    <row r="4315" spans="8:78" x14ac:dyDescent="0.2">
      <c r="H4315"/>
      <c r="L4315"/>
      <c r="BU4315"/>
      <c r="BV4315"/>
      <c r="BX4315"/>
      <c r="BY4315"/>
      <c r="BZ4315"/>
    </row>
    <row r="4316" spans="8:78" x14ac:dyDescent="0.2">
      <c r="H4316"/>
      <c r="L4316"/>
      <c r="BU4316"/>
      <c r="BV4316"/>
      <c r="BX4316"/>
      <c r="BY4316"/>
      <c r="BZ4316"/>
    </row>
    <row r="4317" spans="8:78" x14ac:dyDescent="0.2">
      <c r="H4317"/>
      <c r="L4317"/>
      <c r="BU4317"/>
      <c r="BV4317"/>
      <c r="BX4317"/>
      <c r="BY4317"/>
      <c r="BZ4317"/>
    </row>
    <row r="4318" spans="8:78" x14ac:dyDescent="0.2">
      <c r="H4318"/>
      <c r="L4318"/>
      <c r="AK4318"/>
      <c r="BU4318"/>
      <c r="BV4318"/>
      <c r="BX4318"/>
      <c r="BY4318"/>
      <c r="BZ4318"/>
    </row>
    <row r="4319" spans="8:78" x14ac:dyDescent="0.2">
      <c r="H4319"/>
      <c r="L4319"/>
      <c r="AK4319"/>
      <c r="BU4319"/>
      <c r="BV4319"/>
      <c r="BX4319"/>
      <c r="BY4319"/>
      <c r="BZ4319"/>
    </row>
    <row r="4320" spans="8:78" x14ac:dyDescent="0.2">
      <c r="H4320"/>
      <c r="L4320"/>
      <c r="AK4320"/>
      <c r="BU4320"/>
      <c r="BV4320"/>
      <c r="BX4320"/>
      <c r="BY4320"/>
      <c r="BZ4320"/>
    </row>
    <row r="4321" spans="8:78" x14ac:dyDescent="0.2">
      <c r="H4321"/>
      <c r="L4321"/>
      <c r="AK4321"/>
      <c r="BU4321"/>
      <c r="BV4321"/>
      <c r="BX4321"/>
      <c r="BY4321"/>
      <c r="BZ4321"/>
    </row>
    <row r="4322" spans="8:78" x14ac:dyDescent="0.2">
      <c r="H4322"/>
      <c r="L4322"/>
      <c r="AK4322"/>
      <c r="BU4322"/>
      <c r="BV4322"/>
      <c r="BX4322"/>
      <c r="BY4322"/>
      <c r="BZ4322"/>
    </row>
    <row r="4323" spans="8:78" x14ac:dyDescent="0.2">
      <c r="H4323"/>
      <c r="L4323"/>
      <c r="AK4323"/>
      <c r="BU4323"/>
      <c r="BV4323"/>
      <c r="BX4323"/>
      <c r="BY4323"/>
      <c r="BZ4323"/>
    </row>
    <row r="4324" spans="8:78" x14ac:dyDescent="0.2">
      <c r="H4324"/>
      <c r="L4324"/>
      <c r="BU4324"/>
      <c r="BV4324"/>
      <c r="BX4324"/>
      <c r="BY4324"/>
      <c r="BZ4324"/>
    </row>
    <row r="4325" spans="8:78" x14ac:dyDescent="0.2">
      <c r="H4325"/>
      <c r="L4325"/>
      <c r="BU4325"/>
      <c r="BV4325"/>
      <c r="BX4325"/>
      <c r="BY4325"/>
      <c r="BZ4325"/>
    </row>
    <row r="4326" spans="8:78" x14ac:dyDescent="0.2">
      <c r="BZ4326"/>
    </row>
    <row r="4327" spans="8:78" x14ac:dyDescent="0.2">
      <c r="BZ4327"/>
    </row>
    <row r="4328" spans="8:78" x14ac:dyDescent="0.2">
      <c r="BZ4328"/>
    </row>
    <row r="4329" spans="8:78" x14ac:dyDescent="0.2">
      <c r="H4329"/>
      <c r="L4329"/>
      <c r="BU4329"/>
      <c r="BV4329"/>
      <c r="BX4329"/>
      <c r="BY4329"/>
      <c r="BZ4329"/>
    </row>
    <row r="4330" spans="8:78" x14ac:dyDescent="0.2">
      <c r="H4330"/>
      <c r="L4330"/>
      <c r="BU4330"/>
      <c r="BV4330"/>
      <c r="BX4330"/>
      <c r="BY4330"/>
      <c r="BZ4330"/>
    </row>
    <row r="4331" spans="8:78" x14ac:dyDescent="0.2">
      <c r="H4331"/>
      <c r="L4331"/>
      <c r="AK4331"/>
      <c r="BU4331"/>
      <c r="BV4331"/>
      <c r="BX4331"/>
      <c r="BY4331"/>
      <c r="BZ4331"/>
    </row>
    <row r="4332" spans="8:78" x14ac:dyDescent="0.2">
      <c r="H4332"/>
      <c r="L4332"/>
      <c r="AK4332"/>
      <c r="BU4332"/>
      <c r="BV4332"/>
      <c r="BX4332"/>
      <c r="BY4332"/>
      <c r="BZ4332"/>
    </row>
    <row r="4333" spans="8:78" x14ac:dyDescent="0.2">
      <c r="H4333"/>
      <c r="L4333"/>
      <c r="AK4333"/>
      <c r="BU4333"/>
      <c r="BV4333"/>
      <c r="BX4333"/>
      <c r="BY4333"/>
      <c r="BZ4333"/>
    </row>
    <row r="4334" spans="8:78" x14ac:dyDescent="0.2">
      <c r="H4334"/>
      <c r="L4334"/>
      <c r="BU4334"/>
      <c r="BV4334"/>
      <c r="BX4334"/>
      <c r="BY4334"/>
      <c r="BZ4334"/>
    </row>
    <row r="4335" spans="8:78" x14ac:dyDescent="0.2">
      <c r="H4335"/>
      <c r="L4335"/>
      <c r="AK4335"/>
      <c r="BU4335"/>
      <c r="BV4335"/>
      <c r="BX4335"/>
      <c r="BY4335"/>
      <c r="BZ4335"/>
    </row>
    <row r="4336" spans="8:78" x14ac:dyDescent="0.2">
      <c r="H4336"/>
      <c r="L4336"/>
      <c r="AK4336"/>
      <c r="BU4336"/>
      <c r="BV4336"/>
      <c r="BX4336"/>
      <c r="BY4336"/>
      <c r="BZ4336"/>
    </row>
    <row r="4337" spans="8:78" x14ac:dyDescent="0.2">
      <c r="H4337"/>
      <c r="L4337"/>
      <c r="AK4337"/>
      <c r="BU4337"/>
      <c r="BV4337"/>
      <c r="BX4337"/>
      <c r="BY4337"/>
      <c r="BZ4337"/>
    </row>
    <row r="4338" spans="8:78" x14ac:dyDescent="0.2">
      <c r="H4338"/>
      <c r="L4338"/>
      <c r="AK4338"/>
      <c r="BU4338"/>
      <c r="BV4338"/>
      <c r="BX4338"/>
      <c r="BY4338"/>
      <c r="BZ4338"/>
    </row>
    <row r="4339" spans="8:78" x14ac:dyDescent="0.2">
      <c r="H4339"/>
      <c r="L4339"/>
      <c r="AK4339"/>
      <c r="BU4339"/>
      <c r="BV4339"/>
      <c r="BX4339"/>
      <c r="BY4339"/>
      <c r="BZ4339"/>
    </row>
    <row r="4340" spans="8:78" x14ac:dyDescent="0.2">
      <c r="H4340"/>
      <c r="L4340"/>
      <c r="AK4340"/>
      <c r="BU4340"/>
      <c r="BV4340"/>
      <c r="BX4340"/>
      <c r="BY4340"/>
      <c r="BZ4340"/>
    </row>
    <row r="4341" spans="8:78" x14ac:dyDescent="0.2">
      <c r="AK4341"/>
      <c r="BZ4341"/>
    </row>
    <row r="4342" spans="8:78" x14ac:dyDescent="0.2">
      <c r="AK4342"/>
      <c r="BZ4342"/>
    </row>
    <row r="4343" spans="8:78" x14ac:dyDescent="0.2">
      <c r="AK4343"/>
      <c r="BZ4343"/>
    </row>
    <row r="4344" spans="8:78" x14ac:dyDescent="0.2">
      <c r="AK4344"/>
      <c r="BZ4344"/>
    </row>
    <row r="4345" spans="8:78" x14ac:dyDescent="0.2">
      <c r="H4345"/>
      <c r="L4345"/>
      <c r="AK4345"/>
      <c r="BU4345"/>
      <c r="BV4345"/>
      <c r="BX4345"/>
      <c r="BY4345"/>
      <c r="BZ4345"/>
    </row>
    <row r="4346" spans="8:78" x14ac:dyDescent="0.2">
      <c r="AK4346"/>
      <c r="BZ4346"/>
    </row>
    <row r="4347" spans="8:78" x14ac:dyDescent="0.2">
      <c r="H4347"/>
      <c r="L4347"/>
      <c r="BU4347"/>
      <c r="BV4347"/>
      <c r="BX4347"/>
      <c r="BY4347"/>
      <c r="BZ4347"/>
    </row>
    <row r="4348" spans="8:78" x14ac:dyDescent="0.2">
      <c r="H4348"/>
      <c r="L4348"/>
      <c r="AK4348"/>
      <c r="BU4348"/>
      <c r="BV4348"/>
      <c r="BX4348"/>
      <c r="BY4348"/>
      <c r="BZ4348"/>
    </row>
    <row r="4349" spans="8:78" x14ac:dyDescent="0.2">
      <c r="H4349"/>
      <c r="L4349"/>
      <c r="AK4349"/>
      <c r="BU4349"/>
      <c r="BV4349"/>
      <c r="BX4349"/>
      <c r="BY4349"/>
      <c r="BZ4349"/>
    </row>
    <row r="4350" spans="8:78" x14ac:dyDescent="0.2">
      <c r="H4350"/>
      <c r="L4350"/>
      <c r="AK4350"/>
      <c r="BU4350"/>
      <c r="BV4350"/>
      <c r="BX4350"/>
      <c r="BY4350"/>
      <c r="BZ4350"/>
    </row>
    <row r="4351" spans="8:78" x14ac:dyDescent="0.2">
      <c r="H4351"/>
      <c r="L4351"/>
      <c r="AK4351"/>
      <c r="BU4351"/>
      <c r="BV4351"/>
      <c r="BX4351"/>
      <c r="BY4351"/>
      <c r="BZ4351"/>
    </row>
    <row r="4352" spans="8:78" x14ac:dyDescent="0.2">
      <c r="H4352"/>
      <c r="L4352"/>
      <c r="BU4352"/>
      <c r="BV4352"/>
      <c r="BX4352"/>
      <c r="BY4352"/>
      <c r="BZ4352"/>
    </row>
    <row r="4353" spans="8:78" x14ac:dyDescent="0.2">
      <c r="H4353"/>
      <c r="L4353"/>
      <c r="BU4353"/>
      <c r="BV4353"/>
      <c r="BX4353"/>
      <c r="BY4353"/>
      <c r="BZ4353"/>
    </row>
    <row r="4354" spans="8:78" x14ac:dyDescent="0.2">
      <c r="H4354"/>
      <c r="L4354"/>
      <c r="BU4354"/>
      <c r="BV4354"/>
      <c r="BX4354"/>
      <c r="BY4354"/>
      <c r="BZ4354"/>
    </row>
    <row r="4355" spans="8:78" x14ac:dyDescent="0.2">
      <c r="H4355"/>
      <c r="L4355"/>
      <c r="BU4355"/>
      <c r="BV4355"/>
      <c r="BX4355"/>
      <c r="BY4355"/>
      <c r="BZ4355"/>
    </row>
    <row r="4356" spans="8:78" x14ac:dyDescent="0.2">
      <c r="H4356"/>
      <c r="L4356"/>
      <c r="BU4356"/>
      <c r="BV4356"/>
      <c r="BX4356"/>
      <c r="BY4356"/>
      <c r="BZ4356"/>
    </row>
    <row r="4357" spans="8:78" x14ac:dyDescent="0.2">
      <c r="H4357"/>
      <c r="L4357"/>
      <c r="BU4357"/>
      <c r="BV4357"/>
      <c r="BZ4357"/>
    </row>
    <row r="4358" spans="8:78" x14ac:dyDescent="0.2">
      <c r="H4358"/>
      <c r="L4358"/>
      <c r="BU4358"/>
      <c r="BV4358"/>
      <c r="BZ4358"/>
    </row>
    <row r="4359" spans="8:78" x14ac:dyDescent="0.2">
      <c r="H4359"/>
      <c r="L4359"/>
      <c r="BU4359"/>
      <c r="BV4359"/>
      <c r="BZ4359"/>
    </row>
    <row r="4360" spans="8:78" x14ac:dyDescent="0.2">
      <c r="H4360"/>
      <c r="L4360"/>
      <c r="BU4360"/>
      <c r="BV4360"/>
      <c r="BX4360"/>
      <c r="BY4360"/>
      <c r="BZ4360"/>
    </row>
    <row r="4361" spans="8:78" x14ac:dyDescent="0.2">
      <c r="H4361"/>
      <c r="L4361"/>
      <c r="AK4361"/>
      <c r="BU4361"/>
      <c r="BV4361"/>
      <c r="BX4361"/>
      <c r="BY4361"/>
      <c r="BZ4361"/>
    </row>
    <row r="4362" spans="8:78" x14ac:dyDescent="0.2">
      <c r="H4362"/>
      <c r="L4362"/>
      <c r="BU4362"/>
      <c r="BV4362"/>
      <c r="BX4362"/>
      <c r="BY4362"/>
      <c r="BZ4362"/>
    </row>
    <row r="4363" spans="8:78" x14ac:dyDescent="0.2">
      <c r="H4363"/>
      <c r="L4363"/>
      <c r="AK4363"/>
      <c r="BU4363"/>
      <c r="BV4363"/>
      <c r="BX4363"/>
      <c r="BY4363"/>
      <c r="BZ4363"/>
    </row>
    <row r="4364" spans="8:78" x14ac:dyDescent="0.2">
      <c r="H4364"/>
      <c r="L4364"/>
      <c r="AK4364"/>
      <c r="BU4364"/>
      <c r="BV4364"/>
      <c r="BX4364"/>
      <c r="BY4364"/>
      <c r="BZ4364"/>
    </row>
    <row r="4365" spans="8:78" x14ac:dyDescent="0.2">
      <c r="H4365"/>
      <c r="L4365"/>
      <c r="AK4365"/>
      <c r="BU4365"/>
      <c r="BV4365"/>
      <c r="BX4365"/>
      <c r="BY4365"/>
      <c r="BZ4365"/>
    </row>
    <row r="4366" spans="8:78" x14ac:dyDescent="0.2">
      <c r="H4366"/>
      <c r="L4366"/>
      <c r="AK4366"/>
      <c r="BU4366"/>
      <c r="BV4366"/>
      <c r="BX4366"/>
      <c r="BY4366"/>
      <c r="BZ4366"/>
    </row>
    <row r="4367" spans="8:78" x14ac:dyDescent="0.2">
      <c r="H4367"/>
      <c r="L4367"/>
      <c r="BU4367"/>
      <c r="BV4367"/>
      <c r="BX4367"/>
      <c r="BY4367"/>
      <c r="BZ4367"/>
    </row>
    <row r="4368" spans="8:78" x14ac:dyDescent="0.2">
      <c r="H4368"/>
      <c r="L4368"/>
      <c r="BU4368"/>
      <c r="BV4368"/>
      <c r="BX4368"/>
      <c r="BY4368"/>
      <c r="BZ4368"/>
    </row>
    <row r="4369" spans="8:78" x14ac:dyDescent="0.2">
      <c r="H4369"/>
      <c r="L4369"/>
      <c r="BU4369"/>
      <c r="BV4369"/>
      <c r="BX4369"/>
      <c r="BY4369"/>
      <c r="BZ4369"/>
    </row>
    <row r="4370" spans="8:78" x14ac:dyDescent="0.2">
      <c r="H4370"/>
      <c r="L4370"/>
      <c r="BU4370"/>
      <c r="BV4370"/>
      <c r="BZ4370"/>
    </row>
    <row r="4371" spans="8:78" x14ac:dyDescent="0.2">
      <c r="H4371"/>
      <c r="L4371"/>
      <c r="BU4371"/>
      <c r="BV4371"/>
      <c r="BZ4371"/>
    </row>
    <row r="4372" spans="8:78" x14ac:dyDescent="0.2">
      <c r="H4372"/>
      <c r="L4372"/>
      <c r="BU4372"/>
      <c r="BV4372"/>
      <c r="BZ4372"/>
    </row>
    <row r="4373" spans="8:78" x14ac:dyDescent="0.2">
      <c r="H4373"/>
      <c r="L4373"/>
      <c r="BU4373"/>
      <c r="BV4373"/>
      <c r="BZ4373"/>
    </row>
    <row r="4374" spans="8:78" x14ac:dyDescent="0.2">
      <c r="H4374"/>
      <c r="L4374"/>
      <c r="AK4374"/>
      <c r="BU4374"/>
      <c r="BV4374"/>
      <c r="BZ4374"/>
    </row>
    <row r="4375" spans="8:78" x14ac:dyDescent="0.2">
      <c r="H4375"/>
      <c r="L4375"/>
      <c r="AK4375"/>
      <c r="BU4375"/>
      <c r="BV4375"/>
      <c r="BZ4375"/>
    </row>
    <row r="4376" spans="8:78" x14ac:dyDescent="0.2">
      <c r="H4376"/>
      <c r="L4376"/>
      <c r="AK4376"/>
      <c r="BU4376"/>
      <c r="BV4376"/>
      <c r="BZ4376"/>
    </row>
    <row r="4377" spans="8:78" x14ac:dyDescent="0.2">
      <c r="H4377"/>
      <c r="L4377"/>
      <c r="AK4377"/>
      <c r="BU4377"/>
      <c r="BV4377"/>
      <c r="BZ4377"/>
    </row>
    <row r="4378" spans="8:78" x14ac:dyDescent="0.2">
      <c r="H4378"/>
      <c r="L4378"/>
      <c r="AK4378"/>
      <c r="BU4378"/>
      <c r="BV4378"/>
      <c r="BZ4378"/>
    </row>
    <row r="4379" spans="8:78" x14ac:dyDescent="0.2">
      <c r="H4379"/>
      <c r="L4379"/>
      <c r="AK4379"/>
      <c r="BU4379"/>
      <c r="BV4379"/>
      <c r="BZ4379"/>
    </row>
    <row r="4380" spans="8:78" x14ac:dyDescent="0.2">
      <c r="H4380"/>
      <c r="L4380"/>
      <c r="BU4380"/>
      <c r="BV4380"/>
      <c r="BX4380"/>
      <c r="BY4380"/>
      <c r="BZ4380"/>
    </row>
    <row r="4381" spans="8:78" x14ac:dyDescent="0.2">
      <c r="H4381"/>
      <c r="L4381"/>
      <c r="BU4381"/>
      <c r="BV4381"/>
      <c r="BX4381"/>
      <c r="BY4381"/>
      <c r="BZ4381"/>
    </row>
    <row r="4382" spans="8:78" x14ac:dyDescent="0.2">
      <c r="H4382"/>
      <c r="L4382"/>
      <c r="AK4382"/>
      <c r="BU4382"/>
      <c r="BV4382"/>
      <c r="BX4382"/>
    </row>
    <row r="4383" spans="8:78" x14ac:dyDescent="0.2">
      <c r="AK4383"/>
    </row>
    <row r="4384" spans="8:78" x14ac:dyDescent="0.2">
      <c r="H4384"/>
      <c r="L4384"/>
      <c r="AK4384"/>
      <c r="BU4384"/>
      <c r="BV4384"/>
      <c r="BX4384"/>
      <c r="BY4384"/>
      <c r="BZ4384"/>
    </row>
    <row r="4385" spans="8:78" x14ac:dyDescent="0.2">
      <c r="BZ4385"/>
    </row>
    <row r="4386" spans="8:78" x14ac:dyDescent="0.2">
      <c r="BZ4386"/>
    </row>
    <row r="4387" spans="8:78" x14ac:dyDescent="0.2">
      <c r="BZ4387"/>
    </row>
    <row r="4389" spans="8:78" x14ac:dyDescent="0.2">
      <c r="AK4389"/>
      <c r="BZ4389"/>
    </row>
    <row r="4390" spans="8:78" x14ac:dyDescent="0.2">
      <c r="AK4390"/>
      <c r="BZ4390"/>
    </row>
    <row r="4391" spans="8:78" x14ac:dyDescent="0.2">
      <c r="BZ4391"/>
    </row>
    <row r="4392" spans="8:78" x14ac:dyDescent="0.2">
      <c r="H4392"/>
      <c r="L4392"/>
      <c r="BU4392"/>
      <c r="BV4392"/>
      <c r="BX4392"/>
      <c r="BY4392"/>
      <c r="BZ4392"/>
    </row>
    <row r="4393" spans="8:78" x14ac:dyDescent="0.2">
      <c r="H4393"/>
      <c r="L4393"/>
      <c r="BU4393"/>
      <c r="BV4393"/>
      <c r="BX4393"/>
      <c r="BY4393"/>
      <c r="BZ4393"/>
    </row>
    <row r="4394" spans="8:78" x14ac:dyDescent="0.2">
      <c r="H4394"/>
      <c r="L4394"/>
      <c r="BU4394"/>
      <c r="BV4394"/>
      <c r="BX4394"/>
      <c r="BY4394"/>
      <c r="BZ4394"/>
    </row>
    <row r="4395" spans="8:78" x14ac:dyDescent="0.2">
      <c r="H4395"/>
      <c r="L4395"/>
      <c r="AK4395"/>
      <c r="BU4395"/>
      <c r="BV4395"/>
      <c r="BX4395"/>
      <c r="BY4395"/>
      <c r="BZ4395"/>
    </row>
    <row r="4396" spans="8:78" x14ac:dyDescent="0.2">
      <c r="H4396"/>
      <c r="L4396"/>
      <c r="AK4396"/>
      <c r="BU4396"/>
      <c r="BV4396"/>
      <c r="BX4396"/>
      <c r="BY4396"/>
      <c r="BZ4396"/>
    </row>
    <row r="4397" spans="8:78" x14ac:dyDescent="0.2">
      <c r="AK4397"/>
      <c r="BZ4397"/>
    </row>
    <row r="4398" spans="8:78" x14ac:dyDescent="0.2">
      <c r="H4398"/>
      <c r="L4398"/>
      <c r="AK4398"/>
      <c r="BU4398"/>
      <c r="BV4398"/>
      <c r="BX4398"/>
      <c r="BY4398"/>
      <c r="BZ4398"/>
    </row>
    <row r="4399" spans="8:78" x14ac:dyDescent="0.2">
      <c r="H4399"/>
      <c r="L4399"/>
      <c r="AK4399"/>
      <c r="BU4399"/>
      <c r="BV4399"/>
      <c r="BX4399"/>
      <c r="BY4399"/>
      <c r="BZ4399"/>
    </row>
    <row r="4400" spans="8:78" x14ac:dyDescent="0.2">
      <c r="H4400"/>
      <c r="L4400"/>
      <c r="AK4400"/>
      <c r="BU4400"/>
      <c r="BV4400"/>
      <c r="BX4400"/>
      <c r="BY4400"/>
      <c r="BZ4400"/>
    </row>
    <row r="4401" spans="8:78" x14ac:dyDescent="0.2">
      <c r="AK4401"/>
      <c r="BZ4401"/>
    </row>
    <row r="4403" spans="8:78" x14ac:dyDescent="0.2">
      <c r="H4403"/>
      <c r="L4403"/>
      <c r="AK4403"/>
      <c r="BU4403"/>
      <c r="BV4403"/>
      <c r="BX4403"/>
      <c r="BY4403"/>
      <c r="BZ4403"/>
    </row>
    <row r="4404" spans="8:78" x14ac:dyDescent="0.2">
      <c r="H4404"/>
      <c r="L4404"/>
      <c r="AK4404"/>
      <c r="BU4404"/>
      <c r="BV4404"/>
      <c r="BX4404"/>
      <c r="BY4404"/>
      <c r="BZ4404"/>
    </row>
    <row r="4405" spans="8:78" x14ac:dyDescent="0.2">
      <c r="H4405"/>
      <c r="L4405"/>
      <c r="BU4405"/>
      <c r="BV4405"/>
      <c r="BX4405"/>
      <c r="BY4405"/>
      <c r="BZ4405"/>
    </row>
    <row r="4406" spans="8:78" x14ac:dyDescent="0.2">
      <c r="H4406"/>
      <c r="L4406"/>
      <c r="BU4406"/>
      <c r="BV4406"/>
      <c r="BX4406"/>
      <c r="BY4406"/>
      <c r="BZ4406"/>
    </row>
    <row r="4407" spans="8:78" x14ac:dyDescent="0.2">
      <c r="H4407"/>
      <c r="L4407"/>
      <c r="AK4407"/>
      <c r="BU4407"/>
      <c r="BV4407"/>
      <c r="BX4407"/>
      <c r="BY4407"/>
      <c r="BZ4407"/>
    </row>
    <row r="4408" spans="8:78" x14ac:dyDescent="0.2">
      <c r="BZ4408"/>
    </row>
    <row r="4409" spans="8:78" x14ac:dyDescent="0.2">
      <c r="BZ4409"/>
    </row>
    <row r="4410" spans="8:78" x14ac:dyDescent="0.2">
      <c r="BZ4410"/>
    </row>
    <row r="4411" spans="8:78" x14ac:dyDescent="0.2">
      <c r="H4411"/>
      <c r="L4411"/>
      <c r="BU4411"/>
      <c r="BV4411"/>
      <c r="BX4411"/>
      <c r="BY4411"/>
      <c r="BZ4411"/>
    </row>
    <row r="4412" spans="8:78" x14ac:dyDescent="0.2">
      <c r="H4412"/>
      <c r="L4412"/>
      <c r="BU4412"/>
      <c r="BV4412"/>
      <c r="BX4412"/>
      <c r="BY4412"/>
      <c r="BZ4412"/>
    </row>
    <row r="4413" spans="8:78" x14ac:dyDescent="0.2">
      <c r="H4413"/>
      <c r="L4413"/>
      <c r="BU4413"/>
      <c r="BV4413"/>
      <c r="BX4413"/>
      <c r="BY4413"/>
      <c r="BZ4413"/>
    </row>
    <row r="4414" spans="8:78" x14ac:dyDescent="0.2">
      <c r="BZ4414"/>
    </row>
    <row r="4415" spans="8:78" x14ac:dyDescent="0.2">
      <c r="H4415"/>
      <c r="L4415"/>
      <c r="AK4415"/>
      <c r="BU4415"/>
      <c r="BV4415"/>
      <c r="BX4415"/>
      <c r="BY4415"/>
      <c r="BZ4415"/>
    </row>
    <row r="4416" spans="8:78" x14ac:dyDescent="0.2">
      <c r="H4416"/>
      <c r="L4416"/>
      <c r="AK4416"/>
      <c r="BU4416"/>
      <c r="BV4416"/>
      <c r="BX4416"/>
      <c r="BY4416"/>
      <c r="BZ4416"/>
    </row>
    <row r="4417" spans="8:78" x14ac:dyDescent="0.2">
      <c r="H4417"/>
      <c r="L4417"/>
      <c r="BU4417"/>
      <c r="BV4417"/>
      <c r="BX4417"/>
      <c r="BY4417"/>
      <c r="BZ4417"/>
    </row>
    <row r="4418" spans="8:78" x14ac:dyDescent="0.2">
      <c r="H4418"/>
      <c r="L4418"/>
      <c r="AK4418"/>
      <c r="BU4418"/>
      <c r="BV4418"/>
      <c r="BX4418"/>
      <c r="BY4418"/>
      <c r="BZ4418"/>
    </row>
    <row r="4419" spans="8:78" x14ac:dyDescent="0.2">
      <c r="H4419"/>
      <c r="L4419"/>
      <c r="AK4419"/>
      <c r="BU4419"/>
      <c r="BV4419"/>
      <c r="BX4419"/>
      <c r="BY4419"/>
      <c r="BZ4419"/>
    </row>
    <row r="4420" spans="8:78" x14ac:dyDescent="0.2">
      <c r="H4420"/>
      <c r="L4420"/>
      <c r="BU4420"/>
      <c r="BV4420"/>
      <c r="BX4420"/>
      <c r="BY4420"/>
      <c r="BZ4420"/>
    </row>
    <row r="4421" spans="8:78" x14ac:dyDescent="0.2">
      <c r="H4421"/>
      <c r="L4421"/>
      <c r="BU4421"/>
      <c r="BV4421"/>
      <c r="BX4421"/>
      <c r="BY4421"/>
      <c r="BZ4421"/>
    </row>
    <row r="4422" spans="8:78" x14ac:dyDescent="0.2">
      <c r="H4422"/>
      <c r="L4422"/>
      <c r="AK4422"/>
      <c r="BU4422"/>
      <c r="BV4422"/>
      <c r="BX4422"/>
      <c r="BY4422"/>
      <c r="BZ4422"/>
    </row>
    <row r="4423" spans="8:78" x14ac:dyDescent="0.2">
      <c r="H4423"/>
      <c r="L4423"/>
      <c r="AK4423"/>
      <c r="BU4423"/>
      <c r="BV4423"/>
      <c r="BX4423"/>
      <c r="BY4423"/>
      <c r="BZ4423"/>
    </row>
    <row r="4424" spans="8:78" x14ac:dyDescent="0.2">
      <c r="H4424"/>
      <c r="L4424"/>
      <c r="AK4424"/>
      <c r="BU4424"/>
      <c r="BV4424"/>
      <c r="BX4424"/>
      <c r="BY4424"/>
      <c r="BZ4424"/>
    </row>
    <row r="4425" spans="8:78" x14ac:dyDescent="0.2">
      <c r="H4425"/>
      <c r="L4425"/>
      <c r="AK4425"/>
      <c r="BU4425"/>
      <c r="BV4425"/>
      <c r="BX4425"/>
      <c r="BY4425"/>
      <c r="BZ4425"/>
    </row>
    <row r="4426" spans="8:78" x14ac:dyDescent="0.2">
      <c r="H4426"/>
      <c r="L4426"/>
      <c r="AK4426"/>
      <c r="BU4426"/>
      <c r="BV4426"/>
      <c r="BX4426"/>
    </row>
    <row r="4427" spans="8:78" x14ac:dyDescent="0.2">
      <c r="H4427"/>
      <c r="L4427"/>
      <c r="AK4427"/>
      <c r="BU4427"/>
      <c r="BV4427"/>
      <c r="BX4427"/>
      <c r="BY4427"/>
      <c r="BZ4427"/>
    </row>
    <row r="4428" spans="8:78" x14ac:dyDescent="0.2">
      <c r="H4428"/>
      <c r="L4428"/>
      <c r="AK4428"/>
      <c r="BU4428"/>
      <c r="BV4428"/>
      <c r="BX4428"/>
      <c r="BY4428"/>
      <c r="BZ4428"/>
    </row>
    <row r="4429" spans="8:78" x14ac:dyDescent="0.2">
      <c r="H4429"/>
      <c r="L4429"/>
      <c r="AK4429"/>
      <c r="BU4429"/>
      <c r="BV4429"/>
      <c r="BX4429"/>
      <c r="BY4429"/>
      <c r="BZ4429"/>
    </row>
    <row r="4430" spans="8:78" x14ac:dyDescent="0.2">
      <c r="H4430"/>
      <c r="L4430"/>
      <c r="AK4430"/>
      <c r="BU4430"/>
      <c r="BV4430"/>
      <c r="BX4430"/>
      <c r="BY4430"/>
      <c r="BZ4430"/>
    </row>
    <row r="4431" spans="8:78" x14ac:dyDescent="0.2">
      <c r="H4431"/>
      <c r="L4431"/>
      <c r="AK4431"/>
      <c r="BU4431"/>
      <c r="BV4431"/>
      <c r="BX4431"/>
      <c r="BY4431"/>
      <c r="BZ4431"/>
    </row>
    <row r="4432" spans="8:78" x14ac:dyDescent="0.2">
      <c r="H4432"/>
      <c r="L4432"/>
      <c r="AK4432"/>
      <c r="BU4432"/>
      <c r="BV4432"/>
      <c r="BX4432"/>
      <c r="BY4432"/>
      <c r="BZ4432"/>
    </row>
    <row r="4433" spans="8:78" x14ac:dyDescent="0.2">
      <c r="H4433"/>
      <c r="L4433"/>
      <c r="AK4433"/>
      <c r="BU4433"/>
      <c r="BV4433"/>
      <c r="BX4433"/>
    </row>
    <row r="4434" spans="8:78" x14ac:dyDescent="0.2">
      <c r="H4434"/>
      <c r="L4434"/>
      <c r="AK4434"/>
      <c r="BU4434"/>
      <c r="BV4434"/>
      <c r="BX4434"/>
    </row>
    <row r="4435" spans="8:78" x14ac:dyDescent="0.2">
      <c r="H4435"/>
      <c r="L4435"/>
      <c r="BU4435"/>
      <c r="BV4435"/>
      <c r="BX4435"/>
      <c r="BY4435"/>
      <c r="BZ4435"/>
    </row>
    <row r="4436" spans="8:78" x14ac:dyDescent="0.2">
      <c r="H4436"/>
      <c r="L4436"/>
      <c r="AK4436"/>
      <c r="BU4436"/>
      <c r="BV4436"/>
      <c r="BX4436"/>
      <c r="BY4436"/>
      <c r="BZ4436"/>
    </row>
    <row r="4437" spans="8:78" x14ac:dyDescent="0.2">
      <c r="H4437"/>
      <c r="L4437"/>
      <c r="AK4437"/>
      <c r="BU4437"/>
      <c r="BV4437"/>
      <c r="BX4437"/>
      <c r="BY4437"/>
      <c r="BZ4437"/>
    </row>
    <row r="4438" spans="8:78" x14ac:dyDescent="0.2">
      <c r="H4438"/>
      <c r="L4438"/>
      <c r="AK4438"/>
      <c r="BU4438"/>
      <c r="BV4438"/>
      <c r="BX4438"/>
      <c r="BY4438"/>
      <c r="BZ4438"/>
    </row>
    <row r="4439" spans="8:78" x14ac:dyDescent="0.2">
      <c r="H4439"/>
      <c r="L4439"/>
      <c r="AK4439"/>
      <c r="BU4439"/>
      <c r="BV4439"/>
      <c r="BX4439"/>
    </row>
    <row r="4440" spans="8:78" x14ac:dyDescent="0.2">
      <c r="H4440"/>
      <c r="L4440"/>
      <c r="BU4440"/>
      <c r="BV4440"/>
      <c r="BX4440"/>
      <c r="BY4440"/>
      <c r="BZ4440"/>
    </row>
    <row r="4441" spans="8:78" x14ac:dyDescent="0.2">
      <c r="H4441"/>
      <c r="L4441"/>
      <c r="AK4441"/>
      <c r="BU4441"/>
      <c r="BV4441"/>
      <c r="BX4441"/>
      <c r="BY4441"/>
      <c r="BZ4441"/>
    </row>
    <row r="4442" spans="8:78" x14ac:dyDescent="0.2">
      <c r="H4442"/>
      <c r="L4442"/>
      <c r="AK4442"/>
      <c r="BU4442"/>
      <c r="BV4442"/>
      <c r="BX4442"/>
      <c r="BY4442"/>
      <c r="BZ4442"/>
    </row>
    <row r="4443" spans="8:78" x14ac:dyDescent="0.2">
      <c r="H4443"/>
      <c r="L4443"/>
      <c r="AK4443"/>
      <c r="BU4443"/>
      <c r="BV4443"/>
      <c r="BX4443"/>
      <c r="BY4443"/>
      <c r="BZ4443"/>
    </row>
    <row r="4444" spans="8:78" x14ac:dyDescent="0.2">
      <c r="H4444"/>
      <c r="L4444"/>
      <c r="AK4444"/>
      <c r="BU4444"/>
      <c r="BV4444"/>
      <c r="BX4444"/>
    </row>
    <row r="4445" spans="8:78" x14ac:dyDescent="0.2">
      <c r="H4445"/>
      <c r="L4445"/>
      <c r="AK4445"/>
      <c r="BU4445"/>
      <c r="BV4445"/>
      <c r="BX4445"/>
      <c r="BY4445"/>
      <c r="BZ4445"/>
    </row>
    <row r="4446" spans="8:78" x14ac:dyDescent="0.2">
      <c r="H4446"/>
      <c r="L4446"/>
      <c r="AK4446"/>
      <c r="BU4446"/>
      <c r="BV4446"/>
      <c r="BX4446"/>
      <c r="BY4446"/>
      <c r="BZ4446"/>
    </row>
    <row r="4447" spans="8:78" x14ac:dyDescent="0.2">
      <c r="H4447"/>
      <c r="L4447"/>
      <c r="BU4447"/>
      <c r="BV4447"/>
      <c r="BX4447"/>
      <c r="BY4447"/>
      <c r="BZ4447"/>
    </row>
    <row r="4448" spans="8:78" x14ac:dyDescent="0.2">
      <c r="H4448"/>
      <c r="L4448"/>
      <c r="BU4448"/>
      <c r="BV4448"/>
      <c r="BX4448"/>
      <c r="BY4448"/>
      <c r="BZ4448"/>
    </row>
    <row r="4449" spans="8:78" x14ac:dyDescent="0.2">
      <c r="H4449"/>
      <c r="L4449"/>
      <c r="BU4449"/>
      <c r="BV4449"/>
      <c r="BX4449"/>
      <c r="BY4449"/>
      <c r="BZ4449"/>
    </row>
    <row r="4450" spans="8:78" x14ac:dyDescent="0.2">
      <c r="H4450"/>
      <c r="L4450"/>
      <c r="BU4450"/>
      <c r="BV4450"/>
      <c r="BX4450"/>
      <c r="BY4450"/>
      <c r="BZ4450"/>
    </row>
    <row r="4451" spans="8:78" x14ac:dyDescent="0.2">
      <c r="H4451"/>
      <c r="L4451"/>
      <c r="BU4451"/>
      <c r="BV4451"/>
      <c r="BX4451"/>
      <c r="BY4451"/>
      <c r="BZ4451"/>
    </row>
    <row r="4452" spans="8:78" x14ac:dyDescent="0.2">
      <c r="H4452"/>
      <c r="L4452"/>
      <c r="AK4452"/>
      <c r="BU4452"/>
      <c r="BV4452"/>
      <c r="BX4452"/>
    </row>
    <row r="4453" spans="8:78" x14ac:dyDescent="0.2">
      <c r="H4453"/>
      <c r="L4453"/>
      <c r="AK4453"/>
      <c r="BU4453"/>
      <c r="BV4453"/>
      <c r="BX4453"/>
    </row>
    <row r="4454" spans="8:78" x14ac:dyDescent="0.2">
      <c r="H4454"/>
      <c r="L4454"/>
      <c r="AK4454"/>
      <c r="BU4454"/>
      <c r="BV4454"/>
      <c r="BX4454"/>
      <c r="BY4454"/>
      <c r="BZ4454"/>
    </row>
    <row r="4455" spans="8:78" x14ac:dyDescent="0.2">
      <c r="H4455"/>
      <c r="L4455"/>
      <c r="AK4455"/>
      <c r="BU4455"/>
      <c r="BV4455"/>
      <c r="BX4455"/>
      <c r="BY4455"/>
      <c r="BZ4455"/>
    </row>
    <row r="4456" spans="8:78" x14ac:dyDescent="0.2">
      <c r="H4456"/>
      <c r="L4456"/>
      <c r="AK4456"/>
      <c r="BU4456"/>
      <c r="BV4456"/>
      <c r="BX4456"/>
      <c r="BY4456"/>
      <c r="BZ4456"/>
    </row>
    <row r="4457" spans="8:78" x14ac:dyDescent="0.2">
      <c r="H4457"/>
      <c r="L4457"/>
      <c r="AK4457"/>
      <c r="BU4457"/>
      <c r="BV4457"/>
      <c r="BX4457"/>
      <c r="BY4457"/>
      <c r="BZ4457"/>
    </row>
    <row r="4458" spans="8:78" x14ac:dyDescent="0.2">
      <c r="H4458"/>
      <c r="L4458"/>
      <c r="BU4458"/>
      <c r="BV4458"/>
      <c r="BX4458"/>
      <c r="BY4458"/>
      <c r="BZ4458"/>
    </row>
    <row r="4459" spans="8:78" x14ac:dyDescent="0.2">
      <c r="H4459"/>
      <c r="L4459"/>
      <c r="BU4459"/>
      <c r="BV4459"/>
      <c r="BX4459"/>
      <c r="BY4459"/>
      <c r="BZ4459"/>
    </row>
    <row r="4460" spans="8:78" x14ac:dyDescent="0.2">
      <c r="H4460"/>
      <c r="L4460"/>
      <c r="BU4460"/>
      <c r="BV4460"/>
      <c r="BX4460"/>
      <c r="BY4460"/>
      <c r="BZ4460"/>
    </row>
    <row r="4461" spans="8:78" x14ac:dyDescent="0.2">
      <c r="H4461"/>
      <c r="L4461"/>
      <c r="BU4461"/>
      <c r="BV4461"/>
      <c r="BX4461"/>
    </row>
    <row r="4462" spans="8:78" x14ac:dyDescent="0.2">
      <c r="H4462"/>
      <c r="L4462"/>
      <c r="BU4462"/>
      <c r="BV4462"/>
      <c r="BX4462"/>
      <c r="BY4462"/>
      <c r="BZ4462"/>
    </row>
    <row r="4463" spans="8:78" x14ac:dyDescent="0.2">
      <c r="H4463"/>
      <c r="L4463"/>
      <c r="BU4463"/>
      <c r="BV4463"/>
      <c r="BX4463"/>
    </row>
    <row r="4464" spans="8:78" x14ac:dyDescent="0.2">
      <c r="H4464"/>
      <c r="L4464"/>
      <c r="BU4464"/>
      <c r="BV4464"/>
      <c r="BX4464"/>
    </row>
    <row r="4465" spans="8:78" x14ac:dyDescent="0.2">
      <c r="H4465"/>
      <c r="L4465"/>
      <c r="BU4465"/>
      <c r="BV4465"/>
      <c r="BX4465"/>
    </row>
    <row r="4466" spans="8:78" x14ac:dyDescent="0.2">
      <c r="H4466"/>
      <c r="L4466"/>
      <c r="BU4466"/>
      <c r="BV4466"/>
      <c r="BX4466"/>
    </row>
    <row r="4467" spans="8:78" x14ac:dyDescent="0.2">
      <c r="H4467"/>
      <c r="L4467"/>
      <c r="BU4467"/>
      <c r="BV4467"/>
      <c r="BX4467"/>
      <c r="BY4467"/>
      <c r="BZ4467"/>
    </row>
    <row r="4468" spans="8:78" x14ac:dyDescent="0.2">
      <c r="H4468"/>
      <c r="L4468"/>
      <c r="BU4468"/>
      <c r="BV4468"/>
      <c r="BX4468"/>
    </row>
    <row r="4469" spans="8:78" x14ac:dyDescent="0.2">
      <c r="H4469"/>
      <c r="L4469"/>
      <c r="BU4469"/>
      <c r="BV4469"/>
      <c r="BZ4469"/>
    </row>
    <row r="4470" spans="8:78" x14ac:dyDescent="0.2">
      <c r="H4470"/>
      <c r="L4470"/>
      <c r="BU4470"/>
      <c r="BV4470"/>
      <c r="BX4470"/>
      <c r="BY4470"/>
      <c r="BZ4470"/>
    </row>
    <row r="4471" spans="8:78" x14ac:dyDescent="0.2">
      <c r="H4471"/>
      <c r="L4471"/>
      <c r="BU4471"/>
      <c r="BV4471"/>
      <c r="BX4471"/>
      <c r="BY4471"/>
      <c r="BZ4471"/>
    </row>
    <row r="4472" spans="8:78" x14ac:dyDescent="0.2">
      <c r="H4472"/>
      <c r="L4472"/>
      <c r="BU4472"/>
      <c r="BV4472"/>
      <c r="BX4472"/>
      <c r="BY4472"/>
      <c r="BZ4472"/>
    </row>
    <row r="4473" spans="8:78" x14ac:dyDescent="0.2">
      <c r="H4473"/>
      <c r="L4473"/>
      <c r="AK4473"/>
      <c r="BU4473"/>
      <c r="BV4473"/>
      <c r="BX4473"/>
      <c r="BY4473"/>
      <c r="BZ4473"/>
    </row>
    <row r="4474" spans="8:78" x14ac:dyDescent="0.2">
      <c r="H4474"/>
      <c r="L4474"/>
      <c r="AK4474"/>
      <c r="BU4474"/>
      <c r="BV4474"/>
      <c r="BX4474"/>
      <c r="BY4474"/>
      <c r="BZ4474"/>
    </row>
    <row r="4475" spans="8:78" x14ac:dyDescent="0.2">
      <c r="H4475"/>
      <c r="L4475"/>
      <c r="AK4475"/>
      <c r="BU4475"/>
      <c r="BV4475"/>
      <c r="BX4475"/>
      <c r="BY4475"/>
      <c r="BZ4475"/>
    </row>
    <row r="4476" spans="8:78" x14ac:dyDescent="0.2">
      <c r="H4476"/>
      <c r="L4476"/>
      <c r="AK4476"/>
      <c r="BU4476"/>
      <c r="BV4476"/>
      <c r="BX4476"/>
      <c r="BY4476"/>
      <c r="BZ4476"/>
    </row>
    <row r="4477" spans="8:78" x14ac:dyDescent="0.2">
      <c r="H4477"/>
      <c r="L4477"/>
      <c r="AK4477"/>
      <c r="BU4477"/>
      <c r="BV4477"/>
      <c r="BX4477"/>
      <c r="BY4477"/>
      <c r="BZ4477"/>
    </row>
    <row r="4478" spans="8:78" x14ac:dyDescent="0.2">
      <c r="H4478"/>
      <c r="L4478"/>
      <c r="AK4478"/>
      <c r="BU4478"/>
      <c r="BV4478"/>
      <c r="BX4478"/>
      <c r="BY4478"/>
      <c r="BZ4478"/>
    </row>
    <row r="4479" spans="8:78" x14ac:dyDescent="0.2">
      <c r="H4479"/>
      <c r="L4479"/>
      <c r="AK4479"/>
      <c r="BU4479"/>
      <c r="BV4479"/>
      <c r="BX4479"/>
      <c r="BY4479"/>
      <c r="BZ4479"/>
    </row>
    <row r="4480" spans="8:78" x14ac:dyDescent="0.2">
      <c r="H4480"/>
      <c r="L4480"/>
      <c r="AK4480"/>
      <c r="BU4480"/>
      <c r="BV4480"/>
      <c r="BX4480"/>
      <c r="BY4480"/>
      <c r="BZ4480"/>
    </row>
    <row r="4481" spans="8:78" x14ac:dyDescent="0.2">
      <c r="H4481"/>
      <c r="L4481"/>
      <c r="AK4481"/>
      <c r="BU4481"/>
      <c r="BV4481"/>
      <c r="BX4481"/>
      <c r="BY4481"/>
      <c r="BZ4481"/>
    </row>
    <row r="4482" spans="8:78" x14ac:dyDescent="0.2">
      <c r="H4482"/>
      <c r="L4482"/>
      <c r="AK4482"/>
      <c r="BU4482"/>
      <c r="BV4482"/>
      <c r="BX4482"/>
      <c r="BY4482"/>
      <c r="BZ4482"/>
    </row>
    <row r="4483" spans="8:78" x14ac:dyDescent="0.2">
      <c r="H4483"/>
      <c r="L4483"/>
      <c r="AK4483"/>
      <c r="BU4483"/>
      <c r="BV4483"/>
      <c r="BX4483"/>
      <c r="BY4483"/>
      <c r="BZ4483"/>
    </row>
    <row r="4484" spans="8:78" x14ac:dyDescent="0.2">
      <c r="H4484"/>
      <c r="L4484"/>
      <c r="AK4484"/>
      <c r="BU4484"/>
      <c r="BV4484"/>
      <c r="BX4484"/>
      <c r="BY4484"/>
      <c r="BZ4484"/>
    </row>
    <row r="4485" spans="8:78" x14ac:dyDescent="0.2">
      <c r="H4485"/>
      <c r="L4485"/>
      <c r="AK4485"/>
      <c r="BU4485"/>
      <c r="BV4485"/>
      <c r="BX4485"/>
      <c r="BY4485"/>
      <c r="BZ4485"/>
    </row>
    <row r="4486" spans="8:78" x14ac:dyDescent="0.2">
      <c r="H4486"/>
      <c r="L4486"/>
      <c r="AK4486"/>
      <c r="BU4486"/>
      <c r="BV4486"/>
      <c r="BX4486"/>
      <c r="BY4486"/>
      <c r="BZ4486"/>
    </row>
    <row r="4487" spans="8:78" x14ac:dyDescent="0.2">
      <c r="H4487"/>
      <c r="L4487"/>
      <c r="AK4487"/>
      <c r="BU4487"/>
      <c r="BV4487"/>
      <c r="BX4487"/>
      <c r="BY4487"/>
      <c r="BZ4487"/>
    </row>
    <row r="4488" spans="8:78" x14ac:dyDescent="0.2">
      <c r="H4488"/>
      <c r="L4488"/>
      <c r="AK4488"/>
      <c r="BU4488"/>
      <c r="BV4488"/>
      <c r="BX4488"/>
      <c r="BY4488"/>
      <c r="BZ4488"/>
    </row>
    <row r="4489" spans="8:78" x14ac:dyDescent="0.2">
      <c r="H4489"/>
      <c r="L4489"/>
      <c r="BU4489"/>
      <c r="BV4489"/>
      <c r="BX4489"/>
      <c r="BY4489"/>
      <c r="BZ4489"/>
    </row>
    <row r="4490" spans="8:78" x14ac:dyDescent="0.2">
      <c r="H4490"/>
      <c r="L4490"/>
      <c r="AK4490"/>
      <c r="BU4490"/>
      <c r="BV4490"/>
      <c r="BX4490"/>
      <c r="BY4490"/>
      <c r="BZ4490"/>
    </row>
    <row r="4491" spans="8:78" x14ac:dyDescent="0.2">
      <c r="H4491"/>
      <c r="L4491"/>
      <c r="BU4491"/>
      <c r="BV4491"/>
      <c r="BX4491"/>
      <c r="BY4491"/>
      <c r="BZ4491"/>
    </row>
    <row r="4492" spans="8:78" x14ac:dyDescent="0.2">
      <c r="H4492"/>
      <c r="L4492"/>
      <c r="BU4492"/>
      <c r="BV4492"/>
      <c r="BX4492"/>
      <c r="BY4492"/>
      <c r="BZ4492"/>
    </row>
    <row r="4493" spans="8:78" x14ac:dyDescent="0.2">
      <c r="H4493"/>
      <c r="L4493"/>
      <c r="BU4493"/>
      <c r="BV4493"/>
      <c r="BX4493"/>
      <c r="BY4493"/>
      <c r="BZ4493"/>
    </row>
    <row r="4494" spans="8:78" x14ac:dyDescent="0.2">
      <c r="H4494"/>
      <c r="L4494"/>
      <c r="BU4494"/>
      <c r="BV4494"/>
      <c r="BX4494"/>
      <c r="BY4494"/>
      <c r="BZ4494"/>
    </row>
    <row r="4495" spans="8:78" x14ac:dyDescent="0.2">
      <c r="H4495"/>
      <c r="L4495"/>
      <c r="BU4495"/>
      <c r="BV4495"/>
      <c r="BX4495"/>
      <c r="BY4495"/>
      <c r="BZ4495"/>
    </row>
    <row r="4496" spans="8:78" x14ac:dyDescent="0.2">
      <c r="H4496"/>
      <c r="L4496"/>
      <c r="AK4496"/>
      <c r="BU4496"/>
      <c r="BV4496"/>
      <c r="BX4496"/>
      <c r="BY4496"/>
      <c r="BZ4496"/>
    </row>
    <row r="4497" spans="8:78" x14ac:dyDescent="0.2">
      <c r="H4497"/>
      <c r="L4497"/>
      <c r="BU4497"/>
      <c r="BV4497"/>
      <c r="BX4497"/>
      <c r="BY4497"/>
      <c r="BZ4497"/>
    </row>
    <row r="4498" spans="8:78" x14ac:dyDescent="0.2">
      <c r="H4498"/>
      <c r="L4498"/>
      <c r="BU4498"/>
      <c r="BV4498"/>
      <c r="BX4498"/>
      <c r="BY4498"/>
      <c r="BZ4498"/>
    </row>
    <row r="4499" spans="8:78" x14ac:dyDescent="0.2">
      <c r="H4499"/>
      <c r="L4499"/>
      <c r="AK4499"/>
      <c r="BU4499"/>
      <c r="BV4499"/>
      <c r="BX4499"/>
      <c r="BY4499"/>
      <c r="BZ4499"/>
    </row>
    <row r="4500" spans="8:78" x14ac:dyDescent="0.2">
      <c r="H4500"/>
      <c r="L4500"/>
      <c r="BU4500"/>
      <c r="BV4500"/>
      <c r="BX4500"/>
      <c r="BY4500"/>
      <c r="BZ4500"/>
    </row>
    <row r="4501" spans="8:78" x14ac:dyDescent="0.2">
      <c r="H4501"/>
      <c r="L4501"/>
      <c r="BU4501"/>
      <c r="BV4501"/>
      <c r="BX4501"/>
      <c r="BY4501"/>
      <c r="BZ4501"/>
    </row>
    <row r="4502" spans="8:78" x14ac:dyDescent="0.2">
      <c r="H4502"/>
      <c r="L4502"/>
      <c r="AK4502"/>
      <c r="BU4502"/>
      <c r="BV4502"/>
      <c r="BX4502"/>
      <c r="BY4502"/>
      <c r="BZ4502"/>
    </row>
    <row r="4503" spans="8:78" x14ac:dyDescent="0.2">
      <c r="H4503"/>
      <c r="L4503"/>
      <c r="AK4503"/>
      <c r="BU4503"/>
      <c r="BV4503"/>
      <c r="BX4503"/>
      <c r="BY4503"/>
      <c r="BZ4503"/>
    </row>
    <row r="4504" spans="8:78" x14ac:dyDescent="0.2">
      <c r="H4504"/>
      <c r="L4504"/>
      <c r="AK4504"/>
      <c r="BU4504"/>
      <c r="BV4504"/>
      <c r="BX4504"/>
      <c r="BY4504"/>
      <c r="BZ4504"/>
    </row>
    <row r="4505" spans="8:78" x14ac:dyDescent="0.2">
      <c r="H4505"/>
      <c r="L4505"/>
      <c r="AK4505"/>
      <c r="BU4505"/>
      <c r="BV4505"/>
      <c r="BX4505"/>
      <c r="BY4505"/>
      <c r="BZ4505"/>
    </row>
    <row r="4506" spans="8:78" x14ac:dyDescent="0.2">
      <c r="H4506"/>
      <c r="L4506"/>
      <c r="BU4506"/>
      <c r="BV4506"/>
      <c r="BX4506"/>
      <c r="BY4506"/>
      <c r="BZ4506"/>
    </row>
    <row r="4507" spans="8:78" x14ac:dyDescent="0.2">
      <c r="H4507"/>
      <c r="L4507"/>
      <c r="BU4507"/>
      <c r="BV4507"/>
      <c r="BX4507"/>
      <c r="BY4507"/>
      <c r="BZ4507"/>
    </row>
    <row r="4508" spans="8:78" x14ac:dyDescent="0.2">
      <c r="H4508"/>
      <c r="L4508"/>
      <c r="BU4508"/>
      <c r="BV4508"/>
      <c r="BX4508"/>
      <c r="BY4508"/>
      <c r="BZ4508"/>
    </row>
    <row r="4509" spans="8:78" x14ac:dyDescent="0.2">
      <c r="H4509"/>
      <c r="L4509"/>
      <c r="BU4509"/>
      <c r="BV4509"/>
      <c r="BX4509"/>
      <c r="BY4509"/>
      <c r="BZ4509"/>
    </row>
    <row r="4510" spans="8:78" x14ac:dyDescent="0.2">
      <c r="H4510"/>
      <c r="L4510"/>
      <c r="AK4510"/>
      <c r="BU4510"/>
      <c r="BV4510"/>
      <c r="BX4510"/>
      <c r="BY4510"/>
      <c r="BZ4510"/>
    </row>
    <row r="4511" spans="8:78" x14ac:dyDescent="0.2">
      <c r="AK4511"/>
      <c r="BZ4511"/>
    </row>
    <row r="4512" spans="8:78" x14ac:dyDescent="0.2">
      <c r="H4512"/>
      <c r="L4512"/>
      <c r="AK4512"/>
      <c r="BU4512"/>
      <c r="BV4512"/>
      <c r="BX4512"/>
      <c r="BY4512"/>
      <c r="BZ4512"/>
    </row>
    <row r="4513" spans="8:78" x14ac:dyDescent="0.2">
      <c r="H4513"/>
      <c r="L4513"/>
      <c r="AK4513"/>
      <c r="BU4513"/>
      <c r="BV4513"/>
      <c r="BX4513"/>
      <c r="BY4513"/>
      <c r="BZ4513"/>
    </row>
    <row r="4514" spans="8:78" x14ac:dyDescent="0.2">
      <c r="H4514"/>
      <c r="L4514"/>
      <c r="AK4514"/>
      <c r="BU4514"/>
      <c r="BV4514"/>
      <c r="BX4514"/>
      <c r="BY4514"/>
      <c r="BZ4514"/>
    </row>
    <row r="4515" spans="8:78" x14ac:dyDescent="0.2">
      <c r="H4515"/>
      <c r="L4515"/>
      <c r="AK4515"/>
      <c r="BU4515"/>
      <c r="BV4515"/>
      <c r="BX4515"/>
      <c r="BY4515"/>
      <c r="BZ4515"/>
    </row>
    <row r="4516" spans="8:78" x14ac:dyDescent="0.2">
      <c r="H4516"/>
      <c r="L4516"/>
      <c r="AK4516"/>
      <c r="BU4516"/>
      <c r="BV4516"/>
      <c r="BZ4516"/>
    </row>
    <row r="4517" spans="8:78" x14ac:dyDescent="0.2">
      <c r="H4517"/>
      <c r="L4517"/>
      <c r="AK4517"/>
      <c r="BU4517"/>
      <c r="BV4517"/>
      <c r="BX4517"/>
      <c r="BY4517"/>
      <c r="BZ4517"/>
    </row>
    <row r="4518" spans="8:78" x14ac:dyDescent="0.2">
      <c r="H4518"/>
      <c r="L4518"/>
      <c r="AK4518"/>
      <c r="BU4518"/>
      <c r="BV4518"/>
      <c r="BX4518"/>
      <c r="BY4518"/>
      <c r="BZ4518"/>
    </row>
    <row r="4519" spans="8:78" x14ac:dyDescent="0.2">
      <c r="H4519"/>
      <c r="L4519"/>
      <c r="BU4519"/>
      <c r="BV4519"/>
      <c r="BX4519"/>
      <c r="BY4519"/>
      <c r="BZ4519"/>
    </row>
    <row r="4520" spans="8:78" x14ac:dyDescent="0.2">
      <c r="H4520"/>
      <c r="L4520"/>
      <c r="AK4520"/>
      <c r="BU4520"/>
      <c r="BV4520"/>
      <c r="BX4520"/>
      <c r="BY4520"/>
      <c r="BZ4520"/>
    </row>
    <row r="4521" spans="8:78" x14ac:dyDescent="0.2">
      <c r="H4521"/>
      <c r="L4521"/>
      <c r="AK4521"/>
      <c r="BU4521"/>
      <c r="BV4521"/>
      <c r="BX4521"/>
      <c r="BY4521"/>
      <c r="BZ4521"/>
    </row>
    <row r="4522" spans="8:78" x14ac:dyDescent="0.2">
      <c r="H4522"/>
      <c r="L4522"/>
      <c r="AK4522"/>
      <c r="BU4522"/>
      <c r="BV4522"/>
      <c r="BX4522"/>
      <c r="BY4522"/>
      <c r="BZ4522"/>
    </row>
    <row r="4523" spans="8:78" x14ac:dyDescent="0.2">
      <c r="H4523"/>
      <c r="L4523"/>
      <c r="AK4523"/>
      <c r="BU4523"/>
      <c r="BV4523"/>
      <c r="BX4523"/>
      <c r="BY4523"/>
      <c r="BZ4523"/>
    </row>
    <row r="4524" spans="8:78" x14ac:dyDescent="0.2">
      <c r="H4524"/>
      <c r="L4524"/>
      <c r="AK4524"/>
      <c r="BU4524"/>
      <c r="BV4524"/>
      <c r="BX4524"/>
      <c r="BY4524"/>
      <c r="BZ4524"/>
    </row>
    <row r="4525" spans="8:78" x14ac:dyDescent="0.2">
      <c r="H4525"/>
      <c r="L4525"/>
      <c r="AK4525"/>
      <c r="BU4525"/>
      <c r="BV4525"/>
      <c r="BX4525"/>
      <c r="BY4525"/>
      <c r="BZ4525"/>
    </row>
    <row r="4526" spans="8:78" x14ac:dyDescent="0.2">
      <c r="H4526"/>
      <c r="L4526"/>
      <c r="AK4526"/>
      <c r="BU4526"/>
      <c r="BV4526"/>
      <c r="BX4526"/>
      <c r="BY4526"/>
      <c r="BZ4526"/>
    </row>
    <row r="4527" spans="8:78" x14ac:dyDescent="0.2">
      <c r="H4527"/>
      <c r="L4527"/>
      <c r="AK4527"/>
      <c r="BU4527"/>
      <c r="BV4527"/>
      <c r="BX4527"/>
      <c r="BY4527"/>
      <c r="BZ4527"/>
    </row>
    <row r="4528" spans="8:78" x14ac:dyDescent="0.2">
      <c r="H4528"/>
      <c r="L4528"/>
      <c r="AK4528"/>
      <c r="BU4528"/>
      <c r="BV4528"/>
      <c r="BX4528"/>
      <c r="BY4528"/>
      <c r="BZ4528"/>
    </row>
    <row r="4529" spans="8:78" x14ac:dyDescent="0.2">
      <c r="H4529"/>
      <c r="L4529"/>
      <c r="AK4529"/>
      <c r="BU4529"/>
      <c r="BV4529"/>
      <c r="BX4529"/>
      <c r="BY4529"/>
      <c r="BZ4529"/>
    </row>
    <row r="4530" spans="8:78" x14ac:dyDescent="0.2">
      <c r="H4530"/>
      <c r="L4530"/>
      <c r="AK4530"/>
      <c r="BU4530"/>
      <c r="BV4530"/>
      <c r="BX4530"/>
      <c r="BY4530"/>
      <c r="BZ4530"/>
    </row>
    <row r="4531" spans="8:78" x14ac:dyDescent="0.2">
      <c r="H4531"/>
      <c r="L4531"/>
      <c r="AK4531"/>
      <c r="BU4531"/>
      <c r="BV4531"/>
      <c r="BX4531"/>
      <c r="BY4531"/>
      <c r="BZ4531"/>
    </row>
    <row r="4532" spans="8:78" x14ac:dyDescent="0.2">
      <c r="H4532"/>
      <c r="L4532"/>
      <c r="AK4532"/>
      <c r="BU4532"/>
      <c r="BV4532"/>
      <c r="BX4532"/>
      <c r="BY4532"/>
      <c r="BZ4532"/>
    </row>
    <row r="4533" spans="8:78" x14ac:dyDescent="0.2">
      <c r="H4533"/>
      <c r="L4533"/>
      <c r="AK4533"/>
      <c r="BU4533"/>
      <c r="BV4533"/>
      <c r="BX4533"/>
      <c r="BY4533"/>
      <c r="BZ4533"/>
    </row>
    <row r="4534" spans="8:78" x14ac:dyDescent="0.2">
      <c r="H4534"/>
      <c r="L4534"/>
      <c r="AK4534"/>
      <c r="BU4534"/>
      <c r="BV4534"/>
      <c r="BX4534"/>
      <c r="BY4534"/>
      <c r="BZ4534"/>
    </row>
    <row r="4535" spans="8:78" x14ac:dyDescent="0.2">
      <c r="H4535"/>
      <c r="L4535"/>
      <c r="AK4535"/>
      <c r="BU4535"/>
      <c r="BV4535"/>
      <c r="BX4535"/>
      <c r="BY4535"/>
      <c r="BZ4535"/>
    </row>
    <row r="4536" spans="8:78" x14ac:dyDescent="0.2">
      <c r="H4536"/>
      <c r="L4536"/>
      <c r="AK4536"/>
      <c r="BU4536"/>
      <c r="BV4536"/>
      <c r="BX4536"/>
      <c r="BY4536"/>
      <c r="BZ4536"/>
    </row>
    <row r="4537" spans="8:78" x14ac:dyDescent="0.2">
      <c r="H4537"/>
      <c r="L4537"/>
      <c r="AK4537"/>
      <c r="BU4537"/>
      <c r="BV4537"/>
      <c r="BX4537"/>
      <c r="BY4537"/>
      <c r="BZ4537"/>
    </row>
    <row r="4538" spans="8:78" x14ac:dyDescent="0.2">
      <c r="H4538"/>
      <c r="L4538"/>
      <c r="AK4538"/>
      <c r="BU4538"/>
      <c r="BV4538"/>
      <c r="BX4538"/>
      <c r="BY4538"/>
      <c r="BZ4538"/>
    </row>
    <row r="4539" spans="8:78" x14ac:dyDescent="0.2">
      <c r="H4539"/>
      <c r="L4539"/>
      <c r="AK4539"/>
      <c r="BU4539"/>
      <c r="BV4539"/>
      <c r="BX4539"/>
      <c r="BY4539"/>
      <c r="BZ4539"/>
    </row>
    <row r="4540" spans="8:78" x14ac:dyDescent="0.2">
      <c r="H4540"/>
      <c r="L4540"/>
      <c r="AK4540"/>
      <c r="BU4540"/>
      <c r="BV4540"/>
      <c r="BX4540"/>
      <c r="BY4540"/>
      <c r="BZ4540"/>
    </row>
    <row r="4541" spans="8:78" x14ac:dyDescent="0.2">
      <c r="H4541"/>
      <c r="L4541"/>
      <c r="AK4541"/>
      <c r="BU4541"/>
      <c r="BV4541"/>
      <c r="BX4541"/>
      <c r="BY4541"/>
      <c r="BZ4541"/>
    </row>
    <row r="4542" spans="8:78" x14ac:dyDescent="0.2">
      <c r="H4542"/>
      <c r="L4542"/>
      <c r="AK4542"/>
      <c r="BU4542"/>
      <c r="BV4542"/>
      <c r="BX4542"/>
      <c r="BY4542"/>
      <c r="BZ4542"/>
    </row>
    <row r="4543" spans="8:78" x14ac:dyDescent="0.2">
      <c r="H4543"/>
      <c r="L4543"/>
      <c r="AK4543"/>
      <c r="BU4543"/>
      <c r="BV4543"/>
      <c r="BX4543"/>
      <c r="BY4543"/>
      <c r="BZ4543"/>
    </row>
    <row r="4544" spans="8:78" x14ac:dyDescent="0.2">
      <c r="H4544"/>
      <c r="L4544"/>
      <c r="AK4544"/>
      <c r="BU4544"/>
      <c r="BV4544"/>
      <c r="BX4544"/>
      <c r="BY4544"/>
      <c r="BZ4544"/>
    </row>
    <row r="4545" spans="8:78" x14ac:dyDescent="0.2">
      <c r="H4545"/>
      <c r="L4545"/>
      <c r="AK4545"/>
      <c r="BU4545"/>
      <c r="BV4545"/>
      <c r="BX4545"/>
      <c r="BY4545"/>
      <c r="BZ4545"/>
    </row>
    <row r="4546" spans="8:78" x14ac:dyDescent="0.2">
      <c r="H4546"/>
      <c r="L4546"/>
      <c r="AK4546"/>
      <c r="BU4546"/>
      <c r="BV4546"/>
      <c r="BZ4546"/>
    </row>
    <row r="4547" spans="8:78" x14ac:dyDescent="0.2">
      <c r="H4547"/>
      <c r="L4547"/>
      <c r="AK4547"/>
      <c r="BU4547"/>
      <c r="BV4547"/>
      <c r="BZ4547"/>
    </row>
    <row r="4548" spans="8:78" x14ac:dyDescent="0.2">
      <c r="H4548"/>
      <c r="L4548"/>
      <c r="AK4548"/>
      <c r="BU4548"/>
      <c r="BV4548"/>
      <c r="BX4548"/>
      <c r="BY4548"/>
      <c r="BZ4548"/>
    </row>
    <row r="4549" spans="8:78" x14ac:dyDescent="0.2">
      <c r="H4549"/>
      <c r="L4549"/>
      <c r="AK4549"/>
      <c r="BU4549"/>
      <c r="BV4549"/>
      <c r="BX4549"/>
      <c r="BY4549"/>
      <c r="BZ4549"/>
    </row>
    <row r="4550" spans="8:78" x14ac:dyDescent="0.2">
      <c r="H4550"/>
      <c r="L4550"/>
      <c r="AK4550"/>
      <c r="BU4550"/>
      <c r="BV4550"/>
      <c r="BX4550"/>
      <c r="BY4550"/>
      <c r="BZ4550"/>
    </row>
    <row r="4551" spans="8:78" x14ac:dyDescent="0.2">
      <c r="AK4551"/>
      <c r="BZ4551"/>
    </row>
    <row r="4552" spans="8:78" x14ac:dyDescent="0.2">
      <c r="H4552"/>
      <c r="L4552"/>
      <c r="AK4552"/>
      <c r="BU4552"/>
      <c r="BV4552"/>
      <c r="BX4552"/>
    </row>
    <row r="4553" spans="8:78" x14ac:dyDescent="0.2">
      <c r="H4553"/>
      <c r="L4553"/>
      <c r="AK4553"/>
      <c r="BU4553"/>
      <c r="BV4553"/>
      <c r="BX4553"/>
      <c r="BY4553"/>
      <c r="BZ4553"/>
    </row>
    <row r="4554" spans="8:78" x14ac:dyDescent="0.2">
      <c r="H4554"/>
      <c r="L4554"/>
      <c r="AK4554"/>
      <c r="BU4554"/>
      <c r="BV4554"/>
      <c r="BX4554"/>
    </row>
    <row r="4555" spans="8:78" x14ac:dyDescent="0.2">
      <c r="H4555"/>
      <c r="L4555"/>
      <c r="AK4555"/>
      <c r="BU4555"/>
      <c r="BV4555"/>
      <c r="BX4555"/>
      <c r="BY4555"/>
      <c r="BZ4555"/>
    </row>
    <row r="4556" spans="8:78" x14ac:dyDescent="0.2">
      <c r="H4556"/>
      <c r="L4556"/>
      <c r="AK4556"/>
      <c r="BU4556"/>
      <c r="BV4556"/>
      <c r="BX4556"/>
      <c r="BY4556"/>
      <c r="BZ4556"/>
    </row>
    <row r="4557" spans="8:78" x14ac:dyDescent="0.2">
      <c r="H4557"/>
      <c r="L4557"/>
      <c r="AK4557"/>
      <c r="BU4557"/>
      <c r="BV4557"/>
      <c r="BX4557"/>
      <c r="BY4557"/>
      <c r="BZ4557"/>
    </row>
    <row r="4558" spans="8:78" x14ac:dyDescent="0.2">
      <c r="H4558"/>
      <c r="L4558"/>
      <c r="AK4558"/>
      <c r="BU4558"/>
      <c r="BV4558"/>
      <c r="BX4558"/>
    </row>
    <row r="4559" spans="8:78" x14ac:dyDescent="0.2">
      <c r="H4559"/>
      <c r="L4559"/>
      <c r="AK4559"/>
      <c r="BU4559"/>
      <c r="BV4559"/>
      <c r="BX4559"/>
    </row>
    <row r="4560" spans="8:78" x14ac:dyDescent="0.2">
      <c r="H4560"/>
      <c r="L4560"/>
      <c r="AK4560"/>
      <c r="BU4560"/>
      <c r="BV4560"/>
      <c r="BX4560"/>
    </row>
    <row r="4561" spans="8:78" x14ac:dyDescent="0.2">
      <c r="H4561"/>
      <c r="L4561"/>
      <c r="AK4561"/>
      <c r="BU4561"/>
      <c r="BV4561"/>
      <c r="BX4561"/>
      <c r="BY4561"/>
      <c r="BZ4561"/>
    </row>
    <row r="4562" spans="8:78" x14ac:dyDescent="0.2">
      <c r="H4562"/>
      <c r="L4562"/>
      <c r="AK4562"/>
      <c r="BU4562"/>
      <c r="BV4562"/>
      <c r="BX4562"/>
    </row>
    <row r="4563" spans="8:78" x14ac:dyDescent="0.2">
      <c r="H4563"/>
      <c r="L4563"/>
      <c r="AK4563"/>
      <c r="BU4563"/>
      <c r="BV4563"/>
      <c r="BX4563"/>
    </row>
    <row r="4564" spans="8:78" x14ac:dyDescent="0.2">
      <c r="H4564"/>
      <c r="L4564"/>
      <c r="AK4564"/>
      <c r="BU4564"/>
      <c r="BV4564"/>
      <c r="BX4564"/>
    </row>
    <row r="4565" spans="8:78" x14ac:dyDescent="0.2">
      <c r="H4565"/>
      <c r="L4565"/>
      <c r="AK4565"/>
      <c r="BU4565"/>
      <c r="BV4565"/>
      <c r="BX4565"/>
      <c r="BY4565"/>
      <c r="BZ4565"/>
    </row>
    <row r="4566" spans="8:78" x14ac:dyDescent="0.2">
      <c r="H4566"/>
      <c r="L4566"/>
      <c r="BU4566"/>
      <c r="BV4566"/>
      <c r="BX4566"/>
    </row>
    <row r="4567" spans="8:78" x14ac:dyDescent="0.2">
      <c r="H4567"/>
      <c r="L4567"/>
      <c r="BU4567"/>
      <c r="BV4567"/>
      <c r="BX4567"/>
    </row>
    <row r="4568" spans="8:78" x14ac:dyDescent="0.2">
      <c r="H4568"/>
      <c r="L4568"/>
      <c r="BU4568"/>
      <c r="BV4568"/>
      <c r="BX4568"/>
    </row>
    <row r="4569" spans="8:78" x14ac:dyDescent="0.2">
      <c r="H4569"/>
      <c r="L4569"/>
      <c r="BU4569"/>
      <c r="BV4569"/>
      <c r="BX4569"/>
    </row>
    <row r="4570" spans="8:78" x14ac:dyDescent="0.2">
      <c r="H4570"/>
      <c r="L4570"/>
      <c r="AK4570"/>
      <c r="BU4570"/>
      <c r="BV4570"/>
      <c r="BX4570"/>
    </row>
    <row r="4571" spans="8:78" x14ac:dyDescent="0.2">
      <c r="H4571"/>
      <c r="L4571"/>
      <c r="AK4571"/>
      <c r="BU4571"/>
      <c r="BV4571"/>
      <c r="BX4571"/>
    </row>
    <row r="4572" spans="8:78" x14ac:dyDescent="0.2">
      <c r="H4572"/>
      <c r="L4572"/>
      <c r="AK4572"/>
      <c r="BU4572"/>
      <c r="BV4572"/>
      <c r="BX4572"/>
      <c r="BY4572"/>
      <c r="BZ4572"/>
    </row>
    <row r="4573" spans="8:78" x14ac:dyDescent="0.2">
      <c r="H4573"/>
      <c r="L4573"/>
      <c r="AK4573"/>
      <c r="BU4573"/>
      <c r="BV4573"/>
      <c r="BX4573"/>
    </row>
    <row r="4574" spans="8:78" x14ac:dyDescent="0.2">
      <c r="H4574"/>
      <c r="L4574"/>
      <c r="AK4574"/>
      <c r="BU4574"/>
      <c r="BV4574"/>
      <c r="BX4574"/>
      <c r="BY4574"/>
      <c r="BZ4574"/>
    </row>
    <row r="4575" spans="8:78" x14ac:dyDescent="0.2">
      <c r="H4575"/>
      <c r="L4575"/>
      <c r="AK4575"/>
      <c r="BU4575"/>
      <c r="BV4575"/>
      <c r="BX4575"/>
    </row>
    <row r="4576" spans="8:78" x14ac:dyDescent="0.2">
      <c r="H4576"/>
      <c r="L4576"/>
      <c r="AK4576"/>
      <c r="BU4576"/>
      <c r="BV4576"/>
      <c r="BX4576"/>
    </row>
    <row r="4577" spans="8:78" x14ac:dyDescent="0.2">
      <c r="H4577"/>
      <c r="L4577"/>
      <c r="AK4577"/>
      <c r="BU4577"/>
      <c r="BV4577"/>
      <c r="BX4577"/>
      <c r="BY4577"/>
      <c r="BZ4577"/>
    </row>
    <row r="4578" spans="8:78" x14ac:dyDescent="0.2">
      <c r="H4578"/>
      <c r="L4578"/>
      <c r="AK4578"/>
      <c r="BU4578"/>
      <c r="BV4578"/>
      <c r="BX4578"/>
      <c r="BY4578"/>
      <c r="BZ4578"/>
    </row>
    <row r="4579" spans="8:78" x14ac:dyDescent="0.2">
      <c r="H4579"/>
      <c r="L4579"/>
      <c r="AK4579"/>
      <c r="BU4579"/>
      <c r="BV4579"/>
      <c r="BX4579"/>
      <c r="BY4579"/>
      <c r="BZ4579"/>
    </row>
    <row r="4580" spans="8:78" x14ac:dyDescent="0.2">
      <c r="H4580"/>
      <c r="L4580"/>
      <c r="AK4580"/>
      <c r="BU4580"/>
      <c r="BV4580"/>
      <c r="BX4580"/>
      <c r="BY4580"/>
      <c r="BZ4580"/>
    </row>
    <row r="4581" spans="8:78" x14ac:dyDescent="0.2">
      <c r="H4581"/>
      <c r="L4581"/>
      <c r="AK4581"/>
      <c r="BU4581"/>
      <c r="BV4581"/>
      <c r="BX4581"/>
      <c r="BY4581"/>
      <c r="BZ4581"/>
    </row>
    <row r="4582" spans="8:78" x14ac:dyDescent="0.2">
      <c r="H4582"/>
      <c r="L4582"/>
      <c r="AK4582"/>
      <c r="BU4582"/>
      <c r="BV4582"/>
      <c r="BX4582"/>
      <c r="BY4582"/>
      <c r="BZ4582"/>
    </row>
    <row r="4583" spans="8:78" x14ac:dyDescent="0.2">
      <c r="H4583"/>
      <c r="L4583"/>
      <c r="AK4583"/>
      <c r="BU4583"/>
      <c r="BV4583"/>
      <c r="BX4583"/>
    </row>
    <row r="4584" spans="8:78" x14ac:dyDescent="0.2">
      <c r="H4584"/>
      <c r="L4584"/>
      <c r="AK4584"/>
      <c r="BU4584"/>
      <c r="BV4584"/>
      <c r="BX4584"/>
      <c r="BY4584"/>
      <c r="BZ4584"/>
    </row>
    <row r="4585" spans="8:78" x14ac:dyDescent="0.2">
      <c r="H4585"/>
      <c r="L4585"/>
      <c r="AK4585"/>
      <c r="BU4585"/>
      <c r="BV4585"/>
      <c r="BX4585"/>
    </row>
    <row r="4586" spans="8:78" x14ac:dyDescent="0.2">
      <c r="H4586"/>
      <c r="L4586"/>
      <c r="AK4586"/>
      <c r="BU4586"/>
      <c r="BV4586"/>
      <c r="BX4586"/>
      <c r="BY4586"/>
      <c r="BZ4586"/>
    </row>
    <row r="4587" spans="8:78" x14ac:dyDescent="0.2">
      <c r="H4587"/>
      <c r="L4587"/>
      <c r="AK4587"/>
      <c r="BU4587"/>
      <c r="BV4587"/>
      <c r="BX4587"/>
    </row>
    <row r="4588" spans="8:78" x14ac:dyDescent="0.2">
      <c r="H4588"/>
      <c r="L4588"/>
      <c r="AK4588"/>
      <c r="BU4588"/>
      <c r="BV4588"/>
      <c r="BX4588"/>
      <c r="BY4588"/>
      <c r="BZ4588"/>
    </row>
    <row r="4589" spans="8:78" x14ac:dyDescent="0.2">
      <c r="H4589"/>
      <c r="L4589"/>
      <c r="AK4589"/>
      <c r="BU4589"/>
      <c r="BV4589"/>
      <c r="BX4589"/>
    </row>
    <row r="4590" spans="8:78" x14ac:dyDescent="0.2">
      <c r="H4590"/>
      <c r="L4590"/>
      <c r="AK4590"/>
      <c r="BU4590"/>
      <c r="BV4590"/>
      <c r="BX4590"/>
      <c r="BY4590"/>
      <c r="BZ4590"/>
    </row>
    <row r="4591" spans="8:78" x14ac:dyDescent="0.2">
      <c r="H4591"/>
      <c r="L4591"/>
      <c r="AK4591"/>
      <c r="BU4591"/>
      <c r="BV4591"/>
      <c r="BX4591"/>
    </row>
    <row r="4592" spans="8:78" x14ac:dyDescent="0.2">
      <c r="H4592"/>
      <c r="L4592"/>
      <c r="AK4592"/>
      <c r="BU4592"/>
      <c r="BV4592"/>
      <c r="BX4592"/>
    </row>
    <row r="4593" spans="8:78" x14ac:dyDescent="0.2">
      <c r="H4593"/>
      <c r="L4593"/>
      <c r="AK4593"/>
      <c r="BU4593"/>
      <c r="BV4593"/>
      <c r="BX4593"/>
      <c r="BY4593"/>
      <c r="BZ4593"/>
    </row>
    <row r="4594" spans="8:78" x14ac:dyDescent="0.2">
      <c r="H4594"/>
      <c r="L4594"/>
      <c r="AK4594"/>
      <c r="BU4594"/>
      <c r="BV4594"/>
      <c r="BX4594"/>
      <c r="BY4594"/>
      <c r="BZ4594"/>
    </row>
    <row r="4595" spans="8:78" x14ac:dyDescent="0.2">
      <c r="H4595"/>
      <c r="L4595"/>
      <c r="AK4595"/>
      <c r="BU4595"/>
      <c r="BV4595"/>
      <c r="BX4595"/>
      <c r="BY4595"/>
      <c r="BZ4595"/>
    </row>
    <row r="4596" spans="8:78" x14ac:dyDescent="0.2">
      <c r="H4596"/>
      <c r="L4596"/>
      <c r="AK4596"/>
      <c r="BU4596"/>
      <c r="BV4596"/>
      <c r="BX4596"/>
      <c r="BY4596"/>
      <c r="BZ4596"/>
    </row>
    <row r="4597" spans="8:78" x14ac:dyDescent="0.2">
      <c r="H4597"/>
      <c r="L4597"/>
      <c r="AK4597"/>
      <c r="BU4597"/>
      <c r="BV4597"/>
      <c r="BX4597"/>
      <c r="BY4597"/>
      <c r="BZ4597"/>
    </row>
    <row r="4598" spans="8:78" x14ac:dyDescent="0.2">
      <c r="H4598"/>
      <c r="L4598"/>
      <c r="AK4598"/>
      <c r="BU4598"/>
      <c r="BV4598"/>
      <c r="BX4598"/>
      <c r="BY4598"/>
      <c r="BZ4598"/>
    </row>
    <row r="4599" spans="8:78" x14ac:dyDescent="0.2">
      <c r="H4599"/>
      <c r="L4599"/>
      <c r="AK4599"/>
      <c r="BU4599"/>
      <c r="BV4599"/>
      <c r="BX4599"/>
      <c r="BY4599"/>
      <c r="BZ4599"/>
    </row>
    <row r="4600" spans="8:78" x14ac:dyDescent="0.2">
      <c r="H4600"/>
      <c r="L4600"/>
      <c r="AK4600"/>
      <c r="BU4600"/>
      <c r="BV4600"/>
      <c r="BX4600"/>
    </row>
    <row r="4601" spans="8:78" x14ac:dyDescent="0.2">
      <c r="H4601"/>
      <c r="L4601"/>
      <c r="AK4601"/>
      <c r="BU4601"/>
      <c r="BV4601"/>
      <c r="BX4601"/>
      <c r="BY4601"/>
      <c r="BZ4601"/>
    </row>
    <row r="4602" spans="8:78" x14ac:dyDescent="0.2">
      <c r="H4602"/>
      <c r="L4602"/>
      <c r="AK4602"/>
      <c r="BU4602"/>
      <c r="BV4602"/>
      <c r="BX4602"/>
    </row>
    <row r="4603" spans="8:78" x14ac:dyDescent="0.2">
      <c r="H4603"/>
      <c r="L4603"/>
      <c r="AK4603"/>
      <c r="BU4603"/>
      <c r="BV4603"/>
      <c r="BX4603"/>
    </row>
    <row r="4604" spans="8:78" x14ac:dyDescent="0.2">
      <c r="H4604"/>
      <c r="L4604"/>
      <c r="AK4604"/>
      <c r="BU4604"/>
      <c r="BV4604"/>
      <c r="BX4604"/>
      <c r="BY4604"/>
      <c r="BZ4604"/>
    </row>
    <row r="4605" spans="8:78" x14ac:dyDescent="0.2">
      <c r="H4605"/>
      <c r="L4605"/>
      <c r="AK4605"/>
      <c r="BU4605"/>
      <c r="BV4605"/>
      <c r="BX4605"/>
    </row>
    <row r="4606" spans="8:78" x14ac:dyDescent="0.2">
      <c r="H4606"/>
      <c r="L4606"/>
      <c r="AK4606"/>
      <c r="BU4606"/>
      <c r="BV4606"/>
      <c r="BX4606"/>
      <c r="BY4606"/>
      <c r="BZ4606"/>
    </row>
    <row r="4607" spans="8:78" x14ac:dyDescent="0.2">
      <c r="H4607"/>
      <c r="L4607"/>
      <c r="AK4607"/>
      <c r="BU4607"/>
      <c r="BV4607"/>
      <c r="BX4607"/>
      <c r="BY4607"/>
      <c r="BZ4607"/>
    </row>
    <row r="4608" spans="8:78" x14ac:dyDescent="0.2">
      <c r="H4608"/>
      <c r="L4608"/>
      <c r="AK4608"/>
      <c r="BU4608"/>
      <c r="BV4608"/>
      <c r="BX4608"/>
    </row>
    <row r="4609" spans="8:78" x14ac:dyDescent="0.2">
      <c r="AK4609"/>
    </row>
    <row r="4610" spans="8:78" x14ac:dyDescent="0.2">
      <c r="H4610"/>
      <c r="L4610"/>
      <c r="AK4610"/>
      <c r="BU4610"/>
      <c r="BV4610"/>
      <c r="BX4610"/>
      <c r="BY4610"/>
      <c r="BZ4610"/>
    </row>
    <row r="4611" spans="8:78" x14ac:dyDescent="0.2">
      <c r="H4611"/>
      <c r="L4611"/>
      <c r="AK4611"/>
      <c r="BU4611"/>
      <c r="BV4611"/>
      <c r="BX4611"/>
      <c r="BY4611"/>
      <c r="BZ4611"/>
    </row>
    <row r="4612" spans="8:78" x14ac:dyDescent="0.2">
      <c r="H4612"/>
      <c r="L4612"/>
      <c r="AK4612"/>
      <c r="BU4612"/>
      <c r="BV4612"/>
      <c r="BX4612"/>
      <c r="BY4612"/>
      <c r="BZ4612"/>
    </row>
    <row r="4613" spans="8:78" x14ac:dyDescent="0.2">
      <c r="H4613"/>
      <c r="L4613"/>
      <c r="AK4613"/>
      <c r="BU4613"/>
      <c r="BV4613"/>
      <c r="BX4613"/>
    </row>
    <row r="4614" spans="8:78" x14ac:dyDescent="0.2">
      <c r="H4614"/>
      <c r="L4614"/>
      <c r="AK4614"/>
      <c r="BU4614"/>
      <c r="BV4614"/>
      <c r="BX4614"/>
      <c r="BY4614"/>
      <c r="BZ4614"/>
    </row>
    <row r="4615" spans="8:78" x14ac:dyDescent="0.2">
      <c r="H4615"/>
      <c r="L4615"/>
      <c r="AK4615"/>
      <c r="BU4615"/>
      <c r="BV4615"/>
      <c r="BX4615"/>
      <c r="BY4615"/>
      <c r="BZ4615"/>
    </row>
    <row r="4616" spans="8:78" x14ac:dyDescent="0.2">
      <c r="H4616"/>
      <c r="L4616"/>
      <c r="AK4616"/>
      <c r="BU4616"/>
      <c r="BV4616"/>
      <c r="BX4616"/>
      <c r="BY4616"/>
      <c r="BZ4616"/>
    </row>
    <row r="4617" spans="8:78" x14ac:dyDescent="0.2">
      <c r="H4617"/>
      <c r="L4617"/>
      <c r="AK4617"/>
      <c r="BU4617"/>
      <c r="BV4617"/>
      <c r="BX4617"/>
      <c r="BY4617"/>
      <c r="BZ4617"/>
    </row>
    <row r="4618" spans="8:78" x14ac:dyDescent="0.2">
      <c r="H4618"/>
      <c r="L4618"/>
      <c r="AK4618"/>
      <c r="BU4618"/>
      <c r="BV4618"/>
      <c r="BX4618"/>
      <c r="BY4618"/>
      <c r="BZ4618"/>
    </row>
    <row r="4619" spans="8:78" x14ac:dyDescent="0.2">
      <c r="H4619"/>
      <c r="L4619"/>
      <c r="AK4619"/>
      <c r="BU4619"/>
      <c r="BV4619"/>
      <c r="BX4619"/>
      <c r="BY4619"/>
      <c r="BZ4619"/>
    </row>
    <row r="4620" spans="8:78" x14ac:dyDescent="0.2">
      <c r="H4620"/>
      <c r="L4620"/>
      <c r="BU4620"/>
      <c r="BV4620"/>
      <c r="BX4620"/>
      <c r="BY4620"/>
      <c r="BZ4620"/>
    </row>
    <row r="4621" spans="8:78" x14ac:dyDescent="0.2">
      <c r="H4621"/>
      <c r="L4621"/>
      <c r="BU4621"/>
      <c r="BV4621"/>
      <c r="BX4621"/>
      <c r="BY4621"/>
      <c r="BZ4621"/>
    </row>
    <row r="4622" spans="8:78" x14ac:dyDescent="0.2">
      <c r="H4622"/>
      <c r="L4622"/>
      <c r="BU4622"/>
      <c r="BV4622"/>
      <c r="BX4622"/>
      <c r="BY4622"/>
      <c r="BZ4622"/>
    </row>
    <row r="4623" spans="8:78" x14ac:dyDescent="0.2">
      <c r="H4623"/>
      <c r="L4623"/>
      <c r="BU4623"/>
      <c r="BV4623"/>
      <c r="BX4623"/>
      <c r="BY4623"/>
      <c r="BZ4623"/>
    </row>
    <row r="4624" spans="8:78" x14ac:dyDescent="0.2">
      <c r="H4624"/>
      <c r="L4624"/>
      <c r="BU4624"/>
      <c r="BV4624"/>
      <c r="BX4624"/>
      <c r="BY4624"/>
      <c r="BZ4624"/>
    </row>
    <row r="4625" spans="8:78" x14ac:dyDescent="0.2">
      <c r="H4625"/>
      <c r="L4625"/>
      <c r="AK4625"/>
      <c r="BU4625"/>
      <c r="BV4625"/>
      <c r="BX4625"/>
      <c r="BY4625"/>
      <c r="BZ4625"/>
    </row>
    <row r="4626" spans="8:78" x14ac:dyDescent="0.2">
      <c r="H4626"/>
      <c r="L4626"/>
      <c r="AK4626"/>
      <c r="BU4626"/>
      <c r="BV4626"/>
      <c r="BX4626"/>
      <c r="BY4626"/>
      <c r="BZ4626"/>
    </row>
    <row r="4627" spans="8:78" x14ac:dyDescent="0.2">
      <c r="H4627"/>
      <c r="L4627"/>
      <c r="AK4627"/>
      <c r="BU4627"/>
      <c r="BV4627"/>
      <c r="BZ4627"/>
    </row>
    <row r="4628" spans="8:78" x14ac:dyDescent="0.2">
      <c r="H4628"/>
      <c r="L4628"/>
      <c r="AK4628"/>
      <c r="BU4628"/>
      <c r="BV4628"/>
      <c r="BZ4628"/>
    </row>
    <row r="4629" spans="8:78" x14ac:dyDescent="0.2">
      <c r="H4629"/>
      <c r="L4629"/>
      <c r="AK4629"/>
      <c r="BU4629"/>
      <c r="BV4629"/>
      <c r="BZ4629"/>
    </row>
    <row r="4630" spans="8:78" x14ac:dyDescent="0.2">
      <c r="AK4630"/>
      <c r="BZ4630"/>
    </row>
    <row r="4631" spans="8:78" x14ac:dyDescent="0.2">
      <c r="AK4631"/>
      <c r="BZ4631"/>
    </row>
    <row r="4632" spans="8:78" x14ac:dyDescent="0.2">
      <c r="H4632"/>
      <c r="L4632"/>
      <c r="AK4632"/>
      <c r="BU4632"/>
      <c r="BV4632"/>
      <c r="BZ4632"/>
    </row>
    <row r="4633" spans="8:78" x14ac:dyDescent="0.2">
      <c r="H4633"/>
      <c r="L4633"/>
      <c r="AK4633"/>
      <c r="BU4633"/>
      <c r="BV4633"/>
      <c r="BX4633"/>
      <c r="BY4633"/>
      <c r="BZ4633"/>
    </row>
    <row r="4634" spans="8:78" x14ac:dyDescent="0.2">
      <c r="H4634"/>
      <c r="L4634"/>
      <c r="AK4634"/>
      <c r="BU4634"/>
      <c r="BV4634"/>
      <c r="BX4634"/>
      <c r="BY4634"/>
      <c r="BZ4634"/>
    </row>
    <row r="4635" spans="8:78" x14ac:dyDescent="0.2">
      <c r="H4635"/>
      <c r="L4635"/>
      <c r="AK4635"/>
      <c r="BU4635"/>
      <c r="BV4635"/>
      <c r="BZ4635"/>
    </row>
    <row r="4636" spans="8:78" x14ac:dyDescent="0.2">
      <c r="H4636"/>
      <c r="L4636"/>
      <c r="AK4636"/>
      <c r="BU4636"/>
      <c r="BV4636"/>
      <c r="BZ4636"/>
    </row>
    <row r="4637" spans="8:78" x14ac:dyDescent="0.2">
      <c r="H4637"/>
      <c r="L4637"/>
      <c r="BU4637"/>
      <c r="BV4637"/>
      <c r="BX4637"/>
      <c r="BY4637"/>
      <c r="BZ4637"/>
    </row>
    <row r="4638" spans="8:78" x14ac:dyDescent="0.2">
      <c r="H4638"/>
      <c r="L4638"/>
      <c r="BU4638"/>
      <c r="BV4638"/>
      <c r="BX4638"/>
    </row>
    <row r="4639" spans="8:78" x14ac:dyDescent="0.2">
      <c r="H4639"/>
      <c r="L4639"/>
      <c r="BU4639"/>
      <c r="BV4639"/>
      <c r="BX4639"/>
      <c r="BY4639"/>
      <c r="BZ4639"/>
    </row>
    <row r="4640" spans="8:78" x14ac:dyDescent="0.2">
      <c r="H4640"/>
      <c r="L4640"/>
      <c r="BU4640"/>
      <c r="BV4640"/>
      <c r="BX4640"/>
      <c r="BY4640"/>
      <c r="BZ4640"/>
    </row>
    <row r="4641" spans="8:78" x14ac:dyDescent="0.2">
      <c r="H4641"/>
      <c r="L4641"/>
      <c r="AK4641"/>
      <c r="BU4641"/>
      <c r="BV4641"/>
      <c r="BX4641"/>
    </row>
    <row r="4642" spans="8:78" x14ac:dyDescent="0.2">
      <c r="H4642"/>
      <c r="L4642"/>
      <c r="AK4642"/>
      <c r="BU4642"/>
      <c r="BV4642"/>
      <c r="BX4642"/>
      <c r="BY4642"/>
      <c r="BZ4642"/>
    </row>
    <row r="4643" spans="8:78" x14ac:dyDescent="0.2">
      <c r="H4643"/>
      <c r="L4643"/>
      <c r="AK4643"/>
      <c r="BU4643"/>
      <c r="BV4643"/>
      <c r="BX4643"/>
      <c r="BY4643"/>
      <c r="BZ4643"/>
    </row>
    <row r="4644" spans="8:78" x14ac:dyDescent="0.2">
      <c r="H4644"/>
      <c r="L4644"/>
      <c r="AK4644"/>
      <c r="BU4644"/>
      <c r="BV4644"/>
      <c r="BX4644"/>
      <c r="BY4644"/>
      <c r="BZ4644"/>
    </row>
    <row r="4645" spans="8:78" x14ac:dyDescent="0.2">
      <c r="H4645"/>
      <c r="L4645"/>
      <c r="BU4645"/>
      <c r="BV4645"/>
      <c r="BX4645"/>
      <c r="BY4645"/>
      <c r="BZ4645"/>
    </row>
    <row r="4646" spans="8:78" x14ac:dyDescent="0.2">
      <c r="H4646"/>
      <c r="L4646"/>
      <c r="BU4646"/>
      <c r="BV4646"/>
      <c r="BX4646"/>
      <c r="BY4646"/>
      <c r="BZ4646"/>
    </row>
    <row r="4647" spans="8:78" x14ac:dyDescent="0.2">
      <c r="H4647"/>
      <c r="L4647"/>
      <c r="AK4647"/>
      <c r="BU4647"/>
      <c r="BV4647"/>
      <c r="BX4647"/>
      <c r="BY4647"/>
      <c r="BZ4647"/>
    </row>
    <row r="4648" spans="8:78" x14ac:dyDescent="0.2">
      <c r="H4648"/>
      <c r="L4648"/>
      <c r="AK4648"/>
      <c r="BU4648"/>
      <c r="BV4648"/>
      <c r="BX4648"/>
    </row>
    <row r="4649" spans="8:78" x14ac:dyDescent="0.2">
      <c r="H4649"/>
      <c r="L4649"/>
      <c r="AK4649"/>
      <c r="BU4649"/>
      <c r="BV4649"/>
      <c r="BX4649"/>
      <c r="BY4649"/>
      <c r="BZ4649"/>
    </row>
    <row r="4650" spans="8:78" x14ac:dyDescent="0.2">
      <c r="H4650"/>
      <c r="L4650"/>
      <c r="AK4650"/>
      <c r="BU4650"/>
      <c r="BV4650"/>
      <c r="BX4650"/>
      <c r="BY4650"/>
      <c r="BZ4650"/>
    </row>
    <row r="4651" spans="8:78" x14ac:dyDescent="0.2">
      <c r="H4651"/>
      <c r="L4651"/>
      <c r="AK4651"/>
      <c r="BU4651"/>
      <c r="BV4651"/>
      <c r="BZ4651"/>
    </row>
    <row r="4652" spans="8:78" x14ac:dyDescent="0.2">
      <c r="H4652"/>
      <c r="L4652"/>
      <c r="AK4652"/>
      <c r="BU4652"/>
      <c r="BV4652"/>
      <c r="BX4652"/>
      <c r="BY4652"/>
      <c r="BZ4652"/>
    </row>
    <row r="4653" spans="8:78" x14ac:dyDescent="0.2">
      <c r="H4653"/>
      <c r="L4653"/>
      <c r="AK4653"/>
      <c r="BU4653"/>
      <c r="BV4653"/>
      <c r="BX4653"/>
      <c r="BY4653"/>
      <c r="BZ4653"/>
    </row>
    <row r="4654" spans="8:78" x14ac:dyDescent="0.2">
      <c r="AK4654"/>
      <c r="BZ4654"/>
    </row>
    <row r="4655" spans="8:78" x14ac:dyDescent="0.2">
      <c r="H4655"/>
      <c r="L4655"/>
      <c r="AK4655"/>
      <c r="BU4655"/>
      <c r="BV4655"/>
      <c r="BX4655"/>
      <c r="BY4655"/>
      <c r="BZ4655"/>
    </row>
    <row r="4656" spans="8:78" x14ac:dyDescent="0.2">
      <c r="H4656"/>
      <c r="L4656"/>
      <c r="AK4656"/>
      <c r="BU4656"/>
      <c r="BV4656"/>
      <c r="BX4656"/>
      <c r="BY4656"/>
      <c r="BZ4656"/>
    </row>
    <row r="4657" spans="8:78" x14ac:dyDescent="0.2">
      <c r="H4657"/>
      <c r="L4657"/>
      <c r="AK4657"/>
      <c r="BU4657"/>
      <c r="BV4657"/>
      <c r="BX4657"/>
      <c r="BY4657"/>
      <c r="BZ4657"/>
    </row>
    <row r="4658" spans="8:78" x14ac:dyDescent="0.2">
      <c r="H4658"/>
      <c r="L4658"/>
      <c r="AK4658"/>
      <c r="BU4658"/>
      <c r="BV4658"/>
      <c r="BX4658"/>
      <c r="BY4658"/>
      <c r="BZ4658"/>
    </row>
    <row r="4659" spans="8:78" x14ac:dyDescent="0.2">
      <c r="H4659"/>
      <c r="L4659"/>
      <c r="AK4659"/>
      <c r="BU4659"/>
      <c r="BV4659"/>
      <c r="BX4659"/>
      <c r="BY4659"/>
      <c r="BZ4659"/>
    </row>
    <row r="4660" spans="8:78" x14ac:dyDescent="0.2">
      <c r="H4660"/>
      <c r="L4660"/>
      <c r="AK4660"/>
      <c r="BU4660"/>
      <c r="BV4660"/>
      <c r="BX4660"/>
      <c r="BY4660"/>
      <c r="BZ4660"/>
    </row>
    <row r="4661" spans="8:78" x14ac:dyDescent="0.2">
      <c r="H4661"/>
      <c r="L4661"/>
      <c r="AK4661"/>
      <c r="BU4661"/>
      <c r="BV4661"/>
      <c r="BX4661"/>
    </row>
    <row r="4662" spans="8:78" x14ac:dyDescent="0.2">
      <c r="H4662"/>
      <c r="L4662"/>
      <c r="AK4662"/>
      <c r="BU4662"/>
      <c r="BV4662"/>
      <c r="BX4662"/>
    </row>
    <row r="4663" spans="8:78" x14ac:dyDescent="0.2">
      <c r="H4663"/>
      <c r="L4663"/>
      <c r="AK4663"/>
      <c r="BU4663"/>
      <c r="BV4663"/>
      <c r="BX4663"/>
    </row>
    <row r="4664" spans="8:78" x14ac:dyDescent="0.2">
      <c r="H4664"/>
      <c r="L4664"/>
      <c r="AK4664"/>
      <c r="BU4664"/>
      <c r="BV4664"/>
      <c r="BX4664"/>
      <c r="BY4664"/>
      <c r="BZ4664"/>
    </row>
    <row r="4665" spans="8:78" x14ac:dyDescent="0.2">
      <c r="H4665"/>
      <c r="L4665"/>
      <c r="AK4665"/>
      <c r="BU4665"/>
      <c r="BV4665"/>
      <c r="BX4665"/>
    </row>
    <row r="4666" spans="8:78" x14ac:dyDescent="0.2">
      <c r="H4666"/>
      <c r="L4666"/>
      <c r="BU4666"/>
      <c r="BV4666"/>
      <c r="BX4666"/>
    </row>
    <row r="4667" spans="8:78" x14ac:dyDescent="0.2">
      <c r="H4667"/>
      <c r="L4667"/>
      <c r="BU4667"/>
      <c r="BV4667"/>
      <c r="BX4667"/>
    </row>
    <row r="4668" spans="8:78" x14ac:dyDescent="0.2">
      <c r="H4668"/>
      <c r="L4668"/>
      <c r="BU4668"/>
      <c r="BV4668"/>
      <c r="BX4668"/>
    </row>
    <row r="4669" spans="8:78" x14ac:dyDescent="0.2">
      <c r="H4669"/>
      <c r="L4669"/>
      <c r="BU4669"/>
      <c r="BV4669"/>
      <c r="BX4669"/>
    </row>
    <row r="4670" spans="8:78" x14ac:dyDescent="0.2">
      <c r="H4670"/>
      <c r="L4670"/>
      <c r="BU4670"/>
      <c r="BV4670"/>
      <c r="BX4670"/>
    </row>
    <row r="4671" spans="8:78" x14ac:dyDescent="0.2">
      <c r="H4671"/>
      <c r="L4671"/>
      <c r="AK4671"/>
      <c r="BU4671"/>
      <c r="BV4671"/>
      <c r="BX4671"/>
    </row>
    <row r="4672" spans="8:78" x14ac:dyDescent="0.2">
      <c r="H4672"/>
      <c r="L4672"/>
      <c r="AK4672"/>
      <c r="BU4672"/>
      <c r="BV4672"/>
      <c r="BX4672"/>
    </row>
    <row r="4673" spans="8:78" x14ac:dyDescent="0.2">
      <c r="H4673"/>
      <c r="L4673"/>
      <c r="AK4673"/>
      <c r="BU4673"/>
      <c r="BV4673"/>
      <c r="BX4673"/>
    </row>
    <row r="4674" spans="8:78" x14ac:dyDescent="0.2">
      <c r="H4674"/>
      <c r="L4674"/>
      <c r="AK4674"/>
      <c r="BU4674"/>
      <c r="BV4674"/>
      <c r="BX4674"/>
    </row>
    <row r="4675" spans="8:78" x14ac:dyDescent="0.2">
      <c r="H4675"/>
      <c r="L4675"/>
      <c r="AK4675"/>
      <c r="BU4675"/>
      <c r="BV4675"/>
      <c r="BX4675"/>
    </row>
    <row r="4676" spans="8:78" x14ac:dyDescent="0.2">
      <c r="H4676"/>
      <c r="L4676"/>
      <c r="AK4676"/>
      <c r="BU4676"/>
      <c r="BV4676"/>
      <c r="BX4676"/>
    </row>
    <row r="4677" spans="8:78" x14ac:dyDescent="0.2">
      <c r="H4677"/>
      <c r="L4677"/>
      <c r="AK4677"/>
      <c r="BU4677"/>
      <c r="BV4677"/>
      <c r="BX4677"/>
    </row>
    <row r="4678" spans="8:78" x14ac:dyDescent="0.2">
      <c r="H4678"/>
      <c r="L4678"/>
      <c r="BU4678"/>
      <c r="BV4678"/>
      <c r="BX4678"/>
    </row>
    <row r="4679" spans="8:78" x14ac:dyDescent="0.2">
      <c r="H4679"/>
      <c r="L4679"/>
      <c r="BU4679"/>
      <c r="BV4679"/>
      <c r="BX4679"/>
    </row>
    <row r="4680" spans="8:78" x14ac:dyDescent="0.2">
      <c r="H4680"/>
      <c r="L4680"/>
      <c r="BU4680"/>
      <c r="BV4680"/>
      <c r="BX4680"/>
      <c r="BY4680"/>
      <c r="BZ4680"/>
    </row>
    <row r="4681" spans="8:78" x14ac:dyDescent="0.2">
      <c r="H4681"/>
      <c r="L4681"/>
      <c r="BU4681"/>
      <c r="BV4681"/>
      <c r="BX4681"/>
    </row>
    <row r="4682" spans="8:78" x14ac:dyDescent="0.2">
      <c r="H4682"/>
      <c r="L4682"/>
      <c r="BU4682"/>
      <c r="BV4682"/>
      <c r="BX4682"/>
    </row>
    <row r="4683" spans="8:78" x14ac:dyDescent="0.2">
      <c r="H4683"/>
      <c r="L4683"/>
      <c r="AK4683"/>
      <c r="BU4683"/>
      <c r="BV4683"/>
      <c r="BX4683"/>
      <c r="BY4683"/>
      <c r="BZ4683"/>
    </row>
    <row r="4684" spans="8:78" x14ac:dyDescent="0.2">
      <c r="H4684"/>
      <c r="L4684"/>
      <c r="AK4684"/>
      <c r="BU4684"/>
      <c r="BV4684"/>
      <c r="BX4684"/>
    </row>
    <row r="4685" spans="8:78" x14ac:dyDescent="0.2">
      <c r="H4685"/>
      <c r="L4685"/>
      <c r="AK4685"/>
      <c r="BU4685"/>
      <c r="BV4685"/>
      <c r="BX4685"/>
    </row>
    <row r="4686" spans="8:78" x14ac:dyDescent="0.2">
      <c r="H4686"/>
      <c r="L4686"/>
      <c r="AK4686"/>
      <c r="BU4686"/>
      <c r="BV4686"/>
      <c r="BX4686"/>
    </row>
    <row r="4687" spans="8:78" x14ac:dyDescent="0.2">
      <c r="H4687"/>
      <c r="L4687"/>
      <c r="AK4687"/>
      <c r="BU4687"/>
      <c r="BV4687"/>
      <c r="BX4687"/>
      <c r="BY4687"/>
      <c r="BZ4687"/>
    </row>
    <row r="4688" spans="8:78" x14ac:dyDescent="0.2">
      <c r="H4688"/>
      <c r="L4688"/>
      <c r="AK4688"/>
      <c r="BU4688"/>
      <c r="BV4688"/>
      <c r="BX4688"/>
      <c r="BY4688"/>
      <c r="BZ4688"/>
    </row>
    <row r="4689" spans="8:78" x14ac:dyDescent="0.2">
      <c r="H4689"/>
      <c r="L4689"/>
      <c r="AK4689"/>
      <c r="BU4689"/>
      <c r="BV4689"/>
      <c r="BX4689"/>
      <c r="BY4689"/>
      <c r="BZ4689"/>
    </row>
    <row r="4690" spans="8:78" x14ac:dyDescent="0.2">
      <c r="H4690"/>
      <c r="L4690"/>
      <c r="AK4690"/>
      <c r="BU4690"/>
      <c r="BV4690"/>
      <c r="BX4690"/>
      <c r="BY4690"/>
      <c r="BZ4690"/>
    </row>
    <row r="4691" spans="8:78" x14ac:dyDescent="0.2">
      <c r="H4691"/>
      <c r="L4691"/>
      <c r="AK4691"/>
      <c r="BU4691"/>
      <c r="BV4691"/>
    </row>
    <row r="4692" spans="8:78" x14ac:dyDescent="0.2">
      <c r="H4692"/>
      <c r="L4692"/>
      <c r="AK4692"/>
      <c r="BU4692"/>
      <c r="BV4692"/>
    </row>
    <row r="4693" spans="8:78" x14ac:dyDescent="0.2">
      <c r="H4693"/>
      <c r="L4693"/>
      <c r="AK4693"/>
      <c r="BU4693"/>
      <c r="BV4693"/>
    </row>
    <row r="4694" spans="8:78" x14ac:dyDescent="0.2">
      <c r="H4694"/>
      <c r="L4694"/>
      <c r="AK4694"/>
      <c r="BU4694"/>
      <c r="BV4694"/>
    </row>
    <row r="4695" spans="8:78" x14ac:dyDescent="0.2">
      <c r="H4695"/>
      <c r="L4695"/>
      <c r="AK4695"/>
      <c r="BU4695"/>
      <c r="BV4695"/>
    </row>
    <row r="4696" spans="8:78" x14ac:dyDescent="0.2">
      <c r="H4696"/>
      <c r="L4696"/>
      <c r="AK4696"/>
      <c r="BU4696"/>
      <c r="BV4696"/>
    </row>
    <row r="4697" spans="8:78" x14ac:dyDescent="0.2">
      <c r="H4697"/>
      <c r="L4697"/>
      <c r="AK4697"/>
      <c r="BU4697"/>
      <c r="BV4697"/>
    </row>
    <row r="4698" spans="8:78" x14ac:dyDescent="0.2">
      <c r="H4698"/>
      <c r="L4698"/>
      <c r="AK4698"/>
      <c r="BU4698"/>
      <c r="BV4698"/>
    </row>
    <row r="4699" spans="8:78" x14ac:dyDescent="0.2">
      <c r="H4699"/>
      <c r="L4699"/>
      <c r="AK4699"/>
      <c r="BU4699"/>
      <c r="BV4699"/>
    </row>
    <row r="4700" spans="8:78" x14ac:dyDescent="0.2">
      <c r="H4700"/>
      <c r="L4700"/>
      <c r="AK4700"/>
      <c r="BU4700"/>
      <c r="BV4700"/>
    </row>
    <row r="4701" spans="8:78" x14ac:dyDescent="0.2">
      <c r="H4701"/>
      <c r="L4701"/>
      <c r="AK4701"/>
      <c r="BU4701"/>
      <c r="BV4701"/>
    </row>
    <row r="4702" spans="8:78" x14ac:dyDescent="0.2">
      <c r="H4702"/>
      <c r="L4702"/>
      <c r="AK4702"/>
      <c r="BU4702"/>
      <c r="BV4702"/>
    </row>
    <row r="4703" spans="8:78" x14ac:dyDescent="0.2">
      <c r="H4703"/>
      <c r="L4703"/>
      <c r="AK4703"/>
      <c r="BU4703"/>
      <c r="BV4703"/>
    </row>
    <row r="4704" spans="8:78" x14ac:dyDescent="0.2">
      <c r="H4704"/>
      <c r="L4704"/>
      <c r="AK4704"/>
      <c r="BU4704"/>
      <c r="BV4704"/>
    </row>
    <row r="4705" spans="8:74" x14ac:dyDescent="0.2">
      <c r="H4705"/>
      <c r="L4705"/>
      <c r="AK4705"/>
      <c r="BU4705"/>
      <c r="BV4705"/>
    </row>
    <row r="4706" spans="8:74" x14ac:dyDescent="0.2">
      <c r="H4706"/>
      <c r="L4706"/>
      <c r="AK4706"/>
      <c r="BU4706"/>
      <c r="BV4706"/>
    </row>
    <row r="4707" spans="8:74" x14ac:dyDescent="0.2">
      <c r="H4707"/>
      <c r="L4707"/>
      <c r="AK4707"/>
      <c r="BU4707"/>
      <c r="BV4707"/>
    </row>
    <row r="4708" spans="8:74" x14ac:dyDescent="0.2">
      <c r="H4708"/>
      <c r="L4708"/>
      <c r="BU4708"/>
      <c r="BV4708"/>
    </row>
    <row r="4709" spans="8:74" x14ac:dyDescent="0.2">
      <c r="H4709"/>
      <c r="L4709"/>
      <c r="BU4709"/>
      <c r="BV4709"/>
    </row>
    <row r="4710" spans="8:74" x14ac:dyDescent="0.2">
      <c r="H4710"/>
      <c r="L4710"/>
      <c r="BU4710"/>
      <c r="BV4710"/>
    </row>
    <row r="4711" spans="8:74" x14ac:dyDescent="0.2">
      <c r="H4711"/>
      <c r="L4711"/>
      <c r="BU4711"/>
      <c r="BV4711"/>
    </row>
    <row r="4712" spans="8:74" x14ac:dyDescent="0.2">
      <c r="H4712"/>
      <c r="L4712"/>
      <c r="BU4712"/>
      <c r="BV4712"/>
    </row>
    <row r="4713" spans="8:74" x14ac:dyDescent="0.2">
      <c r="H4713"/>
      <c r="L4713"/>
      <c r="AK4713"/>
      <c r="BU4713"/>
      <c r="BV4713"/>
    </row>
    <row r="4714" spans="8:74" x14ac:dyDescent="0.2">
      <c r="H4714"/>
      <c r="L4714"/>
      <c r="AK4714"/>
      <c r="BU4714"/>
      <c r="BV4714"/>
    </row>
    <row r="4715" spans="8:74" x14ac:dyDescent="0.2">
      <c r="H4715"/>
      <c r="L4715"/>
      <c r="AK4715"/>
      <c r="BU4715"/>
      <c r="BV4715"/>
    </row>
    <row r="4716" spans="8:74" x14ac:dyDescent="0.2">
      <c r="H4716"/>
      <c r="L4716"/>
      <c r="AK4716"/>
      <c r="BU4716"/>
      <c r="BV4716"/>
    </row>
    <row r="4717" spans="8:74" x14ac:dyDescent="0.2">
      <c r="H4717"/>
      <c r="L4717"/>
      <c r="AK4717"/>
      <c r="BU4717"/>
      <c r="BV4717"/>
    </row>
    <row r="4718" spans="8:74" x14ac:dyDescent="0.2">
      <c r="H4718"/>
      <c r="L4718"/>
      <c r="AK4718"/>
      <c r="BU4718"/>
      <c r="BV4718"/>
    </row>
    <row r="4719" spans="8:74" x14ac:dyDescent="0.2">
      <c r="H4719"/>
      <c r="L4719"/>
      <c r="AK4719"/>
      <c r="BU4719"/>
      <c r="BV4719"/>
    </row>
    <row r="4720" spans="8:74" x14ac:dyDescent="0.2">
      <c r="H4720"/>
      <c r="L4720"/>
      <c r="AK4720"/>
      <c r="BU4720"/>
      <c r="BV4720"/>
    </row>
    <row r="4721" spans="8:74" x14ac:dyDescent="0.2">
      <c r="H4721"/>
      <c r="L4721"/>
      <c r="AK4721"/>
      <c r="BU4721"/>
      <c r="BV4721"/>
    </row>
    <row r="4722" spans="8:74" x14ac:dyDescent="0.2">
      <c r="H4722"/>
      <c r="L4722"/>
      <c r="AK4722"/>
      <c r="BU4722"/>
      <c r="BV4722"/>
    </row>
    <row r="4723" spans="8:74" x14ac:dyDescent="0.2">
      <c r="H4723"/>
      <c r="L4723"/>
      <c r="AK4723"/>
      <c r="BU4723"/>
      <c r="BV4723"/>
    </row>
    <row r="4724" spans="8:74" x14ac:dyDescent="0.2">
      <c r="H4724"/>
      <c r="L4724"/>
      <c r="AK4724"/>
      <c r="BU4724"/>
      <c r="BV4724"/>
    </row>
    <row r="4725" spans="8:74" x14ac:dyDescent="0.2">
      <c r="H4725"/>
      <c r="L4725"/>
      <c r="AK4725"/>
      <c r="BU4725"/>
      <c r="BV4725"/>
    </row>
    <row r="4726" spans="8:74" x14ac:dyDescent="0.2">
      <c r="H4726"/>
      <c r="L4726"/>
      <c r="AK4726"/>
      <c r="BU4726"/>
      <c r="BV4726"/>
    </row>
    <row r="4727" spans="8:74" x14ac:dyDescent="0.2">
      <c r="H4727"/>
      <c r="L4727"/>
      <c r="AK4727"/>
      <c r="BU4727"/>
      <c r="BV4727"/>
    </row>
    <row r="4728" spans="8:74" x14ac:dyDescent="0.2">
      <c r="H4728"/>
      <c r="L4728"/>
      <c r="AK4728"/>
      <c r="BU4728"/>
      <c r="BV4728"/>
    </row>
    <row r="4729" spans="8:74" x14ac:dyDescent="0.2">
      <c r="H4729"/>
      <c r="L4729"/>
      <c r="AK4729"/>
      <c r="BU4729"/>
      <c r="BV4729"/>
    </row>
    <row r="4730" spans="8:74" x14ac:dyDescent="0.2">
      <c r="H4730"/>
      <c r="L4730"/>
      <c r="AK4730"/>
      <c r="BU4730"/>
      <c r="BV4730"/>
    </row>
    <row r="4731" spans="8:74" x14ac:dyDescent="0.2">
      <c r="H4731"/>
      <c r="L4731"/>
      <c r="AK4731"/>
      <c r="BU4731"/>
      <c r="BV4731"/>
    </row>
    <row r="4732" spans="8:74" x14ac:dyDescent="0.2">
      <c r="H4732"/>
      <c r="L4732"/>
      <c r="AK4732"/>
      <c r="BU4732"/>
      <c r="BV4732"/>
    </row>
    <row r="4733" spans="8:74" x14ac:dyDescent="0.2">
      <c r="H4733"/>
      <c r="L4733"/>
      <c r="AK4733"/>
      <c r="BU4733"/>
      <c r="BV4733"/>
    </row>
    <row r="4734" spans="8:74" x14ac:dyDescent="0.2">
      <c r="H4734"/>
      <c r="L4734"/>
      <c r="AK4734"/>
      <c r="BU4734"/>
      <c r="BV4734"/>
    </row>
    <row r="4735" spans="8:74" x14ac:dyDescent="0.2">
      <c r="H4735"/>
      <c r="L4735"/>
      <c r="AK4735"/>
      <c r="BU4735"/>
      <c r="BV4735"/>
    </row>
    <row r="4736" spans="8:74" x14ac:dyDescent="0.2">
      <c r="H4736"/>
      <c r="L4736"/>
      <c r="AK4736"/>
      <c r="BU4736"/>
      <c r="BV4736"/>
    </row>
    <row r="4737" spans="8:74" x14ac:dyDescent="0.2">
      <c r="H4737"/>
      <c r="L4737"/>
      <c r="AK4737"/>
      <c r="BU4737"/>
      <c r="BV4737"/>
    </row>
    <row r="4738" spans="8:74" x14ac:dyDescent="0.2">
      <c r="H4738"/>
      <c r="L4738"/>
      <c r="AK4738"/>
      <c r="BU4738"/>
      <c r="BV4738"/>
    </row>
    <row r="4739" spans="8:74" x14ac:dyDescent="0.2">
      <c r="H4739"/>
      <c r="L4739"/>
      <c r="AK4739"/>
      <c r="BU4739"/>
      <c r="BV4739"/>
    </row>
    <row r="4740" spans="8:74" x14ac:dyDescent="0.2">
      <c r="H4740"/>
      <c r="L4740"/>
      <c r="AK4740"/>
      <c r="BU4740"/>
      <c r="BV4740"/>
    </row>
    <row r="4741" spans="8:74" x14ac:dyDescent="0.2">
      <c r="AK4741"/>
    </row>
    <row r="4742" spans="8:74" x14ac:dyDescent="0.2">
      <c r="H4742"/>
      <c r="L4742"/>
      <c r="AK4742"/>
      <c r="BU4742"/>
      <c r="BV4742"/>
    </row>
    <row r="4743" spans="8:74" x14ac:dyDescent="0.2">
      <c r="H4743"/>
      <c r="L4743"/>
      <c r="BU4743"/>
      <c r="BV4743"/>
    </row>
    <row r="4744" spans="8:74" x14ac:dyDescent="0.2">
      <c r="H4744"/>
      <c r="L4744"/>
      <c r="BU4744"/>
      <c r="BV4744"/>
    </row>
    <row r="4745" spans="8:74" x14ac:dyDescent="0.2">
      <c r="H4745"/>
      <c r="L4745"/>
      <c r="BU4745"/>
      <c r="BV4745"/>
    </row>
    <row r="4746" spans="8:74" x14ac:dyDescent="0.2">
      <c r="H4746"/>
      <c r="L4746"/>
      <c r="BU4746"/>
      <c r="BV4746"/>
    </row>
    <row r="4747" spans="8:74" x14ac:dyDescent="0.2">
      <c r="H4747"/>
      <c r="L4747"/>
      <c r="BU4747"/>
      <c r="BV4747"/>
    </row>
    <row r="4748" spans="8:74" x14ac:dyDescent="0.2">
      <c r="H4748"/>
      <c r="L4748"/>
      <c r="AK4748"/>
      <c r="BU4748"/>
      <c r="BV4748"/>
    </row>
    <row r="4749" spans="8:74" x14ac:dyDescent="0.2">
      <c r="H4749"/>
      <c r="L4749"/>
      <c r="AK4749"/>
      <c r="BU4749"/>
      <c r="BV4749"/>
    </row>
    <row r="4750" spans="8:74" x14ac:dyDescent="0.2">
      <c r="H4750"/>
      <c r="L4750"/>
      <c r="AK4750"/>
      <c r="BU4750"/>
      <c r="BV4750"/>
    </row>
    <row r="4751" spans="8:74" x14ac:dyDescent="0.2">
      <c r="H4751"/>
      <c r="L4751"/>
      <c r="AK4751"/>
      <c r="BU4751"/>
      <c r="BV4751"/>
    </row>
    <row r="4752" spans="8:74" x14ac:dyDescent="0.2">
      <c r="H4752"/>
      <c r="L4752"/>
      <c r="AK4752"/>
      <c r="BU4752"/>
      <c r="BV4752"/>
    </row>
    <row r="4753" spans="8:74" x14ac:dyDescent="0.2">
      <c r="H4753"/>
      <c r="L4753"/>
      <c r="AK4753"/>
      <c r="BU4753"/>
      <c r="BV4753"/>
    </row>
    <row r="4754" spans="8:74" x14ac:dyDescent="0.2">
      <c r="H4754"/>
      <c r="L4754"/>
      <c r="AK4754"/>
      <c r="BU4754"/>
      <c r="BV4754"/>
    </row>
    <row r="4755" spans="8:74" x14ac:dyDescent="0.2">
      <c r="H4755"/>
      <c r="L4755"/>
      <c r="AK4755"/>
      <c r="BU4755"/>
      <c r="BV4755"/>
    </row>
    <row r="4756" spans="8:74" x14ac:dyDescent="0.2">
      <c r="H4756"/>
      <c r="L4756"/>
      <c r="BU4756"/>
      <c r="BV4756"/>
    </row>
    <row r="4757" spans="8:74" x14ac:dyDescent="0.2">
      <c r="H4757"/>
      <c r="L4757"/>
      <c r="BU4757"/>
      <c r="BV4757"/>
    </row>
    <row r="4760" spans="8:74" x14ac:dyDescent="0.2">
      <c r="AK4760"/>
    </row>
    <row r="4761" spans="8:74" x14ac:dyDescent="0.2">
      <c r="H4761"/>
      <c r="L4761"/>
      <c r="AK4761"/>
      <c r="BU4761"/>
      <c r="BV4761"/>
    </row>
    <row r="4762" spans="8:74" x14ac:dyDescent="0.2">
      <c r="H4762"/>
      <c r="L4762"/>
      <c r="AK4762"/>
      <c r="BU4762"/>
      <c r="BV4762"/>
    </row>
    <row r="4763" spans="8:74" x14ac:dyDescent="0.2">
      <c r="H4763"/>
      <c r="L4763"/>
      <c r="AK4763"/>
      <c r="BU4763"/>
      <c r="BV4763"/>
    </row>
    <row r="4764" spans="8:74" x14ac:dyDescent="0.2">
      <c r="H4764"/>
      <c r="L4764"/>
      <c r="AK4764"/>
      <c r="BU4764"/>
      <c r="BV4764"/>
    </row>
    <row r="4765" spans="8:74" x14ac:dyDescent="0.2">
      <c r="AK4765"/>
    </row>
    <row r="4766" spans="8:74" x14ac:dyDescent="0.2">
      <c r="H4766"/>
      <c r="L4766"/>
      <c r="AK4766"/>
      <c r="BU4766"/>
      <c r="BV4766"/>
    </row>
    <row r="4768" spans="8:74" x14ac:dyDescent="0.2">
      <c r="H4768"/>
      <c r="L4768"/>
      <c r="BU4768"/>
      <c r="BV4768"/>
    </row>
    <row r="4771" spans="8:74" x14ac:dyDescent="0.2">
      <c r="H4771"/>
      <c r="L4771"/>
      <c r="BU4771"/>
      <c r="BV4771"/>
    </row>
    <row r="4772" spans="8:74" x14ac:dyDescent="0.2">
      <c r="H4772"/>
      <c r="L4772"/>
      <c r="AK4772"/>
      <c r="BU4772"/>
      <c r="BV4772"/>
    </row>
    <row r="4773" spans="8:74" x14ac:dyDescent="0.2">
      <c r="H4773"/>
      <c r="L4773"/>
      <c r="BU4773"/>
      <c r="BV4773"/>
    </row>
    <row r="4774" spans="8:74" x14ac:dyDescent="0.2">
      <c r="H4774"/>
      <c r="L4774"/>
      <c r="BU4774"/>
      <c r="BV4774"/>
    </row>
    <row r="4775" spans="8:74" x14ac:dyDescent="0.2">
      <c r="H4775"/>
      <c r="L4775"/>
      <c r="BU4775"/>
      <c r="BV4775"/>
    </row>
    <row r="4776" spans="8:74" x14ac:dyDescent="0.2">
      <c r="H4776"/>
      <c r="L4776"/>
      <c r="BU4776"/>
      <c r="BV4776"/>
    </row>
    <row r="4777" spans="8:74" x14ac:dyDescent="0.2">
      <c r="AK4777"/>
    </row>
    <row r="4778" spans="8:74" x14ac:dyDescent="0.2">
      <c r="AK4778"/>
    </row>
    <row r="4779" spans="8:74" x14ac:dyDescent="0.2">
      <c r="H4779"/>
      <c r="L4779"/>
      <c r="AK4779"/>
      <c r="BU4779"/>
      <c r="BV4779"/>
    </row>
    <row r="4780" spans="8:74" x14ac:dyDescent="0.2">
      <c r="AK4780"/>
    </row>
    <row r="4781" spans="8:74" x14ac:dyDescent="0.2">
      <c r="H4781"/>
      <c r="L4781"/>
      <c r="AK4781"/>
      <c r="BU4781"/>
      <c r="BV4781"/>
    </row>
    <row r="4782" spans="8:74" x14ac:dyDescent="0.2">
      <c r="H4782"/>
      <c r="L4782"/>
      <c r="AK4782"/>
      <c r="BU4782"/>
      <c r="BV4782"/>
    </row>
    <row r="4783" spans="8:74" x14ac:dyDescent="0.2">
      <c r="H4783"/>
      <c r="L4783"/>
      <c r="BU4783"/>
      <c r="BV4783"/>
    </row>
    <row r="4784" spans="8:74" x14ac:dyDescent="0.2">
      <c r="H4784"/>
      <c r="L4784"/>
      <c r="BU4784"/>
      <c r="BV4784"/>
    </row>
    <row r="4785" spans="8:74" x14ac:dyDescent="0.2">
      <c r="H4785"/>
      <c r="L4785"/>
      <c r="BU4785"/>
      <c r="BV4785"/>
    </row>
    <row r="4786" spans="8:74" x14ac:dyDescent="0.2">
      <c r="H4786"/>
      <c r="L4786"/>
      <c r="BU4786"/>
      <c r="BV4786"/>
    </row>
    <row r="4787" spans="8:74" x14ac:dyDescent="0.2">
      <c r="H4787"/>
      <c r="L4787"/>
      <c r="BU4787"/>
      <c r="BV4787"/>
    </row>
    <row r="4788" spans="8:74" x14ac:dyDescent="0.2">
      <c r="H4788"/>
      <c r="L4788"/>
      <c r="AK4788"/>
      <c r="BU4788"/>
      <c r="BV4788"/>
    </row>
    <row r="4789" spans="8:74" x14ac:dyDescent="0.2">
      <c r="H4789"/>
      <c r="L4789"/>
      <c r="AK4789"/>
      <c r="BU4789"/>
      <c r="BV4789"/>
    </row>
    <row r="4790" spans="8:74" x14ac:dyDescent="0.2">
      <c r="H4790"/>
      <c r="L4790"/>
      <c r="AK4790"/>
      <c r="BU4790"/>
      <c r="BV4790"/>
    </row>
    <row r="4791" spans="8:74" x14ac:dyDescent="0.2">
      <c r="H4791"/>
      <c r="L4791"/>
      <c r="AK4791"/>
      <c r="BU4791"/>
      <c r="BV4791"/>
    </row>
    <row r="4792" spans="8:74" x14ac:dyDescent="0.2">
      <c r="H4792"/>
      <c r="L4792"/>
      <c r="AK4792"/>
      <c r="BU4792"/>
      <c r="BV4792"/>
    </row>
    <row r="4793" spans="8:74" x14ac:dyDescent="0.2">
      <c r="H4793"/>
      <c r="L4793"/>
      <c r="AK4793"/>
      <c r="BU4793"/>
      <c r="BV4793"/>
    </row>
    <row r="4794" spans="8:74" x14ac:dyDescent="0.2">
      <c r="H4794"/>
      <c r="L4794"/>
      <c r="AK4794"/>
      <c r="BU4794"/>
      <c r="BV4794"/>
    </row>
    <row r="4795" spans="8:74" x14ac:dyDescent="0.2">
      <c r="H4795"/>
      <c r="L4795"/>
      <c r="BU4795"/>
      <c r="BV4795"/>
    </row>
    <row r="4796" spans="8:74" x14ac:dyDescent="0.2">
      <c r="H4796"/>
      <c r="L4796"/>
      <c r="BU4796"/>
      <c r="BV4796"/>
    </row>
    <row r="4797" spans="8:74" x14ac:dyDescent="0.2">
      <c r="H4797"/>
      <c r="L4797"/>
      <c r="BU4797"/>
      <c r="BV4797"/>
    </row>
    <row r="4798" spans="8:74" x14ac:dyDescent="0.2">
      <c r="H4798"/>
      <c r="L4798"/>
      <c r="BU4798"/>
      <c r="BV4798"/>
    </row>
    <row r="4799" spans="8:74" x14ac:dyDescent="0.2">
      <c r="H4799"/>
      <c r="L4799"/>
      <c r="BU4799"/>
      <c r="BV4799"/>
    </row>
    <row r="4800" spans="8:74" x14ac:dyDescent="0.2">
      <c r="H4800"/>
      <c r="L4800"/>
      <c r="BU4800"/>
      <c r="BV4800"/>
    </row>
    <row r="4801" spans="8:74" x14ac:dyDescent="0.2">
      <c r="H4801"/>
      <c r="L4801"/>
      <c r="BU4801"/>
      <c r="BV4801"/>
    </row>
    <row r="4802" spans="8:74" x14ac:dyDescent="0.2">
      <c r="H4802"/>
      <c r="L4802"/>
      <c r="BU4802"/>
      <c r="BV4802"/>
    </row>
    <row r="4803" spans="8:74" x14ac:dyDescent="0.2">
      <c r="H4803"/>
      <c r="L4803"/>
      <c r="AK4803"/>
      <c r="BU4803"/>
      <c r="BV4803"/>
    </row>
    <row r="4804" spans="8:74" x14ac:dyDescent="0.2">
      <c r="H4804"/>
      <c r="L4804"/>
      <c r="BU4804"/>
      <c r="BV4804"/>
    </row>
    <row r="4805" spans="8:74" x14ac:dyDescent="0.2">
      <c r="H4805"/>
      <c r="L4805"/>
      <c r="AK4805"/>
      <c r="BU4805"/>
      <c r="BV4805"/>
    </row>
    <row r="4806" spans="8:74" x14ac:dyDescent="0.2">
      <c r="H4806"/>
      <c r="L4806"/>
      <c r="BU4806"/>
      <c r="BV4806"/>
    </row>
    <row r="4807" spans="8:74" x14ac:dyDescent="0.2">
      <c r="H4807"/>
      <c r="L4807"/>
      <c r="AK4807"/>
      <c r="BU4807"/>
      <c r="BV4807"/>
    </row>
    <row r="4808" spans="8:74" x14ac:dyDescent="0.2">
      <c r="H4808"/>
      <c r="L4808"/>
      <c r="AK4808"/>
      <c r="BU4808"/>
      <c r="BV4808"/>
    </row>
    <row r="4809" spans="8:74" x14ac:dyDescent="0.2">
      <c r="H4809"/>
      <c r="L4809"/>
      <c r="AK4809"/>
      <c r="BU4809"/>
      <c r="BV4809"/>
    </row>
    <row r="4810" spans="8:74" x14ac:dyDescent="0.2">
      <c r="H4810"/>
      <c r="L4810"/>
      <c r="AK4810"/>
      <c r="BU4810"/>
      <c r="BV4810"/>
    </row>
    <row r="4811" spans="8:74" x14ac:dyDescent="0.2">
      <c r="H4811"/>
      <c r="L4811"/>
      <c r="AK4811"/>
      <c r="BU4811"/>
      <c r="BV4811"/>
    </row>
    <row r="4812" spans="8:74" x14ac:dyDescent="0.2">
      <c r="H4812"/>
      <c r="L4812"/>
      <c r="AK4812"/>
      <c r="BU4812"/>
      <c r="BV4812"/>
    </row>
    <row r="4813" spans="8:74" x14ac:dyDescent="0.2">
      <c r="H4813"/>
      <c r="L4813"/>
      <c r="AK4813"/>
      <c r="BU4813"/>
      <c r="BV4813"/>
    </row>
    <row r="4814" spans="8:74" x14ac:dyDescent="0.2">
      <c r="H4814"/>
      <c r="L4814"/>
      <c r="AK4814"/>
      <c r="BU4814"/>
      <c r="BV4814"/>
    </row>
    <row r="4815" spans="8:74" x14ac:dyDescent="0.2">
      <c r="H4815"/>
      <c r="L4815"/>
      <c r="AK4815"/>
      <c r="BU4815"/>
      <c r="BV4815"/>
    </row>
    <row r="4816" spans="8:74" x14ac:dyDescent="0.2">
      <c r="H4816"/>
      <c r="L4816"/>
      <c r="AK4816"/>
      <c r="BU4816"/>
      <c r="BV4816"/>
    </row>
    <row r="4817" spans="8:74" x14ac:dyDescent="0.2">
      <c r="H4817"/>
      <c r="L4817"/>
      <c r="AK4817"/>
      <c r="BU4817"/>
      <c r="BV4817"/>
    </row>
    <row r="4818" spans="8:74" x14ac:dyDescent="0.2">
      <c r="H4818"/>
      <c r="L4818"/>
      <c r="AK4818"/>
      <c r="BU4818"/>
      <c r="BV4818"/>
    </row>
    <row r="4819" spans="8:74" x14ac:dyDescent="0.2">
      <c r="H4819"/>
      <c r="L4819"/>
      <c r="AK4819"/>
      <c r="BU4819"/>
      <c r="BV4819"/>
    </row>
    <row r="4820" spans="8:74" x14ac:dyDescent="0.2">
      <c r="H4820"/>
      <c r="L4820"/>
      <c r="AK4820"/>
      <c r="BU4820"/>
      <c r="BV4820"/>
    </row>
    <row r="4821" spans="8:74" x14ac:dyDescent="0.2">
      <c r="H4821"/>
      <c r="L4821"/>
      <c r="AK4821"/>
      <c r="BU4821"/>
      <c r="BV4821"/>
    </row>
    <row r="4822" spans="8:74" x14ac:dyDescent="0.2">
      <c r="H4822"/>
      <c r="L4822"/>
      <c r="AK4822"/>
      <c r="BU4822"/>
      <c r="BV4822"/>
    </row>
    <row r="4823" spans="8:74" x14ac:dyDescent="0.2">
      <c r="H4823"/>
      <c r="L4823"/>
      <c r="AK4823"/>
      <c r="BU4823"/>
      <c r="BV4823"/>
    </row>
    <row r="4824" spans="8:74" x14ac:dyDescent="0.2">
      <c r="H4824"/>
      <c r="L4824"/>
      <c r="AK4824"/>
      <c r="BU4824"/>
      <c r="BV4824"/>
    </row>
    <row r="4825" spans="8:74" x14ac:dyDescent="0.2">
      <c r="H4825"/>
      <c r="L4825"/>
      <c r="AK4825"/>
      <c r="BU4825"/>
      <c r="BV4825"/>
    </row>
    <row r="4826" spans="8:74" x14ac:dyDescent="0.2">
      <c r="H4826"/>
      <c r="L4826"/>
      <c r="AK4826"/>
      <c r="BU4826"/>
      <c r="BV4826"/>
    </row>
    <row r="4827" spans="8:74" x14ac:dyDescent="0.2">
      <c r="H4827"/>
      <c r="L4827"/>
      <c r="AK4827"/>
      <c r="BU4827"/>
      <c r="BV4827"/>
    </row>
    <row r="4828" spans="8:74" x14ac:dyDescent="0.2">
      <c r="H4828"/>
      <c r="L4828"/>
      <c r="AK4828"/>
      <c r="BU4828"/>
      <c r="BV4828"/>
    </row>
    <row r="4829" spans="8:74" x14ac:dyDescent="0.2">
      <c r="H4829"/>
      <c r="L4829"/>
      <c r="AK4829"/>
      <c r="BU4829"/>
      <c r="BV4829"/>
    </row>
    <row r="4830" spans="8:74" x14ac:dyDescent="0.2">
      <c r="H4830"/>
      <c r="L4830"/>
      <c r="BU4830"/>
      <c r="BV4830"/>
    </row>
    <row r="4831" spans="8:74" x14ac:dyDescent="0.2">
      <c r="H4831"/>
      <c r="L4831"/>
      <c r="BU4831"/>
      <c r="BV4831"/>
    </row>
    <row r="4832" spans="8:74" x14ac:dyDescent="0.2">
      <c r="H4832"/>
      <c r="L4832"/>
      <c r="BU4832"/>
      <c r="BV4832"/>
    </row>
    <row r="4833" spans="8:74" x14ac:dyDescent="0.2">
      <c r="H4833"/>
      <c r="L4833"/>
      <c r="AK4833"/>
      <c r="BU4833"/>
      <c r="BV4833"/>
    </row>
    <row r="4834" spans="8:74" x14ac:dyDescent="0.2">
      <c r="H4834"/>
      <c r="L4834"/>
      <c r="AK4834"/>
      <c r="BU4834"/>
      <c r="BV4834"/>
    </row>
    <row r="4835" spans="8:74" x14ac:dyDescent="0.2">
      <c r="H4835"/>
      <c r="L4835"/>
      <c r="AK4835"/>
      <c r="BU4835"/>
      <c r="BV4835"/>
    </row>
    <row r="4836" spans="8:74" x14ac:dyDescent="0.2">
      <c r="H4836"/>
      <c r="L4836"/>
      <c r="AK4836"/>
      <c r="BU4836"/>
      <c r="BV4836"/>
    </row>
    <row r="4837" spans="8:74" x14ac:dyDescent="0.2">
      <c r="H4837"/>
      <c r="L4837"/>
      <c r="AK4837"/>
      <c r="BU4837"/>
      <c r="BV4837"/>
    </row>
    <row r="4838" spans="8:74" x14ac:dyDescent="0.2">
      <c r="H4838"/>
      <c r="L4838"/>
      <c r="AK4838"/>
      <c r="BU4838"/>
      <c r="BV4838"/>
    </row>
    <row r="4839" spans="8:74" x14ac:dyDescent="0.2">
      <c r="H4839"/>
      <c r="L4839"/>
      <c r="AK4839"/>
      <c r="BU4839"/>
      <c r="BV4839"/>
    </row>
    <row r="4840" spans="8:74" x14ac:dyDescent="0.2">
      <c r="H4840"/>
      <c r="L4840"/>
      <c r="AK4840"/>
      <c r="BU4840"/>
      <c r="BV4840"/>
    </row>
    <row r="4841" spans="8:74" x14ac:dyDescent="0.2">
      <c r="H4841"/>
      <c r="L4841"/>
      <c r="AK4841"/>
      <c r="BU4841"/>
      <c r="BV4841"/>
    </row>
    <row r="4842" spans="8:74" x14ac:dyDescent="0.2">
      <c r="H4842"/>
      <c r="L4842"/>
      <c r="AK4842"/>
      <c r="BU4842"/>
      <c r="BV4842"/>
    </row>
    <row r="4843" spans="8:74" x14ac:dyDescent="0.2">
      <c r="H4843"/>
      <c r="L4843"/>
      <c r="AK4843"/>
      <c r="BU4843"/>
      <c r="BV4843"/>
    </row>
    <row r="4844" spans="8:74" x14ac:dyDescent="0.2">
      <c r="H4844"/>
      <c r="L4844"/>
      <c r="AK4844"/>
      <c r="BU4844"/>
      <c r="BV4844"/>
    </row>
    <row r="4845" spans="8:74" x14ac:dyDescent="0.2">
      <c r="H4845"/>
      <c r="L4845"/>
      <c r="AK4845"/>
      <c r="BU4845"/>
      <c r="BV4845"/>
    </row>
    <row r="4846" spans="8:74" x14ac:dyDescent="0.2">
      <c r="H4846"/>
      <c r="L4846"/>
      <c r="AK4846"/>
      <c r="BU4846"/>
      <c r="BV4846"/>
    </row>
    <row r="4847" spans="8:74" x14ac:dyDescent="0.2">
      <c r="H4847"/>
      <c r="L4847"/>
      <c r="BU4847"/>
      <c r="BV4847"/>
    </row>
    <row r="4848" spans="8:74" x14ac:dyDescent="0.2">
      <c r="H4848"/>
      <c r="L4848"/>
      <c r="BU4848"/>
      <c r="BV4848"/>
    </row>
    <row r="4849" spans="8:74" x14ac:dyDescent="0.2">
      <c r="H4849"/>
      <c r="L4849"/>
      <c r="BU4849"/>
      <c r="BV4849"/>
    </row>
    <row r="4850" spans="8:74" x14ac:dyDescent="0.2">
      <c r="H4850"/>
      <c r="L4850"/>
      <c r="BU4850"/>
      <c r="BV4850"/>
    </row>
    <row r="4851" spans="8:74" x14ac:dyDescent="0.2">
      <c r="H4851"/>
      <c r="L4851"/>
      <c r="AK4851"/>
      <c r="BU4851"/>
      <c r="BV4851"/>
    </row>
    <row r="4852" spans="8:74" x14ac:dyDescent="0.2">
      <c r="H4852"/>
      <c r="L4852"/>
      <c r="AK4852"/>
      <c r="BU4852"/>
      <c r="BV4852"/>
    </row>
    <row r="4853" spans="8:74" x14ac:dyDescent="0.2">
      <c r="H4853"/>
      <c r="L4853"/>
      <c r="AK4853"/>
      <c r="BU4853"/>
      <c r="BV4853"/>
    </row>
    <row r="4854" spans="8:74" x14ac:dyDescent="0.2">
      <c r="H4854"/>
      <c r="L4854"/>
      <c r="AK4854"/>
      <c r="BU4854"/>
      <c r="BV4854"/>
    </row>
    <row r="4855" spans="8:74" x14ac:dyDescent="0.2">
      <c r="H4855"/>
      <c r="L4855"/>
      <c r="AK4855"/>
      <c r="BU4855"/>
      <c r="BV4855"/>
    </row>
    <row r="4856" spans="8:74" x14ac:dyDescent="0.2">
      <c r="H4856"/>
      <c r="L4856"/>
      <c r="AK4856"/>
      <c r="BU4856"/>
      <c r="BV4856"/>
    </row>
    <row r="4857" spans="8:74" x14ac:dyDescent="0.2">
      <c r="H4857"/>
      <c r="L4857"/>
      <c r="AK4857"/>
      <c r="BU4857"/>
      <c r="BV4857"/>
    </row>
    <row r="4858" spans="8:74" x14ac:dyDescent="0.2">
      <c r="H4858"/>
      <c r="L4858"/>
      <c r="AK4858"/>
      <c r="BU4858"/>
      <c r="BV4858"/>
    </row>
    <row r="4859" spans="8:74" x14ac:dyDescent="0.2">
      <c r="AK4859"/>
    </row>
    <row r="4860" spans="8:74" x14ac:dyDescent="0.2">
      <c r="H4860"/>
      <c r="L4860"/>
      <c r="AK4860"/>
      <c r="BU4860"/>
      <c r="BV4860"/>
    </row>
    <row r="4861" spans="8:74" x14ac:dyDescent="0.2">
      <c r="H4861"/>
      <c r="L4861"/>
      <c r="AK4861"/>
      <c r="BU4861"/>
      <c r="BV4861"/>
    </row>
    <row r="4862" spans="8:74" x14ac:dyDescent="0.2">
      <c r="H4862"/>
      <c r="L4862"/>
      <c r="AK4862"/>
      <c r="BU4862"/>
      <c r="BV4862"/>
    </row>
    <row r="4863" spans="8:74" x14ac:dyDescent="0.2">
      <c r="H4863"/>
      <c r="L4863"/>
      <c r="AK4863"/>
      <c r="BU4863"/>
      <c r="BV4863"/>
    </row>
    <row r="4864" spans="8:74" x14ac:dyDescent="0.2">
      <c r="H4864"/>
      <c r="L4864"/>
      <c r="AK4864"/>
      <c r="BU4864"/>
      <c r="BV4864"/>
    </row>
    <row r="4865" spans="8:74" x14ac:dyDescent="0.2">
      <c r="H4865"/>
      <c r="L4865"/>
      <c r="AK4865"/>
      <c r="BU4865"/>
      <c r="BV4865"/>
    </row>
    <row r="4866" spans="8:74" x14ac:dyDescent="0.2">
      <c r="H4866"/>
      <c r="L4866"/>
      <c r="AK4866"/>
      <c r="BU4866"/>
      <c r="BV4866"/>
    </row>
    <row r="4867" spans="8:74" x14ac:dyDescent="0.2">
      <c r="H4867"/>
      <c r="L4867"/>
      <c r="AK4867"/>
      <c r="BU4867"/>
      <c r="BV4867"/>
    </row>
    <row r="4868" spans="8:74" x14ac:dyDescent="0.2">
      <c r="H4868"/>
      <c r="L4868"/>
      <c r="BU4868"/>
      <c r="BV4868"/>
    </row>
    <row r="4869" spans="8:74" x14ac:dyDescent="0.2">
      <c r="H4869"/>
      <c r="L4869"/>
      <c r="AK4869"/>
      <c r="BU4869"/>
      <c r="BV4869"/>
    </row>
    <row r="4870" spans="8:74" x14ac:dyDescent="0.2">
      <c r="H4870"/>
      <c r="L4870"/>
      <c r="AK4870"/>
      <c r="BU4870"/>
      <c r="BV4870"/>
    </row>
    <row r="4871" spans="8:74" x14ac:dyDescent="0.2">
      <c r="H4871"/>
      <c r="L4871"/>
      <c r="AK4871"/>
      <c r="BU4871"/>
      <c r="BV4871"/>
    </row>
    <row r="4872" spans="8:74" x14ac:dyDescent="0.2">
      <c r="H4872"/>
      <c r="L4872"/>
      <c r="AK4872"/>
      <c r="BU4872"/>
      <c r="BV4872"/>
    </row>
    <row r="4873" spans="8:74" x14ac:dyDescent="0.2">
      <c r="H4873"/>
      <c r="L4873"/>
      <c r="AK4873"/>
      <c r="BU4873"/>
      <c r="BV4873"/>
    </row>
    <row r="4874" spans="8:74" x14ac:dyDescent="0.2">
      <c r="H4874"/>
      <c r="L4874"/>
      <c r="AK4874"/>
      <c r="BU4874"/>
      <c r="BV4874"/>
    </row>
    <row r="4875" spans="8:74" x14ac:dyDescent="0.2">
      <c r="AK4875"/>
    </row>
    <row r="4876" spans="8:74" x14ac:dyDescent="0.2">
      <c r="H4876"/>
      <c r="L4876"/>
      <c r="AK4876"/>
      <c r="BU4876"/>
      <c r="BV4876"/>
    </row>
    <row r="4877" spans="8:74" x14ac:dyDescent="0.2">
      <c r="H4877"/>
      <c r="L4877"/>
      <c r="AK4877"/>
      <c r="BU4877"/>
      <c r="BV4877"/>
    </row>
    <row r="4878" spans="8:74" x14ac:dyDescent="0.2">
      <c r="H4878"/>
      <c r="L4878"/>
      <c r="AK4878"/>
      <c r="BU4878"/>
      <c r="BV4878"/>
    </row>
    <row r="4879" spans="8:74" x14ac:dyDescent="0.2">
      <c r="H4879"/>
      <c r="L4879"/>
      <c r="AK4879"/>
      <c r="BU4879"/>
      <c r="BV4879"/>
    </row>
    <row r="4880" spans="8:74" x14ac:dyDescent="0.2">
      <c r="H4880"/>
      <c r="L4880"/>
      <c r="AK4880"/>
      <c r="BU4880"/>
      <c r="BV4880"/>
    </row>
    <row r="4881" spans="8:74" x14ac:dyDescent="0.2">
      <c r="H4881"/>
      <c r="L4881"/>
      <c r="AK4881"/>
      <c r="BU4881"/>
      <c r="BV4881"/>
    </row>
    <row r="4882" spans="8:74" x14ac:dyDescent="0.2">
      <c r="H4882"/>
      <c r="L4882"/>
      <c r="BU4882"/>
      <c r="BV4882"/>
    </row>
    <row r="4883" spans="8:74" x14ac:dyDescent="0.2">
      <c r="H4883"/>
      <c r="L4883"/>
      <c r="BU4883"/>
      <c r="BV4883"/>
    </row>
    <row r="4884" spans="8:74" x14ac:dyDescent="0.2">
      <c r="H4884"/>
      <c r="L4884"/>
      <c r="BU4884"/>
      <c r="BV4884"/>
    </row>
    <row r="4885" spans="8:74" x14ac:dyDescent="0.2">
      <c r="H4885"/>
      <c r="L4885"/>
      <c r="BU4885"/>
      <c r="BV4885"/>
    </row>
    <row r="4886" spans="8:74" x14ac:dyDescent="0.2">
      <c r="H4886"/>
      <c r="L4886"/>
      <c r="BU4886"/>
      <c r="BV4886"/>
    </row>
    <row r="4887" spans="8:74" x14ac:dyDescent="0.2">
      <c r="H4887"/>
      <c r="L4887"/>
      <c r="AK4887"/>
      <c r="BU4887"/>
      <c r="BV4887"/>
    </row>
    <row r="4888" spans="8:74" x14ac:dyDescent="0.2">
      <c r="H4888"/>
      <c r="L4888"/>
      <c r="AK4888"/>
      <c r="BU4888"/>
      <c r="BV4888"/>
    </row>
    <row r="4889" spans="8:74" x14ac:dyDescent="0.2">
      <c r="H4889"/>
      <c r="L4889"/>
      <c r="AK4889"/>
      <c r="BU4889"/>
      <c r="BV4889"/>
    </row>
    <row r="4890" spans="8:74" x14ac:dyDescent="0.2">
      <c r="H4890"/>
      <c r="L4890"/>
      <c r="BU4890"/>
      <c r="BV4890"/>
    </row>
    <row r="4891" spans="8:74" x14ac:dyDescent="0.2">
      <c r="H4891"/>
      <c r="L4891"/>
      <c r="BU4891"/>
      <c r="BV4891"/>
    </row>
    <row r="4892" spans="8:74" x14ac:dyDescent="0.2">
      <c r="H4892"/>
      <c r="L4892"/>
      <c r="AK4892"/>
      <c r="BU4892"/>
      <c r="BV4892"/>
    </row>
    <row r="4893" spans="8:74" x14ac:dyDescent="0.2">
      <c r="H4893"/>
      <c r="L4893"/>
      <c r="AK4893"/>
      <c r="BU4893"/>
      <c r="BV4893"/>
    </row>
    <row r="4894" spans="8:74" x14ac:dyDescent="0.2">
      <c r="H4894"/>
      <c r="L4894"/>
      <c r="AK4894"/>
      <c r="BU4894"/>
      <c r="BV4894"/>
    </row>
    <row r="4895" spans="8:74" x14ac:dyDescent="0.2">
      <c r="H4895"/>
      <c r="L4895"/>
      <c r="AK4895"/>
      <c r="BU4895"/>
      <c r="BV4895"/>
    </row>
    <row r="4896" spans="8:74" x14ac:dyDescent="0.2">
      <c r="H4896"/>
      <c r="L4896"/>
      <c r="AK4896"/>
      <c r="BU4896"/>
      <c r="BV4896"/>
    </row>
    <row r="4897" spans="8:74" x14ac:dyDescent="0.2">
      <c r="H4897"/>
      <c r="L4897"/>
      <c r="AK4897"/>
      <c r="BU4897"/>
      <c r="BV4897"/>
    </row>
    <row r="4898" spans="8:74" x14ac:dyDescent="0.2">
      <c r="H4898"/>
      <c r="L4898"/>
      <c r="AK4898"/>
      <c r="BU4898"/>
      <c r="BV4898"/>
    </row>
    <row r="4899" spans="8:74" x14ac:dyDescent="0.2">
      <c r="H4899"/>
      <c r="L4899"/>
      <c r="BU4899"/>
      <c r="BV4899"/>
    </row>
    <row r="4900" spans="8:74" x14ac:dyDescent="0.2">
      <c r="H4900"/>
      <c r="L4900"/>
      <c r="BU4900"/>
      <c r="BV4900"/>
    </row>
    <row r="4901" spans="8:74" x14ac:dyDescent="0.2">
      <c r="H4901"/>
      <c r="L4901"/>
      <c r="BU4901"/>
      <c r="BV4901"/>
    </row>
    <row r="4902" spans="8:74" x14ac:dyDescent="0.2">
      <c r="H4902"/>
      <c r="L4902"/>
      <c r="BU4902"/>
      <c r="BV4902"/>
    </row>
    <row r="4903" spans="8:74" x14ac:dyDescent="0.2">
      <c r="H4903"/>
      <c r="L4903"/>
      <c r="BU4903"/>
      <c r="BV4903"/>
    </row>
    <row r="4904" spans="8:74" x14ac:dyDescent="0.2">
      <c r="H4904"/>
      <c r="L4904"/>
      <c r="BU4904"/>
      <c r="BV4904"/>
    </row>
    <row r="4905" spans="8:74" x14ac:dyDescent="0.2">
      <c r="H4905"/>
      <c r="L4905"/>
      <c r="BU4905"/>
      <c r="BV4905"/>
    </row>
    <row r="4906" spans="8:74" x14ac:dyDescent="0.2">
      <c r="H4906"/>
      <c r="L4906"/>
      <c r="AK4906"/>
      <c r="BU4906"/>
      <c r="BV4906"/>
    </row>
    <row r="4907" spans="8:74" x14ac:dyDescent="0.2">
      <c r="H4907"/>
      <c r="L4907"/>
      <c r="AK4907"/>
      <c r="BU4907"/>
      <c r="BV4907"/>
    </row>
    <row r="4908" spans="8:74" x14ac:dyDescent="0.2">
      <c r="H4908"/>
      <c r="L4908"/>
      <c r="AK4908"/>
      <c r="BU4908"/>
      <c r="BV4908"/>
    </row>
    <row r="4909" spans="8:74" x14ac:dyDescent="0.2">
      <c r="H4909"/>
      <c r="L4909"/>
      <c r="AK4909"/>
      <c r="BU4909"/>
      <c r="BV4909"/>
    </row>
    <row r="4910" spans="8:74" x14ac:dyDescent="0.2">
      <c r="H4910"/>
      <c r="L4910"/>
      <c r="AK4910"/>
      <c r="BU4910"/>
      <c r="BV4910"/>
    </row>
    <row r="4911" spans="8:74" x14ac:dyDescent="0.2">
      <c r="H4911"/>
      <c r="L4911"/>
      <c r="AK4911"/>
      <c r="BU4911"/>
      <c r="BV4911"/>
    </row>
    <row r="4912" spans="8:74" x14ac:dyDescent="0.2">
      <c r="H4912"/>
      <c r="L4912"/>
      <c r="AK4912"/>
      <c r="BU4912"/>
      <c r="BV4912"/>
    </row>
    <row r="4913" spans="8:74" x14ac:dyDescent="0.2">
      <c r="H4913"/>
      <c r="L4913"/>
      <c r="AK4913"/>
      <c r="BU4913"/>
      <c r="BV4913"/>
    </row>
    <row r="4914" spans="8:74" x14ac:dyDescent="0.2">
      <c r="H4914"/>
      <c r="L4914"/>
      <c r="AK4914"/>
      <c r="BU4914"/>
      <c r="BV4914"/>
    </row>
    <row r="4915" spans="8:74" x14ac:dyDescent="0.2">
      <c r="H4915"/>
      <c r="L4915"/>
      <c r="AK4915"/>
      <c r="BU4915"/>
      <c r="BV4915"/>
    </row>
    <row r="4916" spans="8:74" x14ac:dyDescent="0.2">
      <c r="H4916"/>
      <c r="L4916"/>
      <c r="BU4916"/>
      <c r="BV4916"/>
    </row>
    <row r="4917" spans="8:74" x14ac:dyDescent="0.2">
      <c r="H4917"/>
      <c r="L4917"/>
      <c r="BU4917"/>
      <c r="BV4917"/>
    </row>
    <row r="4918" spans="8:74" x14ac:dyDescent="0.2">
      <c r="H4918"/>
      <c r="L4918"/>
      <c r="AK4918"/>
      <c r="BU4918"/>
      <c r="BV4918"/>
    </row>
    <row r="4919" spans="8:74" x14ac:dyDescent="0.2">
      <c r="H4919"/>
      <c r="L4919"/>
      <c r="BU4919"/>
      <c r="BV4919"/>
    </row>
    <row r="4920" spans="8:74" x14ac:dyDescent="0.2">
      <c r="H4920"/>
      <c r="L4920"/>
      <c r="AK4920"/>
      <c r="BU4920"/>
      <c r="BV4920"/>
    </row>
    <row r="4921" spans="8:74" x14ac:dyDescent="0.2">
      <c r="H4921"/>
      <c r="L4921"/>
      <c r="AK4921"/>
      <c r="BU4921"/>
      <c r="BV4921"/>
    </row>
    <row r="4922" spans="8:74" x14ac:dyDescent="0.2">
      <c r="H4922"/>
      <c r="L4922"/>
      <c r="AK4922"/>
      <c r="BU4922"/>
      <c r="BV4922"/>
    </row>
    <row r="4923" spans="8:74" x14ac:dyDescent="0.2">
      <c r="H4923"/>
      <c r="L4923"/>
      <c r="AK4923"/>
      <c r="BU4923"/>
      <c r="BV4923"/>
    </row>
    <row r="4924" spans="8:74" x14ac:dyDescent="0.2">
      <c r="H4924"/>
      <c r="L4924"/>
      <c r="AK4924"/>
      <c r="BU4924"/>
      <c r="BV4924"/>
    </row>
    <row r="4925" spans="8:74" x14ac:dyDescent="0.2">
      <c r="H4925"/>
      <c r="L4925"/>
      <c r="AK4925"/>
      <c r="BU4925"/>
      <c r="BV4925"/>
    </row>
    <row r="4926" spans="8:74" x14ac:dyDescent="0.2">
      <c r="H4926"/>
      <c r="L4926"/>
      <c r="AK4926"/>
      <c r="BU4926"/>
      <c r="BV4926"/>
    </row>
    <row r="4927" spans="8:74" x14ac:dyDescent="0.2">
      <c r="H4927"/>
      <c r="L4927"/>
      <c r="AK4927"/>
      <c r="BU4927"/>
      <c r="BV4927"/>
    </row>
    <row r="4928" spans="8:74" x14ac:dyDescent="0.2">
      <c r="H4928"/>
      <c r="L4928"/>
      <c r="BU4928"/>
      <c r="BV4928"/>
    </row>
    <row r="4929" spans="8:74" x14ac:dyDescent="0.2">
      <c r="H4929"/>
      <c r="L4929"/>
      <c r="BU4929"/>
      <c r="BV4929"/>
    </row>
    <row r="4930" spans="8:74" x14ac:dyDescent="0.2">
      <c r="H4930"/>
      <c r="L4930"/>
      <c r="BU4930"/>
      <c r="BV4930"/>
    </row>
    <row r="4931" spans="8:74" x14ac:dyDescent="0.2">
      <c r="H4931"/>
      <c r="L4931"/>
      <c r="BU4931"/>
      <c r="BV4931"/>
    </row>
    <row r="4932" spans="8:74" x14ac:dyDescent="0.2">
      <c r="H4932"/>
      <c r="L4932"/>
      <c r="AK4932"/>
      <c r="BU4932"/>
      <c r="BV4932"/>
    </row>
    <row r="4933" spans="8:74" x14ac:dyDescent="0.2">
      <c r="H4933"/>
      <c r="L4933"/>
      <c r="AK4933"/>
      <c r="BU4933"/>
      <c r="BV4933"/>
    </row>
    <row r="4934" spans="8:74" x14ac:dyDescent="0.2">
      <c r="H4934"/>
      <c r="L4934"/>
      <c r="AK4934"/>
      <c r="BU4934"/>
      <c r="BV4934"/>
    </row>
    <row r="4935" spans="8:74" x14ac:dyDescent="0.2">
      <c r="H4935"/>
      <c r="L4935"/>
      <c r="AK4935"/>
      <c r="BU4935"/>
      <c r="BV4935"/>
    </row>
    <row r="4936" spans="8:74" x14ac:dyDescent="0.2">
      <c r="H4936"/>
      <c r="L4936"/>
      <c r="AK4936"/>
      <c r="BU4936"/>
      <c r="BV4936"/>
    </row>
    <row r="4937" spans="8:74" x14ac:dyDescent="0.2">
      <c r="H4937"/>
      <c r="L4937"/>
      <c r="AK4937"/>
      <c r="BU4937"/>
      <c r="BV4937"/>
    </row>
    <row r="4938" spans="8:74" x14ac:dyDescent="0.2">
      <c r="H4938"/>
      <c r="L4938"/>
      <c r="AK4938"/>
      <c r="BU4938"/>
      <c r="BV4938"/>
    </row>
    <row r="4939" spans="8:74" x14ac:dyDescent="0.2">
      <c r="H4939"/>
      <c r="L4939"/>
      <c r="AK4939"/>
      <c r="BU4939"/>
      <c r="BV4939"/>
    </row>
    <row r="4940" spans="8:74" x14ac:dyDescent="0.2">
      <c r="H4940"/>
      <c r="L4940"/>
      <c r="AK4940"/>
      <c r="BU4940"/>
      <c r="BV4940"/>
    </row>
    <row r="4941" spans="8:74" x14ac:dyDescent="0.2">
      <c r="H4941"/>
      <c r="L4941"/>
      <c r="AK4941"/>
      <c r="BU4941"/>
      <c r="BV4941"/>
    </row>
    <row r="4942" spans="8:74" x14ac:dyDescent="0.2">
      <c r="H4942"/>
      <c r="L4942"/>
      <c r="AK4942"/>
      <c r="BU4942"/>
      <c r="BV4942"/>
    </row>
    <row r="4943" spans="8:74" x14ac:dyDescent="0.2">
      <c r="H4943"/>
      <c r="L4943"/>
      <c r="AK4943"/>
      <c r="BU4943"/>
      <c r="BV4943"/>
    </row>
    <row r="4944" spans="8:74" x14ac:dyDescent="0.2">
      <c r="H4944"/>
      <c r="L4944"/>
      <c r="AK4944"/>
      <c r="BU4944"/>
      <c r="BV4944"/>
    </row>
    <row r="4945" spans="8:74" x14ac:dyDescent="0.2">
      <c r="H4945"/>
      <c r="L4945"/>
      <c r="AK4945"/>
      <c r="BU4945"/>
      <c r="BV4945"/>
    </row>
    <row r="4946" spans="8:74" x14ac:dyDescent="0.2">
      <c r="H4946"/>
      <c r="L4946"/>
      <c r="AK4946"/>
      <c r="BU4946"/>
      <c r="BV4946"/>
    </row>
    <row r="4947" spans="8:74" x14ac:dyDescent="0.2">
      <c r="H4947"/>
      <c r="L4947"/>
      <c r="AK4947"/>
      <c r="BU4947"/>
      <c r="BV4947"/>
    </row>
    <row r="4948" spans="8:74" x14ac:dyDescent="0.2">
      <c r="H4948"/>
      <c r="L4948"/>
      <c r="AK4948"/>
      <c r="BU4948"/>
      <c r="BV4948"/>
    </row>
    <row r="4949" spans="8:74" x14ac:dyDescent="0.2">
      <c r="H4949"/>
      <c r="L4949"/>
      <c r="AK4949"/>
      <c r="BU4949"/>
      <c r="BV4949"/>
    </row>
    <row r="4950" spans="8:74" x14ac:dyDescent="0.2">
      <c r="H4950"/>
      <c r="L4950"/>
      <c r="AK4950"/>
      <c r="BU4950"/>
      <c r="BV4950"/>
    </row>
    <row r="4951" spans="8:74" x14ac:dyDescent="0.2">
      <c r="AK4951"/>
    </row>
    <row r="4952" spans="8:74" x14ac:dyDescent="0.2">
      <c r="H4952"/>
      <c r="L4952"/>
      <c r="AK4952"/>
      <c r="BU4952"/>
      <c r="BV4952"/>
    </row>
    <row r="4953" spans="8:74" x14ac:dyDescent="0.2">
      <c r="H4953"/>
      <c r="L4953"/>
      <c r="AK4953"/>
      <c r="BU4953"/>
      <c r="BV4953"/>
    </row>
    <row r="4954" spans="8:74" x14ac:dyDescent="0.2">
      <c r="H4954"/>
      <c r="L4954"/>
      <c r="AK4954"/>
      <c r="BU4954"/>
      <c r="BV4954"/>
    </row>
    <row r="4955" spans="8:74" x14ac:dyDescent="0.2">
      <c r="AK4955"/>
    </row>
    <row r="4956" spans="8:74" x14ac:dyDescent="0.2">
      <c r="H4956"/>
      <c r="L4956"/>
      <c r="AK4956"/>
      <c r="BU4956"/>
      <c r="BV4956"/>
    </row>
    <row r="4957" spans="8:74" x14ac:dyDescent="0.2">
      <c r="H4957"/>
      <c r="L4957"/>
      <c r="BU4957"/>
      <c r="BV4957"/>
    </row>
    <row r="4958" spans="8:74" x14ac:dyDescent="0.2">
      <c r="H4958"/>
      <c r="L4958"/>
      <c r="BU4958"/>
      <c r="BV4958"/>
    </row>
    <row r="4959" spans="8:74" x14ac:dyDescent="0.2">
      <c r="H4959"/>
      <c r="L4959"/>
      <c r="BU4959"/>
      <c r="BV4959"/>
    </row>
    <row r="4960" spans="8:74" x14ac:dyDescent="0.2">
      <c r="H4960"/>
      <c r="L4960"/>
      <c r="BU4960"/>
      <c r="BV4960"/>
    </row>
    <row r="4961" spans="8:74" x14ac:dyDescent="0.2">
      <c r="H4961"/>
      <c r="L4961"/>
      <c r="BU4961"/>
      <c r="BV4961"/>
    </row>
    <row r="4962" spans="8:74" x14ac:dyDescent="0.2">
      <c r="H4962"/>
      <c r="L4962"/>
      <c r="AK4962"/>
      <c r="BU4962"/>
      <c r="BV4962"/>
    </row>
    <row r="4963" spans="8:74" x14ac:dyDescent="0.2">
      <c r="H4963"/>
      <c r="L4963"/>
      <c r="AK4963"/>
      <c r="BU4963"/>
      <c r="BV4963"/>
    </row>
    <row r="4964" spans="8:74" x14ac:dyDescent="0.2">
      <c r="H4964"/>
      <c r="L4964"/>
      <c r="AK4964"/>
      <c r="BU4964"/>
      <c r="BV4964"/>
    </row>
    <row r="4965" spans="8:74" x14ac:dyDescent="0.2">
      <c r="H4965"/>
      <c r="L4965"/>
      <c r="AK4965"/>
      <c r="BU4965"/>
      <c r="BV4965"/>
    </row>
    <row r="4966" spans="8:74" x14ac:dyDescent="0.2">
      <c r="H4966"/>
      <c r="L4966"/>
      <c r="AK4966"/>
      <c r="BU4966"/>
      <c r="BV4966"/>
    </row>
    <row r="4967" spans="8:74" x14ac:dyDescent="0.2">
      <c r="H4967"/>
      <c r="L4967"/>
      <c r="AK4967"/>
      <c r="BU4967"/>
      <c r="BV4967"/>
    </row>
    <row r="4968" spans="8:74" x14ac:dyDescent="0.2">
      <c r="H4968"/>
      <c r="L4968"/>
      <c r="AK4968"/>
      <c r="BU4968"/>
      <c r="BV4968"/>
    </row>
    <row r="4969" spans="8:74" x14ac:dyDescent="0.2">
      <c r="H4969"/>
      <c r="L4969"/>
      <c r="AK4969"/>
      <c r="BU4969"/>
      <c r="BV4969"/>
    </row>
    <row r="4970" spans="8:74" x14ac:dyDescent="0.2">
      <c r="H4970"/>
      <c r="L4970"/>
      <c r="AK4970"/>
      <c r="BU4970"/>
      <c r="BV4970"/>
    </row>
    <row r="4971" spans="8:74" x14ac:dyDescent="0.2">
      <c r="AK4971"/>
    </row>
    <row r="4972" spans="8:74" x14ac:dyDescent="0.2">
      <c r="H4972"/>
      <c r="L4972"/>
      <c r="AK4972"/>
      <c r="BU4972"/>
      <c r="BV4972"/>
    </row>
    <row r="4973" spans="8:74" x14ac:dyDescent="0.2">
      <c r="H4973"/>
      <c r="L4973"/>
      <c r="AK4973"/>
      <c r="BU4973"/>
      <c r="BV4973"/>
    </row>
    <row r="4974" spans="8:74" x14ac:dyDescent="0.2">
      <c r="H4974"/>
      <c r="L4974"/>
      <c r="AK4974"/>
      <c r="BU4974"/>
      <c r="BV4974"/>
    </row>
    <row r="4975" spans="8:74" x14ac:dyDescent="0.2">
      <c r="H4975"/>
      <c r="L4975"/>
      <c r="AK4975"/>
      <c r="BU4975"/>
      <c r="BV4975"/>
    </row>
    <row r="4976" spans="8:74" x14ac:dyDescent="0.2">
      <c r="H4976"/>
      <c r="L4976"/>
      <c r="BU4976"/>
      <c r="BV4976"/>
    </row>
    <row r="4977" spans="8:74" x14ac:dyDescent="0.2">
      <c r="H4977"/>
      <c r="L4977"/>
      <c r="BU4977"/>
      <c r="BV4977"/>
    </row>
    <row r="4978" spans="8:74" x14ac:dyDescent="0.2">
      <c r="H4978"/>
      <c r="L4978"/>
      <c r="BU4978"/>
      <c r="BV4978"/>
    </row>
    <row r="4979" spans="8:74" x14ac:dyDescent="0.2">
      <c r="H4979"/>
      <c r="L4979"/>
      <c r="AK4979"/>
      <c r="BU4979"/>
      <c r="BV4979"/>
    </row>
    <row r="4980" spans="8:74" x14ac:dyDescent="0.2">
      <c r="H4980"/>
      <c r="L4980"/>
      <c r="AK4980"/>
      <c r="BU4980"/>
      <c r="BV4980"/>
    </row>
    <row r="4981" spans="8:74" x14ac:dyDescent="0.2">
      <c r="H4981"/>
      <c r="L4981"/>
      <c r="AK4981"/>
      <c r="BU4981"/>
      <c r="BV4981"/>
    </row>
    <row r="4982" spans="8:74" x14ac:dyDescent="0.2">
      <c r="H4982"/>
      <c r="L4982"/>
      <c r="AK4982"/>
      <c r="BU4982"/>
      <c r="BV4982"/>
    </row>
    <row r="4983" spans="8:74" x14ac:dyDescent="0.2">
      <c r="H4983"/>
      <c r="L4983"/>
      <c r="AK4983"/>
      <c r="BU4983"/>
      <c r="BV4983"/>
    </row>
    <row r="4984" spans="8:74" x14ac:dyDescent="0.2">
      <c r="H4984"/>
      <c r="L4984"/>
      <c r="AK4984"/>
      <c r="BU4984"/>
      <c r="BV4984"/>
    </row>
    <row r="4985" spans="8:74" x14ac:dyDescent="0.2">
      <c r="H4985"/>
      <c r="L4985"/>
      <c r="AK4985"/>
      <c r="BU4985"/>
      <c r="BV4985"/>
    </row>
    <row r="4986" spans="8:74" x14ac:dyDescent="0.2">
      <c r="H4986"/>
      <c r="L4986"/>
      <c r="AK4986"/>
      <c r="BU4986"/>
      <c r="BV4986"/>
    </row>
    <row r="4987" spans="8:74" x14ac:dyDescent="0.2">
      <c r="H4987"/>
      <c r="L4987"/>
      <c r="AK4987"/>
      <c r="BU4987"/>
      <c r="BV4987"/>
    </row>
    <row r="4988" spans="8:74" x14ac:dyDescent="0.2">
      <c r="AK4988"/>
    </row>
    <row r="4989" spans="8:74" x14ac:dyDescent="0.2">
      <c r="AK4989"/>
    </row>
    <row r="4990" spans="8:74" x14ac:dyDescent="0.2">
      <c r="AK4990"/>
    </row>
    <row r="4991" spans="8:74" x14ac:dyDescent="0.2">
      <c r="AK4991"/>
    </row>
    <row r="4992" spans="8:74" x14ac:dyDescent="0.2">
      <c r="AK4992"/>
    </row>
    <row r="4994" spans="8:74" x14ac:dyDescent="0.2">
      <c r="H4994"/>
      <c r="L4994"/>
      <c r="BU4994"/>
      <c r="BV4994"/>
    </row>
    <row r="4995" spans="8:74" x14ac:dyDescent="0.2">
      <c r="H4995"/>
      <c r="L4995"/>
      <c r="AK4995"/>
      <c r="BU4995"/>
      <c r="BV4995"/>
    </row>
    <row r="4996" spans="8:74" x14ac:dyDescent="0.2">
      <c r="H4996"/>
      <c r="L4996"/>
      <c r="AK4996"/>
      <c r="BU4996"/>
      <c r="BV4996"/>
    </row>
    <row r="4997" spans="8:74" x14ac:dyDescent="0.2">
      <c r="H4997"/>
      <c r="L4997"/>
      <c r="AK4997"/>
      <c r="BU4997"/>
      <c r="BV4997"/>
    </row>
    <row r="4998" spans="8:74" x14ac:dyDescent="0.2">
      <c r="H4998"/>
      <c r="L4998"/>
      <c r="AK4998"/>
      <c r="BU4998"/>
      <c r="BV4998"/>
    </row>
    <row r="4999" spans="8:74" x14ac:dyDescent="0.2">
      <c r="H4999"/>
      <c r="L4999"/>
      <c r="AK4999"/>
      <c r="BU4999"/>
      <c r="BV4999"/>
    </row>
    <row r="5000" spans="8:74" x14ac:dyDescent="0.2">
      <c r="H5000"/>
      <c r="L5000"/>
      <c r="AK5000"/>
      <c r="BU5000"/>
      <c r="BV5000"/>
    </row>
    <row r="5001" spans="8:74" x14ac:dyDescent="0.2">
      <c r="H5001"/>
      <c r="L5001"/>
      <c r="AK5001"/>
      <c r="BU5001"/>
      <c r="BV5001"/>
    </row>
    <row r="5002" spans="8:74" x14ac:dyDescent="0.2">
      <c r="H5002"/>
      <c r="L5002"/>
      <c r="AK5002"/>
      <c r="BU5002"/>
      <c r="BV5002"/>
    </row>
    <row r="5003" spans="8:74" x14ac:dyDescent="0.2">
      <c r="H5003"/>
      <c r="L5003"/>
      <c r="AK5003"/>
      <c r="BU5003"/>
      <c r="BV5003"/>
    </row>
    <row r="5004" spans="8:74" x14ac:dyDescent="0.2">
      <c r="H5004"/>
      <c r="L5004"/>
      <c r="BU5004"/>
      <c r="BV5004"/>
    </row>
    <row r="5005" spans="8:74" x14ac:dyDescent="0.2">
      <c r="H5005"/>
      <c r="L5005"/>
      <c r="AK5005"/>
      <c r="BU5005"/>
      <c r="BV5005"/>
    </row>
    <row r="5006" spans="8:74" x14ac:dyDescent="0.2">
      <c r="H5006"/>
      <c r="L5006"/>
      <c r="AK5006"/>
      <c r="BU5006"/>
      <c r="BV5006"/>
    </row>
    <row r="5007" spans="8:74" x14ac:dyDescent="0.2">
      <c r="H5007"/>
      <c r="L5007"/>
      <c r="AK5007"/>
      <c r="BU5007"/>
      <c r="BV5007"/>
    </row>
    <row r="5008" spans="8:74" x14ac:dyDescent="0.2">
      <c r="H5008"/>
      <c r="L5008"/>
      <c r="AK5008"/>
      <c r="BU5008"/>
      <c r="BV5008"/>
    </row>
    <row r="5009" spans="8:74" x14ac:dyDescent="0.2">
      <c r="H5009"/>
      <c r="L5009"/>
      <c r="AK5009"/>
      <c r="BU5009"/>
      <c r="BV5009"/>
    </row>
    <row r="5010" spans="8:74" x14ac:dyDescent="0.2">
      <c r="H5010"/>
      <c r="L5010"/>
      <c r="AK5010"/>
      <c r="BU5010"/>
      <c r="BV5010"/>
    </row>
    <row r="5011" spans="8:74" x14ac:dyDescent="0.2">
      <c r="H5011"/>
      <c r="L5011"/>
      <c r="AK5011"/>
      <c r="BU5011"/>
      <c r="BV5011"/>
    </row>
    <row r="5012" spans="8:74" x14ac:dyDescent="0.2">
      <c r="H5012"/>
      <c r="L5012"/>
      <c r="AK5012"/>
      <c r="BU5012"/>
      <c r="BV5012"/>
    </row>
    <row r="5013" spans="8:74" x14ac:dyDescent="0.2">
      <c r="H5013"/>
      <c r="L5013"/>
      <c r="AK5013"/>
      <c r="BU5013"/>
      <c r="BV5013"/>
    </row>
    <row r="5014" spans="8:74" x14ac:dyDescent="0.2">
      <c r="H5014"/>
      <c r="L5014"/>
      <c r="AK5014"/>
      <c r="BU5014"/>
      <c r="BV5014"/>
    </row>
    <row r="5015" spans="8:74" x14ac:dyDescent="0.2">
      <c r="H5015"/>
      <c r="L5015"/>
      <c r="AK5015"/>
      <c r="BU5015"/>
      <c r="BV5015"/>
    </row>
    <row r="5016" spans="8:74" x14ac:dyDescent="0.2">
      <c r="H5016"/>
      <c r="L5016"/>
      <c r="AK5016"/>
      <c r="BU5016"/>
      <c r="BV5016"/>
    </row>
    <row r="5017" spans="8:74" x14ac:dyDescent="0.2">
      <c r="H5017"/>
      <c r="L5017"/>
      <c r="AK5017"/>
      <c r="BU5017"/>
      <c r="BV5017"/>
    </row>
    <row r="5018" spans="8:74" x14ac:dyDescent="0.2">
      <c r="H5018"/>
      <c r="L5018"/>
      <c r="AK5018"/>
      <c r="BU5018"/>
      <c r="BV5018"/>
    </row>
    <row r="5019" spans="8:74" x14ac:dyDescent="0.2">
      <c r="H5019"/>
      <c r="L5019"/>
      <c r="AK5019"/>
      <c r="BU5019"/>
      <c r="BV5019"/>
    </row>
    <row r="5020" spans="8:74" x14ac:dyDescent="0.2">
      <c r="H5020"/>
      <c r="L5020"/>
      <c r="AK5020"/>
      <c r="BU5020"/>
      <c r="BV5020"/>
    </row>
    <row r="5021" spans="8:74" x14ac:dyDescent="0.2">
      <c r="H5021"/>
      <c r="L5021"/>
      <c r="AK5021"/>
      <c r="BU5021"/>
      <c r="BV5021"/>
    </row>
    <row r="5022" spans="8:74" x14ac:dyDescent="0.2">
      <c r="H5022"/>
      <c r="L5022"/>
      <c r="AK5022"/>
      <c r="BU5022"/>
      <c r="BV5022"/>
    </row>
    <row r="5023" spans="8:74" x14ac:dyDescent="0.2">
      <c r="H5023"/>
      <c r="L5023"/>
      <c r="AK5023"/>
      <c r="BU5023"/>
      <c r="BV5023"/>
    </row>
    <row r="5024" spans="8:74" x14ac:dyDescent="0.2">
      <c r="H5024"/>
      <c r="L5024"/>
      <c r="AK5024"/>
      <c r="BU5024"/>
      <c r="BV5024"/>
    </row>
    <row r="5025" spans="8:74" x14ac:dyDescent="0.2">
      <c r="H5025"/>
      <c r="L5025"/>
      <c r="AK5025"/>
      <c r="BU5025"/>
      <c r="BV5025"/>
    </row>
    <row r="5026" spans="8:74" x14ac:dyDescent="0.2">
      <c r="H5026"/>
      <c r="L5026"/>
      <c r="AK5026"/>
      <c r="BU5026"/>
      <c r="BV5026"/>
    </row>
    <row r="5027" spans="8:74" x14ac:dyDescent="0.2">
      <c r="H5027"/>
      <c r="L5027"/>
      <c r="BU5027"/>
      <c r="BV5027"/>
    </row>
    <row r="5028" spans="8:74" x14ac:dyDescent="0.2">
      <c r="H5028"/>
      <c r="L5028"/>
      <c r="AK5028"/>
      <c r="BU5028"/>
      <c r="BV5028"/>
    </row>
    <row r="5029" spans="8:74" x14ac:dyDescent="0.2">
      <c r="H5029"/>
      <c r="L5029"/>
      <c r="AK5029"/>
      <c r="BU5029"/>
      <c r="BV5029"/>
    </row>
    <row r="5030" spans="8:74" x14ac:dyDescent="0.2">
      <c r="H5030"/>
      <c r="L5030"/>
      <c r="AK5030"/>
      <c r="BU5030"/>
      <c r="BV5030"/>
    </row>
    <row r="5031" spans="8:74" x14ac:dyDescent="0.2">
      <c r="H5031"/>
      <c r="L5031"/>
      <c r="AK5031"/>
      <c r="BU5031"/>
      <c r="BV5031"/>
    </row>
    <row r="5032" spans="8:74" x14ac:dyDescent="0.2">
      <c r="H5032"/>
      <c r="L5032"/>
      <c r="AK5032"/>
      <c r="BU5032"/>
      <c r="BV5032"/>
    </row>
    <row r="5033" spans="8:74" x14ac:dyDescent="0.2">
      <c r="H5033"/>
      <c r="L5033"/>
      <c r="AK5033"/>
      <c r="BU5033"/>
      <c r="BV5033"/>
    </row>
    <row r="5034" spans="8:74" x14ac:dyDescent="0.2">
      <c r="H5034"/>
      <c r="L5034"/>
      <c r="AK5034"/>
      <c r="BU5034"/>
      <c r="BV5034"/>
    </row>
    <row r="5035" spans="8:74" x14ac:dyDescent="0.2">
      <c r="H5035"/>
      <c r="L5035"/>
      <c r="AK5035"/>
      <c r="BU5035"/>
      <c r="BV5035"/>
    </row>
    <row r="5036" spans="8:74" x14ac:dyDescent="0.2">
      <c r="AK5036"/>
    </row>
    <row r="5037" spans="8:74" x14ac:dyDescent="0.2">
      <c r="AK5037"/>
    </row>
    <row r="5038" spans="8:74" x14ac:dyDescent="0.2">
      <c r="H5038"/>
      <c r="L5038"/>
      <c r="AK5038"/>
      <c r="BU5038"/>
      <c r="BV5038"/>
    </row>
    <row r="5039" spans="8:74" x14ac:dyDescent="0.2">
      <c r="H5039"/>
      <c r="L5039"/>
      <c r="AK5039"/>
      <c r="BU5039"/>
      <c r="BV5039"/>
    </row>
    <row r="5040" spans="8:74" x14ac:dyDescent="0.2">
      <c r="H5040"/>
      <c r="L5040"/>
      <c r="AK5040"/>
      <c r="BU5040"/>
      <c r="BV5040"/>
    </row>
    <row r="5041" spans="8:74" x14ac:dyDescent="0.2">
      <c r="H5041"/>
      <c r="L5041"/>
      <c r="AK5041"/>
      <c r="BU5041"/>
      <c r="BV5041"/>
    </row>
    <row r="5042" spans="8:74" x14ac:dyDescent="0.2">
      <c r="H5042"/>
      <c r="L5042"/>
      <c r="AK5042"/>
      <c r="BU5042"/>
      <c r="BV5042"/>
    </row>
    <row r="5043" spans="8:74" x14ac:dyDescent="0.2">
      <c r="H5043"/>
      <c r="L5043"/>
      <c r="AK5043"/>
      <c r="BU5043"/>
      <c r="BV5043"/>
    </row>
    <row r="5044" spans="8:74" x14ac:dyDescent="0.2">
      <c r="H5044"/>
      <c r="L5044"/>
      <c r="AK5044"/>
      <c r="BU5044"/>
      <c r="BV5044"/>
    </row>
    <row r="5045" spans="8:74" x14ac:dyDescent="0.2">
      <c r="H5045"/>
      <c r="L5045"/>
      <c r="AK5045"/>
      <c r="BU5045"/>
      <c r="BV5045"/>
    </row>
    <row r="5046" spans="8:74" x14ac:dyDescent="0.2">
      <c r="H5046"/>
      <c r="L5046"/>
      <c r="AK5046"/>
      <c r="BU5046"/>
      <c r="BV5046"/>
    </row>
    <row r="5047" spans="8:74" x14ac:dyDescent="0.2">
      <c r="H5047"/>
      <c r="L5047"/>
      <c r="AK5047"/>
      <c r="BU5047"/>
      <c r="BV5047"/>
    </row>
    <row r="5048" spans="8:74" x14ac:dyDescent="0.2">
      <c r="H5048"/>
      <c r="L5048"/>
      <c r="AK5048"/>
      <c r="BU5048"/>
      <c r="BV5048"/>
    </row>
    <row r="5049" spans="8:74" x14ac:dyDescent="0.2">
      <c r="AK5049"/>
    </row>
    <row r="5050" spans="8:74" x14ac:dyDescent="0.2">
      <c r="H5050"/>
      <c r="L5050"/>
      <c r="AK5050"/>
      <c r="BU5050"/>
      <c r="BV5050"/>
    </row>
    <row r="5051" spans="8:74" x14ac:dyDescent="0.2">
      <c r="H5051"/>
      <c r="L5051"/>
      <c r="AK5051"/>
      <c r="BU5051"/>
      <c r="BV5051"/>
    </row>
    <row r="5052" spans="8:74" x14ac:dyDescent="0.2">
      <c r="H5052"/>
      <c r="L5052"/>
      <c r="AK5052"/>
      <c r="BU5052"/>
      <c r="BV5052"/>
    </row>
    <row r="5053" spans="8:74" x14ac:dyDescent="0.2">
      <c r="H5053"/>
      <c r="L5053"/>
      <c r="AK5053"/>
      <c r="BU5053"/>
      <c r="BV5053"/>
    </row>
    <row r="5054" spans="8:74" x14ac:dyDescent="0.2">
      <c r="H5054"/>
      <c r="L5054"/>
      <c r="AK5054"/>
      <c r="BU5054"/>
      <c r="BV5054"/>
    </row>
    <row r="5055" spans="8:74" x14ac:dyDescent="0.2">
      <c r="H5055"/>
      <c r="L5055"/>
      <c r="AK5055"/>
      <c r="BU5055"/>
      <c r="BV5055"/>
    </row>
    <row r="5056" spans="8:74" x14ac:dyDescent="0.2">
      <c r="H5056"/>
      <c r="L5056"/>
      <c r="AK5056"/>
      <c r="BU5056"/>
      <c r="BV5056"/>
    </row>
    <row r="5057" spans="8:74" x14ac:dyDescent="0.2">
      <c r="H5057"/>
      <c r="L5057"/>
      <c r="AK5057"/>
      <c r="BU5057"/>
      <c r="BV5057"/>
    </row>
    <row r="5058" spans="8:74" x14ac:dyDescent="0.2">
      <c r="H5058"/>
      <c r="L5058"/>
      <c r="AK5058"/>
      <c r="BU5058"/>
      <c r="BV5058"/>
    </row>
    <row r="5059" spans="8:74" x14ac:dyDescent="0.2">
      <c r="H5059"/>
      <c r="L5059"/>
      <c r="AK5059"/>
      <c r="BU5059"/>
      <c r="BV5059"/>
    </row>
    <row r="5060" spans="8:74" x14ac:dyDescent="0.2">
      <c r="H5060"/>
      <c r="L5060"/>
      <c r="BU5060"/>
      <c r="BV5060"/>
    </row>
    <row r="5061" spans="8:74" x14ac:dyDescent="0.2">
      <c r="H5061"/>
      <c r="L5061"/>
      <c r="BU5061"/>
      <c r="BV5061"/>
    </row>
    <row r="5062" spans="8:74" x14ac:dyDescent="0.2">
      <c r="H5062"/>
      <c r="L5062"/>
      <c r="BU5062"/>
      <c r="BV5062"/>
    </row>
    <row r="5063" spans="8:74" x14ac:dyDescent="0.2">
      <c r="H5063"/>
      <c r="L5063"/>
      <c r="AK5063"/>
      <c r="BU5063"/>
      <c r="BV5063"/>
    </row>
    <row r="5064" spans="8:74" x14ac:dyDescent="0.2">
      <c r="H5064"/>
      <c r="L5064"/>
      <c r="AK5064"/>
      <c r="BU5064"/>
      <c r="BV5064"/>
    </row>
    <row r="5065" spans="8:74" x14ac:dyDescent="0.2">
      <c r="H5065"/>
      <c r="L5065"/>
      <c r="AK5065"/>
      <c r="BU5065"/>
      <c r="BV5065"/>
    </row>
    <row r="5066" spans="8:74" x14ac:dyDescent="0.2">
      <c r="H5066"/>
      <c r="L5066"/>
      <c r="BU5066"/>
      <c r="BV5066"/>
    </row>
    <row r="5067" spans="8:74" x14ac:dyDescent="0.2">
      <c r="H5067"/>
      <c r="L5067"/>
      <c r="AK5067"/>
      <c r="BU5067"/>
      <c r="BV5067"/>
    </row>
    <row r="5068" spans="8:74" x14ac:dyDescent="0.2">
      <c r="H5068"/>
      <c r="L5068"/>
      <c r="AK5068"/>
      <c r="BU5068"/>
      <c r="BV5068"/>
    </row>
    <row r="5069" spans="8:74" x14ac:dyDescent="0.2">
      <c r="H5069"/>
      <c r="L5069"/>
      <c r="AK5069"/>
      <c r="BU5069"/>
      <c r="BV5069"/>
    </row>
    <row r="5070" spans="8:74" x14ac:dyDescent="0.2">
      <c r="H5070"/>
      <c r="L5070"/>
      <c r="AK5070"/>
      <c r="BU5070"/>
      <c r="BV5070"/>
    </row>
    <row r="5071" spans="8:74" x14ac:dyDescent="0.2">
      <c r="H5071"/>
      <c r="L5071"/>
      <c r="AK5071"/>
      <c r="BU5071"/>
      <c r="BV5071"/>
    </row>
    <row r="5072" spans="8:74" x14ac:dyDescent="0.2">
      <c r="H5072"/>
      <c r="L5072"/>
      <c r="AK5072"/>
      <c r="BU5072"/>
      <c r="BV5072"/>
    </row>
    <row r="5073" spans="8:74" x14ac:dyDescent="0.2">
      <c r="H5073"/>
      <c r="L5073"/>
      <c r="AK5073"/>
      <c r="BU5073"/>
      <c r="BV5073"/>
    </row>
    <row r="5074" spans="8:74" x14ac:dyDescent="0.2">
      <c r="H5074"/>
      <c r="L5074"/>
      <c r="AK5074"/>
      <c r="BU5074"/>
      <c r="BV5074"/>
    </row>
    <row r="5075" spans="8:74" x14ac:dyDescent="0.2">
      <c r="H5075"/>
      <c r="L5075"/>
      <c r="AK5075"/>
      <c r="BU5075"/>
      <c r="BV5075"/>
    </row>
    <row r="5076" spans="8:74" x14ac:dyDescent="0.2">
      <c r="H5076"/>
      <c r="L5076"/>
      <c r="AK5076"/>
      <c r="BU5076"/>
      <c r="BV5076"/>
    </row>
    <row r="5077" spans="8:74" x14ac:dyDescent="0.2">
      <c r="H5077"/>
      <c r="L5077"/>
      <c r="AK5077"/>
      <c r="BU5077"/>
      <c r="BV5077"/>
    </row>
    <row r="5078" spans="8:74" x14ac:dyDescent="0.2">
      <c r="H5078"/>
      <c r="L5078"/>
      <c r="AK5078"/>
      <c r="BU5078"/>
      <c r="BV5078"/>
    </row>
    <row r="5079" spans="8:74" x14ac:dyDescent="0.2">
      <c r="H5079"/>
      <c r="L5079"/>
      <c r="AK5079"/>
      <c r="BU5079"/>
      <c r="BV5079"/>
    </row>
    <row r="5080" spans="8:74" x14ac:dyDescent="0.2">
      <c r="H5080"/>
      <c r="L5080"/>
      <c r="AK5080"/>
      <c r="BU5080"/>
      <c r="BV5080"/>
    </row>
    <row r="5081" spans="8:74" x14ac:dyDescent="0.2">
      <c r="H5081"/>
      <c r="L5081"/>
      <c r="AK5081"/>
      <c r="BU5081"/>
      <c r="BV5081"/>
    </row>
    <row r="5082" spans="8:74" x14ac:dyDescent="0.2">
      <c r="H5082"/>
      <c r="L5082"/>
      <c r="AK5082"/>
      <c r="BU5082"/>
      <c r="BV5082"/>
    </row>
    <row r="5083" spans="8:74" x14ac:dyDescent="0.2">
      <c r="H5083"/>
      <c r="L5083"/>
      <c r="BU5083"/>
      <c r="BV5083"/>
    </row>
    <row r="5084" spans="8:74" x14ac:dyDescent="0.2">
      <c r="H5084"/>
      <c r="L5084"/>
      <c r="AK5084"/>
      <c r="BU5084"/>
      <c r="BV5084"/>
    </row>
    <row r="5085" spans="8:74" x14ac:dyDescent="0.2">
      <c r="H5085"/>
      <c r="L5085"/>
      <c r="AK5085"/>
      <c r="BU5085"/>
      <c r="BV5085"/>
    </row>
    <row r="5086" spans="8:74" x14ac:dyDescent="0.2">
      <c r="H5086"/>
      <c r="L5086"/>
      <c r="AK5086"/>
      <c r="BU5086"/>
      <c r="BV5086"/>
    </row>
    <row r="5087" spans="8:74" x14ac:dyDescent="0.2">
      <c r="H5087"/>
      <c r="L5087"/>
      <c r="AK5087"/>
      <c r="BU5087"/>
      <c r="BV5087"/>
    </row>
    <row r="5088" spans="8:74" x14ac:dyDescent="0.2">
      <c r="H5088"/>
      <c r="L5088"/>
      <c r="AK5088"/>
      <c r="BU5088"/>
      <c r="BV5088"/>
    </row>
    <row r="5089" spans="8:74" x14ac:dyDescent="0.2">
      <c r="H5089"/>
      <c r="L5089"/>
      <c r="AK5089"/>
      <c r="BU5089"/>
      <c r="BV5089"/>
    </row>
    <row r="5092" spans="8:74" x14ac:dyDescent="0.2">
      <c r="AK5092"/>
    </row>
    <row r="5093" spans="8:74" x14ac:dyDescent="0.2">
      <c r="H5093"/>
      <c r="L5093"/>
      <c r="AK5093"/>
      <c r="BU5093"/>
      <c r="BV5093"/>
    </row>
    <row r="5094" spans="8:74" x14ac:dyDescent="0.2">
      <c r="H5094"/>
      <c r="L5094"/>
      <c r="AK5094"/>
      <c r="BU5094"/>
      <c r="BV5094"/>
    </row>
    <row r="5095" spans="8:74" x14ac:dyDescent="0.2">
      <c r="H5095"/>
      <c r="L5095"/>
      <c r="AK5095"/>
      <c r="BU5095"/>
      <c r="BV5095"/>
    </row>
    <row r="5096" spans="8:74" x14ac:dyDescent="0.2">
      <c r="H5096"/>
      <c r="L5096"/>
      <c r="AK5096"/>
      <c r="BU5096"/>
      <c r="BV5096"/>
    </row>
    <row r="5097" spans="8:74" x14ac:dyDescent="0.2">
      <c r="H5097"/>
      <c r="L5097"/>
      <c r="BU5097"/>
      <c r="BV5097"/>
    </row>
    <row r="5098" spans="8:74" x14ac:dyDescent="0.2">
      <c r="H5098"/>
      <c r="L5098"/>
      <c r="AK5098"/>
      <c r="BU5098"/>
      <c r="BV5098"/>
    </row>
    <row r="5099" spans="8:74" x14ac:dyDescent="0.2">
      <c r="H5099"/>
      <c r="L5099"/>
      <c r="AK5099"/>
      <c r="BU5099"/>
      <c r="BV5099"/>
    </row>
    <row r="5100" spans="8:74" x14ac:dyDescent="0.2">
      <c r="H5100"/>
      <c r="L5100"/>
      <c r="AK5100"/>
      <c r="BU5100"/>
      <c r="BV5100"/>
    </row>
    <row r="5101" spans="8:74" x14ac:dyDescent="0.2">
      <c r="H5101"/>
      <c r="L5101"/>
      <c r="AK5101"/>
      <c r="BU5101"/>
      <c r="BV5101"/>
    </row>
    <row r="5102" spans="8:74" x14ac:dyDescent="0.2">
      <c r="H5102"/>
      <c r="L5102"/>
      <c r="AK5102"/>
      <c r="BU5102"/>
      <c r="BV5102"/>
    </row>
    <row r="5103" spans="8:74" x14ac:dyDescent="0.2">
      <c r="H5103"/>
      <c r="L5103"/>
      <c r="AK5103"/>
      <c r="BU5103"/>
      <c r="BV5103"/>
    </row>
    <row r="5104" spans="8:74" x14ac:dyDescent="0.2">
      <c r="H5104"/>
      <c r="L5104"/>
      <c r="AK5104"/>
      <c r="BU5104"/>
      <c r="BV5104"/>
    </row>
    <row r="5105" spans="8:74" x14ac:dyDescent="0.2">
      <c r="H5105"/>
      <c r="L5105"/>
      <c r="AK5105"/>
      <c r="BU5105"/>
      <c r="BV5105"/>
    </row>
    <row r="5106" spans="8:74" x14ac:dyDescent="0.2">
      <c r="H5106"/>
      <c r="L5106"/>
      <c r="AK5106"/>
      <c r="BU5106"/>
      <c r="BV5106"/>
    </row>
    <row r="5107" spans="8:74" x14ac:dyDescent="0.2">
      <c r="H5107"/>
      <c r="L5107"/>
      <c r="AK5107"/>
      <c r="BU5107"/>
      <c r="BV5107"/>
    </row>
    <row r="5108" spans="8:74" x14ac:dyDescent="0.2">
      <c r="H5108"/>
      <c r="L5108"/>
      <c r="BU5108"/>
      <c r="BV5108"/>
    </row>
    <row r="5110" spans="8:74" x14ac:dyDescent="0.2">
      <c r="H5110"/>
      <c r="L5110"/>
      <c r="BU5110"/>
      <c r="BV5110"/>
    </row>
    <row r="5111" spans="8:74" x14ac:dyDescent="0.2">
      <c r="H5111"/>
      <c r="L5111"/>
      <c r="AK5111"/>
      <c r="BU5111"/>
      <c r="BV5111"/>
    </row>
    <row r="5112" spans="8:74" x14ac:dyDescent="0.2">
      <c r="H5112"/>
      <c r="L5112"/>
      <c r="AK5112"/>
      <c r="BU5112"/>
      <c r="BV5112"/>
    </row>
    <row r="5113" spans="8:74" x14ac:dyDescent="0.2">
      <c r="H5113"/>
      <c r="L5113"/>
      <c r="AK5113"/>
      <c r="BU5113"/>
      <c r="BV5113"/>
    </row>
    <row r="5114" spans="8:74" x14ac:dyDescent="0.2">
      <c r="H5114"/>
      <c r="L5114"/>
      <c r="AK5114"/>
      <c r="BU5114"/>
      <c r="BV5114"/>
    </row>
    <row r="5115" spans="8:74" x14ac:dyDescent="0.2">
      <c r="H5115"/>
      <c r="L5115"/>
      <c r="AK5115"/>
      <c r="BU5115"/>
      <c r="BV5115"/>
    </row>
    <row r="5116" spans="8:74" x14ac:dyDescent="0.2">
      <c r="H5116"/>
      <c r="L5116"/>
      <c r="AK5116"/>
      <c r="BU5116"/>
      <c r="BV5116"/>
    </row>
    <row r="5117" spans="8:74" x14ac:dyDescent="0.2">
      <c r="H5117"/>
      <c r="L5117"/>
      <c r="AK5117"/>
      <c r="BU5117"/>
      <c r="BV5117"/>
    </row>
    <row r="5118" spans="8:74" x14ac:dyDescent="0.2">
      <c r="AK5118"/>
    </row>
    <row r="5119" spans="8:74" x14ac:dyDescent="0.2">
      <c r="H5119"/>
      <c r="L5119"/>
      <c r="AK5119"/>
      <c r="BU5119"/>
      <c r="BV5119"/>
    </row>
    <row r="5120" spans="8:74" x14ac:dyDescent="0.2">
      <c r="H5120"/>
      <c r="L5120"/>
      <c r="AK5120"/>
      <c r="BU5120"/>
      <c r="BV5120"/>
    </row>
    <row r="5121" spans="8:74" x14ac:dyDescent="0.2">
      <c r="H5121"/>
      <c r="L5121"/>
      <c r="AK5121"/>
      <c r="BU5121"/>
      <c r="BV5121"/>
    </row>
    <row r="5122" spans="8:74" x14ac:dyDescent="0.2">
      <c r="H5122"/>
      <c r="L5122"/>
      <c r="AK5122"/>
      <c r="BU5122"/>
      <c r="BV5122"/>
    </row>
    <row r="5123" spans="8:74" x14ac:dyDescent="0.2">
      <c r="H5123"/>
      <c r="L5123"/>
      <c r="AK5123"/>
      <c r="BU5123"/>
      <c r="BV5123"/>
    </row>
    <row r="5124" spans="8:74" x14ac:dyDescent="0.2">
      <c r="H5124"/>
      <c r="L5124"/>
      <c r="AK5124"/>
      <c r="BU5124"/>
      <c r="BV5124"/>
    </row>
    <row r="5125" spans="8:74" x14ac:dyDescent="0.2">
      <c r="H5125"/>
      <c r="L5125"/>
      <c r="BU5125"/>
      <c r="BV5125"/>
    </row>
    <row r="5126" spans="8:74" x14ac:dyDescent="0.2">
      <c r="H5126"/>
      <c r="L5126"/>
      <c r="BU5126"/>
      <c r="BV5126"/>
    </row>
    <row r="5127" spans="8:74" x14ac:dyDescent="0.2">
      <c r="H5127"/>
      <c r="L5127"/>
      <c r="BU5127"/>
      <c r="BV5127"/>
    </row>
    <row r="5128" spans="8:74" x14ac:dyDescent="0.2">
      <c r="H5128"/>
      <c r="L5128"/>
      <c r="BU5128"/>
      <c r="BV5128"/>
    </row>
    <row r="5129" spans="8:74" x14ac:dyDescent="0.2">
      <c r="H5129"/>
      <c r="L5129"/>
      <c r="BU5129"/>
      <c r="BV5129"/>
    </row>
    <row r="5130" spans="8:74" x14ac:dyDescent="0.2">
      <c r="H5130"/>
      <c r="L5130"/>
      <c r="BU5130"/>
      <c r="BV5130"/>
    </row>
    <row r="5131" spans="8:74" x14ac:dyDescent="0.2">
      <c r="H5131"/>
      <c r="L5131"/>
      <c r="AK5131"/>
      <c r="BU5131"/>
      <c r="BV5131"/>
    </row>
    <row r="5132" spans="8:74" x14ac:dyDescent="0.2">
      <c r="H5132"/>
      <c r="L5132"/>
      <c r="AK5132"/>
      <c r="BU5132"/>
      <c r="BV5132"/>
    </row>
    <row r="5133" spans="8:74" x14ac:dyDescent="0.2">
      <c r="H5133"/>
      <c r="L5133"/>
      <c r="AK5133"/>
      <c r="BU5133"/>
      <c r="BV5133"/>
    </row>
    <row r="5134" spans="8:74" x14ac:dyDescent="0.2">
      <c r="H5134"/>
      <c r="L5134"/>
      <c r="AK5134"/>
      <c r="BU5134"/>
      <c r="BV5134"/>
    </row>
    <row r="5135" spans="8:74" x14ac:dyDescent="0.2">
      <c r="H5135"/>
      <c r="L5135"/>
      <c r="BU5135"/>
      <c r="BV5135"/>
    </row>
    <row r="5136" spans="8:74" x14ac:dyDescent="0.2">
      <c r="H5136"/>
      <c r="L5136"/>
      <c r="BU5136"/>
      <c r="BV5136"/>
    </row>
    <row r="5137" spans="8:74" x14ac:dyDescent="0.2">
      <c r="H5137"/>
      <c r="L5137"/>
      <c r="BU5137"/>
      <c r="BV5137"/>
    </row>
    <row r="5138" spans="8:74" x14ac:dyDescent="0.2">
      <c r="H5138"/>
      <c r="L5138"/>
      <c r="BU5138"/>
      <c r="BV5138"/>
    </row>
    <row r="5139" spans="8:74" x14ac:dyDescent="0.2">
      <c r="H5139"/>
      <c r="L5139"/>
      <c r="BU5139"/>
      <c r="BV5139"/>
    </row>
    <row r="5140" spans="8:74" x14ac:dyDescent="0.2">
      <c r="H5140"/>
      <c r="L5140"/>
      <c r="AK5140"/>
      <c r="BU5140"/>
      <c r="BV5140"/>
    </row>
    <row r="5141" spans="8:74" x14ac:dyDescent="0.2">
      <c r="H5141"/>
      <c r="L5141"/>
      <c r="AK5141"/>
      <c r="BU5141"/>
      <c r="BV5141"/>
    </row>
    <row r="5142" spans="8:74" x14ac:dyDescent="0.2">
      <c r="H5142"/>
      <c r="L5142"/>
      <c r="AK5142"/>
      <c r="BU5142"/>
      <c r="BV5142"/>
    </row>
    <row r="5143" spans="8:74" x14ac:dyDescent="0.2">
      <c r="H5143"/>
      <c r="L5143"/>
      <c r="BU5143"/>
      <c r="BV5143"/>
    </row>
    <row r="5144" spans="8:74" x14ac:dyDescent="0.2">
      <c r="H5144"/>
      <c r="L5144"/>
      <c r="BU5144"/>
      <c r="BV5144"/>
    </row>
    <row r="5145" spans="8:74" x14ac:dyDescent="0.2">
      <c r="H5145"/>
      <c r="L5145"/>
      <c r="AK5145"/>
      <c r="BU5145"/>
      <c r="BV5145"/>
    </row>
    <row r="5146" spans="8:74" x14ac:dyDescent="0.2">
      <c r="H5146"/>
      <c r="L5146"/>
      <c r="AK5146"/>
      <c r="BU5146"/>
      <c r="BV5146"/>
    </row>
    <row r="5147" spans="8:74" x14ac:dyDescent="0.2">
      <c r="H5147"/>
      <c r="L5147"/>
      <c r="AK5147"/>
      <c r="BU5147"/>
      <c r="BV5147"/>
    </row>
    <row r="5148" spans="8:74" x14ac:dyDescent="0.2">
      <c r="H5148"/>
      <c r="L5148"/>
      <c r="AK5148"/>
      <c r="BU5148"/>
      <c r="BV5148"/>
    </row>
    <row r="5149" spans="8:74" x14ac:dyDescent="0.2">
      <c r="H5149"/>
      <c r="L5149"/>
      <c r="AK5149"/>
      <c r="BU5149"/>
      <c r="BV5149"/>
    </row>
    <row r="5150" spans="8:74" x14ac:dyDescent="0.2">
      <c r="H5150"/>
      <c r="L5150"/>
      <c r="AK5150"/>
      <c r="BU5150"/>
      <c r="BV5150"/>
    </row>
    <row r="5151" spans="8:74" x14ac:dyDescent="0.2">
      <c r="H5151"/>
      <c r="L5151"/>
      <c r="AK5151"/>
      <c r="BU5151"/>
      <c r="BV5151"/>
    </row>
    <row r="5152" spans="8:74" x14ac:dyDescent="0.2">
      <c r="H5152"/>
      <c r="L5152"/>
      <c r="AK5152"/>
      <c r="BU5152"/>
      <c r="BV5152"/>
    </row>
    <row r="5153" spans="8:74" x14ac:dyDescent="0.2">
      <c r="H5153"/>
      <c r="L5153"/>
      <c r="AK5153"/>
      <c r="BU5153"/>
      <c r="BV5153"/>
    </row>
    <row r="5154" spans="8:74" x14ac:dyDescent="0.2">
      <c r="H5154"/>
      <c r="L5154"/>
      <c r="AK5154"/>
      <c r="BU5154"/>
      <c r="BV5154"/>
    </row>
    <row r="5155" spans="8:74" x14ac:dyDescent="0.2">
      <c r="H5155"/>
      <c r="L5155"/>
      <c r="AK5155"/>
      <c r="BU5155"/>
      <c r="BV5155"/>
    </row>
    <row r="5156" spans="8:74" x14ac:dyDescent="0.2">
      <c r="H5156"/>
      <c r="L5156"/>
      <c r="AK5156"/>
      <c r="BU5156"/>
      <c r="BV5156"/>
    </row>
    <row r="5157" spans="8:74" x14ac:dyDescent="0.2">
      <c r="H5157"/>
      <c r="L5157"/>
      <c r="AK5157"/>
      <c r="BU5157"/>
      <c r="BV5157"/>
    </row>
    <row r="5158" spans="8:74" x14ac:dyDescent="0.2">
      <c r="H5158"/>
      <c r="L5158"/>
      <c r="AK5158"/>
      <c r="BU5158"/>
      <c r="BV5158"/>
    </row>
    <row r="5159" spans="8:74" x14ac:dyDescent="0.2">
      <c r="H5159"/>
      <c r="L5159"/>
      <c r="BU5159"/>
      <c r="BV5159"/>
    </row>
    <row r="5160" spans="8:74" x14ac:dyDescent="0.2">
      <c r="H5160"/>
      <c r="L5160"/>
      <c r="BU5160"/>
      <c r="BV5160"/>
    </row>
    <row r="5161" spans="8:74" x14ac:dyDescent="0.2">
      <c r="H5161"/>
      <c r="L5161"/>
      <c r="BU5161"/>
      <c r="BV5161"/>
    </row>
    <row r="5162" spans="8:74" x14ac:dyDescent="0.2">
      <c r="H5162"/>
      <c r="L5162"/>
      <c r="BU5162"/>
      <c r="BV5162"/>
    </row>
    <row r="5163" spans="8:74" x14ac:dyDescent="0.2">
      <c r="H5163"/>
      <c r="L5163"/>
      <c r="BU5163"/>
      <c r="BV5163"/>
    </row>
    <row r="5164" spans="8:74" x14ac:dyDescent="0.2">
      <c r="H5164"/>
      <c r="L5164"/>
      <c r="BU5164"/>
      <c r="BV5164"/>
    </row>
    <row r="5165" spans="8:74" x14ac:dyDescent="0.2">
      <c r="H5165"/>
      <c r="L5165"/>
      <c r="BU5165"/>
      <c r="BV5165"/>
    </row>
    <row r="5166" spans="8:74" x14ac:dyDescent="0.2">
      <c r="H5166"/>
      <c r="L5166"/>
      <c r="BU5166"/>
      <c r="BV5166"/>
    </row>
    <row r="5167" spans="8:74" x14ac:dyDescent="0.2">
      <c r="H5167"/>
      <c r="L5167"/>
      <c r="BU5167"/>
      <c r="BV5167"/>
    </row>
    <row r="5168" spans="8:74" x14ac:dyDescent="0.2">
      <c r="H5168"/>
      <c r="L5168"/>
      <c r="AK5168"/>
      <c r="BU5168"/>
      <c r="BV5168"/>
    </row>
    <row r="5169" spans="8:74" x14ac:dyDescent="0.2">
      <c r="H5169"/>
      <c r="L5169"/>
      <c r="AK5169"/>
      <c r="BU5169"/>
      <c r="BV5169"/>
    </row>
    <row r="5170" spans="8:74" x14ac:dyDescent="0.2">
      <c r="H5170"/>
      <c r="L5170"/>
      <c r="AK5170"/>
      <c r="BU5170"/>
      <c r="BV5170"/>
    </row>
    <row r="5171" spans="8:74" x14ac:dyDescent="0.2">
      <c r="H5171"/>
      <c r="L5171"/>
      <c r="AK5171"/>
      <c r="BU5171"/>
      <c r="BV5171"/>
    </row>
    <row r="5172" spans="8:74" x14ac:dyDescent="0.2">
      <c r="H5172"/>
      <c r="L5172"/>
      <c r="AK5172"/>
      <c r="BU5172"/>
      <c r="BV5172"/>
    </row>
    <row r="5173" spans="8:74" x14ac:dyDescent="0.2">
      <c r="H5173"/>
      <c r="L5173"/>
      <c r="AK5173"/>
      <c r="BU5173"/>
      <c r="BV5173"/>
    </row>
    <row r="5174" spans="8:74" x14ac:dyDescent="0.2">
      <c r="H5174"/>
      <c r="L5174"/>
      <c r="BU5174"/>
      <c r="BV5174"/>
    </row>
    <row r="5175" spans="8:74" x14ac:dyDescent="0.2">
      <c r="H5175"/>
      <c r="L5175"/>
      <c r="BU5175"/>
      <c r="BV5175"/>
    </row>
    <row r="5177" spans="8:74" x14ac:dyDescent="0.2">
      <c r="H5177"/>
      <c r="L5177"/>
      <c r="BU5177"/>
      <c r="BV5177"/>
    </row>
    <row r="5178" spans="8:74" x14ac:dyDescent="0.2">
      <c r="H5178"/>
      <c r="L5178"/>
      <c r="BU5178"/>
      <c r="BV5178"/>
    </row>
    <row r="5179" spans="8:74" x14ac:dyDescent="0.2">
      <c r="H5179"/>
      <c r="L5179"/>
      <c r="BU5179"/>
      <c r="BV5179"/>
    </row>
    <row r="5180" spans="8:74" x14ac:dyDescent="0.2">
      <c r="H5180"/>
      <c r="L5180"/>
      <c r="BU5180"/>
      <c r="BV5180"/>
    </row>
    <row r="5181" spans="8:74" x14ac:dyDescent="0.2">
      <c r="H5181"/>
      <c r="L5181"/>
      <c r="AK5181"/>
      <c r="BU5181"/>
      <c r="BV5181"/>
    </row>
    <row r="5182" spans="8:74" x14ac:dyDescent="0.2">
      <c r="H5182"/>
      <c r="L5182"/>
      <c r="AK5182"/>
      <c r="BU5182"/>
      <c r="BV5182"/>
    </row>
    <row r="5183" spans="8:74" x14ac:dyDescent="0.2">
      <c r="H5183"/>
      <c r="L5183"/>
      <c r="AK5183"/>
      <c r="BU5183"/>
      <c r="BV5183"/>
    </row>
    <row r="5184" spans="8:74" x14ac:dyDescent="0.2">
      <c r="H5184"/>
      <c r="L5184"/>
      <c r="AK5184"/>
      <c r="BU5184"/>
      <c r="BV5184"/>
    </row>
    <row r="5185" spans="8:74" x14ac:dyDescent="0.2">
      <c r="H5185"/>
      <c r="L5185"/>
      <c r="AK5185"/>
      <c r="BU5185"/>
      <c r="BV5185"/>
    </row>
    <row r="5186" spans="8:74" x14ac:dyDescent="0.2">
      <c r="H5186"/>
      <c r="L5186"/>
      <c r="AK5186"/>
      <c r="BU5186"/>
      <c r="BV5186"/>
    </row>
    <row r="5187" spans="8:74" x14ac:dyDescent="0.2">
      <c r="H5187"/>
      <c r="L5187"/>
      <c r="BU5187"/>
      <c r="BV5187"/>
    </row>
    <row r="5188" spans="8:74" x14ac:dyDescent="0.2">
      <c r="H5188"/>
      <c r="L5188"/>
      <c r="BU5188"/>
      <c r="BV5188"/>
    </row>
    <row r="5189" spans="8:74" x14ac:dyDescent="0.2">
      <c r="H5189"/>
      <c r="L5189"/>
      <c r="BU5189"/>
      <c r="BV5189"/>
    </row>
    <row r="5190" spans="8:74" x14ac:dyDescent="0.2">
      <c r="H5190"/>
      <c r="L5190"/>
      <c r="AK5190"/>
      <c r="BU5190"/>
      <c r="BV5190"/>
    </row>
    <row r="5191" spans="8:74" x14ac:dyDescent="0.2">
      <c r="H5191"/>
      <c r="L5191"/>
      <c r="AK5191"/>
      <c r="BU5191"/>
      <c r="BV5191"/>
    </row>
    <row r="5192" spans="8:74" x14ac:dyDescent="0.2">
      <c r="H5192"/>
      <c r="L5192"/>
      <c r="AK5192"/>
      <c r="BU5192"/>
      <c r="BV5192"/>
    </row>
    <row r="5193" spans="8:74" x14ac:dyDescent="0.2">
      <c r="H5193"/>
      <c r="L5193"/>
      <c r="BU5193"/>
      <c r="BV5193"/>
    </row>
    <row r="5194" spans="8:74" x14ac:dyDescent="0.2">
      <c r="H5194"/>
      <c r="L5194"/>
      <c r="BU5194"/>
      <c r="BV5194"/>
    </row>
    <row r="5195" spans="8:74" x14ac:dyDescent="0.2">
      <c r="H5195"/>
      <c r="L5195"/>
      <c r="BU5195"/>
      <c r="BV5195"/>
    </row>
    <row r="5196" spans="8:74" x14ac:dyDescent="0.2">
      <c r="H5196"/>
      <c r="L5196"/>
      <c r="AK5196"/>
      <c r="BU5196"/>
      <c r="BV5196"/>
    </row>
    <row r="5197" spans="8:74" x14ac:dyDescent="0.2">
      <c r="H5197"/>
      <c r="L5197"/>
      <c r="BU5197"/>
      <c r="BV5197"/>
    </row>
    <row r="5198" spans="8:74" x14ac:dyDescent="0.2">
      <c r="H5198"/>
      <c r="L5198"/>
      <c r="AK5198"/>
      <c r="BU5198"/>
      <c r="BV5198"/>
    </row>
    <row r="5199" spans="8:74" x14ac:dyDescent="0.2">
      <c r="H5199"/>
      <c r="L5199"/>
      <c r="AK5199"/>
      <c r="BU5199"/>
      <c r="BV5199"/>
    </row>
    <row r="5200" spans="8:74" x14ac:dyDescent="0.2">
      <c r="H5200"/>
      <c r="L5200"/>
      <c r="AK5200"/>
      <c r="BU5200"/>
      <c r="BV5200"/>
    </row>
    <row r="5201" spans="8:74" x14ac:dyDescent="0.2">
      <c r="H5201"/>
      <c r="L5201"/>
      <c r="AK5201"/>
      <c r="BU5201"/>
      <c r="BV5201"/>
    </row>
    <row r="5202" spans="8:74" x14ac:dyDescent="0.2">
      <c r="H5202"/>
      <c r="L5202"/>
      <c r="AK5202"/>
      <c r="BU5202"/>
      <c r="BV5202"/>
    </row>
    <row r="5203" spans="8:74" x14ac:dyDescent="0.2">
      <c r="H5203"/>
      <c r="L5203"/>
      <c r="AK5203"/>
      <c r="BU5203"/>
      <c r="BV5203"/>
    </row>
    <row r="5204" spans="8:74" x14ac:dyDescent="0.2">
      <c r="H5204"/>
      <c r="L5204"/>
      <c r="AK5204"/>
      <c r="BU5204"/>
      <c r="BV5204"/>
    </row>
    <row r="5205" spans="8:74" x14ac:dyDescent="0.2">
      <c r="H5205"/>
      <c r="L5205"/>
      <c r="AK5205"/>
      <c r="BU5205"/>
      <c r="BV5205"/>
    </row>
    <row r="5206" spans="8:74" x14ac:dyDescent="0.2">
      <c r="H5206"/>
      <c r="L5206"/>
      <c r="AK5206"/>
      <c r="BU5206"/>
      <c r="BV5206"/>
    </row>
    <row r="5207" spans="8:74" x14ac:dyDescent="0.2">
      <c r="H5207"/>
      <c r="L5207"/>
      <c r="AK5207"/>
      <c r="BU5207"/>
      <c r="BV5207"/>
    </row>
    <row r="5208" spans="8:74" x14ac:dyDescent="0.2">
      <c r="H5208"/>
      <c r="L5208"/>
      <c r="AK5208"/>
      <c r="BU5208"/>
      <c r="BV5208"/>
    </row>
    <row r="5209" spans="8:74" x14ac:dyDescent="0.2">
      <c r="H5209"/>
      <c r="L5209"/>
      <c r="AK5209"/>
      <c r="BU5209"/>
      <c r="BV5209"/>
    </row>
    <row r="5210" spans="8:74" x14ac:dyDescent="0.2">
      <c r="H5210"/>
      <c r="L5210"/>
      <c r="AK5210"/>
      <c r="BU5210"/>
      <c r="BV5210"/>
    </row>
    <row r="5211" spans="8:74" x14ac:dyDescent="0.2">
      <c r="H5211"/>
      <c r="L5211"/>
      <c r="AK5211"/>
      <c r="BU5211"/>
      <c r="BV5211"/>
    </row>
    <row r="5212" spans="8:74" x14ac:dyDescent="0.2">
      <c r="H5212"/>
      <c r="L5212"/>
      <c r="AK5212"/>
      <c r="BU5212"/>
      <c r="BV5212"/>
    </row>
    <row r="5213" spans="8:74" x14ac:dyDescent="0.2">
      <c r="H5213"/>
      <c r="L5213"/>
      <c r="AK5213"/>
      <c r="BU5213"/>
      <c r="BV5213"/>
    </row>
    <row r="5214" spans="8:74" x14ac:dyDescent="0.2">
      <c r="H5214"/>
      <c r="L5214"/>
      <c r="AK5214"/>
      <c r="BU5214"/>
      <c r="BV5214"/>
    </row>
    <row r="5215" spans="8:74" x14ac:dyDescent="0.2">
      <c r="H5215"/>
      <c r="L5215"/>
      <c r="AK5215"/>
      <c r="BU5215"/>
      <c r="BV5215"/>
    </row>
    <row r="5216" spans="8:74" x14ac:dyDescent="0.2">
      <c r="H5216"/>
      <c r="L5216"/>
      <c r="BU5216"/>
      <c r="BV5216"/>
    </row>
    <row r="5217" spans="8:74" x14ac:dyDescent="0.2">
      <c r="H5217"/>
      <c r="L5217"/>
      <c r="BU5217"/>
      <c r="BV5217"/>
    </row>
    <row r="5218" spans="8:74" x14ac:dyDescent="0.2">
      <c r="H5218"/>
      <c r="L5218"/>
      <c r="BU5218"/>
      <c r="BV5218"/>
    </row>
    <row r="5219" spans="8:74" x14ac:dyDescent="0.2">
      <c r="H5219"/>
      <c r="L5219"/>
      <c r="BU5219"/>
      <c r="BV5219"/>
    </row>
    <row r="5220" spans="8:74" x14ac:dyDescent="0.2">
      <c r="H5220"/>
      <c r="L5220"/>
      <c r="AK5220"/>
      <c r="BU5220"/>
      <c r="BV5220"/>
    </row>
    <row r="5221" spans="8:74" x14ac:dyDescent="0.2">
      <c r="H5221"/>
      <c r="L5221"/>
      <c r="AK5221"/>
      <c r="BU5221"/>
      <c r="BV5221"/>
    </row>
    <row r="5222" spans="8:74" x14ac:dyDescent="0.2">
      <c r="H5222"/>
      <c r="L5222"/>
      <c r="AK5222"/>
      <c r="BU5222"/>
      <c r="BV5222"/>
    </row>
    <row r="5223" spans="8:74" x14ac:dyDescent="0.2">
      <c r="H5223"/>
      <c r="L5223"/>
      <c r="AK5223"/>
      <c r="BU5223"/>
      <c r="BV5223"/>
    </row>
    <row r="5224" spans="8:74" x14ac:dyDescent="0.2">
      <c r="H5224"/>
      <c r="L5224"/>
      <c r="AK5224"/>
      <c r="BU5224"/>
      <c r="BV5224"/>
    </row>
    <row r="5225" spans="8:74" x14ac:dyDescent="0.2">
      <c r="H5225"/>
      <c r="L5225"/>
      <c r="AK5225"/>
      <c r="BU5225"/>
      <c r="BV5225"/>
    </row>
    <row r="5226" spans="8:74" x14ac:dyDescent="0.2">
      <c r="H5226"/>
      <c r="L5226"/>
      <c r="AK5226"/>
      <c r="BU5226"/>
      <c r="BV5226"/>
    </row>
    <row r="5227" spans="8:74" x14ac:dyDescent="0.2">
      <c r="H5227"/>
      <c r="L5227"/>
      <c r="BU5227"/>
      <c r="BV5227"/>
    </row>
    <row r="5228" spans="8:74" x14ac:dyDescent="0.2">
      <c r="H5228"/>
      <c r="L5228"/>
      <c r="BU5228"/>
      <c r="BV5228"/>
    </row>
    <row r="5229" spans="8:74" x14ac:dyDescent="0.2">
      <c r="H5229"/>
      <c r="L5229"/>
      <c r="BU5229"/>
      <c r="BV5229"/>
    </row>
    <row r="5230" spans="8:74" x14ac:dyDescent="0.2">
      <c r="H5230"/>
      <c r="L5230"/>
      <c r="AK5230"/>
      <c r="BU5230"/>
      <c r="BV5230"/>
    </row>
    <row r="5231" spans="8:74" x14ac:dyDescent="0.2">
      <c r="H5231"/>
      <c r="L5231"/>
      <c r="BU5231"/>
      <c r="BV5231"/>
    </row>
    <row r="5232" spans="8:74" x14ac:dyDescent="0.2">
      <c r="H5232"/>
      <c r="L5232"/>
      <c r="AK5232"/>
      <c r="BU5232"/>
      <c r="BV5232"/>
    </row>
    <row r="5233" spans="8:74" x14ac:dyDescent="0.2">
      <c r="H5233"/>
      <c r="L5233"/>
      <c r="AK5233"/>
      <c r="BU5233"/>
      <c r="BV5233"/>
    </row>
    <row r="5234" spans="8:74" x14ac:dyDescent="0.2">
      <c r="H5234"/>
      <c r="L5234"/>
      <c r="AK5234"/>
      <c r="BU5234"/>
      <c r="BV5234"/>
    </row>
    <row r="5235" spans="8:74" x14ac:dyDescent="0.2">
      <c r="H5235"/>
      <c r="L5235"/>
      <c r="AK5235"/>
      <c r="BU5235"/>
      <c r="BV5235"/>
    </row>
    <row r="5236" spans="8:74" x14ac:dyDescent="0.2">
      <c r="H5236"/>
      <c r="L5236"/>
      <c r="AK5236"/>
      <c r="BU5236"/>
      <c r="BV5236"/>
    </row>
    <row r="5237" spans="8:74" x14ac:dyDescent="0.2">
      <c r="H5237"/>
      <c r="L5237"/>
      <c r="AK5237"/>
      <c r="BU5237"/>
      <c r="BV5237"/>
    </row>
    <row r="5238" spans="8:74" x14ac:dyDescent="0.2">
      <c r="H5238"/>
      <c r="L5238"/>
      <c r="AK5238"/>
      <c r="BU5238"/>
      <c r="BV5238"/>
    </row>
    <row r="5239" spans="8:74" x14ac:dyDescent="0.2">
      <c r="H5239"/>
      <c r="L5239"/>
      <c r="AK5239"/>
      <c r="BU5239"/>
      <c r="BV5239"/>
    </row>
    <row r="5240" spans="8:74" x14ac:dyDescent="0.2">
      <c r="H5240"/>
      <c r="L5240"/>
      <c r="AK5240"/>
      <c r="BU5240"/>
      <c r="BV5240"/>
    </row>
    <row r="5241" spans="8:74" x14ac:dyDescent="0.2">
      <c r="H5241"/>
      <c r="L5241"/>
      <c r="AK5241"/>
      <c r="BU5241"/>
      <c r="BV5241"/>
    </row>
    <row r="5242" spans="8:74" x14ac:dyDescent="0.2">
      <c r="H5242"/>
      <c r="L5242"/>
      <c r="AK5242"/>
      <c r="BU5242"/>
      <c r="BV5242"/>
    </row>
    <row r="5243" spans="8:74" x14ac:dyDescent="0.2">
      <c r="H5243"/>
      <c r="L5243"/>
      <c r="AK5243"/>
      <c r="BU5243"/>
      <c r="BV5243"/>
    </row>
    <row r="5244" spans="8:74" x14ac:dyDescent="0.2">
      <c r="H5244"/>
      <c r="L5244"/>
      <c r="AK5244"/>
      <c r="BU5244"/>
      <c r="BV5244"/>
    </row>
    <row r="5245" spans="8:74" x14ac:dyDescent="0.2">
      <c r="H5245"/>
      <c r="L5245"/>
      <c r="AK5245"/>
      <c r="BU5245"/>
      <c r="BV5245"/>
    </row>
    <row r="5246" spans="8:74" x14ac:dyDescent="0.2">
      <c r="H5246"/>
      <c r="L5246"/>
      <c r="AK5246"/>
      <c r="BU5246"/>
      <c r="BV5246"/>
    </row>
    <row r="5247" spans="8:74" x14ac:dyDescent="0.2">
      <c r="H5247"/>
      <c r="L5247"/>
      <c r="AK5247"/>
      <c r="BU5247"/>
      <c r="BV5247"/>
    </row>
    <row r="5248" spans="8:74" x14ac:dyDescent="0.2">
      <c r="H5248"/>
      <c r="L5248"/>
      <c r="AK5248"/>
      <c r="BU5248"/>
      <c r="BV5248"/>
    </row>
    <row r="5249" spans="8:74" x14ac:dyDescent="0.2">
      <c r="H5249"/>
      <c r="L5249"/>
      <c r="AK5249"/>
      <c r="BU5249"/>
      <c r="BV5249"/>
    </row>
    <row r="5250" spans="8:74" x14ac:dyDescent="0.2">
      <c r="H5250"/>
      <c r="L5250"/>
      <c r="AK5250"/>
      <c r="BU5250"/>
      <c r="BV5250"/>
    </row>
    <row r="5251" spans="8:74" x14ac:dyDescent="0.2">
      <c r="H5251"/>
      <c r="L5251"/>
      <c r="AK5251"/>
      <c r="BU5251"/>
      <c r="BV5251"/>
    </row>
    <row r="5252" spans="8:74" x14ac:dyDescent="0.2">
      <c r="H5252"/>
      <c r="L5252"/>
      <c r="AK5252"/>
      <c r="BU5252"/>
      <c r="BV5252"/>
    </row>
    <row r="5253" spans="8:74" x14ac:dyDescent="0.2">
      <c r="H5253"/>
      <c r="L5253"/>
      <c r="AK5253"/>
      <c r="BU5253"/>
      <c r="BV5253"/>
    </row>
    <row r="5254" spans="8:74" x14ac:dyDescent="0.2">
      <c r="H5254"/>
      <c r="L5254"/>
      <c r="AK5254"/>
      <c r="BU5254"/>
      <c r="BV5254"/>
    </row>
    <row r="5255" spans="8:74" x14ac:dyDescent="0.2">
      <c r="H5255"/>
      <c r="L5255"/>
      <c r="AK5255"/>
      <c r="BU5255"/>
      <c r="BV5255"/>
    </row>
    <row r="5256" spans="8:74" x14ac:dyDescent="0.2">
      <c r="H5256"/>
      <c r="L5256"/>
      <c r="AK5256"/>
      <c r="BU5256"/>
      <c r="BV5256"/>
    </row>
    <row r="5257" spans="8:74" x14ac:dyDescent="0.2">
      <c r="H5257"/>
      <c r="L5257"/>
      <c r="AK5257"/>
      <c r="BU5257"/>
      <c r="BV5257"/>
    </row>
    <row r="5258" spans="8:74" x14ac:dyDescent="0.2">
      <c r="H5258"/>
      <c r="L5258"/>
      <c r="AK5258"/>
      <c r="BU5258"/>
      <c r="BV5258"/>
    </row>
    <row r="5259" spans="8:74" x14ac:dyDescent="0.2">
      <c r="H5259"/>
      <c r="L5259"/>
      <c r="AK5259"/>
      <c r="BU5259"/>
      <c r="BV5259"/>
    </row>
    <row r="5260" spans="8:74" x14ac:dyDescent="0.2">
      <c r="H5260"/>
      <c r="L5260"/>
      <c r="AK5260"/>
      <c r="BU5260"/>
      <c r="BV5260"/>
    </row>
    <row r="5261" spans="8:74" x14ac:dyDescent="0.2">
      <c r="H5261"/>
      <c r="L5261"/>
      <c r="AK5261"/>
      <c r="BU5261"/>
      <c r="BV5261"/>
    </row>
    <row r="5262" spans="8:74" x14ac:dyDescent="0.2">
      <c r="H5262"/>
      <c r="L5262"/>
      <c r="AK5262"/>
      <c r="BU5262"/>
      <c r="BV5262"/>
    </row>
    <row r="5263" spans="8:74" x14ac:dyDescent="0.2">
      <c r="H5263"/>
      <c r="L5263"/>
      <c r="AK5263"/>
      <c r="BU5263"/>
      <c r="BV5263"/>
    </row>
    <row r="5264" spans="8:74" x14ac:dyDescent="0.2">
      <c r="H5264"/>
      <c r="L5264"/>
      <c r="AK5264"/>
      <c r="BU5264"/>
      <c r="BV5264"/>
    </row>
    <row r="5265" spans="8:74" x14ac:dyDescent="0.2">
      <c r="H5265"/>
      <c r="L5265"/>
      <c r="AK5265"/>
      <c r="BU5265"/>
      <c r="BV5265"/>
    </row>
    <row r="5266" spans="8:74" x14ac:dyDescent="0.2">
      <c r="H5266"/>
      <c r="L5266"/>
      <c r="AK5266"/>
      <c r="BU5266"/>
      <c r="BV5266"/>
    </row>
    <row r="5267" spans="8:74" x14ac:dyDescent="0.2">
      <c r="H5267"/>
      <c r="L5267"/>
      <c r="AK5267"/>
      <c r="BU5267"/>
      <c r="BV5267"/>
    </row>
    <row r="5268" spans="8:74" x14ac:dyDescent="0.2">
      <c r="H5268"/>
      <c r="L5268"/>
      <c r="AK5268"/>
      <c r="BU5268"/>
      <c r="BV5268"/>
    </row>
    <row r="5269" spans="8:74" x14ac:dyDescent="0.2">
      <c r="H5269"/>
      <c r="L5269"/>
      <c r="AK5269"/>
      <c r="BU5269"/>
      <c r="BV5269"/>
    </row>
    <row r="5270" spans="8:74" x14ac:dyDescent="0.2">
      <c r="H5270"/>
      <c r="L5270"/>
      <c r="AK5270"/>
      <c r="BU5270"/>
      <c r="BV5270"/>
    </row>
    <row r="5271" spans="8:74" x14ac:dyDescent="0.2">
      <c r="H5271"/>
      <c r="L5271"/>
      <c r="AK5271"/>
      <c r="BU5271"/>
      <c r="BV5271"/>
    </row>
    <row r="5272" spans="8:74" x14ac:dyDescent="0.2">
      <c r="H5272"/>
      <c r="L5272"/>
      <c r="BU5272"/>
      <c r="BV5272"/>
    </row>
    <row r="5273" spans="8:74" x14ac:dyDescent="0.2">
      <c r="H5273"/>
      <c r="L5273"/>
      <c r="BU5273"/>
      <c r="BV5273"/>
    </row>
    <row r="5274" spans="8:74" x14ac:dyDescent="0.2">
      <c r="H5274"/>
      <c r="L5274"/>
      <c r="BU5274"/>
      <c r="BV5274"/>
    </row>
    <row r="5275" spans="8:74" x14ac:dyDescent="0.2">
      <c r="H5275"/>
      <c r="L5275"/>
      <c r="BU5275"/>
      <c r="BV5275"/>
    </row>
    <row r="5276" spans="8:74" x14ac:dyDescent="0.2">
      <c r="H5276"/>
      <c r="L5276"/>
      <c r="AK5276"/>
      <c r="BU5276"/>
      <c r="BV5276"/>
    </row>
    <row r="5277" spans="8:74" x14ac:dyDescent="0.2">
      <c r="H5277"/>
      <c r="L5277"/>
      <c r="AK5277"/>
      <c r="BU5277"/>
      <c r="BV5277"/>
    </row>
    <row r="5278" spans="8:74" x14ac:dyDescent="0.2">
      <c r="H5278"/>
      <c r="L5278"/>
      <c r="AK5278"/>
      <c r="BU5278"/>
      <c r="BV5278"/>
    </row>
    <row r="5279" spans="8:74" x14ac:dyDescent="0.2">
      <c r="H5279"/>
      <c r="L5279"/>
      <c r="AK5279"/>
      <c r="BU5279"/>
      <c r="BV5279"/>
    </row>
    <row r="5280" spans="8:74" x14ac:dyDescent="0.2">
      <c r="H5280"/>
      <c r="L5280"/>
      <c r="BU5280"/>
      <c r="BV5280"/>
    </row>
    <row r="5281" spans="8:74" x14ac:dyDescent="0.2">
      <c r="H5281"/>
      <c r="L5281"/>
      <c r="BU5281"/>
      <c r="BV5281"/>
    </row>
    <row r="5282" spans="8:74" x14ac:dyDescent="0.2">
      <c r="H5282"/>
      <c r="L5282"/>
      <c r="AK5282"/>
      <c r="BU5282"/>
      <c r="BV5282"/>
    </row>
    <row r="5283" spans="8:74" x14ac:dyDescent="0.2">
      <c r="H5283"/>
      <c r="L5283"/>
      <c r="AK5283"/>
      <c r="BU5283"/>
      <c r="BV5283"/>
    </row>
    <row r="5284" spans="8:74" x14ac:dyDescent="0.2">
      <c r="H5284"/>
      <c r="L5284"/>
      <c r="AK5284"/>
      <c r="BU5284"/>
      <c r="BV5284"/>
    </row>
    <row r="5285" spans="8:74" x14ac:dyDescent="0.2">
      <c r="H5285"/>
      <c r="L5285"/>
      <c r="AK5285"/>
      <c r="BU5285"/>
      <c r="BV5285"/>
    </row>
    <row r="5286" spans="8:74" x14ac:dyDescent="0.2">
      <c r="H5286"/>
      <c r="L5286"/>
      <c r="AK5286"/>
      <c r="BU5286"/>
      <c r="BV5286"/>
    </row>
    <row r="5287" spans="8:74" x14ac:dyDescent="0.2">
      <c r="H5287"/>
      <c r="L5287"/>
      <c r="AK5287"/>
      <c r="BU5287"/>
      <c r="BV5287"/>
    </row>
    <row r="5288" spans="8:74" x14ac:dyDescent="0.2">
      <c r="H5288"/>
      <c r="L5288"/>
      <c r="AK5288"/>
      <c r="BU5288"/>
      <c r="BV5288"/>
    </row>
    <row r="5289" spans="8:74" x14ac:dyDescent="0.2">
      <c r="H5289"/>
      <c r="L5289"/>
      <c r="AK5289"/>
      <c r="BU5289"/>
      <c r="BV5289"/>
    </row>
    <row r="5290" spans="8:74" x14ac:dyDescent="0.2">
      <c r="H5290"/>
      <c r="L5290"/>
      <c r="AK5290"/>
      <c r="BU5290"/>
      <c r="BV5290"/>
    </row>
    <row r="5291" spans="8:74" x14ac:dyDescent="0.2">
      <c r="H5291"/>
      <c r="L5291"/>
      <c r="AK5291"/>
      <c r="BU5291"/>
      <c r="BV5291"/>
    </row>
    <row r="5292" spans="8:74" x14ac:dyDescent="0.2">
      <c r="H5292"/>
      <c r="L5292"/>
      <c r="AK5292"/>
      <c r="BU5292"/>
      <c r="BV5292"/>
    </row>
    <row r="5293" spans="8:74" x14ac:dyDescent="0.2">
      <c r="H5293"/>
      <c r="L5293"/>
      <c r="AK5293"/>
      <c r="BU5293"/>
      <c r="BV5293"/>
    </row>
    <row r="5294" spans="8:74" x14ac:dyDescent="0.2">
      <c r="H5294"/>
      <c r="L5294"/>
      <c r="AK5294"/>
      <c r="BU5294"/>
      <c r="BV5294"/>
    </row>
    <row r="5295" spans="8:74" x14ac:dyDescent="0.2">
      <c r="H5295"/>
      <c r="L5295"/>
      <c r="AK5295"/>
      <c r="BU5295"/>
      <c r="BV5295"/>
    </row>
    <row r="5296" spans="8:74" x14ac:dyDescent="0.2">
      <c r="H5296"/>
      <c r="L5296"/>
      <c r="AK5296"/>
      <c r="BU5296"/>
      <c r="BV5296"/>
    </row>
    <row r="5297" spans="8:74" x14ac:dyDescent="0.2">
      <c r="H5297"/>
      <c r="L5297"/>
      <c r="BU5297"/>
      <c r="BV5297"/>
    </row>
    <row r="5298" spans="8:74" x14ac:dyDescent="0.2">
      <c r="H5298"/>
      <c r="L5298"/>
      <c r="BU5298"/>
      <c r="BV5298"/>
    </row>
    <row r="5299" spans="8:74" x14ac:dyDescent="0.2">
      <c r="H5299"/>
      <c r="L5299"/>
      <c r="AK5299"/>
      <c r="BU5299"/>
      <c r="BV5299"/>
    </row>
    <row r="5300" spans="8:74" x14ac:dyDescent="0.2">
      <c r="H5300"/>
      <c r="L5300"/>
      <c r="AK5300"/>
      <c r="BU5300"/>
      <c r="BV5300"/>
    </row>
    <row r="5301" spans="8:74" x14ac:dyDescent="0.2">
      <c r="H5301"/>
      <c r="L5301"/>
      <c r="AK5301"/>
      <c r="BU5301"/>
      <c r="BV5301"/>
    </row>
    <row r="5302" spans="8:74" x14ac:dyDescent="0.2">
      <c r="H5302"/>
      <c r="L5302"/>
      <c r="AK5302"/>
      <c r="BU5302"/>
      <c r="BV5302"/>
    </row>
    <row r="5303" spans="8:74" x14ac:dyDescent="0.2">
      <c r="H5303"/>
      <c r="L5303"/>
      <c r="AK5303"/>
      <c r="BU5303"/>
      <c r="BV5303"/>
    </row>
    <row r="5304" spans="8:74" x14ac:dyDescent="0.2">
      <c r="H5304"/>
      <c r="L5304"/>
      <c r="AK5304"/>
      <c r="BU5304"/>
      <c r="BV5304"/>
    </row>
    <row r="5305" spans="8:74" x14ac:dyDescent="0.2">
      <c r="H5305"/>
      <c r="L5305"/>
      <c r="AK5305"/>
      <c r="BU5305"/>
      <c r="BV5305"/>
    </row>
    <row r="5306" spans="8:74" x14ac:dyDescent="0.2">
      <c r="H5306"/>
      <c r="L5306"/>
      <c r="AK5306"/>
      <c r="BU5306"/>
      <c r="BV5306"/>
    </row>
    <row r="5307" spans="8:74" x14ac:dyDescent="0.2">
      <c r="H5307"/>
      <c r="L5307"/>
      <c r="AK5307"/>
      <c r="BU5307"/>
      <c r="BV5307"/>
    </row>
    <row r="5308" spans="8:74" x14ac:dyDescent="0.2">
      <c r="H5308"/>
      <c r="L5308"/>
      <c r="AK5308"/>
      <c r="BU5308"/>
      <c r="BV5308"/>
    </row>
    <row r="5309" spans="8:74" x14ac:dyDescent="0.2">
      <c r="H5309"/>
      <c r="L5309"/>
      <c r="BU5309"/>
      <c r="BV5309"/>
    </row>
    <row r="5310" spans="8:74" x14ac:dyDescent="0.2">
      <c r="H5310"/>
      <c r="L5310"/>
      <c r="AK5310"/>
      <c r="BU5310"/>
      <c r="BV5310"/>
    </row>
    <row r="5311" spans="8:74" x14ac:dyDescent="0.2">
      <c r="H5311"/>
      <c r="L5311"/>
      <c r="AK5311"/>
      <c r="BU5311"/>
      <c r="BV5311"/>
    </row>
    <row r="5312" spans="8:74" x14ac:dyDescent="0.2">
      <c r="H5312"/>
      <c r="L5312"/>
      <c r="AK5312"/>
      <c r="BU5312"/>
      <c r="BV5312"/>
    </row>
    <row r="5313" spans="8:74" x14ac:dyDescent="0.2">
      <c r="H5313"/>
      <c r="L5313"/>
      <c r="AK5313"/>
      <c r="BU5313"/>
      <c r="BV5313"/>
    </row>
    <row r="5314" spans="8:74" x14ac:dyDescent="0.2">
      <c r="H5314"/>
      <c r="L5314"/>
      <c r="AK5314"/>
      <c r="BU5314"/>
      <c r="BV5314"/>
    </row>
    <row r="5315" spans="8:74" x14ac:dyDescent="0.2">
      <c r="AK5315"/>
    </row>
    <row r="5316" spans="8:74" x14ac:dyDescent="0.2">
      <c r="H5316"/>
      <c r="L5316"/>
      <c r="AK5316"/>
      <c r="BU5316"/>
      <c r="BV5316"/>
    </row>
    <row r="5317" spans="8:74" x14ac:dyDescent="0.2">
      <c r="H5317"/>
      <c r="L5317"/>
      <c r="AK5317"/>
      <c r="BU5317"/>
      <c r="BV5317"/>
    </row>
    <row r="5318" spans="8:74" x14ac:dyDescent="0.2">
      <c r="H5318"/>
      <c r="L5318"/>
      <c r="AK5318"/>
      <c r="BU5318"/>
      <c r="BV5318"/>
    </row>
    <row r="5319" spans="8:74" x14ac:dyDescent="0.2">
      <c r="H5319"/>
      <c r="L5319"/>
      <c r="AK5319"/>
      <c r="BU5319"/>
      <c r="BV5319"/>
    </row>
    <row r="5320" spans="8:74" x14ac:dyDescent="0.2">
      <c r="H5320"/>
      <c r="L5320"/>
      <c r="AK5320"/>
      <c r="BU5320"/>
      <c r="BV5320"/>
    </row>
    <row r="5321" spans="8:74" x14ac:dyDescent="0.2">
      <c r="H5321"/>
      <c r="L5321"/>
      <c r="AK5321"/>
      <c r="BU5321"/>
      <c r="BV5321"/>
    </row>
    <row r="5322" spans="8:74" x14ac:dyDescent="0.2">
      <c r="H5322"/>
      <c r="L5322"/>
      <c r="AK5322"/>
      <c r="BU5322"/>
      <c r="BV5322"/>
    </row>
    <row r="5323" spans="8:74" x14ac:dyDescent="0.2">
      <c r="H5323"/>
      <c r="L5323"/>
      <c r="AK5323"/>
      <c r="BU5323"/>
      <c r="BV5323"/>
    </row>
    <row r="5324" spans="8:74" x14ac:dyDescent="0.2">
      <c r="H5324"/>
      <c r="L5324"/>
      <c r="AK5324"/>
      <c r="BU5324"/>
      <c r="BV5324"/>
    </row>
    <row r="5325" spans="8:74" x14ac:dyDescent="0.2">
      <c r="H5325"/>
      <c r="L5325"/>
      <c r="BU5325"/>
      <c r="BV5325"/>
    </row>
    <row r="5326" spans="8:74" x14ac:dyDescent="0.2">
      <c r="H5326"/>
      <c r="L5326"/>
      <c r="AK5326"/>
      <c r="BU5326"/>
      <c r="BV5326"/>
    </row>
    <row r="5327" spans="8:74" x14ac:dyDescent="0.2">
      <c r="H5327"/>
      <c r="L5327"/>
      <c r="AK5327"/>
      <c r="BU5327"/>
      <c r="BV5327"/>
    </row>
    <row r="5328" spans="8:74" x14ac:dyDescent="0.2">
      <c r="H5328"/>
      <c r="L5328"/>
      <c r="AK5328"/>
      <c r="BU5328"/>
      <c r="BV5328"/>
    </row>
    <row r="5329" spans="8:74" x14ac:dyDescent="0.2">
      <c r="H5329"/>
      <c r="L5329"/>
      <c r="AK5329"/>
      <c r="BU5329"/>
      <c r="BV5329"/>
    </row>
    <row r="5330" spans="8:74" x14ac:dyDescent="0.2">
      <c r="H5330"/>
      <c r="L5330"/>
      <c r="AK5330"/>
      <c r="BU5330"/>
      <c r="BV5330"/>
    </row>
    <row r="5331" spans="8:74" x14ac:dyDescent="0.2">
      <c r="H5331"/>
      <c r="L5331"/>
      <c r="AK5331"/>
      <c r="BU5331"/>
      <c r="BV5331"/>
    </row>
    <row r="5332" spans="8:74" x14ac:dyDescent="0.2">
      <c r="H5332"/>
      <c r="L5332"/>
      <c r="AK5332"/>
      <c r="BU5332"/>
      <c r="BV5332"/>
    </row>
    <row r="5333" spans="8:74" x14ac:dyDescent="0.2">
      <c r="H5333"/>
      <c r="L5333"/>
      <c r="AK5333"/>
      <c r="BU5333"/>
      <c r="BV5333"/>
    </row>
    <row r="5334" spans="8:74" x14ac:dyDescent="0.2">
      <c r="H5334"/>
      <c r="L5334"/>
      <c r="AK5334"/>
      <c r="BU5334"/>
      <c r="BV5334"/>
    </row>
    <row r="5335" spans="8:74" x14ac:dyDescent="0.2">
      <c r="H5335"/>
      <c r="L5335"/>
      <c r="AK5335"/>
      <c r="BU5335"/>
      <c r="BV5335"/>
    </row>
    <row r="5336" spans="8:74" x14ac:dyDescent="0.2">
      <c r="H5336"/>
      <c r="L5336"/>
      <c r="AK5336"/>
      <c r="BU5336"/>
      <c r="BV5336"/>
    </row>
    <row r="5337" spans="8:74" x14ac:dyDescent="0.2">
      <c r="H5337"/>
      <c r="L5337"/>
      <c r="AK5337"/>
      <c r="BU5337"/>
      <c r="BV5337"/>
    </row>
    <row r="5338" spans="8:74" x14ac:dyDescent="0.2">
      <c r="H5338"/>
      <c r="L5338"/>
      <c r="BU5338"/>
      <c r="BV5338"/>
    </row>
    <row r="5339" spans="8:74" x14ac:dyDescent="0.2">
      <c r="H5339"/>
      <c r="L5339"/>
      <c r="BU5339"/>
      <c r="BV5339"/>
    </row>
    <row r="5340" spans="8:74" x14ac:dyDescent="0.2">
      <c r="H5340"/>
      <c r="L5340"/>
      <c r="AK5340"/>
      <c r="BU5340"/>
      <c r="BV5340"/>
    </row>
    <row r="5341" spans="8:74" x14ac:dyDescent="0.2">
      <c r="H5341"/>
      <c r="L5341"/>
      <c r="AK5341"/>
      <c r="BU5341"/>
      <c r="BV5341"/>
    </row>
    <row r="5342" spans="8:74" x14ac:dyDescent="0.2">
      <c r="H5342"/>
      <c r="L5342"/>
      <c r="AK5342"/>
      <c r="BU5342"/>
      <c r="BV5342"/>
    </row>
    <row r="5343" spans="8:74" x14ac:dyDescent="0.2">
      <c r="H5343"/>
      <c r="L5343"/>
      <c r="BU5343"/>
      <c r="BV5343"/>
    </row>
    <row r="5344" spans="8:74" x14ac:dyDescent="0.2">
      <c r="H5344"/>
      <c r="L5344"/>
      <c r="BU5344"/>
      <c r="BV5344"/>
    </row>
    <row r="5345" spans="8:74" x14ac:dyDescent="0.2">
      <c r="H5345"/>
      <c r="L5345"/>
      <c r="AK5345"/>
      <c r="BU5345"/>
      <c r="BV5345"/>
    </row>
    <row r="5346" spans="8:74" x14ac:dyDescent="0.2">
      <c r="H5346"/>
      <c r="L5346"/>
      <c r="AK5346"/>
      <c r="BU5346"/>
      <c r="BV5346"/>
    </row>
    <row r="5347" spans="8:74" x14ac:dyDescent="0.2">
      <c r="H5347"/>
      <c r="L5347"/>
      <c r="AK5347"/>
      <c r="BU5347"/>
      <c r="BV5347"/>
    </row>
    <row r="5348" spans="8:74" x14ac:dyDescent="0.2">
      <c r="H5348"/>
      <c r="L5348"/>
      <c r="AK5348"/>
      <c r="BU5348"/>
      <c r="BV5348"/>
    </row>
    <row r="5349" spans="8:74" x14ac:dyDescent="0.2">
      <c r="H5349"/>
      <c r="L5349"/>
      <c r="AK5349"/>
      <c r="BU5349"/>
      <c r="BV5349"/>
    </row>
    <row r="5350" spans="8:74" x14ac:dyDescent="0.2">
      <c r="H5350"/>
      <c r="L5350"/>
      <c r="AK5350"/>
      <c r="BU5350"/>
      <c r="BV5350"/>
    </row>
    <row r="5351" spans="8:74" x14ac:dyDescent="0.2">
      <c r="H5351"/>
      <c r="L5351"/>
      <c r="AK5351"/>
      <c r="BU5351"/>
      <c r="BV5351"/>
    </row>
    <row r="5352" spans="8:74" x14ac:dyDescent="0.2">
      <c r="H5352"/>
      <c r="L5352"/>
      <c r="AK5352"/>
      <c r="BU5352"/>
      <c r="BV5352"/>
    </row>
    <row r="5353" spans="8:74" x14ac:dyDescent="0.2">
      <c r="H5353"/>
      <c r="L5353"/>
      <c r="BU5353"/>
      <c r="BV5353"/>
    </row>
    <row r="5354" spans="8:74" x14ac:dyDescent="0.2">
      <c r="H5354"/>
      <c r="L5354"/>
      <c r="BU5354"/>
      <c r="BV5354"/>
    </row>
    <row r="5355" spans="8:74" x14ac:dyDescent="0.2">
      <c r="H5355"/>
      <c r="L5355"/>
      <c r="BU5355"/>
      <c r="BV5355"/>
    </row>
    <row r="5356" spans="8:74" x14ac:dyDescent="0.2">
      <c r="H5356"/>
      <c r="L5356"/>
      <c r="BU5356"/>
      <c r="BV5356"/>
    </row>
    <row r="5357" spans="8:74" x14ac:dyDescent="0.2">
      <c r="H5357"/>
      <c r="L5357"/>
      <c r="BU5357"/>
      <c r="BV5357"/>
    </row>
    <row r="5358" spans="8:74" x14ac:dyDescent="0.2">
      <c r="H5358"/>
      <c r="L5358"/>
      <c r="BU5358"/>
      <c r="BV5358"/>
    </row>
    <row r="5359" spans="8:74" x14ac:dyDescent="0.2">
      <c r="H5359"/>
      <c r="L5359"/>
      <c r="AK5359"/>
      <c r="BU5359"/>
      <c r="BV5359"/>
    </row>
    <row r="5360" spans="8:74" x14ac:dyDescent="0.2">
      <c r="H5360"/>
      <c r="L5360"/>
      <c r="BU5360"/>
      <c r="BV5360"/>
    </row>
    <row r="5361" spans="8:74" x14ac:dyDescent="0.2">
      <c r="H5361"/>
      <c r="L5361"/>
      <c r="AK5361"/>
      <c r="BU5361"/>
      <c r="BV5361"/>
    </row>
    <row r="5362" spans="8:74" x14ac:dyDescent="0.2">
      <c r="H5362"/>
      <c r="L5362"/>
      <c r="AK5362"/>
      <c r="BU5362"/>
      <c r="BV5362"/>
    </row>
    <row r="5363" spans="8:74" x14ac:dyDescent="0.2">
      <c r="H5363"/>
      <c r="L5363"/>
      <c r="BU5363"/>
      <c r="BV5363"/>
    </row>
    <row r="5364" spans="8:74" x14ac:dyDescent="0.2">
      <c r="H5364"/>
      <c r="L5364"/>
      <c r="AK5364"/>
      <c r="BU5364"/>
      <c r="BV5364"/>
    </row>
    <row r="5365" spans="8:74" x14ac:dyDescent="0.2">
      <c r="H5365"/>
      <c r="L5365"/>
      <c r="BU5365"/>
      <c r="BV5365"/>
    </row>
    <row r="5366" spans="8:74" x14ac:dyDescent="0.2">
      <c r="H5366"/>
      <c r="L5366"/>
      <c r="AK5366"/>
      <c r="BU5366"/>
      <c r="BV5366"/>
    </row>
    <row r="5367" spans="8:74" x14ac:dyDescent="0.2">
      <c r="H5367"/>
      <c r="L5367"/>
      <c r="AK5367"/>
      <c r="BU5367"/>
      <c r="BV5367"/>
    </row>
    <row r="5368" spans="8:74" x14ac:dyDescent="0.2">
      <c r="H5368"/>
      <c r="L5368"/>
      <c r="AK5368"/>
      <c r="BU5368"/>
      <c r="BV5368"/>
    </row>
    <row r="5369" spans="8:74" x14ac:dyDescent="0.2">
      <c r="H5369"/>
      <c r="L5369"/>
      <c r="AK5369"/>
      <c r="BU5369"/>
      <c r="BV5369"/>
    </row>
    <row r="5370" spans="8:74" x14ac:dyDescent="0.2">
      <c r="H5370"/>
      <c r="L5370"/>
      <c r="AK5370"/>
      <c r="BU5370"/>
      <c r="BV5370"/>
    </row>
    <row r="5371" spans="8:74" x14ac:dyDescent="0.2">
      <c r="H5371"/>
      <c r="L5371"/>
      <c r="AK5371"/>
      <c r="BU5371"/>
      <c r="BV5371"/>
    </row>
    <row r="5372" spans="8:74" x14ac:dyDescent="0.2">
      <c r="H5372"/>
      <c r="L5372"/>
      <c r="AK5372"/>
      <c r="BU5372"/>
      <c r="BV5372"/>
    </row>
    <row r="5373" spans="8:74" x14ac:dyDescent="0.2">
      <c r="H5373"/>
      <c r="L5373"/>
      <c r="AK5373"/>
      <c r="BU5373"/>
      <c r="BV5373"/>
    </row>
    <row r="5374" spans="8:74" x14ac:dyDescent="0.2">
      <c r="H5374"/>
      <c r="L5374"/>
      <c r="AK5374"/>
      <c r="BU5374"/>
      <c r="BV5374"/>
    </row>
    <row r="5375" spans="8:74" x14ac:dyDescent="0.2">
      <c r="H5375"/>
      <c r="L5375"/>
      <c r="AK5375"/>
      <c r="BU5375"/>
      <c r="BV5375"/>
    </row>
    <row r="5376" spans="8:74" x14ac:dyDescent="0.2">
      <c r="H5376"/>
      <c r="L5376"/>
      <c r="AK5376"/>
      <c r="BU5376"/>
      <c r="BV5376"/>
    </row>
    <row r="5377" spans="8:74" x14ac:dyDescent="0.2">
      <c r="H5377"/>
      <c r="L5377"/>
      <c r="BU5377"/>
      <c r="BV5377"/>
    </row>
    <row r="5378" spans="8:74" x14ac:dyDescent="0.2">
      <c r="H5378"/>
      <c r="L5378"/>
      <c r="AK5378"/>
      <c r="BU5378"/>
      <c r="BV5378"/>
    </row>
    <row r="5379" spans="8:74" x14ac:dyDescent="0.2">
      <c r="H5379"/>
      <c r="L5379"/>
      <c r="AK5379"/>
      <c r="BU5379"/>
      <c r="BV5379"/>
    </row>
    <row r="5380" spans="8:74" x14ac:dyDescent="0.2">
      <c r="H5380"/>
      <c r="L5380"/>
      <c r="AK5380"/>
      <c r="BU5380"/>
      <c r="BV5380"/>
    </row>
    <row r="5381" spans="8:74" x14ac:dyDescent="0.2">
      <c r="H5381"/>
      <c r="L5381"/>
      <c r="AK5381"/>
      <c r="BU5381"/>
      <c r="BV5381"/>
    </row>
    <row r="5382" spans="8:74" x14ac:dyDescent="0.2">
      <c r="H5382"/>
      <c r="L5382"/>
      <c r="BU5382"/>
      <c r="BV5382"/>
    </row>
    <row r="5383" spans="8:74" x14ac:dyDescent="0.2">
      <c r="H5383"/>
      <c r="L5383"/>
      <c r="BU5383"/>
      <c r="BV5383"/>
    </row>
    <row r="5384" spans="8:74" x14ac:dyDescent="0.2">
      <c r="H5384"/>
      <c r="L5384"/>
      <c r="AK5384"/>
      <c r="BU5384"/>
      <c r="BV5384"/>
    </row>
    <row r="5385" spans="8:74" x14ac:dyDescent="0.2">
      <c r="H5385"/>
      <c r="L5385"/>
      <c r="AK5385"/>
      <c r="BU5385"/>
      <c r="BV5385"/>
    </row>
    <row r="5386" spans="8:74" x14ac:dyDescent="0.2">
      <c r="H5386"/>
      <c r="L5386"/>
      <c r="AK5386"/>
      <c r="BU5386"/>
      <c r="BV5386"/>
    </row>
    <row r="5387" spans="8:74" x14ac:dyDescent="0.2">
      <c r="H5387"/>
      <c r="L5387"/>
      <c r="BU5387"/>
      <c r="BV5387"/>
    </row>
    <row r="5388" spans="8:74" x14ac:dyDescent="0.2">
      <c r="H5388"/>
      <c r="L5388"/>
      <c r="BU5388"/>
      <c r="BV5388"/>
    </row>
    <row r="5389" spans="8:74" x14ac:dyDescent="0.2">
      <c r="H5389"/>
      <c r="L5389"/>
      <c r="BU5389"/>
      <c r="BV5389"/>
    </row>
    <row r="5390" spans="8:74" x14ac:dyDescent="0.2">
      <c r="H5390"/>
      <c r="L5390"/>
      <c r="BU5390"/>
      <c r="BV5390"/>
    </row>
    <row r="5391" spans="8:74" x14ac:dyDescent="0.2">
      <c r="H5391"/>
      <c r="L5391"/>
      <c r="BU5391"/>
      <c r="BV5391"/>
    </row>
    <row r="5392" spans="8:74" x14ac:dyDescent="0.2">
      <c r="H5392"/>
      <c r="L5392"/>
      <c r="AK5392"/>
      <c r="BU5392"/>
      <c r="BV5392"/>
    </row>
    <row r="5393" spans="8:74" x14ac:dyDescent="0.2">
      <c r="H5393"/>
      <c r="L5393"/>
      <c r="AK5393"/>
      <c r="BU5393"/>
      <c r="BV5393"/>
    </row>
    <row r="5394" spans="8:74" x14ac:dyDescent="0.2">
      <c r="H5394"/>
      <c r="L5394"/>
      <c r="BU5394"/>
      <c r="BV5394"/>
    </row>
    <row r="5395" spans="8:74" x14ac:dyDescent="0.2">
      <c r="H5395"/>
      <c r="L5395"/>
      <c r="BU5395"/>
      <c r="BV5395"/>
    </row>
    <row r="5396" spans="8:74" x14ac:dyDescent="0.2">
      <c r="H5396"/>
      <c r="L5396"/>
      <c r="AK5396"/>
      <c r="BU5396"/>
      <c r="BV5396"/>
    </row>
    <row r="5397" spans="8:74" x14ac:dyDescent="0.2">
      <c r="H5397"/>
      <c r="L5397"/>
      <c r="AK5397"/>
      <c r="BU5397"/>
      <c r="BV5397"/>
    </row>
    <row r="5398" spans="8:74" x14ac:dyDescent="0.2">
      <c r="H5398"/>
      <c r="L5398"/>
      <c r="BU5398"/>
      <c r="BV5398"/>
    </row>
    <row r="5399" spans="8:74" x14ac:dyDescent="0.2">
      <c r="H5399"/>
      <c r="L5399"/>
      <c r="BU5399"/>
      <c r="BV5399"/>
    </row>
    <row r="5400" spans="8:74" x14ac:dyDescent="0.2">
      <c r="H5400"/>
      <c r="L5400"/>
      <c r="BU5400"/>
      <c r="BV5400"/>
    </row>
    <row r="5402" spans="8:74" x14ac:dyDescent="0.2">
      <c r="H5402"/>
      <c r="L5402"/>
      <c r="BU5402"/>
      <c r="BV5402"/>
    </row>
    <row r="5403" spans="8:74" x14ac:dyDescent="0.2">
      <c r="H5403"/>
      <c r="L5403"/>
      <c r="BU5403"/>
      <c r="BV5403"/>
    </row>
    <row r="5404" spans="8:74" x14ac:dyDescent="0.2">
      <c r="H5404"/>
      <c r="L5404"/>
      <c r="AK5404"/>
      <c r="BU5404"/>
      <c r="BV5404"/>
    </row>
    <row r="5405" spans="8:74" x14ac:dyDescent="0.2">
      <c r="AK5405"/>
    </row>
    <row r="5406" spans="8:74" x14ac:dyDescent="0.2">
      <c r="H5406"/>
      <c r="L5406"/>
      <c r="AK5406"/>
      <c r="BU5406"/>
      <c r="BV5406"/>
    </row>
    <row r="5407" spans="8:74" x14ac:dyDescent="0.2">
      <c r="H5407"/>
      <c r="L5407"/>
      <c r="AK5407"/>
      <c r="BU5407"/>
      <c r="BV5407"/>
    </row>
    <row r="5408" spans="8:74" x14ac:dyDescent="0.2">
      <c r="H5408"/>
      <c r="L5408"/>
      <c r="AK5408"/>
      <c r="BU5408"/>
      <c r="BV5408"/>
    </row>
    <row r="5409" spans="8:74" x14ac:dyDescent="0.2">
      <c r="H5409"/>
      <c r="L5409"/>
      <c r="AK5409"/>
      <c r="BU5409"/>
      <c r="BV5409"/>
    </row>
    <row r="5410" spans="8:74" x14ac:dyDescent="0.2">
      <c r="H5410"/>
      <c r="L5410"/>
      <c r="AK5410"/>
      <c r="BU5410"/>
      <c r="BV5410"/>
    </row>
    <row r="5411" spans="8:74" x14ac:dyDescent="0.2">
      <c r="H5411"/>
      <c r="L5411"/>
      <c r="BU5411"/>
      <c r="BV5411"/>
    </row>
    <row r="5412" spans="8:74" x14ac:dyDescent="0.2">
      <c r="H5412"/>
      <c r="L5412"/>
      <c r="BU5412"/>
      <c r="BV5412"/>
    </row>
    <row r="5413" spans="8:74" x14ac:dyDescent="0.2">
      <c r="H5413"/>
      <c r="L5413"/>
      <c r="BU5413"/>
      <c r="BV5413"/>
    </row>
    <row r="5414" spans="8:74" x14ac:dyDescent="0.2">
      <c r="H5414"/>
      <c r="L5414"/>
      <c r="BU5414"/>
      <c r="BV5414"/>
    </row>
    <row r="5415" spans="8:74" x14ac:dyDescent="0.2">
      <c r="H5415"/>
      <c r="L5415"/>
      <c r="AK5415"/>
      <c r="BU5415"/>
      <c r="BV5415"/>
    </row>
    <row r="5416" spans="8:74" x14ac:dyDescent="0.2">
      <c r="H5416"/>
      <c r="L5416"/>
      <c r="AK5416"/>
      <c r="BU5416"/>
      <c r="BV5416"/>
    </row>
    <row r="5417" spans="8:74" x14ac:dyDescent="0.2">
      <c r="H5417"/>
      <c r="L5417"/>
      <c r="AK5417"/>
      <c r="BU5417"/>
      <c r="BV5417"/>
    </row>
    <row r="5418" spans="8:74" x14ac:dyDescent="0.2">
      <c r="H5418"/>
      <c r="L5418"/>
      <c r="AK5418"/>
      <c r="BU5418"/>
      <c r="BV5418"/>
    </row>
    <row r="5419" spans="8:74" x14ac:dyDescent="0.2">
      <c r="AK5419"/>
    </row>
    <row r="5420" spans="8:74" x14ac:dyDescent="0.2">
      <c r="H5420"/>
      <c r="L5420"/>
      <c r="AK5420"/>
      <c r="BU5420"/>
      <c r="BV5420"/>
    </row>
    <row r="5421" spans="8:74" x14ac:dyDescent="0.2">
      <c r="H5421"/>
      <c r="L5421"/>
      <c r="AK5421"/>
      <c r="BU5421"/>
      <c r="BV5421"/>
    </row>
    <row r="5422" spans="8:74" x14ac:dyDescent="0.2">
      <c r="H5422"/>
      <c r="L5422"/>
      <c r="BU5422"/>
      <c r="BV5422"/>
    </row>
    <row r="5423" spans="8:74" x14ac:dyDescent="0.2">
      <c r="H5423"/>
      <c r="L5423"/>
      <c r="BU5423"/>
      <c r="BV5423"/>
    </row>
    <row r="5424" spans="8:74" x14ac:dyDescent="0.2">
      <c r="H5424"/>
      <c r="L5424"/>
      <c r="BU5424"/>
      <c r="BV5424"/>
    </row>
    <row r="5425" spans="8:74" x14ac:dyDescent="0.2">
      <c r="H5425"/>
      <c r="L5425"/>
      <c r="BU5425"/>
      <c r="BV5425"/>
    </row>
    <row r="5426" spans="8:74" x14ac:dyDescent="0.2">
      <c r="H5426"/>
      <c r="L5426"/>
      <c r="BU5426"/>
      <c r="BV5426"/>
    </row>
    <row r="5427" spans="8:74" x14ac:dyDescent="0.2">
      <c r="H5427"/>
      <c r="L5427"/>
      <c r="AK5427"/>
      <c r="BU5427"/>
      <c r="BV5427"/>
    </row>
    <row r="5428" spans="8:74" x14ac:dyDescent="0.2">
      <c r="H5428"/>
      <c r="L5428"/>
      <c r="AK5428"/>
      <c r="BU5428"/>
      <c r="BV5428"/>
    </row>
    <row r="5429" spans="8:74" x14ac:dyDescent="0.2">
      <c r="H5429"/>
      <c r="L5429"/>
      <c r="AK5429"/>
      <c r="BU5429"/>
      <c r="BV5429"/>
    </row>
    <row r="5430" spans="8:74" x14ac:dyDescent="0.2">
      <c r="H5430"/>
      <c r="L5430"/>
      <c r="AK5430"/>
      <c r="BU5430"/>
      <c r="BV5430"/>
    </row>
    <row r="5431" spans="8:74" x14ac:dyDescent="0.2">
      <c r="H5431"/>
      <c r="L5431"/>
      <c r="AK5431"/>
      <c r="BU5431"/>
      <c r="BV5431"/>
    </row>
    <row r="5432" spans="8:74" x14ac:dyDescent="0.2">
      <c r="H5432"/>
      <c r="L5432"/>
      <c r="AK5432"/>
      <c r="BU5432"/>
      <c r="BV5432"/>
    </row>
    <row r="5433" spans="8:74" x14ac:dyDescent="0.2">
      <c r="H5433"/>
      <c r="L5433"/>
      <c r="AK5433"/>
      <c r="BU5433"/>
      <c r="BV5433"/>
    </row>
    <row r="5434" spans="8:74" x14ac:dyDescent="0.2">
      <c r="H5434"/>
      <c r="L5434"/>
      <c r="AK5434"/>
      <c r="BU5434"/>
      <c r="BV5434"/>
    </row>
    <row r="5435" spans="8:74" x14ac:dyDescent="0.2">
      <c r="AK5435"/>
    </row>
    <row r="5436" spans="8:74" x14ac:dyDescent="0.2">
      <c r="H5436"/>
      <c r="L5436"/>
      <c r="AK5436"/>
      <c r="BU5436"/>
      <c r="BV5436"/>
    </row>
    <row r="5437" spans="8:74" x14ac:dyDescent="0.2">
      <c r="H5437"/>
      <c r="L5437"/>
      <c r="AK5437"/>
      <c r="BU5437"/>
      <c r="BV5437"/>
    </row>
    <row r="5438" spans="8:74" x14ac:dyDescent="0.2">
      <c r="H5438"/>
      <c r="L5438"/>
      <c r="AK5438"/>
      <c r="BU5438"/>
      <c r="BV5438"/>
    </row>
    <row r="5439" spans="8:74" x14ac:dyDescent="0.2">
      <c r="AK5439"/>
    </row>
    <row r="5440" spans="8:74" x14ac:dyDescent="0.2">
      <c r="H5440"/>
      <c r="L5440"/>
      <c r="AK5440"/>
      <c r="BU5440"/>
      <c r="BV5440"/>
    </row>
    <row r="5441" spans="8:74" x14ac:dyDescent="0.2">
      <c r="H5441"/>
      <c r="L5441"/>
      <c r="BU5441"/>
      <c r="BV5441"/>
    </row>
    <row r="5442" spans="8:74" x14ac:dyDescent="0.2">
      <c r="H5442"/>
      <c r="L5442"/>
      <c r="BU5442"/>
      <c r="BV5442"/>
    </row>
    <row r="5443" spans="8:74" x14ac:dyDescent="0.2">
      <c r="H5443"/>
      <c r="L5443"/>
      <c r="AK5443"/>
      <c r="BU5443"/>
      <c r="BV5443"/>
    </row>
    <row r="5444" spans="8:74" x14ac:dyDescent="0.2">
      <c r="H5444"/>
      <c r="L5444"/>
      <c r="AK5444"/>
      <c r="BU5444"/>
      <c r="BV5444"/>
    </row>
    <row r="5445" spans="8:74" x14ac:dyDescent="0.2">
      <c r="H5445"/>
      <c r="L5445"/>
      <c r="AK5445"/>
      <c r="BU5445"/>
      <c r="BV5445"/>
    </row>
    <row r="5446" spans="8:74" x14ac:dyDescent="0.2">
      <c r="H5446"/>
      <c r="L5446"/>
      <c r="AK5446"/>
      <c r="BU5446"/>
      <c r="BV5446"/>
    </row>
    <row r="5447" spans="8:74" x14ac:dyDescent="0.2">
      <c r="H5447"/>
      <c r="L5447"/>
      <c r="AK5447"/>
      <c r="BU5447"/>
      <c r="BV5447"/>
    </row>
    <row r="5448" spans="8:74" x14ac:dyDescent="0.2">
      <c r="H5448"/>
      <c r="L5448"/>
      <c r="AK5448"/>
      <c r="BU5448"/>
      <c r="BV5448"/>
    </row>
    <row r="5449" spans="8:74" x14ac:dyDescent="0.2">
      <c r="H5449"/>
      <c r="L5449"/>
      <c r="AK5449"/>
      <c r="BU5449"/>
      <c r="BV5449"/>
    </row>
    <row r="5450" spans="8:74" x14ac:dyDescent="0.2">
      <c r="H5450"/>
      <c r="L5450"/>
      <c r="AK5450"/>
      <c r="BU5450"/>
      <c r="BV5450"/>
    </row>
    <row r="5451" spans="8:74" x14ac:dyDescent="0.2">
      <c r="H5451"/>
      <c r="L5451"/>
      <c r="AK5451"/>
      <c r="BU5451"/>
      <c r="BV5451"/>
    </row>
    <row r="5452" spans="8:74" x14ac:dyDescent="0.2">
      <c r="H5452"/>
      <c r="L5452"/>
      <c r="BU5452"/>
      <c r="BV5452"/>
    </row>
    <row r="5453" spans="8:74" x14ac:dyDescent="0.2">
      <c r="H5453"/>
      <c r="L5453"/>
      <c r="BU5453"/>
      <c r="BV5453"/>
    </row>
    <row r="5454" spans="8:74" x14ac:dyDescent="0.2">
      <c r="H5454"/>
      <c r="L5454"/>
      <c r="AK5454"/>
      <c r="BU5454"/>
      <c r="BV5454"/>
    </row>
    <row r="5455" spans="8:74" x14ac:dyDescent="0.2">
      <c r="H5455"/>
      <c r="L5455"/>
      <c r="BU5455"/>
      <c r="BV5455"/>
    </row>
    <row r="5456" spans="8:74" x14ac:dyDescent="0.2">
      <c r="H5456"/>
      <c r="L5456"/>
      <c r="AK5456"/>
      <c r="BU5456"/>
      <c r="BV5456"/>
    </row>
    <row r="5457" spans="8:74" x14ac:dyDescent="0.2">
      <c r="H5457"/>
      <c r="L5457"/>
      <c r="AK5457"/>
      <c r="BU5457"/>
      <c r="BV5457"/>
    </row>
    <row r="5458" spans="8:74" x14ac:dyDescent="0.2">
      <c r="H5458"/>
      <c r="L5458"/>
      <c r="AK5458"/>
      <c r="BU5458"/>
      <c r="BV5458"/>
    </row>
    <row r="5459" spans="8:74" x14ac:dyDescent="0.2">
      <c r="H5459"/>
      <c r="L5459"/>
      <c r="AK5459"/>
      <c r="BU5459"/>
      <c r="BV5459"/>
    </row>
    <row r="5460" spans="8:74" x14ac:dyDescent="0.2">
      <c r="H5460"/>
      <c r="L5460"/>
      <c r="AK5460"/>
      <c r="BU5460"/>
      <c r="BV5460"/>
    </row>
    <row r="5461" spans="8:74" x14ac:dyDescent="0.2">
      <c r="H5461"/>
      <c r="L5461"/>
      <c r="AK5461"/>
      <c r="BU5461"/>
      <c r="BV5461"/>
    </row>
    <row r="5462" spans="8:74" x14ac:dyDescent="0.2">
      <c r="H5462"/>
      <c r="L5462"/>
      <c r="AK5462"/>
      <c r="BU5462"/>
      <c r="BV5462"/>
    </row>
    <row r="5463" spans="8:74" x14ac:dyDescent="0.2">
      <c r="H5463"/>
      <c r="L5463"/>
      <c r="AK5463"/>
      <c r="BU5463"/>
      <c r="BV5463"/>
    </row>
    <row r="5464" spans="8:74" x14ac:dyDescent="0.2">
      <c r="H5464"/>
      <c r="L5464"/>
      <c r="AK5464"/>
      <c r="BU5464"/>
      <c r="BV5464"/>
    </row>
    <row r="5465" spans="8:74" x14ac:dyDescent="0.2">
      <c r="H5465"/>
      <c r="L5465"/>
      <c r="BU5465"/>
      <c r="BV5465"/>
    </row>
    <row r="5466" spans="8:74" x14ac:dyDescent="0.2">
      <c r="H5466"/>
      <c r="L5466"/>
      <c r="BU5466"/>
      <c r="BV5466"/>
    </row>
    <row r="5467" spans="8:74" x14ac:dyDescent="0.2">
      <c r="H5467"/>
      <c r="L5467"/>
      <c r="AK5467"/>
      <c r="BU5467"/>
      <c r="BV5467"/>
    </row>
    <row r="5468" spans="8:74" x14ac:dyDescent="0.2">
      <c r="H5468"/>
      <c r="L5468"/>
      <c r="AK5468"/>
      <c r="BU5468"/>
      <c r="BV5468"/>
    </row>
    <row r="5469" spans="8:74" x14ac:dyDescent="0.2">
      <c r="H5469"/>
      <c r="L5469"/>
      <c r="AK5469"/>
      <c r="BU5469"/>
      <c r="BV5469"/>
    </row>
    <row r="5470" spans="8:74" x14ac:dyDescent="0.2">
      <c r="H5470"/>
      <c r="L5470"/>
      <c r="AK5470"/>
      <c r="BU5470"/>
      <c r="BV5470"/>
    </row>
    <row r="5471" spans="8:74" x14ac:dyDescent="0.2">
      <c r="H5471"/>
      <c r="L5471"/>
      <c r="AK5471"/>
      <c r="BU5471"/>
      <c r="BV5471"/>
    </row>
    <row r="5472" spans="8:74" x14ac:dyDescent="0.2">
      <c r="AK5472"/>
    </row>
    <row r="5473" spans="8:74" x14ac:dyDescent="0.2">
      <c r="H5473"/>
      <c r="L5473"/>
      <c r="BU5473"/>
      <c r="BV5473"/>
    </row>
    <row r="5474" spans="8:74" x14ac:dyDescent="0.2">
      <c r="H5474"/>
      <c r="L5474"/>
      <c r="BU5474"/>
      <c r="BV5474"/>
    </row>
    <row r="5475" spans="8:74" x14ac:dyDescent="0.2">
      <c r="H5475"/>
      <c r="L5475"/>
      <c r="BU5475"/>
      <c r="BV5475"/>
    </row>
    <row r="5476" spans="8:74" x14ac:dyDescent="0.2">
      <c r="H5476"/>
      <c r="L5476"/>
      <c r="AK5476"/>
      <c r="BU5476"/>
      <c r="BV5476"/>
    </row>
    <row r="5477" spans="8:74" x14ac:dyDescent="0.2">
      <c r="H5477"/>
      <c r="L5477"/>
      <c r="AK5477"/>
      <c r="BU5477"/>
      <c r="BV5477"/>
    </row>
    <row r="5478" spans="8:74" x14ac:dyDescent="0.2">
      <c r="H5478"/>
      <c r="L5478"/>
      <c r="AK5478"/>
      <c r="BU5478"/>
      <c r="BV5478"/>
    </row>
    <row r="5479" spans="8:74" x14ac:dyDescent="0.2">
      <c r="H5479"/>
      <c r="L5479"/>
      <c r="AK5479"/>
      <c r="BU5479"/>
      <c r="BV5479"/>
    </row>
    <row r="5480" spans="8:74" x14ac:dyDescent="0.2">
      <c r="H5480"/>
      <c r="L5480"/>
      <c r="AK5480"/>
      <c r="BU5480"/>
      <c r="BV5480"/>
    </row>
    <row r="5481" spans="8:74" x14ac:dyDescent="0.2">
      <c r="H5481"/>
      <c r="L5481"/>
      <c r="AK5481"/>
      <c r="BU5481"/>
      <c r="BV5481"/>
    </row>
    <row r="5482" spans="8:74" x14ac:dyDescent="0.2">
      <c r="H5482"/>
      <c r="L5482"/>
      <c r="BU5482"/>
      <c r="BV5482"/>
    </row>
    <row r="5483" spans="8:74" x14ac:dyDescent="0.2">
      <c r="H5483"/>
      <c r="L5483"/>
      <c r="AK5483"/>
      <c r="BU5483"/>
      <c r="BV5483"/>
    </row>
    <row r="5484" spans="8:74" x14ac:dyDescent="0.2">
      <c r="H5484"/>
      <c r="L5484"/>
      <c r="AK5484"/>
      <c r="BU5484"/>
      <c r="BV5484"/>
    </row>
    <row r="5485" spans="8:74" x14ac:dyDescent="0.2">
      <c r="H5485"/>
      <c r="L5485"/>
      <c r="AK5485"/>
      <c r="BU5485"/>
      <c r="BV5485"/>
    </row>
    <row r="5486" spans="8:74" x14ac:dyDescent="0.2">
      <c r="H5486"/>
      <c r="L5486"/>
      <c r="AK5486"/>
      <c r="BU5486"/>
      <c r="BV5486"/>
    </row>
    <row r="5487" spans="8:74" x14ac:dyDescent="0.2">
      <c r="H5487"/>
      <c r="L5487"/>
      <c r="AK5487"/>
      <c r="BU5487"/>
      <c r="BV5487"/>
    </row>
    <row r="5488" spans="8:74" x14ac:dyDescent="0.2">
      <c r="H5488"/>
      <c r="L5488"/>
      <c r="AK5488"/>
      <c r="BU5488"/>
      <c r="BV5488"/>
    </row>
    <row r="5489" spans="8:74" x14ac:dyDescent="0.2">
      <c r="H5489"/>
      <c r="L5489"/>
      <c r="AK5489"/>
      <c r="BU5489"/>
      <c r="BV5489"/>
    </row>
    <row r="5490" spans="8:74" x14ac:dyDescent="0.2">
      <c r="H5490"/>
      <c r="L5490"/>
      <c r="AK5490"/>
      <c r="BU5490"/>
      <c r="BV5490"/>
    </row>
    <row r="5491" spans="8:74" x14ac:dyDescent="0.2">
      <c r="H5491"/>
      <c r="L5491"/>
      <c r="BU5491"/>
      <c r="BV5491"/>
    </row>
    <row r="5492" spans="8:74" x14ac:dyDescent="0.2">
      <c r="H5492"/>
      <c r="L5492"/>
      <c r="BU5492"/>
      <c r="BV5492"/>
    </row>
    <row r="5493" spans="8:74" x14ac:dyDescent="0.2">
      <c r="H5493"/>
      <c r="L5493"/>
      <c r="AK5493"/>
      <c r="BU5493"/>
      <c r="BV5493"/>
    </row>
    <row r="5494" spans="8:74" x14ac:dyDescent="0.2">
      <c r="H5494"/>
      <c r="L5494"/>
      <c r="AK5494"/>
      <c r="BU5494"/>
      <c r="BV5494"/>
    </row>
    <row r="5495" spans="8:74" x14ac:dyDescent="0.2">
      <c r="H5495"/>
      <c r="L5495"/>
      <c r="AK5495"/>
      <c r="BU5495"/>
      <c r="BV5495"/>
    </row>
    <row r="5496" spans="8:74" x14ac:dyDescent="0.2">
      <c r="H5496"/>
      <c r="L5496"/>
      <c r="AK5496"/>
      <c r="BU5496"/>
      <c r="BV5496"/>
    </row>
    <row r="5497" spans="8:74" x14ac:dyDescent="0.2">
      <c r="H5497"/>
      <c r="L5497"/>
      <c r="AK5497"/>
      <c r="BU5497"/>
      <c r="BV5497"/>
    </row>
    <row r="5498" spans="8:74" x14ac:dyDescent="0.2">
      <c r="H5498"/>
      <c r="L5498"/>
      <c r="AK5498"/>
      <c r="BU5498"/>
      <c r="BV5498"/>
    </row>
    <row r="5499" spans="8:74" x14ac:dyDescent="0.2">
      <c r="H5499"/>
      <c r="L5499"/>
      <c r="AK5499"/>
      <c r="BU5499"/>
      <c r="BV5499"/>
    </row>
    <row r="5500" spans="8:74" x14ac:dyDescent="0.2">
      <c r="H5500"/>
      <c r="L5500"/>
      <c r="AK5500"/>
      <c r="BU5500"/>
      <c r="BV5500"/>
    </row>
    <row r="5501" spans="8:74" x14ac:dyDescent="0.2">
      <c r="H5501"/>
      <c r="L5501"/>
      <c r="BU5501"/>
      <c r="BV5501"/>
    </row>
    <row r="5502" spans="8:74" x14ac:dyDescent="0.2">
      <c r="H5502"/>
      <c r="L5502"/>
      <c r="BU5502"/>
      <c r="BV5502"/>
    </row>
    <row r="5503" spans="8:74" x14ac:dyDescent="0.2">
      <c r="H5503"/>
      <c r="L5503"/>
      <c r="AK5503"/>
      <c r="BU5503"/>
      <c r="BV5503"/>
    </row>
    <row r="5504" spans="8:74" x14ac:dyDescent="0.2">
      <c r="H5504"/>
      <c r="L5504"/>
      <c r="BU5504"/>
      <c r="BV5504"/>
    </row>
    <row r="5505" spans="8:74" x14ac:dyDescent="0.2">
      <c r="H5505"/>
      <c r="L5505"/>
      <c r="BU5505"/>
      <c r="BV5505"/>
    </row>
    <row r="5506" spans="8:74" x14ac:dyDescent="0.2">
      <c r="H5506"/>
      <c r="L5506"/>
      <c r="AK5506"/>
      <c r="BU5506"/>
      <c r="BV5506"/>
    </row>
    <row r="5507" spans="8:74" x14ac:dyDescent="0.2">
      <c r="H5507"/>
      <c r="L5507"/>
      <c r="AK5507"/>
      <c r="BU5507"/>
      <c r="BV5507"/>
    </row>
    <row r="5508" spans="8:74" x14ac:dyDescent="0.2">
      <c r="H5508"/>
      <c r="L5508"/>
      <c r="AK5508"/>
      <c r="BU5508"/>
      <c r="BV5508"/>
    </row>
    <row r="5509" spans="8:74" x14ac:dyDescent="0.2">
      <c r="H5509"/>
      <c r="L5509"/>
      <c r="AK5509"/>
      <c r="BU5509"/>
      <c r="BV5509"/>
    </row>
    <row r="5510" spans="8:74" x14ac:dyDescent="0.2">
      <c r="H5510"/>
      <c r="L5510"/>
      <c r="AK5510"/>
      <c r="BU5510"/>
      <c r="BV5510"/>
    </row>
    <row r="5511" spans="8:74" x14ac:dyDescent="0.2">
      <c r="H5511"/>
      <c r="L5511"/>
      <c r="BU5511"/>
      <c r="BV5511"/>
    </row>
    <row r="5512" spans="8:74" x14ac:dyDescent="0.2">
      <c r="H5512"/>
      <c r="L5512"/>
      <c r="BU5512"/>
      <c r="BV5512"/>
    </row>
    <row r="5513" spans="8:74" x14ac:dyDescent="0.2">
      <c r="H5513"/>
      <c r="L5513"/>
      <c r="BU5513"/>
      <c r="BV5513"/>
    </row>
    <row r="5514" spans="8:74" x14ac:dyDescent="0.2">
      <c r="AK5514"/>
    </row>
    <row r="5515" spans="8:74" x14ac:dyDescent="0.2">
      <c r="AK5515"/>
    </row>
    <row r="5516" spans="8:74" x14ac:dyDescent="0.2">
      <c r="H5516"/>
      <c r="L5516"/>
      <c r="AK5516"/>
      <c r="BU5516"/>
      <c r="BV5516"/>
    </row>
    <row r="5517" spans="8:74" x14ac:dyDescent="0.2">
      <c r="H5517"/>
      <c r="L5517"/>
      <c r="AK5517"/>
      <c r="BU5517"/>
      <c r="BV5517"/>
    </row>
    <row r="5518" spans="8:74" x14ac:dyDescent="0.2">
      <c r="H5518"/>
      <c r="L5518"/>
      <c r="AK5518"/>
      <c r="BU5518"/>
      <c r="BV5518"/>
    </row>
    <row r="5519" spans="8:74" x14ac:dyDescent="0.2">
      <c r="H5519"/>
      <c r="L5519"/>
      <c r="BU5519"/>
      <c r="BV5519"/>
    </row>
    <row r="5520" spans="8:74" x14ac:dyDescent="0.2">
      <c r="H5520"/>
      <c r="L5520"/>
      <c r="BU5520"/>
      <c r="BV5520"/>
    </row>
    <row r="5521" spans="8:74" x14ac:dyDescent="0.2">
      <c r="H5521"/>
      <c r="L5521"/>
      <c r="AK5521"/>
      <c r="BU5521"/>
      <c r="BV5521"/>
    </row>
    <row r="5522" spans="8:74" x14ac:dyDescent="0.2">
      <c r="H5522"/>
      <c r="L5522"/>
      <c r="AK5522"/>
      <c r="BU5522"/>
      <c r="BV5522"/>
    </row>
    <row r="5523" spans="8:74" x14ac:dyDescent="0.2">
      <c r="H5523"/>
      <c r="L5523"/>
      <c r="AK5523"/>
      <c r="BU5523"/>
      <c r="BV5523"/>
    </row>
    <row r="5524" spans="8:74" x14ac:dyDescent="0.2">
      <c r="H5524"/>
      <c r="L5524"/>
      <c r="AK5524"/>
      <c r="BU5524"/>
      <c r="BV5524"/>
    </row>
    <row r="5525" spans="8:74" x14ac:dyDescent="0.2">
      <c r="H5525"/>
      <c r="L5525"/>
      <c r="AK5525"/>
      <c r="BU5525"/>
      <c r="BV5525"/>
    </row>
    <row r="5526" spans="8:74" x14ac:dyDescent="0.2">
      <c r="H5526"/>
      <c r="L5526"/>
      <c r="AK5526"/>
      <c r="BU5526"/>
      <c r="BV5526"/>
    </row>
    <row r="5527" spans="8:74" x14ac:dyDescent="0.2">
      <c r="H5527"/>
      <c r="L5527"/>
      <c r="BU5527"/>
      <c r="BV5527"/>
    </row>
    <row r="5528" spans="8:74" x14ac:dyDescent="0.2">
      <c r="H5528"/>
      <c r="L5528"/>
      <c r="AK5528"/>
      <c r="BU5528"/>
      <c r="BV5528"/>
    </row>
    <row r="5529" spans="8:74" x14ac:dyDescent="0.2">
      <c r="H5529"/>
      <c r="L5529"/>
      <c r="AK5529"/>
      <c r="BU5529"/>
      <c r="BV5529"/>
    </row>
    <row r="5530" spans="8:74" x14ac:dyDescent="0.2">
      <c r="H5530"/>
      <c r="L5530"/>
      <c r="AK5530"/>
      <c r="BU5530"/>
      <c r="BV5530"/>
    </row>
    <row r="5531" spans="8:74" x14ac:dyDescent="0.2">
      <c r="H5531"/>
      <c r="L5531"/>
      <c r="AK5531"/>
      <c r="BU5531"/>
      <c r="BV5531"/>
    </row>
    <row r="5532" spans="8:74" x14ac:dyDescent="0.2">
      <c r="H5532"/>
      <c r="L5532"/>
      <c r="AK5532"/>
      <c r="BU5532"/>
      <c r="BV5532"/>
    </row>
    <row r="5533" spans="8:74" x14ac:dyDescent="0.2">
      <c r="H5533"/>
      <c r="L5533"/>
      <c r="AK5533"/>
      <c r="BU5533"/>
      <c r="BV5533"/>
    </row>
    <row r="5534" spans="8:74" x14ac:dyDescent="0.2">
      <c r="H5534"/>
      <c r="L5534"/>
      <c r="AK5534"/>
      <c r="BU5534"/>
      <c r="BV5534"/>
    </row>
    <row r="5535" spans="8:74" x14ac:dyDescent="0.2">
      <c r="H5535"/>
      <c r="L5535"/>
      <c r="AK5535"/>
      <c r="BU5535"/>
      <c r="BV5535"/>
    </row>
    <row r="5536" spans="8:74" x14ac:dyDescent="0.2">
      <c r="H5536"/>
      <c r="L5536"/>
      <c r="AK5536"/>
      <c r="BU5536"/>
      <c r="BV5536"/>
    </row>
    <row r="5537" spans="8:74" x14ac:dyDescent="0.2">
      <c r="H5537"/>
      <c r="L5537"/>
      <c r="AK5537"/>
      <c r="BU5537"/>
      <c r="BV5537"/>
    </row>
    <row r="5538" spans="8:74" x14ac:dyDescent="0.2">
      <c r="H5538"/>
      <c r="L5538"/>
      <c r="BU5538"/>
      <c r="BV5538"/>
    </row>
    <row r="5539" spans="8:74" x14ac:dyDescent="0.2">
      <c r="H5539"/>
      <c r="L5539"/>
      <c r="AK5539"/>
      <c r="BU5539"/>
      <c r="BV5539"/>
    </row>
    <row r="5540" spans="8:74" x14ac:dyDescent="0.2">
      <c r="H5540"/>
      <c r="L5540"/>
      <c r="AK5540"/>
      <c r="BU5540"/>
      <c r="BV5540"/>
    </row>
    <row r="5541" spans="8:74" x14ac:dyDescent="0.2">
      <c r="H5541"/>
      <c r="L5541"/>
      <c r="AK5541"/>
      <c r="BU5541"/>
      <c r="BV5541"/>
    </row>
    <row r="5542" spans="8:74" x14ac:dyDescent="0.2">
      <c r="H5542"/>
      <c r="L5542"/>
      <c r="BU5542"/>
      <c r="BV5542"/>
    </row>
    <row r="5543" spans="8:74" x14ac:dyDescent="0.2">
      <c r="H5543"/>
      <c r="L5543"/>
      <c r="AK5543"/>
      <c r="BU5543"/>
      <c r="BV5543"/>
    </row>
    <row r="5544" spans="8:74" x14ac:dyDescent="0.2">
      <c r="H5544"/>
      <c r="L5544"/>
      <c r="AK5544"/>
      <c r="BU5544"/>
      <c r="BV5544"/>
    </row>
    <row r="5545" spans="8:74" x14ac:dyDescent="0.2">
      <c r="H5545"/>
      <c r="L5545"/>
      <c r="AK5545"/>
      <c r="BU5545"/>
      <c r="BV5545"/>
    </row>
    <row r="5546" spans="8:74" x14ac:dyDescent="0.2">
      <c r="AK5546"/>
    </row>
    <row r="5547" spans="8:74" x14ac:dyDescent="0.2">
      <c r="H5547"/>
      <c r="L5547"/>
      <c r="AK5547"/>
      <c r="BU5547"/>
      <c r="BV5547"/>
    </row>
    <row r="5548" spans="8:74" x14ac:dyDescent="0.2">
      <c r="H5548"/>
      <c r="L5548"/>
      <c r="BU5548"/>
      <c r="BV5548"/>
    </row>
    <row r="5549" spans="8:74" x14ac:dyDescent="0.2">
      <c r="H5549"/>
      <c r="L5549"/>
      <c r="AK5549"/>
      <c r="BU5549"/>
      <c r="BV5549"/>
    </row>
    <row r="5550" spans="8:74" x14ac:dyDescent="0.2">
      <c r="AK5550"/>
    </row>
    <row r="5551" spans="8:74" x14ac:dyDescent="0.2">
      <c r="H5551"/>
      <c r="L5551"/>
      <c r="AK5551"/>
      <c r="BU5551"/>
      <c r="BV5551"/>
    </row>
    <row r="5552" spans="8:74" x14ac:dyDescent="0.2">
      <c r="H5552"/>
      <c r="L5552"/>
      <c r="BU5552"/>
      <c r="BV5552"/>
    </row>
    <row r="5553" spans="8:74" x14ac:dyDescent="0.2">
      <c r="H5553"/>
      <c r="L5553"/>
      <c r="AK5553"/>
      <c r="BU5553"/>
      <c r="BV5553"/>
    </row>
    <row r="5554" spans="8:74" x14ac:dyDescent="0.2">
      <c r="H5554"/>
      <c r="L5554"/>
      <c r="AK5554"/>
      <c r="BU5554"/>
      <c r="BV5554"/>
    </row>
    <row r="5555" spans="8:74" x14ac:dyDescent="0.2">
      <c r="H5555"/>
      <c r="L5555"/>
      <c r="AK5555"/>
      <c r="BU5555"/>
      <c r="BV5555"/>
    </row>
    <row r="5556" spans="8:74" x14ac:dyDescent="0.2">
      <c r="H5556"/>
      <c r="L5556"/>
      <c r="AK5556"/>
      <c r="BU5556"/>
      <c r="BV5556"/>
    </row>
    <row r="5557" spans="8:74" x14ac:dyDescent="0.2">
      <c r="H5557"/>
      <c r="L5557"/>
      <c r="AK5557"/>
      <c r="BU5557"/>
      <c r="BV5557"/>
    </row>
    <row r="5558" spans="8:74" x14ac:dyDescent="0.2">
      <c r="H5558"/>
      <c r="L5558"/>
      <c r="AK5558"/>
      <c r="BU5558"/>
      <c r="BV5558"/>
    </row>
    <row r="5559" spans="8:74" x14ac:dyDescent="0.2">
      <c r="H5559"/>
      <c r="L5559"/>
      <c r="AK5559"/>
      <c r="BU5559"/>
      <c r="BV5559"/>
    </row>
    <row r="5560" spans="8:74" x14ac:dyDescent="0.2">
      <c r="H5560"/>
      <c r="L5560"/>
      <c r="BU5560"/>
      <c r="BV5560"/>
    </row>
    <row r="5561" spans="8:74" x14ac:dyDescent="0.2">
      <c r="H5561"/>
      <c r="L5561"/>
      <c r="BU5561"/>
      <c r="BV5561"/>
    </row>
    <row r="5562" spans="8:74" x14ac:dyDescent="0.2">
      <c r="H5562"/>
      <c r="L5562"/>
      <c r="AK5562"/>
      <c r="BU5562"/>
      <c r="BV5562"/>
    </row>
    <row r="5563" spans="8:74" x14ac:dyDescent="0.2">
      <c r="H5563"/>
      <c r="L5563"/>
      <c r="AK5563"/>
      <c r="BU5563"/>
      <c r="BV5563"/>
    </row>
    <row r="5564" spans="8:74" x14ac:dyDescent="0.2">
      <c r="H5564"/>
      <c r="L5564"/>
      <c r="AK5564"/>
      <c r="BU5564"/>
      <c r="BV5564"/>
    </row>
    <row r="5565" spans="8:74" x14ac:dyDescent="0.2">
      <c r="H5565"/>
      <c r="L5565"/>
      <c r="AK5565"/>
      <c r="BU5565"/>
      <c r="BV5565"/>
    </row>
    <row r="5566" spans="8:74" x14ac:dyDescent="0.2">
      <c r="H5566"/>
      <c r="L5566"/>
      <c r="BU5566"/>
      <c r="BV5566"/>
    </row>
    <row r="5567" spans="8:74" x14ac:dyDescent="0.2">
      <c r="H5567"/>
      <c r="L5567"/>
      <c r="BU5567"/>
      <c r="BV5567"/>
    </row>
    <row r="5568" spans="8:74" x14ac:dyDescent="0.2">
      <c r="H5568"/>
      <c r="L5568"/>
      <c r="BU5568"/>
      <c r="BV5568"/>
    </row>
    <row r="5569" spans="8:74" x14ac:dyDescent="0.2">
      <c r="H5569"/>
      <c r="L5569"/>
      <c r="BU5569"/>
      <c r="BV5569"/>
    </row>
    <row r="5570" spans="8:74" x14ac:dyDescent="0.2">
      <c r="H5570"/>
      <c r="L5570"/>
      <c r="BU5570"/>
      <c r="BV5570"/>
    </row>
    <row r="5571" spans="8:74" x14ac:dyDescent="0.2">
      <c r="H5571"/>
      <c r="L5571"/>
      <c r="BU5571"/>
      <c r="BV5571"/>
    </row>
    <row r="5572" spans="8:74" x14ac:dyDescent="0.2">
      <c r="H5572"/>
      <c r="L5572"/>
      <c r="BU5572"/>
      <c r="BV5572"/>
    </row>
    <row r="5573" spans="8:74" x14ac:dyDescent="0.2">
      <c r="H5573"/>
      <c r="L5573"/>
      <c r="AK5573"/>
      <c r="BU5573"/>
      <c r="BV5573"/>
    </row>
    <row r="5574" spans="8:74" x14ac:dyDescent="0.2">
      <c r="H5574"/>
      <c r="L5574"/>
      <c r="BU5574"/>
      <c r="BV5574"/>
    </row>
    <row r="5575" spans="8:74" x14ac:dyDescent="0.2">
      <c r="H5575"/>
      <c r="L5575"/>
      <c r="BU5575"/>
      <c r="BV5575"/>
    </row>
    <row r="5576" spans="8:74" x14ac:dyDescent="0.2">
      <c r="H5576"/>
      <c r="L5576"/>
      <c r="BU5576"/>
      <c r="BV5576"/>
    </row>
    <row r="5577" spans="8:74" x14ac:dyDescent="0.2">
      <c r="H5577"/>
      <c r="L5577"/>
      <c r="BU5577"/>
      <c r="BV5577"/>
    </row>
    <row r="5578" spans="8:74" x14ac:dyDescent="0.2">
      <c r="H5578"/>
      <c r="L5578"/>
      <c r="BU5578"/>
      <c r="BV5578"/>
    </row>
    <row r="5579" spans="8:74" x14ac:dyDescent="0.2">
      <c r="H5579"/>
      <c r="L5579"/>
      <c r="AK5579"/>
      <c r="BU5579"/>
      <c r="BV5579"/>
    </row>
    <row r="5580" spans="8:74" x14ac:dyDescent="0.2">
      <c r="H5580"/>
      <c r="L5580"/>
      <c r="AK5580"/>
      <c r="BU5580"/>
      <c r="BV5580"/>
    </row>
    <row r="5581" spans="8:74" x14ac:dyDescent="0.2">
      <c r="H5581"/>
      <c r="L5581"/>
      <c r="AK5581"/>
      <c r="BU5581"/>
      <c r="BV5581"/>
    </row>
    <row r="5582" spans="8:74" x14ac:dyDescent="0.2">
      <c r="H5582"/>
      <c r="L5582"/>
      <c r="AK5582"/>
      <c r="BU5582"/>
      <c r="BV5582"/>
    </row>
    <row r="5583" spans="8:74" x14ac:dyDescent="0.2">
      <c r="H5583"/>
      <c r="L5583"/>
      <c r="AK5583"/>
      <c r="BU5583"/>
      <c r="BV5583"/>
    </row>
    <row r="5584" spans="8:74" x14ac:dyDescent="0.2">
      <c r="H5584"/>
      <c r="L5584"/>
      <c r="BU5584"/>
      <c r="BV5584"/>
    </row>
    <row r="5585" spans="8:74" x14ac:dyDescent="0.2">
      <c r="H5585"/>
      <c r="L5585"/>
      <c r="BU5585"/>
      <c r="BV5585"/>
    </row>
    <row r="5586" spans="8:74" x14ac:dyDescent="0.2">
      <c r="H5586"/>
      <c r="L5586"/>
      <c r="BU5586"/>
      <c r="BV5586"/>
    </row>
    <row r="5587" spans="8:74" x14ac:dyDescent="0.2">
      <c r="H5587"/>
      <c r="L5587"/>
      <c r="AK5587"/>
      <c r="BU5587"/>
      <c r="BV5587"/>
    </row>
    <row r="5588" spans="8:74" x14ac:dyDescent="0.2">
      <c r="H5588"/>
      <c r="L5588"/>
      <c r="AK5588"/>
      <c r="BU5588"/>
      <c r="BV5588"/>
    </row>
    <row r="5589" spans="8:74" x14ac:dyDescent="0.2">
      <c r="H5589"/>
      <c r="L5589"/>
      <c r="AK5589"/>
      <c r="BU5589"/>
      <c r="BV5589"/>
    </row>
    <row r="5590" spans="8:74" x14ac:dyDescent="0.2">
      <c r="H5590"/>
      <c r="L5590"/>
      <c r="AK5590"/>
      <c r="BU5590"/>
      <c r="BV5590"/>
    </row>
    <row r="5591" spans="8:74" x14ac:dyDescent="0.2">
      <c r="H5591"/>
      <c r="L5591"/>
      <c r="AK5591"/>
      <c r="BU5591"/>
      <c r="BV5591"/>
    </row>
    <row r="5592" spans="8:74" x14ac:dyDescent="0.2">
      <c r="H5592"/>
      <c r="L5592"/>
      <c r="AK5592"/>
      <c r="BU5592"/>
      <c r="BV5592"/>
    </row>
    <row r="5593" spans="8:74" x14ac:dyDescent="0.2">
      <c r="H5593"/>
      <c r="L5593"/>
      <c r="AK5593"/>
      <c r="BU5593"/>
      <c r="BV5593"/>
    </row>
    <row r="5594" spans="8:74" x14ac:dyDescent="0.2">
      <c r="H5594"/>
      <c r="L5594"/>
      <c r="AK5594"/>
      <c r="BU5594"/>
      <c r="BV5594"/>
    </row>
    <row r="5595" spans="8:74" x14ac:dyDescent="0.2">
      <c r="H5595"/>
      <c r="L5595"/>
      <c r="BU5595"/>
      <c r="BV5595"/>
    </row>
    <row r="5596" spans="8:74" x14ac:dyDescent="0.2">
      <c r="H5596"/>
      <c r="L5596"/>
      <c r="BU5596"/>
      <c r="BV5596"/>
    </row>
    <row r="5597" spans="8:74" x14ac:dyDescent="0.2">
      <c r="H5597"/>
      <c r="L5597"/>
      <c r="BU5597"/>
      <c r="BV5597"/>
    </row>
    <row r="5598" spans="8:74" x14ac:dyDescent="0.2">
      <c r="H5598"/>
      <c r="L5598"/>
      <c r="BU5598"/>
      <c r="BV5598"/>
    </row>
    <row r="5599" spans="8:74" x14ac:dyDescent="0.2">
      <c r="H5599"/>
      <c r="L5599"/>
      <c r="AK5599"/>
      <c r="BU5599"/>
      <c r="BV5599"/>
    </row>
    <row r="5600" spans="8:74" x14ac:dyDescent="0.2">
      <c r="H5600"/>
      <c r="L5600"/>
      <c r="AK5600"/>
      <c r="BU5600"/>
      <c r="BV5600"/>
    </row>
    <row r="5601" spans="8:74" x14ac:dyDescent="0.2">
      <c r="H5601"/>
      <c r="L5601"/>
      <c r="AK5601"/>
      <c r="BU5601"/>
      <c r="BV5601"/>
    </row>
    <row r="5602" spans="8:74" x14ac:dyDescent="0.2">
      <c r="H5602"/>
      <c r="L5602"/>
      <c r="AK5602"/>
      <c r="BU5602"/>
      <c r="BV5602"/>
    </row>
    <row r="5603" spans="8:74" x14ac:dyDescent="0.2">
      <c r="H5603"/>
      <c r="L5603"/>
      <c r="AK5603"/>
      <c r="BU5603"/>
      <c r="BV5603"/>
    </row>
    <row r="5604" spans="8:74" x14ac:dyDescent="0.2">
      <c r="H5604"/>
      <c r="L5604"/>
      <c r="AK5604"/>
      <c r="BU5604"/>
      <c r="BV5604"/>
    </row>
    <row r="5605" spans="8:74" x14ac:dyDescent="0.2">
      <c r="H5605"/>
      <c r="L5605"/>
      <c r="AK5605"/>
      <c r="BU5605"/>
      <c r="BV5605"/>
    </row>
    <row r="5606" spans="8:74" x14ac:dyDescent="0.2">
      <c r="H5606"/>
      <c r="L5606"/>
      <c r="AK5606"/>
      <c r="BU5606"/>
      <c r="BV5606"/>
    </row>
    <row r="5607" spans="8:74" x14ac:dyDescent="0.2">
      <c r="H5607"/>
      <c r="L5607"/>
      <c r="BU5607"/>
      <c r="BV5607"/>
    </row>
    <row r="5608" spans="8:74" x14ac:dyDescent="0.2">
      <c r="H5608"/>
      <c r="L5608"/>
      <c r="BU5608"/>
      <c r="BV5608"/>
    </row>
    <row r="5609" spans="8:74" x14ac:dyDescent="0.2">
      <c r="H5609"/>
      <c r="L5609"/>
      <c r="BU5609"/>
      <c r="BV5609"/>
    </row>
    <row r="5610" spans="8:74" x14ac:dyDescent="0.2">
      <c r="H5610"/>
      <c r="L5610"/>
      <c r="BU5610"/>
      <c r="BV5610"/>
    </row>
    <row r="5611" spans="8:74" x14ac:dyDescent="0.2">
      <c r="H5611"/>
      <c r="L5611"/>
      <c r="AK5611"/>
      <c r="BU5611"/>
      <c r="BV5611"/>
    </row>
    <row r="5612" spans="8:74" x14ac:dyDescent="0.2">
      <c r="H5612"/>
      <c r="L5612"/>
      <c r="BU5612"/>
      <c r="BV5612"/>
    </row>
    <row r="5613" spans="8:74" x14ac:dyDescent="0.2">
      <c r="H5613"/>
      <c r="L5613"/>
      <c r="BU5613"/>
      <c r="BV5613"/>
    </row>
    <row r="5614" spans="8:74" x14ac:dyDescent="0.2">
      <c r="H5614"/>
      <c r="L5614"/>
      <c r="BU5614"/>
      <c r="BV5614"/>
    </row>
    <row r="5616" spans="8:74" x14ac:dyDescent="0.2">
      <c r="H5616"/>
      <c r="L5616"/>
      <c r="BU5616"/>
      <c r="BV5616"/>
    </row>
    <row r="5617" spans="8:74" x14ac:dyDescent="0.2">
      <c r="H5617"/>
      <c r="L5617"/>
      <c r="BU5617"/>
      <c r="BV5617"/>
    </row>
    <row r="5618" spans="8:74" x14ac:dyDescent="0.2">
      <c r="H5618"/>
      <c r="L5618"/>
      <c r="BU5618"/>
      <c r="BV5618"/>
    </row>
    <row r="5619" spans="8:74" x14ac:dyDescent="0.2">
      <c r="H5619"/>
      <c r="L5619"/>
      <c r="BU5619"/>
      <c r="BV5619"/>
    </row>
    <row r="5620" spans="8:74" x14ac:dyDescent="0.2">
      <c r="H5620"/>
      <c r="L5620"/>
      <c r="BU5620"/>
      <c r="BV5620"/>
    </row>
    <row r="5621" spans="8:74" x14ac:dyDescent="0.2">
      <c r="H5621"/>
      <c r="L5621"/>
      <c r="BU5621"/>
      <c r="BV5621"/>
    </row>
    <row r="5622" spans="8:74" x14ac:dyDescent="0.2">
      <c r="H5622"/>
      <c r="L5622"/>
      <c r="BU5622"/>
      <c r="BV5622"/>
    </row>
    <row r="5623" spans="8:74" x14ac:dyDescent="0.2">
      <c r="H5623"/>
      <c r="L5623"/>
      <c r="BU5623"/>
      <c r="BV5623"/>
    </row>
    <row r="5624" spans="8:74" x14ac:dyDescent="0.2">
      <c r="H5624"/>
      <c r="L5624"/>
      <c r="AK5624"/>
      <c r="BU5624"/>
      <c r="BV5624"/>
    </row>
    <row r="5625" spans="8:74" x14ac:dyDescent="0.2">
      <c r="H5625"/>
      <c r="L5625"/>
      <c r="AK5625"/>
      <c r="BU5625"/>
      <c r="BV5625"/>
    </row>
    <row r="5626" spans="8:74" x14ac:dyDescent="0.2">
      <c r="H5626"/>
      <c r="L5626"/>
      <c r="AK5626"/>
      <c r="BU5626"/>
      <c r="BV5626"/>
    </row>
    <row r="5627" spans="8:74" x14ac:dyDescent="0.2">
      <c r="H5627"/>
      <c r="L5627"/>
      <c r="AK5627"/>
      <c r="BU5627"/>
      <c r="BV5627"/>
    </row>
    <row r="5628" spans="8:74" x14ac:dyDescent="0.2">
      <c r="H5628"/>
      <c r="L5628"/>
      <c r="AK5628"/>
      <c r="BU5628"/>
      <c r="BV5628"/>
    </row>
    <row r="5629" spans="8:74" x14ac:dyDescent="0.2">
      <c r="H5629"/>
      <c r="L5629"/>
      <c r="AK5629"/>
      <c r="BU5629"/>
      <c r="BV5629"/>
    </row>
    <row r="5630" spans="8:74" x14ac:dyDescent="0.2">
      <c r="H5630"/>
      <c r="L5630"/>
      <c r="AK5630"/>
      <c r="BU5630"/>
      <c r="BV5630"/>
    </row>
    <row r="5631" spans="8:74" x14ac:dyDescent="0.2">
      <c r="H5631"/>
      <c r="L5631"/>
      <c r="AK5631"/>
      <c r="BU5631"/>
      <c r="BV5631"/>
    </row>
    <row r="5632" spans="8:74" x14ac:dyDescent="0.2">
      <c r="H5632"/>
      <c r="L5632"/>
      <c r="AK5632"/>
      <c r="BU5632"/>
      <c r="BV5632"/>
    </row>
    <row r="5633" spans="8:74" x14ac:dyDescent="0.2">
      <c r="H5633"/>
      <c r="L5633"/>
      <c r="AK5633"/>
      <c r="BU5633"/>
      <c r="BV5633"/>
    </row>
    <row r="5634" spans="8:74" x14ac:dyDescent="0.2">
      <c r="H5634"/>
      <c r="L5634"/>
      <c r="AK5634"/>
      <c r="BU5634"/>
      <c r="BV5634"/>
    </row>
    <row r="5635" spans="8:74" x14ac:dyDescent="0.2">
      <c r="H5635"/>
      <c r="L5635"/>
      <c r="AK5635"/>
      <c r="BU5635"/>
      <c r="BV5635"/>
    </row>
    <row r="5636" spans="8:74" x14ac:dyDescent="0.2">
      <c r="H5636"/>
      <c r="L5636"/>
      <c r="AK5636"/>
      <c r="BU5636"/>
      <c r="BV5636"/>
    </row>
    <row r="5637" spans="8:74" x14ac:dyDescent="0.2">
      <c r="H5637"/>
      <c r="L5637"/>
      <c r="BU5637"/>
      <c r="BV5637"/>
    </row>
    <row r="5638" spans="8:74" x14ac:dyDescent="0.2">
      <c r="H5638"/>
      <c r="L5638"/>
      <c r="BU5638"/>
      <c r="BV5638"/>
    </row>
    <row r="5639" spans="8:74" x14ac:dyDescent="0.2">
      <c r="H5639"/>
      <c r="L5639"/>
      <c r="AK5639"/>
      <c r="BU5639"/>
      <c r="BV5639"/>
    </row>
    <row r="5640" spans="8:74" x14ac:dyDescent="0.2">
      <c r="H5640"/>
      <c r="L5640"/>
      <c r="AK5640"/>
      <c r="BU5640"/>
      <c r="BV5640"/>
    </row>
    <row r="5641" spans="8:74" x14ac:dyDescent="0.2">
      <c r="H5641"/>
      <c r="L5641"/>
      <c r="BU5641"/>
      <c r="BV5641"/>
    </row>
    <row r="5642" spans="8:74" x14ac:dyDescent="0.2">
      <c r="H5642"/>
      <c r="L5642"/>
      <c r="BU5642"/>
      <c r="BV5642"/>
    </row>
    <row r="5643" spans="8:74" x14ac:dyDescent="0.2">
      <c r="AK5643"/>
    </row>
    <row r="5644" spans="8:74" x14ac:dyDescent="0.2">
      <c r="H5644"/>
      <c r="L5644"/>
      <c r="BU5644"/>
      <c r="BV5644"/>
    </row>
    <row r="5645" spans="8:74" x14ac:dyDescent="0.2">
      <c r="H5645"/>
      <c r="L5645"/>
      <c r="BU5645"/>
      <c r="BV5645"/>
    </row>
    <row r="5646" spans="8:74" x14ac:dyDescent="0.2">
      <c r="H5646"/>
      <c r="L5646"/>
      <c r="AK5646"/>
      <c r="BU5646"/>
      <c r="BV5646"/>
    </row>
    <row r="5647" spans="8:74" x14ac:dyDescent="0.2">
      <c r="H5647"/>
      <c r="L5647"/>
      <c r="AK5647"/>
      <c r="BU5647"/>
      <c r="BV5647"/>
    </row>
    <row r="5648" spans="8:74" x14ac:dyDescent="0.2">
      <c r="H5648"/>
      <c r="L5648"/>
      <c r="BU5648"/>
      <c r="BV5648"/>
    </row>
    <row r="5649" spans="8:74" x14ac:dyDescent="0.2">
      <c r="H5649"/>
      <c r="L5649"/>
      <c r="AK5649"/>
      <c r="BU5649"/>
      <c r="BV5649"/>
    </row>
    <row r="5650" spans="8:74" x14ac:dyDescent="0.2">
      <c r="H5650"/>
      <c r="L5650"/>
      <c r="AK5650"/>
      <c r="BU5650"/>
      <c r="BV5650"/>
    </row>
    <row r="5651" spans="8:74" x14ac:dyDescent="0.2">
      <c r="H5651"/>
      <c r="L5651"/>
      <c r="AK5651"/>
      <c r="BU5651"/>
      <c r="BV5651"/>
    </row>
    <row r="5652" spans="8:74" x14ac:dyDescent="0.2">
      <c r="H5652"/>
      <c r="L5652"/>
      <c r="AK5652"/>
      <c r="BU5652"/>
      <c r="BV5652"/>
    </row>
    <row r="5653" spans="8:74" x14ac:dyDescent="0.2">
      <c r="H5653"/>
      <c r="L5653"/>
      <c r="BU5653"/>
      <c r="BV5653"/>
    </row>
    <row r="5654" spans="8:74" x14ac:dyDescent="0.2">
      <c r="H5654"/>
      <c r="L5654"/>
      <c r="BU5654"/>
      <c r="BV5654"/>
    </row>
    <row r="5655" spans="8:74" x14ac:dyDescent="0.2">
      <c r="H5655"/>
      <c r="L5655"/>
      <c r="BU5655"/>
      <c r="BV5655"/>
    </row>
    <row r="5656" spans="8:74" x14ac:dyDescent="0.2">
      <c r="H5656"/>
      <c r="L5656"/>
      <c r="BU5656"/>
      <c r="BV5656"/>
    </row>
    <row r="5657" spans="8:74" x14ac:dyDescent="0.2">
      <c r="H5657"/>
      <c r="L5657"/>
      <c r="BU5657"/>
      <c r="BV5657"/>
    </row>
    <row r="5658" spans="8:74" x14ac:dyDescent="0.2">
      <c r="H5658"/>
      <c r="L5658"/>
      <c r="BU5658"/>
      <c r="BV5658"/>
    </row>
    <row r="5659" spans="8:74" x14ac:dyDescent="0.2">
      <c r="H5659"/>
      <c r="L5659"/>
      <c r="AK5659"/>
      <c r="BU5659"/>
      <c r="BV5659"/>
    </row>
    <row r="5660" spans="8:74" x14ac:dyDescent="0.2">
      <c r="H5660"/>
      <c r="L5660"/>
      <c r="AK5660"/>
      <c r="BU5660"/>
      <c r="BV5660"/>
    </row>
    <row r="5661" spans="8:74" x14ac:dyDescent="0.2">
      <c r="H5661"/>
      <c r="L5661"/>
      <c r="AK5661"/>
      <c r="BU5661"/>
      <c r="BV5661"/>
    </row>
    <row r="5662" spans="8:74" x14ac:dyDescent="0.2">
      <c r="H5662"/>
      <c r="L5662"/>
      <c r="BU5662"/>
      <c r="BV5662"/>
    </row>
    <row r="5663" spans="8:74" x14ac:dyDescent="0.2">
      <c r="H5663"/>
      <c r="L5663"/>
      <c r="BU5663"/>
      <c r="BV5663"/>
    </row>
    <row r="5664" spans="8:74" x14ac:dyDescent="0.2">
      <c r="H5664"/>
      <c r="L5664"/>
      <c r="BU5664"/>
      <c r="BV5664"/>
    </row>
    <row r="5665" spans="8:74" x14ac:dyDescent="0.2">
      <c r="H5665"/>
      <c r="L5665"/>
      <c r="AK5665"/>
      <c r="BU5665"/>
      <c r="BV5665"/>
    </row>
    <row r="5666" spans="8:74" x14ac:dyDescent="0.2">
      <c r="H5666"/>
      <c r="L5666"/>
      <c r="AK5666"/>
      <c r="BU5666"/>
      <c r="BV5666"/>
    </row>
    <row r="5667" spans="8:74" x14ac:dyDescent="0.2">
      <c r="H5667"/>
      <c r="L5667"/>
      <c r="AK5667"/>
      <c r="BU5667"/>
      <c r="BV5667"/>
    </row>
    <row r="5668" spans="8:74" x14ac:dyDescent="0.2">
      <c r="H5668"/>
      <c r="L5668"/>
      <c r="BU5668"/>
      <c r="BV5668"/>
    </row>
    <row r="5669" spans="8:74" x14ac:dyDescent="0.2">
      <c r="H5669"/>
      <c r="L5669"/>
      <c r="AK5669"/>
      <c r="BU5669"/>
      <c r="BV5669"/>
    </row>
    <row r="5670" spans="8:74" x14ac:dyDescent="0.2">
      <c r="H5670"/>
      <c r="L5670"/>
      <c r="AK5670"/>
      <c r="BU5670"/>
      <c r="BV5670"/>
    </row>
    <row r="5671" spans="8:74" x14ac:dyDescent="0.2">
      <c r="H5671"/>
      <c r="L5671"/>
      <c r="AK5671"/>
      <c r="BU5671"/>
      <c r="BV5671"/>
    </row>
    <row r="5672" spans="8:74" x14ac:dyDescent="0.2">
      <c r="H5672"/>
      <c r="L5672"/>
      <c r="AK5672"/>
      <c r="BU5672"/>
      <c r="BV5672"/>
    </row>
    <row r="5673" spans="8:74" x14ac:dyDescent="0.2">
      <c r="H5673"/>
      <c r="L5673"/>
      <c r="BU5673"/>
      <c r="BV5673"/>
    </row>
    <row r="5674" spans="8:74" x14ac:dyDescent="0.2">
      <c r="H5674"/>
      <c r="L5674"/>
      <c r="BU5674"/>
      <c r="BV5674"/>
    </row>
    <row r="5675" spans="8:74" x14ac:dyDescent="0.2">
      <c r="AK5675"/>
    </row>
    <row r="5676" spans="8:74" x14ac:dyDescent="0.2">
      <c r="AK5676"/>
    </row>
    <row r="5677" spans="8:74" x14ac:dyDescent="0.2">
      <c r="AK5677"/>
    </row>
    <row r="5678" spans="8:74" x14ac:dyDescent="0.2">
      <c r="H5678"/>
      <c r="L5678"/>
      <c r="AK5678"/>
      <c r="BU5678"/>
      <c r="BV5678"/>
    </row>
    <row r="5679" spans="8:74" x14ac:dyDescent="0.2">
      <c r="H5679"/>
      <c r="L5679"/>
      <c r="AK5679"/>
      <c r="BU5679"/>
      <c r="BV5679"/>
    </row>
    <row r="5680" spans="8:74" x14ac:dyDescent="0.2">
      <c r="H5680"/>
      <c r="L5680"/>
      <c r="BU5680"/>
      <c r="BV5680"/>
    </row>
    <row r="5681" spans="8:74" x14ac:dyDescent="0.2">
      <c r="H5681"/>
      <c r="L5681"/>
      <c r="AK5681"/>
      <c r="BU5681"/>
      <c r="BV5681"/>
    </row>
    <row r="5682" spans="8:74" x14ac:dyDescent="0.2">
      <c r="H5682"/>
      <c r="L5682"/>
      <c r="BU5682"/>
      <c r="BV5682"/>
    </row>
    <row r="5683" spans="8:74" x14ac:dyDescent="0.2">
      <c r="H5683"/>
      <c r="L5683"/>
      <c r="AK5683"/>
      <c r="BU5683"/>
      <c r="BV5683"/>
    </row>
    <row r="5684" spans="8:74" x14ac:dyDescent="0.2">
      <c r="H5684"/>
      <c r="L5684"/>
      <c r="AK5684"/>
      <c r="BU5684"/>
      <c r="BV5684"/>
    </row>
    <row r="5685" spans="8:74" x14ac:dyDescent="0.2">
      <c r="H5685"/>
      <c r="L5685"/>
      <c r="AK5685"/>
      <c r="BU5685"/>
      <c r="BV5685"/>
    </row>
    <row r="5686" spans="8:74" x14ac:dyDescent="0.2">
      <c r="H5686"/>
      <c r="L5686"/>
      <c r="AK5686"/>
      <c r="BU5686"/>
      <c r="BV5686"/>
    </row>
    <row r="5687" spans="8:74" x14ac:dyDescent="0.2">
      <c r="H5687"/>
      <c r="L5687"/>
      <c r="AK5687"/>
      <c r="BU5687"/>
      <c r="BV5687"/>
    </row>
    <row r="5688" spans="8:74" x14ac:dyDescent="0.2">
      <c r="H5688"/>
      <c r="L5688"/>
      <c r="AK5688"/>
      <c r="BU5688"/>
      <c r="BV5688"/>
    </row>
    <row r="5689" spans="8:74" x14ac:dyDescent="0.2">
      <c r="H5689"/>
      <c r="L5689"/>
      <c r="BU5689"/>
      <c r="BV5689"/>
    </row>
    <row r="5690" spans="8:74" x14ac:dyDescent="0.2">
      <c r="H5690"/>
      <c r="L5690"/>
      <c r="BU5690"/>
      <c r="BV5690"/>
    </row>
    <row r="5691" spans="8:74" x14ac:dyDescent="0.2">
      <c r="H5691"/>
      <c r="L5691"/>
      <c r="AK5691"/>
      <c r="BU5691"/>
      <c r="BV5691"/>
    </row>
    <row r="5692" spans="8:74" x14ac:dyDescent="0.2">
      <c r="H5692"/>
      <c r="L5692"/>
      <c r="AK5692"/>
      <c r="BU5692"/>
      <c r="BV5692"/>
    </row>
    <row r="5693" spans="8:74" x14ac:dyDescent="0.2">
      <c r="H5693"/>
      <c r="L5693"/>
      <c r="BU5693"/>
      <c r="BV5693"/>
    </row>
    <row r="5694" spans="8:74" x14ac:dyDescent="0.2">
      <c r="H5694"/>
      <c r="L5694"/>
      <c r="AK5694"/>
      <c r="BU5694"/>
      <c r="BV5694"/>
    </row>
    <row r="5695" spans="8:74" x14ac:dyDescent="0.2">
      <c r="H5695"/>
      <c r="L5695"/>
      <c r="BU5695"/>
      <c r="BV5695"/>
    </row>
    <row r="5696" spans="8:74" x14ac:dyDescent="0.2">
      <c r="H5696"/>
      <c r="L5696"/>
      <c r="AK5696"/>
      <c r="BU5696"/>
      <c r="BV5696"/>
    </row>
    <row r="5697" spans="8:74" x14ac:dyDescent="0.2">
      <c r="H5697"/>
      <c r="L5697"/>
      <c r="AK5697"/>
      <c r="BU5697"/>
      <c r="BV5697"/>
    </row>
    <row r="5698" spans="8:74" x14ac:dyDescent="0.2">
      <c r="H5698"/>
      <c r="L5698"/>
      <c r="AK5698"/>
      <c r="BU5698"/>
      <c r="BV5698"/>
    </row>
    <row r="5699" spans="8:74" x14ac:dyDescent="0.2">
      <c r="H5699"/>
      <c r="L5699"/>
      <c r="AK5699"/>
      <c r="BU5699"/>
      <c r="BV5699"/>
    </row>
    <row r="5700" spans="8:74" x14ac:dyDescent="0.2">
      <c r="H5700"/>
      <c r="L5700"/>
      <c r="AK5700"/>
      <c r="BU5700"/>
      <c r="BV5700"/>
    </row>
    <row r="5701" spans="8:74" x14ac:dyDescent="0.2">
      <c r="H5701"/>
      <c r="L5701"/>
      <c r="AK5701"/>
      <c r="BU5701"/>
      <c r="BV5701"/>
    </row>
    <row r="5702" spans="8:74" x14ac:dyDescent="0.2">
      <c r="H5702"/>
      <c r="L5702"/>
      <c r="AK5702"/>
      <c r="BU5702"/>
      <c r="BV5702"/>
    </row>
    <row r="5703" spans="8:74" x14ac:dyDescent="0.2">
      <c r="H5703"/>
      <c r="L5703"/>
      <c r="AK5703"/>
      <c r="BU5703"/>
      <c r="BV5703"/>
    </row>
    <row r="5704" spans="8:74" x14ac:dyDescent="0.2">
      <c r="H5704"/>
      <c r="L5704"/>
      <c r="AK5704"/>
      <c r="BU5704"/>
      <c r="BV5704"/>
    </row>
    <row r="5705" spans="8:74" x14ac:dyDescent="0.2">
      <c r="H5705"/>
      <c r="L5705"/>
      <c r="BU5705"/>
      <c r="BV5705"/>
    </row>
    <row r="5706" spans="8:74" x14ac:dyDescent="0.2">
      <c r="H5706"/>
      <c r="L5706"/>
      <c r="AK5706"/>
      <c r="BU5706"/>
      <c r="BV5706"/>
    </row>
    <row r="5707" spans="8:74" x14ac:dyDescent="0.2">
      <c r="H5707"/>
      <c r="L5707"/>
      <c r="BU5707"/>
      <c r="BV5707"/>
    </row>
    <row r="5708" spans="8:74" x14ac:dyDescent="0.2">
      <c r="H5708"/>
      <c r="L5708"/>
      <c r="BU5708"/>
      <c r="BV5708"/>
    </row>
    <row r="5709" spans="8:74" x14ac:dyDescent="0.2">
      <c r="H5709"/>
      <c r="L5709"/>
      <c r="BU5709"/>
      <c r="BV5709"/>
    </row>
    <row r="5710" spans="8:74" x14ac:dyDescent="0.2">
      <c r="H5710"/>
      <c r="L5710"/>
      <c r="BU5710"/>
      <c r="BV5710"/>
    </row>
    <row r="5711" spans="8:74" x14ac:dyDescent="0.2">
      <c r="H5711"/>
      <c r="L5711"/>
      <c r="AK5711"/>
      <c r="BU5711"/>
      <c r="BV5711"/>
    </row>
    <row r="5712" spans="8:74" x14ac:dyDescent="0.2">
      <c r="H5712"/>
      <c r="L5712"/>
      <c r="AK5712"/>
      <c r="BU5712"/>
      <c r="BV5712"/>
    </row>
    <row r="5713" spans="8:74" x14ac:dyDescent="0.2">
      <c r="H5713"/>
      <c r="L5713"/>
      <c r="AK5713"/>
      <c r="BU5713"/>
      <c r="BV5713"/>
    </row>
    <row r="5714" spans="8:74" x14ac:dyDescent="0.2">
      <c r="H5714"/>
      <c r="L5714"/>
      <c r="AK5714"/>
      <c r="BU5714"/>
      <c r="BV5714"/>
    </row>
    <row r="5715" spans="8:74" x14ac:dyDescent="0.2">
      <c r="H5715"/>
      <c r="L5715"/>
      <c r="AK5715"/>
      <c r="BU5715"/>
      <c r="BV5715"/>
    </row>
    <row r="5716" spans="8:74" x14ac:dyDescent="0.2">
      <c r="H5716"/>
      <c r="L5716"/>
      <c r="AK5716"/>
      <c r="BU5716"/>
      <c r="BV5716"/>
    </row>
    <row r="5717" spans="8:74" x14ac:dyDescent="0.2">
      <c r="H5717"/>
      <c r="L5717"/>
      <c r="AK5717"/>
      <c r="BU5717"/>
      <c r="BV5717"/>
    </row>
    <row r="5718" spans="8:74" x14ac:dyDescent="0.2">
      <c r="H5718"/>
      <c r="L5718"/>
      <c r="BU5718"/>
      <c r="BV5718"/>
    </row>
    <row r="5719" spans="8:74" x14ac:dyDescent="0.2">
      <c r="H5719"/>
      <c r="L5719"/>
      <c r="BU5719"/>
      <c r="BV5719"/>
    </row>
    <row r="5720" spans="8:74" x14ac:dyDescent="0.2">
      <c r="H5720"/>
      <c r="L5720"/>
      <c r="BU5720"/>
      <c r="BV5720"/>
    </row>
    <row r="5721" spans="8:74" x14ac:dyDescent="0.2">
      <c r="H5721"/>
      <c r="L5721"/>
      <c r="BU5721"/>
      <c r="BV5721"/>
    </row>
    <row r="5722" spans="8:74" x14ac:dyDescent="0.2">
      <c r="H5722"/>
      <c r="L5722"/>
      <c r="BU5722"/>
      <c r="BV5722"/>
    </row>
    <row r="5723" spans="8:74" x14ac:dyDescent="0.2">
      <c r="H5723"/>
      <c r="L5723"/>
      <c r="AK5723"/>
      <c r="BU5723"/>
      <c r="BV5723"/>
    </row>
    <row r="5724" spans="8:74" x14ac:dyDescent="0.2">
      <c r="H5724"/>
      <c r="L5724"/>
      <c r="AK5724"/>
      <c r="BU5724"/>
      <c r="BV5724"/>
    </row>
    <row r="5725" spans="8:74" x14ac:dyDescent="0.2">
      <c r="H5725"/>
      <c r="L5725"/>
      <c r="AK5725"/>
      <c r="BU5725"/>
      <c r="BV5725"/>
    </row>
    <row r="5726" spans="8:74" x14ac:dyDescent="0.2">
      <c r="H5726"/>
      <c r="L5726"/>
      <c r="AK5726"/>
      <c r="BU5726"/>
      <c r="BV5726"/>
    </row>
    <row r="5727" spans="8:74" x14ac:dyDescent="0.2">
      <c r="H5727"/>
      <c r="L5727"/>
      <c r="AK5727"/>
      <c r="BU5727"/>
      <c r="BV5727"/>
    </row>
    <row r="5728" spans="8:74" x14ac:dyDescent="0.2">
      <c r="H5728"/>
      <c r="L5728"/>
      <c r="AK5728"/>
      <c r="BU5728"/>
      <c r="BV5728"/>
    </row>
    <row r="5729" spans="8:74" x14ac:dyDescent="0.2">
      <c r="H5729"/>
      <c r="L5729"/>
      <c r="AK5729"/>
      <c r="BU5729"/>
      <c r="BV5729"/>
    </row>
    <row r="5730" spans="8:74" x14ac:dyDescent="0.2">
      <c r="H5730"/>
      <c r="L5730"/>
      <c r="AK5730"/>
      <c r="BU5730"/>
      <c r="BV5730"/>
    </row>
    <row r="5731" spans="8:74" x14ac:dyDescent="0.2">
      <c r="H5731"/>
      <c r="L5731"/>
      <c r="AK5731"/>
      <c r="BU5731"/>
      <c r="BV5731"/>
    </row>
    <row r="5732" spans="8:74" x14ac:dyDescent="0.2">
      <c r="H5732"/>
      <c r="L5732"/>
      <c r="AK5732"/>
      <c r="BU5732"/>
      <c r="BV5732"/>
    </row>
    <row r="5733" spans="8:74" x14ac:dyDescent="0.2">
      <c r="H5733"/>
      <c r="L5733"/>
      <c r="BU5733"/>
      <c r="BV5733"/>
    </row>
    <row r="5734" spans="8:74" x14ac:dyDescent="0.2">
      <c r="AK5734"/>
    </row>
    <row r="5735" spans="8:74" x14ac:dyDescent="0.2">
      <c r="H5735"/>
      <c r="L5735"/>
      <c r="AK5735"/>
      <c r="BU5735"/>
      <c r="BV5735"/>
    </row>
    <row r="5736" spans="8:74" x14ac:dyDescent="0.2">
      <c r="H5736"/>
      <c r="L5736"/>
      <c r="AK5736"/>
      <c r="BU5736"/>
      <c r="BV5736"/>
    </row>
    <row r="5737" spans="8:74" x14ac:dyDescent="0.2">
      <c r="H5737"/>
      <c r="L5737"/>
      <c r="AK5737"/>
      <c r="BU5737"/>
      <c r="BV5737"/>
    </row>
    <row r="5738" spans="8:74" x14ac:dyDescent="0.2">
      <c r="H5738"/>
      <c r="L5738"/>
      <c r="AK5738"/>
      <c r="BU5738"/>
      <c r="BV5738"/>
    </row>
    <row r="5739" spans="8:74" x14ac:dyDescent="0.2">
      <c r="H5739"/>
      <c r="L5739"/>
      <c r="AK5739"/>
      <c r="BU5739"/>
      <c r="BV5739"/>
    </row>
    <row r="5740" spans="8:74" x14ac:dyDescent="0.2">
      <c r="H5740"/>
      <c r="L5740"/>
      <c r="AK5740"/>
      <c r="BU5740"/>
      <c r="BV5740"/>
    </row>
    <row r="5741" spans="8:74" x14ac:dyDescent="0.2">
      <c r="H5741"/>
      <c r="L5741"/>
      <c r="AK5741"/>
      <c r="BU5741"/>
      <c r="BV5741"/>
    </row>
    <row r="5742" spans="8:74" x14ac:dyDescent="0.2">
      <c r="H5742"/>
      <c r="L5742"/>
      <c r="AK5742"/>
      <c r="BU5742"/>
      <c r="BV5742"/>
    </row>
    <row r="5743" spans="8:74" x14ac:dyDescent="0.2">
      <c r="H5743"/>
      <c r="L5743"/>
      <c r="BU5743"/>
      <c r="BV5743"/>
    </row>
    <row r="5744" spans="8:74" x14ac:dyDescent="0.2">
      <c r="H5744"/>
      <c r="L5744"/>
      <c r="AK5744"/>
      <c r="BU5744"/>
      <c r="BV5744"/>
    </row>
    <row r="5745" spans="8:74" x14ac:dyDescent="0.2">
      <c r="H5745"/>
      <c r="L5745"/>
      <c r="AK5745"/>
      <c r="BU5745"/>
      <c r="BV5745"/>
    </row>
    <row r="5746" spans="8:74" x14ac:dyDescent="0.2">
      <c r="H5746"/>
      <c r="L5746"/>
      <c r="AK5746"/>
      <c r="BU5746"/>
      <c r="BV5746"/>
    </row>
    <row r="5747" spans="8:74" x14ac:dyDescent="0.2">
      <c r="H5747"/>
      <c r="L5747"/>
      <c r="BU5747"/>
      <c r="BV5747"/>
    </row>
    <row r="5748" spans="8:74" x14ac:dyDescent="0.2">
      <c r="H5748"/>
      <c r="L5748"/>
      <c r="BU5748"/>
      <c r="BV5748"/>
    </row>
    <row r="5749" spans="8:74" x14ac:dyDescent="0.2">
      <c r="H5749"/>
      <c r="L5749"/>
      <c r="AK5749"/>
      <c r="BU5749"/>
      <c r="BV5749"/>
    </row>
    <row r="5750" spans="8:74" x14ac:dyDescent="0.2">
      <c r="H5750"/>
      <c r="L5750"/>
      <c r="BU5750"/>
      <c r="BV5750"/>
    </row>
    <row r="5751" spans="8:74" x14ac:dyDescent="0.2">
      <c r="H5751"/>
      <c r="L5751"/>
      <c r="BU5751"/>
      <c r="BV5751"/>
    </row>
    <row r="5752" spans="8:74" x14ac:dyDescent="0.2">
      <c r="H5752"/>
      <c r="L5752"/>
      <c r="BU5752"/>
      <c r="BV5752"/>
    </row>
    <row r="5753" spans="8:74" x14ac:dyDescent="0.2">
      <c r="H5753"/>
      <c r="L5753"/>
      <c r="BU5753"/>
      <c r="BV5753"/>
    </row>
    <row r="5754" spans="8:74" x14ac:dyDescent="0.2">
      <c r="H5754"/>
      <c r="L5754"/>
      <c r="BU5754"/>
      <c r="BV5754"/>
    </row>
    <row r="5755" spans="8:74" x14ac:dyDescent="0.2">
      <c r="H5755"/>
      <c r="L5755"/>
      <c r="AK5755"/>
      <c r="BU5755"/>
      <c r="BV5755"/>
    </row>
    <row r="5756" spans="8:74" x14ac:dyDescent="0.2">
      <c r="H5756"/>
      <c r="L5756"/>
      <c r="AK5756"/>
      <c r="BU5756"/>
      <c r="BV5756"/>
    </row>
    <row r="5757" spans="8:74" x14ac:dyDescent="0.2">
      <c r="H5757"/>
      <c r="L5757"/>
      <c r="AK5757"/>
      <c r="BU5757"/>
      <c r="BV5757"/>
    </row>
    <row r="5758" spans="8:74" x14ac:dyDescent="0.2">
      <c r="AK5758"/>
    </row>
    <row r="5759" spans="8:74" x14ac:dyDescent="0.2">
      <c r="H5759"/>
      <c r="L5759"/>
      <c r="AK5759"/>
      <c r="BU5759"/>
      <c r="BV5759"/>
    </row>
    <row r="5760" spans="8:74" x14ac:dyDescent="0.2">
      <c r="H5760"/>
      <c r="L5760"/>
      <c r="AK5760"/>
      <c r="BU5760"/>
      <c r="BV5760"/>
    </row>
    <row r="5761" spans="8:74" x14ac:dyDescent="0.2">
      <c r="H5761"/>
      <c r="L5761"/>
      <c r="BU5761"/>
      <c r="BV5761"/>
    </row>
    <row r="5762" spans="8:74" x14ac:dyDescent="0.2">
      <c r="H5762"/>
      <c r="L5762"/>
      <c r="BU5762"/>
      <c r="BV5762"/>
    </row>
    <row r="5763" spans="8:74" x14ac:dyDescent="0.2">
      <c r="H5763"/>
      <c r="L5763"/>
      <c r="AK5763"/>
      <c r="BU5763"/>
      <c r="BV5763"/>
    </row>
    <row r="5764" spans="8:74" x14ac:dyDescent="0.2">
      <c r="H5764"/>
      <c r="L5764"/>
      <c r="AK5764"/>
      <c r="BU5764"/>
      <c r="BV5764"/>
    </row>
    <row r="5765" spans="8:74" x14ac:dyDescent="0.2">
      <c r="H5765"/>
      <c r="L5765"/>
      <c r="AK5765"/>
      <c r="BU5765"/>
      <c r="BV5765"/>
    </row>
    <row r="5766" spans="8:74" x14ac:dyDescent="0.2">
      <c r="H5766"/>
      <c r="L5766"/>
      <c r="AK5766"/>
      <c r="BU5766"/>
      <c r="BV5766"/>
    </row>
    <row r="5767" spans="8:74" x14ac:dyDescent="0.2">
      <c r="H5767"/>
      <c r="L5767"/>
      <c r="AK5767"/>
      <c r="BU5767"/>
      <c r="BV5767"/>
    </row>
    <row r="5768" spans="8:74" x14ac:dyDescent="0.2">
      <c r="H5768"/>
      <c r="L5768"/>
      <c r="BU5768"/>
      <c r="BV5768"/>
    </row>
    <row r="5769" spans="8:74" x14ac:dyDescent="0.2">
      <c r="H5769"/>
      <c r="L5769"/>
      <c r="AK5769"/>
      <c r="BU5769"/>
      <c r="BV5769"/>
    </row>
    <row r="5770" spans="8:74" x14ac:dyDescent="0.2">
      <c r="H5770"/>
      <c r="L5770"/>
      <c r="AK5770"/>
      <c r="BU5770"/>
      <c r="BV5770"/>
    </row>
    <row r="5771" spans="8:74" x14ac:dyDescent="0.2">
      <c r="H5771"/>
      <c r="L5771"/>
      <c r="AK5771"/>
      <c r="BU5771"/>
      <c r="BV5771"/>
    </row>
    <row r="5772" spans="8:74" x14ac:dyDescent="0.2">
      <c r="H5772"/>
      <c r="L5772"/>
      <c r="AK5772"/>
      <c r="BU5772"/>
      <c r="BV5772"/>
    </row>
    <row r="5773" spans="8:74" x14ac:dyDescent="0.2">
      <c r="H5773"/>
      <c r="L5773"/>
      <c r="AK5773"/>
      <c r="BU5773"/>
      <c r="BV5773"/>
    </row>
    <row r="5774" spans="8:74" x14ac:dyDescent="0.2">
      <c r="H5774"/>
      <c r="L5774"/>
      <c r="BU5774"/>
      <c r="BV5774"/>
    </row>
    <row r="5775" spans="8:74" x14ac:dyDescent="0.2">
      <c r="H5775"/>
      <c r="L5775"/>
      <c r="BU5775"/>
      <c r="BV5775"/>
    </row>
    <row r="5776" spans="8:74" x14ac:dyDescent="0.2">
      <c r="H5776"/>
      <c r="L5776"/>
      <c r="BU5776"/>
      <c r="BV5776"/>
    </row>
    <row r="5777" spans="8:74" x14ac:dyDescent="0.2">
      <c r="H5777"/>
      <c r="L5777"/>
      <c r="BU5777"/>
      <c r="BV5777"/>
    </row>
    <row r="5778" spans="8:74" x14ac:dyDescent="0.2">
      <c r="H5778"/>
      <c r="L5778"/>
      <c r="BU5778"/>
      <c r="BV5778"/>
    </row>
    <row r="5779" spans="8:74" x14ac:dyDescent="0.2">
      <c r="H5779"/>
      <c r="L5779"/>
      <c r="BU5779"/>
      <c r="BV5779"/>
    </row>
    <row r="5780" spans="8:74" x14ac:dyDescent="0.2">
      <c r="H5780"/>
      <c r="L5780"/>
      <c r="BU5780"/>
      <c r="BV5780"/>
    </row>
    <row r="5781" spans="8:74" x14ac:dyDescent="0.2">
      <c r="H5781"/>
      <c r="L5781"/>
      <c r="BU5781"/>
      <c r="BV5781"/>
    </row>
    <row r="5782" spans="8:74" x14ac:dyDescent="0.2">
      <c r="H5782"/>
      <c r="L5782"/>
      <c r="BU5782"/>
      <c r="BV5782"/>
    </row>
    <row r="5783" spans="8:74" x14ac:dyDescent="0.2">
      <c r="H5783"/>
      <c r="L5783"/>
      <c r="AK5783"/>
      <c r="BU5783"/>
      <c r="BV5783"/>
    </row>
    <row r="5784" spans="8:74" x14ac:dyDescent="0.2">
      <c r="H5784"/>
      <c r="L5784"/>
      <c r="BU5784"/>
      <c r="BV5784"/>
    </row>
    <row r="5785" spans="8:74" x14ac:dyDescent="0.2">
      <c r="H5785"/>
      <c r="L5785"/>
      <c r="AK5785"/>
      <c r="BU5785"/>
      <c r="BV5785"/>
    </row>
    <row r="5786" spans="8:74" x14ac:dyDescent="0.2">
      <c r="H5786"/>
      <c r="L5786"/>
      <c r="BU5786"/>
      <c r="BV5786"/>
    </row>
    <row r="5787" spans="8:74" x14ac:dyDescent="0.2">
      <c r="H5787"/>
      <c r="L5787"/>
      <c r="BU5787"/>
      <c r="BV5787"/>
    </row>
    <row r="5788" spans="8:74" x14ac:dyDescent="0.2">
      <c r="H5788"/>
      <c r="L5788"/>
      <c r="AK5788"/>
      <c r="BU5788"/>
      <c r="BV5788"/>
    </row>
    <row r="5789" spans="8:74" x14ac:dyDescent="0.2">
      <c r="H5789"/>
      <c r="L5789"/>
      <c r="AK5789"/>
      <c r="BU5789"/>
      <c r="BV5789"/>
    </row>
    <row r="5790" spans="8:74" x14ac:dyDescent="0.2">
      <c r="H5790"/>
      <c r="L5790"/>
      <c r="BU5790"/>
      <c r="BV5790"/>
    </row>
    <row r="5791" spans="8:74" x14ac:dyDescent="0.2">
      <c r="H5791"/>
      <c r="L5791"/>
      <c r="BU5791"/>
      <c r="BV5791"/>
    </row>
    <row r="5792" spans="8:74" x14ac:dyDescent="0.2">
      <c r="H5792"/>
      <c r="L5792"/>
      <c r="BU5792"/>
      <c r="BV5792"/>
    </row>
    <row r="5793" spans="8:74" x14ac:dyDescent="0.2">
      <c r="H5793"/>
      <c r="L5793"/>
      <c r="BU5793"/>
      <c r="BV5793"/>
    </row>
    <row r="5794" spans="8:74" x14ac:dyDescent="0.2">
      <c r="H5794"/>
      <c r="L5794"/>
      <c r="BU5794"/>
      <c r="BV5794"/>
    </row>
    <row r="5795" spans="8:74" x14ac:dyDescent="0.2">
      <c r="H5795"/>
      <c r="L5795"/>
      <c r="BU5795"/>
      <c r="BV5795"/>
    </row>
    <row r="5796" spans="8:74" x14ac:dyDescent="0.2">
      <c r="H5796"/>
      <c r="L5796"/>
      <c r="AK5796"/>
      <c r="BU5796"/>
      <c r="BV5796"/>
    </row>
    <row r="5797" spans="8:74" x14ac:dyDescent="0.2">
      <c r="H5797"/>
      <c r="L5797"/>
      <c r="BU5797"/>
      <c r="BV5797"/>
    </row>
    <row r="5798" spans="8:74" x14ac:dyDescent="0.2">
      <c r="H5798"/>
      <c r="L5798"/>
      <c r="AK5798"/>
      <c r="BU5798"/>
      <c r="BV5798"/>
    </row>
    <row r="5799" spans="8:74" x14ac:dyDescent="0.2">
      <c r="H5799"/>
      <c r="L5799"/>
      <c r="AK5799"/>
      <c r="BU5799"/>
      <c r="BV5799"/>
    </row>
    <row r="5800" spans="8:74" x14ac:dyDescent="0.2">
      <c r="H5800"/>
      <c r="L5800"/>
      <c r="AK5800"/>
      <c r="BU5800"/>
      <c r="BV5800"/>
    </row>
    <row r="5801" spans="8:74" x14ac:dyDescent="0.2">
      <c r="H5801"/>
      <c r="L5801"/>
      <c r="AK5801"/>
      <c r="BU5801"/>
      <c r="BV5801"/>
    </row>
    <row r="5802" spans="8:74" x14ac:dyDescent="0.2">
      <c r="H5802"/>
      <c r="L5802"/>
      <c r="AK5802"/>
      <c r="BU5802"/>
      <c r="BV5802"/>
    </row>
    <row r="5803" spans="8:74" x14ac:dyDescent="0.2">
      <c r="H5803"/>
      <c r="L5803"/>
      <c r="AK5803"/>
      <c r="BU5803"/>
      <c r="BV5803"/>
    </row>
    <row r="5804" spans="8:74" x14ac:dyDescent="0.2">
      <c r="H5804"/>
      <c r="L5804"/>
      <c r="AK5804"/>
      <c r="BU5804"/>
      <c r="BV5804"/>
    </row>
    <row r="5805" spans="8:74" x14ac:dyDescent="0.2">
      <c r="H5805"/>
      <c r="L5805"/>
      <c r="AK5805"/>
      <c r="BU5805"/>
      <c r="BV5805"/>
    </row>
    <row r="5806" spans="8:74" x14ac:dyDescent="0.2">
      <c r="H5806"/>
      <c r="L5806"/>
      <c r="AK5806"/>
      <c r="BU5806"/>
      <c r="BV5806"/>
    </row>
    <row r="5807" spans="8:74" x14ac:dyDescent="0.2">
      <c r="H5807"/>
      <c r="L5807"/>
      <c r="BU5807"/>
      <c r="BV5807"/>
    </row>
    <row r="5808" spans="8:74" x14ac:dyDescent="0.2">
      <c r="H5808"/>
      <c r="L5808"/>
      <c r="BU5808"/>
      <c r="BV5808"/>
    </row>
    <row r="5809" spans="8:74" x14ac:dyDescent="0.2">
      <c r="H5809"/>
      <c r="L5809"/>
      <c r="BU5809"/>
      <c r="BV5809"/>
    </row>
    <row r="5810" spans="8:74" x14ac:dyDescent="0.2">
      <c r="H5810"/>
      <c r="L5810"/>
      <c r="AK5810"/>
      <c r="BU5810"/>
      <c r="BV5810"/>
    </row>
    <row r="5811" spans="8:74" x14ac:dyDescent="0.2">
      <c r="H5811"/>
      <c r="L5811"/>
      <c r="AK5811"/>
      <c r="BU5811"/>
      <c r="BV5811"/>
    </row>
    <row r="5812" spans="8:74" x14ac:dyDescent="0.2">
      <c r="AK5812"/>
    </row>
    <row r="5813" spans="8:74" x14ac:dyDescent="0.2">
      <c r="H5813"/>
      <c r="L5813"/>
      <c r="AK5813"/>
      <c r="BU5813"/>
      <c r="BV5813"/>
    </row>
    <row r="5814" spans="8:74" x14ac:dyDescent="0.2">
      <c r="H5814"/>
      <c r="L5814"/>
      <c r="BU5814"/>
      <c r="BV5814"/>
    </row>
    <row r="5815" spans="8:74" x14ac:dyDescent="0.2">
      <c r="H5815"/>
      <c r="L5815"/>
      <c r="AK5815"/>
      <c r="BU5815"/>
      <c r="BV5815"/>
    </row>
    <row r="5816" spans="8:74" x14ac:dyDescent="0.2">
      <c r="H5816"/>
      <c r="L5816"/>
      <c r="AK5816"/>
      <c r="BU5816"/>
      <c r="BV5816"/>
    </row>
    <row r="5817" spans="8:74" x14ac:dyDescent="0.2">
      <c r="H5817"/>
      <c r="L5817"/>
      <c r="AK5817"/>
      <c r="BU5817"/>
      <c r="BV5817"/>
    </row>
    <row r="5818" spans="8:74" x14ac:dyDescent="0.2">
      <c r="H5818"/>
      <c r="L5818"/>
      <c r="AK5818"/>
      <c r="BU5818"/>
      <c r="BV5818"/>
    </row>
    <row r="5819" spans="8:74" x14ac:dyDescent="0.2">
      <c r="H5819"/>
      <c r="L5819"/>
      <c r="AK5819"/>
      <c r="BU5819"/>
      <c r="BV5819"/>
    </row>
    <row r="5820" spans="8:74" x14ac:dyDescent="0.2">
      <c r="H5820"/>
      <c r="L5820"/>
      <c r="AK5820"/>
      <c r="BU5820"/>
      <c r="BV5820"/>
    </row>
    <row r="5821" spans="8:74" x14ac:dyDescent="0.2">
      <c r="H5821"/>
      <c r="L5821"/>
      <c r="AK5821"/>
      <c r="BU5821"/>
      <c r="BV5821"/>
    </row>
    <row r="5822" spans="8:74" x14ac:dyDescent="0.2">
      <c r="H5822"/>
      <c r="L5822"/>
      <c r="AK5822"/>
      <c r="BU5822"/>
      <c r="BV5822"/>
    </row>
    <row r="5823" spans="8:74" x14ac:dyDescent="0.2">
      <c r="H5823"/>
      <c r="L5823"/>
      <c r="AK5823"/>
      <c r="BU5823"/>
      <c r="BV5823"/>
    </row>
    <row r="5824" spans="8:74" x14ac:dyDescent="0.2">
      <c r="H5824"/>
      <c r="L5824"/>
      <c r="BU5824"/>
      <c r="BV5824"/>
    </row>
    <row r="5825" spans="8:74" x14ac:dyDescent="0.2">
      <c r="H5825"/>
      <c r="L5825"/>
      <c r="BU5825"/>
      <c r="BV5825"/>
    </row>
    <row r="5826" spans="8:74" x14ac:dyDescent="0.2">
      <c r="H5826"/>
      <c r="L5826"/>
      <c r="BU5826"/>
      <c r="BV5826"/>
    </row>
    <row r="5827" spans="8:74" x14ac:dyDescent="0.2">
      <c r="H5827"/>
      <c r="L5827"/>
      <c r="BU5827"/>
      <c r="BV5827"/>
    </row>
    <row r="5828" spans="8:74" x14ac:dyDescent="0.2">
      <c r="H5828"/>
      <c r="L5828"/>
      <c r="BU5828"/>
      <c r="BV5828"/>
    </row>
    <row r="5829" spans="8:74" x14ac:dyDescent="0.2">
      <c r="H5829"/>
      <c r="L5829"/>
      <c r="BU5829"/>
      <c r="BV5829"/>
    </row>
    <row r="5830" spans="8:74" x14ac:dyDescent="0.2">
      <c r="H5830"/>
      <c r="L5830"/>
      <c r="BU5830"/>
      <c r="BV5830"/>
    </row>
    <row r="5831" spans="8:74" x14ac:dyDescent="0.2">
      <c r="H5831"/>
      <c r="L5831"/>
      <c r="BU5831"/>
      <c r="BV5831"/>
    </row>
    <row r="5832" spans="8:74" x14ac:dyDescent="0.2">
      <c r="H5832"/>
      <c r="L5832"/>
      <c r="BU5832"/>
      <c r="BV5832"/>
    </row>
    <row r="5833" spans="8:74" x14ac:dyDescent="0.2">
      <c r="H5833"/>
      <c r="L5833"/>
      <c r="BU5833"/>
      <c r="BV5833"/>
    </row>
    <row r="5834" spans="8:74" x14ac:dyDescent="0.2">
      <c r="H5834"/>
      <c r="L5834"/>
      <c r="BU5834"/>
      <c r="BV5834"/>
    </row>
    <row r="5835" spans="8:74" x14ac:dyDescent="0.2">
      <c r="H5835"/>
      <c r="L5835"/>
      <c r="BU5835"/>
      <c r="BV5835"/>
    </row>
    <row r="5836" spans="8:74" x14ac:dyDescent="0.2">
      <c r="H5836"/>
      <c r="L5836"/>
      <c r="BU5836"/>
      <c r="BV5836"/>
    </row>
    <row r="5837" spans="8:74" x14ac:dyDescent="0.2">
      <c r="H5837"/>
      <c r="L5837"/>
      <c r="BU5837"/>
      <c r="BV5837"/>
    </row>
    <row r="5838" spans="8:74" x14ac:dyDescent="0.2">
      <c r="H5838"/>
      <c r="L5838"/>
      <c r="AK5838"/>
      <c r="BU5838"/>
      <c r="BV5838"/>
    </row>
    <row r="5839" spans="8:74" x14ac:dyDescent="0.2">
      <c r="H5839"/>
      <c r="L5839"/>
      <c r="AK5839"/>
      <c r="BU5839"/>
      <c r="BV5839"/>
    </row>
    <row r="5840" spans="8:74" x14ac:dyDescent="0.2">
      <c r="AK5840"/>
    </row>
    <row r="5841" spans="8:74" x14ac:dyDescent="0.2">
      <c r="H5841"/>
      <c r="L5841"/>
      <c r="AK5841"/>
      <c r="BU5841"/>
      <c r="BV5841"/>
    </row>
    <row r="5842" spans="8:74" x14ac:dyDescent="0.2">
      <c r="H5842"/>
      <c r="L5842"/>
      <c r="AK5842"/>
      <c r="BU5842"/>
      <c r="BV5842"/>
    </row>
    <row r="5843" spans="8:74" x14ac:dyDescent="0.2">
      <c r="H5843"/>
      <c r="L5843"/>
      <c r="AK5843"/>
      <c r="BU5843"/>
      <c r="BV5843"/>
    </row>
    <row r="5844" spans="8:74" x14ac:dyDescent="0.2">
      <c r="H5844"/>
      <c r="L5844"/>
      <c r="AK5844"/>
      <c r="BU5844"/>
      <c r="BV5844"/>
    </row>
    <row r="5845" spans="8:74" x14ac:dyDescent="0.2">
      <c r="H5845"/>
      <c r="L5845"/>
      <c r="AK5845"/>
      <c r="BU5845"/>
      <c r="BV5845"/>
    </row>
    <row r="5846" spans="8:74" x14ac:dyDescent="0.2">
      <c r="H5846"/>
      <c r="L5846"/>
      <c r="BU5846"/>
      <c r="BV5846"/>
    </row>
    <row r="5847" spans="8:74" x14ac:dyDescent="0.2">
      <c r="H5847"/>
      <c r="L5847"/>
      <c r="BU5847"/>
      <c r="BV5847"/>
    </row>
    <row r="5848" spans="8:74" x14ac:dyDescent="0.2">
      <c r="H5848"/>
      <c r="L5848"/>
      <c r="AK5848"/>
      <c r="BU5848"/>
      <c r="BV5848"/>
    </row>
    <row r="5849" spans="8:74" x14ac:dyDescent="0.2">
      <c r="H5849"/>
      <c r="L5849"/>
      <c r="BU5849"/>
      <c r="BV5849"/>
    </row>
    <row r="5850" spans="8:74" x14ac:dyDescent="0.2">
      <c r="H5850"/>
      <c r="L5850"/>
      <c r="AK5850"/>
      <c r="BU5850"/>
      <c r="BV5850"/>
    </row>
    <row r="5851" spans="8:74" x14ac:dyDescent="0.2">
      <c r="H5851"/>
      <c r="L5851"/>
      <c r="AK5851"/>
      <c r="BU5851"/>
      <c r="BV5851"/>
    </row>
    <row r="5852" spans="8:74" x14ac:dyDescent="0.2">
      <c r="H5852"/>
      <c r="L5852"/>
      <c r="AK5852"/>
      <c r="BU5852"/>
      <c r="BV5852"/>
    </row>
    <row r="5853" spans="8:74" x14ac:dyDescent="0.2">
      <c r="AK5853"/>
    </row>
    <row r="5854" spans="8:74" x14ac:dyDescent="0.2">
      <c r="H5854"/>
      <c r="L5854"/>
      <c r="AK5854"/>
      <c r="BU5854"/>
      <c r="BV5854"/>
    </row>
  </sheetData>
  <conditionalFormatting sqref="C1:C1048576">
    <cfRule type="duplicateValues" dxfId="0" priority="1"/>
  </conditionalFormatting>
  <pageMargins left="0.7" right="0.7" top="0.75" bottom="0.75" header="0.3" footer="0.3"/>
  <pageSetup paperSize="256" orientation="portrait" horizontalDpi="203" verticalDpi="20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indexed="44"/>
  </sheetPr>
  <dimension ref="A1:AE273"/>
  <sheetViews>
    <sheetView showGridLines="0" zoomScaleNormal="100" workbookViewId="0">
      <pane xSplit="2" ySplit="5" topLeftCell="F240" activePane="bottomRight" state="frozen"/>
      <selection activeCell="C6" sqref="C6"/>
      <selection pane="topRight" activeCell="C6" sqref="C6"/>
      <selection pane="bottomLeft" activeCell="C6" sqref="C6"/>
      <selection pane="bottomRight" activeCell="K249" sqref="K249"/>
    </sheetView>
  </sheetViews>
  <sheetFormatPr defaultRowHeight="12.75" x14ac:dyDescent="0.2"/>
  <cols>
    <col min="1" max="1" width="43.140625" customWidth="1"/>
    <col min="2" max="2" width="3.85546875" customWidth="1"/>
    <col min="3" max="3" width="9.85546875" customWidth="1"/>
    <col min="4" max="4" width="10.42578125" customWidth="1"/>
    <col min="10" max="10" width="9.140625" style="813" customWidth="1"/>
    <col min="11" max="11" width="11.28515625" style="813" customWidth="1"/>
    <col min="14" max="27" width="9.140625" customWidth="1"/>
    <col min="28" max="28" width="9.140625" style="1175"/>
    <col min="29" max="30" width="9.140625" style="1345" customWidth="1"/>
    <col min="31" max="31" width="9.140625" style="1175"/>
  </cols>
  <sheetData>
    <row r="1" spans="1:30" x14ac:dyDescent="0.2">
      <c r="A1" s="57" t="str">
        <f>muni&amp;" - "&amp;_ADJ3&amp;" - B"&amp;" - "&amp;Date</f>
        <v xml:space="preserve">KZN226 Mkhambathini - Table B2 Adjustments Budget Financial Performance (functional classification) - B - </v>
      </c>
      <c r="B1" s="828"/>
      <c r="C1" s="828"/>
    </row>
    <row r="2" spans="1:30" ht="35.25" customHeight="1" x14ac:dyDescent="0.2">
      <c r="A2" s="705" t="str">
        <f>"Standard Classification "&amp;desc</f>
        <v>Standard Classification Description</v>
      </c>
      <c r="B2" s="718" t="str">
        <f>head27</f>
        <v>Ref</v>
      </c>
      <c r="C2" s="1418" t="str">
        <f>Head2</f>
        <v>Budget Year 2020/21</v>
      </c>
      <c r="D2" s="1418"/>
      <c r="E2" s="1418"/>
      <c r="F2" s="1418"/>
      <c r="G2" s="1418"/>
      <c r="H2" s="1418"/>
      <c r="I2" s="1418"/>
      <c r="J2" s="1418"/>
      <c r="K2" s="1418"/>
      <c r="L2" s="103" t="str">
        <f>Head10</f>
        <v>Budget Year +1 2021/22</v>
      </c>
      <c r="M2" s="61" t="str">
        <f>Head11</f>
        <v>Budget Year +2 2022/23</v>
      </c>
    </row>
    <row r="3" spans="1:30" ht="25.5" x14ac:dyDescent="0.2">
      <c r="A3" s="828"/>
      <c r="B3" s="82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30" x14ac:dyDescent="0.2">
      <c r="A4" s="294"/>
      <c r="B4" s="719"/>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30" ht="13.5" x14ac:dyDescent="0.25">
      <c r="A5" s="18" t="s">
        <v>516</v>
      </c>
      <c r="B5" s="720">
        <v>1</v>
      </c>
      <c r="C5" s="67" t="s">
        <v>549</v>
      </c>
      <c r="D5" s="68" t="s">
        <v>550</v>
      </c>
      <c r="E5" s="68" t="s">
        <v>551</v>
      </c>
      <c r="F5" s="69" t="s">
        <v>552</v>
      </c>
      <c r="G5" s="69" t="s">
        <v>553</v>
      </c>
      <c r="H5" s="69" t="s">
        <v>554</v>
      </c>
      <c r="I5" s="70" t="s">
        <v>555</v>
      </c>
      <c r="J5" s="70" t="s">
        <v>556</v>
      </c>
      <c r="K5" s="70" t="s">
        <v>557</v>
      </c>
      <c r="L5" s="70"/>
      <c r="M5" s="71"/>
    </row>
    <row r="6" spans="1:30" ht="13.5" x14ac:dyDescent="0.25">
      <c r="A6" s="484" t="s">
        <v>1561</v>
      </c>
      <c r="B6" s="721"/>
      <c r="C6" s="726"/>
      <c r="D6" s="706"/>
      <c r="E6" s="706"/>
      <c r="F6" s="706"/>
      <c r="G6" s="706"/>
      <c r="H6" s="706"/>
      <c r="I6" s="706"/>
      <c r="J6" s="873"/>
      <c r="K6" s="873"/>
      <c r="L6" s="706"/>
      <c r="M6" s="728"/>
      <c r="N6" s="813"/>
    </row>
    <row r="7" spans="1:30" ht="13.5" x14ac:dyDescent="0.25">
      <c r="A7" s="107" t="s">
        <v>994</v>
      </c>
      <c r="B7" s="722"/>
      <c r="C7" s="708">
        <f t="shared" ref="C7:I7" si="1">C8+C11+C25</f>
        <v>113346009</v>
      </c>
      <c r="D7" s="707">
        <f t="shared" si="1"/>
        <v>125751009</v>
      </c>
      <c r="E7" s="707">
        <f t="shared" si="1"/>
        <v>0</v>
      </c>
      <c r="F7" s="707">
        <f t="shared" si="1"/>
        <v>0</v>
      </c>
      <c r="G7" s="707">
        <f t="shared" si="1"/>
        <v>0</v>
      </c>
      <c r="H7" s="707">
        <f t="shared" si="1"/>
        <v>0</v>
      </c>
      <c r="I7" s="707">
        <f t="shared" si="1"/>
        <v>-2079321</v>
      </c>
      <c r="J7" s="707">
        <f t="shared" ref="J7:J70" si="2">SUM(E7:I7)</f>
        <v>-2079321</v>
      </c>
      <c r="K7" s="707">
        <f>IF(D7=0,C7+J7,D7+J7)</f>
        <v>123671688</v>
      </c>
      <c r="L7" s="707">
        <f>L8+L11+L25</f>
        <v>120122929</v>
      </c>
      <c r="M7" s="709">
        <f>M8+M11+M25</f>
        <v>127225032</v>
      </c>
      <c r="N7" s="126"/>
    </row>
    <row r="8" spans="1:30" ht="13.5" x14ac:dyDescent="0.25">
      <c r="A8" s="710" t="s">
        <v>616</v>
      </c>
      <c r="B8" s="722"/>
      <c r="C8" s="700">
        <f>SUM(C9:C10)</f>
        <v>0</v>
      </c>
      <c r="D8" s="263">
        <f t="shared" ref="D8:I8" si="3">SUM(D9:D10)</f>
        <v>0</v>
      </c>
      <c r="E8" s="263">
        <f t="shared" si="3"/>
        <v>0</v>
      </c>
      <c r="F8" s="263">
        <f t="shared" si="3"/>
        <v>0</v>
      </c>
      <c r="G8" s="263">
        <f t="shared" si="3"/>
        <v>0</v>
      </c>
      <c r="H8" s="263">
        <f t="shared" si="3"/>
        <v>0</v>
      </c>
      <c r="I8" s="263">
        <f t="shared" si="3"/>
        <v>0</v>
      </c>
      <c r="J8" s="263">
        <f t="shared" si="2"/>
        <v>0</v>
      </c>
      <c r="K8" s="263">
        <f>IF(D8=0,C8+J8,D8+J8)</f>
        <v>0</v>
      </c>
      <c r="L8" s="263">
        <f>SUM(L9:L10)</f>
        <v>0</v>
      </c>
      <c r="M8" s="264">
        <f>SUM(M9:M10)</f>
        <v>0</v>
      </c>
      <c r="N8" s="126"/>
    </row>
    <row r="9" spans="1:30" ht="13.5" customHeight="1" x14ac:dyDescent="0.25">
      <c r="A9" s="830" t="s">
        <v>995</v>
      </c>
      <c r="B9" s="722"/>
      <c r="C9" s="1360">
        <f>-SUMIFS(Sheet1!S71_OriginalBudget,Sheet1!S71_A2SubCode,$AC:$AC,Sheet1!S71_ItemType,$AD:$AD)</f>
        <v>0</v>
      </c>
      <c r="D9" s="1356">
        <f>-SUMIFS(Sheet1!S71_SpecialAdjustedBudget,Sheet1!S71_A2SubCode,$AC:$AC,Sheet1!S71_ItemType,$AD:$AD)</f>
        <v>0</v>
      </c>
      <c r="E9" s="1356"/>
      <c r="F9" s="1356"/>
      <c r="G9" s="1356"/>
      <c r="H9" s="1356"/>
      <c r="I9" s="1356">
        <f>SUMIFS(Sheet1!S71_AdjustmentAmount,Sheet1!S71_A2SubCode,$AC:$AC,Sheet1!S71_ItemType,$AD:$AD)</f>
        <v>0</v>
      </c>
      <c r="J9" s="171">
        <f t="shared" si="2"/>
        <v>0</v>
      </c>
      <c r="K9" s="171">
        <f>IF(D9=0,C9+J9,D9+J9)</f>
        <v>0</v>
      </c>
      <c r="L9" s="1356">
        <f>-SUMIFS(Sheet1!S71_OY1AdjustedBudget,Sheet1!S71_A2SubCode,$AC:$AC,Sheet1!S71_ItemType,$AD:$AD)</f>
        <v>0</v>
      </c>
      <c r="M9" s="1357">
        <f>-SUMIFS(Sheet1!S71_OY2AdjustedBudget,Sheet1!S71_A2SubCode,$AC:$AC,Sheet1!S71_ItemType,$AD:$AD)</f>
        <v>0</v>
      </c>
      <c r="N9" s="126"/>
      <c r="AC9" s="1345">
        <v>1110</v>
      </c>
      <c r="AD9" s="1345" t="s">
        <v>1811</v>
      </c>
    </row>
    <row r="10" spans="1:30" ht="13.5" customHeight="1" x14ac:dyDescent="0.25">
      <c r="A10" s="830" t="s">
        <v>1485</v>
      </c>
      <c r="B10" s="722"/>
      <c r="C10" s="1360">
        <f>-SUMIFS(Sheet1!S71_OriginalBudget,Sheet1!S71_A2SubCode,$AC:$AC,Sheet1!S71_ItemType,$AD:$AD)</f>
        <v>0</v>
      </c>
      <c r="D10" s="1356">
        <f>-SUMIFS(Sheet1!S71_SpecialAdjustedBudget,Sheet1!S71_A2SubCode,$AC:$AC,Sheet1!S71_ItemType,$AD:$AD)</f>
        <v>0</v>
      </c>
      <c r="E10" s="1356"/>
      <c r="F10" s="1356"/>
      <c r="G10" s="1356"/>
      <c r="H10" s="1356"/>
      <c r="I10" s="1356">
        <f>SUMIFS(Sheet1!S71_AdjustmentAmount,Sheet1!S71_A2SubCode,$AC:$AC,Sheet1!S71_ItemType,$AD:$AD)</f>
        <v>0</v>
      </c>
      <c r="J10" s="171">
        <f t="shared" si="2"/>
        <v>0</v>
      </c>
      <c r="K10" s="171">
        <f t="shared" ref="K10:K74" si="4">IF(D10=0,C10+J10,D10+J10)</f>
        <v>0</v>
      </c>
      <c r="L10" s="1356">
        <f>-SUMIFS(Sheet1!S71_OY1AdjustedBudget,Sheet1!S71_A2SubCode,$AC:$AC,Sheet1!S71_ItemType,$AD:$AD)</f>
        <v>0</v>
      </c>
      <c r="M10" s="1357">
        <f>-SUMIFS(Sheet1!S71_OY2AdjustedBudget,Sheet1!S71_A2SubCode,$AC:$AC,Sheet1!S71_ItemType,$AD:$AD)</f>
        <v>0</v>
      </c>
      <c r="N10" s="126"/>
      <c r="AC10" s="1345">
        <v>1120</v>
      </c>
      <c r="AD10" s="1345" t="s">
        <v>1811</v>
      </c>
    </row>
    <row r="11" spans="1:30" ht="13.5" customHeight="1" x14ac:dyDescent="0.25">
      <c r="A11" s="710" t="s">
        <v>1480</v>
      </c>
      <c r="B11" s="722"/>
      <c r="C11" s="700">
        <f t="shared" ref="C11:I11" si="5">SUM(C12:C24)</f>
        <v>113346009</v>
      </c>
      <c r="D11" s="263">
        <f t="shared" si="5"/>
        <v>125751009</v>
      </c>
      <c r="E11" s="263">
        <f t="shared" si="5"/>
        <v>0</v>
      </c>
      <c r="F11" s="263">
        <f t="shared" si="5"/>
        <v>0</v>
      </c>
      <c r="G11" s="263">
        <f t="shared" si="5"/>
        <v>0</v>
      </c>
      <c r="H11" s="263">
        <f t="shared" si="5"/>
        <v>0</v>
      </c>
      <c r="I11" s="263">
        <f t="shared" si="5"/>
        <v>-2079321</v>
      </c>
      <c r="J11" s="263">
        <f t="shared" si="2"/>
        <v>-2079321</v>
      </c>
      <c r="K11" s="263">
        <f t="shared" si="4"/>
        <v>123671688</v>
      </c>
      <c r="L11" s="263">
        <f>SUM(L12:L24)</f>
        <v>120122929</v>
      </c>
      <c r="M11" s="264">
        <f>SUM(M12:M24)</f>
        <v>127225032</v>
      </c>
      <c r="N11" s="126"/>
    </row>
    <row r="12" spans="1:30" ht="13.5" customHeight="1" x14ac:dyDescent="0.25">
      <c r="A12" s="830" t="s">
        <v>1486</v>
      </c>
      <c r="B12" s="722"/>
      <c r="C12" s="1360">
        <f>-SUMIFS(Sheet1!S71_OriginalBudget,Sheet1!S71_A2SubCode,$AC:$AC,Sheet1!S71_ItemType,$AD:$AD)</f>
        <v>62000</v>
      </c>
      <c r="D12" s="1356">
        <f>-SUMIFS(Sheet1!S71_SpecialAdjustedBudget,Sheet1!S71_A2SubCode,$AC:$AC,Sheet1!S71_ItemType,$AD:$AD)</f>
        <v>62000</v>
      </c>
      <c r="E12" s="1356"/>
      <c r="F12" s="1356"/>
      <c r="G12" s="1356"/>
      <c r="H12" s="1356"/>
      <c r="I12" s="1356">
        <f>SUMIFS(Sheet1!S71_AdjustmentAmount,Sheet1!S71_A2SubCode,$AC:$AC,Sheet1!S71_ItemType,$AD:$AD)</f>
        <v>0</v>
      </c>
      <c r="J12" s="171">
        <f t="shared" si="2"/>
        <v>0</v>
      </c>
      <c r="K12" s="171">
        <f>IF(D12=0,C12+J12,D12+J12)</f>
        <v>62000</v>
      </c>
      <c r="L12" s="1356">
        <f>-SUMIFS(Sheet1!S71_OY1AdjustedBudget,Sheet1!S71_A2SubCode,$AC:$AC,Sheet1!S71_ItemType,$AD:$AD)</f>
        <v>62000</v>
      </c>
      <c r="M12" s="1357">
        <f>-SUMIFS(Sheet1!S71_OY2AdjustedBudget,Sheet1!S71_A2SubCode,$AC:$AC,Sheet1!S71_ItemType,$AD:$AD)</f>
        <v>62000</v>
      </c>
      <c r="N12" s="126"/>
      <c r="AC12" s="1345">
        <v>1201</v>
      </c>
      <c r="AD12" s="1345" t="s">
        <v>1811</v>
      </c>
    </row>
    <row r="13" spans="1:30" ht="13.5" customHeight="1" x14ac:dyDescent="0.25">
      <c r="A13" s="830" t="s">
        <v>595</v>
      </c>
      <c r="B13" s="722"/>
      <c r="C13" s="1360">
        <f>-SUMIFS(Sheet1!S71_OriginalBudget,Sheet1!S71_A2SubCode,$AC:$AC,Sheet1!S71_ItemType,$AD:$AD)</f>
        <v>0</v>
      </c>
      <c r="D13" s="1356">
        <f>-SUMIFS(Sheet1!S71_SpecialAdjustedBudget,Sheet1!S71_A2SubCode,$AC:$AC,Sheet1!S71_ItemType,$AD:$AD)</f>
        <v>0</v>
      </c>
      <c r="E13" s="1356"/>
      <c r="F13" s="1356"/>
      <c r="G13" s="1356"/>
      <c r="H13" s="1356"/>
      <c r="I13" s="1356">
        <f>SUMIFS(Sheet1!S71_AdjustmentAmount,Sheet1!S71_A2SubCode,$AC:$AC,Sheet1!S71_ItemType,$AD:$AD)</f>
        <v>0</v>
      </c>
      <c r="J13" s="171">
        <f t="shared" si="2"/>
        <v>0</v>
      </c>
      <c r="K13" s="171">
        <f t="shared" si="4"/>
        <v>0</v>
      </c>
      <c r="L13" s="1356">
        <f>-SUMIFS(Sheet1!S71_OY1AdjustedBudget,Sheet1!S71_A2SubCode,$AC:$AC,Sheet1!S71_ItemType,$AD:$AD)</f>
        <v>0</v>
      </c>
      <c r="M13" s="1357">
        <f>-SUMIFS(Sheet1!S71_OY2AdjustedBudget,Sheet1!S71_A2SubCode,$AC:$AC,Sheet1!S71_ItemType,$AD:$AD)</f>
        <v>0</v>
      </c>
      <c r="N13" s="126"/>
      <c r="AC13" s="1345">
        <v>1202</v>
      </c>
      <c r="AD13" s="1345" t="s">
        <v>1811</v>
      </c>
    </row>
    <row r="14" spans="1:30" ht="13.5" customHeight="1" x14ac:dyDescent="0.25">
      <c r="A14" s="830" t="s">
        <v>1487</v>
      </c>
      <c r="B14" s="722"/>
      <c r="C14" s="1360">
        <f>-SUMIFS(Sheet1!S71_OriginalBudget,Sheet1!S71_A2SubCode,$AC:$AC,Sheet1!S71_ItemType,$AD:$AD)</f>
        <v>45954009</v>
      </c>
      <c r="D14" s="1356">
        <f>-SUMIFS(Sheet1!S71_SpecialAdjustedBudget,Sheet1!S71_A2SubCode,$AC:$AC,Sheet1!S71_ItemType,$AD:$AD)</f>
        <v>45954009</v>
      </c>
      <c r="E14" s="1356"/>
      <c r="F14" s="1356"/>
      <c r="G14" s="1356"/>
      <c r="H14" s="1356"/>
      <c r="I14" s="1356">
        <f>SUMIFS(Sheet1!S71_AdjustmentAmount,Sheet1!S71_A2SubCode,$AC:$AC,Sheet1!S71_ItemType,$AD:$AD)</f>
        <v>-2079321</v>
      </c>
      <c r="J14" s="171">
        <f t="shared" si="2"/>
        <v>-2079321</v>
      </c>
      <c r="K14" s="171">
        <f t="shared" si="4"/>
        <v>43874688</v>
      </c>
      <c r="L14" s="1356">
        <f>-SUMIFS(Sheet1!S71_OY1AdjustedBudget,Sheet1!S71_A2SubCode,$AC:$AC,Sheet1!S71_ItemType,$AD:$AD)</f>
        <v>47637929</v>
      </c>
      <c r="M14" s="1357">
        <f>-SUMIFS(Sheet1!S71_OY2AdjustedBudget,Sheet1!S71_A2SubCode,$AC:$AC,Sheet1!S71_ItemType,$AD:$AD)</f>
        <v>50282032</v>
      </c>
      <c r="N14" s="126"/>
      <c r="AC14" s="1345">
        <v>1204</v>
      </c>
      <c r="AD14" s="1345" t="s">
        <v>1811</v>
      </c>
    </row>
    <row r="15" spans="1:30" ht="13.5" customHeight="1" x14ac:dyDescent="0.25">
      <c r="A15" s="830" t="s">
        <v>1488</v>
      </c>
      <c r="B15" s="722"/>
      <c r="C15" s="1360">
        <f>-SUMIFS(Sheet1!S71_OriginalBudget,Sheet1!S71_A2SubCode,$AC:$AC,Sheet1!S71_ItemType,$AD:$AD)</f>
        <v>0</v>
      </c>
      <c r="D15" s="1356">
        <f>-SUMIFS(Sheet1!S71_SpecialAdjustedBudget,Sheet1!S71_A2SubCode,$AC:$AC,Sheet1!S71_ItemType,$AD:$AD)</f>
        <v>0</v>
      </c>
      <c r="E15" s="1356"/>
      <c r="F15" s="1356"/>
      <c r="G15" s="1356"/>
      <c r="H15" s="1356"/>
      <c r="I15" s="1356">
        <f>SUMIFS(Sheet1!S71_AdjustmentAmount,Sheet1!S71_A2SubCode,$AC:$AC,Sheet1!S71_ItemType,$AD:$AD)</f>
        <v>0</v>
      </c>
      <c r="J15" s="171">
        <f t="shared" si="2"/>
        <v>0</v>
      </c>
      <c r="K15" s="171">
        <f t="shared" si="4"/>
        <v>0</v>
      </c>
      <c r="L15" s="1356">
        <f>-SUMIFS(Sheet1!S71_OY1AdjustedBudget,Sheet1!S71_A2SubCode,$AC:$AC,Sheet1!S71_ItemType,$AD:$AD)</f>
        <v>0</v>
      </c>
      <c r="M15" s="1357">
        <f>-SUMIFS(Sheet1!S71_OY2AdjustedBudget,Sheet1!S71_A2SubCode,$AC:$AC,Sheet1!S71_ItemType,$AD:$AD)</f>
        <v>0</v>
      </c>
      <c r="N15" s="126"/>
      <c r="AC15" s="1345">
        <v>1205</v>
      </c>
      <c r="AD15" s="1345" t="s">
        <v>1811</v>
      </c>
    </row>
    <row r="16" spans="1:30" ht="13.5" customHeight="1" x14ac:dyDescent="0.25">
      <c r="A16" s="830" t="s">
        <v>996</v>
      </c>
      <c r="B16" s="722"/>
      <c r="C16" s="1360">
        <f>-SUMIFS(Sheet1!S71_OriginalBudget,Sheet1!S71_A2SubCode,$AC:$AC,Sheet1!S71_ItemType,$AD:$AD)</f>
        <v>0</v>
      </c>
      <c r="D16" s="1356">
        <f>-SUMIFS(Sheet1!S71_SpecialAdjustedBudget,Sheet1!S71_A2SubCode,$AC:$AC,Sheet1!S71_ItemType,$AD:$AD)</f>
        <v>0</v>
      </c>
      <c r="E16" s="1356"/>
      <c r="F16" s="1356"/>
      <c r="G16" s="1356"/>
      <c r="H16" s="1356"/>
      <c r="I16" s="1356">
        <f>SUMIFS(Sheet1!S71_AdjustmentAmount,Sheet1!S71_A2SubCode,$AC:$AC,Sheet1!S71_ItemType,$AD:$AD)</f>
        <v>0</v>
      </c>
      <c r="J16" s="171">
        <f t="shared" si="2"/>
        <v>0</v>
      </c>
      <c r="K16" s="171">
        <f t="shared" si="4"/>
        <v>0</v>
      </c>
      <c r="L16" s="1356">
        <f>-SUMIFS(Sheet1!S71_OY1AdjustedBudget,Sheet1!S71_A2SubCode,$AC:$AC,Sheet1!S71_ItemType,$AD:$AD)</f>
        <v>0</v>
      </c>
      <c r="M16" s="1357">
        <f>-SUMIFS(Sheet1!S71_OY2AdjustedBudget,Sheet1!S71_A2SubCode,$AC:$AC,Sheet1!S71_ItemType,$AD:$AD)</f>
        <v>0</v>
      </c>
      <c r="N16" s="126"/>
      <c r="AC16" s="1345">
        <v>1206</v>
      </c>
      <c r="AD16" s="1345" t="s">
        <v>1811</v>
      </c>
    </row>
    <row r="17" spans="1:30" ht="13.5" customHeight="1" x14ac:dyDescent="0.25">
      <c r="A17" s="830" t="s">
        <v>997</v>
      </c>
      <c r="B17" s="722"/>
      <c r="C17" s="1360">
        <f>-SUMIFS(Sheet1!S71_OriginalBudget,Sheet1!S71_A2SubCode,$AC:$AC,Sheet1!S71_ItemType,$AD:$AD)</f>
        <v>0</v>
      </c>
      <c r="D17" s="1356">
        <f>-SUMIFS(Sheet1!S71_SpecialAdjustedBudget,Sheet1!S71_A2SubCode,$AC:$AC,Sheet1!S71_ItemType,$AD:$AD)</f>
        <v>0</v>
      </c>
      <c r="E17" s="1356"/>
      <c r="F17" s="1356"/>
      <c r="G17" s="1356"/>
      <c r="H17" s="1356"/>
      <c r="I17" s="1356">
        <f>SUMIFS(Sheet1!S71_AdjustmentAmount,Sheet1!S71_A2SubCode,$AC:$AC,Sheet1!S71_ItemType,$AD:$AD)</f>
        <v>0</v>
      </c>
      <c r="J17" s="171">
        <f t="shared" si="2"/>
        <v>0</v>
      </c>
      <c r="K17" s="171">
        <f t="shared" si="4"/>
        <v>0</v>
      </c>
      <c r="L17" s="1356">
        <f>-SUMIFS(Sheet1!S71_OY1AdjustedBudget,Sheet1!S71_A2SubCode,$AC:$AC,Sheet1!S71_ItemType,$AD:$AD)</f>
        <v>0</v>
      </c>
      <c r="M17" s="1357">
        <f>-SUMIFS(Sheet1!S71_OY2AdjustedBudget,Sheet1!S71_A2SubCode,$AC:$AC,Sheet1!S71_ItemType,$AD:$AD)</f>
        <v>0</v>
      </c>
      <c r="N17" s="126"/>
      <c r="AC17" s="1345">
        <v>1207</v>
      </c>
      <c r="AD17" s="1345" t="s">
        <v>1811</v>
      </c>
    </row>
    <row r="18" spans="1:30" ht="13.5" customHeight="1" x14ac:dyDescent="0.25">
      <c r="A18" s="830" t="s">
        <v>1489</v>
      </c>
      <c r="B18" s="722"/>
      <c r="C18" s="1360">
        <f>-SUMIFS(Sheet1!S71_OriginalBudget,Sheet1!S71_A2SubCode,$AC:$AC,Sheet1!S71_ItemType,$AD:$AD)</f>
        <v>0</v>
      </c>
      <c r="D18" s="1356">
        <f>-SUMIFS(Sheet1!S71_SpecialAdjustedBudget,Sheet1!S71_A2SubCode,$AC:$AC,Sheet1!S71_ItemType,$AD:$AD)</f>
        <v>0</v>
      </c>
      <c r="E18" s="1356"/>
      <c r="F18" s="1356"/>
      <c r="G18" s="1356"/>
      <c r="H18" s="1356"/>
      <c r="I18" s="1356">
        <f>SUMIFS(Sheet1!S71_AdjustmentAmount,Sheet1!S71_A2SubCode,$AC:$AC,Sheet1!S71_ItemType,$AD:$AD)</f>
        <v>0</v>
      </c>
      <c r="J18" s="171">
        <f t="shared" si="2"/>
        <v>0</v>
      </c>
      <c r="K18" s="171">
        <f t="shared" si="4"/>
        <v>0</v>
      </c>
      <c r="L18" s="1356">
        <f>-SUMIFS(Sheet1!S71_OY1AdjustedBudget,Sheet1!S71_A2SubCode,$AC:$AC,Sheet1!S71_ItemType,$AD:$AD)</f>
        <v>0</v>
      </c>
      <c r="M18" s="1357">
        <f>-SUMIFS(Sheet1!S71_OY2AdjustedBudget,Sheet1!S71_A2SubCode,$AC:$AC,Sheet1!S71_ItemType,$AD:$AD)</f>
        <v>0</v>
      </c>
      <c r="N18" s="126"/>
      <c r="AC18" s="1345">
        <v>1208</v>
      </c>
      <c r="AD18" s="1345" t="s">
        <v>1811</v>
      </c>
    </row>
    <row r="19" spans="1:30" ht="13.5" customHeight="1" x14ac:dyDescent="0.25">
      <c r="A19" s="830" t="s">
        <v>1490</v>
      </c>
      <c r="B19" s="722"/>
      <c r="C19" s="1360">
        <f>-SUMIFS(Sheet1!S71_OriginalBudget,Sheet1!S71_A2SubCode,$AC:$AC,Sheet1!S71_ItemType,$AD:$AD)</f>
        <v>0</v>
      </c>
      <c r="D19" s="1356">
        <f>-SUMIFS(Sheet1!S71_SpecialAdjustedBudget,Sheet1!S71_A2SubCode,$AC:$AC,Sheet1!S71_ItemType,$AD:$AD)</f>
        <v>0</v>
      </c>
      <c r="E19" s="1356"/>
      <c r="F19" s="1356"/>
      <c r="G19" s="1356"/>
      <c r="H19" s="1356"/>
      <c r="I19" s="1356">
        <f>SUMIFS(Sheet1!S71_AdjustmentAmount,Sheet1!S71_A2SubCode,$AC:$AC,Sheet1!S71_ItemType,$AD:$AD)</f>
        <v>0</v>
      </c>
      <c r="J19" s="171">
        <f t="shared" si="2"/>
        <v>0</v>
      </c>
      <c r="K19" s="171">
        <f t="shared" si="4"/>
        <v>0</v>
      </c>
      <c r="L19" s="1356">
        <f>-SUMIFS(Sheet1!S71_OY1AdjustedBudget,Sheet1!S71_A2SubCode,$AC:$AC,Sheet1!S71_ItemType,$AD:$AD)</f>
        <v>0</v>
      </c>
      <c r="M19" s="1357">
        <f>-SUMIFS(Sheet1!S71_OY2AdjustedBudget,Sheet1!S71_A2SubCode,$AC:$AC,Sheet1!S71_ItemType,$AD:$AD)</f>
        <v>0</v>
      </c>
      <c r="N19" s="126"/>
      <c r="AC19" s="1345">
        <v>1209</v>
      </c>
      <c r="AD19" s="1345" t="s">
        <v>1811</v>
      </c>
    </row>
    <row r="20" spans="1:30" ht="13.5" customHeight="1" x14ac:dyDescent="0.25">
      <c r="A20" s="830" t="s">
        <v>998</v>
      </c>
      <c r="B20" s="722"/>
      <c r="C20" s="1360">
        <f>-SUMIFS(Sheet1!S71_OriginalBudget,Sheet1!S71_A2SubCode,$AC:$AC,Sheet1!S71_ItemType,$AD:$AD)</f>
        <v>67330000</v>
      </c>
      <c r="D20" s="1356">
        <f>-SUMIFS(Sheet1!S71_SpecialAdjustedBudget,Sheet1!S71_A2SubCode,$AC:$AC,Sheet1!S71_ItemType,$AD:$AD)</f>
        <v>79735000</v>
      </c>
      <c r="E20" s="1356"/>
      <c r="F20" s="1356"/>
      <c r="G20" s="1356"/>
      <c r="H20" s="1356"/>
      <c r="I20" s="1356">
        <f>SUMIFS(Sheet1!S71_AdjustmentAmount,Sheet1!S71_A2SubCode,$AC:$AC,Sheet1!S71_ItemType,$AD:$AD)</f>
        <v>0</v>
      </c>
      <c r="J20" s="171">
        <f t="shared" si="2"/>
        <v>0</v>
      </c>
      <c r="K20" s="171">
        <f t="shared" si="4"/>
        <v>79735000</v>
      </c>
      <c r="L20" s="1356">
        <f>-SUMIFS(Sheet1!S71_OY1AdjustedBudget,Sheet1!S71_A2SubCode,$AC:$AC,Sheet1!S71_ItemType,$AD:$AD)</f>
        <v>72423000</v>
      </c>
      <c r="M20" s="1357">
        <f>-SUMIFS(Sheet1!S71_OY2AdjustedBudget,Sheet1!S71_A2SubCode,$AC:$AC,Sheet1!S71_ItemType,$AD:$AD)</f>
        <v>76881000</v>
      </c>
      <c r="N20" s="126"/>
      <c r="AC20" s="1345">
        <v>1210</v>
      </c>
      <c r="AD20" s="1345" t="s">
        <v>1811</v>
      </c>
    </row>
    <row r="21" spans="1:30" ht="13.5" customHeight="1" x14ac:dyDescent="0.25">
      <c r="A21" s="830" t="s">
        <v>1491</v>
      </c>
      <c r="B21" s="722"/>
      <c r="C21" s="1360">
        <f>-SUMIFS(Sheet1!S71_OriginalBudget,Sheet1!S71_A2SubCode,$AC:$AC,Sheet1!S71_ItemType,$AD:$AD)</f>
        <v>0</v>
      </c>
      <c r="D21" s="1356">
        <f>-SUMIFS(Sheet1!S71_SpecialAdjustedBudget,Sheet1!S71_A2SubCode,$AC:$AC,Sheet1!S71_ItemType,$AD:$AD)</f>
        <v>0</v>
      </c>
      <c r="E21" s="1356"/>
      <c r="F21" s="1356"/>
      <c r="G21" s="1356"/>
      <c r="H21" s="1356"/>
      <c r="I21" s="1356">
        <f>SUMIFS(Sheet1!S71_AdjustmentAmount,Sheet1!S71_A2SubCode,$AC:$AC,Sheet1!S71_ItemType,$AD:$AD)</f>
        <v>0</v>
      </c>
      <c r="J21" s="171">
        <f t="shared" si="2"/>
        <v>0</v>
      </c>
      <c r="K21" s="171">
        <f t="shared" si="4"/>
        <v>0</v>
      </c>
      <c r="L21" s="1356">
        <f>-SUMIFS(Sheet1!S71_OY1AdjustedBudget,Sheet1!S71_A2SubCode,$AC:$AC,Sheet1!S71_ItemType,$AD:$AD)</f>
        <v>0</v>
      </c>
      <c r="M21" s="1357">
        <f>-SUMIFS(Sheet1!S71_OY2AdjustedBudget,Sheet1!S71_A2SubCode,$AC:$AC,Sheet1!S71_ItemType,$AD:$AD)</f>
        <v>0</v>
      </c>
      <c r="N21" s="126"/>
      <c r="AC21" s="1345">
        <v>1211</v>
      </c>
      <c r="AD21" s="1345" t="s">
        <v>1811</v>
      </c>
    </row>
    <row r="22" spans="1:30" ht="13.5" customHeight="1" x14ac:dyDescent="0.25">
      <c r="A22" s="830" t="s">
        <v>1492</v>
      </c>
      <c r="B22" s="722"/>
      <c r="C22" s="1360">
        <f>-SUMIFS(Sheet1!S71_OriginalBudget,Sheet1!S71_A2SubCode,$AC:$AC,Sheet1!S71_ItemType,$AD:$AD)</f>
        <v>0</v>
      </c>
      <c r="D22" s="1356">
        <f>-SUMIFS(Sheet1!S71_SpecialAdjustedBudget,Sheet1!S71_A2SubCode,$AC:$AC,Sheet1!S71_ItemType,$AD:$AD)</f>
        <v>0</v>
      </c>
      <c r="E22" s="1356"/>
      <c r="F22" s="1356"/>
      <c r="G22" s="1356"/>
      <c r="H22" s="1356"/>
      <c r="I22" s="1356">
        <f>SUMIFS(Sheet1!S71_AdjustmentAmount,Sheet1!S71_A2SubCode,$AC:$AC,Sheet1!S71_ItemType,$AD:$AD)</f>
        <v>0</v>
      </c>
      <c r="J22" s="171">
        <f t="shared" si="2"/>
        <v>0</v>
      </c>
      <c r="K22" s="171">
        <f t="shared" si="4"/>
        <v>0</v>
      </c>
      <c r="L22" s="1356">
        <f>-SUMIFS(Sheet1!S71_OY1AdjustedBudget,Sheet1!S71_A2SubCode,$AC:$AC,Sheet1!S71_ItemType,$AD:$AD)</f>
        <v>0</v>
      </c>
      <c r="M22" s="1357">
        <f>-SUMIFS(Sheet1!S71_OY2AdjustedBudget,Sheet1!S71_A2SubCode,$AC:$AC,Sheet1!S71_ItemType,$AD:$AD)</f>
        <v>0</v>
      </c>
      <c r="N22" s="126"/>
      <c r="AC22" s="1345">
        <v>1212</v>
      </c>
      <c r="AD22" s="1345" t="s">
        <v>1811</v>
      </c>
    </row>
    <row r="23" spans="1:30" ht="13.5" customHeight="1" x14ac:dyDescent="0.25">
      <c r="A23" s="830" t="s">
        <v>1493</v>
      </c>
      <c r="B23" s="722"/>
      <c r="C23" s="1360">
        <f>-SUMIFS(Sheet1!S71_OriginalBudget,Sheet1!S71_A2SubCode,$AC:$AC,Sheet1!S71_ItemType,$AD:$AD)</f>
        <v>0</v>
      </c>
      <c r="D23" s="1356">
        <f>-SUMIFS(Sheet1!S71_SpecialAdjustedBudget,Sheet1!S71_A2SubCode,$AC:$AC,Sheet1!S71_ItemType,$AD:$AD)</f>
        <v>0</v>
      </c>
      <c r="E23" s="1356"/>
      <c r="F23" s="1356"/>
      <c r="G23" s="1356"/>
      <c r="H23" s="1356"/>
      <c r="I23" s="1356">
        <f>SUMIFS(Sheet1!S71_AdjustmentAmount,Sheet1!S71_A2SubCode,$AC:$AC,Sheet1!S71_ItemType,$AD:$AD)</f>
        <v>0</v>
      </c>
      <c r="J23" s="171">
        <f t="shared" si="2"/>
        <v>0</v>
      </c>
      <c r="K23" s="171">
        <f t="shared" si="4"/>
        <v>0</v>
      </c>
      <c r="L23" s="1356">
        <f>-SUMIFS(Sheet1!S71_OY1AdjustedBudget,Sheet1!S71_A2SubCode,$AC:$AC,Sheet1!S71_ItemType,$AD:$AD)</f>
        <v>0</v>
      </c>
      <c r="M23" s="1357">
        <f>-SUMIFS(Sheet1!S71_OY2AdjustedBudget,Sheet1!S71_A2SubCode,$AC:$AC,Sheet1!S71_ItemType,$AD:$AD)</f>
        <v>0</v>
      </c>
      <c r="N23" s="126"/>
      <c r="AC23" s="1345">
        <v>1213</v>
      </c>
      <c r="AD23" s="1345" t="s">
        <v>1811</v>
      </c>
    </row>
    <row r="24" spans="1:30" ht="13.5" customHeight="1" x14ac:dyDescent="0.25">
      <c r="A24" s="830" t="s">
        <v>1494</v>
      </c>
      <c r="B24" s="722"/>
      <c r="C24" s="1360">
        <f>-SUMIFS(Sheet1!S71_OriginalBudget,Sheet1!S71_A2SubCode,$AC:$AC,Sheet1!S71_ItemType,$AD:$AD)</f>
        <v>0</v>
      </c>
      <c r="D24" s="1356">
        <f>-SUMIFS(Sheet1!S71_SpecialAdjustedBudget,Sheet1!S71_A2SubCode,$AC:$AC,Sheet1!S71_ItemType,$AD:$AD)</f>
        <v>0</v>
      </c>
      <c r="E24" s="1356"/>
      <c r="F24" s="1356"/>
      <c r="G24" s="1356"/>
      <c r="H24" s="1356"/>
      <c r="I24" s="1356">
        <f>SUMIFS(Sheet1!S71_AdjustmentAmount,Sheet1!S71_A2SubCode,$AC:$AC,Sheet1!S71_ItemType,$AD:$AD)</f>
        <v>0</v>
      </c>
      <c r="J24" s="171">
        <f t="shared" si="2"/>
        <v>0</v>
      </c>
      <c r="K24" s="171">
        <f t="shared" si="4"/>
        <v>0</v>
      </c>
      <c r="L24" s="1356">
        <f>-SUMIFS(Sheet1!S71_OY1AdjustedBudget,Sheet1!S71_A2SubCode,$AC:$AC,Sheet1!S71_ItemType,$AD:$AD)</f>
        <v>0</v>
      </c>
      <c r="M24" s="1357">
        <f>-SUMIFS(Sheet1!S71_OY2AdjustedBudget,Sheet1!S71_A2SubCode,$AC:$AC,Sheet1!S71_ItemType,$AD:$AD)</f>
        <v>0</v>
      </c>
      <c r="N24" s="126"/>
      <c r="AC24" s="1345">
        <v>1214</v>
      </c>
      <c r="AD24" s="1345" t="s">
        <v>1811</v>
      </c>
    </row>
    <row r="25" spans="1:30" ht="13.5" customHeight="1" x14ac:dyDescent="0.25">
      <c r="A25" s="710" t="s">
        <v>1481</v>
      </c>
      <c r="B25" s="722"/>
      <c r="C25" s="700">
        <f t="shared" ref="C25:M25" si="6">SUM(C26:C26)</f>
        <v>0</v>
      </c>
      <c r="D25" s="263">
        <f t="shared" si="6"/>
        <v>0</v>
      </c>
      <c r="E25" s="263">
        <f t="shared" si="6"/>
        <v>0</v>
      </c>
      <c r="F25" s="263">
        <f t="shared" si="6"/>
        <v>0</v>
      </c>
      <c r="G25" s="263">
        <f t="shared" si="6"/>
        <v>0</v>
      </c>
      <c r="H25" s="263">
        <f t="shared" si="6"/>
        <v>0</v>
      </c>
      <c r="I25" s="263">
        <f t="shared" si="6"/>
        <v>0</v>
      </c>
      <c r="J25" s="263">
        <f t="shared" si="2"/>
        <v>0</v>
      </c>
      <c r="K25" s="263">
        <f t="shared" si="4"/>
        <v>0</v>
      </c>
      <c r="L25" s="263">
        <f t="shared" si="6"/>
        <v>0</v>
      </c>
      <c r="M25" s="264">
        <f t="shared" si="6"/>
        <v>0</v>
      </c>
      <c r="N25" s="126"/>
    </row>
    <row r="26" spans="1:30" ht="13.5" customHeight="1" x14ac:dyDescent="0.25">
      <c r="A26" s="830" t="s">
        <v>1495</v>
      </c>
      <c r="B26" s="722"/>
      <c r="C26" s="1360">
        <f>-SUMIFS(Sheet1!S71_OriginalBudget,Sheet1!S71_A2SubCode,$AC:$AC,Sheet1!S71_ItemType,$AD:$AD)</f>
        <v>0</v>
      </c>
      <c r="D26" s="1356">
        <f>-SUMIFS(Sheet1!S71_SpecialAdjustedBudget,Sheet1!S71_A2SubCode,$AC:$AC,Sheet1!S71_ItemType,$AD:$AD)</f>
        <v>0</v>
      </c>
      <c r="E26" s="1356"/>
      <c r="F26" s="1356"/>
      <c r="G26" s="1356"/>
      <c r="H26" s="1356"/>
      <c r="I26" s="1356">
        <f>SUMIFS(Sheet1!S71_AdjustmentAmount,Sheet1!S71_A2SubCode,$AC:$AC,Sheet1!S71_ItemType,$AD:$AD)</f>
        <v>0</v>
      </c>
      <c r="J26" s="171">
        <f t="shared" si="2"/>
        <v>0</v>
      </c>
      <c r="K26" s="171">
        <f t="shared" si="4"/>
        <v>0</v>
      </c>
      <c r="L26" s="1356">
        <f>-SUMIFS(Sheet1!S71_OY1AdjustedBudget,Sheet1!S71_A2SubCode,$AC:$AC,Sheet1!S71_ItemType,$AD:$AD)</f>
        <v>0</v>
      </c>
      <c r="M26" s="1357">
        <f>-SUMIFS(Sheet1!S71_OY2AdjustedBudget,Sheet1!S71_A2SubCode,$AC:$AC,Sheet1!S71_ItemType,$AD:$AD)</f>
        <v>0</v>
      </c>
      <c r="N26" s="126"/>
      <c r="AC26" s="1345">
        <v>1301</v>
      </c>
      <c r="AD26" s="1345" t="s">
        <v>1811</v>
      </c>
    </row>
    <row r="27" spans="1:30" ht="13.5" customHeight="1" x14ac:dyDescent="0.25">
      <c r="A27" s="107" t="s">
        <v>617</v>
      </c>
      <c r="B27" s="722"/>
      <c r="C27" s="708">
        <f t="shared" ref="C27:I27" si="7">C28+C50+C56+C65+C68</f>
        <v>2212094</v>
      </c>
      <c r="D27" s="707">
        <f t="shared" si="7"/>
        <v>2212094</v>
      </c>
      <c r="E27" s="707">
        <f t="shared" si="7"/>
        <v>0</v>
      </c>
      <c r="F27" s="707">
        <f t="shared" si="7"/>
        <v>0</v>
      </c>
      <c r="G27" s="707">
        <f t="shared" si="7"/>
        <v>0</v>
      </c>
      <c r="H27" s="707">
        <f t="shared" si="7"/>
        <v>0</v>
      </c>
      <c r="I27" s="707">
        <f t="shared" si="7"/>
        <v>-372500</v>
      </c>
      <c r="J27" s="707">
        <f t="shared" si="2"/>
        <v>-372500</v>
      </c>
      <c r="K27" s="707">
        <f t="shared" si="4"/>
        <v>1839594</v>
      </c>
      <c r="L27" s="707">
        <f>L28+L50+L56+L65+L68</f>
        <v>1840950</v>
      </c>
      <c r="M27" s="709">
        <f>M28+M50+M56+M65+M68</f>
        <v>1842387</v>
      </c>
      <c r="N27" s="126"/>
    </row>
    <row r="28" spans="1:30" ht="13.5" customHeight="1" x14ac:dyDescent="0.25">
      <c r="A28" s="710" t="s">
        <v>618</v>
      </c>
      <c r="B28" s="722"/>
      <c r="C28" s="711">
        <f t="shared" ref="C28:M28" si="8">SUM(C29:C49)</f>
        <v>2212094</v>
      </c>
      <c r="D28" s="268">
        <f t="shared" si="8"/>
        <v>2212094</v>
      </c>
      <c r="E28" s="268">
        <f t="shared" si="8"/>
        <v>0</v>
      </c>
      <c r="F28" s="268">
        <f t="shared" si="8"/>
        <v>0</v>
      </c>
      <c r="G28" s="268">
        <f t="shared" si="8"/>
        <v>0</v>
      </c>
      <c r="H28" s="268">
        <f t="shared" si="8"/>
        <v>0</v>
      </c>
      <c r="I28" s="268">
        <f t="shared" si="8"/>
        <v>-372500</v>
      </c>
      <c r="J28" s="268">
        <f t="shared" si="2"/>
        <v>-372500</v>
      </c>
      <c r="K28" s="268">
        <f t="shared" si="4"/>
        <v>1839594</v>
      </c>
      <c r="L28" s="268">
        <f t="shared" si="8"/>
        <v>1840950</v>
      </c>
      <c r="M28" s="269">
        <f t="shared" si="8"/>
        <v>1842387</v>
      </c>
      <c r="N28" s="126"/>
    </row>
    <row r="29" spans="1:30" ht="13.5" customHeight="1" x14ac:dyDescent="0.25">
      <c r="A29" s="830" t="s">
        <v>1000</v>
      </c>
      <c r="B29" s="722"/>
      <c r="C29" s="1360">
        <f>-SUMIFS(Sheet1!S71_OriginalBudget,Sheet1!S71_A2SubCode,$AC:$AC,Sheet1!S71_ItemType,$AD:$AD)</f>
        <v>0</v>
      </c>
      <c r="D29" s="1356">
        <f>-SUMIFS(Sheet1!S71_SpecialAdjustedBudget,Sheet1!S71_A2SubCode,$AC:$AC,Sheet1!S71_ItemType,$AD:$AD)</f>
        <v>0</v>
      </c>
      <c r="E29" s="1356"/>
      <c r="F29" s="1356"/>
      <c r="G29" s="1356"/>
      <c r="H29" s="1356"/>
      <c r="I29" s="1356">
        <f>SUMIFS(Sheet1!S71_AdjustmentAmount,Sheet1!S71_A2SubCode,$AC:$AC,Sheet1!S71_ItemType,$AD:$AD)</f>
        <v>0</v>
      </c>
      <c r="J29" s="171">
        <f t="shared" si="2"/>
        <v>0</v>
      </c>
      <c r="K29" s="171">
        <f t="shared" si="4"/>
        <v>0</v>
      </c>
      <c r="L29" s="1356">
        <f>-SUMIFS(Sheet1!S71_OY1AdjustedBudget,Sheet1!S71_A2SubCode,$AC:$AC,Sheet1!S71_ItemType,$AD:$AD)</f>
        <v>0</v>
      </c>
      <c r="M29" s="1357">
        <f>-SUMIFS(Sheet1!S71_OY2AdjustedBudget,Sheet1!S71_A2SubCode,$AC:$AC,Sheet1!S71_ItemType,$AD:$AD)</f>
        <v>0</v>
      </c>
      <c r="N29" s="126"/>
      <c r="AC29" s="1345">
        <v>2101</v>
      </c>
      <c r="AD29" s="1345" t="s">
        <v>1811</v>
      </c>
    </row>
    <row r="30" spans="1:30" ht="13.5" customHeight="1" x14ac:dyDescent="0.25">
      <c r="A30" s="830" t="s">
        <v>702</v>
      </c>
      <c r="B30" s="722"/>
      <c r="C30" s="1360">
        <f>-SUMIFS(Sheet1!S71_OriginalBudget,Sheet1!S71_A2SubCode,$AC:$AC,Sheet1!S71_ItemType,$AD:$AD)</f>
        <v>0</v>
      </c>
      <c r="D30" s="1356">
        <f>-SUMIFS(Sheet1!S71_SpecialAdjustedBudget,Sheet1!S71_A2SubCode,$AC:$AC,Sheet1!S71_ItemType,$AD:$AD)</f>
        <v>0</v>
      </c>
      <c r="E30" s="1356"/>
      <c r="F30" s="1356"/>
      <c r="G30" s="1356"/>
      <c r="H30" s="1356"/>
      <c r="I30" s="1356">
        <f>SUMIFS(Sheet1!S71_AdjustmentAmount,Sheet1!S71_A2SubCode,$AC:$AC,Sheet1!S71_ItemType,$AD:$AD)</f>
        <v>0</v>
      </c>
      <c r="J30" s="171">
        <f t="shared" si="2"/>
        <v>0</v>
      </c>
      <c r="K30" s="171">
        <f t="shared" si="4"/>
        <v>0</v>
      </c>
      <c r="L30" s="1356">
        <f>-SUMIFS(Sheet1!S71_OY1AdjustedBudget,Sheet1!S71_A2SubCode,$AC:$AC,Sheet1!S71_ItemType,$AD:$AD)</f>
        <v>0</v>
      </c>
      <c r="M30" s="1357">
        <f>-SUMIFS(Sheet1!S71_OY2AdjustedBudget,Sheet1!S71_A2SubCode,$AC:$AC,Sheet1!S71_ItemType,$AD:$AD)</f>
        <v>0</v>
      </c>
      <c r="N30" s="126"/>
      <c r="AC30" s="1345">
        <v>2102</v>
      </c>
      <c r="AD30" s="1345" t="s">
        <v>1811</v>
      </c>
    </row>
    <row r="31" spans="1:30" ht="13.5" customHeight="1" x14ac:dyDescent="0.25">
      <c r="A31" s="830" t="s">
        <v>1496</v>
      </c>
      <c r="B31" s="722"/>
      <c r="C31" s="1360">
        <f>-SUMIFS(Sheet1!S71_OriginalBudget,Sheet1!S71_A2SubCode,$AC:$AC,Sheet1!S71_ItemType,$AD:$AD)</f>
        <v>0</v>
      </c>
      <c r="D31" s="1356">
        <f>-SUMIFS(Sheet1!S71_SpecialAdjustedBudget,Sheet1!S71_A2SubCode,$AC:$AC,Sheet1!S71_ItemType,$AD:$AD)</f>
        <v>0</v>
      </c>
      <c r="E31" s="1356"/>
      <c r="F31" s="1356"/>
      <c r="G31" s="1356"/>
      <c r="H31" s="1356"/>
      <c r="I31" s="1356">
        <f>SUMIFS(Sheet1!S71_AdjustmentAmount,Sheet1!S71_A2SubCode,$AC:$AC,Sheet1!S71_ItemType,$AD:$AD)</f>
        <v>0</v>
      </c>
      <c r="J31" s="171">
        <f t="shared" si="2"/>
        <v>0</v>
      </c>
      <c r="K31" s="171">
        <f t="shared" si="4"/>
        <v>0</v>
      </c>
      <c r="L31" s="1356">
        <f>-SUMIFS(Sheet1!S71_OY1AdjustedBudget,Sheet1!S71_A2SubCode,$AC:$AC,Sheet1!S71_ItemType,$AD:$AD)</f>
        <v>0</v>
      </c>
      <c r="M31" s="1357">
        <f>-SUMIFS(Sheet1!S71_OY2AdjustedBudget,Sheet1!S71_A2SubCode,$AC:$AC,Sheet1!S71_ItemType,$AD:$AD)</f>
        <v>0</v>
      </c>
      <c r="N31" s="126"/>
      <c r="AC31" s="1345">
        <v>2103</v>
      </c>
      <c r="AD31" s="1345" t="s">
        <v>1811</v>
      </c>
    </row>
    <row r="32" spans="1:30" ht="13.5" customHeight="1" x14ac:dyDescent="0.25">
      <c r="A32" s="830" t="s">
        <v>1497</v>
      </c>
      <c r="B32" s="722"/>
      <c r="C32" s="1360">
        <f>-SUMIFS(Sheet1!S71_OriginalBudget,Sheet1!S71_A2SubCode,$AC:$AC,Sheet1!S71_ItemType,$AD:$AD)</f>
        <v>0</v>
      </c>
      <c r="D32" s="1356">
        <f>-SUMIFS(Sheet1!S71_SpecialAdjustedBudget,Sheet1!S71_A2SubCode,$AC:$AC,Sheet1!S71_ItemType,$AD:$AD)</f>
        <v>0</v>
      </c>
      <c r="E32" s="1356"/>
      <c r="F32" s="1356"/>
      <c r="G32" s="1356"/>
      <c r="H32" s="1356"/>
      <c r="I32" s="1356">
        <f>SUMIFS(Sheet1!S71_AdjustmentAmount,Sheet1!S71_A2SubCode,$AC:$AC,Sheet1!S71_ItemType,$AD:$AD)</f>
        <v>0</v>
      </c>
      <c r="J32" s="171">
        <f t="shared" si="2"/>
        <v>0</v>
      </c>
      <c r="K32" s="171">
        <f t="shared" si="4"/>
        <v>0</v>
      </c>
      <c r="L32" s="1356">
        <f>-SUMIFS(Sheet1!S71_OY1AdjustedBudget,Sheet1!S71_A2SubCode,$AC:$AC,Sheet1!S71_ItemType,$AD:$AD)</f>
        <v>0</v>
      </c>
      <c r="M32" s="1357">
        <f>-SUMIFS(Sheet1!S71_OY2AdjustedBudget,Sheet1!S71_A2SubCode,$AC:$AC,Sheet1!S71_ItemType,$AD:$AD)</f>
        <v>0</v>
      </c>
      <c r="N32" s="126"/>
      <c r="AC32" s="1345">
        <v>2104</v>
      </c>
      <c r="AD32" s="1345" t="s">
        <v>1811</v>
      </c>
    </row>
    <row r="33" spans="1:30" ht="13.5" customHeight="1" x14ac:dyDescent="0.25">
      <c r="A33" s="830" t="s">
        <v>1498</v>
      </c>
      <c r="B33" s="722"/>
      <c r="C33" s="1360">
        <f>-SUMIFS(Sheet1!S71_OriginalBudget,Sheet1!S71_A2SubCode,$AC:$AC,Sheet1!S71_ItemType,$AD:$AD)</f>
        <v>0</v>
      </c>
      <c r="D33" s="1356">
        <f>-SUMIFS(Sheet1!S71_SpecialAdjustedBudget,Sheet1!S71_A2SubCode,$AC:$AC,Sheet1!S71_ItemType,$AD:$AD)</f>
        <v>0</v>
      </c>
      <c r="E33" s="1356"/>
      <c r="F33" s="1356"/>
      <c r="G33" s="1356"/>
      <c r="H33" s="1356"/>
      <c r="I33" s="1356">
        <f>SUMIFS(Sheet1!S71_AdjustmentAmount,Sheet1!S71_A2SubCode,$AC:$AC,Sheet1!S71_ItemType,$AD:$AD)</f>
        <v>0</v>
      </c>
      <c r="J33" s="171">
        <f t="shared" si="2"/>
        <v>0</v>
      </c>
      <c r="K33" s="171">
        <f t="shared" si="4"/>
        <v>0</v>
      </c>
      <c r="L33" s="1356">
        <f>-SUMIFS(Sheet1!S71_OY1AdjustedBudget,Sheet1!S71_A2SubCode,$AC:$AC,Sheet1!S71_ItemType,$AD:$AD)</f>
        <v>0</v>
      </c>
      <c r="M33" s="1357">
        <f>-SUMIFS(Sheet1!S71_OY2AdjustedBudget,Sheet1!S71_A2SubCode,$AC:$AC,Sheet1!S71_ItemType,$AD:$AD)</f>
        <v>0</v>
      </c>
      <c r="N33" s="126"/>
      <c r="AC33" s="1345">
        <v>2105</v>
      </c>
      <c r="AD33" s="1345" t="s">
        <v>1811</v>
      </c>
    </row>
    <row r="34" spans="1:30" ht="13.5" customHeight="1" x14ac:dyDescent="0.25">
      <c r="A34" s="830" t="s">
        <v>1499</v>
      </c>
      <c r="B34" s="722"/>
      <c r="C34" s="1360">
        <f>-SUMIFS(Sheet1!S71_OriginalBudget,Sheet1!S71_A2SubCode,$AC:$AC,Sheet1!S71_ItemType,$AD:$AD)</f>
        <v>0</v>
      </c>
      <c r="D34" s="1356">
        <f>-SUMIFS(Sheet1!S71_SpecialAdjustedBudget,Sheet1!S71_A2SubCode,$AC:$AC,Sheet1!S71_ItemType,$AD:$AD)</f>
        <v>0</v>
      </c>
      <c r="E34" s="1356"/>
      <c r="F34" s="1356"/>
      <c r="G34" s="1356"/>
      <c r="H34" s="1356"/>
      <c r="I34" s="1356">
        <f>SUMIFS(Sheet1!S71_AdjustmentAmount,Sheet1!S71_A2SubCode,$AC:$AC,Sheet1!S71_ItemType,$AD:$AD)</f>
        <v>0</v>
      </c>
      <c r="J34" s="171">
        <f t="shared" si="2"/>
        <v>0</v>
      </c>
      <c r="K34" s="171">
        <f t="shared" si="4"/>
        <v>0</v>
      </c>
      <c r="L34" s="1356">
        <f>-SUMIFS(Sheet1!S71_OY1AdjustedBudget,Sheet1!S71_A2SubCode,$AC:$AC,Sheet1!S71_ItemType,$AD:$AD)</f>
        <v>0</v>
      </c>
      <c r="M34" s="1357">
        <f>-SUMIFS(Sheet1!S71_OY2AdjustedBudget,Sheet1!S71_A2SubCode,$AC:$AC,Sheet1!S71_ItemType,$AD:$AD)</f>
        <v>0</v>
      </c>
      <c r="N34" s="126"/>
      <c r="AC34" s="1345">
        <v>2106</v>
      </c>
      <c r="AD34" s="1345" t="s">
        <v>1811</v>
      </c>
    </row>
    <row r="35" spans="1:30" ht="13.5" customHeight="1" x14ac:dyDescent="0.25">
      <c r="A35" s="830" t="s">
        <v>1500</v>
      </c>
      <c r="B35" s="722"/>
      <c r="C35" s="1360">
        <f>-SUMIFS(Sheet1!S71_OriginalBudget,Sheet1!S71_A2SubCode,$AC:$AC,Sheet1!S71_ItemType,$AD:$AD)</f>
        <v>0</v>
      </c>
      <c r="D35" s="1356">
        <f>-SUMIFS(Sheet1!S71_SpecialAdjustedBudget,Sheet1!S71_A2SubCode,$AC:$AC,Sheet1!S71_ItemType,$AD:$AD)</f>
        <v>0</v>
      </c>
      <c r="E35" s="1356"/>
      <c r="F35" s="1356"/>
      <c r="G35" s="1356"/>
      <c r="H35" s="1356"/>
      <c r="I35" s="1356">
        <f>SUMIFS(Sheet1!S71_AdjustmentAmount,Sheet1!S71_A2SubCode,$AC:$AC,Sheet1!S71_ItemType,$AD:$AD)</f>
        <v>0</v>
      </c>
      <c r="J35" s="171">
        <f t="shared" si="2"/>
        <v>0</v>
      </c>
      <c r="K35" s="171">
        <f t="shared" si="4"/>
        <v>0</v>
      </c>
      <c r="L35" s="1356">
        <f>-SUMIFS(Sheet1!S71_OY1AdjustedBudget,Sheet1!S71_A2SubCode,$AC:$AC,Sheet1!S71_ItemType,$AD:$AD)</f>
        <v>0</v>
      </c>
      <c r="M35" s="1357">
        <f>-SUMIFS(Sheet1!S71_OY2AdjustedBudget,Sheet1!S71_A2SubCode,$AC:$AC,Sheet1!S71_ItemType,$AD:$AD)</f>
        <v>0</v>
      </c>
      <c r="N35" s="126"/>
      <c r="AC35" s="1345">
        <v>2107</v>
      </c>
      <c r="AD35" s="1345" t="s">
        <v>1811</v>
      </c>
    </row>
    <row r="36" spans="1:30" ht="13.5" customHeight="1" x14ac:dyDescent="0.25">
      <c r="A36" s="830" t="s">
        <v>1501</v>
      </c>
      <c r="B36" s="722"/>
      <c r="C36" s="1360">
        <f>-SUMIFS(Sheet1!S71_OriginalBudget,Sheet1!S71_A2SubCode,$AC:$AC,Sheet1!S71_ItemType,$AD:$AD)</f>
        <v>0</v>
      </c>
      <c r="D36" s="1356">
        <f>-SUMIFS(Sheet1!S71_SpecialAdjustedBudget,Sheet1!S71_A2SubCode,$AC:$AC,Sheet1!S71_ItemType,$AD:$AD)</f>
        <v>0</v>
      </c>
      <c r="E36" s="1356"/>
      <c r="F36" s="1356"/>
      <c r="G36" s="1356"/>
      <c r="H36" s="1356"/>
      <c r="I36" s="1356">
        <f>SUMIFS(Sheet1!S71_AdjustmentAmount,Sheet1!S71_A2SubCode,$AC:$AC,Sheet1!S71_ItemType,$AD:$AD)</f>
        <v>0</v>
      </c>
      <c r="J36" s="171">
        <f t="shared" si="2"/>
        <v>0</v>
      </c>
      <c r="K36" s="171">
        <f t="shared" si="4"/>
        <v>0</v>
      </c>
      <c r="L36" s="1356">
        <f>-SUMIFS(Sheet1!S71_OY1AdjustedBudget,Sheet1!S71_A2SubCode,$AC:$AC,Sheet1!S71_ItemType,$AD:$AD)</f>
        <v>0</v>
      </c>
      <c r="M36" s="1357">
        <f>-SUMIFS(Sheet1!S71_OY2AdjustedBudget,Sheet1!S71_A2SubCode,$AC:$AC,Sheet1!S71_ItemType,$AD:$AD)</f>
        <v>0</v>
      </c>
      <c r="N36" s="126"/>
      <c r="AC36" s="1345">
        <v>2108</v>
      </c>
      <c r="AD36" s="1345" t="s">
        <v>1811</v>
      </c>
    </row>
    <row r="37" spans="1:30" ht="13.5" customHeight="1" x14ac:dyDescent="0.25">
      <c r="A37" s="830" t="s">
        <v>1502</v>
      </c>
      <c r="B37" s="722"/>
      <c r="C37" s="1360">
        <f>-SUMIFS(Sheet1!S71_OriginalBudget,Sheet1!S71_A2SubCode,$AC:$AC,Sheet1!S71_ItemType,$AD:$AD)</f>
        <v>372500</v>
      </c>
      <c r="D37" s="1356">
        <f>-SUMIFS(Sheet1!S71_SpecialAdjustedBudget,Sheet1!S71_A2SubCode,$AC:$AC,Sheet1!S71_ItemType,$AD:$AD)</f>
        <v>372500</v>
      </c>
      <c r="E37" s="1356"/>
      <c r="F37" s="1356"/>
      <c r="G37" s="1356"/>
      <c r="H37" s="1356"/>
      <c r="I37" s="1356">
        <f>SUMIFS(Sheet1!S71_AdjustmentAmount,Sheet1!S71_A2SubCode,$AC:$AC,Sheet1!S71_ItemType,$AD:$AD)</f>
        <v>-372500</v>
      </c>
      <c r="J37" s="171">
        <f t="shared" si="2"/>
        <v>-372500</v>
      </c>
      <c r="K37" s="171">
        <f t="shared" si="4"/>
        <v>0</v>
      </c>
      <c r="L37" s="1356">
        <f>-SUMIFS(Sheet1!S71_OY1AdjustedBudget,Sheet1!S71_A2SubCode,$AC:$AC,Sheet1!S71_ItemType,$AD:$AD)</f>
        <v>0</v>
      </c>
      <c r="M37" s="1357">
        <f>-SUMIFS(Sheet1!S71_OY2AdjustedBudget,Sheet1!S71_A2SubCode,$AC:$AC,Sheet1!S71_ItemType,$AD:$AD)</f>
        <v>0</v>
      </c>
      <c r="N37" s="126"/>
      <c r="AC37" s="1345">
        <v>2109</v>
      </c>
      <c r="AD37" s="1345" t="s">
        <v>1811</v>
      </c>
    </row>
    <row r="38" spans="1:30" ht="13.5" customHeight="1" x14ac:dyDescent="0.25">
      <c r="A38" s="830" t="s">
        <v>1293</v>
      </c>
      <c r="B38" s="722"/>
      <c r="C38" s="1360">
        <f>-SUMIFS(Sheet1!S71_OriginalBudget,Sheet1!S71_A2SubCode,$AC:$AC,Sheet1!S71_ItemType,$AD:$AD)</f>
        <v>0</v>
      </c>
      <c r="D38" s="1356">
        <f>-SUMIFS(Sheet1!S71_SpecialAdjustedBudget,Sheet1!S71_A2SubCode,$AC:$AC,Sheet1!S71_ItemType,$AD:$AD)</f>
        <v>0</v>
      </c>
      <c r="E38" s="1356"/>
      <c r="F38" s="1356"/>
      <c r="G38" s="1356"/>
      <c r="H38" s="1356"/>
      <c r="I38" s="1356">
        <f>SUMIFS(Sheet1!S71_AdjustmentAmount,Sheet1!S71_A2SubCode,$AC:$AC,Sheet1!S71_ItemType,$AD:$AD)</f>
        <v>0</v>
      </c>
      <c r="J38" s="171">
        <f t="shared" si="2"/>
        <v>0</v>
      </c>
      <c r="K38" s="171">
        <f t="shared" si="4"/>
        <v>0</v>
      </c>
      <c r="L38" s="1356">
        <f>-SUMIFS(Sheet1!S71_OY1AdjustedBudget,Sheet1!S71_A2SubCode,$AC:$AC,Sheet1!S71_ItemType,$AD:$AD)</f>
        <v>0</v>
      </c>
      <c r="M38" s="1357">
        <f>-SUMIFS(Sheet1!S71_OY2AdjustedBudget,Sheet1!S71_A2SubCode,$AC:$AC,Sheet1!S71_ItemType,$AD:$AD)</f>
        <v>0</v>
      </c>
      <c r="N38" s="126"/>
      <c r="AC38" s="1345">
        <v>2110</v>
      </c>
      <c r="AD38" s="1345" t="s">
        <v>1811</v>
      </c>
    </row>
    <row r="39" spans="1:30" ht="13.5" customHeight="1" x14ac:dyDescent="0.25">
      <c r="A39" s="830" t="s">
        <v>1503</v>
      </c>
      <c r="B39" s="722"/>
      <c r="C39" s="1360">
        <f>-SUMIFS(Sheet1!S71_OriginalBudget,Sheet1!S71_A2SubCode,$AC:$AC,Sheet1!S71_ItemType,$AD:$AD)</f>
        <v>0</v>
      </c>
      <c r="D39" s="1356">
        <f>-SUMIFS(Sheet1!S71_SpecialAdjustedBudget,Sheet1!S71_A2SubCode,$AC:$AC,Sheet1!S71_ItemType,$AD:$AD)</f>
        <v>0</v>
      </c>
      <c r="E39" s="1356"/>
      <c r="F39" s="1356"/>
      <c r="G39" s="1356"/>
      <c r="H39" s="1356"/>
      <c r="I39" s="1356">
        <f>SUMIFS(Sheet1!S71_AdjustmentAmount,Sheet1!S71_A2SubCode,$AC:$AC,Sheet1!S71_ItemType,$AD:$AD)</f>
        <v>0</v>
      </c>
      <c r="J39" s="171">
        <f t="shared" si="2"/>
        <v>0</v>
      </c>
      <c r="K39" s="171">
        <f t="shared" si="4"/>
        <v>0</v>
      </c>
      <c r="L39" s="1356">
        <f>-SUMIFS(Sheet1!S71_OY1AdjustedBudget,Sheet1!S71_A2SubCode,$AC:$AC,Sheet1!S71_ItemType,$AD:$AD)</f>
        <v>0</v>
      </c>
      <c r="M39" s="1357">
        <f>-SUMIFS(Sheet1!S71_OY2AdjustedBudget,Sheet1!S71_A2SubCode,$AC:$AC,Sheet1!S71_ItemType,$AD:$AD)</f>
        <v>0</v>
      </c>
      <c r="N39" s="126"/>
      <c r="AC39" s="1345">
        <v>2111</v>
      </c>
      <c r="AD39" s="1345" t="s">
        <v>1811</v>
      </c>
    </row>
    <row r="40" spans="1:30" ht="13.5" customHeight="1" x14ac:dyDescent="0.25">
      <c r="A40" s="830" t="s">
        <v>1504</v>
      </c>
      <c r="B40" s="722"/>
      <c r="C40" s="1360">
        <f>-SUMIFS(Sheet1!S71_OriginalBudget,Sheet1!S71_A2SubCode,$AC:$AC,Sheet1!S71_ItemType,$AD:$AD)</f>
        <v>0</v>
      </c>
      <c r="D40" s="1356">
        <f>-SUMIFS(Sheet1!S71_SpecialAdjustedBudget,Sheet1!S71_A2SubCode,$AC:$AC,Sheet1!S71_ItemType,$AD:$AD)</f>
        <v>0</v>
      </c>
      <c r="E40" s="1356"/>
      <c r="F40" s="1356"/>
      <c r="G40" s="1356"/>
      <c r="H40" s="1356"/>
      <c r="I40" s="1356">
        <f>SUMIFS(Sheet1!S71_AdjustmentAmount,Sheet1!S71_A2SubCode,$AC:$AC,Sheet1!S71_ItemType,$AD:$AD)</f>
        <v>0</v>
      </c>
      <c r="J40" s="171">
        <f t="shared" si="2"/>
        <v>0</v>
      </c>
      <c r="K40" s="171">
        <f t="shared" si="4"/>
        <v>0</v>
      </c>
      <c r="L40" s="1356">
        <f>-SUMIFS(Sheet1!S71_OY1AdjustedBudget,Sheet1!S71_A2SubCode,$AC:$AC,Sheet1!S71_ItemType,$AD:$AD)</f>
        <v>0</v>
      </c>
      <c r="M40" s="1357">
        <f>-SUMIFS(Sheet1!S71_OY2AdjustedBudget,Sheet1!S71_A2SubCode,$AC:$AC,Sheet1!S71_ItemType,$AD:$AD)</f>
        <v>0</v>
      </c>
      <c r="N40" s="126"/>
      <c r="AC40" s="1345">
        <v>2112</v>
      </c>
      <c r="AD40" s="1345" t="s">
        <v>1811</v>
      </c>
    </row>
    <row r="41" spans="1:30" ht="13.5" customHeight="1" x14ac:dyDescent="0.25">
      <c r="A41" s="830" t="s">
        <v>1505</v>
      </c>
      <c r="B41" s="722"/>
      <c r="C41" s="1360">
        <f>-SUMIFS(Sheet1!S71_OriginalBudget,Sheet1!S71_A2SubCode,$AC:$AC,Sheet1!S71_ItemType,$AD:$AD)</f>
        <v>0</v>
      </c>
      <c r="D41" s="1356">
        <f>-SUMIFS(Sheet1!S71_SpecialAdjustedBudget,Sheet1!S71_A2SubCode,$AC:$AC,Sheet1!S71_ItemType,$AD:$AD)</f>
        <v>0</v>
      </c>
      <c r="E41" s="1356"/>
      <c r="F41" s="1356"/>
      <c r="G41" s="1356"/>
      <c r="H41" s="1356"/>
      <c r="I41" s="1356">
        <f>SUMIFS(Sheet1!S71_AdjustmentAmount,Sheet1!S71_A2SubCode,$AC:$AC,Sheet1!S71_ItemType,$AD:$AD)</f>
        <v>0</v>
      </c>
      <c r="J41" s="171">
        <f t="shared" si="2"/>
        <v>0</v>
      </c>
      <c r="K41" s="171">
        <f t="shared" si="4"/>
        <v>0</v>
      </c>
      <c r="L41" s="1356">
        <f>-SUMIFS(Sheet1!S71_OY1AdjustedBudget,Sheet1!S71_A2SubCode,$AC:$AC,Sheet1!S71_ItemType,$AD:$AD)</f>
        <v>0</v>
      </c>
      <c r="M41" s="1357">
        <f>-SUMIFS(Sheet1!S71_OY2AdjustedBudget,Sheet1!S71_A2SubCode,$AC:$AC,Sheet1!S71_ItemType,$AD:$AD)</f>
        <v>0</v>
      </c>
      <c r="N41" s="126"/>
      <c r="AC41" s="1345">
        <v>2113</v>
      </c>
      <c r="AD41" s="1345" t="s">
        <v>1811</v>
      </c>
    </row>
    <row r="42" spans="1:30" ht="13.5" customHeight="1" x14ac:dyDescent="0.25">
      <c r="A42" s="830" t="s">
        <v>999</v>
      </c>
      <c r="B42" s="722"/>
      <c r="C42" s="1360">
        <f>-SUMIFS(Sheet1!S71_OriginalBudget,Sheet1!S71_A2SubCode,$AC:$AC,Sheet1!S71_ItemType,$AD:$AD)</f>
        <v>1839594</v>
      </c>
      <c r="D42" s="1356">
        <f>-SUMIFS(Sheet1!S71_SpecialAdjustedBudget,Sheet1!S71_A2SubCode,$AC:$AC,Sheet1!S71_ItemType,$AD:$AD)</f>
        <v>1839594</v>
      </c>
      <c r="E42" s="1356"/>
      <c r="F42" s="1356"/>
      <c r="G42" s="1356"/>
      <c r="H42" s="1356"/>
      <c r="I42" s="1356">
        <f>SUMIFS(Sheet1!S71_AdjustmentAmount,Sheet1!S71_A2SubCode,$AC:$AC,Sheet1!S71_ItemType,$AD:$AD)</f>
        <v>0</v>
      </c>
      <c r="J42" s="171">
        <f t="shared" si="2"/>
        <v>0</v>
      </c>
      <c r="K42" s="171">
        <f t="shared" si="4"/>
        <v>1839594</v>
      </c>
      <c r="L42" s="1356">
        <f>-SUMIFS(Sheet1!S71_OY1AdjustedBudget,Sheet1!S71_A2SubCode,$AC:$AC,Sheet1!S71_ItemType,$AD:$AD)</f>
        <v>1840950</v>
      </c>
      <c r="M42" s="1357">
        <f>-SUMIFS(Sheet1!S71_OY2AdjustedBudget,Sheet1!S71_A2SubCode,$AC:$AC,Sheet1!S71_ItemType,$AD:$AD)</f>
        <v>1842387</v>
      </c>
      <c r="N42" s="126"/>
      <c r="AC42" s="1345">
        <v>2114</v>
      </c>
      <c r="AD42" s="1345" t="s">
        <v>1811</v>
      </c>
    </row>
    <row r="43" spans="1:30" ht="13.5" customHeight="1" x14ac:dyDescent="0.25">
      <c r="A43" s="830" t="s">
        <v>1506</v>
      </c>
      <c r="B43" s="722"/>
      <c r="C43" s="1360">
        <f>-SUMIFS(Sheet1!S71_OriginalBudget,Sheet1!S71_A2SubCode,$AC:$AC,Sheet1!S71_ItemType,$AD:$AD)</f>
        <v>0</v>
      </c>
      <c r="D43" s="1356">
        <f>-SUMIFS(Sheet1!S71_SpecialAdjustedBudget,Sheet1!S71_A2SubCode,$AC:$AC,Sheet1!S71_ItemType,$AD:$AD)</f>
        <v>0</v>
      </c>
      <c r="E43" s="1356"/>
      <c r="F43" s="1356"/>
      <c r="G43" s="1356"/>
      <c r="H43" s="1356"/>
      <c r="I43" s="1356">
        <f>SUMIFS(Sheet1!S71_AdjustmentAmount,Sheet1!S71_A2SubCode,$AC:$AC,Sheet1!S71_ItemType,$AD:$AD)</f>
        <v>0</v>
      </c>
      <c r="J43" s="171">
        <f t="shared" si="2"/>
        <v>0</v>
      </c>
      <c r="K43" s="171">
        <f t="shared" si="4"/>
        <v>0</v>
      </c>
      <c r="L43" s="1356">
        <f>-SUMIFS(Sheet1!S71_OY1AdjustedBudget,Sheet1!S71_A2SubCode,$AC:$AC,Sheet1!S71_ItemType,$AD:$AD)</f>
        <v>0</v>
      </c>
      <c r="M43" s="1357">
        <f>-SUMIFS(Sheet1!S71_OY2AdjustedBudget,Sheet1!S71_A2SubCode,$AC:$AC,Sheet1!S71_ItemType,$AD:$AD)</f>
        <v>0</v>
      </c>
      <c r="N43" s="126"/>
      <c r="AC43" s="1345">
        <v>2115</v>
      </c>
      <c r="AD43" s="1345" t="s">
        <v>1811</v>
      </c>
    </row>
    <row r="44" spans="1:30" ht="13.5" customHeight="1" x14ac:dyDescent="0.25">
      <c r="A44" s="830" t="s">
        <v>1507</v>
      </c>
      <c r="B44" s="722"/>
      <c r="C44" s="1360">
        <f>-SUMIFS(Sheet1!S71_OriginalBudget,Sheet1!S71_A2SubCode,$AC:$AC,Sheet1!S71_ItemType,$AD:$AD)</f>
        <v>0</v>
      </c>
      <c r="D44" s="1356">
        <f>-SUMIFS(Sheet1!S71_SpecialAdjustedBudget,Sheet1!S71_A2SubCode,$AC:$AC,Sheet1!S71_ItemType,$AD:$AD)</f>
        <v>0</v>
      </c>
      <c r="E44" s="1356"/>
      <c r="F44" s="1356"/>
      <c r="G44" s="1356"/>
      <c r="H44" s="1356"/>
      <c r="I44" s="1356">
        <f>SUMIFS(Sheet1!S71_AdjustmentAmount,Sheet1!S71_A2SubCode,$AC:$AC,Sheet1!S71_ItemType,$AD:$AD)</f>
        <v>0</v>
      </c>
      <c r="J44" s="171">
        <f t="shared" si="2"/>
        <v>0</v>
      </c>
      <c r="K44" s="171">
        <f t="shared" si="4"/>
        <v>0</v>
      </c>
      <c r="L44" s="1356">
        <f>-SUMIFS(Sheet1!S71_OY1AdjustedBudget,Sheet1!S71_A2SubCode,$AC:$AC,Sheet1!S71_ItemType,$AD:$AD)</f>
        <v>0</v>
      </c>
      <c r="M44" s="1357">
        <f>-SUMIFS(Sheet1!S71_OY2AdjustedBudget,Sheet1!S71_A2SubCode,$AC:$AC,Sheet1!S71_ItemType,$AD:$AD)</f>
        <v>0</v>
      </c>
      <c r="N44" s="126"/>
      <c r="AC44" s="1345">
        <v>2116</v>
      </c>
      <c r="AD44" s="1345" t="s">
        <v>1811</v>
      </c>
    </row>
    <row r="45" spans="1:30" ht="13.5" customHeight="1" x14ac:dyDescent="0.25">
      <c r="A45" s="830" t="s">
        <v>1508</v>
      </c>
      <c r="B45" s="722"/>
      <c r="C45" s="1360">
        <f>-SUMIFS(Sheet1!S71_OriginalBudget,Sheet1!S71_A2SubCode,$AC:$AC,Sheet1!S71_ItemType,$AD:$AD)</f>
        <v>0</v>
      </c>
      <c r="D45" s="1356">
        <f>-SUMIFS(Sheet1!S71_SpecialAdjustedBudget,Sheet1!S71_A2SubCode,$AC:$AC,Sheet1!S71_ItemType,$AD:$AD)</f>
        <v>0</v>
      </c>
      <c r="E45" s="1356"/>
      <c r="F45" s="1356"/>
      <c r="G45" s="1356"/>
      <c r="H45" s="1356"/>
      <c r="I45" s="1356">
        <f>SUMIFS(Sheet1!S71_AdjustmentAmount,Sheet1!S71_A2SubCode,$AC:$AC,Sheet1!S71_ItemType,$AD:$AD)</f>
        <v>0</v>
      </c>
      <c r="J45" s="171">
        <f t="shared" si="2"/>
        <v>0</v>
      </c>
      <c r="K45" s="171">
        <f t="shared" si="4"/>
        <v>0</v>
      </c>
      <c r="L45" s="1356">
        <f>-SUMIFS(Sheet1!S71_OY1AdjustedBudget,Sheet1!S71_A2SubCode,$AC:$AC,Sheet1!S71_ItemType,$AD:$AD)</f>
        <v>0</v>
      </c>
      <c r="M45" s="1357">
        <f>-SUMIFS(Sheet1!S71_OY2AdjustedBudget,Sheet1!S71_A2SubCode,$AC:$AC,Sheet1!S71_ItemType,$AD:$AD)</f>
        <v>0</v>
      </c>
      <c r="N45" s="126"/>
      <c r="AC45" s="1345">
        <v>2117</v>
      </c>
      <c r="AD45" s="1345" t="s">
        <v>1811</v>
      </c>
    </row>
    <row r="46" spans="1:30" ht="13.5" customHeight="1" x14ac:dyDescent="0.25">
      <c r="A46" s="830" t="s">
        <v>1509</v>
      </c>
      <c r="B46" s="722"/>
      <c r="C46" s="1360">
        <f>-SUMIFS(Sheet1!S71_OriginalBudget,Sheet1!S71_A2SubCode,$AC:$AC,Sheet1!S71_ItemType,$AD:$AD)</f>
        <v>0</v>
      </c>
      <c r="D46" s="1356">
        <f>-SUMIFS(Sheet1!S71_SpecialAdjustedBudget,Sheet1!S71_A2SubCode,$AC:$AC,Sheet1!S71_ItemType,$AD:$AD)</f>
        <v>0</v>
      </c>
      <c r="E46" s="1356"/>
      <c r="F46" s="1356"/>
      <c r="G46" s="1356"/>
      <c r="H46" s="1356"/>
      <c r="I46" s="1356">
        <f>SUMIFS(Sheet1!S71_AdjustmentAmount,Sheet1!S71_A2SubCode,$AC:$AC,Sheet1!S71_ItemType,$AD:$AD)</f>
        <v>0</v>
      </c>
      <c r="J46" s="171">
        <f t="shared" si="2"/>
        <v>0</v>
      </c>
      <c r="K46" s="171">
        <f t="shared" si="4"/>
        <v>0</v>
      </c>
      <c r="L46" s="1356">
        <f>-SUMIFS(Sheet1!S71_OY1AdjustedBudget,Sheet1!S71_A2SubCode,$AC:$AC,Sheet1!S71_ItemType,$AD:$AD)</f>
        <v>0</v>
      </c>
      <c r="M46" s="1357">
        <f>-SUMIFS(Sheet1!S71_OY2AdjustedBudget,Sheet1!S71_A2SubCode,$AC:$AC,Sheet1!S71_ItemType,$AD:$AD)</f>
        <v>0</v>
      </c>
      <c r="N46" s="126"/>
      <c r="AC46" s="1345">
        <v>2118</v>
      </c>
      <c r="AD46" s="1345" t="s">
        <v>1811</v>
      </c>
    </row>
    <row r="47" spans="1:30" ht="13.5" customHeight="1" x14ac:dyDescent="0.25">
      <c r="A47" s="830" t="s">
        <v>1510</v>
      </c>
      <c r="B47" s="722"/>
      <c r="C47" s="1360">
        <f>-SUMIFS(Sheet1!S71_OriginalBudget,Sheet1!S71_A2SubCode,$AC:$AC,Sheet1!S71_ItemType,$AD:$AD)</f>
        <v>0</v>
      </c>
      <c r="D47" s="1356">
        <f>-SUMIFS(Sheet1!S71_SpecialAdjustedBudget,Sheet1!S71_A2SubCode,$AC:$AC,Sheet1!S71_ItemType,$AD:$AD)</f>
        <v>0</v>
      </c>
      <c r="E47" s="1356"/>
      <c r="F47" s="1356"/>
      <c r="G47" s="1356"/>
      <c r="H47" s="1356"/>
      <c r="I47" s="1356">
        <f>SUMIFS(Sheet1!S71_AdjustmentAmount,Sheet1!S71_A2SubCode,$AC:$AC,Sheet1!S71_ItemType,$AD:$AD)</f>
        <v>0</v>
      </c>
      <c r="J47" s="171">
        <f t="shared" si="2"/>
        <v>0</v>
      </c>
      <c r="K47" s="171">
        <f t="shared" si="4"/>
        <v>0</v>
      </c>
      <c r="L47" s="1356">
        <f>-SUMIFS(Sheet1!S71_OY1AdjustedBudget,Sheet1!S71_A2SubCode,$AC:$AC,Sheet1!S71_ItemType,$AD:$AD)</f>
        <v>0</v>
      </c>
      <c r="M47" s="1357">
        <f>-SUMIFS(Sheet1!S71_OY2AdjustedBudget,Sheet1!S71_A2SubCode,$AC:$AC,Sheet1!S71_ItemType,$AD:$AD)</f>
        <v>0</v>
      </c>
      <c r="N47" s="126"/>
      <c r="AC47" s="1345">
        <v>2119</v>
      </c>
      <c r="AD47" s="1345" t="s">
        <v>1811</v>
      </c>
    </row>
    <row r="48" spans="1:30" ht="13.5" customHeight="1" x14ac:dyDescent="0.25">
      <c r="A48" s="830" t="s">
        <v>1511</v>
      </c>
      <c r="B48" s="722"/>
      <c r="C48" s="1360">
        <f>-SUMIFS(Sheet1!S71_OriginalBudget,Sheet1!S71_A2SubCode,$AC:$AC,Sheet1!S71_ItemType,$AD:$AD)</f>
        <v>0</v>
      </c>
      <c r="D48" s="1356">
        <f>-SUMIFS(Sheet1!S71_SpecialAdjustedBudget,Sheet1!S71_A2SubCode,$AC:$AC,Sheet1!S71_ItemType,$AD:$AD)</f>
        <v>0</v>
      </c>
      <c r="E48" s="1356"/>
      <c r="F48" s="1356"/>
      <c r="G48" s="1356"/>
      <c r="H48" s="1356"/>
      <c r="I48" s="1356">
        <f>SUMIFS(Sheet1!S71_AdjustmentAmount,Sheet1!S71_A2SubCode,$AC:$AC,Sheet1!S71_ItemType,$AD:$AD)</f>
        <v>0</v>
      </c>
      <c r="J48" s="171">
        <f t="shared" si="2"/>
        <v>0</v>
      </c>
      <c r="K48" s="171">
        <f t="shared" si="4"/>
        <v>0</v>
      </c>
      <c r="L48" s="1356">
        <f>-SUMIFS(Sheet1!S71_OY1AdjustedBudget,Sheet1!S71_A2SubCode,$AC:$AC,Sheet1!S71_ItemType,$AD:$AD)</f>
        <v>0</v>
      </c>
      <c r="M48" s="1357">
        <f>-SUMIFS(Sheet1!S71_OY2AdjustedBudget,Sheet1!S71_A2SubCode,$AC:$AC,Sheet1!S71_ItemType,$AD:$AD)</f>
        <v>0</v>
      </c>
      <c r="N48" s="126"/>
      <c r="AC48" s="1345">
        <v>2120</v>
      </c>
      <c r="AD48" s="1345" t="s">
        <v>1811</v>
      </c>
    </row>
    <row r="49" spans="1:30" ht="13.5" customHeight="1" x14ac:dyDescent="0.25">
      <c r="A49" s="830" t="s">
        <v>1512</v>
      </c>
      <c r="B49" s="722"/>
      <c r="C49" s="1360">
        <f>-SUMIFS(Sheet1!S71_OriginalBudget,Sheet1!S71_A2SubCode,$AC:$AC,Sheet1!S71_ItemType,$AD:$AD)</f>
        <v>0</v>
      </c>
      <c r="D49" s="1356">
        <f>-SUMIFS(Sheet1!S71_SpecialAdjustedBudget,Sheet1!S71_A2SubCode,$AC:$AC,Sheet1!S71_ItemType,$AD:$AD)</f>
        <v>0</v>
      </c>
      <c r="E49" s="1356"/>
      <c r="F49" s="1356"/>
      <c r="G49" s="1356"/>
      <c r="H49" s="1356"/>
      <c r="I49" s="1356">
        <f>SUMIFS(Sheet1!S71_AdjustmentAmount,Sheet1!S71_A2SubCode,$AC:$AC,Sheet1!S71_ItemType,$AD:$AD)</f>
        <v>0</v>
      </c>
      <c r="J49" s="171">
        <f t="shared" si="2"/>
        <v>0</v>
      </c>
      <c r="K49" s="171">
        <f t="shared" si="4"/>
        <v>0</v>
      </c>
      <c r="L49" s="1356">
        <f>-SUMIFS(Sheet1!S71_OY1AdjustedBudget,Sheet1!S71_A2SubCode,$AC:$AC,Sheet1!S71_ItemType,$AD:$AD)</f>
        <v>0</v>
      </c>
      <c r="M49" s="1357">
        <f>-SUMIFS(Sheet1!S71_OY2AdjustedBudget,Sheet1!S71_A2SubCode,$AC:$AC,Sheet1!S71_ItemType,$AD:$AD)</f>
        <v>0</v>
      </c>
      <c r="N49" s="126"/>
      <c r="AC49" s="1345">
        <v>2121</v>
      </c>
      <c r="AD49" s="1345" t="s">
        <v>1811</v>
      </c>
    </row>
    <row r="50" spans="1:30" ht="13.5" customHeight="1" x14ac:dyDescent="0.25">
      <c r="A50" s="710" t="s">
        <v>619</v>
      </c>
      <c r="B50" s="722"/>
      <c r="C50" s="711">
        <f t="shared" ref="C50:M50" si="9">SUM(C51:C55)</f>
        <v>0</v>
      </c>
      <c r="D50" s="711">
        <f t="shared" si="9"/>
        <v>0</v>
      </c>
      <c r="E50" s="268">
        <f t="shared" si="9"/>
        <v>0</v>
      </c>
      <c r="F50" s="268">
        <f t="shared" si="9"/>
        <v>0</v>
      </c>
      <c r="G50" s="268">
        <f t="shared" si="9"/>
        <v>0</v>
      </c>
      <c r="H50" s="268">
        <f t="shared" si="9"/>
        <v>0</v>
      </c>
      <c r="I50" s="268">
        <f t="shared" si="9"/>
        <v>0</v>
      </c>
      <c r="J50" s="268">
        <f t="shared" si="2"/>
        <v>0</v>
      </c>
      <c r="K50" s="268">
        <f t="shared" si="4"/>
        <v>0</v>
      </c>
      <c r="L50" s="268">
        <f t="shared" si="9"/>
        <v>0</v>
      </c>
      <c r="M50" s="269">
        <f t="shared" si="9"/>
        <v>0</v>
      </c>
      <c r="N50" s="126"/>
    </row>
    <row r="51" spans="1:30" ht="13.5" customHeight="1" x14ac:dyDescent="0.25">
      <c r="A51" s="830" t="s">
        <v>1513</v>
      </c>
      <c r="B51" s="722"/>
      <c r="C51" s="1360">
        <f>-SUMIFS(Sheet1!S71_OriginalBudget,Sheet1!S71_A2SubCode,$AC:$AC,Sheet1!S71_ItemType,$AD:$AD)</f>
        <v>0</v>
      </c>
      <c r="D51" s="1356">
        <f>-SUMIFS(Sheet1!S71_SpecialAdjustedBudget,Sheet1!S71_A2SubCode,$AC:$AC,Sheet1!S71_ItemType,$AD:$AD)</f>
        <v>0</v>
      </c>
      <c r="E51" s="1356"/>
      <c r="F51" s="1356"/>
      <c r="G51" s="1356"/>
      <c r="H51" s="1356"/>
      <c r="I51" s="1356">
        <f>SUMIFS(Sheet1!S71_AdjustmentAmount,Sheet1!S71_A2SubCode,$AC:$AC,Sheet1!S71_ItemType,$AD:$AD)</f>
        <v>0</v>
      </c>
      <c r="J51" s="171">
        <f t="shared" si="2"/>
        <v>0</v>
      </c>
      <c r="K51" s="171">
        <f t="shared" si="4"/>
        <v>0</v>
      </c>
      <c r="L51" s="1356">
        <f>-SUMIFS(Sheet1!S71_OY1AdjustedBudget,Sheet1!S71_A2SubCode,$AC:$AC,Sheet1!S71_ItemType,$AD:$AD)</f>
        <v>0</v>
      </c>
      <c r="M51" s="1357">
        <f>-SUMIFS(Sheet1!S71_OY2AdjustedBudget,Sheet1!S71_A2SubCode,$AC:$AC,Sheet1!S71_ItemType,$AD:$AD)</f>
        <v>0</v>
      </c>
      <c r="N51" s="126"/>
      <c r="AC51" s="1345">
        <v>2201</v>
      </c>
      <c r="AD51" s="1345" t="s">
        <v>1811</v>
      </c>
    </row>
    <row r="52" spans="1:30" ht="13.5" customHeight="1" x14ac:dyDescent="0.25">
      <c r="A52" s="830" t="s">
        <v>1514</v>
      </c>
      <c r="B52" s="722"/>
      <c r="C52" s="1360">
        <f>-SUMIFS(Sheet1!S71_OriginalBudget,Sheet1!S71_A2SubCode,$AC:$AC,Sheet1!S71_ItemType,$AD:$AD)</f>
        <v>0</v>
      </c>
      <c r="D52" s="1356">
        <f>-SUMIFS(Sheet1!S71_SpecialAdjustedBudget,Sheet1!S71_A2SubCode,$AC:$AC,Sheet1!S71_ItemType,$AD:$AD)</f>
        <v>0</v>
      </c>
      <c r="E52" s="1356"/>
      <c r="F52" s="1356"/>
      <c r="G52" s="1356"/>
      <c r="H52" s="1356"/>
      <c r="I52" s="1356">
        <f>SUMIFS(Sheet1!S71_AdjustmentAmount,Sheet1!S71_A2SubCode,$AC:$AC,Sheet1!S71_ItemType,$AD:$AD)</f>
        <v>0</v>
      </c>
      <c r="J52" s="171">
        <f t="shared" si="2"/>
        <v>0</v>
      </c>
      <c r="K52" s="171">
        <f t="shared" si="4"/>
        <v>0</v>
      </c>
      <c r="L52" s="1356">
        <f>-SUMIFS(Sheet1!S71_OY1AdjustedBudget,Sheet1!S71_A2SubCode,$AC:$AC,Sheet1!S71_ItemType,$AD:$AD)</f>
        <v>0</v>
      </c>
      <c r="M52" s="1357">
        <f>-SUMIFS(Sheet1!S71_OY2AdjustedBudget,Sheet1!S71_A2SubCode,$AC:$AC,Sheet1!S71_ItemType,$AD:$AD)</f>
        <v>0</v>
      </c>
      <c r="N52" s="126"/>
      <c r="AC52" s="1345">
        <v>2202</v>
      </c>
      <c r="AD52" s="1345" t="s">
        <v>1811</v>
      </c>
    </row>
    <row r="53" spans="1:30" ht="13.5" customHeight="1" x14ac:dyDescent="0.25">
      <c r="A53" s="830" t="s">
        <v>1515</v>
      </c>
      <c r="B53" s="722"/>
      <c r="C53" s="1360">
        <f>-SUMIFS(Sheet1!S71_OriginalBudget,Sheet1!S71_A2SubCode,$AC:$AC,Sheet1!S71_ItemType,$AD:$AD)</f>
        <v>0</v>
      </c>
      <c r="D53" s="1356">
        <f>-SUMIFS(Sheet1!S71_SpecialAdjustedBudget,Sheet1!S71_A2SubCode,$AC:$AC,Sheet1!S71_ItemType,$AD:$AD)</f>
        <v>0</v>
      </c>
      <c r="E53" s="1356"/>
      <c r="F53" s="1356"/>
      <c r="G53" s="1356"/>
      <c r="H53" s="1356"/>
      <c r="I53" s="1356">
        <f>SUMIFS(Sheet1!S71_AdjustmentAmount,Sheet1!S71_A2SubCode,$AC:$AC,Sheet1!S71_ItemType,$AD:$AD)</f>
        <v>0</v>
      </c>
      <c r="J53" s="171">
        <f t="shared" si="2"/>
        <v>0</v>
      </c>
      <c r="K53" s="171">
        <f t="shared" si="4"/>
        <v>0</v>
      </c>
      <c r="L53" s="1356">
        <f>-SUMIFS(Sheet1!S71_OY1AdjustedBudget,Sheet1!S71_A2SubCode,$AC:$AC,Sheet1!S71_ItemType,$AD:$AD)</f>
        <v>0</v>
      </c>
      <c r="M53" s="1357">
        <f>-SUMIFS(Sheet1!S71_OY2AdjustedBudget,Sheet1!S71_A2SubCode,$AC:$AC,Sheet1!S71_ItemType,$AD:$AD)</f>
        <v>0</v>
      </c>
      <c r="N53" s="126"/>
      <c r="AC53" s="1345">
        <v>2203</v>
      </c>
      <c r="AD53" s="1345" t="s">
        <v>1811</v>
      </c>
    </row>
    <row r="54" spans="1:30" ht="13.5" customHeight="1" x14ac:dyDescent="0.25">
      <c r="A54" s="830" t="s">
        <v>1516</v>
      </c>
      <c r="B54" s="722"/>
      <c r="C54" s="1360">
        <f>-SUMIFS(Sheet1!S71_OriginalBudget,Sheet1!S71_A2SubCode,$AC:$AC,Sheet1!S71_ItemType,$AD:$AD)</f>
        <v>0</v>
      </c>
      <c r="D54" s="1356">
        <f>-SUMIFS(Sheet1!S71_SpecialAdjustedBudget,Sheet1!S71_A2SubCode,$AC:$AC,Sheet1!S71_ItemType,$AD:$AD)</f>
        <v>0</v>
      </c>
      <c r="E54" s="1356"/>
      <c r="F54" s="1356"/>
      <c r="G54" s="1356"/>
      <c r="H54" s="1356"/>
      <c r="I54" s="1356">
        <f>SUMIFS(Sheet1!S71_AdjustmentAmount,Sheet1!S71_A2SubCode,$AC:$AC,Sheet1!S71_ItemType,$AD:$AD)</f>
        <v>0</v>
      </c>
      <c r="J54" s="171">
        <f t="shared" si="2"/>
        <v>0</v>
      </c>
      <c r="K54" s="171">
        <f t="shared" si="4"/>
        <v>0</v>
      </c>
      <c r="L54" s="1356">
        <f>-SUMIFS(Sheet1!S71_OY1AdjustedBudget,Sheet1!S71_A2SubCode,$AC:$AC,Sheet1!S71_ItemType,$AD:$AD)</f>
        <v>0</v>
      </c>
      <c r="M54" s="1357">
        <f>-SUMIFS(Sheet1!S71_OY2AdjustedBudget,Sheet1!S71_A2SubCode,$AC:$AC,Sheet1!S71_ItemType,$AD:$AD)</f>
        <v>0</v>
      </c>
      <c r="N54" s="126"/>
      <c r="AC54" s="1345">
        <v>2204</v>
      </c>
      <c r="AD54" s="1345" t="s">
        <v>1811</v>
      </c>
    </row>
    <row r="55" spans="1:30" ht="13.5" customHeight="1" x14ac:dyDescent="0.25">
      <c r="A55" s="830" t="s">
        <v>1517</v>
      </c>
      <c r="B55" s="722"/>
      <c r="C55" s="1360">
        <f>-SUMIFS(Sheet1!S71_OriginalBudget,Sheet1!S71_A2SubCode,$AC:$AC,Sheet1!S71_ItemType,$AD:$AD)</f>
        <v>0</v>
      </c>
      <c r="D55" s="1356">
        <f>-SUMIFS(Sheet1!S71_SpecialAdjustedBudget,Sheet1!S71_A2SubCode,$AC:$AC,Sheet1!S71_ItemType,$AD:$AD)</f>
        <v>0</v>
      </c>
      <c r="E55" s="1356"/>
      <c r="F55" s="1356"/>
      <c r="G55" s="1356"/>
      <c r="H55" s="1356"/>
      <c r="I55" s="1356">
        <f>SUMIFS(Sheet1!S71_AdjustmentAmount,Sheet1!S71_A2SubCode,$AC:$AC,Sheet1!S71_ItemType,$AD:$AD)</f>
        <v>0</v>
      </c>
      <c r="J55" s="171">
        <f t="shared" si="2"/>
        <v>0</v>
      </c>
      <c r="K55" s="171">
        <f t="shared" si="4"/>
        <v>0</v>
      </c>
      <c r="L55" s="1356">
        <f>-SUMIFS(Sheet1!S71_OY1AdjustedBudget,Sheet1!S71_A2SubCode,$AC:$AC,Sheet1!S71_ItemType,$AD:$AD)</f>
        <v>0</v>
      </c>
      <c r="M55" s="1357">
        <f>-SUMIFS(Sheet1!S71_OY2AdjustedBudget,Sheet1!S71_A2SubCode,$AC:$AC,Sheet1!S71_ItemType,$AD:$AD)</f>
        <v>0</v>
      </c>
      <c r="N55" s="126"/>
      <c r="AC55" s="1345">
        <v>2205</v>
      </c>
      <c r="AD55" s="1345" t="s">
        <v>1811</v>
      </c>
    </row>
    <row r="56" spans="1:30" ht="13.5" customHeight="1" x14ac:dyDescent="0.25">
      <c r="A56" s="710" t="s">
        <v>620</v>
      </c>
      <c r="B56" s="722"/>
      <c r="C56" s="711">
        <f t="shared" ref="C56:M56" si="10">SUM(C57:C64)</f>
        <v>0</v>
      </c>
      <c r="D56" s="268">
        <f t="shared" si="10"/>
        <v>0</v>
      </c>
      <c r="E56" s="268">
        <f t="shared" si="10"/>
        <v>0</v>
      </c>
      <c r="F56" s="268">
        <f t="shared" si="10"/>
        <v>0</v>
      </c>
      <c r="G56" s="268">
        <f t="shared" si="10"/>
        <v>0</v>
      </c>
      <c r="H56" s="268">
        <f t="shared" si="10"/>
        <v>0</v>
      </c>
      <c r="I56" s="268">
        <f t="shared" si="10"/>
        <v>0</v>
      </c>
      <c r="J56" s="268">
        <f t="shared" si="2"/>
        <v>0</v>
      </c>
      <c r="K56" s="268">
        <f t="shared" si="4"/>
        <v>0</v>
      </c>
      <c r="L56" s="268">
        <f t="shared" si="10"/>
        <v>0</v>
      </c>
      <c r="M56" s="269">
        <f t="shared" si="10"/>
        <v>0</v>
      </c>
      <c r="N56" s="126"/>
    </row>
    <row r="57" spans="1:30" ht="13.5" customHeight="1" x14ac:dyDescent="0.25">
      <c r="A57" s="830" t="s">
        <v>1001</v>
      </c>
      <c r="B57" s="722"/>
      <c r="C57" s="1360">
        <f>-SUMIFS(Sheet1!S71_OriginalBudget,Sheet1!S71_A2SubCode,$AC:$AC,Sheet1!S71_ItemType,$AD:$AD)</f>
        <v>0</v>
      </c>
      <c r="D57" s="1356">
        <f>-SUMIFS(Sheet1!S71_SpecialAdjustedBudget,Sheet1!S71_A2SubCode,$AC:$AC,Sheet1!S71_ItemType,$AD:$AD)</f>
        <v>0</v>
      </c>
      <c r="E57" s="1356"/>
      <c r="F57" s="1356"/>
      <c r="G57" s="1356"/>
      <c r="H57" s="1356"/>
      <c r="I57" s="1356">
        <f>SUMIFS(Sheet1!S71_AdjustmentAmount,Sheet1!S71_A2SubCode,$AC:$AC,Sheet1!S71_ItemType,$AD:$AD)</f>
        <v>0</v>
      </c>
      <c r="J57" s="171">
        <f t="shared" si="2"/>
        <v>0</v>
      </c>
      <c r="K57" s="171">
        <f t="shared" si="4"/>
        <v>0</v>
      </c>
      <c r="L57" s="1356">
        <f>-SUMIFS(Sheet1!S71_OY1AdjustedBudget,Sheet1!S71_A2SubCode,$AC:$AC,Sheet1!S71_ItemType,$AD:$AD)</f>
        <v>0</v>
      </c>
      <c r="M57" s="1357">
        <f>-SUMIFS(Sheet1!S71_OY2AdjustedBudget,Sheet1!S71_A2SubCode,$AC:$AC,Sheet1!S71_ItemType,$AD:$AD)</f>
        <v>0</v>
      </c>
      <c r="N57" s="126"/>
      <c r="AC57" s="1345">
        <v>2301</v>
      </c>
      <c r="AD57" s="1345" t="s">
        <v>1811</v>
      </c>
    </row>
    <row r="58" spans="1:30" ht="13.5" customHeight="1" x14ac:dyDescent="0.25">
      <c r="A58" s="830" t="s">
        <v>1518</v>
      </c>
      <c r="B58" s="722"/>
      <c r="C58" s="1360">
        <f>-SUMIFS(Sheet1!S71_OriginalBudget,Sheet1!S71_A2SubCode,$AC:$AC,Sheet1!S71_ItemType,$AD:$AD)</f>
        <v>0</v>
      </c>
      <c r="D58" s="1356">
        <f>-SUMIFS(Sheet1!S71_SpecialAdjustedBudget,Sheet1!S71_A2SubCode,$AC:$AC,Sheet1!S71_ItemType,$AD:$AD)</f>
        <v>0</v>
      </c>
      <c r="E58" s="1356"/>
      <c r="F58" s="1356"/>
      <c r="G58" s="1356"/>
      <c r="H58" s="1356"/>
      <c r="I58" s="1356">
        <f>SUMIFS(Sheet1!S71_AdjustmentAmount,Sheet1!S71_A2SubCode,$AC:$AC,Sheet1!S71_ItemType,$AD:$AD)</f>
        <v>0</v>
      </c>
      <c r="J58" s="171">
        <f t="shared" si="2"/>
        <v>0</v>
      </c>
      <c r="K58" s="171">
        <f t="shared" si="4"/>
        <v>0</v>
      </c>
      <c r="L58" s="1356">
        <f>-SUMIFS(Sheet1!S71_OY1AdjustedBudget,Sheet1!S71_A2SubCode,$AC:$AC,Sheet1!S71_ItemType,$AD:$AD)</f>
        <v>0</v>
      </c>
      <c r="M58" s="1357">
        <f>-SUMIFS(Sheet1!S71_OY2AdjustedBudget,Sheet1!S71_A2SubCode,$AC:$AC,Sheet1!S71_ItemType,$AD:$AD)</f>
        <v>0</v>
      </c>
      <c r="N58" s="126"/>
      <c r="AC58" s="1345">
        <v>2302</v>
      </c>
      <c r="AD58" s="1345" t="s">
        <v>1811</v>
      </c>
    </row>
    <row r="59" spans="1:30" ht="13.5" customHeight="1" x14ac:dyDescent="0.25">
      <c r="A59" s="830" t="s">
        <v>1519</v>
      </c>
      <c r="B59" s="722"/>
      <c r="C59" s="1360">
        <f>-SUMIFS(Sheet1!S71_OriginalBudget,Sheet1!S71_A2SubCode,$AC:$AC,Sheet1!S71_ItemType,$AD:$AD)</f>
        <v>0</v>
      </c>
      <c r="D59" s="1356">
        <f>-SUMIFS(Sheet1!S71_SpecialAdjustedBudget,Sheet1!S71_A2SubCode,$AC:$AC,Sheet1!S71_ItemType,$AD:$AD)</f>
        <v>0</v>
      </c>
      <c r="E59" s="1356"/>
      <c r="F59" s="1356"/>
      <c r="G59" s="1356"/>
      <c r="H59" s="1356"/>
      <c r="I59" s="1356">
        <f>SUMIFS(Sheet1!S71_AdjustmentAmount,Sheet1!S71_A2SubCode,$AC:$AC,Sheet1!S71_ItemType,$AD:$AD)</f>
        <v>0</v>
      </c>
      <c r="J59" s="171">
        <f t="shared" si="2"/>
        <v>0</v>
      </c>
      <c r="K59" s="171">
        <f t="shared" si="4"/>
        <v>0</v>
      </c>
      <c r="L59" s="1356">
        <f>-SUMIFS(Sheet1!S71_OY1AdjustedBudget,Sheet1!S71_A2SubCode,$AC:$AC,Sheet1!S71_ItemType,$AD:$AD)</f>
        <v>0</v>
      </c>
      <c r="M59" s="1357">
        <f>-SUMIFS(Sheet1!S71_OY2AdjustedBudget,Sheet1!S71_A2SubCode,$AC:$AC,Sheet1!S71_ItemType,$AD:$AD)</f>
        <v>0</v>
      </c>
      <c r="N59" s="126"/>
      <c r="AC59" s="1345">
        <v>2303</v>
      </c>
      <c r="AD59" s="1345" t="s">
        <v>1811</v>
      </c>
    </row>
    <row r="60" spans="1:30" ht="13.5" customHeight="1" x14ac:dyDescent="0.25">
      <c r="A60" s="830" t="s">
        <v>1520</v>
      </c>
      <c r="B60" s="722"/>
      <c r="C60" s="1360">
        <f>-SUMIFS(Sheet1!S71_OriginalBudget,Sheet1!S71_A2SubCode,$AC:$AC,Sheet1!S71_ItemType,$AD:$AD)</f>
        <v>0</v>
      </c>
      <c r="D60" s="1356">
        <f>-SUMIFS(Sheet1!S71_SpecialAdjustedBudget,Sheet1!S71_A2SubCode,$AC:$AC,Sheet1!S71_ItemType,$AD:$AD)</f>
        <v>0</v>
      </c>
      <c r="E60" s="1356"/>
      <c r="F60" s="1356"/>
      <c r="G60" s="1356"/>
      <c r="H60" s="1356"/>
      <c r="I60" s="1356">
        <f>SUMIFS(Sheet1!S71_AdjustmentAmount,Sheet1!S71_A2SubCode,$AC:$AC,Sheet1!S71_ItemType,$AD:$AD)</f>
        <v>0</v>
      </c>
      <c r="J60" s="171">
        <f t="shared" si="2"/>
        <v>0</v>
      </c>
      <c r="K60" s="171">
        <f t="shared" si="4"/>
        <v>0</v>
      </c>
      <c r="L60" s="1356">
        <f>-SUMIFS(Sheet1!S71_OY1AdjustedBudget,Sheet1!S71_A2SubCode,$AC:$AC,Sheet1!S71_ItemType,$AD:$AD)</f>
        <v>0</v>
      </c>
      <c r="M60" s="1357">
        <f>-SUMIFS(Sheet1!S71_OY2AdjustedBudget,Sheet1!S71_A2SubCode,$AC:$AC,Sheet1!S71_ItemType,$AD:$AD)</f>
        <v>0</v>
      </c>
      <c r="N60" s="126"/>
      <c r="AC60" s="1345">
        <v>2304</v>
      </c>
      <c r="AD60" s="1345" t="s">
        <v>1811</v>
      </c>
    </row>
    <row r="61" spans="1:30" ht="13.5" customHeight="1" x14ac:dyDescent="0.25">
      <c r="A61" s="830" t="s">
        <v>1521</v>
      </c>
      <c r="B61" s="722"/>
      <c r="C61" s="1360">
        <f>-SUMIFS(Sheet1!S71_OriginalBudget,Sheet1!S71_A2SubCode,$AC:$AC,Sheet1!S71_ItemType,$AD:$AD)</f>
        <v>0</v>
      </c>
      <c r="D61" s="1356">
        <f>-SUMIFS(Sheet1!S71_SpecialAdjustedBudget,Sheet1!S71_A2SubCode,$AC:$AC,Sheet1!S71_ItemType,$AD:$AD)</f>
        <v>0</v>
      </c>
      <c r="E61" s="1356"/>
      <c r="F61" s="1356"/>
      <c r="G61" s="1356"/>
      <c r="H61" s="1356"/>
      <c r="I61" s="1356">
        <f>SUMIFS(Sheet1!S71_AdjustmentAmount,Sheet1!S71_A2SubCode,$AC:$AC,Sheet1!S71_ItemType,$AD:$AD)</f>
        <v>0</v>
      </c>
      <c r="J61" s="171">
        <f t="shared" si="2"/>
        <v>0</v>
      </c>
      <c r="K61" s="171">
        <f t="shared" si="4"/>
        <v>0</v>
      </c>
      <c r="L61" s="1356">
        <f>-SUMIFS(Sheet1!S71_OY1AdjustedBudget,Sheet1!S71_A2SubCode,$AC:$AC,Sheet1!S71_ItemType,$AD:$AD)</f>
        <v>0</v>
      </c>
      <c r="M61" s="1357">
        <f>-SUMIFS(Sheet1!S71_OY2AdjustedBudget,Sheet1!S71_A2SubCode,$AC:$AC,Sheet1!S71_ItemType,$AD:$AD)</f>
        <v>0</v>
      </c>
      <c r="N61" s="126"/>
      <c r="AC61" s="1345">
        <v>2305</v>
      </c>
      <c r="AD61" s="1345" t="s">
        <v>1811</v>
      </c>
    </row>
    <row r="62" spans="1:30" ht="13.5" customHeight="1" x14ac:dyDescent="0.25">
      <c r="A62" s="830" t="s">
        <v>1522</v>
      </c>
      <c r="B62" s="722"/>
      <c r="C62" s="1360">
        <f>-SUMIFS(Sheet1!S71_OriginalBudget,Sheet1!S71_A2SubCode,$AC:$AC,Sheet1!S71_ItemType,$AD:$AD)</f>
        <v>0</v>
      </c>
      <c r="D62" s="1356">
        <f>-SUMIFS(Sheet1!S71_SpecialAdjustedBudget,Sheet1!S71_A2SubCode,$AC:$AC,Sheet1!S71_ItemType,$AD:$AD)</f>
        <v>0</v>
      </c>
      <c r="E62" s="1356"/>
      <c r="F62" s="1356"/>
      <c r="G62" s="1356"/>
      <c r="H62" s="1356"/>
      <c r="I62" s="1356">
        <f>SUMIFS(Sheet1!S71_AdjustmentAmount,Sheet1!S71_A2SubCode,$AC:$AC,Sheet1!S71_ItemType,$AD:$AD)</f>
        <v>0</v>
      </c>
      <c r="J62" s="171">
        <f t="shared" si="2"/>
        <v>0</v>
      </c>
      <c r="K62" s="171">
        <f t="shared" si="4"/>
        <v>0</v>
      </c>
      <c r="L62" s="1356">
        <f>-SUMIFS(Sheet1!S71_OY1AdjustedBudget,Sheet1!S71_A2SubCode,$AC:$AC,Sheet1!S71_ItemType,$AD:$AD)</f>
        <v>0</v>
      </c>
      <c r="M62" s="1357">
        <f>-SUMIFS(Sheet1!S71_OY2AdjustedBudget,Sheet1!S71_A2SubCode,$AC:$AC,Sheet1!S71_ItemType,$AD:$AD)</f>
        <v>0</v>
      </c>
      <c r="N62" s="126"/>
      <c r="AC62" s="1345">
        <v>2306</v>
      </c>
      <c r="AD62" s="1345" t="s">
        <v>1811</v>
      </c>
    </row>
    <row r="63" spans="1:30" ht="13.5" customHeight="1" x14ac:dyDescent="0.25">
      <c r="A63" s="830" t="s">
        <v>1540</v>
      </c>
      <c r="B63" s="722"/>
      <c r="C63" s="1360">
        <f>-SUMIFS(Sheet1!S71_OriginalBudget,Sheet1!S71_A2SubCode,$AC:$AC,Sheet1!S71_ItemType,$AD:$AD)</f>
        <v>0</v>
      </c>
      <c r="D63" s="1356">
        <f>-SUMIFS(Sheet1!S71_SpecialAdjustedBudget,Sheet1!S71_A2SubCode,$AC:$AC,Sheet1!S71_ItemType,$AD:$AD)</f>
        <v>0</v>
      </c>
      <c r="E63" s="1356"/>
      <c r="F63" s="1356"/>
      <c r="G63" s="1356"/>
      <c r="H63" s="1356"/>
      <c r="I63" s="1356">
        <f>SUMIFS(Sheet1!S71_AdjustmentAmount,Sheet1!S71_A2SubCode,$AC:$AC,Sheet1!S71_ItemType,$AD:$AD)</f>
        <v>0</v>
      </c>
      <c r="J63" s="171">
        <f t="shared" si="2"/>
        <v>0</v>
      </c>
      <c r="K63" s="171">
        <f>IF(D63=0,C63+J63,D63+J63)</f>
        <v>0</v>
      </c>
      <c r="L63" s="1356">
        <f>-SUMIFS(Sheet1!S71_OY1AdjustedBudget,Sheet1!S71_A2SubCode,$AC:$AC,Sheet1!S71_ItemType,$AD:$AD)</f>
        <v>0</v>
      </c>
      <c r="M63" s="1357">
        <f>-SUMIFS(Sheet1!S71_OY2AdjustedBudget,Sheet1!S71_A2SubCode,$AC:$AC,Sheet1!S71_ItemType,$AD:$AD)</f>
        <v>0</v>
      </c>
      <c r="N63" s="126"/>
      <c r="AC63" s="1345">
        <v>2307</v>
      </c>
      <c r="AD63" s="1345" t="s">
        <v>1811</v>
      </c>
    </row>
    <row r="64" spans="1:30" ht="13.5" customHeight="1" x14ac:dyDescent="0.25">
      <c r="A64" s="830" t="s">
        <v>1541</v>
      </c>
      <c r="B64" s="722"/>
      <c r="C64" s="1360">
        <f>-SUMIFS(Sheet1!S71_OriginalBudget,Sheet1!S71_A2SubCode,$AC:$AC,Sheet1!S71_ItemType,$AD:$AD)</f>
        <v>0</v>
      </c>
      <c r="D64" s="1356">
        <f>-SUMIFS(Sheet1!S71_SpecialAdjustedBudget,Sheet1!S71_A2SubCode,$AC:$AC,Sheet1!S71_ItemType,$AD:$AD)</f>
        <v>0</v>
      </c>
      <c r="E64" s="1356"/>
      <c r="F64" s="1356"/>
      <c r="G64" s="1356"/>
      <c r="H64" s="1356"/>
      <c r="I64" s="1356">
        <f>SUMIFS(Sheet1!S71_AdjustmentAmount,Sheet1!S71_A2SubCode,$AC:$AC,Sheet1!S71_ItemType,$AD:$AD)</f>
        <v>0</v>
      </c>
      <c r="J64" s="171">
        <f t="shared" si="2"/>
        <v>0</v>
      </c>
      <c r="K64" s="171">
        <f t="shared" si="4"/>
        <v>0</v>
      </c>
      <c r="L64" s="1356">
        <f>-SUMIFS(Sheet1!S71_OY1AdjustedBudget,Sheet1!S71_A2SubCode,$AC:$AC,Sheet1!S71_ItemType,$AD:$AD)</f>
        <v>0</v>
      </c>
      <c r="M64" s="1357">
        <f>-SUMIFS(Sheet1!S71_OY2AdjustedBudget,Sheet1!S71_A2SubCode,$AC:$AC,Sheet1!S71_ItemType,$AD:$AD)</f>
        <v>0</v>
      </c>
      <c r="N64" s="126"/>
      <c r="AC64" s="1345">
        <v>2308</v>
      </c>
      <c r="AD64" s="1345" t="s">
        <v>1811</v>
      </c>
    </row>
    <row r="65" spans="1:30" ht="13.5" customHeight="1" x14ac:dyDescent="0.25">
      <c r="A65" s="710" t="s">
        <v>621</v>
      </c>
      <c r="B65" s="722"/>
      <c r="C65" s="711">
        <f>SUM(C66:C67)</f>
        <v>0</v>
      </c>
      <c r="D65" s="268">
        <f t="shared" ref="D65:I65" si="11">SUM(D66:D67)</f>
        <v>0</v>
      </c>
      <c r="E65" s="268">
        <f t="shared" si="11"/>
        <v>0</v>
      </c>
      <c r="F65" s="268">
        <f t="shared" si="11"/>
        <v>0</v>
      </c>
      <c r="G65" s="268">
        <f t="shared" si="11"/>
        <v>0</v>
      </c>
      <c r="H65" s="268">
        <f t="shared" si="11"/>
        <v>0</v>
      </c>
      <c r="I65" s="268">
        <f t="shared" si="11"/>
        <v>0</v>
      </c>
      <c r="J65" s="268">
        <f t="shared" si="2"/>
        <v>0</v>
      </c>
      <c r="K65" s="268">
        <f t="shared" si="4"/>
        <v>0</v>
      </c>
      <c r="L65" s="268">
        <f>SUM(L66:L67)</f>
        <v>0</v>
      </c>
      <c r="M65" s="269">
        <f>SUM(M66:M67)</f>
        <v>0</v>
      </c>
      <c r="N65" s="126"/>
    </row>
    <row r="66" spans="1:30" ht="13.5" customHeight="1" x14ac:dyDescent="0.25">
      <c r="A66" s="830" t="s">
        <v>621</v>
      </c>
      <c r="B66" s="722"/>
      <c r="C66" s="1360">
        <f>-SUMIFS(Sheet1!S71_OriginalBudget,Sheet1!S71_A2SubCode,$AC:$AC,Sheet1!S71_ItemType,$AD:$AD)</f>
        <v>0</v>
      </c>
      <c r="D66" s="1356">
        <f>-SUMIFS(Sheet1!S71_SpecialAdjustedBudget,Sheet1!S71_A2SubCode,$AC:$AC,Sheet1!S71_ItemType,$AD:$AD)</f>
        <v>0</v>
      </c>
      <c r="E66" s="1356"/>
      <c r="F66" s="1356"/>
      <c r="G66" s="1356"/>
      <c r="H66" s="1356"/>
      <c r="I66" s="1356">
        <f>SUMIFS(Sheet1!S71_AdjustmentAmount,Sheet1!S71_A2SubCode,$AC:$AC,Sheet1!S71_ItemType,$AD:$AD)</f>
        <v>0</v>
      </c>
      <c r="J66" s="171">
        <f t="shared" si="2"/>
        <v>0</v>
      </c>
      <c r="K66" s="171">
        <f t="shared" si="4"/>
        <v>0</v>
      </c>
      <c r="L66" s="1356">
        <f>-SUMIFS(Sheet1!S71_OY1AdjustedBudget,Sheet1!S71_A2SubCode,$AC:$AC,Sheet1!S71_ItemType,$AD:$AD)</f>
        <v>0</v>
      </c>
      <c r="M66" s="1357">
        <f>-SUMIFS(Sheet1!S71_OY2AdjustedBudget,Sheet1!S71_A2SubCode,$AC:$AC,Sheet1!S71_ItemType,$AD:$AD)</f>
        <v>0</v>
      </c>
      <c r="N66" s="126"/>
      <c r="AC66" s="1345">
        <v>2401</v>
      </c>
      <c r="AD66" s="1345" t="s">
        <v>1811</v>
      </c>
    </row>
    <row r="67" spans="1:30" ht="13.5" customHeight="1" x14ac:dyDescent="0.25">
      <c r="A67" s="830" t="s">
        <v>1523</v>
      </c>
      <c r="B67" s="722"/>
      <c r="C67" s="1360">
        <f>-SUMIFS(Sheet1!S71_OriginalBudget,Sheet1!S71_A2SubCode,$AC:$AC,Sheet1!S71_ItemType,$AD:$AD)</f>
        <v>0</v>
      </c>
      <c r="D67" s="1356">
        <f>-SUMIFS(Sheet1!S71_SpecialAdjustedBudget,Sheet1!S71_A2SubCode,$AC:$AC,Sheet1!S71_ItemType,$AD:$AD)</f>
        <v>0</v>
      </c>
      <c r="E67" s="1356"/>
      <c r="F67" s="1356"/>
      <c r="G67" s="1356"/>
      <c r="H67" s="1356"/>
      <c r="I67" s="1356">
        <f>SUMIFS(Sheet1!S71_AdjustmentAmount,Sheet1!S71_A2SubCode,$AC:$AC,Sheet1!S71_ItemType,$AD:$AD)</f>
        <v>0</v>
      </c>
      <c r="J67" s="171">
        <f t="shared" si="2"/>
        <v>0</v>
      </c>
      <c r="K67" s="171">
        <f t="shared" si="4"/>
        <v>0</v>
      </c>
      <c r="L67" s="1356">
        <f>-SUMIFS(Sheet1!S71_OY1AdjustedBudget,Sheet1!S71_A2SubCode,$AC:$AC,Sheet1!S71_ItemType,$AD:$AD)</f>
        <v>0</v>
      </c>
      <c r="M67" s="1357">
        <f>-SUMIFS(Sheet1!S71_OY2AdjustedBudget,Sheet1!S71_A2SubCode,$AC:$AC,Sheet1!S71_ItemType,$AD:$AD)</f>
        <v>0</v>
      </c>
      <c r="N67" s="126"/>
      <c r="AC67" s="1345">
        <v>2402</v>
      </c>
      <c r="AD67" s="1345" t="s">
        <v>1811</v>
      </c>
    </row>
    <row r="68" spans="1:30" ht="13.5" customHeight="1" x14ac:dyDescent="0.25">
      <c r="A68" s="710" t="s">
        <v>622</v>
      </c>
      <c r="B68" s="722"/>
      <c r="C68" s="711">
        <f>SUM(C69:C75)</f>
        <v>0</v>
      </c>
      <c r="D68" s="268">
        <f t="shared" ref="D68:I68" si="12">SUM(D69:D75)</f>
        <v>0</v>
      </c>
      <c r="E68" s="268">
        <f t="shared" si="12"/>
        <v>0</v>
      </c>
      <c r="F68" s="268">
        <f t="shared" si="12"/>
        <v>0</v>
      </c>
      <c r="G68" s="268">
        <f t="shared" si="12"/>
        <v>0</v>
      </c>
      <c r="H68" s="268">
        <f t="shared" si="12"/>
        <v>0</v>
      </c>
      <c r="I68" s="268">
        <f t="shared" si="12"/>
        <v>0</v>
      </c>
      <c r="J68" s="268">
        <f t="shared" si="2"/>
        <v>0</v>
      </c>
      <c r="K68" s="268">
        <f t="shared" si="4"/>
        <v>0</v>
      </c>
      <c r="L68" s="268">
        <f>SUM(L69:L75)</f>
        <v>0</v>
      </c>
      <c r="M68" s="269">
        <f>SUM(M69:M75)</f>
        <v>0</v>
      </c>
      <c r="N68" s="126"/>
    </row>
    <row r="69" spans="1:30" ht="13.5" customHeight="1" x14ac:dyDescent="0.25">
      <c r="A69" s="830" t="s">
        <v>259</v>
      </c>
      <c r="B69" s="722"/>
      <c r="C69" s="1360">
        <f>-SUMIFS(Sheet1!S71_OriginalBudget,Sheet1!S71_A2SubCode,$AC:$AC,Sheet1!S71_ItemType,$AD:$AD)</f>
        <v>0</v>
      </c>
      <c r="D69" s="1356">
        <f>-SUMIFS(Sheet1!S71_SpecialAdjustedBudget,Sheet1!S71_A2SubCode,$AC:$AC,Sheet1!S71_ItemType,$AD:$AD)</f>
        <v>0</v>
      </c>
      <c r="E69" s="1356"/>
      <c r="F69" s="1356"/>
      <c r="G69" s="1356"/>
      <c r="H69" s="1356"/>
      <c r="I69" s="1356">
        <f>SUMIFS(Sheet1!S71_AdjustmentAmount,Sheet1!S71_A2SubCode,$AC:$AC,Sheet1!S71_ItemType,$AD:$AD)</f>
        <v>0</v>
      </c>
      <c r="J69" s="171">
        <f t="shared" si="2"/>
        <v>0</v>
      </c>
      <c r="K69" s="171">
        <f t="shared" si="4"/>
        <v>0</v>
      </c>
      <c r="L69" s="1356">
        <f>-SUMIFS(Sheet1!S71_OY1AdjustedBudget,Sheet1!S71_A2SubCode,$AC:$AC,Sheet1!S71_ItemType,$AD:$AD)</f>
        <v>0</v>
      </c>
      <c r="M69" s="1357">
        <f>-SUMIFS(Sheet1!S71_OY2AdjustedBudget,Sheet1!S71_A2SubCode,$AC:$AC,Sheet1!S71_ItemType,$AD:$AD)</f>
        <v>0</v>
      </c>
      <c r="N69" s="126"/>
      <c r="AC69" s="1345">
        <v>2501</v>
      </c>
      <c r="AD69" s="1345" t="s">
        <v>1811</v>
      </c>
    </row>
    <row r="70" spans="1:30" ht="13.5" customHeight="1" x14ac:dyDescent="0.25">
      <c r="A70" s="830" t="s">
        <v>1524</v>
      </c>
      <c r="B70" s="722"/>
      <c r="C70" s="1360">
        <f>-SUMIFS(Sheet1!S71_OriginalBudget,Sheet1!S71_A2SubCode,$AC:$AC,Sheet1!S71_ItemType,$AD:$AD)</f>
        <v>0</v>
      </c>
      <c r="D70" s="1356">
        <f>-SUMIFS(Sheet1!S71_SpecialAdjustedBudget,Sheet1!S71_A2SubCode,$AC:$AC,Sheet1!S71_ItemType,$AD:$AD)</f>
        <v>0</v>
      </c>
      <c r="E70" s="1356"/>
      <c r="F70" s="1356"/>
      <c r="G70" s="1356"/>
      <c r="H70" s="1356"/>
      <c r="I70" s="1356">
        <f>SUMIFS(Sheet1!S71_AdjustmentAmount,Sheet1!S71_A2SubCode,$AC:$AC,Sheet1!S71_ItemType,$AD:$AD)</f>
        <v>0</v>
      </c>
      <c r="J70" s="171">
        <f t="shared" si="2"/>
        <v>0</v>
      </c>
      <c r="K70" s="171">
        <f t="shared" si="4"/>
        <v>0</v>
      </c>
      <c r="L70" s="1356">
        <f>-SUMIFS(Sheet1!S71_OY1AdjustedBudget,Sheet1!S71_A2SubCode,$AC:$AC,Sheet1!S71_ItemType,$AD:$AD)</f>
        <v>0</v>
      </c>
      <c r="M70" s="1357">
        <f>-SUMIFS(Sheet1!S71_OY2AdjustedBudget,Sheet1!S71_A2SubCode,$AC:$AC,Sheet1!S71_ItemType,$AD:$AD)</f>
        <v>0</v>
      </c>
      <c r="N70" s="126"/>
      <c r="AC70" s="1345">
        <v>2502</v>
      </c>
      <c r="AD70" s="1345" t="s">
        <v>1811</v>
      </c>
    </row>
    <row r="71" spans="1:30" ht="13.5" customHeight="1" x14ac:dyDescent="0.25">
      <c r="A71" s="830" t="s">
        <v>1525</v>
      </c>
      <c r="B71" s="722"/>
      <c r="C71" s="1360">
        <f>-SUMIFS(Sheet1!S71_OriginalBudget,Sheet1!S71_A2SubCode,$AC:$AC,Sheet1!S71_ItemType,$AD:$AD)</f>
        <v>0</v>
      </c>
      <c r="D71" s="1356">
        <f>-SUMIFS(Sheet1!S71_SpecialAdjustedBudget,Sheet1!S71_A2SubCode,$AC:$AC,Sheet1!S71_ItemType,$AD:$AD)</f>
        <v>0</v>
      </c>
      <c r="E71" s="1356"/>
      <c r="F71" s="1356"/>
      <c r="G71" s="1356"/>
      <c r="H71" s="1356"/>
      <c r="I71" s="1356">
        <f>SUMIFS(Sheet1!S71_AdjustmentAmount,Sheet1!S71_A2SubCode,$AC:$AC,Sheet1!S71_ItemType,$AD:$AD)</f>
        <v>0</v>
      </c>
      <c r="J71" s="171">
        <f t="shared" ref="J71:J134" si="13">SUM(E71:I71)</f>
        <v>0</v>
      </c>
      <c r="K71" s="171">
        <f t="shared" si="4"/>
        <v>0</v>
      </c>
      <c r="L71" s="1356">
        <f>-SUMIFS(Sheet1!S71_OY1AdjustedBudget,Sheet1!S71_A2SubCode,$AC:$AC,Sheet1!S71_ItemType,$AD:$AD)</f>
        <v>0</v>
      </c>
      <c r="M71" s="1357">
        <f>-SUMIFS(Sheet1!S71_OY2AdjustedBudget,Sheet1!S71_A2SubCode,$AC:$AC,Sheet1!S71_ItemType,$AD:$AD)</f>
        <v>0</v>
      </c>
      <c r="N71" s="126"/>
      <c r="AC71" s="1345">
        <v>2503</v>
      </c>
      <c r="AD71" s="1345" t="s">
        <v>1811</v>
      </c>
    </row>
    <row r="72" spans="1:30" ht="13.5" customHeight="1" x14ac:dyDescent="0.25">
      <c r="A72" s="830" t="s">
        <v>1526</v>
      </c>
      <c r="B72" s="722"/>
      <c r="C72" s="1360">
        <f>-SUMIFS(Sheet1!S71_OriginalBudget,Sheet1!S71_A2SubCode,$AC:$AC,Sheet1!S71_ItemType,$AD:$AD)</f>
        <v>0</v>
      </c>
      <c r="D72" s="1356">
        <f>-SUMIFS(Sheet1!S71_SpecialAdjustedBudget,Sheet1!S71_A2SubCode,$AC:$AC,Sheet1!S71_ItemType,$AD:$AD)</f>
        <v>0</v>
      </c>
      <c r="E72" s="1356"/>
      <c r="F72" s="1356"/>
      <c r="G72" s="1356"/>
      <c r="H72" s="1356"/>
      <c r="I72" s="1356">
        <f>SUMIFS(Sheet1!S71_AdjustmentAmount,Sheet1!S71_A2SubCode,$AC:$AC,Sheet1!S71_ItemType,$AD:$AD)</f>
        <v>0</v>
      </c>
      <c r="J72" s="171">
        <f t="shared" si="13"/>
        <v>0</v>
      </c>
      <c r="K72" s="171">
        <f t="shared" si="4"/>
        <v>0</v>
      </c>
      <c r="L72" s="1356">
        <f>-SUMIFS(Sheet1!S71_OY1AdjustedBudget,Sheet1!S71_A2SubCode,$AC:$AC,Sheet1!S71_ItemType,$AD:$AD)</f>
        <v>0</v>
      </c>
      <c r="M72" s="1357">
        <f>-SUMIFS(Sheet1!S71_OY2AdjustedBudget,Sheet1!S71_A2SubCode,$AC:$AC,Sheet1!S71_ItemType,$AD:$AD)</f>
        <v>0</v>
      </c>
      <c r="N72" s="126"/>
      <c r="AC72" s="1345">
        <v>2504</v>
      </c>
      <c r="AD72" s="1345" t="s">
        <v>1811</v>
      </c>
    </row>
    <row r="73" spans="1:30" ht="13.5" customHeight="1" x14ac:dyDescent="0.25">
      <c r="A73" s="830" t="s">
        <v>1527</v>
      </c>
      <c r="B73" s="722"/>
      <c r="C73" s="1360">
        <f>-SUMIFS(Sheet1!S71_OriginalBudget,Sheet1!S71_A2SubCode,$AC:$AC,Sheet1!S71_ItemType,$AD:$AD)</f>
        <v>0</v>
      </c>
      <c r="D73" s="1356">
        <f>-SUMIFS(Sheet1!S71_SpecialAdjustedBudget,Sheet1!S71_A2SubCode,$AC:$AC,Sheet1!S71_ItemType,$AD:$AD)</f>
        <v>0</v>
      </c>
      <c r="E73" s="1356"/>
      <c r="F73" s="1356"/>
      <c r="G73" s="1356"/>
      <c r="H73" s="1356"/>
      <c r="I73" s="1356">
        <f>SUMIFS(Sheet1!S71_AdjustmentAmount,Sheet1!S71_A2SubCode,$AC:$AC,Sheet1!S71_ItemType,$AD:$AD)</f>
        <v>0</v>
      </c>
      <c r="J73" s="171">
        <f t="shared" si="13"/>
        <v>0</v>
      </c>
      <c r="K73" s="171">
        <f t="shared" si="4"/>
        <v>0</v>
      </c>
      <c r="L73" s="1356">
        <f>-SUMIFS(Sheet1!S71_OY1AdjustedBudget,Sheet1!S71_A2SubCode,$AC:$AC,Sheet1!S71_ItemType,$AD:$AD)</f>
        <v>0</v>
      </c>
      <c r="M73" s="1357">
        <f>-SUMIFS(Sheet1!S71_OY2AdjustedBudget,Sheet1!S71_A2SubCode,$AC:$AC,Sheet1!S71_ItemType,$AD:$AD)</f>
        <v>0</v>
      </c>
      <c r="N73" s="126"/>
      <c r="AC73" s="1345">
        <v>2505</v>
      </c>
      <c r="AD73" s="1345" t="s">
        <v>1811</v>
      </c>
    </row>
    <row r="74" spans="1:30" ht="13.5" customHeight="1" x14ac:dyDescent="0.25">
      <c r="A74" s="830" t="s">
        <v>1528</v>
      </c>
      <c r="B74" s="722"/>
      <c r="C74" s="1360">
        <f>-SUMIFS(Sheet1!S71_OriginalBudget,Sheet1!S71_A2SubCode,$AC:$AC,Sheet1!S71_ItemType,$AD:$AD)</f>
        <v>0</v>
      </c>
      <c r="D74" s="1356">
        <f>-SUMIFS(Sheet1!S71_SpecialAdjustedBudget,Sheet1!S71_A2SubCode,$AC:$AC,Sheet1!S71_ItemType,$AD:$AD)</f>
        <v>0</v>
      </c>
      <c r="E74" s="1356"/>
      <c r="F74" s="1356"/>
      <c r="G74" s="1356"/>
      <c r="H74" s="1356"/>
      <c r="I74" s="1356">
        <f>SUMIFS(Sheet1!S71_AdjustmentAmount,Sheet1!S71_A2SubCode,$AC:$AC,Sheet1!S71_ItemType,$AD:$AD)</f>
        <v>0</v>
      </c>
      <c r="J74" s="171">
        <f t="shared" si="13"/>
        <v>0</v>
      </c>
      <c r="K74" s="171">
        <f t="shared" si="4"/>
        <v>0</v>
      </c>
      <c r="L74" s="1356">
        <f>-SUMIFS(Sheet1!S71_OY1AdjustedBudget,Sheet1!S71_A2SubCode,$AC:$AC,Sheet1!S71_ItemType,$AD:$AD)</f>
        <v>0</v>
      </c>
      <c r="M74" s="1357">
        <f>-SUMIFS(Sheet1!S71_OY2AdjustedBudget,Sheet1!S71_A2SubCode,$AC:$AC,Sheet1!S71_ItemType,$AD:$AD)</f>
        <v>0</v>
      </c>
      <c r="N74" s="126"/>
      <c r="AC74" s="1345">
        <v>2506</v>
      </c>
      <c r="AD74" s="1345" t="s">
        <v>1811</v>
      </c>
    </row>
    <row r="75" spans="1:30" ht="13.5" customHeight="1" x14ac:dyDescent="0.25">
      <c r="A75" s="830" t="s">
        <v>1529</v>
      </c>
      <c r="B75" s="722"/>
      <c r="C75" s="1360">
        <f>-SUMIFS(Sheet1!S71_OriginalBudget,Sheet1!S71_A2SubCode,$AC:$AC,Sheet1!S71_ItemType,$AD:$AD)</f>
        <v>0</v>
      </c>
      <c r="D75" s="1356">
        <f>-SUMIFS(Sheet1!S71_SpecialAdjustedBudget,Sheet1!S71_A2SubCode,$AC:$AC,Sheet1!S71_ItemType,$AD:$AD)</f>
        <v>0</v>
      </c>
      <c r="E75" s="1356"/>
      <c r="F75" s="1356"/>
      <c r="G75" s="1356"/>
      <c r="H75" s="1356"/>
      <c r="I75" s="1356">
        <f>SUMIFS(Sheet1!S71_AdjustmentAmount,Sheet1!S71_A2SubCode,$AC:$AC,Sheet1!S71_ItemType,$AD:$AD)</f>
        <v>0</v>
      </c>
      <c r="J75" s="171">
        <f t="shared" si="13"/>
        <v>0</v>
      </c>
      <c r="K75" s="171">
        <f t="shared" ref="K75:K135" si="14">IF(D75=0,C75+J75,D75+J75)</f>
        <v>0</v>
      </c>
      <c r="L75" s="1356">
        <f>-SUMIFS(Sheet1!S71_OY1AdjustedBudget,Sheet1!S71_A2SubCode,$AC:$AC,Sheet1!S71_ItemType,$AD:$AD)</f>
        <v>0</v>
      </c>
      <c r="M75" s="1357">
        <f>-SUMIFS(Sheet1!S71_OY2AdjustedBudget,Sheet1!S71_A2SubCode,$AC:$AC,Sheet1!S71_ItemType,$AD:$AD)</f>
        <v>0</v>
      </c>
      <c r="N75" s="126"/>
      <c r="AC75" s="1345">
        <v>2507</v>
      </c>
      <c r="AD75" s="1345" t="s">
        <v>1811</v>
      </c>
    </row>
    <row r="76" spans="1:30" ht="13.5" customHeight="1" x14ac:dyDescent="0.25">
      <c r="A76" s="107" t="s">
        <v>623</v>
      </c>
      <c r="B76" s="723"/>
      <c r="C76" s="708">
        <f t="shared" ref="C76:I76" si="15">C77+C88+C93</f>
        <v>968955</v>
      </c>
      <c r="D76" s="707">
        <f t="shared" si="15"/>
        <v>968955</v>
      </c>
      <c r="E76" s="707">
        <f t="shared" si="15"/>
        <v>0</v>
      </c>
      <c r="F76" s="707">
        <f t="shared" si="15"/>
        <v>0</v>
      </c>
      <c r="G76" s="707">
        <f t="shared" si="15"/>
        <v>0</v>
      </c>
      <c r="H76" s="707">
        <f t="shared" si="15"/>
        <v>0</v>
      </c>
      <c r="I76" s="707">
        <f t="shared" si="15"/>
        <v>1526211</v>
      </c>
      <c r="J76" s="707">
        <f t="shared" si="13"/>
        <v>1526211</v>
      </c>
      <c r="K76" s="707">
        <f t="shared" si="14"/>
        <v>2495166</v>
      </c>
      <c r="L76" s="707">
        <f>L77+L88+L93</f>
        <v>1017703</v>
      </c>
      <c r="M76" s="709">
        <f>M77+M88+M93</f>
        <v>1068906</v>
      </c>
      <c r="N76" s="126"/>
    </row>
    <row r="77" spans="1:30" ht="13.5" customHeight="1" x14ac:dyDescent="0.25">
      <c r="A77" s="710" t="s">
        <v>624</v>
      </c>
      <c r="B77" s="723"/>
      <c r="C77" s="711">
        <f>SUM(C78:C87)</f>
        <v>938955</v>
      </c>
      <c r="D77" s="268">
        <f t="shared" ref="D77:I77" si="16">SUM(D78:D87)</f>
        <v>938955</v>
      </c>
      <c r="E77" s="268">
        <f t="shared" si="16"/>
        <v>0</v>
      </c>
      <c r="F77" s="268">
        <f t="shared" si="16"/>
        <v>0</v>
      </c>
      <c r="G77" s="268">
        <f t="shared" si="16"/>
        <v>0</v>
      </c>
      <c r="H77" s="268">
        <f t="shared" si="16"/>
        <v>0</v>
      </c>
      <c r="I77" s="268">
        <f t="shared" si="16"/>
        <v>1526211</v>
      </c>
      <c r="J77" s="268">
        <f t="shared" si="13"/>
        <v>1526211</v>
      </c>
      <c r="K77" s="268">
        <f t="shared" si="14"/>
        <v>2465166</v>
      </c>
      <c r="L77" s="268">
        <f>SUM(L78:L87)</f>
        <v>985903</v>
      </c>
      <c r="M77" s="269">
        <f>SUM(M78:M87)</f>
        <v>1035198</v>
      </c>
      <c r="N77" s="126"/>
    </row>
    <row r="78" spans="1:30" ht="13.5" customHeight="1" x14ac:dyDescent="0.25">
      <c r="A78" s="830" t="s">
        <v>1530</v>
      </c>
      <c r="B78" s="723"/>
      <c r="C78" s="1360">
        <f>-SUMIFS(Sheet1!S71_OriginalBudget,Sheet1!S71_A2SubCode,$AC:$AC,Sheet1!S71_ItemType,$AD:$AD)</f>
        <v>0</v>
      </c>
      <c r="D78" s="1356">
        <f>-SUMIFS(Sheet1!S71_SpecialAdjustedBudget,Sheet1!S71_A2SubCode,$AC:$AC,Sheet1!S71_ItemType,$AD:$AD)</f>
        <v>0</v>
      </c>
      <c r="E78" s="1356"/>
      <c r="F78" s="1356"/>
      <c r="G78" s="1356"/>
      <c r="H78" s="1356"/>
      <c r="I78" s="1356">
        <f>SUMIFS(Sheet1!S71_AdjustmentAmount,Sheet1!S71_A2SubCode,$AC:$AC,Sheet1!S71_ItemType,$AD:$AD)</f>
        <v>0</v>
      </c>
      <c r="J78" s="171">
        <f t="shared" si="13"/>
        <v>0</v>
      </c>
      <c r="K78" s="171">
        <f t="shared" si="14"/>
        <v>0</v>
      </c>
      <c r="L78" s="1356">
        <f>-SUMIFS(Sheet1!S71_OY1AdjustedBudget,Sheet1!S71_A2SubCode,$AC:$AC,Sheet1!S71_ItemType,$AD:$AD)</f>
        <v>0</v>
      </c>
      <c r="M78" s="1357">
        <f>-SUMIFS(Sheet1!S71_OY2AdjustedBudget,Sheet1!S71_A2SubCode,$AC:$AC,Sheet1!S71_ItemType,$AD:$AD)</f>
        <v>0</v>
      </c>
      <c r="N78" s="126"/>
      <c r="AC78" s="1345">
        <v>3101</v>
      </c>
      <c r="AD78" s="1345" t="s">
        <v>1811</v>
      </c>
    </row>
    <row r="79" spans="1:30" ht="13.5" customHeight="1" x14ac:dyDescent="0.25">
      <c r="A79" s="830" t="s">
        <v>1531</v>
      </c>
      <c r="B79" s="723"/>
      <c r="C79" s="1360">
        <f>-SUMIFS(Sheet1!S71_OriginalBudget,Sheet1!S71_A2SubCode,$AC:$AC,Sheet1!S71_ItemType,$AD:$AD)</f>
        <v>0</v>
      </c>
      <c r="D79" s="1356">
        <f>-SUMIFS(Sheet1!S71_SpecialAdjustedBudget,Sheet1!S71_A2SubCode,$AC:$AC,Sheet1!S71_ItemType,$AD:$AD)</f>
        <v>0</v>
      </c>
      <c r="E79" s="1356"/>
      <c r="F79" s="1356"/>
      <c r="G79" s="1356"/>
      <c r="H79" s="1356"/>
      <c r="I79" s="1356">
        <f>SUMIFS(Sheet1!S71_AdjustmentAmount,Sheet1!S71_A2SubCode,$AC:$AC,Sheet1!S71_ItemType,$AD:$AD)</f>
        <v>0</v>
      </c>
      <c r="J79" s="171">
        <f t="shared" si="13"/>
        <v>0</v>
      </c>
      <c r="K79" s="171">
        <f t="shared" si="14"/>
        <v>0</v>
      </c>
      <c r="L79" s="1356">
        <f>-SUMIFS(Sheet1!S71_OY1AdjustedBudget,Sheet1!S71_A2SubCode,$AC:$AC,Sheet1!S71_ItemType,$AD:$AD)</f>
        <v>0</v>
      </c>
      <c r="M79" s="1357">
        <f>-SUMIFS(Sheet1!S71_OY2AdjustedBudget,Sheet1!S71_A2SubCode,$AC:$AC,Sheet1!S71_ItemType,$AD:$AD)</f>
        <v>0</v>
      </c>
      <c r="N79" s="126"/>
      <c r="AC79" s="1345">
        <v>3102</v>
      </c>
      <c r="AD79" s="1345" t="s">
        <v>1811</v>
      </c>
    </row>
    <row r="80" spans="1:30" ht="13.5" customHeight="1" x14ac:dyDescent="0.25">
      <c r="A80" s="830" t="s">
        <v>1532</v>
      </c>
      <c r="B80" s="723"/>
      <c r="C80" s="1360">
        <f>-SUMIFS(Sheet1!S71_OriginalBudget,Sheet1!S71_A2SubCode,$AC:$AC,Sheet1!S71_ItemType,$AD:$AD)</f>
        <v>0</v>
      </c>
      <c r="D80" s="1356">
        <f>-SUMIFS(Sheet1!S71_SpecialAdjustedBudget,Sheet1!S71_A2SubCode,$AC:$AC,Sheet1!S71_ItemType,$AD:$AD)</f>
        <v>0</v>
      </c>
      <c r="E80" s="1356"/>
      <c r="F80" s="1356"/>
      <c r="G80" s="1356"/>
      <c r="H80" s="1356"/>
      <c r="I80" s="1356">
        <f>SUMIFS(Sheet1!S71_AdjustmentAmount,Sheet1!S71_A2SubCode,$AC:$AC,Sheet1!S71_ItemType,$AD:$AD)</f>
        <v>0</v>
      </c>
      <c r="J80" s="171">
        <f t="shared" si="13"/>
        <v>0</v>
      </c>
      <c r="K80" s="171">
        <f t="shared" si="14"/>
        <v>0</v>
      </c>
      <c r="L80" s="1356">
        <f>-SUMIFS(Sheet1!S71_OY1AdjustedBudget,Sheet1!S71_A2SubCode,$AC:$AC,Sheet1!S71_ItemType,$AD:$AD)</f>
        <v>0</v>
      </c>
      <c r="M80" s="1357">
        <f>-SUMIFS(Sheet1!S71_OY2AdjustedBudget,Sheet1!S71_A2SubCode,$AC:$AC,Sheet1!S71_ItemType,$AD:$AD)</f>
        <v>0</v>
      </c>
      <c r="N80" s="126"/>
      <c r="AC80" s="1345">
        <v>3103</v>
      </c>
      <c r="AD80" s="1345" t="s">
        <v>1811</v>
      </c>
    </row>
    <row r="81" spans="1:30" ht="13.5" customHeight="1" x14ac:dyDescent="0.25">
      <c r="A81" s="830" t="s">
        <v>1533</v>
      </c>
      <c r="B81" s="723"/>
      <c r="C81" s="1360">
        <f>-SUMIFS(Sheet1!S71_OriginalBudget,Sheet1!S71_A2SubCode,$AC:$AC,Sheet1!S71_ItemType,$AD:$AD)</f>
        <v>0</v>
      </c>
      <c r="D81" s="1356">
        <f>-SUMIFS(Sheet1!S71_SpecialAdjustedBudget,Sheet1!S71_A2SubCode,$AC:$AC,Sheet1!S71_ItemType,$AD:$AD)</f>
        <v>0</v>
      </c>
      <c r="E81" s="1356"/>
      <c r="F81" s="1356"/>
      <c r="G81" s="1356"/>
      <c r="H81" s="1356"/>
      <c r="I81" s="1356">
        <f>SUMIFS(Sheet1!S71_AdjustmentAmount,Sheet1!S71_A2SubCode,$AC:$AC,Sheet1!S71_ItemType,$AD:$AD)</f>
        <v>0</v>
      </c>
      <c r="J81" s="171">
        <f t="shared" si="13"/>
        <v>0</v>
      </c>
      <c r="K81" s="171">
        <f t="shared" si="14"/>
        <v>0</v>
      </c>
      <c r="L81" s="1356">
        <f>-SUMIFS(Sheet1!S71_OY1AdjustedBudget,Sheet1!S71_A2SubCode,$AC:$AC,Sheet1!S71_ItemType,$AD:$AD)</f>
        <v>0</v>
      </c>
      <c r="M81" s="1357">
        <f>-SUMIFS(Sheet1!S71_OY2AdjustedBudget,Sheet1!S71_A2SubCode,$AC:$AC,Sheet1!S71_ItemType,$AD:$AD)</f>
        <v>0</v>
      </c>
      <c r="N81" s="126"/>
      <c r="AC81" s="1345">
        <v>3104</v>
      </c>
      <c r="AD81" s="1345" t="s">
        <v>1811</v>
      </c>
    </row>
    <row r="82" spans="1:30" ht="13.5" customHeight="1" x14ac:dyDescent="0.25">
      <c r="A82" s="830" t="s">
        <v>1534</v>
      </c>
      <c r="B82" s="723"/>
      <c r="C82" s="1360">
        <f>-SUMIFS(Sheet1!S71_OriginalBudget,Sheet1!S71_A2SubCode,$AC:$AC,Sheet1!S71_ItemType,$AD:$AD)</f>
        <v>0</v>
      </c>
      <c r="D82" s="1356">
        <f>-SUMIFS(Sheet1!S71_SpecialAdjustedBudget,Sheet1!S71_A2SubCode,$AC:$AC,Sheet1!S71_ItemType,$AD:$AD)</f>
        <v>0</v>
      </c>
      <c r="E82" s="1356"/>
      <c r="F82" s="1356"/>
      <c r="G82" s="1356"/>
      <c r="H82" s="1356"/>
      <c r="I82" s="1356">
        <f>SUMIFS(Sheet1!S71_AdjustmentAmount,Sheet1!S71_A2SubCode,$AC:$AC,Sheet1!S71_ItemType,$AD:$AD)</f>
        <v>0</v>
      </c>
      <c r="J82" s="171">
        <f t="shared" si="13"/>
        <v>0</v>
      </c>
      <c r="K82" s="171">
        <f t="shared" si="14"/>
        <v>0</v>
      </c>
      <c r="L82" s="1356">
        <f>-SUMIFS(Sheet1!S71_OY1AdjustedBudget,Sheet1!S71_A2SubCode,$AC:$AC,Sheet1!S71_ItemType,$AD:$AD)</f>
        <v>0</v>
      </c>
      <c r="M82" s="1357">
        <f>-SUMIFS(Sheet1!S71_OY2AdjustedBudget,Sheet1!S71_A2SubCode,$AC:$AC,Sheet1!S71_ItemType,$AD:$AD)</f>
        <v>0</v>
      </c>
      <c r="N82" s="126"/>
      <c r="AC82" s="1345">
        <v>3105</v>
      </c>
      <c r="AD82" s="1345" t="s">
        <v>1811</v>
      </c>
    </row>
    <row r="83" spans="1:30" ht="13.5" customHeight="1" x14ac:dyDescent="0.25">
      <c r="A83" s="830" t="s">
        <v>1535</v>
      </c>
      <c r="B83" s="723"/>
      <c r="C83" s="1360">
        <f>-SUMIFS(Sheet1!S71_OriginalBudget,Sheet1!S71_A2SubCode,$AC:$AC,Sheet1!S71_ItemType,$AD:$AD)</f>
        <v>0</v>
      </c>
      <c r="D83" s="1356">
        <f>-SUMIFS(Sheet1!S71_SpecialAdjustedBudget,Sheet1!S71_A2SubCode,$AC:$AC,Sheet1!S71_ItemType,$AD:$AD)</f>
        <v>0</v>
      </c>
      <c r="E83" s="1356"/>
      <c r="F83" s="1356"/>
      <c r="G83" s="1356"/>
      <c r="H83" s="1356"/>
      <c r="I83" s="1356">
        <f>SUMIFS(Sheet1!S71_AdjustmentAmount,Sheet1!S71_A2SubCode,$AC:$AC,Sheet1!S71_ItemType,$AD:$AD)</f>
        <v>0</v>
      </c>
      <c r="J83" s="171">
        <f t="shared" si="13"/>
        <v>0</v>
      </c>
      <c r="K83" s="171">
        <f t="shared" si="14"/>
        <v>0</v>
      </c>
      <c r="L83" s="1356">
        <f>-SUMIFS(Sheet1!S71_OY1AdjustedBudget,Sheet1!S71_A2SubCode,$AC:$AC,Sheet1!S71_ItemType,$AD:$AD)</f>
        <v>0</v>
      </c>
      <c r="M83" s="1357">
        <f>-SUMIFS(Sheet1!S71_OY2AdjustedBudget,Sheet1!S71_A2SubCode,$AC:$AC,Sheet1!S71_ItemType,$AD:$AD)</f>
        <v>0</v>
      </c>
      <c r="N83" s="126"/>
      <c r="AC83" s="1345">
        <v>3106</v>
      </c>
      <c r="AD83" s="1345" t="s">
        <v>1811</v>
      </c>
    </row>
    <row r="84" spans="1:30" ht="13.5" customHeight="1" x14ac:dyDescent="0.25">
      <c r="A84" s="830" t="s">
        <v>1536</v>
      </c>
      <c r="B84" s="723"/>
      <c r="C84" s="1360">
        <f>-SUMIFS(Sheet1!S71_OriginalBudget,Sheet1!S71_A2SubCode,$AC:$AC,Sheet1!S71_ItemType,$AD:$AD)</f>
        <v>938955</v>
      </c>
      <c r="D84" s="1356">
        <f>-SUMIFS(Sheet1!S71_SpecialAdjustedBudget,Sheet1!S71_A2SubCode,$AC:$AC,Sheet1!S71_ItemType,$AD:$AD)</f>
        <v>938955</v>
      </c>
      <c r="E84" s="1356"/>
      <c r="F84" s="1356"/>
      <c r="G84" s="1356"/>
      <c r="H84" s="1356"/>
      <c r="I84" s="1356">
        <f>SUMIFS(Sheet1!S71_AdjustmentAmount,Sheet1!S71_A2SubCode,$AC:$AC,Sheet1!S71_ItemType,$AD:$AD)</f>
        <v>1526211</v>
      </c>
      <c r="J84" s="171">
        <f t="shared" si="13"/>
        <v>1526211</v>
      </c>
      <c r="K84" s="171">
        <f t="shared" si="14"/>
        <v>2465166</v>
      </c>
      <c r="L84" s="1356">
        <f>-SUMIFS(Sheet1!S71_OY1AdjustedBudget,Sheet1!S71_A2SubCode,$AC:$AC,Sheet1!S71_ItemType,$AD:$AD)</f>
        <v>985903</v>
      </c>
      <c r="M84" s="1357">
        <f>-SUMIFS(Sheet1!S71_OY2AdjustedBudget,Sheet1!S71_A2SubCode,$AC:$AC,Sheet1!S71_ItemType,$AD:$AD)</f>
        <v>1035198</v>
      </c>
      <c r="N84" s="126"/>
      <c r="AC84" s="1345">
        <v>3107</v>
      </c>
      <c r="AD84" s="1345" t="s">
        <v>1811</v>
      </c>
    </row>
    <row r="85" spans="1:30" ht="13.5" customHeight="1" x14ac:dyDescent="0.25">
      <c r="A85" s="830" t="s">
        <v>1537</v>
      </c>
      <c r="B85" s="723"/>
      <c r="C85" s="1360">
        <f>-SUMIFS(Sheet1!S71_OriginalBudget,Sheet1!S71_A2SubCode,$AC:$AC,Sheet1!S71_ItemType,$AD:$AD)</f>
        <v>0</v>
      </c>
      <c r="D85" s="1356">
        <f>-SUMIFS(Sheet1!S71_SpecialAdjustedBudget,Sheet1!S71_A2SubCode,$AC:$AC,Sheet1!S71_ItemType,$AD:$AD)</f>
        <v>0</v>
      </c>
      <c r="E85" s="1356"/>
      <c r="F85" s="1356"/>
      <c r="G85" s="1356"/>
      <c r="H85" s="1356"/>
      <c r="I85" s="1356">
        <f>SUMIFS(Sheet1!S71_AdjustmentAmount,Sheet1!S71_A2SubCode,$AC:$AC,Sheet1!S71_ItemType,$AD:$AD)</f>
        <v>0</v>
      </c>
      <c r="J85" s="171">
        <f t="shared" si="13"/>
        <v>0</v>
      </c>
      <c r="K85" s="171">
        <f t="shared" si="14"/>
        <v>0</v>
      </c>
      <c r="L85" s="1356">
        <f>-SUMIFS(Sheet1!S71_OY1AdjustedBudget,Sheet1!S71_A2SubCode,$AC:$AC,Sheet1!S71_ItemType,$AD:$AD)</f>
        <v>0</v>
      </c>
      <c r="M85" s="1357">
        <f>-SUMIFS(Sheet1!S71_OY2AdjustedBudget,Sheet1!S71_A2SubCode,$AC:$AC,Sheet1!S71_ItemType,$AD:$AD)</f>
        <v>0</v>
      </c>
      <c r="N85" s="126"/>
      <c r="AC85" s="1345">
        <v>3108</v>
      </c>
      <c r="AD85" s="1345" t="s">
        <v>1811</v>
      </c>
    </row>
    <row r="86" spans="1:30" ht="13.5" customHeight="1" x14ac:dyDescent="0.25">
      <c r="A86" s="830" t="s">
        <v>1538</v>
      </c>
      <c r="B86" s="723"/>
      <c r="C86" s="1360">
        <f>-SUMIFS(Sheet1!S71_OriginalBudget,Sheet1!S71_A2SubCode,$AC:$AC,Sheet1!S71_ItemType,$AD:$AD)</f>
        <v>0</v>
      </c>
      <c r="D86" s="1356">
        <f>-SUMIFS(Sheet1!S71_SpecialAdjustedBudget,Sheet1!S71_A2SubCode,$AC:$AC,Sheet1!S71_ItemType,$AD:$AD)</f>
        <v>0</v>
      </c>
      <c r="E86" s="1356"/>
      <c r="F86" s="1356"/>
      <c r="G86" s="1356"/>
      <c r="H86" s="1356"/>
      <c r="I86" s="1356">
        <f>SUMIFS(Sheet1!S71_AdjustmentAmount,Sheet1!S71_A2SubCode,$AC:$AC,Sheet1!S71_ItemType,$AD:$AD)</f>
        <v>0</v>
      </c>
      <c r="J86" s="171">
        <f t="shared" si="13"/>
        <v>0</v>
      </c>
      <c r="K86" s="171">
        <f t="shared" si="14"/>
        <v>0</v>
      </c>
      <c r="L86" s="1356">
        <f>-SUMIFS(Sheet1!S71_OY1AdjustedBudget,Sheet1!S71_A2SubCode,$AC:$AC,Sheet1!S71_ItemType,$AD:$AD)</f>
        <v>0</v>
      </c>
      <c r="M86" s="1357">
        <f>-SUMIFS(Sheet1!S71_OY2AdjustedBudget,Sheet1!S71_A2SubCode,$AC:$AC,Sheet1!S71_ItemType,$AD:$AD)</f>
        <v>0</v>
      </c>
      <c r="N86" s="126"/>
      <c r="AC86" s="1345">
        <v>3109</v>
      </c>
      <c r="AD86" s="1345" t="s">
        <v>1811</v>
      </c>
    </row>
    <row r="87" spans="1:30" ht="13.5" customHeight="1" x14ac:dyDescent="0.25">
      <c r="A87" s="830" t="s">
        <v>1539</v>
      </c>
      <c r="B87" s="723"/>
      <c r="C87" s="1360">
        <f>-SUMIFS(Sheet1!S71_OriginalBudget,Sheet1!S71_A2SubCode,$AC:$AC,Sheet1!S71_ItemType,$AD:$AD)</f>
        <v>0</v>
      </c>
      <c r="D87" s="1356">
        <f>-SUMIFS(Sheet1!S71_SpecialAdjustedBudget,Sheet1!S71_A2SubCode,$AC:$AC,Sheet1!S71_ItemType,$AD:$AD)</f>
        <v>0</v>
      </c>
      <c r="E87" s="1356"/>
      <c r="F87" s="1356"/>
      <c r="G87" s="1356"/>
      <c r="H87" s="1356"/>
      <c r="I87" s="1356">
        <f>SUMIFS(Sheet1!S71_AdjustmentAmount,Sheet1!S71_A2SubCode,$AC:$AC,Sheet1!S71_ItemType,$AD:$AD)</f>
        <v>0</v>
      </c>
      <c r="J87" s="171">
        <f t="shared" si="13"/>
        <v>0</v>
      </c>
      <c r="K87" s="171">
        <f t="shared" si="14"/>
        <v>0</v>
      </c>
      <c r="L87" s="1356">
        <f>-SUMIFS(Sheet1!S71_OY1AdjustedBudget,Sheet1!S71_A2SubCode,$AC:$AC,Sheet1!S71_ItemType,$AD:$AD)</f>
        <v>0</v>
      </c>
      <c r="M87" s="1357">
        <f>-SUMIFS(Sheet1!S71_OY2AdjustedBudget,Sheet1!S71_A2SubCode,$AC:$AC,Sheet1!S71_ItemType,$AD:$AD)</f>
        <v>0</v>
      </c>
      <c r="N87" s="126"/>
      <c r="AC87" s="1345">
        <v>3110</v>
      </c>
      <c r="AD87" s="1345" t="s">
        <v>1811</v>
      </c>
    </row>
    <row r="88" spans="1:30" ht="13.5" customHeight="1" x14ac:dyDescent="0.25">
      <c r="A88" s="710" t="s">
        <v>625</v>
      </c>
      <c r="B88" s="723"/>
      <c r="C88" s="711">
        <f t="shared" ref="C88:I88" si="17">SUM(C89:C92)</f>
        <v>30000</v>
      </c>
      <c r="D88" s="268">
        <f t="shared" si="17"/>
        <v>30000</v>
      </c>
      <c r="E88" s="268">
        <f t="shared" si="17"/>
        <v>0</v>
      </c>
      <c r="F88" s="268">
        <f t="shared" si="17"/>
        <v>0</v>
      </c>
      <c r="G88" s="268">
        <f t="shared" si="17"/>
        <v>0</v>
      </c>
      <c r="H88" s="268">
        <f t="shared" si="17"/>
        <v>0</v>
      </c>
      <c r="I88" s="268">
        <f t="shared" si="17"/>
        <v>0</v>
      </c>
      <c r="J88" s="268">
        <f t="shared" si="13"/>
        <v>0</v>
      </c>
      <c r="K88" s="268">
        <f t="shared" si="14"/>
        <v>30000</v>
      </c>
      <c r="L88" s="268">
        <f>SUM(L89:L92)</f>
        <v>31800</v>
      </c>
      <c r="M88" s="269">
        <f>SUM(M89:M92)</f>
        <v>33708</v>
      </c>
      <c r="N88" s="126"/>
    </row>
    <row r="89" spans="1:30" ht="13.5" customHeight="1" x14ac:dyDescent="0.25">
      <c r="A89" s="830" t="s">
        <v>1542</v>
      </c>
      <c r="B89" s="723"/>
      <c r="C89" s="1360">
        <f>-SUMIFS(Sheet1!S71_OriginalBudget,Sheet1!S71_A2SubCode,$AC:$AC,Sheet1!S71_ItemType,$AD:$AD)</f>
        <v>0</v>
      </c>
      <c r="D89" s="1356">
        <f>-SUMIFS(Sheet1!S71_SpecialAdjustedBudget,Sheet1!S71_A2SubCode,$AC:$AC,Sheet1!S71_ItemType,$AD:$AD)</f>
        <v>0</v>
      </c>
      <c r="E89" s="1356"/>
      <c r="F89" s="1356"/>
      <c r="G89" s="1356"/>
      <c r="H89" s="1356"/>
      <c r="I89" s="1356">
        <f>SUMIFS(Sheet1!S71_AdjustmentAmount,Sheet1!S71_A2SubCode,$AC:$AC,Sheet1!S71_ItemType,$AD:$AD)</f>
        <v>0</v>
      </c>
      <c r="J89" s="171">
        <f t="shared" si="13"/>
        <v>0</v>
      </c>
      <c r="K89" s="171">
        <f t="shared" si="14"/>
        <v>0</v>
      </c>
      <c r="L89" s="1356">
        <f>-SUMIFS(Sheet1!S71_OY1AdjustedBudget,Sheet1!S71_A2SubCode,$AC:$AC,Sheet1!S71_ItemType,$AD:$AD)</f>
        <v>0</v>
      </c>
      <c r="M89" s="1357">
        <f>-SUMIFS(Sheet1!S71_OY2AdjustedBudget,Sheet1!S71_A2SubCode,$AC:$AC,Sheet1!S71_ItemType,$AD:$AD)</f>
        <v>0</v>
      </c>
      <c r="N89" s="126"/>
      <c r="AC89" s="1345">
        <v>3203</v>
      </c>
      <c r="AD89" s="1345" t="s">
        <v>1811</v>
      </c>
    </row>
    <row r="90" spans="1:30" ht="13.5" customHeight="1" x14ac:dyDescent="0.25">
      <c r="A90" s="830" t="s">
        <v>1543</v>
      </c>
      <c r="B90" s="723"/>
      <c r="C90" s="1360">
        <f>-SUMIFS(Sheet1!S71_OriginalBudget,Sheet1!S71_A2SubCode,$AC:$AC,Sheet1!S71_ItemType,$AD:$AD)</f>
        <v>0</v>
      </c>
      <c r="D90" s="1356">
        <f>-SUMIFS(Sheet1!S71_SpecialAdjustedBudget,Sheet1!S71_A2SubCode,$AC:$AC,Sheet1!S71_ItemType,$AD:$AD)</f>
        <v>0</v>
      </c>
      <c r="E90" s="1356"/>
      <c r="F90" s="1356"/>
      <c r="G90" s="1356"/>
      <c r="H90" s="1356"/>
      <c r="I90" s="1356">
        <f>SUMIFS(Sheet1!S71_AdjustmentAmount,Sheet1!S71_A2SubCode,$AC:$AC,Sheet1!S71_ItemType,$AD:$AD)</f>
        <v>0</v>
      </c>
      <c r="J90" s="171">
        <f t="shared" si="13"/>
        <v>0</v>
      </c>
      <c r="K90" s="171">
        <f t="shared" si="14"/>
        <v>0</v>
      </c>
      <c r="L90" s="1356">
        <f>-SUMIFS(Sheet1!S71_OY1AdjustedBudget,Sheet1!S71_A2SubCode,$AC:$AC,Sheet1!S71_ItemType,$AD:$AD)</f>
        <v>0</v>
      </c>
      <c r="M90" s="1357">
        <f>-SUMIFS(Sheet1!S71_OY2AdjustedBudget,Sheet1!S71_A2SubCode,$AC:$AC,Sheet1!S71_ItemType,$AD:$AD)</f>
        <v>0</v>
      </c>
      <c r="N90" s="126"/>
      <c r="AC90" s="1345">
        <v>3204</v>
      </c>
      <c r="AD90" s="1345" t="s">
        <v>1811</v>
      </c>
    </row>
    <row r="91" spans="1:30" ht="13.5" customHeight="1" x14ac:dyDescent="0.25">
      <c r="A91" s="830" t="s">
        <v>1002</v>
      </c>
      <c r="B91" s="723"/>
      <c r="C91" s="1360">
        <f>-SUMIFS(Sheet1!S71_OriginalBudget,Sheet1!S71_A2SubCode,$AC:$AC,Sheet1!S71_ItemType,$AD:$AD)</f>
        <v>30000</v>
      </c>
      <c r="D91" s="1356">
        <f>-SUMIFS(Sheet1!S71_SpecialAdjustedBudget,Sheet1!S71_A2SubCode,$AC:$AC,Sheet1!S71_ItemType,$AD:$AD)</f>
        <v>30000</v>
      </c>
      <c r="E91" s="1356"/>
      <c r="F91" s="1356"/>
      <c r="G91" s="1356"/>
      <c r="H91" s="1356"/>
      <c r="I91" s="1356">
        <f>SUMIFS(Sheet1!S71_AdjustmentAmount,Sheet1!S71_A2SubCode,$AC:$AC,Sheet1!S71_ItemType,$AD:$AD)</f>
        <v>0</v>
      </c>
      <c r="J91" s="171">
        <f t="shared" si="13"/>
        <v>0</v>
      </c>
      <c r="K91" s="171">
        <f t="shared" si="14"/>
        <v>30000</v>
      </c>
      <c r="L91" s="1356">
        <f>-SUMIFS(Sheet1!S71_OY1AdjustedBudget,Sheet1!S71_A2SubCode,$AC:$AC,Sheet1!S71_ItemType,$AD:$AD)</f>
        <v>31800</v>
      </c>
      <c r="M91" s="1357">
        <f>-SUMIFS(Sheet1!S71_OY2AdjustedBudget,Sheet1!S71_A2SubCode,$AC:$AC,Sheet1!S71_ItemType,$AD:$AD)</f>
        <v>33708</v>
      </c>
      <c r="N91" s="126"/>
      <c r="AC91" s="1345">
        <v>3205</v>
      </c>
      <c r="AD91" s="1345" t="s">
        <v>1811</v>
      </c>
    </row>
    <row r="92" spans="1:30" ht="13.5" customHeight="1" x14ac:dyDescent="0.25">
      <c r="A92" s="830" t="s">
        <v>1544</v>
      </c>
      <c r="B92" s="723"/>
      <c r="C92" s="1360">
        <f>-SUMIFS(Sheet1!S71_OriginalBudget,Sheet1!S71_A2SubCode,$AC:$AC,Sheet1!S71_ItemType,$AD:$AD)</f>
        <v>0</v>
      </c>
      <c r="D92" s="1356">
        <f>-SUMIFS(Sheet1!S71_SpecialAdjustedBudget,Sheet1!S71_A2SubCode,$AC:$AC,Sheet1!S71_ItemType,$AD:$AD)</f>
        <v>0</v>
      </c>
      <c r="E92" s="1356"/>
      <c r="F92" s="1356"/>
      <c r="G92" s="1356"/>
      <c r="H92" s="1356"/>
      <c r="I92" s="1356">
        <f>SUMIFS(Sheet1!S71_AdjustmentAmount,Sheet1!S71_A2SubCode,$AC:$AC,Sheet1!S71_ItemType,$AD:$AD)</f>
        <v>0</v>
      </c>
      <c r="J92" s="171">
        <f t="shared" si="13"/>
        <v>0</v>
      </c>
      <c r="K92" s="171">
        <f t="shared" si="14"/>
        <v>0</v>
      </c>
      <c r="L92" s="1356">
        <f>-SUMIFS(Sheet1!S71_OY1AdjustedBudget,Sheet1!S71_A2SubCode,$AC:$AC,Sheet1!S71_ItemType,$AD:$AD)</f>
        <v>0</v>
      </c>
      <c r="M92" s="1357">
        <f>-SUMIFS(Sheet1!S71_OY2AdjustedBudget,Sheet1!S71_A2SubCode,$AC:$AC,Sheet1!S71_ItemType,$AD:$AD)</f>
        <v>0</v>
      </c>
      <c r="N92" s="126"/>
      <c r="AC92" s="1345">
        <v>3206</v>
      </c>
      <c r="AD92" s="1345" t="s">
        <v>1811</v>
      </c>
    </row>
    <row r="93" spans="1:30" ht="13.5" customHeight="1" x14ac:dyDescent="0.25">
      <c r="A93" s="710" t="s">
        <v>626</v>
      </c>
      <c r="B93" s="723"/>
      <c r="C93" s="711">
        <f>SUM(C94:C99)</f>
        <v>0</v>
      </c>
      <c r="D93" s="268">
        <f t="shared" ref="D93:I93" si="18">SUM(D94:D99)</f>
        <v>0</v>
      </c>
      <c r="E93" s="268">
        <f t="shared" si="18"/>
        <v>0</v>
      </c>
      <c r="F93" s="268">
        <f t="shared" si="18"/>
        <v>0</v>
      </c>
      <c r="G93" s="268">
        <f t="shared" si="18"/>
        <v>0</v>
      </c>
      <c r="H93" s="268">
        <f t="shared" si="18"/>
        <v>0</v>
      </c>
      <c r="I93" s="268">
        <f t="shared" si="18"/>
        <v>0</v>
      </c>
      <c r="J93" s="268">
        <f t="shared" si="13"/>
        <v>0</v>
      </c>
      <c r="K93" s="268">
        <f t="shared" si="14"/>
        <v>0</v>
      </c>
      <c r="L93" s="268">
        <f>SUM(L94:L99)</f>
        <v>0</v>
      </c>
      <c r="M93" s="269">
        <f>SUM(M94:M99)</f>
        <v>0</v>
      </c>
      <c r="N93" s="126"/>
    </row>
    <row r="94" spans="1:30" ht="13.5" customHeight="1" x14ac:dyDescent="0.25">
      <c r="A94" s="830" t="s">
        <v>1545</v>
      </c>
      <c r="B94" s="723"/>
      <c r="C94" s="1360">
        <f>-SUMIFS(Sheet1!S71_OriginalBudget,Sheet1!S71_A2SubCode,$AC:$AC,Sheet1!S71_ItemType,$AD:$AD)</f>
        <v>0</v>
      </c>
      <c r="D94" s="1356">
        <f>-SUMIFS(Sheet1!S71_SpecialAdjustedBudget,Sheet1!S71_A2SubCode,$AC:$AC,Sheet1!S71_ItemType,$AD:$AD)</f>
        <v>0</v>
      </c>
      <c r="E94" s="1356"/>
      <c r="F94" s="1356"/>
      <c r="G94" s="1356"/>
      <c r="H94" s="1356"/>
      <c r="I94" s="1356">
        <f>SUMIFS(Sheet1!S71_AdjustmentAmount,Sheet1!S71_A2SubCode,$AC:$AC,Sheet1!S71_ItemType,$AD:$AD)</f>
        <v>0</v>
      </c>
      <c r="J94" s="171">
        <f t="shared" si="13"/>
        <v>0</v>
      </c>
      <c r="K94" s="171">
        <f t="shared" si="14"/>
        <v>0</v>
      </c>
      <c r="L94" s="1356">
        <f>-SUMIFS(Sheet1!S71_OY1AdjustedBudget,Sheet1!S71_A2SubCode,$AC:$AC,Sheet1!S71_ItemType,$AD:$AD)</f>
        <v>0</v>
      </c>
      <c r="M94" s="1357">
        <f>-SUMIFS(Sheet1!S71_OY2AdjustedBudget,Sheet1!S71_A2SubCode,$AC:$AC,Sheet1!S71_ItemType,$AD:$AD)</f>
        <v>0</v>
      </c>
      <c r="N94" s="126"/>
      <c r="AC94" s="1345">
        <v>3301</v>
      </c>
      <c r="AD94" s="1345" t="s">
        <v>1811</v>
      </c>
    </row>
    <row r="95" spans="1:30" ht="13.5" customHeight="1" x14ac:dyDescent="0.25">
      <c r="A95" s="830" t="s">
        <v>1546</v>
      </c>
      <c r="B95" s="723"/>
      <c r="C95" s="1360">
        <f>-SUMIFS(Sheet1!S71_OriginalBudget,Sheet1!S71_A2SubCode,$AC:$AC,Sheet1!S71_ItemType,$AD:$AD)</f>
        <v>0</v>
      </c>
      <c r="D95" s="1356">
        <f>-SUMIFS(Sheet1!S71_SpecialAdjustedBudget,Sheet1!S71_A2SubCode,$AC:$AC,Sheet1!S71_ItemType,$AD:$AD)</f>
        <v>0</v>
      </c>
      <c r="E95" s="1356"/>
      <c r="F95" s="1356"/>
      <c r="G95" s="1356"/>
      <c r="H95" s="1356"/>
      <c r="I95" s="1356">
        <f>SUMIFS(Sheet1!S71_AdjustmentAmount,Sheet1!S71_A2SubCode,$AC:$AC,Sheet1!S71_ItemType,$AD:$AD)</f>
        <v>0</v>
      </c>
      <c r="J95" s="171">
        <f t="shared" si="13"/>
        <v>0</v>
      </c>
      <c r="K95" s="171">
        <f t="shared" si="14"/>
        <v>0</v>
      </c>
      <c r="L95" s="1356">
        <f>-SUMIFS(Sheet1!S71_OY1AdjustedBudget,Sheet1!S71_A2SubCode,$AC:$AC,Sheet1!S71_ItemType,$AD:$AD)</f>
        <v>0</v>
      </c>
      <c r="M95" s="1357">
        <f>-SUMIFS(Sheet1!S71_OY2AdjustedBudget,Sheet1!S71_A2SubCode,$AC:$AC,Sheet1!S71_ItemType,$AD:$AD)</f>
        <v>0</v>
      </c>
      <c r="N95" s="126"/>
      <c r="AC95" s="1345">
        <v>3302</v>
      </c>
      <c r="AD95" s="1345" t="s">
        <v>1811</v>
      </c>
    </row>
    <row r="96" spans="1:30" ht="13.5" customHeight="1" x14ac:dyDescent="0.25">
      <c r="A96" s="830" t="s">
        <v>1547</v>
      </c>
      <c r="B96" s="723"/>
      <c r="C96" s="1360">
        <f>-SUMIFS(Sheet1!S71_OriginalBudget,Sheet1!S71_A2SubCode,$AC:$AC,Sheet1!S71_ItemType,$AD:$AD)</f>
        <v>0</v>
      </c>
      <c r="D96" s="1356">
        <f>-SUMIFS(Sheet1!S71_SpecialAdjustedBudget,Sheet1!S71_A2SubCode,$AC:$AC,Sheet1!S71_ItemType,$AD:$AD)</f>
        <v>0</v>
      </c>
      <c r="E96" s="1356"/>
      <c r="F96" s="1356"/>
      <c r="G96" s="1356"/>
      <c r="H96" s="1356"/>
      <c r="I96" s="1356">
        <f>SUMIFS(Sheet1!S71_AdjustmentAmount,Sheet1!S71_A2SubCode,$AC:$AC,Sheet1!S71_ItemType,$AD:$AD)</f>
        <v>0</v>
      </c>
      <c r="J96" s="171">
        <f t="shared" si="13"/>
        <v>0</v>
      </c>
      <c r="K96" s="171">
        <f t="shared" si="14"/>
        <v>0</v>
      </c>
      <c r="L96" s="1356">
        <f>-SUMIFS(Sheet1!S71_OY1AdjustedBudget,Sheet1!S71_A2SubCode,$AC:$AC,Sheet1!S71_ItemType,$AD:$AD)</f>
        <v>0</v>
      </c>
      <c r="M96" s="1357">
        <f>-SUMIFS(Sheet1!S71_OY2AdjustedBudget,Sheet1!S71_A2SubCode,$AC:$AC,Sheet1!S71_ItemType,$AD:$AD)</f>
        <v>0</v>
      </c>
      <c r="N96" s="126"/>
      <c r="AC96" s="1345">
        <v>3303</v>
      </c>
      <c r="AD96" s="1345" t="s">
        <v>1811</v>
      </c>
    </row>
    <row r="97" spans="1:30" ht="13.5" customHeight="1" x14ac:dyDescent="0.25">
      <c r="A97" s="830" t="s">
        <v>1548</v>
      </c>
      <c r="B97" s="723"/>
      <c r="C97" s="1360">
        <f>-SUMIFS(Sheet1!S71_OriginalBudget,Sheet1!S71_A2SubCode,$AC:$AC,Sheet1!S71_ItemType,$AD:$AD)</f>
        <v>0</v>
      </c>
      <c r="D97" s="1356">
        <f>-SUMIFS(Sheet1!S71_SpecialAdjustedBudget,Sheet1!S71_A2SubCode,$AC:$AC,Sheet1!S71_ItemType,$AD:$AD)</f>
        <v>0</v>
      </c>
      <c r="E97" s="1356"/>
      <c r="F97" s="1356"/>
      <c r="G97" s="1356"/>
      <c r="H97" s="1356"/>
      <c r="I97" s="1356">
        <f>SUMIFS(Sheet1!S71_AdjustmentAmount,Sheet1!S71_A2SubCode,$AC:$AC,Sheet1!S71_ItemType,$AD:$AD)</f>
        <v>0</v>
      </c>
      <c r="J97" s="171">
        <f t="shared" si="13"/>
        <v>0</v>
      </c>
      <c r="K97" s="171">
        <f t="shared" si="14"/>
        <v>0</v>
      </c>
      <c r="L97" s="1356">
        <f>-SUMIFS(Sheet1!S71_OY1AdjustedBudget,Sheet1!S71_A2SubCode,$AC:$AC,Sheet1!S71_ItemType,$AD:$AD)</f>
        <v>0</v>
      </c>
      <c r="M97" s="1357">
        <f>-SUMIFS(Sheet1!S71_OY2AdjustedBudget,Sheet1!S71_A2SubCode,$AC:$AC,Sheet1!S71_ItemType,$AD:$AD)</f>
        <v>0</v>
      </c>
      <c r="N97" s="126"/>
      <c r="AC97" s="1345">
        <v>3304</v>
      </c>
      <c r="AD97" s="1345" t="s">
        <v>1811</v>
      </c>
    </row>
    <row r="98" spans="1:30" ht="13.5" customHeight="1" x14ac:dyDescent="0.25">
      <c r="A98" s="830" t="s">
        <v>1003</v>
      </c>
      <c r="B98" s="723"/>
      <c r="C98" s="1360">
        <f>-SUMIFS(Sheet1!S71_OriginalBudget,Sheet1!S71_A2SubCode,$AC:$AC,Sheet1!S71_ItemType,$AD:$AD)</f>
        <v>0</v>
      </c>
      <c r="D98" s="1356">
        <f>-SUMIFS(Sheet1!S71_SpecialAdjustedBudget,Sheet1!S71_A2SubCode,$AC:$AC,Sheet1!S71_ItemType,$AD:$AD)</f>
        <v>0</v>
      </c>
      <c r="E98" s="1356"/>
      <c r="F98" s="1356"/>
      <c r="G98" s="1356"/>
      <c r="H98" s="1356"/>
      <c r="I98" s="1356">
        <f>SUMIFS(Sheet1!S71_AdjustmentAmount,Sheet1!S71_A2SubCode,$AC:$AC,Sheet1!S71_ItemType,$AD:$AD)</f>
        <v>0</v>
      </c>
      <c r="J98" s="171">
        <f t="shared" si="13"/>
        <v>0</v>
      </c>
      <c r="K98" s="171">
        <f t="shared" si="14"/>
        <v>0</v>
      </c>
      <c r="L98" s="1356">
        <f>-SUMIFS(Sheet1!S71_OY1AdjustedBudget,Sheet1!S71_A2SubCode,$AC:$AC,Sheet1!S71_ItemType,$AD:$AD)</f>
        <v>0</v>
      </c>
      <c r="M98" s="1357">
        <f>-SUMIFS(Sheet1!S71_OY2AdjustedBudget,Sheet1!S71_A2SubCode,$AC:$AC,Sheet1!S71_ItemType,$AD:$AD)</f>
        <v>0</v>
      </c>
      <c r="N98" s="126"/>
      <c r="AC98" s="1345">
        <v>3305</v>
      </c>
      <c r="AD98" s="1345" t="s">
        <v>1811</v>
      </c>
    </row>
    <row r="99" spans="1:30" ht="13.5" customHeight="1" x14ac:dyDescent="0.25">
      <c r="A99" s="830" t="s">
        <v>1549</v>
      </c>
      <c r="B99" s="723"/>
      <c r="C99" s="1360">
        <f>-SUMIFS(Sheet1!S71_OriginalBudget,Sheet1!S71_A2SubCode,$AC:$AC,Sheet1!S71_ItemType,$AD:$AD)</f>
        <v>0</v>
      </c>
      <c r="D99" s="1356">
        <f>-SUMIFS(Sheet1!S71_SpecialAdjustedBudget,Sheet1!S71_A2SubCode,$AC:$AC,Sheet1!S71_ItemType,$AD:$AD)</f>
        <v>0</v>
      </c>
      <c r="E99" s="1356"/>
      <c r="F99" s="1356"/>
      <c r="G99" s="1356"/>
      <c r="H99" s="1356"/>
      <c r="I99" s="1356">
        <f>SUMIFS(Sheet1!S71_AdjustmentAmount,Sheet1!S71_A2SubCode,$AC:$AC,Sheet1!S71_ItemType,$AD:$AD)</f>
        <v>0</v>
      </c>
      <c r="J99" s="171">
        <f t="shared" si="13"/>
        <v>0</v>
      </c>
      <c r="K99" s="171">
        <f t="shared" si="14"/>
        <v>0</v>
      </c>
      <c r="L99" s="1356">
        <f>-SUMIFS(Sheet1!S71_OY1AdjustedBudget,Sheet1!S71_A2SubCode,$AC:$AC,Sheet1!S71_ItemType,$AD:$AD)</f>
        <v>0</v>
      </c>
      <c r="M99" s="1357">
        <f>-SUMIFS(Sheet1!S71_OY2AdjustedBudget,Sheet1!S71_A2SubCode,$AC:$AC,Sheet1!S71_ItemType,$AD:$AD)</f>
        <v>0</v>
      </c>
      <c r="N99" s="126"/>
      <c r="AC99" s="1345">
        <v>3306</v>
      </c>
      <c r="AD99" s="1345" t="s">
        <v>1811</v>
      </c>
    </row>
    <row r="100" spans="1:30" ht="13.5" customHeight="1" x14ac:dyDescent="0.25">
      <c r="A100" s="107" t="s">
        <v>627</v>
      </c>
      <c r="B100" s="723"/>
      <c r="C100" s="708">
        <f>C101+C105+C109+C114</f>
        <v>574287</v>
      </c>
      <c r="D100" s="707">
        <f t="shared" ref="D100:M100" si="19">D101+D105+D109+D114</f>
        <v>574287</v>
      </c>
      <c r="E100" s="707">
        <f t="shared" si="19"/>
        <v>0</v>
      </c>
      <c r="F100" s="707">
        <f t="shared" si="19"/>
        <v>0</v>
      </c>
      <c r="G100" s="707">
        <f t="shared" si="19"/>
        <v>0</v>
      </c>
      <c r="H100" s="707">
        <f t="shared" si="19"/>
        <v>0</v>
      </c>
      <c r="I100" s="707">
        <f t="shared" si="19"/>
        <v>0</v>
      </c>
      <c r="J100" s="707">
        <f t="shared" si="13"/>
        <v>0</v>
      </c>
      <c r="K100" s="707">
        <f t="shared" si="14"/>
        <v>574287</v>
      </c>
      <c r="L100" s="707">
        <f t="shared" si="19"/>
        <v>608744</v>
      </c>
      <c r="M100" s="709">
        <f t="shared" si="19"/>
        <v>645269</v>
      </c>
      <c r="N100" s="126"/>
    </row>
    <row r="101" spans="1:30" ht="13.5" customHeight="1" x14ac:dyDescent="0.25">
      <c r="A101" s="710" t="s">
        <v>1482</v>
      </c>
      <c r="B101" s="723"/>
      <c r="C101" s="711">
        <f>SUM(C102:C104)</f>
        <v>0</v>
      </c>
      <c r="D101" s="268">
        <f t="shared" ref="D101:I101" si="20">SUM(D102:D104)</f>
        <v>0</v>
      </c>
      <c r="E101" s="268">
        <f t="shared" si="20"/>
        <v>0</v>
      </c>
      <c r="F101" s="268">
        <f t="shared" si="20"/>
        <v>0</v>
      </c>
      <c r="G101" s="268">
        <f t="shared" si="20"/>
        <v>0</v>
      </c>
      <c r="H101" s="268">
        <f t="shared" si="20"/>
        <v>0</v>
      </c>
      <c r="I101" s="268">
        <f t="shared" si="20"/>
        <v>0</v>
      </c>
      <c r="J101" s="268">
        <f t="shared" si="13"/>
        <v>0</v>
      </c>
      <c r="K101" s="268">
        <f t="shared" si="14"/>
        <v>0</v>
      </c>
      <c r="L101" s="268">
        <f>SUM(L102:L104)</f>
        <v>0</v>
      </c>
      <c r="M101" s="269">
        <f>SUM(M102:M104)</f>
        <v>0</v>
      </c>
      <c r="N101" s="126"/>
    </row>
    <row r="102" spans="1:30" ht="13.5" customHeight="1" x14ac:dyDescent="0.25">
      <c r="A102" s="830" t="s">
        <v>1550</v>
      </c>
      <c r="B102" s="723"/>
      <c r="C102" s="1360">
        <f>-SUMIFS(Sheet1!S71_OriginalBudget,Sheet1!S71_A2SubCode,$AC:$AC,Sheet1!S71_ItemType,$AD:$AD)</f>
        <v>0</v>
      </c>
      <c r="D102" s="1356">
        <f>-SUMIFS(Sheet1!S71_SpecialAdjustedBudget,Sheet1!S71_A2SubCode,$AC:$AC,Sheet1!S71_ItemType,$AD:$AD)</f>
        <v>0</v>
      </c>
      <c r="E102" s="1356"/>
      <c r="F102" s="1356"/>
      <c r="G102" s="1356"/>
      <c r="H102" s="1356"/>
      <c r="I102" s="1356">
        <f>SUMIFS(Sheet1!S71_AdjustmentAmount,Sheet1!S71_A2SubCode,$AC:$AC,Sheet1!S71_ItemType,$AD:$AD)</f>
        <v>0</v>
      </c>
      <c r="J102" s="171">
        <f t="shared" si="13"/>
        <v>0</v>
      </c>
      <c r="K102" s="171">
        <f t="shared" si="14"/>
        <v>0</v>
      </c>
      <c r="L102" s="1356">
        <f>-SUMIFS(Sheet1!S71_OY1AdjustedBudget,Sheet1!S71_A2SubCode,$AC:$AC,Sheet1!S71_ItemType,$AD:$AD)</f>
        <v>0</v>
      </c>
      <c r="M102" s="1357">
        <f>-SUMIFS(Sheet1!S71_OY2AdjustedBudget,Sheet1!S71_A2SubCode,$AC:$AC,Sheet1!S71_ItemType,$AD:$AD)</f>
        <v>0</v>
      </c>
      <c r="N102" s="126"/>
      <c r="AC102" s="1345">
        <v>4101</v>
      </c>
      <c r="AD102" s="1345" t="s">
        <v>1811</v>
      </c>
    </row>
    <row r="103" spans="1:30" ht="13.5" customHeight="1" x14ac:dyDescent="0.25">
      <c r="A103" s="830" t="s">
        <v>1551</v>
      </c>
      <c r="B103" s="723"/>
      <c r="C103" s="1360">
        <f>-SUMIFS(Sheet1!S71_OriginalBudget,Sheet1!S71_A2SubCode,$AC:$AC,Sheet1!S71_ItemType,$AD:$AD)</f>
        <v>0</v>
      </c>
      <c r="D103" s="1356">
        <f>-SUMIFS(Sheet1!S71_SpecialAdjustedBudget,Sheet1!S71_A2SubCode,$AC:$AC,Sheet1!S71_ItemType,$AD:$AD)</f>
        <v>0</v>
      </c>
      <c r="E103" s="1356"/>
      <c r="F103" s="1356"/>
      <c r="G103" s="1356"/>
      <c r="H103" s="1356"/>
      <c r="I103" s="1356">
        <f>SUMIFS(Sheet1!S71_AdjustmentAmount,Sheet1!S71_A2SubCode,$AC:$AC,Sheet1!S71_ItemType,$AD:$AD)</f>
        <v>0</v>
      </c>
      <c r="J103" s="171">
        <f t="shared" si="13"/>
        <v>0</v>
      </c>
      <c r="K103" s="171">
        <f t="shared" si="14"/>
        <v>0</v>
      </c>
      <c r="L103" s="1356">
        <f>-SUMIFS(Sheet1!S71_OY1AdjustedBudget,Sheet1!S71_A2SubCode,$AC:$AC,Sheet1!S71_ItemType,$AD:$AD)</f>
        <v>0</v>
      </c>
      <c r="M103" s="1357">
        <f>-SUMIFS(Sheet1!S71_OY2AdjustedBudget,Sheet1!S71_A2SubCode,$AC:$AC,Sheet1!S71_ItemType,$AD:$AD)</f>
        <v>0</v>
      </c>
      <c r="N103" s="126"/>
      <c r="AC103" s="1345">
        <v>4102</v>
      </c>
      <c r="AD103" s="1345" t="s">
        <v>1811</v>
      </c>
    </row>
    <row r="104" spans="1:30" ht="13.5" customHeight="1" x14ac:dyDescent="0.25">
      <c r="A104" s="830" t="s">
        <v>1552</v>
      </c>
      <c r="B104" s="723"/>
      <c r="C104" s="1360">
        <f>-SUMIFS(Sheet1!S71_OriginalBudget,Sheet1!S71_A2SubCode,$AC:$AC,Sheet1!S71_ItemType,$AD:$AD)</f>
        <v>0</v>
      </c>
      <c r="D104" s="1356">
        <f>-SUMIFS(Sheet1!S71_SpecialAdjustedBudget,Sheet1!S71_A2SubCode,$AC:$AC,Sheet1!S71_ItemType,$AD:$AD)</f>
        <v>0</v>
      </c>
      <c r="E104" s="1356"/>
      <c r="F104" s="1356"/>
      <c r="G104" s="1356"/>
      <c r="H104" s="1356"/>
      <c r="I104" s="1356">
        <f>SUMIFS(Sheet1!S71_AdjustmentAmount,Sheet1!S71_A2SubCode,$AC:$AC,Sheet1!S71_ItemType,$AD:$AD)</f>
        <v>0</v>
      </c>
      <c r="J104" s="171">
        <f t="shared" si="13"/>
        <v>0</v>
      </c>
      <c r="K104" s="171">
        <f t="shared" si="14"/>
        <v>0</v>
      </c>
      <c r="L104" s="1356">
        <f>-SUMIFS(Sheet1!S71_OY1AdjustedBudget,Sheet1!S71_A2SubCode,$AC:$AC,Sheet1!S71_ItemType,$AD:$AD)</f>
        <v>0</v>
      </c>
      <c r="M104" s="1357">
        <f>-SUMIFS(Sheet1!S71_OY2AdjustedBudget,Sheet1!S71_A2SubCode,$AC:$AC,Sheet1!S71_ItemType,$AD:$AD)</f>
        <v>0</v>
      </c>
      <c r="N104" s="126"/>
      <c r="AC104" s="1345">
        <v>4103</v>
      </c>
      <c r="AD104" s="1345" t="s">
        <v>1811</v>
      </c>
    </row>
    <row r="105" spans="1:30" ht="13.5" customHeight="1" x14ac:dyDescent="0.25">
      <c r="A105" s="710" t="s">
        <v>1483</v>
      </c>
      <c r="B105" s="723"/>
      <c r="C105" s="711">
        <f>SUM(C106:C108)</f>
        <v>0</v>
      </c>
      <c r="D105" s="268">
        <f t="shared" ref="D105:I105" si="21">SUM(D106:D108)</f>
        <v>0</v>
      </c>
      <c r="E105" s="268">
        <f t="shared" si="21"/>
        <v>0</v>
      </c>
      <c r="F105" s="268">
        <f t="shared" si="21"/>
        <v>0</v>
      </c>
      <c r="G105" s="268">
        <f t="shared" si="21"/>
        <v>0</v>
      </c>
      <c r="H105" s="268">
        <f t="shared" si="21"/>
        <v>0</v>
      </c>
      <c r="I105" s="268">
        <f t="shared" si="21"/>
        <v>0</v>
      </c>
      <c r="J105" s="268">
        <f t="shared" si="13"/>
        <v>0</v>
      </c>
      <c r="K105" s="268">
        <f t="shared" si="14"/>
        <v>0</v>
      </c>
      <c r="L105" s="268">
        <f>SUM(L106:L108)</f>
        <v>0</v>
      </c>
      <c r="M105" s="269">
        <f>SUM(M106:M108)</f>
        <v>0</v>
      </c>
      <c r="N105" s="126"/>
    </row>
    <row r="106" spans="1:30" ht="13.5" customHeight="1" x14ac:dyDescent="0.25">
      <c r="A106" s="830" t="s">
        <v>1553</v>
      </c>
      <c r="B106" s="723"/>
      <c r="C106" s="1360">
        <f>-SUMIFS(Sheet1!S71_OriginalBudget,Sheet1!S71_A2SubCode,$AC:$AC,Sheet1!S71_ItemType,$AD:$AD)</f>
        <v>0</v>
      </c>
      <c r="D106" s="1356">
        <f>-SUMIFS(Sheet1!S71_SpecialAdjustedBudget,Sheet1!S71_A2SubCode,$AC:$AC,Sheet1!S71_ItemType,$AD:$AD)</f>
        <v>0</v>
      </c>
      <c r="E106" s="1356"/>
      <c r="F106" s="1356"/>
      <c r="G106" s="1356"/>
      <c r="H106" s="1356"/>
      <c r="I106" s="1356">
        <f>SUMIFS(Sheet1!S71_AdjustmentAmount,Sheet1!S71_A2SubCode,$AC:$AC,Sheet1!S71_ItemType,$AD:$AD)</f>
        <v>0</v>
      </c>
      <c r="J106" s="171">
        <f t="shared" si="13"/>
        <v>0</v>
      </c>
      <c r="K106" s="171">
        <f t="shared" si="14"/>
        <v>0</v>
      </c>
      <c r="L106" s="1356">
        <f>-SUMIFS(Sheet1!S71_OY1AdjustedBudget,Sheet1!S71_A2SubCode,$AC:$AC,Sheet1!S71_ItemType,$AD:$AD)</f>
        <v>0</v>
      </c>
      <c r="M106" s="1357">
        <f>-SUMIFS(Sheet1!S71_OY2AdjustedBudget,Sheet1!S71_A2SubCode,$AC:$AC,Sheet1!S71_ItemType,$AD:$AD)</f>
        <v>0</v>
      </c>
      <c r="N106" s="126"/>
      <c r="AC106" s="1345">
        <v>4201</v>
      </c>
      <c r="AD106" s="1345" t="s">
        <v>1811</v>
      </c>
    </row>
    <row r="107" spans="1:30" ht="13.5" customHeight="1" x14ac:dyDescent="0.25">
      <c r="A107" s="830" t="s">
        <v>1004</v>
      </c>
      <c r="B107" s="723"/>
      <c r="C107" s="1360">
        <f>-SUMIFS(Sheet1!S71_OriginalBudget,Sheet1!S71_A2SubCode,$AC:$AC,Sheet1!S71_ItemType,$AD:$AD)</f>
        <v>0</v>
      </c>
      <c r="D107" s="1356">
        <f>-SUMIFS(Sheet1!S71_SpecialAdjustedBudget,Sheet1!S71_A2SubCode,$AC:$AC,Sheet1!S71_ItemType,$AD:$AD)</f>
        <v>0</v>
      </c>
      <c r="E107" s="1356"/>
      <c r="F107" s="1356"/>
      <c r="G107" s="1356"/>
      <c r="H107" s="1356"/>
      <c r="I107" s="1356">
        <f>SUMIFS(Sheet1!S71_AdjustmentAmount,Sheet1!S71_A2SubCode,$AC:$AC,Sheet1!S71_ItemType,$AD:$AD)</f>
        <v>0</v>
      </c>
      <c r="J107" s="171">
        <f t="shared" si="13"/>
        <v>0</v>
      </c>
      <c r="K107" s="171">
        <f t="shared" si="14"/>
        <v>0</v>
      </c>
      <c r="L107" s="1356">
        <f>-SUMIFS(Sheet1!S71_OY1AdjustedBudget,Sheet1!S71_A2SubCode,$AC:$AC,Sheet1!S71_ItemType,$AD:$AD)</f>
        <v>0</v>
      </c>
      <c r="M107" s="1357">
        <f>-SUMIFS(Sheet1!S71_OY2AdjustedBudget,Sheet1!S71_A2SubCode,$AC:$AC,Sheet1!S71_ItemType,$AD:$AD)</f>
        <v>0</v>
      </c>
      <c r="N107" s="126"/>
      <c r="AC107" s="1345">
        <v>4202</v>
      </c>
      <c r="AD107" s="1345" t="s">
        <v>1811</v>
      </c>
    </row>
    <row r="108" spans="1:30" ht="13.5" customHeight="1" x14ac:dyDescent="0.25">
      <c r="A108" s="830" t="s">
        <v>1005</v>
      </c>
      <c r="B108" s="723"/>
      <c r="C108" s="1360">
        <f>-SUMIFS(Sheet1!S71_OriginalBudget,Sheet1!S71_A2SubCode,$AC:$AC,Sheet1!S71_ItemType,$AD:$AD)</f>
        <v>0</v>
      </c>
      <c r="D108" s="1356">
        <f>-SUMIFS(Sheet1!S71_SpecialAdjustedBudget,Sheet1!S71_A2SubCode,$AC:$AC,Sheet1!S71_ItemType,$AD:$AD)</f>
        <v>0</v>
      </c>
      <c r="E108" s="1356"/>
      <c r="F108" s="1356"/>
      <c r="G108" s="1356"/>
      <c r="H108" s="1356"/>
      <c r="I108" s="1356">
        <f>SUMIFS(Sheet1!S71_AdjustmentAmount,Sheet1!S71_A2SubCode,$AC:$AC,Sheet1!S71_ItemType,$AD:$AD)</f>
        <v>0</v>
      </c>
      <c r="J108" s="171">
        <f t="shared" si="13"/>
        <v>0</v>
      </c>
      <c r="K108" s="171">
        <f t="shared" si="14"/>
        <v>0</v>
      </c>
      <c r="L108" s="1356">
        <f>-SUMIFS(Sheet1!S71_OY1AdjustedBudget,Sheet1!S71_A2SubCode,$AC:$AC,Sheet1!S71_ItemType,$AD:$AD)</f>
        <v>0</v>
      </c>
      <c r="M108" s="1357">
        <f>-SUMIFS(Sheet1!S71_OY2AdjustedBudget,Sheet1!S71_A2SubCode,$AC:$AC,Sheet1!S71_ItemType,$AD:$AD)</f>
        <v>0</v>
      </c>
      <c r="N108" s="126"/>
      <c r="AC108" s="1345">
        <v>4203</v>
      </c>
      <c r="AD108" s="1345" t="s">
        <v>1811</v>
      </c>
    </row>
    <row r="109" spans="1:30" ht="13.5" customHeight="1" x14ac:dyDescent="0.25">
      <c r="A109" s="710" t="s">
        <v>630</v>
      </c>
      <c r="B109" s="723"/>
      <c r="C109" s="711">
        <f>SUM(C110:C113)</f>
        <v>0</v>
      </c>
      <c r="D109" s="268">
        <f t="shared" ref="D109:I109" si="22">SUM(D110:D113)</f>
        <v>0</v>
      </c>
      <c r="E109" s="268">
        <f t="shared" si="22"/>
        <v>0</v>
      </c>
      <c r="F109" s="268">
        <f t="shared" si="22"/>
        <v>0</v>
      </c>
      <c r="G109" s="268">
        <f t="shared" si="22"/>
        <v>0</v>
      </c>
      <c r="H109" s="268">
        <f t="shared" si="22"/>
        <v>0</v>
      </c>
      <c r="I109" s="268">
        <f t="shared" si="22"/>
        <v>0</v>
      </c>
      <c r="J109" s="268">
        <f t="shared" si="13"/>
        <v>0</v>
      </c>
      <c r="K109" s="268">
        <f t="shared" si="14"/>
        <v>0</v>
      </c>
      <c r="L109" s="268">
        <f>SUM(L110:L113)</f>
        <v>0</v>
      </c>
      <c r="M109" s="269">
        <f>SUM(M110:M113)</f>
        <v>0</v>
      </c>
      <c r="N109" s="126"/>
    </row>
    <row r="110" spans="1:30" ht="13.5" customHeight="1" x14ac:dyDescent="0.25">
      <c r="A110" s="830" t="s">
        <v>1008</v>
      </c>
      <c r="B110" s="723"/>
      <c r="C110" s="1360">
        <f>-SUMIFS(Sheet1!S71_OriginalBudget,Sheet1!S71_A2SubCode,$AC:$AC,Sheet1!S71_ItemType,$AD:$AD)</f>
        <v>0</v>
      </c>
      <c r="D110" s="1356">
        <f>-SUMIFS(Sheet1!S71_SpecialAdjustedBudget,Sheet1!S71_A2SubCode,$AC:$AC,Sheet1!S71_ItemType,$AD:$AD)</f>
        <v>0</v>
      </c>
      <c r="E110" s="1356"/>
      <c r="F110" s="1356"/>
      <c r="G110" s="1356"/>
      <c r="H110" s="1356"/>
      <c r="I110" s="1356">
        <f>SUMIFS(Sheet1!S71_AdjustmentAmount,Sheet1!S71_A2SubCode,$AC:$AC,Sheet1!S71_ItemType,$AD:$AD)</f>
        <v>0</v>
      </c>
      <c r="J110" s="171">
        <f t="shared" si="13"/>
        <v>0</v>
      </c>
      <c r="K110" s="171">
        <f t="shared" si="14"/>
        <v>0</v>
      </c>
      <c r="L110" s="1356">
        <f>-SUMIFS(Sheet1!S71_OY1AdjustedBudget,Sheet1!S71_A2SubCode,$AC:$AC,Sheet1!S71_ItemType,$AD:$AD)</f>
        <v>0</v>
      </c>
      <c r="M110" s="1357">
        <f>-SUMIFS(Sheet1!S71_OY2AdjustedBudget,Sheet1!S71_A2SubCode,$AC:$AC,Sheet1!S71_ItemType,$AD:$AD)</f>
        <v>0</v>
      </c>
      <c r="N110" s="126"/>
      <c r="AC110" s="1345">
        <v>4301</v>
      </c>
      <c r="AD110" s="1345" t="s">
        <v>1811</v>
      </c>
    </row>
    <row r="111" spans="1:30" ht="13.5" customHeight="1" x14ac:dyDescent="0.25">
      <c r="A111" s="830" t="s">
        <v>1006</v>
      </c>
      <c r="B111" s="723"/>
      <c r="C111" s="1360">
        <f>-SUMIFS(Sheet1!S71_OriginalBudget,Sheet1!S71_A2SubCode,$AC:$AC,Sheet1!S71_ItemType,$AD:$AD)</f>
        <v>0</v>
      </c>
      <c r="D111" s="1356">
        <f>-SUMIFS(Sheet1!S71_SpecialAdjustedBudget,Sheet1!S71_A2SubCode,$AC:$AC,Sheet1!S71_ItemType,$AD:$AD)</f>
        <v>0</v>
      </c>
      <c r="E111" s="1356"/>
      <c r="F111" s="1356"/>
      <c r="G111" s="1356"/>
      <c r="H111" s="1356"/>
      <c r="I111" s="1356">
        <f>SUMIFS(Sheet1!S71_AdjustmentAmount,Sheet1!S71_A2SubCode,$AC:$AC,Sheet1!S71_ItemType,$AD:$AD)</f>
        <v>0</v>
      </c>
      <c r="J111" s="171">
        <f t="shared" si="13"/>
        <v>0</v>
      </c>
      <c r="K111" s="171">
        <f t="shared" si="14"/>
        <v>0</v>
      </c>
      <c r="L111" s="1356">
        <f>-SUMIFS(Sheet1!S71_OY1AdjustedBudget,Sheet1!S71_A2SubCode,$AC:$AC,Sheet1!S71_ItemType,$AD:$AD)</f>
        <v>0</v>
      </c>
      <c r="M111" s="1357">
        <f>-SUMIFS(Sheet1!S71_OY2AdjustedBudget,Sheet1!S71_A2SubCode,$AC:$AC,Sheet1!S71_ItemType,$AD:$AD)</f>
        <v>0</v>
      </c>
      <c r="N111" s="126"/>
      <c r="AC111" s="1345">
        <v>4302</v>
      </c>
      <c r="AD111" s="1345" t="s">
        <v>1811</v>
      </c>
    </row>
    <row r="112" spans="1:30" ht="13.5" customHeight="1" x14ac:dyDescent="0.25">
      <c r="A112" s="830" t="s">
        <v>1007</v>
      </c>
      <c r="B112" s="723"/>
      <c r="C112" s="1360">
        <f>-SUMIFS(Sheet1!S71_OriginalBudget,Sheet1!S71_A2SubCode,$AC:$AC,Sheet1!S71_ItemType,$AD:$AD)</f>
        <v>0</v>
      </c>
      <c r="D112" s="1356">
        <f>-SUMIFS(Sheet1!S71_SpecialAdjustedBudget,Sheet1!S71_A2SubCode,$AC:$AC,Sheet1!S71_ItemType,$AD:$AD)</f>
        <v>0</v>
      </c>
      <c r="E112" s="1356"/>
      <c r="F112" s="1356"/>
      <c r="G112" s="1356"/>
      <c r="H112" s="1356"/>
      <c r="I112" s="1356">
        <f>SUMIFS(Sheet1!S71_AdjustmentAmount,Sheet1!S71_A2SubCode,$AC:$AC,Sheet1!S71_ItemType,$AD:$AD)</f>
        <v>0</v>
      </c>
      <c r="J112" s="171">
        <f t="shared" si="13"/>
        <v>0</v>
      </c>
      <c r="K112" s="171">
        <f t="shared" si="14"/>
        <v>0</v>
      </c>
      <c r="L112" s="1356">
        <f>-SUMIFS(Sheet1!S71_OY1AdjustedBudget,Sheet1!S71_A2SubCode,$AC:$AC,Sheet1!S71_ItemType,$AD:$AD)</f>
        <v>0</v>
      </c>
      <c r="M112" s="1357">
        <f>-SUMIFS(Sheet1!S71_OY2AdjustedBudget,Sheet1!S71_A2SubCode,$AC:$AC,Sheet1!S71_ItemType,$AD:$AD)</f>
        <v>0</v>
      </c>
      <c r="N112" s="126"/>
      <c r="AC112" s="1345">
        <v>4303</v>
      </c>
      <c r="AD112" s="1345" t="s">
        <v>1811</v>
      </c>
    </row>
    <row r="113" spans="1:30" ht="13.5" customHeight="1" x14ac:dyDescent="0.25">
      <c r="A113" s="830" t="s">
        <v>1554</v>
      </c>
      <c r="B113" s="723"/>
      <c r="C113" s="1360">
        <f>-SUMIFS(Sheet1!S71_OriginalBudget,Sheet1!S71_A2SubCode,$AC:$AC,Sheet1!S71_ItemType,$AD:$AD)</f>
        <v>0</v>
      </c>
      <c r="D113" s="1356">
        <f>-SUMIFS(Sheet1!S71_SpecialAdjustedBudget,Sheet1!S71_A2SubCode,$AC:$AC,Sheet1!S71_ItemType,$AD:$AD)</f>
        <v>0</v>
      </c>
      <c r="E113" s="1356"/>
      <c r="F113" s="1356"/>
      <c r="G113" s="1356"/>
      <c r="H113" s="1356"/>
      <c r="I113" s="1356">
        <f>SUMIFS(Sheet1!S71_AdjustmentAmount,Sheet1!S71_A2SubCode,$AC:$AC,Sheet1!S71_ItemType,$AD:$AD)</f>
        <v>0</v>
      </c>
      <c r="J113" s="171">
        <f t="shared" si="13"/>
        <v>0</v>
      </c>
      <c r="K113" s="171">
        <f t="shared" si="14"/>
        <v>0</v>
      </c>
      <c r="L113" s="1356">
        <f>-SUMIFS(Sheet1!S71_OY1AdjustedBudget,Sheet1!S71_A2SubCode,$AC:$AC,Sheet1!S71_ItemType,$AD:$AD)</f>
        <v>0</v>
      </c>
      <c r="M113" s="1357">
        <f>-SUMIFS(Sheet1!S71_OY2AdjustedBudget,Sheet1!S71_A2SubCode,$AC:$AC,Sheet1!S71_ItemType,$AD:$AD)</f>
        <v>0</v>
      </c>
      <c r="N113" s="126"/>
      <c r="AC113" s="1345">
        <v>4304</v>
      </c>
      <c r="AD113" s="1345" t="s">
        <v>1811</v>
      </c>
    </row>
    <row r="114" spans="1:30" ht="13.5" customHeight="1" x14ac:dyDescent="0.25">
      <c r="A114" s="710" t="s">
        <v>631</v>
      </c>
      <c r="B114" s="723"/>
      <c r="C114" s="711">
        <f>SUM(C115:C118)</f>
        <v>574287</v>
      </c>
      <c r="D114" s="268">
        <f t="shared" ref="D114:L114" si="23">SUM(D115:D118)</f>
        <v>574287</v>
      </c>
      <c r="E114" s="268">
        <f t="shared" si="23"/>
        <v>0</v>
      </c>
      <c r="F114" s="268">
        <f t="shared" si="23"/>
        <v>0</v>
      </c>
      <c r="G114" s="268">
        <f t="shared" si="23"/>
        <v>0</v>
      </c>
      <c r="H114" s="268">
        <f t="shared" si="23"/>
        <v>0</v>
      </c>
      <c r="I114" s="268">
        <f t="shared" si="23"/>
        <v>0</v>
      </c>
      <c r="J114" s="268">
        <f t="shared" si="13"/>
        <v>0</v>
      </c>
      <c r="K114" s="268">
        <f t="shared" si="14"/>
        <v>574287</v>
      </c>
      <c r="L114" s="268">
        <f t="shared" si="23"/>
        <v>608744</v>
      </c>
      <c r="M114" s="269">
        <f>SUM(M115:M118)</f>
        <v>645269</v>
      </c>
      <c r="N114" s="126"/>
    </row>
    <row r="115" spans="1:30" ht="13.5" customHeight="1" x14ac:dyDescent="0.25">
      <c r="A115" s="830" t="s">
        <v>1555</v>
      </c>
      <c r="B115" s="723"/>
      <c r="C115" s="1360">
        <f>-SUMIFS(Sheet1!S71_OriginalBudget,Sheet1!S71_A2SubCode,$AC:$AC,Sheet1!S71_ItemType,$AD:$AD)</f>
        <v>0</v>
      </c>
      <c r="D115" s="1356">
        <f>-SUMIFS(Sheet1!S71_SpecialAdjustedBudget,Sheet1!S71_A2SubCode,$AC:$AC,Sheet1!S71_ItemType,$AD:$AD)</f>
        <v>0</v>
      </c>
      <c r="E115" s="1356"/>
      <c r="F115" s="1356"/>
      <c r="G115" s="1356"/>
      <c r="H115" s="1356"/>
      <c r="I115" s="1356">
        <f>SUMIFS(Sheet1!S71_AdjustmentAmount,Sheet1!S71_A2SubCode,$AC:$AC,Sheet1!S71_ItemType,$AD:$AD)</f>
        <v>0</v>
      </c>
      <c r="J115" s="171">
        <f t="shared" si="13"/>
        <v>0</v>
      </c>
      <c r="K115" s="171">
        <f t="shared" si="14"/>
        <v>0</v>
      </c>
      <c r="L115" s="1356">
        <f>-SUMIFS(Sheet1!S71_OY1AdjustedBudget,Sheet1!S71_A2SubCode,$AC:$AC,Sheet1!S71_ItemType,$AD:$AD)</f>
        <v>0</v>
      </c>
      <c r="M115" s="1357">
        <f>-SUMIFS(Sheet1!S71_OY2AdjustedBudget,Sheet1!S71_A2SubCode,$AC:$AC,Sheet1!S71_ItemType,$AD:$AD)</f>
        <v>0</v>
      </c>
      <c r="N115" s="126"/>
      <c r="AC115" s="1345">
        <v>4401</v>
      </c>
      <c r="AD115" s="1345" t="s">
        <v>1811</v>
      </c>
    </row>
    <row r="116" spans="1:30" ht="13.5" customHeight="1" x14ac:dyDescent="0.25">
      <c r="A116" s="830" t="s">
        <v>1556</v>
      </c>
      <c r="B116" s="723"/>
      <c r="C116" s="1360">
        <f>-SUMIFS(Sheet1!S71_OriginalBudget,Sheet1!S71_A2SubCode,$AC:$AC,Sheet1!S71_ItemType,$AD:$AD)</f>
        <v>0</v>
      </c>
      <c r="D116" s="1356">
        <f>-SUMIFS(Sheet1!S71_SpecialAdjustedBudget,Sheet1!S71_A2SubCode,$AC:$AC,Sheet1!S71_ItemType,$AD:$AD)</f>
        <v>0</v>
      </c>
      <c r="E116" s="1356"/>
      <c r="F116" s="1356"/>
      <c r="G116" s="1356"/>
      <c r="H116" s="1356"/>
      <c r="I116" s="1356">
        <f>SUMIFS(Sheet1!S71_AdjustmentAmount,Sheet1!S71_A2SubCode,$AC:$AC,Sheet1!S71_ItemType,$AD:$AD)</f>
        <v>0</v>
      </c>
      <c r="J116" s="171">
        <f t="shared" si="13"/>
        <v>0</v>
      </c>
      <c r="K116" s="171">
        <f t="shared" si="14"/>
        <v>0</v>
      </c>
      <c r="L116" s="1356">
        <f>-SUMIFS(Sheet1!S71_OY1AdjustedBudget,Sheet1!S71_A2SubCode,$AC:$AC,Sheet1!S71_ItemType,$AD:$AD)</f>
        <v>0</v>
      </c>
      <c r="M116" s="1357">
        <f>-SUMIFS(Sheet1!S71_OY2AdjustedBudget,Sheet1!S71_A2SubCode,$AC:$AC,Sheet1!S71_ItemType,$AD:$AD)</f>
        <v>0</v>
      </c>
      <c r="N116" s="126"/>
      <c r="AC116" s="1345">
        <v>4402</v>
      </c>
      <c r="AD116" s="1345" t="s">
        <v>1811</v>
      </c>
    </row>
    <row r="117" spans="1:30" ht="13.5" customHeight="1" x14ac:dyDescent="0.25">
      <c r="A117" s="830" t="s">
        <v>1557</v>
      </c>
      <c r="B117" s="723"/>
      <c r="C117" s="1360">
        <f>-SUMIFS(Sheet1!S71_OriginalBudget,Sheet1!S71_A2SubCode,$AC:$AC,Sheet1!S71_ItemType,$AD:$AD)</f>
        <v>574287</v>
      </c>
      <c r="D117" s="1356">
        <f>-SUMIFS(Sheet1!S71_SpecialAdjustedBudget,Sheet1!S71_A2SubCode,$AC:$AC,Sheet1!S71_ItemType,$AD:$AD)</f>
        <v>574287</v>
      </c>
      <c r="E117" s="1356"/>
      <c r="F117" s="1356"/>
      <c r="G117" s="1356"/>
      <c r="H117" s="1356"/>
      <c r="I117" s="1356">
        <f>SUMIFS(Sheet1!S71_AdjustmentAmount,Sheet1!S71_A2SubCode,$AC:$AC,Sheet1!S71_ItemType,$AD:$AD)</f>
        <v>0</v>
      </c>
      <c r="J117" s="171">
        <f t="shared" si="13"/>
        <v>0</v>
      </c>
      <c r="K117" s="171">
        <f t="shared" si="14"/>
        <v>574287</v>
      </c>
      <c r="L117" s="1356">
        <f>-SUMIFS(Sheet1!S71_OY1AdjustedBudget,Sheet1!S71_A2SubCode,$AC:$AC,Sheet1!S71_ItemType,$AD:$AD)</f>
        <v>608744</v>
      </c>
      <c r="M117" s="1357">
        <f>-SUMIFS(Sheet1!S71_OY2AdjustedBudget,Sheet1!S71_A2SubCode,$AC:$AC,Sheet1!S71_ItemType,$AD:$AD)</f>
        <v>645269</v>
      </c>
      <c r="N117" s="126"/>
      <c r="AC117" s="1345">
        <v>4403</v>
      </c>
      <c r="AD117" s="1345" t="s">
        <v>1811</v>
      </c>
    </row>
    <row r="118" spans="1:30" ht="13.5" customHeight="1" x14ac:dyDescent="0.25">
      <c r="A118" s="830" t="s">
        <v>1558</v>
      </c>
      <c r="B118" s="723"/>
      <c r="C118" s="1360">
        <f>-SUMIFS(Sheet1!S71_OriginalBudget,Sheet1!S71_A2SubCode,$AC:$AC,Sheet1!S71_ItemType,$AD:$AD)</f>
        <v>0</v>
      </c>
      <c r="D118" s="1356">
        <f>-SUMIFS(Sheet1!S71_SpecialAdjustedBudget,Sheet1!S71_A2SubCode,$AC:$AC,Sheet1!S71_ItemType,$AD:$AD)</f>
        <v>0</v>
      </c>
      <c r="E118" s="1356"/>
      <c r="F118" s="1356"/>
      <c r="G118" s="1356"/>
      <c r="H118" s="1356"/>
      <c r="I118" s="1356">
        <f>SUMIFS(Sheet1!S71_AdjustmentAmount,Sheet1!S71_A2SubCode,$AC:$AC,Sheet1!S71_ItemType,$AD:$AD)</f>
        <v>0</v>
      </c>
      <c r="J118" s="171">
        <f t="shared" si="13"/>
        <v>0</v>
      </c>
      <c r="K118" s="171">
        <f t="shared" si="14"/>
        <v>0</v>
      </c>
      <c r="L118" s="1356">
        <f>-SUMIFS(Sheet1!S71_OY1AdjustedBudget,Sheet1!S71_A2SubCode,$AC:$AC,Sheet1!S71_ItemType,$AD:$AD)</f>
        <v>0</v>
      </c>
      <c r="M118" s="1357">
        <f>-SUMIFS(Sheet1!S71_OY2AdjustedBudget,Sheet1!S71_A2SubCode,$AC:$AC,Sheet1!S71_ItemType,$AD:$AD)</f>
        <v>0</v>
      </c>
      <c r="N118" s="126"/>
      <c r="AC118" s="1345">
        <v>4404</v>
      </c>
      <c r="AD118" s="1345" t="s">
        <v>1811</v>
      </c>
    </row>
    <row r="119" spans="1:30" ht="13.5" customHeight="1" x14ac:dyDescent="0.25">
      <c r="A119" s="107" t="s">
        <v>632</v>
      </c>
      <c r="B119" s="723"/>
      <c r="C119" s="708">
        <f t="shared" ref="C119:M119" si="24">SUM(C120:C125)</f>
        <v>7121110</v>
      </c>
      <c r="D119" s="707">
        <f t="shared" si="24"/>
        <v>7121110</v>
      </c>
      <c r="E119" s="707">
        <f t="shared" si="24"/>
        <v>0</v>
      </c>
      <c r="F119" s="707">
        <f t="shared" si="24"/>
        <v>0</v>
      </c>
      <c r="G119" s="707">
        <f t="shared" si="24"/>
        <v>0</v>
      </c>
      <c r="H119" s="707">
        <f t="shared" si="24"/>
        <v>0</v>
      </c>
      <c r="I119" s="707">
        <f t="shared" si="24"/>
        <v>1200</v>
      </c>
      <c r="J119" s="707">
        <f t="shared" si="13"/>
        <v>1200</v>
      </c>
      <c r="K119" s="707">
        <f t="shared" si="14"/>
        <v>7122310</v>
      </c>
      <c r="L119" s="707">
        <f t="shared" si="24"/>
        <v>7548377</v>
      </c>
      <c r="M119" s="709">
        <f t="shared" si="24"/>
        <v>8001279</v>
      </c>
      <c r="N119" s="126"/>
    </row>
    <row r="120" spans="1:30" ht="13.5" customHeight="1" x14ac:dyDescent="0.25">
      <c r="A120" s="710" t="s">
        <v>509</v>
      </c>
      <c r="B120" s="723"/>
      <c r="C120" s="1360">
        <f>-SUMIFS(Sheet1!S71_OriginalBudget,Sheet1!S71_A2SubCode,$AC:$AC,Sheet1!S71_ItemType,$AD:$AD)</f>
        <v>0</v>
      </c>
      <c r="D120" s="1356">
        <f>-SUMIFS(Sheet1!S71_SpecialAdjustedBudget,Sheet1!S71_A2SubCode,$AC:$AC,Sheet1!S71_ItemType,$AD:$AD)</f>
        <v>0</v>
      </c>
      <c r="E120" s="1356"/>
      <c r="F120" s="1356"/>
      <c r="G120" s="1356"/>
      <c r="H120" s="1356"/>
      <c r="I120" s="1356">
        <f>SUMIFS(Sheet1!S71_AdjustmentAmount,Sheet1!S71_A2SubCode,$AC:$AC,Sheet1!S71_ItemType,$AD:$AD)</f>
        <v>0</v>
      </c>
      <c r="J120" s="171">
        <f t="shared" si="13"/>
        <v>0</v>
      </c>
      <c r="K120" s="171">
        <f t="shared" si="14"/>
        <v>0</v>
      </c>
      <c r="L120" s="1356">
        <f>-SUMIFS(Sheet1!S71_OY1AdjustedBudget,Sheet1!S71_A2SubCode,$AC:$AC,Sheet1!S71_ItemType,$AD:$AD)</f>
        <v>0</v>
      </c>
      <c r="M120" s="1357">
        <f>-SUMIFS(Sheet1!S71_OY2AdjustedBudget,Sheet1!S71_A2SubCode,$AC:$AC,Sheet1!S71_ItemType,$AD:$AD)</f>
        <v>0</v>
      </c>
      <c r="N120" s="126"/>
      <c r="AC120" s="1345">
        <v>5001</v>
      </c>
      <c r="AD120" s="1345" t="s">
        <v>1811</v>
      </c>
    </row>
    <row r="121" spans="1:30" ht="13.5" customHeight="1" x14ac:dyDescent="0.25">
      <c r="A121" s="710" t="s">
        <v>1009</v>
      </c>
      <c r="B121" s="723"/>
      <c r="C121" s="1360">
        <f>-SUMIFS(Sheet1!S71_OriginalBudget,Sheet1!S71_A2SubCode,$AC:$AC,Sheet1!S71_ItemType,$AD:$AD)</f>
        <v>0</v>
      </c>
      <c r="D121" s="1356">
        <f>-SUMIFS(Sheet1!S71_SpecialAdjustedBudget,Sheet1!S71_A2SubCode,$AC:$AC,Sheet1!S71_ItemType,$AD:$AD)</f>
        <v>0</v>
      </c>
      <c r="E121" s="1356"/>
      <c r="F121" s="1356"/>
      <c r="G121" s="1356"/>
      <c r="H121" s="1356"/>
      <c r="I121" s="1356">
        <f>SUMIFS(Sheet1!S71_AdjustmentAmount,Sheet1!S71_A2SubCode,$AC:$AC,Sheet1!S71_ItemType,$AD:$AD)</f>
        <v>0</v>
      </c>
      <c r="J121" s="171">
        <f t="shared" si="13"/>
        <v>0</v>
      </c>
      <c r="K121" s="171">
        <f t="shared" si="14"/>
        <v>0</v>
      </c>
      <c r="L121" s="1356">
        <f>-SUMIFS(Sheet1!S71_OY1AdjustedBudget,Sheet1!S71_A2SubCode,$AC:$AC,Sheet1!S71_ItemType,$AD:$AD)</f>
        <v>0</v>
      </c>
      <c r="M121" s="1357">
        <f>-SUMIFS(Sheet1!S71_OY2AdjustedBudget,Sheet1!S71_A2SubCode,$AC:$AC,Sheet1!S71_ItemType,$AD:$AD)</f>
        <v>0</v>
      </c>
      <c r="N121" s="126"/>
      <c r="AC121" s="1345">
        <v>5002</v>
      </c>
      <c r="AD121" s="1345" t="s">
        <v>1811</v>
      </c>
    </row>
    <row r="122" spans="1:30" ht="13.5" customHeight="1" x14ac:dyDescent="0.25">
      <c r="A122" s="710" t="s">
        <v>1559</v>
      </c>
      <c r="B122" s="723"/>
      <c r="C122" s="1360">
        <f>-SUMIFS(Sheet1!S71_OriginalBudget,Sheet1!S71_A2SubCode,$AC:$AC,Sheet1!S71_ItemType,$AD:$AD)</f>
        <v>0</v>
      </c>
      <c r="D122" s="1356">
        <f>-SUMIFS(Sheet1!S71_SpecialAdjustedBudget,Sheet1!S71_A2SubCode,$AC:$AC,Sheet1!S71_ItemType,$AD:$AD)</f>
        <v>0</v>
      </c>
      <c r="E122" s="1356"/>
      <c r="F122" s="1356"/>
      <c r="G122" s="1356"/>
      <c r="H122" s="1356"/>
      <c r="I122" s="1356">
        <f>SUMIFS(Sheet1!S71_AdjustmentAmount,Sheet1!S71_A2SubCode,$AC:$AC,Sheet1!S71_ItemType,$AD:$AD)</f>
        <v>0</v>
      </c>
      <c r="J122" s="171">
        <f t="shared" si="13"/>
        <v>0</v>
      </c>
      <c r="K122" s="171">
        <f t="shared" si="14"/>
        <v>0</v>
      </c>
      <c r="L122" s="1356">
        <f>-SUMIFS(Sheet1!S71_OY1AdjustedBudget,Sheet1!S71_A2SubCode,$AC:$AC,Sheet1!S71_ItemType,$AD:$AD)</f>
        <v>0</v>
      </c>
      <c r="M122" s="1357">
        <f>-SUMIFS(Sheet1!S71_OY2AdjustedBudget,Sheet1!S71_A2SubCode,$AC:$AC,Sheet1!S71_ItemType,$AD:$AD)</f>
        <v>0</v>
      </c>
      <c r="N122" s="126"/>
      <c r="AC122" s="1345">
        <v>5003</v>
      </c>
      <c r="AD122" s="1345" t="s">
        <v>1811</v>
      </c>
    </row>
    <row r="123" spans="1:30" ht="13.5" customHeight="1" x14ac:dyDescent="0.25">
      <c r="A123" s="710" t="s">
        <v>1560</v>
      </c>
      <c r="B123" s="722"/>
      <c r="C123" s="1360">
        <f>-SUMIFS(Sheet1!S71_OriginalBudget,Sheet1!S71_A2SubCode,$AC:$AC,Sheet1!S71_ItemType,$AD:$AD)</f>
        <v>7121110</v>
      </c>
      <c r="D123" s="1356">
        <f>-SUMIFS(Sheet1!S71_SpecialAdjustedBudget,Sheet1!S71_A2SubCode,$AC:$AC,Sheet1!S71_ItemType,$AD:$AD)</f>
        <v>7121110</v>
      </c>
      <c r="E123" s="1356"/>
      <c r="F123" s="1356"/>
      <c r="G123" s="1356"/>
      <c r="H123" s="1356"/>
      <c r="I123" s="1356">
        <f>SUMIFS(Sheet1!S71_AdjustmentAmount,Sheet1!S71_A2SubCode,$AC:$AC,Sheet1!S71_ItemType,$AD:$AD)</f>
        <v>1200</v>
      </c>
      <c r="J123" s="171">
        <f t="shared" si="13"/>
        <v>1200</v>
      </c>
      <c r="K123" s="171">
        <f t="shared" si="14"/>
        <v>7122310</v>
      </c>
      <c r="L123" s="1356">
        <f>-SUMIFS(Sheet1!S71_OY1AdjustedBudget,Sheet1!S71_A2SubCode,$AC:$AC,Sheet1!S71_ItemType,$AD:$AD)</f>
        <v>7548377</v>
      </c>
      <c r="M123" s="1357">
        <f>-SUMIFS(Sheet1!S71_OY2AdjustedBudget,Sheet1!S71_A2SubCode,$AC:$AC,Sheet1!S71_ItemType,$AD:$AD)</f>
        <v>8001279</v>
      </c>
      <c r="N123" s="126"/>
      <c r="AC123" s="1345">
        <v>5004</v>
      </c>
      <c r="AD123" s="1345" t="s">
        <v>1811</v>
      </c>
    </row>
    <row r="124" spans="1:30" ht="13.5" customHeight="1" x14ac:dyDescent="0.25">
      <c r="A124" s="710" t="s">
        <v>510</v>
      </c>
      <c r="B124" s="722"/>
      <c r="C124" s="1360">
        <f>-SUMIFS(Sheet1!S71_OriginalBudget,Sheet1!S71_A2SubCode,$AC:$AC,Sheet1!S71_ItemType,$AD:$AD)</f>
        <v>0</v>
      </c>
      <c r="D124" s="1356">
        <f>-SUMIFS(Sheet1!S71_SpecialAdjustedBudget,Sheet1!S71_A2SubCode,$AC:$AC,Sheet1!S71_ItemType,$AD:$AD)</f>
        <v>0</v>
      </c>
      <c r="E124" s="1356"/>
      <c r="F124" s="1356"/>
      <c r="G124" s="1356"/>
      <c r="H124" s="1356"/>
      <c r="I124" s="1356">
        <f>SUMIFS(Sheet1!S71_AdjustmentAmount,Sheet1!S71_A2SubCode,$AC:$AC,Sheet1!S71_ItemType,$AD:$AD)</f>
        <v>0</v>
      </c>
      <c r="J124" s="171">
        <f t="shared" si="13"/>
        <v>0</v>
      </c>
      <c r="K124" s="171">
        <f t="shared" si="14"/>
        <v>0</v>
      </c>
      <c r="L124" s="1356">
        <f>-SUMIFS(Sheet1!S71_OY1AdjustedBudget,Sheet1!S71_A2SubCode,$AC:$AC,Sheet1!S71_ItemType,$AD:$AD)</f>
        <v>0</v>
      </c>
      <c r="M124" s="1357">
        <f>-SUMIFS(Sheet1!S71_OY2AdjustedBudget,Sheet1!S71_A2SubCode,$AC:$AC,Sheet1!S71_ItemType,$AD:$AD)</f>
        <v>0</v>
      </c>
      <c r="N124" s="126"/>
      <c r="AC124" s="1345">
        <v>5005</v>
      </c>
      <c r="AD124" s="1345" t="s">
        <v>1811</v>
      </c>
    </row>
    <row r="125" spans="1:30" ht="13.5" customHeight="1" x14ac:dyDescent="0.25">
      <c r="A125" s="710" t="s">
        <v>1010</v>
      </c>
      <c r="B125" s="722"/>
      <c r="C125" s="1360">
        <f>-SUMIFS(Sheet1!S71_OriginalBudget,Sheet1!S71_A2SubCode,$AC:$AC,Sheet1!S71_ItemType,$AD:$AD)</f>
        <v>0</v>
      </c>
      <c r="D125" s="1356">
        <f>-SUMIFS(Sheet1!S71_SpecialAdjustedBudget,Sheet1!S71_A2SubCode,$AC:$AC,Sheet1!S71_ItemType,$AD:$AD)</f>
        <v>0</v>
      </c>
      <c r="E125" s="1356"/>
      <c r="F125" s="1356"/>
      <c r="G125" s="1356"/>
      <c r="H125" s="1356"/>
      <c r="I125" s="1356">
        <f>SUMIFS(Sheet1!S71_AdjustmentAmount,Sheet1!S71_A2SubCode,$AC:$AC,Sheet1!S71_ItemType,$AD:$AD)</f>
        <v>0</v>
      </c>
      <c r="J125" s="171">
        <f t="shared" si="13"/>
        <v>0</v>
      </c>
      <c r="K125" s="171">
        <f t="shared" si="14"/>
        <v>0</v>
      </c>
      <c r="L125" s="1356">
        <f>-SUMIFS(Sheet1!S71_OY1AdjustedBudget,Sheet1!S71_A2SubCode,$AC:$AC,Sheet1!S71_ItemType,$AD:$AD)</f>
        <v>0</v>
      </c>
      <c r="M125" s="1357">
        <f>-SUMIFS(Sheet1!S71_OY2AdjustedBudget,Sheet1!S71_A2SubCode,$AC:$AC,Sheet1!S71_ItemType,$AD:$AD)</f>
        <v>0</v>
      </c>
      <c r="N125" s="126"/>
      <c r="AC125" s="1345">
        <v>5006</v>
      </c>
      <c r="AD125" s="1345" t="s">
        <v>1811</v>
      </c>
    </row>
    <row r="126" spans="1:30" ht="13.5" customHeight="1" x14ac:dyDescent="0.25">
      <c r="A126" s="276" t="str">
        <f>"Total "&amp;A6</f>
        <v>Total Revenue - Functional</v>
      </c>
      <c r="B126" s="722">
        <v>2</v>
      </c>
      <c r="C126" s="572">
        <f t="shared" ref="C126:I126" si="25">C7+C27+C76+C100+C119</f>
        <v>124222455</v>
      </c>
      <c r="D126" s="570">
        <f t="shared" si="25"/>
        <v>136627455</v>
      </c>
      <c r="E126" s="570">
        <f t="shared" si="25"/>
        <v>0</v>
      </c>
      <c r="F126" s="570">
        <f t="shared" si="25"/>
        <v>0</v>
      </c>
      <c r="G126" s="570">
        <f t="shared" si="25"/>
        <v>0</v>
      </c>
      <c r="H126" s="570">
        <f t="shared" si="25"/>
        <v>0</v>
      </c>
      <c r="I126" s="570">
        <f t="shared" si="25"/>
        <v>-924410</v>
      </c>
      <c r="J126" s="570">
        <f t="shared" si="13"/>
        <v>-924410</v>
      </c>
      <c r="K126" s="570">
        <f t="shared" si="14"/>
        <v>135703045</v>
      </c>
      <c r="L126" s="570">
        <f>L7+L27+L76+L100+L119</f>
        <v>131138703</v>
      </c>
      <c r="M126" s="712">
        <f>M7+M27+M76+M100+M119</f>
        <v>138782873</v>
      </c>
      <c r="N126" s="126"/>
    </row>
    <row r="127" spans="1:30" ht="6" customHeight="1" x14ac:dyDescent="0.25">
      <c r="A127" s="275"/>
      <c r="B127" s="722"/>
      <c r="C127" s="238"/>
      <c r="D127" s="75"/>
      <c r="E127" s="75"/>
      <c r="F127" s="75"/>
      <c r="G127" s="75"/>
      <c r="H127" s="75"/>
      <c r="I127" s="75"/>
      <c r="J127" s="169">
        <f t="shared" si="13"/>
        <v>0</v>
      </c>
      <c r="K127" s="169">
        <f t="shared" si="14"/>
        <v>0</v>
      </c>
      <c r="L127" s="75"/>
      <c r="M127" s="76"/>
      <c r="N127" s="126"/>
    </row>
    <row r="128" spans="1:30" ht="13.5" customHeight="1" x14ac:dyDescent="0.25">
      <c r="A128" s="253" t="s">
        <v>1562</v>
      </c>
      <c r="B128" s="724"/>
      <c r="C128" s="238"/>
      <c r="D128" s="75"/>
      <c r="E128" s="75"/>
      <c r="F128" s="75"/>
      <c r="G128" s="75"/>
      <c r="H128" s="75"/>
      <c r="I128" s="75"/>
      <c r="J128" s="169">
        <f t="shared" si="13"/>
        <v>0</v>
      </c>
      <c r="K128" s="169">
        <f t="shared" si="14"/>
        <v>0</v>
      </c>
      <c r="L128" s="75"/>
      <c r="M128" s="76"/>
      <c r="N128" s="126"/>
    </row>
    <row r="129" spans="1:30" ht="13.5" customHeight="1" x14ac:dyDescent="0.25">
      <c r="A129" s="107" t="str">
        <f t="shared" ref="A129:A160" si="26">A7</f>
        <v>Municipal governance and administration</v>
      </c>
      <c r="B129" s="724"/>
      <c r="C129" s="708">
        <f t="shared" ref="C129:I129" si="27">C130+C133+C147</f>
        <v>69553541</v>
      </c>
      <c r="D129" s="707">
        <f t="shared" si="27"/>
        <v>69553541</v>
      </c>
      <c r="E129" s="707">
        <f t="shared" si="27"/>
        <v>0</v>
      </c>
      <c r="F129" s="707">
        <f t="shared" si="27"/>
        <v>0</v>
      </c>
      <c r="G129" s="707">
        <f t="shared" si="27"/>
        <v>0</v>
      </c>
      <c r="H129" s="707">
        <f t="shared" si="27"/>
        <v>0</v>
      </c>
      <c r="I129" s="707">
        <f t="shared" si="27"/>
        <v>8965000</v>
      </c>
      <c r="J129" s="707">
        <f t="shared" si="13"/>
        <v>8965000</v>
      </c>
      <c r="K129" s="707">
        <f t="shared" si="14"/>
        <v>78518541</v>
      </c>
      <c r="L129" s="707">
        <f>L130+L133+L147</f>
        <v>74873961</v>
      </c>
      <c r="M129" s="709">
        <f>M130+M133+M147</f>
        <v>79654696</v>
      </c>
      <c r="N129" s="126"/>
    </row>
    <row r="130" spans="1:30" ht="13.5" customHeight="1" x14ac:dyDescent="0.25">
      <c r="A130" s="710" t="str">
        <f t="shared" si="26"/>
        <v>Executive and council</v>
      </c>
      <c r="B130" s="724"/>
      <c r="C130" s="700">
        <f t="shared" ref="C130:I130" si="28">SUM(C131:C132)</f>
        <v>19001756</v>
      </c>
      <c r="D130" s="263">
        <f t="shared" si="28"/>
        <v>19001756</v>
      </c>
      <c r="E130" s="263">
        <f t="shared" si="28"/>
        <v>0</v>
      </c>
      <c r="F130" s="263">
        <f t="shared" si="28"/>
        <v>0</v>
      </c>
      <c r="G130" s="263">
        <f t="shared" si="28"/>
        <v>0</v>
      </c>
      <c r="H130" s="263">
        <f t="shared" si="28"/>
        <v>0</v>
      </c>
      <c r="I130" s="263">
        <f t="shared" si="28"/>
        <v>2400000</v>
      </c>
      <c r="J130" s="263">
        <f t="shared" si="13"/>
        <v>2400000</v>
      </c>
      <c r="K130" s="263">
        <f t="shared" si="14"/>
        <v>21401756</v>
      </c>
      <c r="L130" s="263">
        <f>SUM(L131:L132)</f>
        <v>20458851</v>
      </c>
      <c r="M130" s="264">
        <f>SUM(M131:M132)</f>
        <v>21284098</v>
      </c>
      <c r="N130" s="126"/>
    </row>
    <row r="131" spans="1:30" ht="13.5" customHeight="1" x14ac:dyDescent="0.25">
      <c r="A131" s="830" t="str">
        <f t="shared" si="26"/>
        <v>Mayor and Council</v>
      </c>
      <c r="B131" s="724"/>
      <c r="C131" s="1360">
        <f>SUMIFS(Sheet1!S71_OriginalBudget,Sheet1!S71_A2SubCode,$AC:$AC,Sheet1!S71_ItemType,$AD:$AD)</f>
        <v>7456921</v>
      </c>
      <c r="D131" s="1356">
        <f>SUMIFS(Sheet1!S71_SpecialAdjustedBudget,Sheet1!S71_A2SubCode,$AC:$AC,Sheet1!S71_ItemType,$AD:$AD)</f>
        <v>7456921</v>
      </c>
      <c r="E131" s="1356"/>
      <c r="F131" s="1356"/>
      <c r="G131" s="1356"/>
      <c r="H131" s="1356"/>
      <c r="I131" s="1356">
        <f>SUMIFS(Sheet1!S71_AdjustmentAmount,Sheet1!S71_A2SubCode,$AC:$AC,Sheet1!S71_ItemType,$AD:$AD)</f>
        <v>300000</v>
      </c>
      <c r="J131" s="171">
        <f t="shared" si="13"/>
        <v>300000</v>
      </c>
      <c r="K131" s="171">
        <f t="shared" si="14"/>
        <v>7756921</v>
      </c>
      <c r="L131" s="1356">
        <f>SUMIFS(Sheet1!S71_OY1AdjustedBudget,Sheet1!S71_A2SubCode,$AC:$AC,Sheet1!S71_ItemType,$AD:$AD)</f>
        <v>7767855</v>
      </c>
      <c r="M131" s="1357">
        <f>SUMIFS(Sheet1!S71_OY2AdjustedBudget,Sheet1!S71_A2SubCode,$AC:$AC,Sheet1!S71_ItemType,$AD:$AD)</f>
        <v>7935974</v>
      </c>
      <c r="N131" s="126"/>
      <c r="AC131" s="1345">
        <v>1110</v>
      </c>
      <c r="AD131" s="1345" t="s">
        <v>1812</v>
      </c>
    </row>
    <row r="132" spans="1:30" ht="13.5" customHeight="1" x14ac:dyDescent="0.25">
      <c r="A132" s="830" t="str">
        <f t="shared" si="26"/>
        <v>Municipal Manager, Town Secretary and Chief Executive</v>
      </c>
      <c r="B132" s="724"/>
      <c r="C132" s="1360">
        <f>SUMIFS(Sheet1!S71_OriginalBudget,Sheet1!S71_A2SubCode,$AC:$AC,Sheet1!S71_ItemType,$AD:$AD)</f>
        <v>11544835</v>
      </c>
      <c r="D132" s="1356">
        <f>SUMIFS(Sheet1!S71_SpecialAdjustedBudget,Sheet1!S71_A2SubCode,$AC:$AC,Sheet1!S71_ItemType,$AD:$AD)</f>
        <v>11544835</v>
      </c>
      <c r="E132" s="1356"/>
      <c r="F132" s="1356"/>
      <c r="G132" s="1356"/>
      <c r="H132" s="1356"/>
      <c r="I132" s="1356">
        <f>SUMIFS(Sheet1!S71_AdjustmentAmount,Sheet1!S71_A2SubCode,$AC:$AC,Sheet1!S71_ItemType,$AD:$AD)</f>
        <v>2100000</v>
      </c>
      <c r="J132" s="171">
        <f t="shared" si="13"/>
        <v>2100000</v>
      </c>
      <c r="K132" s="171">
        <f t="shared" si="14"/>
        <v>13644835</v>
      </c>
      <c r="L132" s="1356">
        <f>SUMIFS(Sheet1!S71_OY1AdjustedBudget,Sheet1!S71_A2SubCode,$AC:$AC,Sheet1!S71_ItemType,$AD:$AD)</f>
        <v>12690996</v>
      </c>
      <c r="M132" s="1357">
        <f>SUMIFS(Sheet1!S71_OY2AdjustedBudget,Sheet1!S71_A2SubCode,$AC:$AC,Sheet1!S71_ItemType,$AD:$AD)</f>
        <v>13348124</v>
      </c>
      <c r="N132" s="126"/>
      <c r="AC132" s="1345">
        <v>1120</v>
      </c>
      <c r="AD132" s="1345" t="s">
        <v>1812</v>
      </c>
    </row>
    <row r="133" spans="1:30" ht="13.5" customHeight="1" x14ac:dyDescent="0.25">
      <c r="A133" s="710" t="str">
        <f t="shared" si="26"/>
        <v>Finance and administration</v>
      </c>
      <c r="B133" s="724"/>
      <c r="C133" s="700">
        <f t="shared" ref="C133:I133" si="29">SUM(C134:C146)</f>
        <v>50551785</v>
      </c>
      <c r="D133" s="263">
        <f t="shared" si="29"/>
        <v>50551785</v>
      </c>
      <c r="E133" s="263">
        <f t="shared" si="29"/>
        <v>0</v>
      </c>
      <c r="F133" s="263">
        <f t="shared" si="29"/>
        <v>0</v>
      </c>
      <c r="G133" s="263">
        <f t="shared" si="29"/>
        <v>0</v>
      </c>
      <c r="H133" s="263">
        <f t="shared" si="29"/>
        <v>0</v>
      </c>
      <c r="I133" s="263">
        <f t="shared" si="29"/>
        <v>6565000</v>
      </c>
      <c r="J133" s="263">
        <f t="shared" si="13"/>
        <v>6565000</v>
      </c>
      <c r="K133" s="263">
        <f t="shared" si="14"/>
        <v>57116785</v>
      </c>
      <c r="L133" s="263">
        <f>SUM(L134:L146)</f>
        <v>54415110</v>
      </c>
      <c r="M133" s="264">
        <f>SUM(M134:M146)</f>
        <v>58370598</v>
      </c>
      <c r="N133" s="126"/>
    </row>
    <row r="134" spans="1:30" ht="12.6" customHeight="1" x14ac:dyDescent="0.25">
      <c r="A134" s="830" t="str">
        <f t="shared" si="26"/>
        <v>Administrative and Corporate Support</v>
      </c>
      <c r="B134" s="724"/>
      <c r="C134" s="1360">
        <f>SUMIFS(Sheet1!S71_OriginalBudget,Sheet1!S71_A2SubCode,$AC:$AC,Sheet1!S71_ItemType,$AD:$AD)</f>
        <v>11894526</v>
      </c>
      <c r="D134" s="1356">
        <f>SUMIFS(Sheet1!S71_SpecialAdjustedBudget,Sheet1!S71_A2SubCode,$AC:$AC,Sheet1!S71_ItemType,$AD:$AD)</f>
        <v>11894526</v>
      </c>
      <c r="E134" s="1356"/>
      <c r="F134" s="1356"/>
      <c r="G134" s="1356"/>
      <c r="H134" s="1356"/>
      <c r="I134" s="1356">
        <f>SUMIFS(Sheet1!S71_AdjustmentAmount,Sheet1!S71_A2SubCode,$AC:$AC,Sheet1!S71_ItemType,$AD:$AD)</f>
        <v>-174500</v>
      </c>
      <c r="J134" s="171">
        <f t="shared" si="13"/>
        <v>-174500</v>
      </c>
      <c r="K134" s="171">
        <f t="shared" si="14"/>
        <v>11720026</v>
      </c>
      <c r="L134" s="1356">
        <f>SUMIFS(Sheet1!S71_OY1AdjustedBudget,Sheet1!S71_A2SubCode,$AC:$AC,Sheet1!S71_ItemType,$AD:$AD)</f>
        <v>12692221</v>
      </c>
      <c r="M134" s="1357">
        <f>SUMIFS(Sheet1!S71_OY2AdjustedBudget,Sheet1!S71_A2SubCode,$AC:$AC,Sheet1!S71_ItemType,$AD:$AD)</f>
        <v>12847030</v>
      </c>
      <c r="N134" s="126"/>
      <c r="AC134" s="1345">
        <v>1201</v>
      </c>
      <c r="AD134" s="1345" t="s">
        <v>1812</v>
      </c>
    </row>
    <row r="135" spans="1:30" ht="12.6" customHeight="1" x14ac:dyDescent="0.25">
      <c r="A135" s="830" t="str">
        <f t="shared" si="26"/>
        <v>Asset Management</v>
      </c>
      <c r="B135" s="724"/>
      <c r="C135" s="1360">
        <f>SUMIFS(Sheet1!S71_OriginalBudget,Sheet1!S71_A2SubCode,$AC:$AC,Sheet1!S71_ItemType,$AD:$AD)</f>
        <v>13173339</v>
      </c>
      <c r="D135" s="1356">
        <f>SUMIFS(Sheet1!S71_SpecialAdjustedBudget,Sheet1!S71_A2SubCode,$AC:$AC,Sheet1!S71_ItemType,$AD:$AD)</f>
        <v>13173339</v>
      </c>
      <c r="E135" s="1356"/>
      <c r="F135" s="1356"/>
      <c r="G135" s="1356"/>
      <c r="H135" s="1356"/>
      <c r="I135" s="1356">
        <f>SUMIFS(Sheet1!S71_AdjustmentAmount,Sheet1!S71_A2SubCode,$AC:$AC,Sheet1!S71_ItemType,$AD:$AD)</f>
        <v>5819500</v>
      </c>
      <c r="J135" s="171">
        <f t="shared" ref="J135:J198" si="30">SUM(E135:I135)</f>
        <v>5819500</v>
      </c>
      <c r="K135" s="171">
        <f t="shared" si="14"/>
        <v>18992839</v>
      </c>
      <c r="L135" s="1356">
        <f>SUMIFS(Sheet1!S71_OY1AdjustedBudget,Sheet1!S71_A2SubCode,$AC:$AC,Sheet1!S71_ItemType,$AD:$AD)</f>
        <v>14490674</v>
      </c>
      <c r="M135" s="1357">
        <f>SUMIFS(Sheet1!S71_OY2AdjustedBudget,Sheet1!S71_A2SubCode,$AC:$AC,Sheet1!S71_ItemType,$AD:$AD)</f>
        <v>15939740</v>
      </c>
      <c r="N135" s="126"/>
      <c r="AC135" s="1345">
        <v>1202</v>
      </c>
      <c r="AD135" s="1345" t="s">
        <v>1812</v>
      </c>
    </row>
    <row r="136" spans="1:30" ht="12.6" customHeight="1" x14ac:dyDescent="0.25">
      <c r="A136" s="830" t="str">
        <f t="shared" si="26"/>
        <v>Finance</v>
      </c>
      <c r="B136" s="724"/>
      <c r="C136" s="1360">
        <f>SUMIFS(Sheet1!S71_OriginalBudget,Sheet1!S71_A2SubCode,$AC:$AC,Sheet1!S71_ItemType,$AD:$AD)</f>
        <v>17834080</v>
      </c>
      <c r="D136" s="1356">
        <f>SUMIFS(Sheet1!S71_SpecialAdjustedBudget,Sheet1!S71_A2SubCode,$AC:$AC,Sheet1!S71_ItemType,$AD:$AD)</f>
        <v>17834080</v>
      </c>
      <c r="E136" s="1356"/>
      <c r="F136" s="1356"/>
      <c r="G136" s="1356"/>
      <c r="H136" s="1356"/>
      <c r="I136" s="1356">
        <f>SUMIFS(Sheet1!S71_AdjustmentAmount,Sheet1!S71_A2SubCode,$AC:$AC,Sheet1!S71_ItemType,$AD:$AD)</f>
        <v>200000</v>
      </c>
      <c r="J136" s="171">
        <f t="shared" si="30"/>
        <v>200000</v>
      </c>
      <c r="K136" s="171">
        <f t="shared" ref="K136:K201" si="31">IF(D136=0,C136+J136,D136+J136)</f>
        <v>18034080</v>
      </c>
      <c r="L136" s="1356">
        <f>SUMIFS(Sheet1!S71_OY1AdjustedBudget,Sheet1!S71_A2SubCode,$AC:$AC,Sheet1!S71_ItemType,$AD:$AD)</f>
        <v>19487559</v>
      </c>
      <c r="M136" s="1357">
        <f>SUMIFS(Sheet1!S71_OY2AdjustedBudget,Sheet1!S71_A2SubCode,$AC:$AC,Sheet1!S71_ItemType,$AD:$AD)</f>
        <v>21307363</v>
      </c>
      <c r="N136" s="126"/>
      <c r="AC136" s="1345">
        <v>1204</v>
      </c>
      <c r="AD136" s="1345" t="s">
        <v>1812</v>
      </c>
    </row>
    <row r="137" spans="1:30" ht="13.5" customHeight="1" x14ac:dyDescent="0.25">
      <c r="A137" s="830" t="str">
        <f t="shared" si="26"/>
        <v>Fleet Management</v>
      </c>
      <c r="B137" s="724"/>
      <c r="C137" s="1360">
        <f>SUMIFS(Sheet1!S71_OriginalBudget,Sheet1!S71_A2SubCode,$AC:$AC,Sheet1!S71_ItemType,$AD:$AD)</f>
        <v>910000</v>
      </c>
      <c r="D137" s="1356">
        <f>SUMIFS(Sheet1!S71_SpecialAdjustedBudget,Sheet1!S71_A2SubCode,$AC:$AC,Sheet1!S71_ItemType,$AD:$AD)</f>
        <v>910000</v>
      </c>
      <c r="E137" s="1356"/>
      <c r="F137" s="1356"/>
      <c r="G137" s="1356"/>
      <c r="H137" s="1356"/>
      <c r="I137" s="1356">
        <f>SUMIFS(Sheet1!S71_AdjustmentAmount,Sheet1!S71_A2SubCode,$AC:$AC,Sheet1!S71_ItemType,$AD:$AD)</f>
        <v>660000</v>
      </c>
      <c r="J137" s="171">
        <f t="shared" si="30"/>
        <v>660000</v>
      </c>
      <c r="K137" s="171">
        <f t="shared" si="31"/>
        <v>1570000</v>
      </c>
      <c r="L137" s="1356">
        <f>SUMIFS(Sheet1!S71_OY1AdjustedBudget,Sheet1!S71_A2SubCode,$AC:$AC,Sheet1!S71_ItemType,$AD:$AD)</f>
        <v>964600</v>
      </c>
      <c r="M137" s="1357">
        <f>SUMIFS(Sheet1!S71_OY2AdjustedBudget,Sheet1!S71_A2SubCode,$AC:$AC,Sheet1!S71_ItemType,$AD:$AD)</f>
        <v>1022476</v>
      </c>
      <c r="N137" s="126"/>
      <c r="AC137" s="1345">
        <v>1205</v>
      </c>
      <c r="AD137" s="1345" t="s">
        <v>1812</v>
      </c>
    </row>
    <row r="138" spans="1:30" ht="13.5" customHeight="1" x14ac:dyDescent="0.25">
      <c r="A138" s="830" t="str">
        <f t="shared" si="26"/>
        <v>Human Resources</v>
      </c>
      <c r="B138" s="724"/>
      <c r="C138" s="1360">
        <f>SUMIFS(Sheet1!S71_OriginalBudget,Sheet1!S71_A2SubCode,$AC:$AC,Sheet1!S71_ItemType,$AD:$AD)</f>
        <v>1099190</v>
      </c>
      <c r="D138" s="1356">
        <f>SUMIFS(Sheet1!S71_SpecialAdjustedBudget,Sheet1!S71_A2SubCode,$AC:$AC,Sheet1!S71_ItemType,$AD:$AD)</f>
        <v>1099190</v>
      </c>
      <c r="E138" s="1356"/>
      <c r="F138" s="1356"/>
      <c r="G138" s="1356"/>
      <c r="H138" s="1356"/>
      <c r="I138" s="1356">
        <f>SUMIFS(Sheet1!S71_AdjustmentAmount,Sheet1!S71_A2SubCode,$AC:$AC,Sheet1!S71_ItemType,$AD:$AD)</f>
        <v>-160000</v>
      </c>
      <c r="J138" s="171">
        <f t="shared" si="30"/>
        <v>-160000</v>
      </c>
      <c r="K138" s="171">
        <f t="shared" si="31"/>
        <v>939190</v>
      </c>
      <c r="L138" s="1356">
        <f>SUMIFS(Sheet1!S71_OY1AdjustedBudget,Sheet1!S71_A2SubCode,$AC:$AC,Sheet1!S71_ItemType,$AD:$AD)</f>
        <v>1165141</v>
      </c>
      <c r="M138" s="1357">
        <f>SUMIFS(Sheet1!S71_OY2AdjustedBudget,Sheet1!S71_A2SubCode,$AC:$AC,Sheet1!S71_ItemType,$AD:$AD)</f>
        <v>1235050</v>
      </c>
      <c r="N138" s="126"/>
      <c r="AC138" s="1345">
        <v>1206</v>
      </c>
      <c r="AD138" s="1345" t="s">
        <v>1812</v>
      </c>
    </row>
    <row r="139" spans="1:30" ht="13.5" customHeight="1" x14ac:dyDescent="0.25">
      <c r="A139" s="830" t="str">
        <f t="shared" si="26"/>
        <v>Information Technology</v>
      </c>
      <c r="B139" s="724"/>
      <c r="C139" s="1360">
        <f>SUMIFS(Sheet1!S71_OriginalBudget,Sheet1!S71_A2SubCode,$AC:$AC,Sheet1!S71_ItemType,$AD:$AD)</f>
        <v>1595000</v>
      </c>
      <c r="D139" s="1356">
        <f>SUMIFS(Sheet1!S71_SpecialAdjustedBudget,Sheet1!S71_A2SubCode,$AC:$AC,Sheet1!S71_ItemType,$AD:$AD)</f>
        <v>1595000</v>
      </c>
      <c r="E139" s="1356"/>
      <c r="F139" s="1356"/>
      <c r="G139" s="1356"/>
      <c r="H139" s="1356"/>
      <c r="I139" s="1356">
        <f>SUMIFS(Sheet1!S71_AdjustmentAmount,Sheet1!S71_A2SubCode,$AC:$AC,Sheet1!S71_ItemType,$AD:$AD)</f>
        <v>720000</v>
      </c>
      <c r="J139" s="171">
        <f t="shared" si="30"/>
        <v>720000</v>
      </c>
      <c r="K139" s="171">
        <f t="shared" si="31"/>
        <v>2315000</v>
      </c>
      <c r="L139" s="1356">
        <f>SUMIFS(Sheet1!S71_OY1AdjustedBudget,Sheet1!S71_A2SubCode,$AC:$AC,Sheet1!S71_ItemType,$AD:$AD)</f>
        <v>1690700</v>
      </c>
      <c r="M139" s="1357">
        <f>SUMIFS(Sheet1!S71_OY2AdjustedBudget,Sheet1!S71_A2SubCode,$AC:$AC,Sheet1!S71_ItemType,$AD:$AD)</f>
        <v>1792142</v>
      </c>
      <c r="N139" s="126"/>
      <c r="AC139" s="1345">
        <v>1207</v>
      </c>
      <c r="AD139" s="1345" t="s">
        <v>1812</v>
      </c>
    </row>
    <row r="140" spans="1:30" ht="13.5" customHeight="1" x14ac:dyDescent="0.25">
      <c r="A140" s="830" t="str">
        <f t="shared" si="26"/>
        <v>Legal Services</v>
      </c>
      <c r="B140" s="724"/>
      <c r="C140" s="1360">
        <f>SUMIFS(Sheet1!S71_OriginalBudget,Sheet1!S71_A2SubCode,$AC:$AC,Sheet1!S71_ItemType,$AD:$AD)</f>
        <v>500000</v>
      </c>
      <c r="D140" s="1356">
        <f>SUMIFS(Sheet1!S71_SpecialAdjustedBudget,Sheet1!S71_A2SubCode,$AC:$AC,Sheet1!S71_ItemType,$AD:$AD)</f>
        <v>500000</v>
      </c>
      <c r="E140" s="1356"/>
      <c r="F140" s="1356"/>
      <c r="G140" s="1356"/>
      <c r="H140" s="1356"/>
      <c r="I140" s="1356">
        <f>SUMIFS(Sheet1!S71_AdjustmentAmount,Sheet1!S71_A2SubCode,$AC:$AC,Sheet1!S71_ItemType,$AD:$AD)</f>
        <v>0</v>
      </c>
      <c r="J140" s="171">
        <f t="shared" si="30"/>
        <v>0</v>
      </c>
      <c r="K140" s="171">
        <f t="shared" si="31"/>
        <v>500000</v>
      </c>
      <c r="L140" s="1356">
        <f>SUMIFS(Sheet1!S71_OY1AdjustedBudget,Sheet1!S71_A2SubCode,$AC:$AC,Sheet1!S71_ItemType,$AD:$AD)</f>
        <v>530000</v>
      </c>
      <c r="M140" s="1357">
        <f>SUMIFS(Sheet1!S71_OY2AdjustedBudget,Sheet1!S71_A2SubCode,$AC:$AC,Sheet1!S71_ItemType,$AD:$AD)</f>
        <v>561800</v>
      </c>
      <c r="N140" s="126"/>
      <c r="AC140" s="1345">
        <v>1208</v>
      </c>
      <c r="AD140" s="1345" t="s">
        <v>1812</v>
      </c>
    </row>
    <row r="141" spans="1:30" ht="13.5" customHeight="1" x14ac:dyDescent="0.25">
      <c r="A141" s="830" t="str">
        <f t="shared" si="26"/>
        <v>Marketing, Customer Relations, Publicity and Media Co-ordination</v>
      </c>
      <c r="B141" s="724"/>
      <c r="C141" s="1360">
        <f>SUMIFS(Sheet1!S71_OriginalBudget,Sheet1!S71_A2SubCode,$AC:$AC,Sheet1!S71_ItemType,$AD:$AD)</f>
        <v>0</v>
      </c>
      <c r="D141" s="1356">
        <f>SUMIFS(Sheet1!S71_SpecialAdjustedBudget,Sheet1!S71_A2SubCode,$AC:$AC,Sheet1!S71_ItemType,$AD:$AD)</f>
        <v>0</v>
      </c>
      <c r="E141" s="1356"/>
      <c r="F141" s="1356"/>
      <c r="G141" s="1356"/>
      <c r="H141" s="1356"/>
      <c r="I141" s="1356">
        <f>SUMIFS(Sheet1!S71_AdjustmentAmount,Sheet1!S71_A2SubCode,$AC:$AC,Sheet1!S71_ItemType,$AD:$AD)</f>
        <v>0</v>
      </c>
      <c r="J141" s="171">
        <f t="shared" si="30"/>
        <v>0</v>
      </c>
      <c r="K141" s="171">
        <f t="shared" si="31"/>
        <v>0</v>
      </c>
      <c r="L141" s="1356">
        <f>SUMIFS(Sheet1!S71_OY1AdjustedBudget,Sheet1!S71_A2SubCode,$AC:$AC,Sheet1!S71_ItemType,$AD:$AD)</f>
        <v>0</v>
      </c>
      <c r="M141" s="1357">
        <f>SUMIFS(Sheet1!S71_OY2AdjustedBudget,Sheet1!S71_A2SubCode,$AC:$AC,Sheet1!S71_ItemType,$AD:$AD)</f>
        <v>0</v>
      </c>
      <c r="N141" s="126"/>
      <c r="AC141" s="1345">
        <v>1209</v>
      </c>
      <c r="AD141" s="1345" t="s">
        <v>1812</v>
      </c>
    </row>
    <row r="142" spans="1:30" ht="13.5" customHeight="1" x14ac:dyDescent="0.25">
      <c r="A142" s="830" t="str">
        <f t="shared" si="26"/>
        <v>Property Services</v>
      </c>
      <c r="B142" s="724"/>
      <c r="C142" s="1360">
        <f>SUMIFS(Sheet1!S71_OriginalBudget,Sheet1!S71_A2SubCode,$AC:$AC,Sheet1!S71_ItemType,$AD:$AD)</f>
        <v>2635650</v>
      </c>
      <c r="D142" s="1356">
        <f>SUMIFS(Sheet1!S71_SpecialAdjustedBudget,Sheet1!S71_A2SubCode,$AC:$AC,Sheet1!S71_ItemType,$AD:$AD)</f>
        <v>2635650</v>
      </c>
      <c r="E142" s="1356"/>
      <c r="F142" s="1356"/>
      <c r="G142" s="1356"/>
      <c r="H142" s="1356"/>
      <c r="I142" s="1356">
        <f>SUMIFS(Sheet1!S71_AdjustmentAmount,Sheet1!S71_A2SubCode,$AC:$AC,Sheet1!S71_ItemType,$AD:$AD)</f>
        <v>0</v>
      </c>
      <c r="J142" s="171">
        <f t="shared" si="30"/>
        <v>0</v>
      </c>
      <c r="K142" s="171">
        <f t="shared" si="31"/>
        <v>2635650</v>
      </c>
      <c r="L142" s="1356">
        <f>SUMIFS(Sheet1!S71_OY1AdjustedBudget,Sheet1!S71_A2SubCode,$AC:$AC,Sheet1!S71_ItemType,$AD:$AD)</f>
        <v>2833215</v>
      </c>
      <c r="M142" s="1357">
        <f>SUMIFS(Sheet1!S71_OY2AdjustedBudget,Sheet1!S71_A2SubCode,$AC:$AC,Sheet1!S71_ItemType,$AD:$AD)</f>
        <v>3047897</v>
      </c>
      <c r="N142" s="126"/>
      <c r="AC142" s="1345">
        <v>1210</v>
      </c>
      <c r="AD142" s="1345" t="s">
        <v>1812</v>
      </c>
    </row>
    <row r="143" spans="1:30" ht="13.5" customHeight="1" x14ac:dyDescent="0.25">
      <c r="A143" s="830" t="str">
        <f t="shared" si="26"/>
        <v>Risk Management</v>
      </c>
      <c r="B143" s="724"/>
      <c r="C143" s="1360">
        <f>SUMIFS(Sheet1!S71_OriginalBudget,Sheet1!S71_A2SubCode,$AC:$AC,Sheet1!S71_ItemType,$AD:$AD)</f>
        <v>0</v>
      </c>
      <c r="D143" s="1356">
        <f>SUMIFS(Sheet1!S71_SpecialAdjustedBudget,Sheet1!S71_A2SubCode,$AC:$AC,Sheet1!S71_ItemType,$AD:$AD)</f>
        <v>0</v>
      </c>
      <c r="E143" s="1356"/>
      <c r="F143" s="1356"/>
      <c r="G143" s="1356"/>
      <c r="H143" s="1356"/>
      <c r="I143" s="1356">
        <f>SUMIFS(Sheet1!S71_AdjustmentAmount,Sheet1!S71_A2SubCode,$AC:$AC,Sheet1!S71_ItemType,$AD:$AD)</f>
        <v>0</v>
      </c>
      <c r="J143" s="171">
        <f t="shared" si="30"/>
        <v>0</v>
      </c>
      <c r="K143" s="171">
        <f t="shared" si="31"/>
        <v>0</v>
      </c>
      <c r="L143" s="1356">
        <f>SUMIFS(Sheet1!S71_OY1AdjustedBudget,Sheet1!S71_A2SubCode,$AC:$AC,Sheet1!S71_ItemType,$AD:$AD)</f>
        <v>0</v>
      </c>
      <c r="M143" s="1357">
        <f>SUMIFS(Sheet1!S71_OY2AdjustedBudget,Sheet1!S71_A2SubCode,$AC:$AC,Sheet1!S71_ItemType,$AD:$AD)</f>
        <v>0</v>
      </c>
      <c r="N143" s="126"/>
      <c r="AC143" s="1345">
        <v>1211</v>
      </c>
      <c r="AD143" s="1345" t="s">
        <v>1812</v>
      </c>
    </row>
    <row r="144" spans="1:30" ht="13.5" customHeight="1" x14ac:dyDescent="0.25">
      <c r="A144" s="830" t="str">
        <f t="shared" si="26"/>
        <v>Security Services</v>
      </c>
      <c r="B144" s="724"/>
      <c r="C144" s="1360">
        <f>SUMIFS(Sheet1!S71_OriginalBudget,Sheet1!S71_A2SubCode,$AC:$AC,Sheet1!S71_ItemType,$AD:$AD)</f>
        <v>0</v>
      </c>
      <c r="D144" s="1356">
        <f>SUMIFS(Sheet1!S71_SpecialAdjustedBudget,Sheet1!S71_A2SubCode,$AC:$AC,Sheet1!S71_ItemType,$AD:$AD)</f>
        <v>0</v>
      </c>
      <c r="E144" s="1356"/>
      <c r="F144" s="1356"/>
      <c r="G144" s="1356"/>
      <c r="H144" s="1356"/>
      <c r="I144" s="1356">
        <f>SUMIFS(Sheet1!S71_AdjustmentAmount,Sheet1!S71_A2SubCode,$AC:$AC,Sheet1!S71_ItemType,$AD:$AD)</f>
        <v>0</v>
      </c>
      <c r="J144" s="171">
        <f t="shared" si="30"/>
        <v>0</v>
      </c>
      <c r="K144" s="171">
        <f t="shared" si="31"/>
        <v>0</v>
      </c>
      <c r="L144" s="1356">
        <f>SUMIFS(Sheet1!S71_OY1AdjustedBudget,Sheet1!S71_A2SubCode,$AC:$AC,Sheet1!S71_ItemType,$AD:$AD)</f>
        <v>0</v>
      </c>
      <c r="M144" s="1357">
        <f>SUMIFS(Sheet1!S71_OY2AdjustedBudget,Sheet1!S71_A2SubCode,$AC:$AC,Sheet1!S71_ItemType,$AD:$AD)</f>
        <v>0</v>
      </c>
      <c r="N144" s="126"/>
      <c r="AC144" s="1345">
        <v>1212</v>
      </c>
      <c r="AD144" s="1345" t="s">
        <v>1812</v>
      </c>
    </row>
    <row r="145" spans="1:30" ht="13.5" customHeight="1" x14ac:dyDescent="0.25">
      <c r="A145" s="830" t="str">
        <f t="shared" si="26"/>
        <v xml:space="preserve">Supply Chain Management </v>
      </c>
      <c r="B145" s="724"/>
      <c r="C145" s="1360">
        <f>SUMIFS(Sheet1!S71_OriginalBudget,Sheet1!S71_A2SubCode,$AC:$AC,Sheet1!S71_ItemType,$AD:$AD)</f>
        <v>650000</v>
      </c>
      <c r="D145" s="1356">
        <f>SUMIFS(Sheet1!S71_SpecialAdjustedBudget,Sheet1!S71_A2SubCode,$AC:$AC,Sheet1!S71_ItemType,$AD:$AD)</f>
        <v>650000</v>
      </c>
      <c r="E145" s="1356"/>
      <c r="F145" s="1356"/>
      <c r="G145" s="1356"/>
      <c r="H145" s="1356"/>
      <c r="I145" s="1356">
        <f>SUMIFS(Sheet1!S71_AdjustmentAmount,Sheet1!S71_A2SubCode,$AC:$AC,Sheet1!S71_ItemType,$AD:$AD)</f>
        <v>-500000</v>
      </c>
      <c r="J145" s="171">
        <f t="shared" si="30"/>
        <v>-500000</v>
      </c>
      <c r="K145" s="171">
        <f t="shared" si="31"/>
        <v>150000</v>
      </c>
      <c r="L145" s="1356">
        <f>SUMIFS(Sheet1!S71_OY1AdjustedBudget,Sheet1!S71_A2SubCode,$AC:$AC,Sheet1!S71_ItemType,$AD:$AD)</f>
        <v>275000</v>
      </c>
      <c r="M145" s="1357">
        <f>SUMIFS(Sheet1!S71_OY2AdjustedBudget,Sheet1!S71_A2SubCode,$AC:$AC,Sheet1!S71_ItemType,$AD:$AD)</f>
        <v>302500</v>
      </c>
      <c r="N145" s="126"/>
      <c r="AC145" s="1345">
        <v>1213</v>
      </c>
      <c r="AD145" s="1345" t="s">
        <v>1812</v>
      </c>
    </row>
    <row r="146" spans="1:30" ht="13.5" customHeight="1" x14ac:dyDescent="0.25">
      <c r="A146" s="830" t="str">
        <f t="shared" si="26"/>
        <v>Valuation Service</v>
      </c>
      <c r="B146" s="724"/>
      <c r="C146" s="1360">
        <f>SUMIFS(Sheet1!S71_OriginalBudget,Sheet1!S71_A2SubCode,$AC:$AC,Sheet1!S71_ItemType,$AD:$AD)</f>
        <v>260000</v>
      </c>
      <c r="D146" s="1356">
        <f>SUMIFS(Sheet1!S71_SpecialAdjustedBudget,Sheet1!S71_A2SubCode,$AC:$AC,Sheet1!S71_ItemType,$AD:$AD)</f>
        <v>260000</v>
      </c>
      <c r="E146" s="1356"/>
      <c r="F146" s="1356"/>
      <c r="G146" s="1356"/>
      <c r="H146" s="1356"/>
      <c r="I146" s="1356">
        <f>SUMIFS(Sheet1!S71_AdjustmentAmount,Sheet1!S71_A2SubCode,$AC:$AC,Sheet1!S71_ItemType,$AD:$AD)</f>
        <v>0</v>
      </c>
      <c r="J146" s="171">
        <f t="shared" si="30"/>
        <v>0</v>
      </c>
      <c r="K146" s="171">
        <f t="shared" si="31"/>
        <v>260000</v>
      </c>
      <c r="L146" s="1356">
        <f>SUMIFS(Sheet1!S71_OY1AdjustedBudget,Sheet1!S71_A2SubCode,$AC:$AC,Sheet1!S71_ItemType,$AD:$AD)</f>
        <v>286000</v>
      </c>
      <c r="M146" s="1357">
        <f>SUMIFS(Sheet1!S71_OY2AdjustedBudget,Sheet1!S71_A2SubCode,$AC:$AC,Sheet1!S71_ItemType,$AD:$AD)</f>
        <v>314600</v>
      </c>
      <c r="N146" s="126"/>
      <c r="AC146" s="1345">
        <v>1214</v>
      </c>
      <c r="AD146" s="1345" t="s">
        <v>1812</v>
      </c>
    </row>
    <row r="147" spans="1:30" ht="13.5" customHeight="1" x14ac:dyDescent="0.25">
      <c r="A147" s="710" t="str">
        <f t="shared" si="26"/>
        <v>Internal audit</v>
      </c>
      <c r="B147" s="724"/>
      <c r="C147" s="700">
        <f t="shared" ref="C147:M147" si="32">SUM(C148:C148)</f>
        <v>0</v>
      </c>
      <c r="D147" s="263">
        <f t="shared" si="32"/>
        <v>0</v>
      </c>
      <c r="E147" s="263">
        <f t="shared" si="32"/>
        <v>0</v>
      </c>
      <c r="F147" s="263">
        <f t="shared" si="32"/>
        <v>0</v>
      </c>
      <c r="G147" s="263">
        <f t="shared" si="32"/>
        <v>0</v>
      </c>
      <c r="H147" s="263">
        <f t="shared" si="32"/>
        <v>0</v>
      </c>
      <c r="I147" s="263">
        <f t="shared" si="32"/>
        <v>0</v>
      </c>
      <c r="J147" s="263">
        <f t="shared" si="30"/>
        <v>0</v>
      </c>
      <c r="K147" s="263">
        <f t="shared" si="31"/>
        <v>0</v>
      </c>
      <c r="L147" s="263">
        <f t="shared" si="32"/>
        <v>0</v>
      </c>
      <c r="M147" s="264">
        <f t="shared" si="32"/>
        <v>0</v>
      </c>
      <c r="N147" s="126"/>
      <c r="AD147" s="1345" t="s">
        <v>1224</v>
      </c>
    </row>
    <row r="148" spans="1:30" ht="13.5" customHeight="1" x14ac:dyDescent="0.25">
      <c r="A148" s="830" t="str">
        <f t="shared" si="26"/>
        <v>Governance Function</v>
      </c>
      <c r="B148" s="724"/>
      <c r="C148" s="1360">
        <f>SUMIFS(Sheet1!S71_OriginalBudget,Sheet1!S71_A2SubCode,$AC:$AC,Sheet1!S71_ItemType,$AD:$AD)</f>
        <v>0</v>
      </c>
      <c r="D148" s="1356">
        <f>SUMIFS(Sheet1!S71_SpecialAdjustedBudget,Sheet1!S71_A2SubCode,$AC:$AC,Sheet1!S71_ItemType,$AD:$AD)</f>
        <v>0</v>
      </c>
      <c r="E148" s="1356"/>
      <c r="F148" s="1356"/>
      <c r="G148" s="1356"/>
      <c r="H148" s="1356"/>
      <c r="I148" s="1356">
        <f>SUMIFS(Sheet1!S71_AdjustmentAmount,Sheet1!S71_A2SubCode,$AC:$AC,Sheet1!S71_ItemType,$AD:$AD)</f>
        <v>0</v>
      </c>
      <c r="J148" s="171">
        <f t="shared" si="30"/>
        <v>0</v>
      </c>
      <c r="K148" s="171">
        <f t="shared" si="31"/>
        <v>0</v>
      </c>
      <c r="L148" s="1356">
        <f>SUMIFS(Sheet1!S71_OY1AdjustedBudget,Sheet1!S71_A2SubCode,$AC:$AC,Sheet1!S71_ItemType,$AD:$AD)</f>
        <v>0</v>
      </c>
      <c r="M148" s="1357">
        <f>SUMIFS(Sheet1!S71_OY2AdjustedBudget,Sheet1!S71_A2SubCode,$AC:$AC,Sheet1!S71_ItemType,$AD:$AD)</f>
        <v>0</v>
      </c>
      <c r="N148" s="126"/>
      <c r="AC148" s="1345">
        <v>1301</v>
      </c>
      <c r="AD148" s="1345" t="s">
        <v>1812</v>
      </c>
    </row>
    <row r="149" spans="1:30" ht="13.5" customHeight="1" x14ac:dyDescent="0.25">
      <c r="A149" s="107" t="str">
        <f t="shared" si="26"/>
        <v>Community and public safety</v>
      </c>
      <c r="B149" s="724"/>
      <c r="C149" s="708">
        <f t="shared" ref="C149:I149" si="33">C150+C172+C178+C187+C190</f>
        <v>24955232</v>
      </c>
      <c r="D149" s="707">
        <f t="shared" si="33"/>
        <v>24955232</v>
      </c>
      <c r="E149" s="707">
        <f t="shared" si="33"/>
        <v>0</v>
      </c>
      <c r="F149" s="707">
        <f t="shared" si="33"/>
        <v>0</v>
      </c>
      <c r="G149" s="707">
        <f t="shared" si="33"/>
        <v>0</v>
      </c>
      <c r="H149" s="707">
        <f t="shared" si="33"/>
        <v>0</v>
      </c>
      <c r="I149" s="707">
        <f t="shared" si="33"/>
        <v>1620996</v>
      </c>
      <c r="J149" s="707">
        <f t="shared" si="30"/>
        <v>1620996</v>
      </c>
      <c r="K149" s="707">
        <f t="shared" si="31"/>
        <v>26576228</v>
      </c>
      <c r="L149" s="707">
        <f>L150+L172+L178+L187+L190</f>
        <v>26463692</v>
      </c>
      <c r="M149" s="709">
        <f>M150+M172+M178+M187+M190</f>
        <v>28072262</v>
      </c>
      <c r="N149" s="126"/>
      <c r="AD149" s="1345" t="s">
        <v>1224</v>
      </c>
    </row>
    <row r="150" spans="1:30" ht="13.5" customHeight="1" x14ac:dyDescent="0.25">
      <c r="A150" s="710" t="str">
        <f t="shared" si="26"/>
        <v>Community and social services</v>
      </c>
      <c r="B150" s="724"/>
      <c r="C150" s="711">
        <f t="shared" ref="C150:I150" si="34">SUM(C151:C171)</f>
        <v>21370232</v>
      </c>
      <c r="D150" s="268">
        <f t="shared" si="34"/>
        <v>21370232</v>
      </c>
      <c r="E150" s="268">
        <f t="shared" si="34"/>
        <v>0</v>
      </c>
      <c r="F150" s="268">
        <f t="shared" si="34"/>
        <v>0</v>
      </c>
      <c r="G150" s="268">
        <f t="shared" si="34"/>
        <v>0</v>
      </c>
      <c r="H150" s="268">
        <f t="shared" si="34"/>
        <v>0</v>
      </c>
      <c r="I150" s="268">
        <f t="shared" si="34"/>
        <v>2658611</v>
      </c>
      <c r="J150" s="268">
        <f t="shared" si="30"/>
        <v>2658611</v>
      </c>
      <c r="K150" s="268">
        <f t="shared" si="31"/>
        <v>24028843</v>
      </c>
      <c r="L150" s="268">
        <f>SUM(L151:L171)</f>
        <v>22603592</v>
      </c>
      <c r="M150" s="269">
        <f>SUM(M151:M171)</f>
        <v>23914556</v>
      </c>
      <c r="N150" s="126"/>
      <c r="AD150" s="1345" t="s">
        <v>1224</v>
      </c>
    </row>
    <row r="151" spans="1:30" ht="13.5" customHeight="1" x14ac:dyDescent="0.25">
      <c r="A151" s="830" t="str">
        <f t="shared" si="26"/>
        <v>Aged Care</v>
      </c>
      <c r="B151" s="724"/>
      <c r="C151" s="1360">
        <f>SUMIFS(Sheet1!S71_OriginalBudget,Sheet1!S71_A2SubCode,$AC:$AC,Sheet1!S71_ItemType,$AD:$AD)</f>
        <v>490000</v>
      </c>
      <c r="D151" s="1356">
        <f>SUMIFS(Sheet1!S71_SpecialAdjustedBudget,Sheet1!S71_A2SubCode,$AC:$AC,Sheet1!S71_ItemType,$AD:$AD)</f>
        <v>490000</v>
      </c>
      <c r="E151" s="1356"/>
      <c r="F151" s="1356"/>
      <c r="G151" s="1356"/>
      <c r="H151" s="1356"/>
      <c r="I151" s="1356">
        <f>SUMIFS(Sheet1!S71_AdjustmentAmount,Sheet1!S71_A2SubCode,$AC:$AC,Sheet1!S71_ItemType,$AD:$AD)</f>
        <v>-79428</v>
      </c>
      <c r="J151" s="171">
        <f t="shared" si="30"/>
        <v>-79428</v>
      </c>
      <c r="K151" s="171">
        <f t="shared" si="31"/>
        <v>410572</v>
      </c>
      <c r="L151" s="1356">
        <f>SUMIFS(Sheet1!S71_OY1AdjustedBudget,Sheet1!S71_A2SubCode,$AC:$AC,Sheet1!S71_ItemType,$AD:$AD)</f>
        <v>519400</v>
      </c>
      <c r="M151" s="1357">
        <f>SUMIFS(Sheet1!S71_OY2AdjustedBudget,Sheet1!S71_A2SubCode,$AC:$AC,Sheet1!S71_ItemType,$AD:$AD)</f>
        <v>550564</v>
      </c>
      <c r="N151" s="126"/>
      <c r="AC151" s="1345">
        <v>2101</v>
      </c>
      <c r="AD151" s="1345" t="s">
        <v>1812</v>
      </c>
    </row>
    <row r="152" spans="1:30" ht="13.5" customHeight="1" x14ac:dyDescent="0.25">
      <c r="A152" s="830" t="str">
        <f t="shared" si="26"/>
        <v>Agricultural</v>
      </c>
      <c r="B152" s="724"/>
      <c r="C152" s="1360">
        <f>SUMIFS(Sheet1!S71_OriginalBudget,Sheet1!S71_A2SubCode,$AC:$AC,Sheet1!S71_ItemType,$AD:$AD)</f>
        <v>150000</v>
      </c>
      <c r="D152" s="1356">
        <f>SUMIFS(Sheet1!S71_SpecialAdjustedBudget,Sheet1!S71_A2SubCode,$AC:$AC,Sheet1!S71_ItemType,$AD:$AD)</f>
        <v>150000</v>
      </c>
      <c r="E152" s="1356"/>
      <c r="F152" s="1356"/>
      <c r="G152" s="1356"/>
      <c r="H152" s="1356"/>
      <c r="I152" s="1356">
        <f>SUMIFS(Sheet1!S71_AdjustmentAmount,Sheet1!S71_A2SubCode,$AC:$AC,Sheet1!S71_ItemType,$AD:$AD)</f>
        <v>0</v>
      </c>
      <c r="J152" s="171">
        <f t="shared" si="30"/>
        <v>0</v>
      </c>
      <c r="K152" s="171">
        <f t="shared" si="31"/>
        <v>150000</v>
      </c>
      <c r="L152" s="1356">
        <f>SUMIFS(Sheet1!S71_OY1AdjustedBudget,Sheet1!S71_A2SubCode,$AC:$AC,Sheet1!S71_ItemType,$AD:$AD)</f>
        <v>159000</v>
      </c>
      <c r="M152" s="1357">
        <f>SUMIFS(Sheet1!S71_OY2AdjustedBudget,Sheet1!S71_A2SubCode,$AC:$AC,Sheet1!S71_ItemType,$AD:$AD)</f>
        <v>168540</v>
      </c>
      <c r="N152" s="126"/>
      <c r="AC152" s="1345">
        <v>2102</v>
      </c>
      <c r="AD152" s="1345" t="s">
        <v>1812</v>
      </c>
    </row>
    <row r="153" spans="1:30" ht="13.5" customHeight="1" x14ac:dyDescent="0.25">
      <c r="A153" s="830" t="str">
        <f t="shared" si="26"/>
        <v>Animal Care and Diseases</v>
      </c>
      <c r="B153" s="724"/>
      <c r="C153" s="1360">
        <f>SUMIFS(Sheet1!S71_OriginalBudget,Sheet1!S71_A2SubCode,$AC:$AC,Sheet1!S71_ItemType,$AD:$AD)</f>
        <v>0</v>
      </c>
      <c r="D153" s="1356">
        <f>SUMIFS(Sheet1!S71_SpecialAdjustedBudget,Sheet1!S71_A2SubCode,$AC:$AC,Sheet1!S71_ItemType,$AD:$AD)</f>
        <v>0</v>
      </c>
      <c r="E153" s="1356"/>
      <c r="F153" s="1356"/>
      <c r="G153" s="1356"/>
      <c r="H153" s="1356"/>
      <c r="I153" s="1356">
        <f>SUMIFS(Sheet1!S71_AdjustmentAmount,Sheet1!S71_A2SubCode,$AC:$AC,Sheet1!S71_ItemType,$AD:$AD)</f>
        <v>0</v>
      </c>
      <c r="J153" s="171">
        <f t="shared" si="30"/>
        <v>0</v>
      </c>
      <c r="K153" s="171">
        <f t="shared" si="31"/>
        <v>0</v>
      </c>
      <c r="L153" s="1356">
        <f>SUMIFS(Sheet1!S71_OY1AdjustedBudget,Sheet1!S71_A2SubCode,$AC:$AC,Sheet1!S71_ItemType,$AD:$AD)</f>
        <v>0</v>
      </c>
      <c r="M153" s="1357">
        <f>SUMIFS(Sheet1!S71_OY2AdjustedBudget,Sheet1!S71_A2SubCode,$AC:$AC,Sheet1!S71_ItemType,$AD:$AD)</f>
        <v>0</v>
      </c>
      <c r="N153" s="126"/>
      <c r="AC153" s="1345">
        <v>2103</v>
      </c>
      <c r="AD153" s="1345" t="s">
        <v>1812</v>
      </c>
    </row>
    <row r="154" spans="1:30" ht="13.5" customHeight="1" x14ac:dyDescent="0.25">
      <c r="A154" s="830" t="str">
        <f t="shared" si="26"/>
        <v>Cemeteries, Funeral Parlours and Crematoriums</v>
      </c>
      <c r="B154" s="724"/>
      <c r="C154" s="1360">
        <f>SUMIFS(Sheet1!S71_OriginalBudget,Sheet1!S71_A2SubCode,$AC:$AC,Sheet1!S71_ItemType,$AD:$AD)</f>
        <v>0</v>
      </c>
      <c r="D154" s="1356">
        <f>SUMIFS(Sheet1!S71_SpecialAdjustedBudget,Sheet1!S71_A2SubCode,$AC:$AC,Sheet1!S71_ItemType,$AD:$AD)</f>
        <v>0</v>
      </c>
      <c r="E154" s="1356"/>
      <c r="F154" s="1356"/>
      <c r="G154" s="1356"/>
      <c r="H154" s="1356"/>
      <c r="I154" s="1356">
        <f>SUMIFS(Sheet1!S71_AdjustmentAmount,Sheet1!S71_A2SubCode,$AC:$AC,Sheet1!S71_ItemType,$AD:$AD)</f>
        <v>0</v>
      </c>
      <c r="J154" s="171">
        <f t="shared" si="30"/>
        <v>0</v>
      </c>
      <c r="K154" s="171">
        <f t="shared" si="31"/>
        <v>0</v>
      </c>
      <c r="L154" s="1356">
        <f>SUMIFS(Sheet1!S71_OY1AdjustedBudget,Sheet1!S71_A2SubCode,$AC:$AC,Sheet1!S71_ItemType,$AD:$AD)</f>
        <v>0</v>
      </c>
      <c r="M154" s="1357">
        <f>SUMIFS(Sheet1!S71_OY2AdjustedBudget,Sheet1!S71_A2SubCode,$AC:$AC,Sheet1!S71_ItemType,$AD:$AD)</f>
        <v>0</v>
      </c>
      <c r="N154" s="126"/>
      <c r="AC154" s="1345">
        <v>2104</v>
      </c>
      <c r="AD154" s="1345" t="s">
        <v>1812</v>
      </c>
    </row>
    <row r="155" spans="1:30" ht="13.5" customHeight="1" x14ac:dyDescent="0.25">
      <c r="A155" s="830" t="str">
        <f t="shared" si="26"/>
        <v>Child Care Facilities</v>
      </c>
      <c r="B155" s="724"/>
      <c r="C155" s="1360">
        <f>SUMIFS(Sheet1!S71_OriginalBudget,Sheet1!S71_A2SubCode,$AC:$AC,Sheet1!S71_ItemType,$AD:$AD)</f>
        <v>0</v>
      </c>
      <c r="D155" s="1356">
        <f>SUMIFS(Sheet1!S71_SpecialAdjustedBudget,Sheet1!S71_A2SubCode,$AC:$AC,Sheet1!S71_ItemType,$AD:$AD)</f>
        <v>0</v>
      </c>
      <c r="E155" s="1356"/>
      <c r="F155" s="1356"/>
      <c r="G155" s="1356"/>
      <c r="H155" s="1356"/>
      <c r="I155" s="1356">
        <f>SUMIFS(Sheet1!S71_AdjustmentAmount,Sheet1!S71_A2SubCode,$AC:$AC,Sheet1!S71_ItemType,$AD:$AD)</f>
        <v>0</v>
      </c>
      <c r="J155" s="171">
        <f t="shared" si="30"/>
        <v>0</v>
      </c>
      <c r="K155" s="171">
        <f t="shared" si="31"/>
        <v>0</v>
      </c>
      <c r="L155" s="1356">
        <f>SUMIFS(Sheet1!S71_OY1AdjustedBudget,Sheet1!S71_A2SubCode,$AC:$AC,Sheet1!S71_ItemType,$AD:$AD)</f>
        <v>0</v>
      </c>
      <c r="M155" s="1357">
        <f>SUMIFS(Sheet1!S71_OY2AdjustedBudget,Sheet1!S71_A2SubCode,$AC:$AC,Sheet1!S71_ItemType,$AD:$AD)</f>
        <v>0</v>
      </c>
      <c r="N155" s="126"/>
      <c r="AC155" s="1345">
        <v>2105</v>
      </c>
      <c r="AD155" s="1345" t="s">
        <v>1812</v>
      </c>
    </row>
    <row r="156" spans="1:30" ht="13.5" customHeight="1" x14ac:dyDescent="0.25">
      <c r="A156" s="830" t="str">
        <f t="shared" si="26"/>
        <v>Community Halls and Facilities</v>
      </c>
      <c r="B156" s="724"/>
      <c r="C156" s="1360">
        <f>SUMIFS(Sheet1!S71_OriginalBudget,Sheet1!S71_A2SubCode,$AC:$AC,Sheet1!S71_ItemType,$AD:$AD)</f>
        <v>9702528</v>
      </c>
      <c r="D156" s="1356">
        <f>SUMIFS(Sheet1!S71_SpecialAdjustedBudget,Sheet1!S71_A2SubCode,$AC:$AC,Sheet1!S71_ItemType,$AD:$AD)</f>
        <v>9702528</v>
      </c>
      <c r="E156" s="1356"/>
      <c r="F156" s="1356"/>
      <c r="G156" s="1356"/>
      <c r="H156" s="1356"/>
      <c r="I156" s="1356">
        <f>SUMIFS(Sheet1!S71_AdjustmentAmount,Sheet1!S71_A2SubCode,$AC:$AC,Sheet1!S71_ItemType,$AD:$AD)</f>
        <v>2979775</v>
      </c>
      <c r="J156" s="171">
        <f t="shared" si="30"/>
        <v>2979775</v>
      </c>
      <c r="K156" s="171">
        <f t="shared" si="31"/>
        <v>12682303</v>
      </c>
      <c r="L156" s="1356">
        <f>SUMIFS(Sheet1!S71_OY1AdjustedBudget,Sheet1!S71_A2SubCode,$AC:$AC,Sheet1!S71_ItemType,$AD:$AD)</f>
        <v>10210628</v>
      </c>
      <c r="M156" s="1357">
        <f>SUMIFS(Sheet1!S71_OY2AdjustedBudget,Sheet1!S71_A2SubCode,$AC:$AC,Sheet1!S71_ItemType,$AD:$AD)</f>
        <v>10751055</v>
      </c>
      <c r="N156" s="126"/>
      <c r="AC156" s="1345">
        <v>2106</v>
      </c>
      <c r="AD156" s="1345" t="s">
        <v>1812</v>
      </c>
    </row>
    <row r="157" spans="1:30" ht="12.6" customHeight="1" x14ac:dyDescent="0.25">
      <c r="A157" s="830" t="str">
        <f t="shared" si="26"/>
        <v>Consumer Protection</v>
      </c>
      <c r="B157" s="724"/>
      <c r="C157" s="1360">
        <f>SUMIFS(Sheet1!S71_OriginalBudget,Sheet1!S71_A2SubCode,$AC:$AC,Sheet1!S71_ItemType,$AD:$AD)</f>
        <v>0</v>
      </c>
      <c r="D157" s="1356">
        <f>SUMIFS(Sheet1!S71_SpecialAdjustedBudget,Sheet1!S71_A2SubCode,$AC:$AC,Sheet1!S71_ItemType,$AD:$AD)</f>
        <v>0</v>
      </c>
      <c r="E157" s="1356"/>
      <c r="F157" s="1356"/>
      <c r="G157" s="1356"/>
      <c r="H157" s="1356"/>
      <c r="I157" s="1356">
        <f>SUMIFS(Sheet1!S71_AdjustmentAmount,Sheet1!S71_A2SubCode,$AC:$AC,Sheet1!S71_ItemType,$AD:$AD)</f>
        <v>0</v>
      </c>
      <c r="J157" s="171">
        <f t="shared" si="30"/>
        <v>0</v>
      </c>
      <c r="K157" s="171">
        <f t="shared" si="31"/>
        <v>0</v>
      </c>
      <c r="L157" s="1356">
        <f>SUMIFS(Sheet1!S71_OY1AdjustedBudget,Sheet1!S71_A2SubCode,$AC:$AC,Sheet1!S71_ItemType,$AD:$AD)</f>
        <v>0</v>
      </c>
      <c r="M157" s="1357">
        <f>SUMIFS(Sheet1!S71_OY2AdjustedBudget,Sheet1!S71_A2SubCode,$AC:$AC,Sheet1!S71_ItemType,$AD:$AD)</f>
        <v>0</v>
      </c>
      <c r="N157" s="126"/>
      <c r="AC157" s="1345">
        <v>2107</v>
      </c>
      <c r="AD157" s="1345" t="s">
        <v>1812</v>
      </c>
    </row>
    <row r="158" spans="1:30" ht="12.6" customHeight="1" x14ac:dyDescent="0.25">
      <c r="A158" s="830" t="str">
        <f t="shared" si="26"/>
        <v>Cultural Matters</v>
      </c>
      <c r="B158" s="724"/>
      <c r="C158" s="1360">
        <f>SUMIFS(Sheet1!S71_OriginalBudget,Sheet1!S71_A2SubCode,$AC:$AC,Sheet1!S71_ItemType,$AD:$AD)</f>
        <v>620000</v>
      </c>
      <c r="D158" s="1356">
        <f>SUMIFS(Sheet1!S71_SpecialAdjustedBudget,Sheet1!S71_A2SubCode,$AC:$AC,Sheet1!S71_ItemType,$AD:$AD)</f>
        <v>620000</v>
      </c>
      <c r="E158" s="1356"/>
      <c r="F158" s="1356"/>
      <c r="G158" s="1356"/>
      <c r="H158" s="1356"/>
      <c r="I158" s="1356">
        <f>SUMIFS(Sheet1!S71_AdjustmentAmount,Sheet1!S71_A2SubCode,$AC:$AC,Sheet1!S71_ItemType,$AD:$AD)</f>
        <v>82000</v>
      </c>
      <c r="J158" s="171">
        <f t="shared" si="30"/>
        <v>82000</v>
      </c>
      <c r="K158" s="171">
        <f t="shared" si="31"/>
        <v>702000</v>
      </c>
      <c r="L158" s="1356">
        <f>SUMIFS(Sheet1!S71_OY1AdjustedBudget,Sheet1!S71_A2SubCode,$AC:$AC,Sheet1!S71_ItemType,$AD:$AD)</f>
        <v>657200</v>
      </c>
      <c r="M158" s="1357">
        <f>SUMIFS(Sheet1!S71_OY2AdjustedBudget,Sheet1!S71_A2SubCode,$AC:$AC,Sheet1!S71_ItemType,$AD:$AD)</f>
        <v>696632</v>
      </c>
      <c r="N158" s="126"/>
      <c r="AC158" s="1345">
        <v>2108</v>
      </c>
      <c r="AD158" s="1345" t="s">
        <v>1812</v>
      </c>
    </row>
    <row r="159" spans="1:30" ht="12.6" customHeight="1" x14ac:dyDescent="0.25">
      <c r="A159" s="830" t="str">
        <f t="shared" si="26"/>
        <v>Disaster Management</v>
      </c>
      <c r="B159" s="724"/>
      <c r="C159" s="1360">
        <f>SUMIFS(Sheet1!S71_OriginalBudget,Sheet1!S71_A2SubCode,$AC:$AC,Sheet1!S71_ItemType,$AD:$AD)</f>
        <v>1430000</v>
      </c>
      <c r="D159" s="1356">
        <f>SUMIFS(Sheet1!S71_SpecialAdjustedBudget,Sheet1!S71_A2SubCode,$AC:$AC,Sheet1!S71_ItemType,$AD:$AD)</f>
        <v>1430000</v>
      </c>
      <c r="E159" s="1356"/>
      <c r="F159" s="1356"/>
      <c r="G159" s="1356"/>
      <c r="H159" s="1356"/>
      <c r="I159" s="1356">
        <f>SUMIFS(Sheet1!S71_AdjustmentAmount,Sheet1!S71_A2SubCode,$AC:$AC,Sheet1!S71_ItemType,$AD:$AD)</f>
        <v>86750</v>
      </c>
      <c r="J159" s="171">
        <f t="shared" si="30"/>
        <v>86750</v>
      </c>
      <c r="K159" s="171">
        <f t="shared" si="31"/>
        <v>1516750</v>
      </c>
      <c r="L159" s="1356">
        <f>SUMIFS(Sheet1!S71_OY1AdjustedBudget,Sheet1!S71_A2SubCode,$AC:$AC,Sheet1!S71_ItemType,$AD:$AD)</f>
        <v>1515800</v>
      </c>
      <c r="M159" s="1357">
        <f>SUMIFS(Sheet1!S71_OY2AdjustedBudget,Sheet1!S71_A2SubCode,$AC:$AC,Sheet1!S71_ItemType,$AD:$AD)</f>
        <v>1606748</v>
      </c>
      <c r="N159" s="126"/>
      <c r="AC159" s="1345">
        <v>2109</v>
      </c>
      <c r="AD159" s="1345" t="s">
        <v>1812</v>
      </c>
    </row>
    <row r="160" spans="1:30" ht="13.5" customHeight="1" x14ac:dyDescent="0.25">
      <c r="A160" s="830" t="str">
        <f t="shared" si="26"/>
        <v>Education</v>
      </c>
      <c r="B160" s="724"/>
      <c r="C160" s="1360">
        <f>SUMIFS(Sheet1!S71_OriginalBudget,Sheet1!S71_A2SubCode,$AC:$AC,Sheet1!S71_ItemType,$AD:$AD)</f>
        <v>190000</v>
      </c>
      <c r="D160" s="1356">
        <f>SUMIFS(Sheet1!S71_SpecialAdjustedBudget,Sheet1!S71_A2SubCode,$AC:$AC,Sheet1!S71_ItemType,$AD:$AD)</f>
        <v>190000</v>
      </c>
      <c r="E160" s="1356"/>
      <c r="F160" s="1356"/>
      <c r="G160" s="1356"/>
      <c r="H160" s="1356"/>
      <c r="I160" s="1356">
        <f>SUMIFS(Sheet1!S71_AdjustmentAmount,Sheet1!S71_A2SubCode,$AC:$AC,Sheet1!S71_ItemType,$AD:$AD)</f>
        <v>-190000</v>
      </c>
      <c r="J160" s="171">
        <f t="shared" si="30"/>
        <v>-190000</v>
      </c>
      <c r="K160" s="171">
        <f t="shared" si="31"/>
        <v>0</v>
      </c>
      <c r="L160" s="1356">
        <f>SUMIFS(Sheet1!S71_OY1AdjustedBudget,Sheet1!S71_A2SubCode,$AC:$AC,Sheet1!S71_ItemType,$AD:$AD)</f>
        <v>201400</v>
      </c>
      <c r="M160" s="1357">
        <f>SUMIFS(Sheet1!S71_OY2AdjustedBudget,Sheet1!S71_A2SubCode,$AC:$AC,Sheet1!S71_ItemType,$AD:$AD)</f>
        <v>213484</v>
      </c>
      <c r="N160" s="126"/>
      <c r="AC160" s="1345">
        <v>2110</v>
      </c>
      <c r="AD160" s="1345" t="s">
        <v>1812</v>
      </c>
    </row>
    <row r="161" spans="1:30" ht="13.5" customHeight="1" x14ac:dyDescent="0.25">
      <c r="A161" s="830" t="str">
        <f t="shared" ref="A161:A192" si="35">A39</f>
        <v>Indigenous and Customary Law</v>
      </c>
      <c r="B161" s="724"/>
      <c r="C161" s="1360">
        <f>SUMIFS(Sheet1!S71_OriginalBudget,Sheet1!S71_A2SubCode,$AC:$AC,Sheet1!S71_ItemType,$AD:$AD)</f>
        <v>261500</v>
      </c>
      <c r="D161" s="1356">
        <f>SUMIFS(Sheet1!S71_SpecialAdjustedBudget,Sheet1!S71_A2SubCode,$AC:$AC,Sheet1!S71_ItemType,$AD:$AD)</f>
        <v>261500</v>
      </c>
      <c r="E161" s="1356"/>
      <c r="F161" s="1356"/>
      <c r="G161" s="1356"/>
      <c r="H161" s="1356"/>
      <c r="I161" s="1356">
        <f>SUMIFS(Sheet1!S71_AdjustmentAmount,Sheet1!S71_A2SubCode,$AC:$AC,Sheet1!S71_ItemType,$AD:$AD)</f>
        <v>-156500</v>
      </c>
      <c r="J161" s="171">
        <f t="shared" si="30"/>
        <v>-156500</v>
      </c>
      <c r="K161" s="171">
        <f t="shared" si="31"/>
        <v>105000</v>
      </c>
      <c r="L161" s="1356">
        <f>SUMIFS(Sheet1!S71_OY1AdjustedBudget,Sheet1!S71_A2SubCode,$AC:$AC,Sheet1!S71_ItemType,$AD:$AD)</f>
        <v>277190</v>
      </c>
      <c r="M161" s="1357">
        <f>SUMIFS(Sheet1!S71_OY2AdjustedBudget,Sheet1!S71_A2SubCode,$AC:$AC,Sheet1!S71_ItemType,$AD:$AD)</f>
        <v>293821</v>
      </c>
      <c r="N161" s="126"/>
      <c r="AC161" s="1345">
        <v>2111</v>
      </c>
      <c r="AD161" s="1345" t="s">
        <v>1812</v>
      </c>
    </row>
    <row r="162" spans="1:30" ht="13.5" customHeight="1" x14ac:dyDescent="0.25">
      <c r="A162" s="830" t="str">
        <f t="shared" si="35"/>
        <v>Industrial Promotion</v>
      </c>
      <c r="B162" s="724"/>
      <c r="C162" s="1360">
        <f>SUMIFS(Sheet1!S71_OriginalBudget,Sheet1!S71_A2SubCode,$AC:$AC,Sheet1!S71_ItemType,$AD:$AD)</f>
        <v>380000</v>
      </c>
      <c r="D162" s="1356">
        <f>SUMIFS(Sheet1!S71_SpecialAdjustedBudget,Sheet1!S71_A2SubCode,$AC:$AC,Sheet1!S71_ItemType,$AD:$AD)</f>
        <v>380000</v>
      </c>
      <c r="E162" s="1356"/>
      <c r="F162" s="1356"/>
      <c r="G162" s="1356"/>
      <c r="H162" s="1356"/>
      <c r="I162" s="1356">
        <f>SUMIFS(Sheet1!S71_AdjustmentAmount,Sheet1!S71_A2SubCode,$AC:$AC,Sheet1!S71_ItemType,$AD:$AD)</f>
        <v>0</v>
      </c>
      <c r="J162" s="171">
        <f t="shared" si="30"/>
        <v>0</v>
      </c>
      <c r="K162" s="171">
        <f t="shared" si="31"/>
        <v>380000</v>
      </c>
      <c r="L162" s="1356">
        <f>SUMIFS(Sheet1!S71_OY1AdjustedBudget,Sheet1!S71_A2SubCode,$AC:$AC,Sheet1!S71_ItemType,$AD:$AD)</f>
        <v>402800</v>
      </c>
      <c r="M162" s="1357">
        <f>SUMIFS(Sheet1!S71_OY2AdjustedBudget,Sheet1!S71_A2SubCode,$AC:$AC,Sheet1!S71_ItemType,$AD:$AD)</f>
        <v>426968</v>
      </c>
      <c r="N162" s="126"/>
      <c r="AC162" s="1345">
        <v>2112</v>
      </c>
      <c r="AD162" s="1345" t="s">
        <v>1812</v>
      </c>
    </row>
    <row r="163" spans="1:30" ht="13.5" customHeight="1" x14ac:dyDescent="0.25">
      <c r="A163" s="830" t="str">
        <f t="shared" si="35"/>
        <v>Language Policy</v>
      </c>
      <c r="B163" s="724"/>
      <c r="C163" s="1360">
        <f>SUMIFS(Sheet1!S71_OriginalBudget,Sheet1!S71_A2SubCode,$AC:$AC,Sheet1!S71_ItemType,$AD:$AD)</f>
        <v>0</v>
      </c>
      <c r="D163" s="1356">
        <f>SUMIFS(Sheet1!S71_SpecialAdjustedBudget,Sheet1!S71_A2SubCode,$AC:$AC,Sheet1!S71_ItemType,$AD:$AD)</f>
        <v>0</v>
      </c>
      <c r="E163" s="1356"/>
      <c r="F163" s="1356"/>
      <c r="G163" s="1356"/>
      <c r="H163" s="1356"/>
      <c r="I163" s="1356">
        <f>SUMIFS(Sheet1!S71_AdjustmentAmount,Sheet1!S71_A2SubCode,$AC:$AC,Sheet1!S71_ItemType,$AD:$AD)</f>
        <v>0</v>
      </c>
      <c r="J163" s="171">
        <f t="shared" si="30"/>
        <v>0</v>
      </c>
      <c r="K163" s="171">
        <f t="shared" si="31"/>
        <v>0</v>
      </c>
      <c r="L163" s="1356">
        <f>SUMIFS(Sheet1!S71_OY1AdjustedBudget,Sheet1!S71_A2SubCode,$AC:$AC,Sheet1!S71_ItemType,$AD:$AD)</f>
        <v>0</v>
      </c>
      <c r="M163" s="1357">
        <f>SUMIFS(Sheet1!S71_OY2AdjustedBudget,Sheet1!S71_A2SubCode,$AC:$AC,Sheet1!S71_ItemType,$AD:$AD)</f>
        <v>0</v>
      </c>
      <c r="N163" s="126"/>
      <c r="AC163" s="1345">
        <v>2113</v>
      </c>
      <c r="AD163" s="1345" t="s">
        <v>1812</v>
      </c>
    </row>
    <row r="164" spans="1:30" ht="13.5" customHeight="1" x14ac:dyDescent="0.25">
      <c r="A164" s="830" t="str">
        <f t="shared" si="35"/>
        <v>Libraries and Archives</v>
      </c>
      <c r="B164" s="724"/>
      <c r="C164" s="1360">
        <f>SUMIFS(Sheet1!S71_OriginalBudget,Sheet1!S71_A2SubCode,$AC:$AC,Sheet1!S71_ItemType,$AD:$AD)</f>
        <v>2919704</v>
      </c>
      <c r="D164" s="1356">
        <f>SUMIFS(Sheet1!S71_SpecialAdjustedBudget,Sheet1!S71_A2SubCode,$AC:$AC,Sheet1!S71_ItemType,$AD:$AD)</f>
        <v>2919704</v>
      </c>
      <c r="E164" s="1356"/>
      <c r="F164" s="1356"/>
      <c r="G164" s="1356"/>
      <c r="H164" s="1356"/>
      <c r="I164" s="1356">
        <f>SUMIFS(Sheet1!S71_AdjustmentAmount,Sheet1!S71_A2SubCode,$AC:$AC,Sheet1!S71_ItemType,$AD:$AD)</f>
        <v>0</v>
      </c>
      <c r="J164" s="171">
        <f t="shared" si="30"/>
        <v>0</v>
      </c>
      <c r="K164" s="171">
        <f t="shared" si="31"/>
        <v>2919704</v>
      </c>
      <c r="L164" s="1356">
        <f>SUMIFS(Sheet1!S71_OY1AdjustedBudget,Sheet1!S71_A2SubCode,$AC:$AC,Sheet1!S71_ItemType,$AD:$AD)</f>
        <v>3120084</v>
      </c>
      <c r="M164" s="1357">
        <f>SUMIFS(Sheet1!S71_OY2AdjustedBudget,Sheet1!S71_A2SubCode,$AC:$AC,Sheet1!S71_ItemType,$AD:$AD)</f>
        <v>3334250</v>
      </c>
      <c r="N164" s="126"/>
      <c r="AC164" s="1345">
        <v>2114</v>
      </c>
      <c r="AD164" s="1345" t="s">
        <v>1812</v>
      </c>
    </row>
    <row r="165" spans="1:30" ht="13.5" customHeight="1" x14ac:dyDescent="0.25">
      <c r="A165" s="830" t="str">
        <f t="shared" si="35"/>
        <v>Literacy Programmes</v>
      </c>
      <c r="B165" s="724"/>
      <c r="C165" s="1360">
        <f>SUMIFS(Sheet1!S71_OriginalBudget,Sheet1!S71_A2SubCode,$AC:$AC,Sheet1!S71_ItemType,$AD:$AD)</f>
        <v>2320000</v>
      </c>
      <c r="D165" s="1356">
        <f>SUMIFS(Sheet1!S71_SpecialAdjustedBudget,Sheet1!S71_A2SubCode,$AC:$AC,Sheet1!S71_ItemType,$AD:$AD)</f>
        <v>2320000</v>
      </c>
      <c r="E165" s="1356"/>
      <c r="F165" s="1356"/>
      <c r="G165" s="1356"/>
      <c r="H165" s="1356"/>
      <c r="I165" s="1356">
        <f>SUMIFS(Sheet1!S71_AdjustmentAmount,Sheet1!S71_A2SubCode,$AC:$AC,Sheet1!S71_ItemType,$AD:$AD)</f>
        <v>170000</v>
      </c>
      <c r="J165" s="171">
        <f t="shared" si="30"/>
        <v>170000</v>
      </c>
      <c r="K165" s="171">
        <f t="shared" si="31"/>
        <v>2490000</v>
      </c>
      <c r="L165" s="1356">
        <f>SUMIFS(Sheet1!S71_OY1AdjustedBudget,Sheet1!S71_A2SubCode,$AC:$AC,Sheet1!S71_ItemType,$AD:$AD)</f>
        <v>2459200</v>
      </c>
      <c r="M165" s="1357">
        <f>SUMIFS(Sheet1!S71_OY2AdjustedBudget,Sheet1!S71_A2SubCode,$AC:$AC,Sheet1!S71_ItemType,$AD:$AD)</f>
        <v>2606752</v>
      </c>
      <c r="N165" s="126"/>
      <c r="AC165" s="1345">
        <v>2115</v>
      </c>
      <c r="AD165" s="1345" t="s">
        <v>1812</v>
      </c>
    </row>
    <row r="166" spans="1:30" ht="13.5" customHeight="1" x14ac:dyDescent="0.25">
      <c r="A166" s="830" t="str">
        <f t="shared" si="35"/>
        <v>Media Services</v>
      </c>
      <c r="B166" s="724"/>
      <c r="C166" s="1360">
        <f>SUMIFS(Sheet1!S71_OriginalBudget,Sheet1!S71_A2SubCode,$AC:$AC,Sheet1!S71_ItemType,$AD:$AD)</f>
        <v>0</v>
      </c>
      <c r="D166" s="1356">
        <f>SUMIFS(Sheet1!S71_SpecialAdjustedBudget,Sheet1!S71_A2SubCode,$AC:$AC,Sheet1!S71_ItemType,$AD:$AD)</f>
        <v>0</v>
      </c>
      <c r="E166" s="1356"/>
      <c r="F166" s="1356"/>
      <c r="G166" s="1356"/>
      <c r="H166" s="1356"/>
      <c r="I166" s="1356">
        <f>SUMIFS(Sheet1!S71_AdjustmentAmount,Sheet1!S71_A2SubCode,$AC:$AC,Sheet1!S71_ItemType,$AD:$AD)</f>
        <v>0</v>
      </c>
      <c r="J166" s="171">
        <f t="shared" si="30"/>
        <v>0</v>
      </c>
      <c r="K166" s="171">
        <f t="shared" si="31"/>
        <v>0</v>
      </c>
      <c r="L166" s="1356">
        <f>SUMIFS(Sheet1!S71_OY1AdjustedBudget,Sheet1!S71_A2SubCode,$AC:$AC,Sheet1!S71_ItemType,$AD:$AD)</f>
        <v>0</v>
      </c>
      <c r="M166" s="1357">
        <f>SUMIFS(Sheet1!S71_OY2AdjustedBudget,Sheet1!S71_A2SubCode,$AC:$AC,Sheet1!S71_ItemType,$AD:$AD)</f>
        <v>0</v>
      </c>
      <c r="N166" s="126"/>
      <c r="AC166" s="1345">
        <v>2116</v>
      </c>
      <c r="AD166" s="1345" t="s">
        <v>1812</v>
      </c>
    </row>
    <row r="167" spans="1:30" ht="13.5" customHeight="1" x14ac:dyDescent="0.25">
      <c r="A167" s="830" t="str">
        <f t="shared" si="35"/>
        <v>Museums and Art Galleries</v>
      </c>
      <c r="B167" s="724"/>
      <c r="C167" s="1360">
        <f>SUMIFS(Sheet1!S71_OriginalBudget,Sheet1!S71_A2SubCode,$AC:$AC,Sheet1!S71_ItemType,$AD:$AD)</f>
        <v>0</v>
      </c>
      <c r="D167" s="1356">
        <f>SUMIFS(Sheet1!S71_SpecialAdjustedBudget,Sheet1!S71_A2SubCode,$AC:$AC,Sheet1!S71_ItemType,$AD:$AD)</f>
        <v>0</v>
      </c>
      <c r="E167" s="1356"/>
      <c r="F167" s="1356"/>
      <c r="G167" s="1356"/>
      <c r="H167" s="1356"/>
      <c r="I167" s="1356">
        <f>SUMIFS(Sheet1!S71_AdjustmentAmount,Sheet1!S71_A2SubCode,$AC:$AC,Sheet1!S71_ItemType,$AD:$AD)</f>
        <v>0</v>
      </c>
      <c r="J167" s="171">
        <f t="shared" si="30"/>
        <v>0</v>
      </c>
      <c r="K167" s="171">
        <f t="shared" si="31"/>
        <v>0</v>
      </c>
      <c r="L167" s="1356">
        <f>SUMIFS(Sheet1!S71_OY1AdjustedBudget,Sheet1!S71_A2SubCode,$AC:$AC,Sheet1!S71_ItemType,$AD:$AD)</f>
        <v>0</v>
      </c>
      <c r="M167" s="1357">
        <f>SUMIFS(Sheet1!S71_OY2AdjustedBudget,Sheet1!S71_A2SubCode,$AC:$AC,Sheet1!S71_ItemType,$AD:$AD)</f>
        <v>0</v>
      </c>
      <c r="N167" s="126"/>
      <c r="AC167" s="1345">
        <v>2117</v>
      </c>
      <c r="AD167" s="1345" t="s">
        <v>1812</v>
      </c>
    </row>
    <row r="168" spans="1:30" ht="13.5" customHeight="1" x14ac:dyDescent="0.25">
      <c r="A168" s="830" t="str">
        <f t="shared" si="35"/>
        <v>Population Development</v>
      </c>
      <c r="B168" s="724"/>
      <c r="C168" s="1360">
        <f>SUMIFS(Sheet1!S71_OriginalBudget,Sheet1!S71_A2SubCode,$AC:$AC,Sheet1!S71_ItemType,$AD:$AD)</f>
        <v>2906500</v>
      </c>
      <c r="D168" s="1356">
        <f>SUMIFS(Sheet1!S71_SpecialAdjustedBudget,Sheet1!S71_A2SubCode,$AC:$AC,Sheet1!S71_ItemType,$AD:$AD)</f>
        <v>2906500</v>
      </c>
      <c r="E168" s="1356"/>
      <c r="F168" s="1356"/>
      <c r="G168" s="1356"/>
      <c r="H168" s="1356"/>
      <c r="I168" s="1356">
        <f>SUMIFS(Sheet1!S71_AdjustmentAmount,Sheet1!S71_A2SubCode,$AC:$AC,Sheet1!S71_ItemType,$AD:$AD)</f>
        <v>-233986</v>
      </c>
      <c r="J168" s="171">
        <f t="shared" si="30"/>
        <v>-233986</v>
      </c>
      <c r="K168" s="171">
        <f t="shared" si="31"/>
        <v>2672514</v>
      </c>
      <c r="L168" s="1356">
        <f>SUMIFS(Sheet1!S71_OY1AdjustedBudget,Sheet1!S71_A2SubCode,$AC:$AC,Sheet1!S71_ItemType,$AD:$AD)</f>
        <v>3080890</v>
      </c>
      <c r="M168" s="1357">
        <f>SUMIFS(Sheet1!S71_OY2AdjustedBudget,Sheet1!S71_A2SubCode,$AC:$AC,Sheet1!S71_ItemType,$AD:$AD)</f>
        <v>3265742</v>
      </c>
      <c r="N168" s="126"/>
      <c r="AC168" s="1345">
        <v>2118</v>
      </c>
      <c r="AD168" s="1345" t="s">
        <v>1812</v>
      </c>
    </row>
    <row r="169" spans="1:30" ht="13.5" customHeight="1" x14ac:dyDescent="0.25">
      <c r="A169" s="830" t="str">
        <f t="shared" si="35"/>
        <v>Provincial Cultural Matters</v>
      </c>
      <c r="B169" s="724"/>
      <c r="C169" s="1360">
        <f>SUMIFS(Sheet1!S71_OriginalBudget,Sheet1!S71_A2SubCode,$AC:$AC,Sheet1!S71_ItemType,$AD:$AD)</f>
        <v>0</v>
      </c>
      <c r="D169" s="1356">
        <f>SUMIFS(Sheet1!S71_SpecialAdjustedBudget,Sheet1!S71_A2SubCode,$AC:$AC,Sheet1!S71_ItemType,$AD:$AD)</f>
        <v>0</v>
      </c>
      <c r="E169" s="1356"/>
      <c r="F169" s="1356"/>
      <c r="G169" s="1356"/>
      <c r="H169" s="1356"/>
      <c r="I169" s="1356">
        <f>SUMIFS(Sheet1!S71_AdjustmentAmount,Sheet1!S71_A2SubCode,$AC:$AC,Sheet1!S71_ItemType,$AD:$AD)</f>
        <v>0</v>
      </c>
      <c r="J169" s="171">
        <f t="shared" si="30"/>
        <v>0</v>
      </c>
      <c r="K169" s="171">
        <f t="shared" si="31"/>
        <v>0</v>
      </c>
      <c r="L169" s="1356">
        <f>SUMIFS(Sheet1!S71_OY1AdjustedBudget,Sheet1!S71_A2SubCode,$AC:$AC,Sheet1!S71_ItemType,$AD:$AD)</f>
        <v>0</v>
      </c>
      <c r="M169" s="1357">
        <f>SUMIFS(Sheet1!S71_OY2AdjustedBudget,Sheet1!S71_A2SubCode,$AC:$AC,Sheet1!S71_ItemType,$AD:$AD)</f>
        <v>0</v>
      </c>
      <c r="N169" s="126"/>
      <c r="AC169" s="1345">
        <v>2119</v>
      </c>
      <c r="AD169" s="1345" t="s">
        <v>1812</v>
      </c>
    </row>
    <row r="170" spans="1:30" ht="13.5" customHeight="1" x14ac:dyDescent="0.25">
      <c r="A170" s="830" t="str">
        <f t="shared" si="35"/>
        <v>Theatres</v>
      </c>
      <c r="B170" s="724"/>
      <c r="C170" s="1360">
        <f>SUMIFS(Sheet1!S71_OriginalBudget,Sheet1!S71_A2SubCode,$AC:$AC,Sheet1!S71_ItemType,$AD:$AD)</f>
        <v>0</v>
      </c>
      <c r="D170" s="1356">
        <f>SUMIFS(Sheet1!S71_SpecialAdjustedBudget,Sheet1!S71_A2SubCode,$AC:$AC,Sheet1!S71_ItemType,$AD:$AD)</f>
        <v>0</v>
      </c>
      <c r="E170" s="1356"/>
      <c r="F170" s="1356"/>
      <c r="G170" s="1356"/>
      <c r="H170" s="1356"/>
      <c r="I170" s="1356">
        <f>SUMIFS(Sheet1!S71_AdjustmentAmount,Sheet1!S71_A2SubCode,$AC:$AC,Sheet1!S71_ItemType,$AD:$AD)</f>
        <v>0</v>
      </c>
      <c r="J170" s="171">
        <f t="shared" si="30"/>
        <v>0</v>
      </c>
      <c r="K170" s="171">
        <f t="shared" si="31"/>
        <v>0</v>
      </c>
      <c r="L170" s="1356">
        <f>SUMIFS(Sheet1!S71_OY1AdjustedBudget,Sheet1!S71_A2SubCode,$AC:$AC,Sheet1!S71_ItemType,$AD:$AD)</f>
        <v>0</v>
      </c>
      <c r="M170" s="1357">
        <f>SUMIFS(Sheet1!S71_OY2AdjustedBudget,Sheet1!S71_A2SubCode,$AC:$AC,Sheet1!S71_ItemType,$AD:$AD)</f>
        <v>0</v>
      </c>
      <c r="N170" s="126"/>
      <c r="AC170" s="1345">
        <v>2120</v>
      </c>
      <c r="AD170" s="1345" t="s">
        <v>1812</v>
      </c>
    </row>
    <row r="171" spans="1:30" ht="13.5" customHeight="1" x14ac:dyDescent="0.25">
      <c r="A171" s="830" t="str">
        <f t="shared" si="35"/>
        <v>Zoo's</v>
      </c>
      <c r="B171" s="724"/>
      <c r="C171" s="1360">
        <f>SUMIFS(Sheet1!S71_OriginalBudget,Sheet1!S71_A2SubCode,$AC:$AC,Sheet1!S71_ItemType,$AD:$AD)</f>
        <v>0</v>
      </c>
      <c r="D171" s="1356">
        <f>SUMIFS(Sheet1!S71_SpecialAdjustedBudget,Sheet1!S71_A2SubCode,$AC:$AC,Sheet1!S71_ItemType,$AD:$AD)</f>
        <v>0</v>
      </c>
      <c r="E171" s="1356"/>
      <c r="F171" s="1356"/>
      <c r="G171" s="1356"/>
      <c r="H171" s="1356"/>
      <c r="I171" s="1356">
        <f>SUMIFS(Sheet1!S71_AdjustmentAmount,Sheet1!S71_A2SubCode,$AC:$AC,Sheet1!S71_ItemType,$AD:$AD)</f>
        <v>0</v>
      </c>
      <c r="J171" s="171">
        <f t="shared" si="30"/>
        <v>0</v>
      </c>
      <c r="K171" s="171">
        <f t="shared" si="31"/>
        <v>0</v>
      </c>
      <c r="L171" s="1356">
        <f>SUMIFS(Sheet1!S71_OY1AdjustedBudget,Sheet1!S71_A2SubCode,$AC:$AC,Sheet1!S71_ItemType,$AD:$AD)</f>
        <v>0</v>
      </c>
      <c r="M171" s="1357">
        <f>SUMIFS(Sheet1!S71_OY2AdjustedBudget,Sheet1!S71_A2SubCode,$AC:$AC,Sheet1!S71_ItemType,$AD:$AD)</f>
        <v>0</v>
      </c>
      <c r="N171" s="126"/>
      <c r="AC171" s="1345">
        <v>2121</v>
      </c>
      <c r="AD171" s="1345" t="s">
        <v>1812</v>
      </c>
    </row>
    <row r="172" spans="1:30" ht="13.5" customHeight="1" x14ac:dyDescent="0.25">
      <c r="A172" s="710" t="str">
        <f t="shared" si="35"/>
        <v>Sport and recreation</v>
      </c>
      <c r="B172" s="724"/>
      <c r="C172" s="711">
        <f t="shared" ref="C172:I172" si="36">SUM(C173:C177)</f>
        <v>3300000</v>
      </c>
      <c r="D172" s="268">
        <f t="shared" si="36"/>
        <v>3300000</v>
      </c>
      <c r="E172" s="268">
        <f t="shared" si="36"/>
        <v>0</v>
      </c>
      <c r="F172" s="268">
        <f t="shared" si="36"/>
        <v>0</v>
      </c>
      <c r="G172" s="268">
        <f t="shared" si="36"/>
        <v>0</v>
      </c>
      <c r="H172" s="268">
        <f t="shared" si="36"/>
        <v>0</v>
      </c>
      <c r="I172" s="268">
        <f t="shared" si="36"/>
        <v>-942500</v>
      </c>
      <c r="J172" s="268">
        <f t="shared" si="30"/>
        <v>-942500</v>
      </c>
      <c r="K172" s="268">
        <f t="shared" si="31"/>
        <v>2357500</v>
      </c>
      <c r="L172" s="268">
        <f>SUM(L173:L177)</f>
        <v>3558000</v>
      </c>
      <c r="M172" s="269">
        <f>SUM(M173:M177)</f>
        <v>3837480</v>
      </c>
      <c r="N172" s="126"/>
      <c r="AD172" s="1345" t="s">
        <v>1224</v>
      </c>
    </row>
    <row r="173" spans="1:30" ht="13.5" customHeight="1" x14ac:dyDescent="0.25">
      <c r="A173" s="830" t="str">
        <f t="shared" si="35"/>
        <v xml:space="preserve">Beaches and Jetties </v>
      </c>
      <c r="B173" s="724"/>
      <c r="C173" s="1360">
        <f>SUMIFS(Sheet1!S71_OriginalBudget,Sheet1!S71_A2SubCode,$AC:$AC,Sheet1!S71_ItemType,$AD:$AD)</f>
        <v>0</v>
      </c>
      <c r="D173" s="1356">
        <f>SUMIFS(Sheet1!S71_SpecialAdjustedBudget,Sheet1!S71_A2SubCode,$AC:$AC,Sheet1!S71_ItemType,$AD:$AD)</f>
        <v>0</v>
      </c>
      <c r="E173" s="1356"/>
      <c r="F173" s="1356"/>
      <c r="G173" s="1356"/>
      <c r="H173" s="1356"/>
      <c r="I173" s="1356">
        <f>SUMIFS(Sheet1!S71_AdjustmentAmount,Sheet1!S71_A2SubCode,$AC:$AC,Sheet1!S71_ItemType,$AD:$AD)</f>
        <v>0</v>
      </c>
      <c r="J173" s="171">
        <f t="shared" si="30"/>
        <v>0</v>
      </c>
      <c r="K173" s="171">
        <f t="shared" si="31"/>
        <v>0</v>
      </c>
      <c r="L173" s="1356">
        <f>SUMIFS(Sheet1!S71_OY1AdjustedBudget,Sheet1!S71_A2SubCode,$AC:$AC,Sheet1!S71_ItemType,$AD:$AD)</f>
        <v>0</v>
      </c>
      <c r="M173" s="1357">
        <f>SUMIFS(Sheet1!S71_OY2AdjustedBudget,Sheet1!S71_A2SubCode,$AC:$AC,Sheet1!S71_ItemType,$AD:$AD)</f>
        <v>0</v>
      </c>
      <c r="N173" s="126"/>
      <c r="AC173" s="1345">
        <v>2201</v>
      </c>
      <c r="AD173" s="1345" t="s">
        <v>1812</v>
      </c>
    </row>
    <row r="174" spans="1:30" ht="13.5" customHeight="1" x14ac:dyDescent="0.25">
      <c r="A174" s="830" t="str">
        <f t="shared" si="35"/>
        <v>Casinos, Racing, Gambling, Wagering</v>
      </c>
      <c r="B174" s="724"/>
      <c r="C174" s="1360">
        <f>SUMIFS(Sheet1!S71_OriginalBudget,Sheet1!S71_A2SubCode,$AC:$AC,Sheet1!S71_ItemType,$AD:$AD)</f>
        <v>0</v>
      </c>
      <c r="D174" s="1356">
        <f>SUMIFS(Sheet1!S71_SpecialAdjustedBudget,Sheet1!S71_A2SubCode,$AC:$AC,Sheet1!S71_ItemType,$AD:$AD)</f>
        <v>0</v>
      </c>
      <c r="E174" s="1356"/>
      <c r="F174" s="1356"/>
      <c r="G174" s="1356"/>
      <c r="H174" s="1356"/>
      <c r="I174" s="1356">
        <f>SUMIFS(Sheet1!S71_AdjustmentAmount,Sheet1!S71_A2SubCode,$AC:$AC,Sheet1!S71_ItemType,$AD:$AD)</f>
        <v>0</v>
      </c>
      <c r="J174" s="171">
        <f t="shared" si="30"/>
        <v>0</v>
      </c>
      <c r="K174" s="171">
        <f t="shared" si="31"/>
        <v>0</v>
      </c>
      <c r="L174" s="1356">
        <f>SUMIFS(Sheet1!S71_OY1AdjustedBudget,Sheet1!S71_A2SubCode,$AC:$AC,Sheet1!S71_ItemType,$AD:$AD)</f>
        <v>0</v>
      </c>
      <c r="M174" s="1357">
        <f>SUMIFS(Sheet1!S71_OY2AdjustedBudget,Sheet1!S71_A2SubCode,$AC:$AC,Sheet1!S71_ItemType,$AD:$AD)</f>
        <v>0</v>
      </c>
      <c r="N174" s="126"/>
      <c r="AC174" s="1345">
        <v>2202</v>
      </c>
      <c r="AD174" s="1345" t="s">
        <v>1812</v>
      </c>
    </row>
    <row r="175" spans="1:30" ht="13.5" customHeight="1" x14ac:dyDescent="0.25">
      <c r="A175" s="830" t="str">
        <f t="shared" si="35"/>
        <v>Community Parks (including Nurseries)</v>
      </c>
      <c r="B175" s="724"/>
      <c r="C175" s="1360">
        <f>SUMIFS(Sheet1!S71_OriginalBudget,Sheet1!S71_A2SubCode,$AC:$AC,Sheet1!S71_ItemType,$AD:$AD)</f>
        <v>0</v>
      </c>
      <c r="D175" s="1356">
        <f>SUMIFS(Sheet1!S71_SpecialAdjustedBudget,Sheet1!S71_A2SubCode,$AC:$AC,Sheet1!S71_ItemType,$AD:$AD)</f>
        <v>0</v>
      </c>
      <c r="E175" s="1356"/>
      <c r="F175" s="1356"/>
      <c r="G175" s="1356"/>
      <c r="H175" s="1356"/>
      <c r="I175" s="1356">
        <f>SUMIFS(Sheet1!S71_AdjustmentAmount,Sheet1!S71_A2SubCode,$AC:$AC,Sheet1!S71_ItemType,$AD:$AD)</f>
        <v>0</v>
      </c>
      <c r="J175" s="171">
        <f t="shared" si="30"/>
        <v>0</v>
      </c>
      <c r="K175" s="171">
        <f t="shared" si="31"/>
        <v>0</v>
      </c>
      <c r="L175" s="1356">
        <f>SUMIFS(Sheet1!S71_OY1AdjustedBudget,Sheet1!S71_A2SubCode,$AC:$AC,Sheet1!S71_ItemType,$AD:$AD)</f>
        <v>0</v>
      </c>
      <c r="M175" s="1357">
        <f>SUMIFS(Sheet1!S71_OY2AdjustedBudget,Sheet1!S71_A2SubCode,$AC:$AC,Sheet1!S71_ItemType,$AD:$AD)</f>
        <v>0</v>
      </c>
      <c r="N175" s="126"/>
      <c r="AC175" s="1345">
        <v>2203</v>
      </c>
      <c r="AD175" s="1345" t="s">
        <v>1812</v>
      </c>
    </row>
    <row r="176" spans="1:30" ht="13.5" customHeight="1" x14ac:dyDescent="0.25">
      <c r="A176" s="830" t="str">
        <f t="shared" si="35"/>
        <v>Recreational Facilities</v>
      </c>
      <c r="B176" s="724"/>
      <c r="C176" s="1360">
        <f>SUMIFS(Sheet1!S71_OriginalBudget,Sheet1!S71_A2SubCode,$AC:$AC,Sheet1!S71_ItemType,$AD:$AD)</f>
        <v>0</v>
      </c>
      <c r="D176" s="1356">
        <f>SUMIFS(Sheet1!S71_SpecialAdjustedBudget,Sheet1!S71_A2SubCode,$AC:$AC,Sheet1!S71_ItemType,$AD:$AD)</f>
        <v>0</v>
      </c>
      <c r="E176" s="1356"/>
      <c r="F176" s="1356"/>
      <c r="G176" s="1356"/>
      <c r="H176" s="1356"/>
      <c r="I176" s="1356">
        <f>SUMIFS(Sheet1!S71_AdjustmentAmount,Sheet1!S71_A2SubCode,$AC:$AC,Sheet1!S71_ItemType,$AD:$AD)</f>
        <v>0</v>
      </c>
      <c r="J176" s="171">
        <f t="shared" si="30"/>
        <v>0</v>
      </c>
      <c r="K176" s="171">
        <f t="shared" si="31"/>
        <v>0</v>
      </c>
      <c r="L176" s="1356">
        <f>SUMIFS(Sheet1!S71_OY1AdjustedBudget,Sheet1!S71_A2SubCode,$AC:$AC,Sheet1!S71_ItemType,$AD:$AD)</f>
        <v>0</v>
      </c>
      <c r="M176" s="1357">
        <f>SUMIFS(Sheet1!S71_OY2AdjustedBudget,Sheet1!S71_A2SubCode,$AC:$AC,Sheet1!S71_ItemType,$AD:$AD)</f>
        <v>0</v>
      </c>
      <c r="N176" s="126"/>
      <c r="AC176" s="1345">
        <v>2204</v>
      </c>
      <c r="AD176" s="1345" t="s">
        <v>1812</v>
      </c>
    </row>
    <row r="177" spans="1:30" ht="13.5" customHeight="1" x14ac:dyDescent="0.25">
      <c r="A177" s="830" t="str">
        <f t="shared" si="35"/>
        <v>Sports Grounds and Stadiums</v>
      </c>
      <c r="B177" s="724"/>
      <c r="C177" s="1360">
        <f>SUMIFS(Sheet1!S71_OriginalBudget,Sheet1!S71_A2SubCode,$AC:$AC,Sheet1!S71_ItemType,$AD:$AD)</f>
        <v>3300000</v>
      </c>
      <c r="D177" s="1356">
        <f>SUMIFS(Sheet1!S71_SpecialAdjustedBudget,Sheet1!S71_A2SubCode,$AC:$AC,Sheet1!S71_ItemType,$AD:$AD)</f>
        <v>3300000</v>
      </c>
      <c r="E177" s="1356"/>
      <c r="F177" s="1356"/>
      <c r="G177" s="1356"/>
      <c r="H177" s="1356"/>
      <c r="I177" s="1356">
        <f>SUMIFS(Sheet1!S71_AdjustmentAmount,Sheet1!S71_A2SubCode,$AC:$AC,Sheet1!S71_ItemType,$AD:$AD)</f>
        <v>-942500</v>
      </c>
      <c r="J177" s="171">
        <f t="shared" si="30"/>
        <v>-942500</v>
      </c>
      <c r="K177" s="171">
        <f t="shared" si="31"/>
        <v>2357500</v>
      </c>
      <c r="L177" s="1356">
        <f>SUMIFS(Sheet1!S71_OY1AdjustedBudget,Sheet1!S71_A2SubCode,$AC:$AC,Sheet1!S71_ItemType,$AD:$AD)</f>
        <v>3558000</v>
      </c>
      <c r="M177" s="1357">
        <f>SUMIFS(Sheet1!S71_OY2AdjustedBudget,Sheet1!S71_A2SubCode,$AC:$AC,Sheet1!S71_ItemType,$AD:$AD)</f>
        <v>3837480</v>
      </c>
      <c r="N177" s="126"/>
      <c r="AC177" s="1345">
        <v>2205</v>
      </c>
      <c r="AD177" s="1345" t="s">
        <v>1812</v>
      </c>
    </row>
    <row r="178" spans="1:30" ht="13.5" customHeight="1" x14ac:dyDescent="0.25">
      <c r="A178" s="710" t="str">
        <f t="shared" si="35"/>
        <v>Public safety</v>
      </c>
      <c r="B178" s="724"/>
      <c r="C178" s="711">
        <f t="shared" ref="C178:I178" si="37">SUM(C179:C186)</f>
        <v>15000</v>
      </c>
      <c r="D178" s="268">
        <f t="shared" si="37"/>
        <v>15000</v>
      </c>
      <c r="E178" s="268">
        <f t="shared" si="37"/>
        <v>0</v>
      </c>
      <c r="F178" s="268">
        <f t="shared" si="37"/>
        <v>0</v>
      </c>
      <c r="G178" s="268">
        <f t="shared" si="37"/>
        <v>0</v>
      </c>
      <c r="H178" s="268">
        <f t="shared" si="37"/>
        <v>0</v>
      </c>
      <c r="I178" s="268">
        <f t="shared" si="37"/>
        <v>-15000</v>
      </c>
      <c r="J178" s="268">
        <f t="shared" si="30"/>
        <v>-15000</v>
      </c>
      <c r="K178" s="268">
        <f t="shared" si="31"/>
        <v>0</v>
      </c>
      <c r="L178" s="268">
        <f>SUM(L179:L186)</f>
        <v>15900</v>
      </c>
      <c r="M178" s="269">
        <f>SUM(M179:M186)</f>
        <v>16854</v>
      </c>
      <c r="N178" s="126"/>
      <c r="AD178" s="1345" t="s">
        <v>1224</v>
      </c>
    </row>
    <row r="179" spans="1:30" ht="13.5" customHeight="1" x14ac:dyDescent="0.25">
      <c r="A179" s="830" t="str">
        <f t="shared" si="35"/>
        <v>Civil Defence</v>
      </c>
      <c r="B179" s="724"/>
      <c r="C179" s="1360">
        <f>SUMIFS(Sheet1!S71_OriginalBudget,Sheet1!S71_A2SubCode,$AC:$AC,Sheet1!S71_ItemType,$AD:$AD)</f>
        <v>0</v>
      </c>
      <c r="D179" s="1356">
        <f>SUMIFS(Sheet1!S71_SpecialAdjustedBudget,Sheet1!S71_A2SubCode,$AC:$AC,Sheet1!S71_ItemType,$AD:$AD)</f>
        <v>0</v>
      </c>
      <c r="E179" s="1356"/>
      <c r="F179" s="1356"/>
      <c r="G179" s="1356"/>
      <c r="H179" s="1356"/>
      <c r="I179" s="1356">
        <f>SUMIFS(Sheet1!S71_AdjustmentAmount,Sheet1!S71_A2SubCode,$AC:$AC,Sheet1!S71_ItemType,$AD:$AD)</f>
        <v>0</v>
      </c>
      <c r="J179" s="171">
        <f t="shared" si="30"/>
        <v>0</v>
      </c>
      <c r="K179" s="171">
        <f t="shared" si="31"/>
        <v>0</v>
      </c>
      <c r="L179" s="1356">
        <f>SUMIFS(Sheet1!S71_OY1AdjustedBudget,Sheet1!S71_A2SubCode,$AC:$AC,Sheet1!S71_ItemType,$AD:$AD)</f>
        <v>0</v>
      </c>
      <c r="M179" s="1357">
        <f>SUMIFS(Sheet1!S71_OY2AdjustedBudget,Sheet1!S71_A2SubCode,$AC:$AC,Sheet1!S71_ItemType,$AD:$AD)</f>
        <v>0</v>
      </c>
      <c r="N179" s="126"/>
      <c r="AC179" s="1345">
        <v>2301</v>
      </c>
      <c r="AD179" s="1345" t="s">
        <v>1812</v>
      </c>
    </row>
    <row r="180" spans="1:30" ht="13.5" customHeight="1" x14ac:dyDescent="0.25">
      <c r="A180" s="830" t="str">
        <f t="shared" si="35"/>
        <v>Cleansing</v>
      </c>
      <c r="B180" s="724"/>
      <c r="C180" s="1360">
        <f>SUMIFS(Sheet1!S71_OriginalBudget,Sheet1!S71_A2SubCode,$AC:$AC,Sheet1!S71_ItemType,$AD:$AD)</f>
        <v>0</v>
      </c>
      <c r="D180" s="1356">
        <f>SUMIFS(Sheet1!S71_SpecialAdjustedBudget,Sheet1!S71_A2SubCode,$AC:$AC,Sheet1!S71_ItemType,$AD:$AD)</f>
        <v>0</v>
      </c>
      <c r="E180" s="1356"/>
      <c r="F180" s="1356"/>
      <c r="G180" s="1356"/>
      <c r="H180" s="1356"/>
      <c r="I180" s="1356">
        <f>SUMIFS(Sheet1!S71_AdjustmentAmount,Sheet1!S71_A2SubCode,$AC:$AC,Sheet1!S71_ItemType,$AD:$AD)</f>
        <v>0</v>
      </c>
      <c r="J180" s="171">
        <f t="shared" si="30"/>
        <v>0</v>
      </c>
      <c r="K180" s="171">
        <f t="shared" si="31"/>
        <v>0</v>
      </c>
      <c r="L180" s="1356">
        <f>SUMIFS(Sheet1!S71_OY1AdjustedBudget,Sheet1!S71_A2SubCode,$AC:$AC,Sheet1!S71_ItemType,$AD:$AD)</f>
        <v>0</v>
      </c>
      <c r="M180" s="1357">
        <f>SUMIFS(Sheet1!S71_OY2AdjustedBudget,Sheet1!S71_A2SubCode,$AC:$AC,Sheet1!S71_ItemType,$AD:$AD)</f>
        <v>0</v>
      </c>
      <c r="N180" s="126"/>
      <c r="AC180" s="1345">
        <v>2302</v>
      </c>
      <c r="AD180" s="1345" t="s">
        <v>1812</v>
      </c>
    </row>
    <row r="181" spans="1:30" ht="13.5" customHeight="1" x14ac:dyDescent="0.25">
      <c r="A181" s="830" t="str">
        <f t="shared" si="35"/>
        <v>Control of Public Nuisances</v>
      </c>
      <c r="B181" s="724"/>
      <c r="C181" s="1360">
        <f>SUMIFS(Sheet1!S71_OriginalBudget,Sheet1!S71_A2SubCode,$AC:$AC,Sheet1!S71_ItemType,$AD:$AD)</f>
        <v>0</v>
      </c>
      <c r="D181" s="1356">
        <f>SUMIFS(Sheet1!S71_SpecialAdjustedBudget,Sheet1!S71_A2SubCode,$AC:$AC,Sheet1!S71_ItemType,$AD:$AD)</f>
        <v>0</v>
      </c>
      <c r="E181" s="1356"/>
      <c r="F181" s="1356"/>
      <c r="G181" s="1356"/>
      <c r="H181" s="1356"/>
      <c r="I181" s="1356">
        <f>SUMIFS(Sheet1!S71_AdjustmentAmount,Sheet1!S71_A2SubCode,$AC:$AC,Sheet1!S71_ItemType,$AD:$AD)</f>
        <v>0</v>
      </c>
      <c r="J181" s="171">
        <f t="shared" si="30"/>
        <v>0</v>
      </c>
      <c r="K181" s="171">
        <f t="shared" si="31"/>
        <v>0</v>
      </c>
      <c r="L181" s="1356">
        <f>SUMIFS(Sheet1!S71_OY1AdjustedBudget,Sheet1!S71_A2SubCode,$AC:$AC,Sheet1!S71_ItemType,$AD:$AD)</f>
        <v>0</v>
      </c>
      <c r="M181" s="1357">
        <f>SUMIFS(Sheet1!S71_OY2AdjustedBudget,Sheet1!S71_A2SubCode,$AC:$AC,Sheet1!S71_ItemType,$AD:$AD)</f>
        <v>0</v>
      </c>
      <c r="N181" s="126"/>
      <c r="AC181" s="1345">
        <v>2303</v>
      </c>
      <c r="AD181" s="1345" t="s">
        <v>1812</v>
      </c>
    </row>
    <row r="182" spans="1:30" ht="13.5" customHeight="1" x14ac:dyDescent="0.25">
      <c r="A182" s="830" t="str">
        <f t="shared" si="35"/>
        <v xml:space="preserve">Fencing and Fences </v>
      </c>
      <c r="B182" s="724"/>
      <c r="C182" s="1360">
        <f>SUMIFS(Sheet1!S71_OriginalBudget,Sheet1!S71_A2SubCode,$AC:$AC,Sheet1!S71_ItemType,$AD:$AD)</f>
        <v>0</v>
      </c>
      <c r="D182" s="1356">
        <f>SUMIFS(Sheet1!S71_SpecialAdjustedBudget,Sheet1!S71_A2SubCode,$AC:$AC,Sheet1!S71_ItemType,$AD:$AD)</f>
        <v>0</v>
      </c>
      <c r="E182" s="1356"/>
      <c r="F182" s="1356"/>
      <c r="G182" s="1356"/>
      <c r="H182" s="1356"/>
      <c r="I182" s="1356">
        <f>SUMIFS(Sheet1!S71_AdjustmentAmount,Sheet1!S71_A2SubCode,$AC:$AC,Sheet1!S71_ItemType,$AD:$AD)</f>
        <v>0</v>
      </c>
      <c r="J182" s="171">
        <f t="shared" si="30"/>
        <v>0</v>
      </c>
      <c r="K182" s="171">
        <f t="shared" si="31"/>
        <v>0</v>
      </c>
      <c r="L182" s="1356">
        <f>SUMIFS(Sheet1!S71_OY1AdjustedBudget,Sheet1!S71_A2SubCode,$AC:$AC,Sheet1!S71_ItemType,$AD:$AD)</f>
        <v>0</v>
      </c>
      <c r="M182" s="1357">
        <f>SUMIFS(Sheet1!S71_OY2AdjustedBudget,Sheet1!S71_A2SubCode,$AC:$AC,Sheet1!S71_ItemType,$AD:$AD)</f>
        <v>0</v>
      </c>
      <c r="N182" s="126"/>
      <c r="AC182" s="1345">
        <v>2304</v>
      </c>
      <c r="AD182" s="1345" t="s">
        <v>1812</v>
      </c>
    </row>
    <row r="183" spans="1:30" ht="13.5" customHeight="1" x14ac:dyDescent="0.25">
      <c r="A183" s="830" t="str">
        <f t="shared" si="35"/>
        <v>Fire Fighting and Protection</v>
      </c>
      <c r="B183" s="724"/>
      <c r="C183" s="1360">
        <f>SUMIFS(Sheet1!S71_OriginalBudget,Sheet1!S71_A2SubCode,$AC:$AC,Sheet1!S71_ItemType,$AD:$AD)</f>
        <v>15000</v>
      </c>
      <c r="D183" s="1356">
        <f>SUMIFS(Sheet1!S71_SpecialAdjustedBudget,Sheet1!S71_A2SubCode,$AC:$AC,Sheet1!S71_ItemType,$AD:$AD)</f>
        <v>15000</v>
      </c>
      <c r="E183" s="1356"/>
      <c r="F183" s="1356"/>
      <c r="G183" s="1356"/>
      <c r="H183" s="1356"/>
      <c r="I183" s="1356">
        <f>SUMIFS(Sheet1!S71_AdjustmentAmount,Sheet1!S71_A2SubCode,$AC:$AC,Sheet1!S71_ItemType,$AD:$AD)</f>
        <v>-15000</v>
      </c>
      <c r="J183" s="171">
        <f t="shared" si="30"/>
        <v>-15000</v>
      </c>
      <c r="K183" s="171">
        <f t="shared" si="31"/>
        <v>0</v>
      </c>
      <c r="L183" s="1356">
        <f>SUMIFS(Sheet1!S71_OY1AdjustedBudget,Sheet1!S71_A2SubCode,$AC:$AC,Sheet1!S71_ItemType,$AD:$AD)</f>
        <v>15900</v>
      </c>
      <c r="M183" s="1357">
        <f>SUMIFS(Sheet1!S71_OY2AdjustedBudget,Sheet1!S71_A2SubCode,$AC:$AC,Sheet1!S71_ItemType,$AD:$AD)</f>
        <v>16854</v>
      </c>
      <c r="N183" s="126"/>
      <c r="AC183" s="1345">
        <v>2305</v>
      </c>
      <c r="AD183" s="1345" t="s">
        <v>1812</v>
      </c>
    </row>
    <row r="184" spans="1:30" ht="13.5" customHeight="1" x14ac:dyDescent="0.25">
      <c r="A184" s="830" t="str">
        <f t="shared" si="35"/>
        <v>Licensing and Control of Animals</v>
      </c>
      <c r="B184" s="724"/>
      <c r="C184" s="1360">
        <f>SUMIFS(Sheet1!S71_OriginalBudget,Sheet1!S71_A2SubCode,$AC:$AC,Sheet1!S71_ItemType,$AD:$AD)</f>
        <v>0</v>
      </c>
      <c r="D184" s="1356">
        <f>SUMIFS(Sheet1!S71_SpecialAdjustedBudget,Sheet1!S71_A2SubCode,$AC:$AC,Sheet1!S71_ItemType,$AD:$AD)</f>
        <v>0</v>
      </c>
      <c r="E184" s="1356"/>
      <c r="F184" s="1356"/>
      <c r="G184" s="1356"/>
      <c r="H184" s="1356"/>
      <c r="I184" s="1356">
        <f>SUMIFS(Sheet1!S71_AdjustmentAmount,Sheet1!S71_A2SubCode,$AC:$AC,Sheet1!S71_ItemType,$AD:$AD)</f>
        <v>0</v>
      </c>
      <c r="J184" s="171">
        <f t="shared" si="30"/>
        <v>0</v>
      </c>
      <c r="K184" s="171">
        <f>IF(D184=0,C184+J184,D184+J184)</f>
        <v>0</v>
      </c>
      <c r="L184" s="1356">
        <f>SUMIFS(Sheet1!S71_OY1AdjustedBudget,Sheet1!S71_A2SubCode,$AC:$AC,Sheet1!S71_ItemType,$AD:$AD)</f>
        <v>0</v>
      </c>
      <c r="M184" s="1357">
        <f>SUMIFS(Sheet1!S71_OY2AdjustedBudget,Sheet1!S71_A2SubCode,$AC:$AC,Sheet1!S71_ItemType,$AD:$AD)</f>
        <v>0</v>
      </c>
      <c r="N184" s="126"/>
      <c r="AC184" s="1345">
        <v>2306</v>
      </c>
      <c r="AD184" s="1345" t="s">
        <v>1812</v>
      </c>
    </row>
    <row r="185" spans="1:30" ht="13.5" customHeight="1" x14ac:dyDescent="0.25">
      <c r="A185" s="830" t="str">
        <f t="shared" si="35"/>
        <v>Police Forces, Traffic and Street Parking Control</v>
      </c>
      <c r="B185" s="724"/>
      <c r="C185" s="1360">
        <f>SUMIFS(Sheet1!S71_OriginalBudget,Sheet1!S71_A2SubCode,$AC:$AC,Sheet1!S71_ItemType,$AD:$AD)</f>
        <v>0</v>
      </c>
      <c r="D185" s="1356">
        <f>SUMIFS(Sheet1!S71_SpecialAdjustedBudget,Sheet1!S71_A2SubCode,$AC:$AC,Sheet1!S71_ItemType,$AD:$AD)</f>
        <v>0</v>
      </c>
      <c r="E185" s="1356"/>
      <c r="F185" s="1356"/>
      <c r="G185" s="1356"/>
      <c r="H185" s="1356"/>
      <c r="I185" s="1356">
        <f>SUMIFS(Sheet1!S71_AdjustmentAmount,Sheet1!S71_A2SubCode,$AC:$AC,Sheet1!S71_ItemType,$AD:$AD)</f>
        <v>0</v>
      </c>
      <c r="J185" s="171">
        <f t="shared" si="30"/>
        <v>0</v>
      </c>
      <c r="K185" s="171">
        <f>IF(D185=0,C185+J185,D185+J185)</f>
        <v>0</v>
      </c>
      <c r="L185" s="1356">
        <f>SUMIFS(Sheet1!S71_OY1AdjustedBudget,Sheet1!S71_A2SubCode,$AC:$AC,Sheet1!S71_ItemType,$AD:$AD)</f>
        <v>0</v>
      </c>
      <c r="M185" s="1357">
        <f>SUMIFS(Sheet1!S71_OY2AdjustedBudget,Sheet1!S71_A2SubCode,$AC:$AC,Sheet1!S71_ItemType,$AD:$AD)</f>
        <v>0</v>
      </c>
      <c r="N185" s="126"/>
      <c r="AC185" s="1345">
        <v>2307</v>
      </c>
      <c r="AD185" s="1345" t="s">
        <v>1812</v>
      </c>
    </row>
    <row r="186" spans="1:30" ht="13.5" customHeight="1" x14ac:dyDescent="0.25">
      <c r="A186" s="830" t="str">
        <f t="shared" si="35"/>
        <v>Pounds</v>
      </c>
      <c r="B186" s="724"/>
      <c r="C186" s="1360">
        <f>SUMIFS(Sheet1!S71_OriginalBudget,Sheet1!S71_A2SubCode,$AC:$AC,Sheet1!S71_ItemType,$AD:$AD)</f>
        <v>0</v>
      </c>
      <c r="D186" s="1356">
        <f>SUMIFS(Sheet1!S71_SpecialAdjustedBudget,Sheet1!S71_A2SubCode,$AC:$AC,Sheet1!S71_ItemType,$AD:$AD)</f>
        <v>0</v>
      </c>
      <c r="E186" s="1356"/>
      <c r="F186" s="1356"/>
      <c r="G186" s="1356"/>
      <c r="H186" s="1356"/>
      <c r="I186" s="1356">
        <f>SUMIFS(Sheet1!S71_AdjustmentAmount,Sheet1!S71_A2SubCode,$AC:$AC,Sheet1!S71_ItemType,$AD:$AD)</f>
        <v>0</v>
      </c>
      <c r="J186" s="171">
        <f t="shared" si="30"/>
        <v>0</v>
      </c>
      <c r="K186" s="171">
        <f t="shared" si="31"/>
        <v>0</v>
      </c>
      <c r="L186" s="1356">
        <f>SUMIFS(Sheet1!S71_OY1AdjustedBudget,Sheet1!S71_A2SubCode,$AC:$AC,Sheet1!S71_ItemType,$AD:$AD)</f>
        <v>0</v>
      </c>
      <c r="M186" s="1357">
        <f>SUMIFS(Sheet1!S71_OY2AdjustedBudget,Sheet1!S71_A2SubCode,$AC:$AC,Sheet1!S71_ItemType,$AD:$AD)</f>
        <v>0</v>
      </c>
      <c r="N186" s="126"/>
      <c r="AC186" s="1345">
        <v>2308</v>
      </c>
      <c r="AD186" s="1345" t="s">
        <v>1812</v>
      </c>
    </row>
    <row r="187" spans="1:30" ht="13.5" customHeight="1" x14ac:dyDescent="0.25">
      <c r="A187" s="710" t="str">
        <f t="shared" si="35"/>
        <v>Housing</v>
      </c>
      <c r="B187" s="724"/>
      <c r="C187" s="711">
        <f>SUM(C188:C189)</f>
        <v>0</v>
      </c>
      <c r="D187" s="268">
        <f t="shared" ref="D187:M187" si="38">SUM(D188:D189)</f>
        <v>0</v>
      </c>
      <c r="E187" s="268">
        <f t="shared" si="38"/>
        <v>0</v>
      </c>
      <c r="F187" s="268">
        <f t="shared" si="38"/>
        <v>0</v>
      </c>
      <c r="G187" s="268">
        <f t="shared" si="38"/>
        <v>0</v>
      </c>
      <c r="H187" s="268">
        <f t="shared" si="38"/>
        <v>0</v>
      </c>
      <c r="I187" s="268">
        <f t="shared" si="38"/>
        <v>0</v>
      </c>
      <c r="J187" s="268">
        <f t="shared" si="30"/>
        <v>0</v>
      </c>
      <c r="K187" s="268">
        <f t="shared" si="31"/>
        <v>0</v>
      </c>
      <c r="L187" s="268">
        <f t="shared" si="38"/>
        <v>0</v>
      </c>
      <c r="M187" s="269">
        <f t="shared" si="38"/>
        <v>0</v>
      </c>
      <c r="N187" s="126"/>
      <c r="AD187" s="1345" t="s">
        <v>1224</v>
      </c>
    </row>
    <row r="188" spans="1:30" ht="13.5" customHeight="1" x14ac:dyDescent="0.25">
      <c r="A188" s="830" t="str">
        <f t="shared" si="35"/>
        <v>Housing</v>
      </c>
      <c r="B188" s="724"/>
      <c r="C188" s="1360">
        <f>SUMIFS(Sheet1!S71_OriginalBudget,Sheet1!S71_A2SubCode,$AC:$AC,Sheet1!S71_ItemType,$AD:$AD)</f>
        <v>0</v>
      </c>
      <c r="D188" s="1356">
        <f>SUMIFS(Sheet1!S71_SpecialAdjustedBudget,Sheet1!S71_A2SubCode,$AC:$AC,Sheet1!S71_ItemType,$AD:$AD)</f>
        <v>0</v>
      </c>
      <c r="E188" s="1356"/>
      <c r="F188" s="1356"/>
      <c r="G188" s="1356"/>
      <c r="H188" s="1356"/>
      <c r="I188" s="1356">
        <f>SUMIFS(Sheet1!S71_AdjustmentAmount,Sheet1!S71_A2SubCode,$AC:$AC,Sheet1!S71_ItemType,$AD:$AD)</f>
        <v>0</v>
      </c>
      <c r="J188" s="171">
        <f t="shared" si="30"/>
        <v>0</v>
      </c>
      <c r="K188" s="171">
        <f t="shared" si="31"/>
        <v>0</v>
      </c>
      <c r="L188" s="1356">
        <f>SUMIFS(Sheet1!S71_OY1AdjustedBudget,Sheet1!S71_A2SubCode,$AC:$AC,Sheet1!S71_ItemType,$AD:$AD)</f>
        <v>0</v>
      </c>
      <c r="M188" s="1357">
        <f>SUMIFS(Sheet1!S71_OY2AdjustedBudget,Sheet1!S71_A2SubCode,$AC:$AC,Sheet1!S71_ItemType,$AD:$AD)</f>
        <v>0</v>
      </c>
      <c r="N188" s="126"/>
      <c r="AC188" s="1345">
        <v>2401</v>
      </c>
      <c r="AD188" s="1345" t="s">
        <v>1812</v>
      </c>
    </row>
    <row r="189" spans="1:30" ht="13.5" customHeight="1" x14ac:dyDescent="0.25">
      <c r="A189" s="830" t="str">
        <f t="shared" si="35"/>
        <v>Informal Settlements</v>
      </c>
      <c r="B189" s="724"/>
      <c r="C189" s="1360">
        <f>SUMIFS(Sheet1!S71_OriginalBudget,Sheet1!S71_A2SubCode,$AC:$AC,Sheet1!S71_ItemType,$AD:$AD)</f>
        <v>0</v>
      </c>
      <c r="D189" s="1356">
        <f>SUMIFS(Sheet1!S71_SpecialAdjustedBudget,Sheet1!S71_A2SubCode,$AC:$AC,Sheet1!S71_ItemType,$AD:$AD)</f>
        <v>0</v>
      </c>
      <c r="E189" s="1356"/>
      <c r="F189" s="1356"/>
      <c r="G189" s="1356"/>
      <c r="H189" s="1356"/>
      <c r="I189" s="1356">
        <f>SUMIFS(Sheet1!S71_AdjustmentAmount,Sheet1!S71_A2SubCode,$AC:$AC,Sheet1!S71_ItemType,$AD:$AD)</f>
        <v>0</v>
      </c>
      <c r="J189" s="171">
        <f t="shared" si="30"/>
        <v>0</v>
      </c>
      <c r="K189" s="171">
        <f t="shared" si="31"/>
        <v>0</v>
      </c>
      <c r="L189" s="1356">
        <f>SUMIFS(Sheet1!S71_OY1AdjustedBudget,Sheet1!S71_A2SubCode,$AC:$AC,Sheet1!S71_ItemType,$AD:$AD)</f>
        <v>0</v>
      </c>
      <c r="M189" s="1357">
        <f>SUMIFS(Sheet1!S71_OY2AdjustedBudget,Sheet1!S71_A2SubCode,$AC:$AC,Sheet1!S71_ItemType,$AD:$AD)</f>
        <v>0</v>
      </c>
      <c r="N189" s="126"/>
      <c r="AC189" s="1345">
        <v>2402</v>
      </c>
      <c r="AD189" s="1345" t="s">
        <v>1812</v>
      </c>
    </row>
    <row r="190" spans="1:30" ht="13.5" customHeight="1" x14ac:dyDescent="0.25">
      <c r="A190" s="710" t="str">
        <f t="shared" si="35"/>
        <v>Health</v>
      </c>
      <c r="B190" s="724"/>
      <c r="C190" s="711">
        <f t="shared" ref="C190:I190" si="39">SUM(C191:C197)</f>
        <v>270000</v>
      </c>
      <c r="D190" s="268">
        <f t="shared" si="39"/>
        <v>270000</v>
      </c>
      <c r="E190" s="268">
        <f t="shared" si="39"/>
        <v>0</v>
      </c>
      <c r="F190" s="268">
        <f t="shared" si="39"/>
        <v>0</v>
      </c>
      <c r="G190" s="268">
        <f t="shared" si="39"/>
        <v>0</v>
      </c>
      <c r="H190" s="268">
        <f t="shared" si="39"/>
        <v>0</v>
      </c>
      <c r="I190" s="268">
        <f t="shared" si="39"/>
        <v>-80115</v>
      </c>
      <c r="J190" s="268">
        <f t="shared" si="30"/>
        <v>-80115</v>
      </c>
      <c r="K190" s="268">
        <f t="shared" si="31"/>
        <v>189885</v>
      </c>
      <c r="L190" s="268">
        <f>SUM(L191:L197)</f>
        <v>286200</v>
      </c>
      <c r="M190" s="269">
        <f>SUM(M191:M197)</f>
        <v>303372</v>
      </c>
      <c r="N190" s="126"/>
      <c r="AD190" s="1345" t="s">
        <v>1224</v>
      </c>
    </row>
    <row r="191" spans="1:30" ht="13.5" customHeight="1" x14ac:dyDescent="0.25">
      <c r="A191" s="830" t="str">
        <f t="shared" si="35"/>
        <v>Ambulance</v>
      </c>
      <c r="B191" s="724"/>
      <c r="C191" s="1360">
        <f>SUMIFS(Sheet1!S71_OriginalBudget,Sheet1!S71_A2SubCode,$AC:$AC,Sheet1!S71_ItemType,$AD:$AD)</f>
        <v>0</v>
      </c>
      <c r="D191" s="1356">
        <f>SUMIFS(Sheet1!S71_SpecialAdjustedBudget,Sheet1!S71_A2SubCode,$AC:$AC,Sheet1!S71_ItemType,$AD:$AD)</f>
        <v>0</v>
      </c>
      <c r="E191" s="1356"/>
      <c r="F191" s="1356"/>
      <c r="G191" s="1356"/>
      <c r="H191" s="1356"/>
      <c r="I191" s="1356">
        <f>SUMIFS(Sheet1!S71_AdjustmentAmount,Sheet1!S71_A2SubCode,$AC:$AC,Sheet1!S71_ItemType,$AD:$AD)</f>
        <v>0</v>
      </c>
      <c r="J191" s="171">
        <f t="shared" si="30"/>
        <v>0</v>
      </c>
      <c r="K191" s="171">
        <f t="shared" si="31"/>
        <v>0</v>
      </c>
      <c r="L191" s="1356">
        <f>SUMIFS(Sheet1!S71_OY1AdjustedBudget,Sheet1!S71_A2SubCode,$AC:$AC,Sheet1!S71_ItemType,$AD:$AD)</f>
        <v>0</v>
      </c>
      <c r="M191" s="1357">
        <f>SUMIFS(Sheet1!S71_OY2AdjustedBudget,Sheet1!S71_A2SubCode,$AC:$AC,Sheet1!S71_ItemType,$AD:$AD)</f>
        <v>0</v>
      </c>
      <c r="N191" s="126"/>
      <c r="AC191" s="1345">
        <v>2501</v>
      </c>
      <c r="AD191" s="1345" t="s">
        <v>1812</v>
      </c>
    </row>
    <row r="192" spans="1:30" ht="13.5" customHeight="1" x14ac:dyDescent="0.25">
      <c r="A192" s="830" t="str">
        <f t="shared" si="35"/>
        <v>Health Services</v>
      </c>
      <c r="B192" s="724"/>
      <c r="C192" s="1360">
        <f>SUMIFS(Sheet1!S71_OriginalBudget,Sheet1!S71_A2SubCode,$AC:$AC,Sheet1!S71_ItemType,$AD:$AD)</f>
        <v>270000</v>
      </c>
      <c r="D192" s="1356">
        <f>SUMIFS(Sheet1!S71_SpecialAdjustedBudget,Sheet1!S71_A2SubCode,$AC:$AC,Sheet1!S71_ItemType,$AD:$AD)</f>
        <v>270000</v>
      </c>
      <c r="E192" s="1356"/>
      <c r="F192" s="1356"/>
      <c r="G192" s="1356"/>
      <c r="H192" s="1356"/>
      <c r="I192" s="1356">
        <f>SUMIFS(Sheet1!S71_AdjustmentAmount,Sheet1!S71_A2SubCode,$AC:$AC,Sheet1!S71_ItemType,$AD:$AD)</f>
        <v>-80115</v>
      </c>
      <c r="J192" s="171">
        <f t="shared" si="30"/>
        <v>-80115</v>
      </c>
      <c r="K192" s="171">
        <f t="shared" si="31"/>
        <v>189885</v>
      </c>
      <c r="L192" s="1356">
        <f>SUMIFS(Sheet1!S71_OY1AdjustedBudget,Sheet1!S71_A2SubCode,$AC:$AC,Sheet1!S71_ItemType,$AD:$AD)</f>
        <v>286200</v>
      </c>
      <c r="M192" s="1357">
        <f>SUMIFS(Sheet1!S71_OY2AdjustedBudget,Sheet1!S71_A2SubCode,$AC:$AC,Sheet1!S71_ItemType,$AD:$AD)</f>
        <v>303372</v>
      </c>
      <c r="N192" s="126"/>
      <c r="AC192" s="1345">
        <v>2502</v>
      </c>
      <c r="AD192" s="1345" t="s">
        <v>1812</v>
      </c>
    </row>
    <row r="193" spans="1:30" ht="13.5" customHeight="1" x14ac:dyDescent="0.25">
      <c r="A193" s="830" t="str">
        <f t="shared" ref="A193:A224" si="40">A71</f>
        <v>Laboratory Services</v>
      </c>
      <c r="B193" s="724"/>
      <c r="C193" s="1360">
        <f>SUMIFS(Sheet1!S71_OriginalBudget,Sheet1!S71_A2SubCode,$AC:$AC,Sheet1!S71_ItemType,$AD:$AD)</f>
        <v>0</v>
      </c>
      <c r="D193" s="1356">
        <f>SUMIFS(Sheet1!S71_SpecialAdjustedBudget,Sheet1!S71_A2SubCode,$AC:$AC,Sheet1!S71_ItemType,$AD:$AD)</f>
        <v>0</v>
      </c>
      <c r="E193" s="1356"/>
      <c r="F193" s="1356"/>
      <c r="G193" s="1356"/>
      <c r="H193" s="1356"/>
      <c r="I193" s="1356">
        <f>SUMIFS(Sheet1!S71_AdjustmentAmount,Sheet1!S71_A2SubCode,$AC:$AC,Sheet1!S71_ItemType,$AD:$AD)</f>
        <v>0</v>
      </c>
      <c r="J193" s="171">
        <f t="shared" si="30"/>
        <v>0</v>
      </c>
      <c r="K193" s="171">
        <f t="shared" si="31"/>
        <v>0</v>
      </c>
      <c r="L193" s="1356">
        <f>SUMIFS(Sheet1!S71_OY1AdjustedBudget,Sheet1!S71_A2SubCode,$AC:$AC,Sheet1!S71_ItemType,$AD:$AD)</f>
        <v>0</v>
      </c>
      <c r="M193" s="1357">
        <f>SUMIFS(Sheet1!S71_OY2AdjustedBudget,Sheet1!S71_A2SubCode,$AC:$AC,Sheet1!S71_ItemType,$AD:$AD)</f>
        <v>0</v>
      </c>
      <c r="N193" s="126"/>
      <c r="AC193" s="1345">
        <v>2503</v>
      </c>
      <c r="AD193" s="1345" t="s">
        <v>1812</v>
      </c>
    </row>
    <row r="194" spans="1:30" ht="13.5" customHeight="1" x14ac:dyDescent="0.25">
      <c r="A194" s="830" t="str">
        <f t="shared" si="40"/>
        <v>Food Control</v>
      </c>
      <c r="B194" s="724"/>
      <c r="C194" s="1360">
        <f>SUMIFS(Sheet1!S71_OriginalBudget,Sheet1!S71_A2SubCode,$AC:$AC,Sheet1!S71_ItemType,$AD:$AD)</f>
        <v>0</v>
      </c>
      <c r="D194" s="1356">
        <f>SUMIFS(Sheet1!S71_SpecialAdjustedBudget,Sheet1!S71_A2SubCode,$AC:$AC,Sheet1!S71_ItemType,$AD:$AD)</f>
        <v>0</v>
      </c>
      <c r="E194" s="1356"/>
      <c r="F194" s="1356"/>
      <c r="G194" s="1356"/>
      <c r="H194" s="1356"/>
      <c r="I194" s="1356">
        <f>SUMIFS(Sheet1!S71_AdjustmentAmount,Sheet1!S71_A2SubCode,$AC:$AC,Sheet1!S71_ItemType,$AD:$AD)</f>
        <v>0</v>
      </c>
      <c r="J194" s="171">
        <f t="shared" si="30"/>
        <v>0</v>
      </c>
      <c r="K194" s="171">
        <f t="shared" si="31"/>
        <v>0</v>
      </c>
      <c r="L194" s="1356">
        <f>SUMIFS(Sheet1!S71_OY1AdjustedBudget,Sheet1!S71_A2SubCode,$AC:$AC,Sheet1!S71_ItemType,$AD:$AD)</f>
        <v>0</v>
      </c>
      <c r="M194" s="1357">
        <f>SUMIFS(Sheet1!S71_OY2AdjustedBudget,Sheet1!S71_A2SubCode,$AC:$AC,Sheet1!S71_ItemType,$AD:$AD)</f>
        <v>0</v>
      </c>
      <c r="N194" s="126"/>
      <c r="AC194" s="1345">
        <v>2504</v>
      </c>
      <c r="AD194" s="1345" t="s">
        <v>1812</v>
      </c>
    </row>
    <row r="195" spans="1:30" ht="13.5" customHeight="1" x14ac:dyDescent="0.25">
      <c r="A195" s="830" t="str">
        <f t="shared" si="40"/>
        <v>Health Surveillance and Prevention of Communicable Diseases including immunizations</v>
      </c>
      <c r="B195" s="724"/>
      <c r="C195" s="1360">
        <f>SUMIFS(Sheet1!S71_OriginalBudget,Sheet1!S71_A2SubCode,$AC:$AC,Sheet1!S71_ItemType,$AD:$AD)</f>
        <v>0</v>
      </c>
      <c r="D195" s="1356">
        <f>SUMIFS(Sheet1!S71_SpecialAdjustedBudget,Sheet1!S71_A2SubCode,$AC:$AC,Sheet1!S71_ItemType,$AD:$AD)</f>
        <v>0</v>
      </c>
      <c r="E195" s="1356"/>
      <c r="F195" s="1356"/>
      <c r="G195" s="1356"/>
      <c r="H195" s="1356"/>
      <c r="I195" s="1356">
        <f>SUMIFS(Sheet1!S71_AdjustmentAmount,Sheet1!S71_A2SubCode,$AC:$AC,Sheet1!S71_ItemType,$AD:$AD)</f>
        <v>0</v>
      </c>
      <c r="J195" s="171">
        <f t="shared" si="30"/>
        <v>0</v>
      </c>
      <c r="K195" s="171">
        <f t="shared" si="31"/>
        <v>0</v>
      </c>
      <c r="L195" s="1356">
        <f>SUMIFS(Sheet1!S71_OY1AdjustedBudget,Sheet1!S71_A2SubCode,$AC:$AC,Sheet1!S71_ItemType,$AD:$AD)</f>
        <v>0</v>
      </c>
      <c r="M195" s="1357">
        <f>SUMIFS(Sheet1!S71_OY2AdjustedBudget,Sheet1!S71_A2SubCode,$AC:$AC,Sheet1!S71_ItemType,$AD:$AD)</f>
        <v>0</v>
      </c>
      <c r="N195" s="126"/>
      <c r="AC195" s="1345">
        <v>2505</v>
      </c>
      <c r="AD195" s="1345" t="s">
        <v>1812</v>
      </c>
    </row>
    <row r="196" spans="1:30" ht="13.5" customHeight="1" x14ac:dyDescent="0.25">
      <c r="A196" s="830" t="str">
        <f t="shared" si="40"/>
        <v>Vector Control</v>
      </c>
      <c r="B196" s="724"/>
      <c r="C196" s="1360">
        <f>SUMIFS(Sheet1!S71_OriginalBudget,Sheet1!S71_A2SubCode,$AC:$AC,Sheet1!S71_ItemType,$AD:$AD)</f>
        <v>0</v>
      </c>
      <c r="D196" s="1356">
        <f>SUMIFS(Sheet1!S71_SpecialAdjustedBudget,Sheet1!S71_A2SubCode,$AC:$AC,Sheet1!S71_ItemType,$AD:$AD)</f>
        <v>0</v>
      </c>
      <c r="E196" s="1356"/>
      <c r="F196" s="1356"/>
      <c r="G196" s="1356"/>
      <c r="H196" s="1356"/>
      <c r="I196" s="1356">
        <f>SUMIFS(Sheet1!S71_AdjustmentAmount,Sheet1!S71_A2SubCode,$AC:$AC,Sheet1!S71_ItemType,$AD:$AD)</f>
        <v>0</v>
      </c>
      <c r="J196" s="171">
        <f t="shared" si="30"/>
        <v>0</v>
      </c>
      <c r="K196" s="171">
        <f t="shared" si="31"/>
        <v>0</v>
      </c>
      <c r="L196" s="1356">
        <f>SUMIFS(Sheet1!S71_OY1AdjustedBudget,Sheet1!S71_A2SubCode,$AC:$AC,Sheet1!S71_ItemType,$AD:$AD)</f>
        <v>0</v>
      </c>
      <c r="M196" s="1357">
        <f>SUMIFS(Sheet1!S71_OY2AdjustedBudget,Sheet1!S71_A2SubCode,$AC:$AC,Sheet1!S71_ItemType,$AD:$AD)</f>
        <v>0</v>
      </c>
      <c r="N196" s="126"/>
      <c r="AC196" s="1345">
        <v>2506</v>
      </c>
      <c r="AD196" s="1345" t="s">
        <v>1812</v>
      </c>
    </row>
    <row r="197" spans="1:30" ht="13.5" customHeight="1" x14ac:dyDescent="0.25">
      <c r="A197" s="830" t="str">
        <f t="shared" si="40"/>
        <v>Chemical Safety</v>
      </c>
      <c r="B197" s="724"/>
      <c r="C197" s="1360">
        <f>SUMIFS(Sheet1!S71_OriginalBudget,Sheet1!S71_A2SubCode,$AC:$AC,Sheet1!S71_ItemType,$AD:$AD)</f>
        <v>0</v>
      </c>
      <c r="D197" s="1356">
        <f>SUMIFS(Sheet1!S71_SpecialAdjustedBudget,Sheet1!S71_A2SubCode,$AC:$AC,Sheet1!S71_ItemType,$AD:$AD)</f>
        <v>0</v>
      </c>
      <c r="E197" s="1356"/>
      <c r="F197" s="1356"/>
      <c r="G197" s="1356"/>
      <c r="H197" s="1356"/>
      <c r="I197" s="1356">
        <f>SUMIFS(Sheet1!S71_AdjustmentAmount,Sheet1!S71_A2SubCode,$AC:$AC,Sheet1!S71_ItemType,$AD:$AD)</f>
        <v>0</v>
      </c>
      <c r="J197" s="171">
        <f t="shared" si="30"/>
        <v>0</v>
      </c>
      <c r="K197" s="171">
        <f t="shared" si="31"/>
        <v>0</v>
      </c>
      <c r="L197" s="1356">
        <f>SUMIFS(Sheet1!S71_OY1AdjustedBudget,Sheet1!S71_A2SubCode,$AC:$AC,Sheet1!S71_ItemType,$AD:$AD)</f>
        <v>0</v>
      </c>
      <c r="M197" s="1357">
        <f>SUMIFS(Sheet1!S71_OY2AdjustedBudget,Sheet1!S71_A2SubCode,$AC:$AC,Sheet1!S71_ItemType,$AD:$AD)</f>
        <v>0</v>
      </c>
      <c r="N197" s="126"/>
      <c r="AC197" s="1345">
        <v>2507</v>
      </c>
      <c r="AD197" s="1345" t="s">
        <v>1812</v>
      </c>
    </row>
    <row r="198" spans="1:30" ht="13.5" customHeight="1" x14ac:dyDescent="0.25">
      <c r="A198" s="107" t="str">
        <f t="shared" si="40"/>
        <v>Economic and environmental services</v>
      </c>
      <c r="B198" s="724"/>
      <c r="C198" s="708">
        <f t="shared" ref="C198:I198" si="41">C199+C210+C215</f>
        <v>17956674</v>
      </c>
      <c r="D198" s="707">
        <f t="shared" si="41"/>
        <v>17956674</v>
      </c>
      <c r="E198" s="707">
        <f t="shared" si="41"/>
        <v>0</v>
      </c>
      <c r="F198" s="707">
        <f t="shared" si="41"/>
        <v>0</v>
      </c>
      <c r="G198" s="707">
        <f t="shared" si="41"/>
        <v>0</v>
      </c>
      <c r="H198" s="707">
        <f t="shared" si="41"/>
        <v>0</v>
      </c>
      <c r="I198" s="707">
        <f t="shared" si="41"/>
        <v>4529465</v>
      </c>
      <c r="J198" s="707">
        <f t="shared" si="30"/>
        <v>4529465</v>
      </c>
      <c r="K198" s="707">
        <f t="shared" si="31"/>
        <v>22486139</v>
      </c>
      <c r="L198" s="707">
        <f>L199+L210+L215</f>
        <v>14598741</v>
      </c>
      <c r="M198" s="709">
        <f>M199+M210+M215</f>
        <v>15401519</v>
      </c>
      <c r="N198" s="126"/>
      <c r="AD198" s="1345" t="s">
        <v>1224</v>
      </c>
    </row>
    <row r="199" spans="1:30" ht="13.5" customHeight="1" x14ac:dyDescent="0.25">
      <c r="A199" s="710" t="str">
        <f t="shared" si="40"/>
        <v>Planning and development</v>
      </c>
      <c r="B199" s="724"/>
      <c r="C199" s="711">
        <f t="shared" ref="C199:I199" si="42">SUM(C200:C209)</f>
        <v>580000</v>
      </c>
      <c r="D199" s="268">
        <f t="shared" si="42"/>
        <v>580000</v>
      </c>
      <c r="E199" s="268">
        <f t="shared" si="42"/>
        <v>0</v>
      </c>
      <c r="F199" s="268">
        <f t="shared" si="42"/>
        <v>0</v>
      </c>
      <c r="G199" s="268">
        <f t="shared" si="42"/>
        <v>0</v>
      </c>
      <c r="H199" s="268">
        <f t="shared" si="42"/>
        <v>0</v>
      </c>
      <c r="I199" s="268">
        <f t="shared" si="42"/>
        <v>-149780</v>
      </c>
      <c r="J199" s="268">
        <f t="shared" ref="J199:J249" si="43">SUM(E199:I199)</f>
        <v>-149780</v>
      </c>
      <c r="K199" s="268">
        <f t="shared" si="31"/>
        <v>430220</v>
      </c>
      <c r="L199" s="268">
        <f>SUM(L200:L209)</f>
        <v>632400</v>
      </c>
      <c r="M199" s="269">
        <f>SUM(M200:M209)</f>
        <v>689704</v>
      </c>
      <c r="N199" s="126"/>
      <c r="AD199" s="1345" t="s">
        <v>1224</v>
      </c>
    </row>
    <row r="200" spans="1:30" ht="13.5" customHeight="1" x14ac:dyDescent="0.25">
      <c r="A200" s="830" t="str">
        <f t="shared" si="40"/>
        <v>Billboards</v>
      </c>
      <c r="B200" s="724"/>
      <c r="C200" s="1360">
        <f>SUMIFS(Sheet1!S71_OriginalBudget,Sheet1!S71_A2SubCode,$AC:$AC,Sheet1!S71_ItemType,$AD:$AD)</f>
        <v>0</v>
      </c>
      <c r="D200" s="1356">
        <f>SUMIFS(Sheet1!S71_SpecialAdjustedBudget,Sheet1!S71_A2SubCode,$AC:$AC,Sheet1!S71_ItemType,$AD:$AD)</f>
        <v>0</v>
      </c>
      <c r="E200" s="1356"/>
      <c r="F200" s="1356"/>
      <c r="G200" s="1356"/>
      <c r="H200" s="1356"/>
      <c r="I200" s="1356">
        <f>SUMIFS(Sheet1!S71_AdjustmentAmount,Sheet1!S71_A2SubCode,$AC:$AC,Sheet1!S71_ItemType,$AD:$AD)</f>
        <v>0</v>
      </c>
      <c r="J200" s="171">
        <f t="shared" si="43"/>
        <v>0</v>
      </c>
      <c r="K200" s="171">
        <f t="shared" si="31"/>
        <v>0</v>
      </c>
      <c r="L200" s="1356">
        <f>SUMIFS(Sheet1!S71_OY1AdjustedBudget,Sheet1!S71_A2SubCode,$AC:$AC,Sheet1!S71_ItemType,$AD:$AD)</f>
        <v>0</v>
      </c>
      <c r="M200" s="1357">
        <f>SUMIFS(Sheet1!S71_OY2AdjustedBudget,Sheet1!S71_A2SubCode,$AC:$AC,Sheet1!S71_ItemType,$AD:$AD)</f>
        <v>0</v>
      </c>
      <c r="N200" s="126"/>
      <c r="AC200" s="1345">
        <v>3101</v>
      </c>
      <c r="AD200" s="1345" t="s">
        <v>1812</v>
      </c>
    </row>
    <row r="201" spans="1:30" ht="13.5" customHeight="1" x14ac:dyDescent="0.25">
      <c r="A201" s="830" t="str">
        <f t="shared" si="40"/>
        <v>Corporate Wide Strategic Planning (IDPs, LEDs)</v>
      </c>
      <c r="B201" s="724"/>
      <c r="C201" s="1360">
        <f>SUMIFS(Sheet1!S71_OriginalBudget,Sheet1!S71_A2SubCode,$AC:$AC,Sheet1!S71_ItemType,$AD:$AD)</f>
        <v>0</v>
      </c>
      <c r="D201" s="1356">
        <f>SUMIFS(Sheet1!S71_SpecialAdjustedBudget,Sheet1!S71_A2SubCode,$AC:$AC,Sheet1!S71_ItemType,$AD:$AD)</f>
        <v>0</v>
      </c>
      <c r="E201" s="1356"/>
      <c r="F201" s="1356"/>
      <c r="G201" s="1356"/>
      <c r="H201" s="1356"/>
      <c r="I201" s="1356">
        <f>SUMIFS(Sheet1!S71_AdjustmentAmount,Sheet1!S71_A2SubCode,$AC:$AC,Sheet1!S71_ItemType,$AD:$AD)</f>
        <v>0</v>
      </c>
      <c r="J201" s="171">
        <f t="shared" si="43"/>
        <v>0</v>
      </c>
      <c r="K201" s="171">
        <f t="shared" si="31"/>
        <v>0</v>
      </c>
      <c r="L201" s="1356">
        <f>SUMIFS(Sheet1!S71_OY1AdjustedBudget,Sheet1!S71_A2SubCode,$AC:$AC,Sheet1!S71_ItemType,$AD:$AD)</f>
        <v>0</v>
      </c>
      <c r="M201" s="1357">
        <f>SUMIFS(Sheet1!S71_OY2AdjustedBudget,Sheet1!S71_A2SubCode,$AC:$AC,Sheet1!S71_ItemType,$AD:$AD)</f>
        <v>0</v>
      </c>
      <c r="N201" s="126"/>
      <c r="AC201" s="1345">
        <v>3102</v>
      </c>
      <c r="AD201" s="1345" t="s">
        <v>1812</v>
      </c>
    </row>
    <row r="202" spans="1:30" ht="13.5" customHeight="1" x14ac:dyDescent="0.25">
      <c r="A202" s="830" t="str">
        <f t="shared" si="40"/>
        <v>Central City Improvement District</v>
      </c>
      <c r="B202" s="724"/>
      <c r="C202" s="1360">
        <f>SUMIFS(Sheet1!S71_OriginalBudget,Sheet1!S71_A2SubCode,$AC:$AC,Sheet1!S71_ItemType,$AD:$AD)</f>
        <v>0</v>
      </c>
      <c r="D202" s="1356">
        <f>SUMIFS(Sheet1!S71_SpecialAdjustedBudget,Sheet1!S71_A2SubCode,$AC:$AC,Sheet1!S71_ItemType,$AD:$AD)</f>
        <v>0</v>
      </c>
      <c r="E202" s="1356"/>
      <c r="F202" s="1356"/>
      <c r="G202" s="1356"/>
      <c r="H202" s="1356"/>
      <c r="I202" s="1356">
        <f>SUMIFS(Sheet1!S71_AdjustmentAmount,Sheet1!S71_A2SubCode,$AC:$AC,Sheet1!S71_ItemType,$AD:$AD)</f>
        <v>0</v>
      </c>
      <c r="J202" s="171">
        <f t="shared" si="43"/>
        <v>0</v>
      </c>
      <c r="K202" s="171">
        <f t="shared" ref="K202:K249" si="44">IF(D202=0,C202+J202,D202+J202)</f>
        <v>0</v>
      </c>
      <c r="L202" s="1356">
        <f>SUMIFS(Sheet1!S71_OY1AdjustedBudget,Sheet1!S71_A2SubCode,$AC:$AC,Sheet1!S71_ItemType,$AD:$AD)</f>
        <v>0</v>
      </c>
      <c r="M202" s="1357">
        <f>SUMIFS(Sheet1!S71_OY2AdjustedBudget,Sheet1!S71_A2SubCode,$AC:$AC,Sheet1!S71_ItemType,$AD:$AD)</f>
        <v>0</v>
      </c>
      <c r="N202" s="126"/>
      <c r="AC202" s="1345">
        <v>3103</v>
      </c>
      <c r="AD202" s="1345" t="s">
        <v>1812</v>
      </c>
    </row>
    <row r="203" spans="1:30" ht="13.5" customHeight="1" x14ac:dyDescent="0.25">
      <c r="A203" s="830" t="str">
        <f t="shared" si="40"/>
        <v>Development Facilitation</v>
      </c>
      <c r="B203" s="724"/>
      <c r="C203" s="1360">
        <f>SUMIFS(Sheet1!S71_OriginalBudget,Sheet1!S71_A2SubCode,$AC:$AC,Sheet1!S71_ItemType,$AD:$AD)</f>
        <v>0</v>
      </c>
      <c r="D203" s="1356">
        <f>SUMIFS(Sheet1!S71_SpecialAdjustedBudget,Sheet1!S71_A2SubCode,$AC:$AC,Sheet1!S71_ItemType,$AD:$AD)</f>
        <v>0</v>
      </c>
      <c r="E203" s="1356"/>
      <c r="F203" s="1356"/>
      <c r="G203" s="1356"/>
      <c r="H203" s="1356"/>
      <c r="I203" s="1356">
        <f>SUMIFS(Sheet1!S71_AdjustmentAmount,Sheet1!S71_A2SubCode,$AC:$AC,Sheet1!S71_ItemType,$AD:$AD)</f>
        <v>0</v>
      </c>
      <c r="J203" s="171">
        <f t="shared" si="43"/>
        <v>0</v>
      </c>
      <c r="K203" s="171">
        <f t="shared" si="44"/>
        <v>0</v>
      </c>
      <c r="L203" s="1356">
        <f>SUMIFS(Sheet1!S71_OY1AdjustedBudget,Sheet1!S71_A2SubCode,$AC:$AC,Sheet1!S71_ItemType,$AD:$AD)</f>
        <v>0</v>
      </c>
      <c r="M203" s="1357">
        <f>SUMIFS(Sheet1!S71_OY2AdjustedBudget,Sheet1!S71_A2SubCode,$AC:$AC,Sheet1!S71_ItemType,$AD:$AD)</f>
        <v>0</v>
      </c>
      <c r="N203" s="126"/>
      <c r="AC203" s="1345">
        <v>3104</v>
      </c>
      <c r="AD203" s="1345" t="s">
        <v>1812</v>
      </c>
    </row>
    <row r="204" spans="1:30" ht="13.5" customHeight="1" x14ac:dyDescent="0.25">
      <c r="A204" s="830" t="str">
        <f t="shared" si="40"/>
        <v>Economic Development/Planning</v>
      </c>
      <c r="B204" s="724"/>
      <c r="C204" s="1360">
        <f>SUMIFS(Sheet1!S71_OriginalBudget,Sheet1!S71_A2SubCode,$AC:$AC,Sheet1!S71_ItemType,$AD:$AD)</f>
        <v>140000</v>
      </c>
      <c r="D204" s="1356">
        <f>SUMIFS(Sheet1!S71_SpecialAdjustedBudget,Sheet1!S71_A2SubCode,$AC:$AC,Sheet1!S71_ItemType,$AD:$AD)</f>
        <v>140000</v>
      </c>
      <c r="E204" s="1356"/>
      <c r="F204" s="1356"/>
      <c r="G204" s="1356"/>
      <c r="H204" s="1356"/>
      <c r="I204" s="1356">
        <f>SUMIFS(Sheet1!S71_AdjustmentAmount,Sheet1!S71_A2SubCode,$AC:$AC,Sheet1!S71_ItemType,$AD:$AD)</f>
        <v>-9780</v>
      </c>
      <c r="J204" s="171">
        <f t="shared" si="43"/>
        <v>-9780</v>
      </c>
      <c r="K204" s="171">
        <f t="shared" si="44"/>
        <v>130220</v>
      </c>
      <c r="L204" s="1356">
        <f>SUMIFS(Sheet1!S71_OY1AdjustedBudget,Sheet1!S71_A2SubCode,$AC:$AC,Sheet1!S71_ItemType,$AD:$AD)</f>
        <v>148400</v>
      </c>
      <c r="M204" s="1357">
        <f>SUMIFS(Sheet1!S71_OY2AdjustedBudget,Sheet1!S71_A2SubCode,$AC:$AC,Sheet1!S71_ItemType,$AD:$AD)</f>
        <v>157304</v>
      </c>
      <c r="N204" s="126"/>
      <c r="AC204" s="1345">
        <v>3105</v>
      </c>
      <c r="AD204" s="1345" t="s">
        <v>1812</v>
      </c>
    </row>
    <row r="205" spans="1:30" ht="13.5" customHeight="1" x14ac:dyDescent="0.25">
      <c r="A205" s="830" t="str">
        <f t="shared" si="40"/>
        <v>Regional Planning and Development</v>
      </c>
      <c r="B205" s="724"/>
      <c r="C205" s="1360">
        <f>SUMIFS(Sheet1!S71_OriginalBudget,Sheet1!S71_A2SubCode,$AC:$AC,Sheet1!S71_ItemType,$AD:$AD)</f>
        <v>0</v>
      </c>
      <c r="D205" s="1356">
        <f>SUMIFS(Sheet1!S71_SpecialAdjustedBudget,Sheet1!S71_A2SubCode,$AC:$AC,Sheet1!S71_ItemType,$AD:$AD)</f>
        <v>0</v>
      </c>
      <c r="E205" s="1356"/>
      <c r="F205" s="1356"/>
      <c r="G205" s="1356"/>
      <c r="H205" s="1356"/>
      <c r="I205" s="1356">
        <f>SUMIFS(Sheet1!S71_AdjustmentAmount,Sheet1!S71_A2SubCode,$AC:$AC,Sheet1!S71_ItemType,$AD:$AD)</f>
        <v>0</v>
      </c>
      <c r="J205" s="171">
        <f t="shared" si="43"/>
        <v>0</v>
      </c>
      <c r="K205" s="171">
        <f t="shared" si="44"/>
        <v>0</v>
      </c>
      <c r="L205" s="1356">
        <f>SUMIFS(Sheet1!S71_OY1AdjustedBudget,Sheet1!S71_A2SubCode,$AC:$AC,Sheet1!S71_ItemType,$AD:$AD)</f>
        <v>0</v>
      </c>
      <c r="M205" s="1357">
        <f>SUMIFS(Sheet1!S71_OY2AdjustedBudget,Sheet1!S71_A2SubCode,$AC:$AC,Sheet1!S71_ItemType,$AD:$AD)</f>
        <v>0</v>
      </c>
      <c r="N205" s="126"/>
      <c r="AC205" s="1345">
        <v>3106</v>
      </c>
      <c r="AD205" s="1345" t="s">
        <v>1812</v>
      </c>
    </row>
    <row r="206" spans="1:30" ht="20.100000000000001" customHeight="1" x14ac:dyDescent="0.25">
      <c r="A206" s="830" t="str">
        <f t="shared" si="40"/>
        <v>Town Planning, Building Regulations and Enforcement, and City Engineer</v>
      </c>
      <c r="B206" s="724"/>
      <c r="C206" s="1360">
        <f>SUMIFS(Sheet1!S71_OriginalBudget,Sheet1!S71_A2SubCode,$AC:$AC,Sheet1!S71_ItemType,$AD:$AD)</f>
        <v>440000</v>
      </c>
      <c r="D206" s="1356">
        <f>SUMIFS(Sheet1!S71_SpecialAdjustedBudget,Sheet1!S71_A2SubCode,$AC:$AC,Sheet1!S71_ItemType,$AD:$AD)</f>
        <v>440000</v>
      </c>
      <c r="E206" s="1356"/>
      <c r="F206" s="1356"/>
      <c r="G206" s="1356"/>
      <c r="H206" s="1356"/>
      <c r="I206" s="1356">
        <f>SUMIFS(Sheet1!S71_AdjustmentAmount,Sheet1!S71_A2SubCode,$AC:$AC,Sheet1!S71_ItemType,$AD:$AD)</f>
        <v>-140000</v>
      </c>
      <c r="J206" s="171">
        <f t="shared" si="43"/>
        <v>-140000</v>
      </c>
      <c r="K206" s="171">
        <f t="shared" si="44"/>
        <v>300000</v>
      </c>
      <c r="L206" s="1356">
        <f>SUMIFS(Sheet1!S71_OY1AdjustedBudget,Sheet1!S71_A2SubCode,$AC:$AC,Sheet1!S71_ItemType,$AD:$AD)</f>
        <v>484000</v>
      </c>
      <c r="M206" s="1357">
        <f>SUMIFS(Sheet1!S71_OY2AdjustedBudget,Sheet1!S71_A2SubCode,$AC:$AC,Sheet1!S71_ItemType,$AD:$AD)</f>
        <v>532400</v>
      </c>
      <c r="N206" s="126"/>
      <c r="AC206" s="1345">
        <v>3107</v>
      </c>
      <c r="AD206" s="1345" t="s">
        <v>1812</v>
      </c>
    </row>
    <row r="207" spans="1:30" ht="13.5" customHeight="1" x14ac:dyDescent="0.25">
      <c r="A207" s="830" t="str">
        <f t="shared" si="40"/>
        <v>Project Management Unit</v>
      </c>
      <c r="B207" s="724"/>
      <c r="C207" s="1360">
        <f>SUMIFS(Sheet1!S71_OriginalBudget,Sheet1!S71_A2SubCode,$AC:$AC,Sheet1!S71_ItemType,$AD:$AD)</f>
        <v>0</v>
      </c>
      <c r="D207" s="1356">
        <f>SUMIFS(Sheet1!S71_SpecialAdjustedBudget,Sheet1!S71_A2SubCode,$AC:$AC,Sheet1!S71_ItemType,$AD:$AD)</f>
        <v>0</v>
      </c>
      <c r="E207" s="1356"/>
      <c r="F207" s="1356"/>
      <c r="G207" s="1356"/>
      <c r="H207" s="1356"/>
      <c r="I207" s="1356">
        <f>SUMIFS(Sheet1!S71_AdjustmentAmount,Sheet1!S71_A2SubCode,$AC:$AC,Sheet1!S71_ItemType,$AD:$AD)</f>
        <v>0</v>
      </c>
      <c r="J207" s="171">
        <f t="shared" si="43"/>
        <v>0</v>
      </c>
      <c r="K207" s="171">
        <f t="shared" si="44"/>
        <v>0</v>
      </c>
      <c r="L207" s="1356">
        <f>SUMIFS(Sheet1!S71_OY1AdjustedBudget,Sheet1!S71_A2SubCode,$AC:$AC,Sheet1!S71_ItemType,$AD:$AD)</f>
        <v>0</v>
      </c>
      <c r="M207" s="1357">
        <f>SUMIFS(Sheet1!S71_OY2AdjustedBudget,Sheet1!S71_A2SubCode,$AC:$AC,Sheet1!S71_ItemType,$AD:$AD)</f>
        <v>0</v>
      </c>
      <c r="N207" s="126"/>
      <c r="AC207" s="1345">
        <v>3108</v>
      </c>
      <c r="AD207" s="1345" t="s">
        <v>1812</v>
      </c>
    </row>
    <row r="208" spans="1:30" ht="13.5" customHeight="1" x14ac:dyDescent="0.25">
      <c r="A208" s="830" t="str">
        <f t="shared" si="40"/>
        <v>Provincial Planning</v>
      </c>
      <c r="B208" s="724"/>
      <c r="C208" s="1360">
        <f>SUMIFS(Sheet1!S71_OriginalBudget,Sheet1!S71_A2SubCode,$AC:$AC,Sheet1!S71_ItemType,$AD:$AD)</f>
        <v>0</v>
      </c>
      <c r="D208" s="1356">
        <f>SUMIFS(Sheet1!S71_SpecialAdjustedBudget,Sheet1!S71_A2SubCode,$AC:$AC,Sheet1!S71_ItemType,$AD:$AD)</f>
        <v>0</v>
      </c>
      <c r="E208" s="1356"/>
      <c r="F208" s="1356"/>
      <c r="G208" s="1356"/>
      <c r="H208" s="1356"/>
      <c r="I208" s="1356">
        <f>SUMIFS(Sheet1!S71_AdjustmentAmount,Sheet1!S71_A2SubCode,$AC:$AC,Sheet1!S71_ItemType,$AD:$AD)</f>
        <v>0</v>
      </c>
      <c r="J208" s="171">
        <f t="shared" si="43"/>
        <v>0</v>
      </c>
      <c r="K208" s="171">
        <f t="shared" si="44"/>
        <v>0</v>
      </c>
      <c r="L208" s="1356">
        <f>SUMIFS(Sheet1!S71_OY1AdjustedBudget,Sheet1!S71_A2SubCode,$AC:$AC,Sheet1!S71_ItemType,$AD:$AD)</f>
        <v>0</v>
      </c>
      <c r="M208" s="1357">
        <f>SUMIFS(Sheet1!S71_OY2AdjustedBudget,Sheet1!S71_A2SubCode,$AC:$AC,Sheet1!S71_ItemType,$AD:$AD)</f>
        <v>0</v>
      </c>
      <c r="N208" s="126"/>
      <c r="AC208" s="1345">
        <v>3109</v>
      </c>
      <c r="AD208" s="1345" t="s">
        <v>1812</v>
      </c>
    </row>
    <row r="209" spans="1:30" ht="13.5" customHeight="1" x14ac:dyDescent="0.25">
      <c r="A209" s="830" t="str">
        <f t="shared" si="40"/>
        <v>Support to Local Municipalities</v>
      </c>
      <c r="B209" s="724"/>
      <c r="C209" s="1360">
        <f>SUMIFS(Sheet1!S71_OriginalBudget,Sheet1!S71_A2SubCode,$AC:$AC,Sheet1!S71_ItemType,$AD:$AD)</f>
        <v>0</v>
      </c>
      <c r="D209" s="1356">
        <f>SUMIFS(Sheet1!S71_SpecialAdjustedBudget,Sheet1!S71_A2SubCode,$AC:$AC,Sheet1!S71_ItemType,$AD:$AD)</f>
        <v>0</v>
      </c>
      <c r="E209" s="1356"/>
      <c r="F209" s="1356"/>
      <c r="G209" s="1356"/>
      <c r="H209" s="1356"/>
      <c r="I209" s="1356">
        <f>SUMIFS(Sheet1!S71_AdjustmentAmount,Sheet1!S71_A2SubCode,$AC:$AC,Sheet1!S71_ItemType,$AD:$AD)</f>
        <v>0</v>
      </c>
      <c r="J209" s="171">
        <f t="shared" si="43"/>
        <v>0</v>
      </c>
      <c r="K209" s="171">
        <f t="shared" si="44"/>
        <v>0</v>
      </c>
      <c r="L209" s="1356">
        <f>SUMIFS(Sheet1!S71_OY1AdjustedBudget,Sheet1!S71_A2SubCode,$AC:$AC,Sheet1!S71_ItemType,$AD:$AD)</f>
        <v>0</v>
      </c>
      <c r="M209" s="1357">
        <f>SUMIFS(Sheet1!S71_OY2AdjustedBudget,Sheet1!S71_A2SubCode,$AC:$AC,Sheet1!S71_ItemType,$AD:$AD)</f>
        <v>0</v>
      </c>
      <c r="N209" s="126"/>
      <c r="AC209" s="1345">
        <v>3110</v>
      </c>
      <c r="AD209" s="1345" t="s">
        <v>1812</v>
      </c>
    </row>
    <row r="210" spans="1:30" ht="13.5" customHeight="1" x14ac:dyDescent="0.25">
      <c r="A210" s="710" t="str">
        <f t="shared" si="40"/>
        <v>Road transport</v>
      </c>
      <c r="B210" s="724"/>
      <c r="C210" s="711">
        <f t="shared" ref="C210:I210" si="45">SUM(C211:C214)</f>
        <v>17376674</v>
      </c>
      <c r="D210" s="268">
        <f t="shared" si="45"/>
        <v>17376674</v>
      </c>
      <c r="E210" s="268">
        <f t="shared" si="45"/>
        <v>0</v>
      </c>
      <c r="F210" s="268">
        <f t="shared" si="45"/>
        <v>0</v>
      </c>
      <c r="G210" s="268">
        <f t="shared" si="45"/>
        <v>0</v>
      </c>
      <c r="H210" s="268">
        <f t="shared" si="45"/>
        <v>0</v>
      </c>
      <c r="I210" s="268">
        <f t="shared" si="45"/>
        <v>4679245</v>
      </c>
      <c r="J210" s="268">
        <f t="shared" si="43"/>
        <v>4679245</v>
      </c>
      <c r="K210" s="268">
        <f t="shared" si="44"/>
        <v>22055919</v>
      </c>
      <c r="L210" s="268">
        <f>SUM(L211:L214)</f>
        <v>13966341</v>
      </c>
      <c r="M210" s="269">
        <f>SUM(M211:M214)</f>
        <v>14711815</v>
      </c>
      <c r="N210" s="126"/>
      <c r="AD210" s="1345" t="s">
        <v>1224</v>
      </c>
    </row>
    <row r="211" spans="1:30" ht="13.5" customHeight="1" x14ac:dyDescent="0.25">
      <c r="A211" s="830" t="str">
        <f t="shared" si="40"/>
        <v>Public Transport</v>
      </c>
      <c r="B211" s="724"/>
      <c r="C211" s="1360">
        <f>SUMIFS(Sheet1!S71_OriginalBudget,Sheet1!S71_A2SubCode,$AC:$AC,Sheet1!S71_ItemType,$AD:$AD)</f>
        <v>0</v>
      </c>
      <c r="D211" s="1356">
        <f>SUMIFS(Sheet1!S71_SpecialAdjustedBudget,Sheet1!S71_A2SubCode,$AC:$AC,Sheet1!S71_ItemType,$AD:$AD)</f>
        <v>0</v>
      </c>
      <c r="E211" s="1356"/>
      <c r="F211" s="1356"/>
      <c r="G211" s="1356"/>
      <c r="H211" s="1356"/>
      <c r="I211" s="1356">
        <f>SUMIFS(Sheet1!S71_AdjustmentAmount,Sheet1!S71_A2SubCode,$AC:$AC,Sheet1!S71_ItemType,$AD:$AD)</f>
        <v>0</v>
      </c>
      <c r="J211" s="171">
        <f t="shared" si="43"/>
        <v>0</v>
      </c>
      <c r="K211" s="171">
        <f t="shared" si="44"/>
        <v>0</v>
      </c>
      <c r="L211" s="1356">
        <f>SUMIFS(Sheet1!S71_OY1AdjustedBudget,Sheet1!S71_A2SubCode,$AC:$AC,Sheet1!S71_ItemType,$AD:$AD)</f>
        <v>0</v>
      </c>
      <c r="M211" s="1357">
        <f>SUMIFS(Sheet1!S71_OY2AdjustedBudget,Sheet1!S71_A2SubCode,$AC:$AC,Sheet1!S71_ItemType,$AD:$AD)</f>
        <v>0</v>
      </c>
      <c r="N211" s="126"/>
      <c r="AC211" s="1345">
        <v>3203</v>
      </c>
      <c r="AD211" s="1345" t="s">
        <v>1812</v>
      </c>
    </row>
    <row r="212" spans="1:30" ht="13.5" customHeight="1" x14ac:dyDescent="0.25">
      <c r="A212" s="830" t="str">
        <f t="shared" si="40"/>
        <v>Road and Traffic Regulation</v>
      </c>
      <c r="B212" s="724"/>
      <c r="C212" s="1360">
        <f>SUMIFS(Sheet1!S71_OriginalBudget,Sheet1!S71_A2SubCode,$AC:$AC,Sheet1!S71_ItemType,$AD:$AD)</f>
        <v>0</v>
      </c>
      <c r="D212" s="1356">
        <f>SUMIFS(Sheet1!S71_SpecialAdjustedBudget,Sheet1!S71_A2SubCode,$AC:$AC,Sheet1!S71_ItemType,$AD:$AD)</f>
        <v>0</v>
      </c>
      <c r="E212" s="1356"/>
      <c r="F212" s="1356"/>
      <c r="G212" s="1356"/>
      <c r="H212" s="1356"/>
      <c r="I212" s="1356">
        <f>SUMIFS(Sheet1!S71_AdjustmentAmount,Sheet1!S71_A2SubCode,$AC:$AC,Sheet1!S71_ItemType,$AD:$AD)</f>
        <v>0</v>
      </c>
      <c r="J212" s="171">
        <f t="shared" si="43"/>
        <v>0</v>
      </c>
      <c r="K212" s="171">
        <f t="shared" si="44"/>
        <v>0</v>
      </c>
      <c r="L212" s="1356">
        <f>SUMIFS(Sheet1!S71_OY1AdjustedBudget,Sheet1!S71_A2SubCode,$AC:$AC,Sheet1!S71_ItemType,$AD:$AD)</f>
        <v>0</v>
      </c>
      <c r="M212" s="1357">
        <f>SUMIFS(Sheet1!S71_OY2AdjustedBudget,Sheet1!S71_A2SubCode,$AC:$AC,Sheet1!S71_ItemType,$AD:$AD)</f>
        <v>0</v>
      </c>
      <c r="N212" s="126"/>
      <c r="AC212" s="1345">
        <v>3204</v>
      </c>
      <c r="AD212" s="1345" t="s">
        <v>1812</v>
      </c>
    </row>
    <row r="213" spans="1:30" ht="13.5" customHeight="1" x14ac:dyDescent="0.25">
      <c r="A213" s="830" t="str">
        <f t="shared" si="40"/>
        <v>Roads</v>
      </c>
      <c r="B213" s="724"/>
      <c r="C213" s="1360">
        <f>SUMIFS(Sheet1!S71_OriginalBudget,Sheet1!S71_A2SubCode,$AC:$AC,Sheet1!S71_ItemType,$AD:$AD)</f>
        <v>17376674</v>
      </c>
      <c r="D213" s="1356">
        <f>SUMIFS(Sheet1!S71_SpecialAdjustedBudget,Sheet1!S71_A2SubCode,$AC:$AC,Sheet1!S71_ItemType,$AD:$AD)</f>
        <v>17376674</v>
      </c>
      <c r="E213" s="1356"/>
      <c r="F213" s="1356"/>
      <c r="G213" s="1356"/>
      <c r="H213" s="1356"/>
      <c r="I213" s="1356">
        <f>SUMIFS(Sheet1!S71_AdjustmentAmount,Sheet1!S71_A2SubCode,$AC:$AC,Sheet1!S71_ItemType,$AD:$AD)</f>
        <v>4679245</v>
      </c>
      <c r="J213" s="171">
        <f t="shared" si="43"/>
        <v>4679245</v>
      </c>
      <c r="K213" s="171">
        <f t="shared" si="44"/>
        <v>22055919</v>
      </c>
      <c r="L213" s="1356">
        <f>SUMIFS(Sheet1!S71_OY1AdjustedBudget,Sheet1!S71_A2SubCode,$AC:$AC,Sheet1!S71_ItemType,$AD:$AD)</f>
        <v>13966341</v>
      </c>
      <c r="M213" s="1357">
        <f>SUMIFS(Sheet1!S71_OY2AdjustedBudget,Sheet1!S71_A2SubCode,$AC:$AC,Sheet1!S71_ItemType,$AD:$AD)</f>
        <v>14711815</v>
      </c>
      <c r="N213" s="126"/>
      <c r="AC213" s="1345">
        <v>3205</v>
      </c>
      <c r="AD213" s="1345" t="s">
        <v>1812</v>
      </c>
    </row>
    <row r="214" spans="1:30" ht="13.5" customHeight="1" x14ac:dyDescent="0.25">
      <c r="A214" s="830" t="str">
        <f t="shared" si="40"/>
        <v>Taxi Ranks</v>
      </c>
      <c r="B214" s="724"/>
      <c r="C214" s="1360">
        <f>SUMIFS(Sheet1!S71_OriginalBudget,Sheet1!S71_A2SubCode,$AC:$AC,Sheet1!S71_ItemType,$AD:$AD)</f>
        <v>0</v>
      </c>
      <c r="D214" s="1356">
        <f>SUMIFS(Sheet1!S71_SpecialAdjustedBudget,Sheet1!S71_A2SubCode,$AC:$AC,Sheet1!S71_ItemType,$AD:$AD)</f>
        <v>0</v>
      </c>
      <c r="E214" s="1356"/>
      <c r="F214" s="1356"/>
      <c r="G214" s="1356"/>
      <c r="H214" s="1356"/>
      <c r="I214" s="1356">
        <f>SUMIFS(Sheet1!S71_AdjustmentAmount,Sheet1!S71_A2SubCode,$AC:$AC,Sheet1!S71_ItemType,$AD:$AD)</f>
        <v>0</v>
      </c>
      <c r="J214" s="171">
        <f t="shared" si="43"/>
        <v>0</v>
      </c>
      <c r="K214" s="171">
        <f t="shared" si="44"/>
        <v>0</v>
      </c>
      <c r="L214" s="1356">
        <f>SUMIFS(Sheet1!S71_OY1AdjustedBudget,Sheet1!S71_A2SubCode,$AC:$AC,Sheet1!S71_ItemType,$AD:$AD)</f>
        <v>0</v>
      </c>
      <c r="M214" s="1357">
        <f>SUMIFS(Sheet1!S71_OY2AdjustedBudget,Sheet1!S71_A2SubCode,$AC:$AC,Sheet1!S71_ItemType,$AD:$AD)</f>
        <v>0</v>
      </c>
      <c r="N214" s="126"/>
      <c r="AC214" s="1345">
        <v>3206</v>
      </c>
      <c r="AD214" s="1345" t="s">
        <v>1812</v>
      </c>
    </row>
    <row r="215" spans="1:30" ht="13.5" customHeight="1" x14ac:dyDescent="0.25">
      <c r="A215" s="710" t="str">
        <f t="shared" si="40"/>
        <v>Environmental protection</v>
      </c>
      <c r="B215" s="724"/>
      <c r="C215" s="711">
        <f t="shared" ref="C215:I215" si="46">SUM(C216:C221)</f>
        <v>0</v>
      </c>
      <c r="D215" s="268">
        <f t="shared" si="46"/>
        <v>0</v>
      </c>
      <c r="E215" s="268">
        <f t="shared" si="46"/>
        <v>0</v>
      </c>
      <c r="F215" s="268">
        <f t="shared" si="46"/>
        <v>0</v>
      </c>
      <c r="G215" s="268">
        <f t="shared" si="46"/>
        <v>0</v>
      </c>
      <c r="H215" s="268">
        <f t="shared" si="46"/>
        <v>0</v>
      </c>
      <c r="I215" s="268">
        <f t="shared" si="46"/>
        <v>0</v>
      </c>
      <c r="J215" s="268">
        <f t="shared" si="43"/>
        <v>0</v>
      </c>
      <c r="K215" s="268">
        <f t="shared" si="44"/>
        <v>0</v>
      </c>
      <c r="L215" s="268">
        <f>SUM(L216:L221)</f>
        <v>0</v>
      </c>
      <c r="M215" s="269">
        <f>SUM(M216:M221)</f>
        <v>0</v>
      </c>
      <c r="N215" s="126"/>
      <c r="AD215" s="1345" t="s">
        <v>1224</v>
      </c>
    </row>
    <row r="216" spans="1:30" ht="13.5" customHeight="1" x14ac:dyDescent="0.25">
      <c r="A216" s="830" t="str">
        <f t="shared" si="40"/>
        <v>Biodiversity and Landscape</v>
      </c>
      <c r="B216" s="724"/>
      <c r="C216" s="1360">
        <f>SUMIFS(Sheet1!S71_OriginalBudget,Sheet1!S71_A2SubCode,$AC:$AC,Sheet1!S71_ItemType,$AD:$AD)</f>
        <v>0</v>
      </c>
      <c r="D216" s="1356">
        <f>SUMIFS(Sheet1!S71_SpecialAdjustedBudget,Sheet1!S71_A2SubCode,$AC:$AC,Sheet1!S71_ItemType,$AD:$AD)</f>
        <v>0</v>
      </c>
      <c r="E216" s="1356"/>
      <c r="F216" s="1356"/>
      <c r="G216" s="1356"/>
      <c r="H216" s="1356"/>
      <c r="I216" s="1356">
        <f>SUMIFS(Sheet1!S71_AdjustmentAmount,Sheet1!S71_A2SubCode,$AC:$AC,Sheet1!S71_ItemType,$AD:$AD)</f>
        <v>0</v>
      </c>
      <c r="J216" s="171">
        <f t="shared" si="43"/>
        <v>0</v>
      </c>
      <c r="K216" s="171">
        <f t="shared" si="44"/>
        <v>0</v>
      </c>
      <c r="L216" s="1356">
        <f>SUMIFS(Sheet1!S71_OY1AdjustedBudget,Sheet1!S71_A2SubCode,$AC:$AC,Sheet1!S71_ItemType,$AD:$AD)</f>
        <v>0</v>
      </c>
      <c r="M216" s="1357">
        <f>SUMIFS(Sheet1!S71_OY2AdjustedBudget,Sheet1!S71_A2SubCode,$AC:$AC,Sheet1!S71_ItemType,$AD:$AD)</f>
        <v>0</v>
      </c>
      <c r="N216" s="126"/>
      <c r="AC216" s="1345">
        <v>3301</v>
      </c>
      <c r="AD216" s="1345" t="s">
        <v>1812</v>
      </c>
    </row>
    <row r="217" spans="1:30" ht="13.5" customHeight="1" x14ac:dyDescent="0.25">
      <c r="A217" s="830" t="str">
        <f t="shared" si="40"/>
        <v>Coastal Protection</v>
      </c>
      <c r="B217" s="724"/>
      <c r="C217" s="1360">
        <f>SUMIFS(Sheet1!S71_OriginalBudget,Sheet1!S71_A2SubCode,$AC:$AC,Sheet1!S71_ItemType,$AD:$AD)</f>
        <v>0</v>
      </c>
      <c r="D217" s="1356">
        <f>SUMIFS(Sheet1!S71_SpecialAdjustedBudget,Sheet1!S71_A2SubCode,$AC:$AC,Sheet1!S71_ItemType,$AD:$AD)</f>
        <v>0</v>
      </c>
      <c r="E217" s="1356"/>
      <c r="F217" s="1356"/>
      <c r="G217" s="1356"/>
      <c r="H217" s="1356"/>
      <c r="I217" s="1356">
        <f>SUMIFS(Sheet1!S71_AdjustmentAmount,Sheet1!S71_A2SubCode,$AC:$AC,Sheet1!S71_ItemType,$AD:$AD)</f>
        <v>0</v>
      </c>
      <c r="J217" s="171">
        <f t="shared" si="43"/>
        <v>0</v>
      </c>
      <c r="K217" s="171">
        <f t="shared" si="44"/>
        <v>0</v>
      </c>
      <c r="L217" s="1356">
        <f>SUMIFS(Sheet1!S71_OY1AdjustedBudget,Sheet1!S71_A2SubCode,$AC:$AC,Sheet1!S71_ItemType,$AD:$AD)</f>
        <v>0</v>
      </c>
      <c r="M217" s="1357">
        <f>SUMIFS(Sheet1!S71_OY2AdjustedBudget,Sheet1!S71_A2SubCode,$AC:$AC,Sheet1!S71_ItemType,$AD:$AD)</f>
        <v>0</v>
      </c>
      <c r="N217" s="126"/>
      <c r="AC217" s="1345">
        <v>3302</v>
      </c>
      <c r="AD217" s="1345" t="s">
        <v>1812</v>
      </c>
    </row>
    <row r="218" spans="1:30" ht="13.5" customHeight="1" x14ac:dyDescent="0.25">
      <c r="A218" s="830" t="str">
        <f t="shared" si="40"/>
        <v>Indigenous Forests</v>
      </c>
      <c r="B218" s="724"/>
      <c r="C218" s="1360">
        <f>SUMIFS(Sheet1!S71_OriginalBudget,Sheet1!S71_A2SubCode,$AC:$AC,Sheet1!S71_ItemType,$AD:$AD)</f>
        <v>0</v>
      </c>
      <c r="D218" s="1356">
        <f>SUMIFS(Sheet1!S71_SpecialAdjustedBudget,Sheet1!S71_A2SubCode,$AC:$AC,Sheet1!S71_ItemType,$AD:$AD)</f>
        <v>0</v>
      </c>
      <c r="E218" s="1356"/>
      <c r="F218" s="1356"/>
      <c r="G218" s="1356"/>
      <c r="H218" s="1356"/>
      <c r="I218" s="1356">
        <f>SUMIFS(Sheet1!S71_AdjustmentAmount,Sheet1!S71_A2SubCode,$AC:$AC,Sheet1!S71_ItemType,$AD:$AD)</f>
        <v>0</v>
      </c>
      <c r="J218" s="171">
        <f t="shared" si="43"/>
        <v>0</v>
      </c>
      <c r="K218" s="171">
        <f t="shared" si="44"/>
        <v>0</v>
      </c>
      <c r="L218" s="1356">
        <f>SUMIFS(Sheet1!S71_OY1AdjustedBudget,Sheet1!S71_A2SubCode,$AC:$AC,Sheet1!S71_ItemType,$AD:$AD)</f>
        <v>0</v>
      </c>
      <c r="M218" s="1357">
        <f>SUMIFS(Sheet1!S71_OY2AdjustedBudget,Sheet1!S71_A2SubCode,$AC:$AC,Sheet1!S71_ItemType,$AD:$AD)</f>
        <v>0</v>
      </c>
      <c r="N218" s="126"/>
      <c r="AC218" s="1345">
        <v>3303</v>
      </c>
      <c r="AD218" s="1345" t="s">
        <v>1812</v>
      </c>
    </row>
    <row r="219" spans="1:30" ht="13.5" customHeight="1" x14ac:dyDescent="0.25">
      <c r="A219" s="830" t="str">
        <f t="shared" si="40"/>
        <v>Nature Conservation</v>
      </c>
      <c r="B219" s="724"/>
      <c r="C219" s="1360">
        <f>SUMIFS(Sheet1!S71_OriginalBudget,Sheet1!S71_A2SubCode,$AC:$AC,Sheet1!S71_ItemType,$AD:$AD)</f>
        <v>0</v>
      </c>
      <c r="D219" s="1356">
        <f>SUMIFS(Sheet1!S71_SpecialAdjustedBudget,Sheet1!S71_A2SubCode,$AC:$AC,Sheet1!S71_ItemType,$AD:$AD)</f>
        <v>0</v>
      </c>
      <c r="E219" s="1356"/>
      <c r="F219" s="1356"/>
      <c r="G219" s="1356"/>
      <c r="H219" s="1356"/>
      <c r="I219" s="1356">
        <f>SUMIFS(Sheet1!S71_AdjustmentAmount,Sheet1!S71_A2SubCode,$AC:$AC,Sheet1!S71_ItemType,$AD:$AD)</f>
        <v>0</v>
      </c>
      <c r="J219" s="171">
        <f t="shared" si="43"/>
        <v>0</v>
      </c>
      <c r="K219" s="171">
        <f t="shared" si="44"/>
        <v>0</v>
      </c>
      <c r="L219" s="1356">
        <f>SUMIFS(Sheet1!S71_OY1AdjustedBudget,Sheet1!S71_A2SubCode,$AC:$AC,Sheet1!S71_ItemType,$AD:$AD)</f>
        <v>0</v>
      </c>
      <c r="M219" s="1357">
        <f>SUMIFS(Sheet1!S71_OY2AdjustedBudget,Sheet1!S71_A2SubCode,$AC:$AC,Sheet1!S71_ItemType,$AD:$AD)</f>
        <v>0</v>
      </c>
      <c r="N219" s="126"/>
      <c r="AC219" s="1345">
        <v>3304</v>
      </c>
      <c r="AD219" s="1345" t="s">
        <v>1812</v>
      </c>
    </row>
    <row r="220" spans="1:30" ht="13.5" customHeight="1" x14ac:dyDescent="0.25">
      <c r="A220" s="830" t="str">
        <f t="shared" si="40"/>
        <v>Pollution Control</v>
      </c>
      <c r="B220" s="724"/>
      <c r="C220" s="1360">
        <f>SUMIFS(Sheet1!S71_OriginalBudget,Sheet1!S71_A2SubCode,$AC:$AC,Sheet1!S71_ItemType,$AD:$AD)</f>
        <v>0</v>
      </c>
      <c r="D220" s="1356">
        <f>SUMIFS(Sheet1!S71_SpecialAdjustedBudget,Sheet1!S71_A2SubCode,$AC:$AC,Sheet1!S71_ItemType,$AD:$AD)</f>
        <v>0</v>
      </c>
      <c r="E220" s="1356"/>
      <c r="F220" s="1356"/>
      <c r="G220" s="1356"/>
      <c r="H220" s="1356"/>
      <c r="I220" s="1356">
        <f>SUMIFS(Sheet1!S71_AdjustmentAmount,Sheet1!S71_A2SubCode,$AC:$AC,Sheet1!S71_ItemType,$AD:$AD)</f>
        <v>0</v>
      </c>
      <c r="J220" s="171">
        <f t="shared" si="43"/>
        <v>0</v>
      </c>
      <c r="K220" s="171">
        <f t="shared" si="44"/>
        <v>0</v>
      </c>
      <c r="L220" s="1356">
        <f>SUMIFS(Sheet1!S71_OY1AdjustedBudget,Sheet1!S71_A2SubCode,$AC:$AC,Sheet1!S71_ItemType,$AD:$AD)</f>
        <v>0</v>
      </c>
      <c r="M220" s="1357">
        <f>SUMIFS(Sheet1!S71_OY2AdjustedBudget,Sheet1!S71_A2SubCode,$AC:$AC,Sheet1!S71_ItemType,$AD:$AD)</f>
        <v>0</v>
      </c>
      <c r="N220" s="126"/>
      <c r="AC220" s="1345">
        <v>3305</v>
      </c>
      <c r="AD220" s="1345" t="s">
        <v>1812</v>
      </c>
    </row>
    <row r="221" spans="1:30" ht="13.5" customHeight="1" x14ac:dyDescent="0.25">
      <c r="A221" s="830" t="str">
        <f t="shared" si="40"/>
        <v>Soil Conservation</v>
      </c>
      <c r="B221" s="724"/>
      <c r="C221" s="1360">
        <f>SUMIFS(Sheet1!S71_OriginalBudget,Sheet1!S71_A2SubCode,$AC:$AC,Sheet1!S71_ItemType,$AD:$AD)</f>
        <v>0</v>
      </c>
      <c r="D221" s="1356">
        <f>SUMIFS(Sheet1!S71_SpecialAdjustedBudget,Sheet1!S71_A2SubCode,$AC:$AC,Sheet1!S71_ItemType,$AD:$AD)</f>
        <v>0</v>
      </c>
      <c r="E221" s="1356"/>
      <c r="F221" s="1356"/>
      <c r="G221" s="1356"/>
      <c r="H221" s="1356"/>
      <c r="I221" s="1356">
        <f>SUMIFS(Sheet1!S71_AdjustmentAmount,Sheet1!S71_A2SubCode,$AC:$AC,Sheet1!S71_ItemType,$AD:$AD)</f>
        <v>0</v>
      </c>
      <c r="J221" s="171">
        <f t="shared" si="43"/>
        <v>0</v>
      </c>
      <c r="K221" s="171">
        <f t="shared" si="44"/>
        <v>0</v>
      </c>
      <c r="L221" s="1356">
        <f>SUMIFS(Sheet1!S71_OY1AdjustedBudget,Sheet1!S71_A2SubCode,$AC:$AC,Sheet1!S71_ItemType,$AD:$AD)</f>
        <v>0</v>
      </c>
      <c r="M221" s="1357">
        <f>SUMIFS(Sheet1!S71_OY2AdjustedBudget,Sheet1!S71_A2SubCode,$AC:$AC,Sheet1!S71_ItemType,$AD:$AD)</f>
        <v>0</v>
      </c>
      <c r="N221" s="126"/>
      <c r="AC221" s="1345">
        <v>3306</v>
      </c>
      <c r="AD221" s="1345" t="s">
        <v>1812</v>
      </c>
    </row>
    <row r="222" spans="1:30" ht="13.5" customHeight="1" x14ac:dyDescent="0.25">
      <c r="A222" s="107" t="str">
        <f t="shared" si="40"/>
        <v>Trading services</v>
      </c>
      <c r="B222" s="724"/>
      <c r="C222" s="708">
        <f>C223+C227+C231+C236</f>
        <v>2558000</v>
      </c>
      <c r="D222" s="707">
        <f t="shared" ref="D222:M222" si="47">D223+D227+D231+D236</f>
        <v>2558000</v>
      </c>
      <c r="E222" s="707">
        <f t="shared" si="47"/>
        <v>0</v>
      </c>
      <c r="F222" s="707">
        <f t="shared" si="47"/>
        <v>0</v>
      </c>
      <c r="G222" s="707">
        <f t="shared" si="47"/>
        <v>0</v>
      </c>
      <c r="H222" s="707">
        <f t="shared" si="47"/>
        <v>0</v>
      </c>
      <c r="I222" s="707">
        <f t="shared" si="47"/>
        <v>5881606</v>
      </c>
      <c r="J222" s="707">
        <f t="shared" si="43"/>
        <v>5881606</v>
      </c>
      <c r="K222" s="707">
        <f t="shared" si="44"/>
        <v>8439606</v>
      </c>
      <c r="L222" s="707">
        <f t="shared" si="47"/>
        <v>2691480</v>
      </c>
      <c r="M222" s="709">
        <f t="shared" si="47"/>
        <v>2832169</v>
      </c>
      <c r="N222" s="126"/>
      <c r="AD222" s="1345" t="s">
        <v>1224</v>
      </c>
    </row>
    <row r="223" spans="1:30" ht="13.5" customHeight="1" x14ac:dyDescent="0.25">
      <c r="A223" s="710" t="str">
        <f t="shared" si="40"/>
        <v>Energy sources</v>
      </c>
      <c r="B223" s="724"/>
      <c r="C223" s="711">
        <f t="shared" ref="C223:I223" si="48">SUM(C224:C226)</f>
        <v>0</v>
      </c>
      <c r="D223" s="268">
        <f t="shared" si="48"/>
        <v>0</v>
      </c>
      <c r="E223" s="268">
        <f t="shared" si="48"/>
        <v>0</v>
      </c>
      <c r="F223" s="268">
        <f t="shared" si="48"/>
        <v>0</v>
      </c>
      <c r="G223" s="268">
        <f t="shared" si="48"/>
        <v>0</v>
      </c>
      <c r="H223" s="268">
        <f t="shared" si="48"/>
        <v>0</v>
      </c>
      <c r="I223" s="268">
        <f t="shared" si="48"/>
        <v>6381606</v>
      </c>
      <c r="J223" s="268">
        <f t="shared" si="43"/>
        <v>6381606</v>
      </c>
      <c r="K223" s="268">
        <f t="shared" si="44"/>
        <v>6381606</v>
      </c>
      <c r="L223" s="268">
        <f>SUM(L224:L226)</f>
        <v>0</v>
      </c>
      <c r="M223" s="269">
        <f>SUM(M224:M226)</f>
        <v>0</v>
      </c>
      <c r="N223" s="126"/>
      <c r="AD223" s="1345" t="s">
        <v>1224</v>
      </c>
    </row>
    <row r="224" spans="1:30" ht="13.5" customHeight="1" x14ac:dyDescent="0.25">
      <c r="A224" s="830" t="str">
        <f t="shared" si="40"/>
        <v xml:space="preserve">Electricity </v>
      </c>
      <c r="B224" s="724"/>
      <c r="C224" s="1360">
        <f>SUMIFS(Sheet1!S71_OriginalBudget,Sheet1!S71_A2SubCode,$AC:$AC,Sheet1!S71_ItemType,$AD:$AD)</f>
        <v>0</v>
      </c>
      <c r="D224" s="1356">
        <f>SUMIFS(Sheet1!S71_SpecialAdjustedBudget,Sheet1!S71_A2SubCode,$AC:$AC,Sheet1!S71_ItemType,$AD:$AD)</f>
        <v>0</v>
      </c>
      <c r="E224" s="1356"/>
      <c r="F224" s="1356"/>
      <c r="G224" s="1356"/>
      <c r="H224" s="1356"/>
      <c r="I224" s="1356">
        <f>SUMIFS(Sheet1!S71_AdjustmentAmount,Sheet1!S71_A2SubCode,$AC:$AC,Sheet1!S71_ItemType,$AD:$AD)</f>
        <v>6381606</v>
      </c>
      <c r="J224" s="171">
        <f t="shared" si="43"/>
        <v>6381606</v>
      </c>
      <c r="K224" s="171">
        <f t="shared" si="44"/>
        <v>6381606</v>
      </c>
      <c r="L224" s="1356">
        <f>SUMIFS(Sheet1!S71_OY1AdjustedBudget,Sheet1!S71_A2SubCode,$AC:$AC,Sheet1!S71_ItemType,$AD:$AD)</f>
        <v>0</v>
      </c>
      <c r="M224" s="1357">
        <f>SUMIFS(Sheet1!S71_OY2AdjustedBudget,Sheet1!S71_A2SubCode,$AC:$AC,Sheet1!S71_ItemType,$AD:$AD)</f>
        <v>0</v>
      </c>
      <c r="N224" s="126"/>
      <c r="AC224" s="1345">
        <v>4101</v>
      </c>
      <c r="AD224" s="1345" t="s">
        <v>1812</v>
      </c>
    </row>
    <row r="225" spans="1:30" ht="13.5" customHeight="1" x14ac:dyDescent="0.25">
      <c r="A225" s="830" t="str">
        <f t="shared" ref="A225:A247" si="49">A103</f>
        <v>Street Lighting and Signal Systems</v>
      </c>
      <c r="B225" s="724"/>
      <c r="C225" s="1360">
        <f>SUMIFS(Sheet1!S71_OriginalBudget,Sheet1!S71_A2SubCode,$AC:$AC,Sheet1!S71_ItemType,$AD:$AD)</f>
        <v>0</v>
      </c>
      <c r="D225" s="1356">
        <f>SUMIFS(Sheet1!S71_SpecialAdjustedBudget,Sheet1!S71_A2SubCode,$AC:$AC,Sheet1!S71_ItemType,$AD:$AD)</f>
        <v>0</v>
      </c>
      <c r="E225" s="1356"/>
      <c r="F225" s="1356"/>
      <c r="G225" s="1356"/>
      <c r="H225" s="1356"/>
      <c r="I225" s="1356">
        <f>SUMIFS(Sheet1!S71_AdjustmentAmount,Sheet1!S71_A2SubCode,$AC:$AC,Sheet1!S71_ItemType,$AD:$AD)</f>
        <v>0</v>
      </c>
      <c r="J225" s="171">
        <f t="shared" si="43"/>
        <v>0</v>
      </c>
      <c r="K225" s="171">
        <f t="shared" si="44"/>
        <v>0</v>
      </c>
      <c r="L225" s="1356">
        <f>SUMIFS(Sheet1!S71_OY1AdjustedBudget,Sheet1!S71_A2SubCode,$AC:$AC,Sheet1!S71_ItemType,$AD:$AD)</f>
        <v>0</v>
      </c>
      <c r="M225" s="1357">
        <f>SUMIFS(Sheet1!S71_OY2AdjustedBudget,Sheet1!S71_A2SubCode,$AC:$AC,Sheet1!S71_ItemType,$AD:$AD)</f>
        <v>0</v>
      </c>
      <c r="N225" s="126"/>
      <c r="AC225" s="1345">
        <v>4102</v>
      </c>
      <c r="AD225" s="1345" t="s">
        <v>1812</v>
      </c>
    </row>
    <row r="226" spans="1:30" ht="13.5" customHeight="1" x14ac:dyDescent="0.25">
      <c r="A226" s="830" t="str">
        <f t="shared" si="49"/>
        <v>Nonelectric Energy</v>
      </c>
      <c r="B226" s="724"/>
      <c r="C226" s="1360">
        <f>SUMIFS(Sheet1!S71_OriginalBudget,Sheet1!S71_A2SubCode,$AC:$AC,Sheet1!S71_ItemType,$AD:$AD)</f>
        <v>0</v>
      </c>
      <c r="D226" s="1356">
        <f>SUMIFS(Sheet1!S71_SpecialAdjustedBudget,Sheet1!S71_A2SubCode,$AC:$AC,Sheet1!S71_ItemType,$AD:$AD)</f>
        <v>0</v>
      </c>
      <c r="E226" s="1356"/>
      <c r="F226" s="1356"/>
      <c r="G226" s="1356"/>
      <c r="H226" s="1356"/>
      <c r="I226" s="1356">
        <f>SUMIFS(Sheet1!S71_AdjustmentAmount,Sheet1!S71_A2SubCode,$AC:$AC,Sheet1!S71_ItemType,$AD:$AD)</f>
        <v>0</v>
      </c>
      <c r="J226" s="171">
        <f t="shared" si="43"/>
        <v>0</v>
      </c>
      <c r="K226" s="171">
        <f t="shared" si="44"/>
        <v>0</v>
      </c>
      <c r="L226" s="1356">
        <f>SUMIFS(Sheet1!S71_OY1AdjustedBudget,Sheet1!S71_A2SubCode,$AC:$AC,Sheet1!S71_ItemType,$AD:$AD)</f>
        <v>0</v>
      </c>
      <c r="M226" s="1357">
        <f>SUMIFS(Sheet1!S71_OY2AdjustedBudget,Sheet1!S71_A2SubCode,$AC:$AC,Sheet1!S71_ItemType,$AD:$AD)</f>
        <v>0</v>
      </c>
      <c r="N226" s="126"/>
      <c r="AC226" s="1345">
        <v>4103</v>
      </c>
      <c r="AD226" s="1345" t="s">
        <v>1812</v>
      </c>
    </row>
    <row r="227" spans="1:30" ht="13.5" customHeight="1" x14ac:dyDescent="0.25">
      <c r="A227" s="710" t="str">
        <f t="shared" si="49"/>
        <v>Water management</v>
      </c>
      <c r="B227" s="724"/>
      <c r="C227" s="711">
        <f t="shared" ref="C227:I227" si="50">SUM(C228:C230)</f>
        <v>0</v>
      </c>
      <c r="D227" s="268">
        <f t="shared" si="50"/>
        <v>0</v>
      </c>
      <c r="E227" s="268">
        <f t="shared" si="50"/>
        <v>0</v>
      </c>
      <c r="F227" s="268">
        <f t="shared" si="50"/>
        <v>0</v>
      </c>
      <c r="G227" s="268">
        <f t="shared" si="50"/>
        <v>0</v>
      </c>
      <c r="H227" s="268">
        <f t="shared" si="50"/>
        <v>0</v>
      </c>
      <c r="I227" s="268">
        <f t="shared" si="50"/>
        <v>0</v>
      </c>
      <c r="J227" s="268">
        <f t="shared" si="43"/>
        <v>0</v>
      </c>
      <c r="K227" s="268">
        <f t="shared" si="44"/>
        <v>0</v>
      </c>
      <c r="L227" s="268">
        <f>SUM(L228:L230)</f>
        <v>0</v>
      </c>
      <c r="M227" s="269">
        <f>SUM(M228:M230)</f>
        <v>0</v>
      </c>
      <c r="N227" s="126"/>
      <c r="AD227" s="1345" t="s">
        <v>1224</v>
      </c>
    </row>
    <row r="228" spans="1:30" ht="13.5" customHeight="1" x14ac:dyDescent="0.25">
      <c r="A228" s="830" t="str">
        <f t="shared" si="49"/>
        <v>Water Treatment</v>
      </c>
      <c r="B228" s="724"/>
      <c r="C228" s="1360">
        <f>SUMIFS(Sheet1!S71_OriginalBudget,Sheet1!S71_A2SubCode,$AC:$AC,Sheet1!S71_ItemType,$AD:$AD)</f>
        <v>0</v>
      </c>
      <c r="D228" s="1356">
        <f>SUMIFS(Sheet1!S71_SpecialAdjustedBudget,Sheet1!S71_A2SubCode,$AC:$AC,Sheet1!S71_ItemType,$AD:$AD)</f>
        <v>0</v>
      </c>
      <c r="E228" s="1356"/>
      <c r="F228" s="1356"/>
      <c r="G228" s="1356"/>
      <c r="H228" s="1356"/>
      <c r="I228" s="1356">
        <f>SUMIFS(Sheet1!S71_AdjustmentAmount,Sheet1!S71_A2SubCode,$AC:$AC,Sheet1!S71_ItemType,$AD:$AD)</f>
        <v>0</v>
      </c>
      <c r="J228" s="171">
        <f t="shared" si="43"/>
        <v>0</v>
      </c>
      <c r="K228" s="171">
        <f t="shared" si="44"/>
        <v>0</v>
      </c>
      <c r="L228" s="1356">
        <f>SUMIFS(Sheet1!S71_OY1AdjustedBudget,Sheet1!S71_A2SubCode,$AC:$AC,Sheet1!S71_ItemType,$AD:$AD)</f>
        <v>0</v>
      </c>
      <c r="M228" s="1357">
        <f>SUMIFS(Sheet1!S71_OY2AdjustedBudget,Sheet1!S71_A2SubCode,$AC:$AC,Sheet1!S71_ItemType,$AD:$AD)</f>
        <v>0</v>
      </c>
      <c r="N228" s="126"/>
      <c r="AC228" s="1345">
        <v>4201</v>
      </c>
      <c r="AD228" s="1345" t="s">
        <v>1812</v>
      </c>
    </row>
    <row r="229" spans="1:30" ht="13.5" customHeight="1" x14ac:dyDescent="0.25">
      <c r="A229" s="830" t="str">
        <f t="shared" si="49"/>
        <v>Water Distribution</v>
      </c>
      <c r="B229" s="724"/>
      <c r="C229" s="1360">
        <f>SUMIFS(Sheet1!S71_OriginalBudget,Sheet1!S71_A2SubCode,$AC:$AC,Sheet1!S71_ItemType,$AD:$AD)</f>
        <v>0</v>
      </c>
      <c r="D229" s="1356">
        <f>SUMIFS(Sheet1!S71_SpecialAdjustedBudget,Sheet1!S71_A2SubCode,$AC:$AC,Sheet1!S71_ItemType,$AD:$AD)</f>
        <v>0</v>
      </c>
      <c r="E229" s="1356"/>
      <c r="F229" s="1356"/>
      <c r="G229" s="1356"/>
      <c r="H229" s="1356"/>
      <c r="I229" s="1356">
        <f>SUMIFS(Sheet1!S71_AdjustmentAmount,Sheet1!S71_A2SubCode,$AC:$AC,Sheet1!S71_ItemType,$AD:$AD)</f>
        <v>0</v>
      </c>
      <c r="J229" s="171">
        <f t="shared" si="43"/>
        <v>0</v>
      </c>
      <c r="K229" s="171">
        <f t="shared" si="44"/>
        <v>0</v>
      </c>
      <c r="L229" s="1356">
        <f>SUMIFS(Sheet1!S71_OY1AdjustedBudget,Sheet1!S71_A2SubCode,$AC:$AC,Sheet1!S71_ItemType,$AD:$AD)</f>
        <v>0</v>
      </c>
      <c r="M229" s="1357">
        <f>SUMIFS(Sheet1!S71_OY2AdjustedBudget,Sheet1!S71_A2SubCode,$AC:$AC,Sheet1!S71_ItemType,$AD:$AD)</f>
        <v>0</v>
      </c>
      <c r="N229" s="126"/>
      <c r="AC229" s="1345">
        <v>4202</v>
      </c>
      <c r="AD229" s="1345" t="s">
        <v>1812</v>
      </c>
    </row>
    <row r="230" spans="1:30" ht="13.5" customHeight="1" x14ac:dyDescent="0.25">
      <c r="A230" s="830" t="str">
        <f t="shared" si="49"/>
        <v>Water Storage</v>
      </c>
      <c r="B230" s="724"/>
      <c r="C230" s="1360">
        <f>SUMIFS(Sheet1!S71_OriginalBudget,Sheet1!S71_A2SubCode,$AC:$AC,Sheet1!S71_ItemType,$AD:$AD)</f>
        <v>0</v>
      </c>
      <c r="D230" s="1356">
        <f>SUMIFS(Sheet1!S71_SpecialAdjustedBudget,Sheet1!S71_A2SubCode,$AC:$AC,Sheet1!S71_ItemType,$AD:$AD)</f>
        <v>0</v>
      </c>
      <c r="E230" s="1356"/>
      <c r="F230" s="1356"/>
      <c r="G230" s="1356"/>
      <c r="H230" s="1356"/>
      <c r="I230" s="1356">
        <f>SUMIFS(Sheet1!S71_AdjustmentAmount,Sheet1!S71_A2SubCode,$AC:$AC,Sheet1!S71_ItemType,$AD:$AD)</f>
        <v>0</v>
      </c>
      <c r="J230" s="171">
        <f t="shared" si="43"/>
        <v>0</v>
      </c>
      <c r="K230" s="171">
        <f t="shared" si="44"/>
        <v>0</v>
      </c>
      <c r="L230" s="1356">
        <f>SUMIFS(Sheet1!S71_OY1AdjustedBudget,Sheet1!S71_A2SubCode,$AC:$AC,Sheet1!S71_ItemType,$AD:$AD)</f>
        <v>0</v>
      </c>
      <c r="M230" s="1357">
        <f>SUMIFS(Sheet1!S71_OY2AdjustedBudget,Sheet1!S71_A2SubCode,$AC:$AC,Sheet1!S71_ItemType,$AD:$AD)</f>
        <v>0</v>
      </c>
      <c r="N230" s="126"/>
      <c r="AC230" s="1345">
        <v>4203</v>
      </c>
      <c r="AD230" s="1345" t="s">
        <v>1812</v>
      </c>
    </row>
    <row r="231" spans="1:30" ht="13.5" customHeight="1" x14ac:dyDescent="0.25">
      <c r="A231" s="710" t="str">
        <f t="shared" si="49"/>
        <v>Waste water management</v>
      </c>
      <c r="B231" s="724"/>
      <c r="C231" s="711">
        <f t="shared" ref="C231:I231" si="51">SUM(C232:C235)</f>
        <v>0</v>
      </c>
      <c r="D231" s="268">
        <f t="shared" si="51"/>
        <v>0</v>
      </c>
      <c r="E231" s="268">
        <f t="shared" si="51"/>
        <v>0</v>
      </c>
      <c r="F231" s="268">
        <f t="shared" si="51"/>
        <v>0</v>
      </c>
      <c r="G231" s="268">
        <f t="shared" si="51"/>
        <v>0</v>
      </c>
      <c r="H231" s="268">
        <f t="shared" si="51"/>
        <v>0</v>
      </c>
      <c r="I231" s="268">
        <f t="shared" si="51"/>
        <v>0</v>
      </c>
      <c r="J231" s="268">
        <f t="shared" si="43"/>
        <v>0</v>
      </c>
      <c r="K231" s="268">
        <f t="shared" si="44"/>
        <v>0</v>
      </c>
      <c r="L231" s="268">
        <f>SUM(L232:L235)</f>
        <v>0</v>
      </c>
      <c r="M231" s="269">
        <f>SUM(M232:M235)</f>
        <v>0</v>
      </c>
      <c r="N231" s="126"/>
      <c r="AD231" s="1345" t="s">
        <v>1224</v>
      </c>
    </row>
    <row r="232" spans="1:30" ht="13.5" customHeight="1" x14ac:dyDescent="0.25">
      <c r="A232" s="830" t="str">
        <f t="shared" si="49"/>
        <v>Public Toilets</v>
      </c>
      <c r="B232" s="724"/>
      <c r="C232" s="1360">
        <f>SUMIFS(Sheet1!S71_OriginalBudget,Sheet1!S71_A2SubCode,$AC:$AC,Sheet1!S71_ItemType,$AD:$AD)</f>
        <v>0</v>
      </c>
      <c r="D232" s="1356">
        <f>SUMIFS(Sheet1!S71_SpecialAdjustedBudget,Sheet1!S71_A2SubCode,$AC:$AC,Sheet1!S71_ItemType,$AD:$AD)</f>
        <v>0</v>
      </c>
      <c r="E232" s="1356"/>
      <c r="F232" s="1356"/>
      <c r="G232" s="1356"/>
      <c r="H232" s="1356"/>
      <c r="I232" s="1356">
        <f>SUMIFS(Sheet1!S71_AdjustmentAmount,Sheet1!S71_A2SubCode,$AC:$AC,Sheet1!S71_ItemType,$AD:$AD)</f>
        <v>0</v>
      </c>
      <c r="J232" s="171">
        <f t="shared" si="43"/>
        <v>0</v>
      </c>
      <c r="K232" s="171">
        <f t="shared" si="44"/>
        <v>0</v>
      </c>
      <c r="L232" s="1356">
        <f>SUMIFS(Sheet1!S71_OY1AdjustedBudget,Sheet1!S71_A2SubCode,$AC:$AC,Sheet1!S71_ItemType,$AD:$AD)</f>
        <v>0</v>
      </c>
      <c r="M232" s="1357">
        <f>SUMIFS(Sheet1!S71_OY2AdjustedBudget,Sheet1!S71_A2SubCode,$AC:$AC,Sheet1!S71_ItemType,$AD:$AD)</f>
        <v>0</v>
      </c>
      <c r="N232" s="126"/>
      <c r="AC232" s="1345">
        <v>4301</v>
      </c>
      <c r="AD232" s="1345" t="s">
        <v>1812</v>
      </c>
    </row>
    <row r="233" spans="1:30" ht="13.5" customHeight="1" x14ac:dyDescent="0.25">
      <c r="A233" s="830" t="str">
        <f t="shared" si="49"/>
        <v>Sewerage</v>
      </c>
      <c r="B233" s="724"/>
      <c r="C233" s="1360">
        <f>SUMIFS(Sheet1!S71_OriginalBudget,Sheet1!S71_A2SubCode,$AC:$AC,Sheet1!S71_ItemType,$AD:$AD)</f>
        <v>0</v>
      </c>
      <c r="D233" s="1356">
        <f>SUMIFS(Sheet1!S71_SpecialAdjustedBudget,Sheet1!S71_A2SubCode,$AC:$AC,Sheet1!S71_ItemType,$AD:$AD)</f>
        <v>0</v>
      </c>
      <c r="E233" s="1356"/>
      <c r="F233" s="1356"/>
      <c r="G233" s="1356"/>
      <c r="H233" s="1356"/>
      <c r="I233" s="1356">
        <f>SUMIFS(Sheet1!S71_AdjustmentAmount,Sheet1!S71_A2SubCode,$AC:$AC,Sheet1!S71_ItemType,$AD:$AD)</f>
        <v>0</v>
      </c>
      <c r="J233" s="171">
        <f t="shared" si="43"/>
        <v>0</v>
      </c>
      <c r="K233" s="171">
        <f t="shared" si="44"/>
        <v>0</v>
      </c>
      <c r="L233" s="1356">
        <f>SUMIFS(Sheet1!S71_OY1AdjustedBudget,Sheet1!S71_A2SubCode,$AC:$AC,Sheet1!S71_ItemType,$AD:$AD)</f>
        <v>0</v>
      </c>
      <c r="M233" s="1357">
        <f>SUMIFS(Sheet1!S71_OY2AdjustedBudget,Sheet1!S71_A2SubCode,$AC:$AC,Sheet1!S71_ItemType,$AD:$AD)</f>
        <v>0</v>
      </c>
      <c r="N233" s="126"/>
      <c r="AC233" s="1345">
        <v>4302</v>
      </c>
      <c r="AD233" s="1345" t="s">
        <v>1812</v>
      </c>
    </row>
    <row r="234" spans="1:30" ht="13.5" customHeight="1" x14ac:dyDescent="0.25">
      <c r="A234" s="830" t="str">
        <f t="shared" si="49"/>
        <v>Storm Water Management</v>
      </c>
      <c r="B234" s="724"/>
      <c r="C234" s="1360">
        <f>SUMIFS(Sheet1!S71_OriginalBudget,Sheet1!S71_A2SubCode,$AC:$AC,Sheet1!S71_ItemType,$AD:$AD)</f>
        <v>0</v>
      </c>
      <c r="D234" s="1356">
        <f>SUMIFS(Sheet1!S71_SpecialAdjustedBudget,Sheet1!S71_A2SubCode,$AC:$AC,Sheet1!S71_ItemType,$AD:$AD)</f>
        <v>0</v>
      </c>
      <c r="E234" s="1356"/>
      <c r="F234" s="1356"/>
      <c r="G234" s="1356"/>
      <c r="H234" s="1356"/>
      <c r="I234" s="1356">
        <f>SUMIFS(Sheet1!S71_AdjustmentAmount,Sheet1!S71_A2SubCode,$AC:$AC,Sheet1!S71_ItemType,$AD:$AD)</f>
        <v>0</v>
      </c>
      <c r="J234" s="171">
        <f t="shared" si="43"/>
        <v>0</v>
      </c>
      <c r="K234" s="171">
        <f t="shared" si="44"/>
        <v>0</v>
      </c>
      <c r="L234" s="1356">
        <f>SUMIFS(Sheet1!S71_OY1AdjustedBudget,Sheet1!S71_A2SubCode,$AC:$AC,Sheet1!S71_ItemType,$AD:$AD)</f>
        <v>0</v>
      </c>
      <c r="M234" s="1357">
        <f>SUMIFS(Sheet1!S71_OY2AdjustedBudget,Sheet1!S71_A2SubCode,$AC:$AC,Sheet1!S71_ItemType,$AD:$AD)</f>
        <v>0</v>
      </c>
      <c r="N234" s="126"/>
      <c r="AC234" s="1345">
        <v>4303</v>
      </c>
      <c r="AD234" s="1345" t="s">
        <v>1812</v>
      </c>
    </row>
    <row r="235" spans="1:30" ht="13.5" customHeight="1" x14ac:dyDescent="0.25">
      <c r="A235" s="830" t="str">
        <f t="shared" si="49"/>
        <v>Waste Water Treatment</v>
      </c>
      <c r="B235" s="724"/>
      <c r="C235" s="1360">
        <f>SUMIFS(Sheet1!S71_OriginalBudget,Sheet1!S71_A2SubCode,$AC:$AC,Sheet1!S71_ItemType,$AD:$AD)</f>
        <v>0</v>
      </c>
      <c r="D235" s="1356">
        <f>SUMIFS(Sheet1!S71_SpecialAdjustedBudget,Sheet1!S71_A2SubCode,$AC:$AC,Sheet1!S71_ItemType,$AD:$AD)</f>
        <v>0</v>
      </c>
      <c r="E235" s="1356"/>
      <c r="F235" s="1356"/>
      <c r="G235" s="1356"/>
      <c r="H235" s="1356"/>
      <c r="I235" s="1356">
        <f>SUMIFS(Sheet1!S71_AdjustmentAmount,Sheet1!S71_A2SubCode,$AC:$AC,Sheet1!S71_ItemType,$AD:$AD)</f>
        <v>0</v>
      </c>
      <c r="J235" s="171">
        <f t="shared" si="43"/>
        <v>0</v>
      </c>
      <c r="K235" s="171">
        <f t="shared" si="44"/>
        <v>0</v>
      </c>
      <c r="L235" s="1356">
        <f>SUMIFS(Sheet1!S71_OY1AdjustedBudget,Sheet1!S71_A2SubCode,$AC:$AC,Sheet1!S71_ItemType,$AD:$AD)</f>
        <v>0</v>
      </c>
      <c r="M235" s="1357">
        <f>SUMIFS(Sheet1!S71_OY2AdjustedBudget,Sheet1!S71_A2SubCode,$AC:$AC,Sheet1!S71_ItemType,$AD:$AD)</f>
        <v>0</v>
      </c>
      <c r="N235" s="126"/>
      <c r="AC235" s="1345">
        <v>4304</v>
      </c>
      <c r="AD235" s="1345" t="s">
        <v>1812</v>
      </c>
    </row>
    <row r="236" spans="1:30" ht="13.5" customHeight="1" x14ac:dyDescent="0.25">
      <c r="A236" s="710" t="str">
        <f t="shared" si="49"/>
        <v>Waste management</v>
      </c>
      <c r="B236" s="724"/>
      <c r="C236" s="711">
        <f>SUM(C237:C240)</f>
        <v>2558000</v>
      </c>
      <c r="D236" s="268">
        <f>SUM(D237:D240)</f>
        <v>2558000</v>
      </c>
      <c r="E236" s="268">
        <f>SUM(E237:E240)</f>
        <v>0</v>
      </c>
      <c r="F236" s="268">
        <f t="shared" ref="F236:M236" si="52">SUM(F237:F240)</f>
        <v>0</v>
      </c>
      <c r="G236" s="268">
        <f t="shared" si="52"/>
        <v>0</v>
      </c>
      <c r="H236" s="268">
        <f t="shared" si="52"/>
        <v>0</v>
      </c>
      <c r="I236" s="268">
        <f t="shared" si="52"/>
        <v>-500000</v>
      </c>
      <c r="J236" s="268">
        <f t="shared" si="43"/>
        <v>-500000</v>
      </c>
      <c r="K236" s="268">
        <f t="shared" si="44"/>
        <v>2058000</v>
      </c>
      <c r="L236" s="268">
        <f t="shared" si="52"/>
        <v>2691480</v>
      </c>
      <c r="M236" s="269">
        <f t="shared" si="52"/>
        <v>2832169</v>
      </c>
      <c r="N236" s="126"/>
      <c r="AD236" s="1345" t="s">
        <v>1224</v>
      </c>
    </row>
    <row r="237" spans="1:30" ht="13.5" customHeight="1" x14ac:dyDescent="0.25">
      <c r="A237" s="830" t="str">
        <f t="shared" si="49"/>
        <v>Recycling</v>
      </c>
      <c r="B237" s="722"/>
      <c r="C237" s="1360">
        <f>SUMIFS(Sheet1!S71_OriginalBudget,Sheet1!S71_A2SubCode,$AC:$AC,Sheet1!S71_ItemType,$AD:$AD)</f>
        <v>0</v>
      </c>
      <c r="D237" s="1356">
        <f>SUMIFS(Sheet1!S71_SpecialAdjustedBudget,Sheet1!S71_A2SubCode,$AC:$AC,Sheet1!S71_ItemType,$AD:$AD)</f>
        <v>0</v>
      </c>
      <c r="E237" s="1356"/>
      <c r="F237" s="1356"/>
      <c r="G237" s="1356"/>
      <c r="H237" s="1356"/>
      <c r="I237" s="1356">
        <f>SUMIFS(Sheet1!S71_AdjustmentAmount,Sheet1!S71_A2SubCode,$AC:$AC,Sheet1!S71_ItemType,$AD:$AD)</f>
        <v>0</v>
      </c>
      <c r="J237" s="171">
        <f t="shared" si="43"/>
        <v>0</v>
      </c>
      <c r="K237" s="171">
        <f t="shared" si="44"/>
        <v>0</v>
      </c>
      <c r="L237" s="1356">
        <f>SUMIFS(Sheet1!S71_OY1AdjustedBudget,Sheet1!S71_A2SubCode,$AC:$AC,Sheet1!S71_ItemType,$AD:$AD)</f>
        <v>0</v>
      </c>
      <c r="M237" s="1357">
        <f>SUMIFS(Sheet1!S71_OY2AdjustedBudget,Sheet1!S71_A2SubCode,$AC:$AC,Sheet1!S71_ItemType,$AD:$AD)</f>
        <v>0</v>
      </c>
      <c r="N237" s="126"/>
      <c r="AC237" s="1345">
        <v>4401</v>
      </c>
      <c r="AD237" s="1345" t="s">
        <v>1812</v>
      </c>
    </row>
    <row r="238" spans="1:30" ht="13.5" customHeight="1" x14ac:dyDescent="0.25">
      <c r="A238" s="830" t="str">
        <f t="shared" si="49"/>
        <v>Solid Waste Disposal (Landfill Sites)</v>
      </c>
      <c r="B238" s="724"/>
      <c r="C238" s="1360">
        <f>SUMIFS(Sheet1!S71_OriginalBudget,Sheet1!S71_A2SubCode,$AC:$AC,Sheet1!S71_ItemType,$AD:$AD)</f>
        <v>380000</v>
      </c>
      <c r="D238" s="1356">
        <f>SUMIFS(Sheet1!S71_SpecialAdjustedBudget,Sheet1!S71_A2SubCode,$AC:$AC,Sheet1!S71_ItemType,$AD:$AD)</f>
        <v>380000</v>
      </c>
      <c r="E238" s="1356"/>
      <c r="F238" s="1356"/>
      <c r="G238" s="1356"/>
      <c r="H238" s="1356"/>
      <c r="I238" s="1356">
        <f>SUMIFS(Sheet1!S71_AdjustmentAmount,Sheet1!S71_A2SubCode,$AC:$AC,Sheet1!S71_ItemType,$AD:$AD)</f>
        <v>0</v>
      </c>
      <c r="J238" s="171">
        <f t="shared" si="43"/>
        <v>0</v>
      </c>
      <c r="K238" s="171">
        <f t="shared" si="44"/>
        <v>380000</v>
      </c>
      <c r="L238" s="1356">
        <f>SUMIFS(Sheet1!S71_OY1AdjustedBudget,Sheet1!S71_A2SubCode,$AC:$AC,Sheet1!S71_ItemType,$AD:$AD)</f>
        <v>402800</v>
      </c>
      <c r="M238" s="1357">
        <f>SUMIFS(Sheet1!S71_OY2AdjustedBudget,Sheet1!S71_A2SubCode,$AC:$AC,Sheet1!S71_ItemType,$AD:$AD)</f>
        <v>426968</v>
      </c>
      <c r="N238" s="126"/>
      <c r="AC238" s="1345">
        <v>4402</v>
      </c>
      <c r="AD238" s="1345" t="s">
        <v>1812</v>
      </c>
    </row>
    <row r="239" spans="1:30" ht="13.5" customHeight="1" x14ac:dyDescent="0.25">
      <c r="A239" s="830" t="str">
        <f t="shared" si="49"/>
        <v>Solid Waste Removal</v>
      </c>
      <c r="B239" s="724"/>
      <c r="C239" s="1360">
        <f>SUMIFS(Sheet1!S71_OriginalBudget,Sheet1!S71_A2SubCode,$AC:$AC,Sheet1!S71_ItemType,$AD:$AD)</f>
        <v>2138000</v>
      </c>
      <c r="D239" s="1356">
        <f>SUMIFS(Sheet1!S71_SpecialAdjustedBudget,Sheet1!S71_A2SubCode,$AC:$AC,Sheet1!S71_ItemType,$AD:$AD)</f>
        <v>2138000</v>
      </c>
      <c r="E239" s="1356"/>
      <c r="F239" s="1356"/>
      <c r="G239" s="1356"/>
      <c r="H239" s="1356"/>
      <c r="I239" s="1356">
        <f>SUMIFS(Sheet1!S71_AdjustmentAmount,Sheet1!S71_A2SubCode,$AC:$AC,Sheet1!S71_ItemType,$AD:$AD)</f>
        <v>-500000</v>
      </c>
      <c r="J239" s="171">
        <f t="shared" si="43"/>
        <v>-500000</v>
      </c>
      <c r="K239" s="171">
        <f t="shared" si="44"/>
        <v>1638000</v>
      </c>
      <c r="L239" s="1356">
        <f>SUMIFS(Sheet1!S71_OY1AdjustedBudget,Sheet1!S71_A2SubCode,$AC:$AC,Sheet1!S71_ItemType,$AD:$AD)</f>
        <v>2246280</v>
      </c>
      <c r="M239" s="1357">
        <f>SUMIFS(Sheet1!S71_OY2AdjustedBudget,Sheet1!S71_A2SubCode,$AC:$AC,Sheet1!S71_ItemType,$AD:$AD)</f>
        <v>2360257</v>
      </c>
      <c r="N239" s="126"/>
      <c r="AC239" s="1345">
        <v>4403</v>
      </c>
      <c r="AD239" s="1345" t="s">
        <v>1812</v>
      </c>
    </row>
    <row r="240" spans="1:30" ht="13.5" customHeight="1" x14ac:dyDescent="0.25">
      <c r="A240" s="830" t="str">
        <f t="shared" si="49"/>
        <v>Street Cleaning</v>
      </c>
      <c r="B240" s="724"/>
      <c r="C240" s="1360">
        <f>SUMIFS(Sheet1!S71_OriginalBudget,Sheet1!S71_A2SubCode,$AC:$AC,Sheet1!S71_ItemType,$AD:$AD)</f>
        <v>40000</v>
      </c>
      <c r="D240" s="1356">
        <f>SUMIFS(Sheet1!S71_SpecialAdjustedBudget,Sheet1!S71_A2SubCode,$AC:$AC,Sheet1!S71_ItemType,$AD:$AD)</f>
        <v>40000</v>
      </c>
      <c r="E240" s="1356"/>
      <c r="F240" s="1356"/>
      <c r="G240" s="1356"/>
      <c r="H240" s="1356"/>
      <c r="I240" s="1356">
        <f>SUMIFS(Sheet1!S71_AdjustmentAmount,Sheet1!S71_A2SubCode,$AC:$AC,Sheet1!S71_ItemType,$AD:$AD)</f>
        <v>0</v>
      </c>
      <c r="J240" s="171">
        <f t="shared" si="43"/>
        <v>0</v>
      </c>
      <c r="K240" s="171">
        <f t="shared" si="44"/>
        <v>40000</v>
      </c>
      <c r="L240" s="1356">
        <f>SUMIFS(Sheet1!S71_OY1AdjustedBudget,Sheet1!S71_A2SubCode,$AC:$AC,Sheet1!S71_ItemType,$AD:$AD)</f>
        <v>42400</v>
      </c>
      <c r="M240" s="1357">
        <f>SUMIFS(Sheet1!S71_OY2AdjustedBudget,Sheet1!S71_A2SubCode,$AC:$AC,Sheet1!S71_ItemType,$AD:$AD)</f>
        <v>44944</v>
      </c>
      <c r="N240" s="126"/>
      <c r="AC240" s="1345">
        <v>4404</v>
      </c>
      <c r="AD240" s="1345" t="s">
        <v>1812</v>
      </c>
    </row>
    <row r="241" spans="1:30" ht="13.5" customHeight="1" x14ac:dyDescent="0.25">
      <c r="A241" s="107" t="str">
        <f t="shared" si="49"/>
        <v>Other</v>
      </c>
      <c r="B241" s="722"/>
      <c r="C241" s="711">
        <f>SUM(C242:C247)</f>
        <v>6513455</v>
      </c>
      <c r="D241" s="268">
        <f t="shared" ref="D241:I241" si="53">SUM(D242:D247)</f>
        <v>6513455</v>
      </c>
      <c r="E241" s="268">
        <f t="shared" si="53"/>
        <v>0</v>
      </c>
      <c r="F241" s="268">
        <f t="shared" si="53"/>
        <v>0</v>
      </c>
      <c r="G241" s="268">
        <f t="shared" si="53"/>
        <v>0</v>
      </c>
      <c r="H241" s="268">
        <f t="shared" si="53"/>
        <v>0</v>
      </c>
      <c r="I241" s="268">
        <f t="shared" si="53"/>
        <v>0</v>
      </c>
      <c r="J241" s="268">
        <f t="shared" si="43"/>
        <v>0</v>
      </c>
      <c r="K241" s="268">
        <f t="shared" si="44"/>
        <v>6513455</v>
      </c>
      <c r="L241" s="268">
        <f>SUM(L242:L247)</f>
        <v>6926530</v>
      </c>
      <c r="M241" s="269">
        <f>SUM(M242:M247)</f>
        <v>7366804</v>
      </c>
      <c r="N241" s="126"/>
      <c r="AD241" s="1345" t="s">
        <v>1224</v>
      </c>
    </row>
    <row r="242" spans="1:30" ht="13.5" customHeight="1" x14ac:dyDescent="0.25">
      <c r="A242" s="710" t="str">
        <f t="shared" si="49"/>
        <v>Abattoirs</v>
      </c>
      <c r="B242" s="722"/>
      <c r="C242" s="1360">
        <f>SUMIFS(Sheet1!S71_OriginalBudget,Sheet1!S71_A2SubCode,$AC:$AC,Sheet1!S71_ItemType,$AD:$AD)</f>
        <v>0</v>
      </c>
      <c r="D242" s="1356">
        <f>SUMIFS(Sheet1!S71_SpecialAdjustedBudget,Sheet1!S71_A2SubCode,$AC:$AC,Sheet1!S71_ItemType,$AD:$AD)</f>
        <v>0</v>
      </c>
      <c r="E242" s="1356"/>
      <c r="F242" s="1356"/>
      <c r="G242" s="1356"/>
      <c r="H242" s="1356"/>
      <c r="I242" s="1356">
        <f>SUMIFS(Sheet1!S71_AdjustmentAmount,Sheet1!S71_A2SubCode,$AC:$AC,Sheet1!S71_ItemType,$AD:$AD)</f>
        <v>0</v>
      </c>
      <c r="J242" s="171">
        <f t="shared" si="43"/>
        <v>0</v>
      </c>
      <c r="K242" s="171">
        <f t="shared" si="44"/>
        <v>0</v>
      </c>
      <c r="L242" s="1356">
        <f>SUMIFS(Sheet1!S71_OY1AdjustedBudget,Sheet1!S71_A2SubCode,$AC:$AC,Sheet1!S71_ItemType,$AD:$AD)</f>
        <v>0</v>
      </c>
      <c r="M242" s="1357">
        <f>SUMIFS(Sheet1!S71_OY2AdjustedBudget,Sheet1!S71_A2SubCode,$AC:$AC,Sheet1!S71_ItemType,$AD:$AD)</f>
        <v>0</v>
      </c>
      <c r="N242" s="126"/>
      <c r="AC242" s="1345">
        <v>5001</v>
      </c>
      <c r="AD242" s="1345" t="s">
        <v>1812</v>
      </c>
    </row>
    <row r="243" spans="1:30" ht="13.5" customHeight="1" x14ac:dyDescent="0.25">
      <c r="A243" s="710" t="str">
        <f t="shared" si="49"/>
        <v>Air Transport</v>
      </c>
      <c r="B243" s="722"/>
      <c r="C243" s="1360">
        <f>SUMIFS(Sheet1!S71_OriginalBudget,Sheet1!S71_A2SubCode,$AC:$AC,Sheet1!S71_ItemType,$AD:$AD)</f>
        <v>0</v>
      </c>
      <c r="D243" s="1356">
        <f>SUMIFS(Sheet1!S71_SpecialAdjustedBudget,Sheet1!S71_A2SubCode,$AC:$AC,Sheet1!S71_ItemType,$AD:$AD)</f>
        <v>0</v>
      </c>
      <c r="E243" s="1356"/>
      <c r="F243" s="1356"/>
      <c r="G243" s="1356"/>
      <c r="H243" s="1356"/>
      <c r="I243" s="1356">
        <f>SUMIFS(Sheet1!S71_AdjustmentAmount,Sheet1!S71_A2SubCode,$AC:$AC,Sheet1!S71_ItemType,$AD:$AD)</f>
        <v>0</v>
      </c>
      <c r="J243" s="171">
        <f t="shared" si="43"/>
        <v>0</v>
      </c>
      <c r="K243" s="171">
        <f t="shared" si="44"/>
        <v>0</v>
      </c>
      <c r="L243" s="1356">
        <f>SUMIFS(Sheet1!S71_OY1AdjustedBudget,Sheet1!S71_A2SubCode,$AC:$AC,Sheet1!S71_ItemType,$AD:$AD)</f>
        <v>0</v>
      </c>
      <c r="M243" s="1357">
        <f>SUMIFS(Sheet1!S71_OY2AdjustedBudget,Sheet1!S71_A2SubCode,$AC:$AC,Sheet1!S71_ItemType,$AD:$AD)</f>
        <v>0</v>
      </c>
      <c r="N243" s="126"/>
      <c r="AC243" s="1345">
        <v>5002</v>
      </c>
      <c r="AD243" s="1345" t="s">
        <v>1812</v>
      </c>
    </row>
    <row r="244" spans="1:30" ht="13.5" customHeight="1" x14ac:dyDescent="0.25">
      <c r="A244" s="710" t="str">
        <f t="shared" si="49"/>
        <v xml:space="preserve">Forestry </v>
      </c>
      <c r="B244" s="722"/>
      <c r="C244" s="1360">
        <f>SUMIFS(Sheet1!S71_OriginalBudget,Sheet1!S71_A2SubCode,$AC:$AC,Sheet1!S71_ItemType,$AD:$AD)</f>
        <v>0</v>
      </c>
      <c r="D244" s="1356">
        <f>SUMIFS(Sheet1!S71_SpecialAdjustedBudget,Sheet1!S71_A2SubCode,$AC:$AC,Sheet1!S71_ItemType,$AD:$AD)</f>
        <v>0</v>
      </c>
      <c r="E244" s="1356"/>
      <c r="F244" s="1356"/>
      <c r="G244" s="1356"/>
      <c r="H244" s="1356"/>
      <c r="I244" s="1356">
        <f>SUMIFS(Sheet1!S71_AdjustmentAmount,Sheet1!S71_A2SubCode,$AC:$AC,Sheet1!S71_ItemType,$AD:$AD)</f>
        <v>0</v>
      </c>
      <c r="J244" s="171">
        <f t="shared" si="43"/>
        <v>0</v>
      </c>
      <c r="K244" s="171">
        <f t="shared" si="44"/>
        <v>0</v>
      </c>
      <c r="L244" s="1356">
        <f>SUMIFS(Sheet1!S71_OY1AdjustedBudget,Sheet1!S71_A2SubCode,$AC:$AC,Sheet1!S71_ItemType,$AD:$AD)</f>
        <v>0</v>
      </c>
      <c r="M244" s="1357">
        <f>SUMIFS(Sheet1!S71_OY2AdjustedBudget,Sheet1!S71_A2SubCode,$AC:$AC,Sheet1!S71_ItemType,$AD:$AD)</f>
        <v>0</v>
      </c>
      <c r="N244" s="126"/>
      <c r="AC244" s="1345">
        <v>5003</v>
      </c>
      <c r="AD244" s="1345" t="s">
        <v>1812</v>
      </c>
    </row>
    <row r="245" spans="1:30" ht="13.5" customHeight="1" x14ac:dyDescent="0.25">
      <c r="A245" s="710" t="str">
        <f t="shared" si="49"/>
        <v>Licensing and Regulation</v>
      </c>
      <c r="B245" s="722"/>
      <c r="C245" s="1360">
        <f>SUMIFS(Sheet1!S71_OriginalBudget,Sheet1!S71_A2SubCode,$AC:$AC,Sheet1!S71_ItemType,$AD:$AD)</f>
        <v>6513455</v>
      </c>
      <c r="D245" s="1356">
        <f>SUMIFS(Sheet1!S71_SpecialAdjustedBudget,Sheet1!S71_A2SubCode,$AC:$AC,Sheet1!S71_ItemType,$AD:$AD)</f>
        <v>6513455</v>
      </c>
      <c r="E245" s="1356"/>
      <c r="F245" s="1356"/>
      <c r="G245" s="1356"/>
      <c r="H245" s="1356"/>
      <c r="I245" s="1356">
        <f>SUMIFS(Sheet1!S71_AdjustmentAmount,Sheet1!S71_A2SubCode,$AC:$AC,Sheet1!S71_ItemType,$AD:$AD)</f>
        <v>0</v>
      </c>
      <c r="J245" s="171">
        <f t="shared" si="43"/>
        <v>0</v>
      </c>
      <c r="K245" s="171">
        <f t="shared" si="44"/>
        <v>6513455</v>
      </c>
      <c r="L245" s="1356">
        <f>SUMIFS(Sheet1!S71_OY1AdjustedBudget,Sheet1!S71_A2SubCode,$AC:$AC,Sheet1!S71_ItemType,$AD:$AD)</f>
        <v>6926530</v>
      </c>
      <c r="M245" s="1357">
        <f>SUMIFS(Sheet1!S71_OY2AdjustedBudget,Sheet1!S71_A2SubCode,$AC:$AC,Sheet1!S71_ItemType,$AD:$AD)</f>
        <v>7366804</v>
      </c>
      <c r="N245" s="126"/>
      <c r="AC245" s="1345">
        <v>5004</v>
      </c>
      <c r="AD245" s="1345" t="s">
        <v>1812</v>
      </c>
    </row>
    <row r="246" spans="1:30" ht="13.5" customHeight="1" x14ac:dyDescent="0.25">
      <c r="A246" s="710" t="str">
        <f t="shared" si="49"/>
        <v>Markets</v>
      </c>
      <c r="B246" s="722"/>
      <c r="C246" s="1360">
        <f>SUMIFS(Sheet1!S71_OriginalBudget,Sheet1!S71_A2SubCode,$AC:$AC,Sheet1!S71_ItemType,$AD:$AD)</f>
        <v>0</v>
      </c>
      <c r="D246" s="1356">
        <f>SUMIFS(Sheet1!S71_SpecialAdjustedBudget,Sheet1!S71_A2SubCode,$AC:$AC,Sheet1!S71_ItemType,$AD:$AD)</f>
        <v>0</v>
      </c>
      <c r="E246" s="1356"/>
      <c r="F246" s="1356"/>
      <c r="G246" s="1356"/>
      <c r="H246" s="1356"/>
      <c r="I246" s="1356">
        <f>SUMIFS(Sheet1!S71_AdjustmentAmount,Sheet1!S71_A2SubCode,$AC:$AC,Sheet1!S71_ItemType,$AD:$AD)</f>
        <v>0</v>
      </c>
      <c r="J246" s="171">
        <f t="shared" si="43"/>
        <v>0</v>
      </c>
      <c r="K246" s="171">
        <f t="shared" si="44"/>
        <v>0</v>
      </c>
      <c r="L246" s="1356">
        <f>SUMIFS(Sheet1!S71_OY1AdjustedBudget,Sheet1!S71_A2SubCode,$AC:$AC,Sheet1!S71_ItemType,$AD:$AD)</f>
        <v>0</v>
      </c>
      <c r="M246" s="1357">
        <f>SUMIFS(Sheet1!S71_OY2AdjustedBudget,Sheet1!S71_A2SubCode,$AC:$AC,Sheet1!S71_ItemType,$AD:$AD)</f>
        <v>0</v>
      </c>
      <c r="N246" s="126"/>
      <c r="AC246" s="1345">
        <v>5005</v>
      </c>
      <c r="AD246" s="1345" t="s">
        <v>1812</v>
      </c>
    </row>
    <row r="247" spans="1:30" ht="13.5" customHeight="1" x14ac:dyDescent="0.25">
      <c r="A247" s="710" t="str">
        <f t="shared" si="49"/>
        <v>Tourism</v>
      </c>
      <c r="B247" s="722"/>
      <c r="C247" s="1360">
        <f>SUMIFS(Sheet1!S71_OriginalBudget,Sheet1!S71_A2SubCode,$AC:$AC,Sheet1!S71_ItemType,$AD:$AD)</f>
        <v>0</v>
      </c>
      <c r="D247" s="1356">
        <f>SUMIFS(Sheet1!S71_SpecialAdjustedBudget,Sheet1!S71_A2SubCode,$AC:$AC,Sheet1!S71_ItemType,$AD:$AD)</f>
        <v>0</v>
      </c>
      <c r="E247" s="1356"/>
      <c r="F247" s="1356"/>
      <c r="G247" s="1356"/>
      <c r="H247" s="1356"/>
      <c r="I247" s="1356">
        <f>SUMIFS(Sheet1!S71_AdjustmentAmount,Sheet1!S71_A2SubCode,$AC:$AC,Sheet1!S71_ItemType,$AD:$AD)</f>
        <v>0</v>
      </c>
      <c r="J247" s="171">
        <f t="shared" si="43"/>
        <v>0</v>
      </c>
      <c r="K247" s="171">
        <f t="shared" si="44"/>
        <v>0</v>
      </c>
      <c r="L247" s="1356">
        <f>SUMIFS(Sheet1!S71_OY1AdjustedBudget,Sheet1!S71_A2SubCode,$AC:$AC,Sheet1!S71_ItemType,$AD:$AD)</f>
        <v>0</v>
      </c>
      <c r="M247" s="1357">
        <f>SUMIFS(Sheet1!S71_OY2AdjustedBudget,Sheet1!S71_A2SubCode,$AC:$AC,Sheet1!S71_ItemType,$AD:$AD)</f>
        <v>0</v>
      </c>
      <c r="N247" s="126"/>
      <c r="AC247" s="1345">
        <v>5006</v>
      </c>
      <c r="AD247" s="1345" t="s">
        <v>1812</v>
      </c>
    </row>
    <row r="248" spans="1:30" ht="13.5" customHeight="1" x14ac:dyDescent="0.25">
      <c r="A248" s="276" t="str">
        <f>"Total "&amp;A128</f>
        <v>Total Expenditure - Functional</v>
      </c>
      <c r="B248" s="722">
        <v>3</v>
      </c>
      <c r="C248" s="677">
        <f t="shared" ref="C248:I248" si="54">C129+C149+C198+C222+C241</f>
        <v>121536902</v>
      </c>
      <c r="D248" s="678">
        <f t="shared" si="54"/>
        <v>121536902</v>
      </c>
      <c r="E248" s="678">
        <f t="shared" si="54"/>
        <v>0</v>
      </c>
      <c r="F248" s="678">
        <f t="shared" si="54"/>
        <v>0</v>
      </c>
      <c r="G248" s="678">
        <f t="shared" si="54"/>
        <v>0</v>
      </c>
      <c r="H248" s="678">
        <f t="shared" si="54"/>
        <v>0</v>
      </c>
      <c r="I248" s="678">
        <f t="shared" si="54"/>
        <v>20997067</v>
      </c>
      <c r="J248" s="678">
        <f t="shared" si="43"/>
        <v>20997067</v>
      </c>
      <c r="K248" s="678">
        <f t="shared" si="44"/>
        <v>142533969</v>
      </c>
      <c r="L248" s="678">
        <f>L129+L149+L198+L222+L241</f>
        <v>125554404</v>
      </c>
      <c r="M248" s="679">
        <f>M129+M149+M198+M222+M241</f>
        <v>133327450</v>
      </c>
      <c r="N248" s="126"/>
    </row>
    <row r="249" spans="1:30" ht="13.5" customHeight="1" x14ac:dyDescent="0.25">
      <c r="A249" s="713" t="str">
        <f>result</f>
        <v>Surplus/ (Deficit) for the year</v>
      </c>
      <c r="B249" s="725"/>
      <c r="C249" s="89">
        <f t="shared" ref="C249:I249" si="55">C126-C248</f>
        <v>2685553</v>
      </c>
      <c r="D249" s="90">
        <f t="shared" si="55"/>
        <v>15090553</v>
      </c>
      <c r="E249" s="90">
        <f t="shared" si="55"/>
        <v>0</v>
      </c>
      <c r="F249" s="90">
        <f t="shared" si="55"/>
        <v>0</v>
      </c>
      <c r="G249" s="90">
        <f t="shared" si="55"/>
        <v>0</v>
      </c>
      <c r="H249" s="90">
        <f t="shared" si="55"/>
        <v>0</v>
      </c>
      <c r="I249" s="90">
        <f t="shared" si="55"/>
        <v>-21921477</v>
      </c>
      <c r="J249" s="727">
        <f t="shared" si="43"/>
        <v>-21921477</v>
      </c>
      <c r="K249" s="727">
        <f t="shared" si="44"/>
        <v>-6830924</v>
      </c>
      <c r="L249" s="90">
        <f>L126-L248</f>
        <v>5584299</v>
      </c>
      <c r="M249" s="91">
        <f>M126-M248</f>
        <v>5455423</v>
      </c>
      <c r="N249" s="126"/>
    </row>
    <row r="250" spans="1:30" ht="13.5" x14ac:dyDescent="0.25">
      <c r="A250" s="640" t="str">
        <f>head27a</f>
        <v>References</v>
      </c>
      <c r="B250" s="714"/>
      <c r="C250" s="715"/>
      <c r="D250" s="715"/>
      <c r="E250" s="715"/>
      <c r="F250" s="715"/>
      <c r="G250" s="715"/>
      <c r="H250" s="715"/>
      <c r="I250" s="715"/>
      <c r="J250" s="874"/>
      <c r="K250" s="874"/>
      <c r="L250" s="5"/>
    </row>
    <row r="251" spans="1:30" ht="13.5" x14ac:dyDescent="0.25">
      <c r="A251" s="118" t="s">
        <v>1011</v>
      </c>
      <c r="B251" s="714"/>
      <c r="C251" s="716"/>
      <c r="D251" s="716"/>
      <c r="E251" s="717"/>
      <c r="F251" s="717"/>
      <c r="G251" s="717"/>
      <c r="H251" s="717"/>
      <c r="I251" s="717"/>
      <c r="J251" s="875"/>
      <c r="K251" s="875"/>
      <c r="L251" s="5"/>
    </row>
    <row r="252" spans="1:30" ht="13.5" x14ac:dyDescent="0.25">
      <c r="A252" s="638" t="s">
        <v>1563</v>
      </c>
      <c r="B252" s="714"/>
      <c r="C252" s="716"/>
      <c r="D252" s="716"/>
      <c r="E252" s="717"/>
      <c r="F252" s="717"/>
      <c r="G252" s="717"/>
      <c r="H252" s="717"/>
      <c r="I252" s="717"/>
      <c r="J252" s="875"/>
      <c r="K252" s="875"/>
      <c r="L252" s="5"/>
    </row>
    <row r="253" spans="1:30" ht="13.5" x14ac:dyDescent="0.25">
      <c r="A253" s="118" t="s">
        <v>1564</v>
      </c>
      <c r="B253" s="714"/>
      <c r="C253" s="716"/>
      <c r="D253" s="716"/>
      <c r="E253" s="717"/>
      <c r="F253" s="717"/>
      <c r="G253" s="717"/>
      <c r="H253" s="717"/>
      <c r="I253" s="717"/>
      <c r="J253" s="875"/>
      <c r="K253" s="875"/>
      <c r="L253" s="5"/>
    </row>
    <row r="254" spans="1:30" ht="13.5" x14ac:dyDescent="0.25">
      <c r="A254" s="1427" t="s">
        <v>1565</v>
      </c>
      <c r="B254" s="1427"/>
      <c r="C254" s="1427"/>
      <c r="D254" s="1427"/>
      <c r="E254" s="1427"/>
      <c r="F254" s="1427"/>
      <c r="G254" s="1427"/>
      <c r="H254" s="1427"/>
      <c r="I254" s="1427"/>
      <c r="J254" s="1427"/>
      <c r="K254" s="1427"/>
      <c r="L254" s="5"/>
    </row>
    <row r="255" spans="1:30" ht="13.5" x14ac:dyDescent="0.25">
      <c r="A255" s="48"/>
      <c r="B255" s="119"/>
      <c r="C255" s="498"/>
      <c r="D255" s="498"/>
      <c r="E255" s="53"/>
      <c r="F255" s="53"/>
      <c r="G255" s="53"/>
      <c r="H255" s="53"/>
      <c r="I255" s="53"/>
      <c r="J255" s="543"/>
      <c r="K255" s="543"/>
      <c r="L255" s="5"/>
    </row>
    <row r="256" spans="1:30" x14ac:dyDescent="0.2">
      <c r="A256" s="828"/>
      <c r="B256" s="828"/>
      <c r="C256" s="828"/>
    </row>
    <row r="257" spans="1:3" x14ac:dyDescent="0.2">
      <c r="A257" s="828"/>
      <c r="B257" s="828"/>
      <c r="C257" s="828"/>
    </row>
    <row r="258" spans="1:3" x14ac:dyDescent="0.2">
      <c r="A258" s="828"/>
      <c r="B258" s="828"/>
      <c r="C258" s="828"/>
    </row>
    <row r="259" spans="1:3" x14ac:dyDescent="0.2">
      <c r="A259" s="828"/>
      <c r="B259" s="828"/>
      <c r="C259" s="828"/>
    </row>
    <row r="260" spans="1:3" x14ac:dyDescent="0.2">
      <c r="A260" s="828"/>
      <c r="B260" s="828"/>
      <c r="C260" s="828"/>
    </row>
    <row r="261" spans="1:3" x14ac:dyDescent="0.2">
      <c r="A261" s="828"/>
      <c r="B261" s="828"/>
      <c r="C261" s="828"/>
    </row>
    <row r="262" spans="1:3" x14ac:dyDescent="0.2">
      <c r="A262" s="828"/>
      <c r="B262" s="828"/>
      <c r="C262" s="828"/>
    </row>
    <row r="263" spans="1:3" x14ac:dyDescent="0.2">
      <c r="A263" s="828"/>
      <c r="B263" s="828"/>
      <c r="C263" s="828"/>
    </row>
    <row r="264" spans="1:3" x14ac:dyDescent="0.2">
      <c r="A264" s="828"/>
      <c r="B264" s="828"/>
      <c r="C264" s="828"/>
    </row>
    <row r="265" spans="1:3" x14ac:dyDescent="0.2">
      <c r="A265" s="828"/>
      <c r="B265" s="828"/>
      <c r="C265" s="828"/>
    </row>
    <row r="266" spans="1:3" x14ac:dyDescent="0.2">
      <c r="A266" s="828"/>
      <c r="B266" s="828"/>
      <c r="C266" s="828"/>
    </row>
    <row r="267" spans="1:3" x14ac:dyDescent="0.2">
      <c r="A267" s="828"/>
      <c r="B267" s="828"/>
      <c r="C267" s="828"/>
    </row>
    <row r="268" spans="1:3" x14ac:dyDescent="0.2">
      <c r="A268" s="828"/>
      <c r="B268" s="828"/>
      <c r="C268" s="828"/>
    </row>
    <row r="269" spans="1:3" x14ac:dyDescent="0.2">
      <c r="A269" s="828"/>
      <c r="B269" s="828"/>
      <c r="C269" s="828"/>
    </row>
    <row r="270" spans="1:3" x14ac:dyDescent="0.2">
      <c r="A270" s="828"/>
      <c r="B270" s="828"/>
      <c r="C270" s="828"/>
    </row>
    <row r="271" spans="1:3" x14ac:dyDescent="0.2">
      <c r="A271" s="828"/>
      <c r="B271" s="828"/>
      <c r="C271" s="828"/>
    </row>
    <row r="272" spans="1:3" x14ac:dyDescent="0.2">
      <c r="A272" s="828"/>
      <c r="B272" s="828"/>
      <c r="C272" s="828"/>
    </row>
    <row r="273" spans="1:3" x14ac:dyDescent="0.2">
      <c r="A273" s="828"/>
      <c r="B273" s="828"/>
      <c r="C273" s="828"/>
    </row>
  </sheetData>
  <mergeCells count="2">
    <mergeCell ref="A254:K254"/>
    <mergeCell ref="C2:K2"/>
  </mergeCells>
  <phoneticPr fontId="4" type="noConversion"/>
  <pageMargins left="0.75" right="0.75" top="1" bottom="1" header="0.5" footer="0.5"/>
  <pageSetup paperSize="256" orientation="portrait" horizontalDpi="203" verticalDpi="203" r:id="rId1"/>
  <headerFooter alignWithMargins="0"/>
  <ignoredErrors>
    <ignoredError sqref="K10 K24 K26 K49 K55 K210 K61 K88 K183 K249 K9 K13 K14 K15 K16 K17 K18 K19 K20 K21 K22 K23 K29 K30 K31 K32 K33 K34 K35 K36 K37 K38 K39 K40 K41 K42 K43 K44 K45 K46 K47 K48 K51 K52 K53 K54 K57 K58 K59 K60 K64 K65 K66 K67 K68 K69 K70 K71 K72 K73 K74 K75 K76 K77 K78 K79 K80 K81 K82 K83 K84 K85 K86 K87 K89 K90 K91 K92 K93 K94 K95 K96 K97 K98 K99 K100 K101 K102 K103 K104 K105 K106 K107 K108 K109 K110 K111 K112 K113 K114 K115 K116 K117 K118 K119 K120 K121 K122 K123 K124 K125 K126 K127 K128 K129 K130 K131 K132 K133 K134 K135 K136 K137 K138 K139 K140 K141 K142 K143 K144 K145 K146 K147 K148 K149 K150 K151 K152 K153 K154 K155 K156 K157 K158 K159 K160 K161 K162 K163 K164 K165 K166 K167 K168 K169 K170 K171 K172 K173 K174 K175 K176 K177 K178 K179 K180 K181 K182 K186 K187 K188 K189 K190 K191 K192 K193 K194 K195 K196 K197 K198 K199 K200 K201 K202 K203 K204 K205 K206 K207 K208 K209 K211 K212 K213 K214 K215 K216 K217 K218 K219 K220 K221 K222 K223 K224 K225 K226 K227 K228 K229 K230 K231 K232 K233 K234 K235 K236 K237 K238 K239 K240 K241 K242 K243 K244 K245 K246 K247 K248"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indexed="44"/>
  </sheetPr>
  <dimension ref="A1:AD346"/>
  <sheetViews>
    <sheetView showGridLines="0" showZeros="0" topLeftCell="C312" workbookViewId="0">
      <selection activeCell="K342" sqref="K342"/>
    </sheetView>
  </sheetViews>
  <sheetFormatPr defaultRowHeight="12.75" x14ac:dyDescent="0.2"/>
  <cols>
    <col min="1" max="1" width="27.42578125" customWidth="1"/>
    <col min="2" max="2" width="5.42578125" customWidth="1"/>
    <col min="3" max="13" width="10.140625" customWidth="1"/>
    <col min="14" max="28" width="9.140625" customWidth="1"/>
    <col min="29" max="30" width="9.140625" style="1345"/>
  </cols>
  <sheetData>
    <row r="1" spans="1:30" ht="13.5" x14ac:dyDescent="0.25">
      <c r="A1" s="57" t="str">
        <f>muni&amp;" - "&amp;_ADJ2&amp;" - B"&amp;" - "&amp;Date</f>
        <v xml:space="preserve">KZN226 Mkhambathini - Table B3 Adjustments Budget Financial Performance (revenue and expenditure by municipal vote) - B - </v>
      </c>
      <c r="B1" s="5"/>
      <c r="C1" s="58"/>
      <c r="D1" s="5"/>
      <c r="E1" s="5"/>
      <c r="F1" s="5"/>
      <c r="G1" s="5"/>
      <c r="H1" s="5"/>
      <c r="I1" s="5"/>
      <c r="J1" s="5"/>
      <c r="K1" s="5"/>
      <c r="L1" s="5"/>
      <c r="M1" s="5"/>
    </row>
    <row r="2" spans="1:30" ht="25.5" x14ac:dyDescent="0.2">
      <c r="A2" s="1423" t="str">
        <f>Vdesc</f>
        <v>Vote Description</v>
      </c>
      <c r="B2" s="1420" t="str">
        <f>head27</f>
        <v>Ref</v>
      </c>
      <c r="C2" s="1417" t="str">
        <f>Head2</f>
        <v>Budget Year 2020/21</v>
      </c>
      <c r="D2" s="1418"/>
      <c r="E2" s="1418"/>
      <c r="F2" s="1418"/>
      <c r="G2" s="1418"/>
      <c r="H2" s="1418"/>
      <c r="I2" s="1418"/>
      <c r="J2" s="1418"/>
      <c r="K2" s="1419"/>
      <c r="L2" s="60" t="str">
        <f>Head10</f>
        <v>Budget Year +1 2021/22</v>
      </c>
      <c r="M2" s="61" t="str">
        <f>Head11</f>
        <v>Budget Year +2 2022/23</v>
      </c>
    </row>
    <row r="3" spans="1:30" ht="25.5" x14ac:dyDescent="0.2">
      <c r="A3" s="1424"/>
      <c r="B3" s="14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30" x14ac:dyDescent="0.2">
      <c r="A4" s="64" t="s">
        <v>604</v>
      </c>
      <c r="B4" s="1421"/>
      <c r="C4" s="65"/>
      <c r="D4" s="15">
        <v>3</v>
      </c>
      <c r="E4" s="15">
        <v>4</v>
      </c>
      <c r="F4" s="15">
        <v>5</v>
      </c>
      <c r="G4" s="15">
        <v>6</v>
      </c>
      <c r="H4" s="15">
        <v>7</v>
      </c>
      <c r="I4" s="15">
        <v>8</v>
      </c>
      <c r="J4" s="15">
        <v>9</v>
      </c>
      <c r="K4" s="15">
        <v>10</v>
      </c>
      <c r="L4" s="15"/>
      <c r="M4" s="17"/>
    </row>
    <row r="5" spans="1:30" ht="13.5" x14ac:dyDescent="0.25">
      <c r="A5" s="18" t="s">
        <v>605</v>
      </c>
      <c r="B5" s="1429"/>
      <c r="C5" s="123" t="s">
        <v>549</v>
      </c>
      <c r="D5" s="20" t="s">
        <v>550</v>
      </c>
      <c r="E5" s="20" t="s">
        <v>551</v>
      </c>
      <c r="F5" s="21" t="s">
        <v>552</v>
      </c>
      <c r="G5" s="21" t="s">
        <v>553</v>
      </c>
      <c r="H5" s="21" t="s">
        <v>554</v>
      </c>
      <c r="I5" s="22" t="s">
        <v>555</v>
      </c>
      <c r="J5" s="22" t="s">
        <v>556</v>
      </c>
      <c r="K5" s="22" t="s">
        <v>557</v>
      </c>
      <c r="L5" s="70"/>
      <c r="M5" s="71"/>
    </row>
    <row r="6" spans="1:30" ht="13.5" x14ac:dyDescent="0.25">
      <c r="A6" s="729" t="s">
        <v>606</v>
      </c>
      <c r="B6" s="897">
        <v>1</v>
      </c>
      <c r="C6" s="766"/>
      <c r="D6" s="767"/>
      <c r="E6" s="767"/>
      <c r="F6" s="767"/>
      <c r="G6" s="767"/>
      <c r="H6" s="767"/>
      <c r="I6" s="767"/>
      <c r="J6" s="767"/>
      <c r="K6" s="767"/>
      <c r="L6" s="730"/>
      <c r="M6" s="758"/>
    </row>
    <row r="7" spans="1:30" ht="13.5" x14ac:dyDescent="0.25">
      <c r="A7" s="745" t="str">
        <f>'Org structure'!A2</f>
        <v>Vote 1 - Finance and Administration</v>
      </c>
      <c r="B7" s="898"/>
      <c r="C7" s="733">
        <f>SUM(C8:C17)</f>
        <v>113346009</v>
      </c>
      <c r="D7" s="732">
        <f t="shared" ref="D7:I7" si="0">SUM(D8:D17)</f>
        <v>125751009</v>
      </c>
      <c r="E7" s="732">
        <f t="shared" si="0"/>
        <v>0</v>
      </c>
      <c r="F7" s="732">
        <f t="shared" si="0"/>
        <v>0</v>
      </c>
      <c r="G7" s="732">
        <f t="shared" si="0"/>
        <v>0</v>
      </c>
      <c r="H7" s="732">
        <f t="shared" si="0"/>
        <v>0</v>
      </c>
      <c r="I7" s="732">
        <f t="shared" si="0"/>
        <v>-2079321</v>
      </c>
      <c r="J7" s="75">
        <f t="shared" ref="J7:J38" si="1">SUM(E7:I7)</f>
        <v>-2079321</v>
      </c>
      <c r="K7" s="75">
        <f>IF(D7=0,C7+J7,D7+J7)</f>
        <v>123671688</v>
      </c>
      <c r="L7" s="732">
        <f>SUM(L8:L17)</f>
        <v>120122929</v>
      </c>
      <c r="M7" s="759">
        <f>SUM(M8:M17)</f>
        <v>127225032</v>
      </c>
    </row>
    <row r="8" spans="1:30" ht="13.5" x14ac:dyDescent="0.25">
      <c r="A8" s="748" t="str">
        <f>IF(RIGHT('Org structure'!D3,18)&lt;&gt;"[Name of sub-vote]",'Org structure'!D3,"")</f>
        <v>1.1 - Finance</v>
      </c>
      <c r="B8" s="899"/>
      <c r="C8" s="1360">
        <f>-SUMIFS(Sheet1!S71_OriginalBudget,Sheet1!S71_SubMunicipalVoteNo,$AC:$AC,Sheet1!S71_ItemType,$AD:$AD)</f>
        <v>45954009</v>
      </c>
      <c r="D8" s="1356">
        <f>-SUMIFS(Sheet1!S71_SpecialAdjustedBudget,Sheet1!S71_SubMunicipalVoteNo,$AC:$AC,Sheet1!S71_ItemType,$AD:$AD)</f>
        <v>45954009</v>
      </c>
      <c r="E8" s="1356"/>
      <c r="F8" s="1356"/>
      <c r="G8" s="1356"/>
      <c r="H8" s="1356"/>
      <c r="I8" s="1356">
        <f>SUMIFS(Sheet1!S71_AdjustmentAmount,Sheet1!S71_SubMunicipalVoteNo,$AC:$AC,Sheet1!S71_ItemType,$AD:$AD)</f>
        <v>-2079321</v>
      </c>
      <c r="J8" s="75">
        <f t="shared" si="1"/>
        <v>-2079321</v>
      </c>
      <c r="K8" s="75">
        <f t="shared" ref="K8:K71" si="2">IF(D8=0,C8+J8,D8+J8)</f>
        <v>43874688</v>
      </c>
      <c r="L8" s="1356">
        <f>-SUMIFS(Sheet1!S71_OY1AdjustedBudget,Sheet1!S71_SubMunicipalVoteNo,$AC:$AC,Sheet1!S71_ItemType,$AD:$AD)</f>
        <v>47637929</v>
      </c>
      <c r="M8" s="1357">
        <f>-SUMIFS(Sheet1!S71_OY2AdjustedBudget,Sheet1!S71_SubMunicipalVoteNo,$AC:$AC,Sheet1!S71_ItemType,$AD:$AD)</f>
        <v>50282032</v>
      </c>
      <c r="AC8" s="1345">
        <v>11</v>
      </c>
      <c r="AD8" s="1345" t="s">
        <v>1811</v>
      </c>
    </row>
    <row r="9" spans="1:30" ht="13.5" x14ac:dyDescent="0.25">
      <c r="A9" s="748" t="str">
        <f>IF(RIGHT('Org structure'!D4,18)&lt;&gt;"[Name of sub-vote]",'Org structure'!D4,"")</f>
        <v>1.2 - Fleet Management</v>
      </c>
      <c r="B9" s="899"/>
      <c r="C9" s="1360">
        <f>-SUMIFS(Sheet1!S71_OriginalBudget,Sheet1!S71_SubMunicipalVoteNo,$AC:$AC,Sheet1!S71_ItemType,$AD:$AD)</f>
        <v>0</v>
      </c>
      <c r="D9" s="1356">
        <f>-SUMIFS(Sheet1!S71_SpecialAdjustedBudget,Sheet1!S71_SubMunicipalVoteNo,$AC:$AC,Sheet1!S71_ItemType,$AD:$AD)</f>
        <v>0</v>
      </c>
      <c r="E9" s="1356"/>
      <c r="F9" s="1356"/>
      <c r="G9" s="1356"/>
      <c r="H9" s="1356"/>
      <c r="I9" s="1356">
        <f>SUMIFS(Sheet1!S71_AdjustmentAmount,Sheet1!S71_SubMunicipalVoteNo,$AC:$AC,Sheet1!S71_ItemType,$AD:$AD)</f>
        <v>0</v>
      </c>
      <c r="J9" s="75">
        <f t="shared" si="1"/>
        <v>0</v>
      </c>
      <c r="K9" s="75">
        <f t="shared" si="2"/>
        <v>0</v>
      </c>
      <c r="L9" s="1356">
        <f>-SUMIFS(Sheet1!S71_OY1AdjustedBudget,Sheet1!S71_SubMunicipalVoteNo,$AC:$AC,Sheet1!S71_ItemType,$AD:$AD)</f>
        <v>0</v>
      </c>
      <c r="M9" s="1357">
        <f>-SUMIFS(Sheet1!S71_OY2AdjustedBudget,Sheet1!S71_SubMunicipalVoteNo,$AC:$AC,Sheet1!S71_ItemType,$AD:$AD)</f>
        <v>0</v>
      </c>
      <c r="AC9" s="1345">
        <v>12</v>
      </c>
      <c r="AD9" s="1345" t="s">
        <v>1811</v>
      </c>
    </row>
    <row r="10" spans="1:30" ht="13.5" x14ac:dyDescent="0.25">
      <c r="A10" s="748" t="str">
        <f>IF(RIGHT('Org structure'!D5,18)&lt;&gt;"[Name of sub-vote]",'Org structure'!D5,"")</f>
        <v>1.3 - Asset Management</v>
      </c>
      <c r="B10" s="899"/>
      <c r="C10" s="1360">
        <f>-SUMIFS(Sheet1!S71_OriginalBudget,Sheet1!S71_SubMunicipalVoteNo,$AC:$AC,Sheet1!S71_ItemType,$AD:$AD)</f>
        <v>0</v>
      </c>
      <c r="D10" s="1356">
        <f>-SUMIFS(Sheet1!S71_SpecialAdjustedBudget,Sheet1!S71_SubMunicipalVoteNo,$AC:$AC,Sheet1!S71_ItemType,$AD:$AD)</f>
        <v>0</v>
      </c>
      <c r="E10" s="1356"/>
      <c r="F10" s="1356"/>
      <c r="G10" s="1356"/>
      <c r="H10" s="1356"/>
      <c r="I10" s="1356">
        <f>SUMIFS(Sheet1!S71_AdjustmentAmount,Sheet1!S71_SubMunicipalVoteNo,$AC:$AC,Sheet1!S71_ItemType,$AD:$AD)</f>
        <v>0</v>
      </c>
      <c r="J10" s="75">
        <f t="shared" si="1"/>
        <v>0</v>
      </c>
      <c r="K10" s="75">
        <f t="shared" si="2"/>
        <v>0</v>
      </c>
      <c r="L10" s="1356">
        <f>-SUMIFS(Sheet1!S71_OY1AdjustedBudget,Sheet1!S71_SubMunicipalVoteNo,$AC:$AC,Sheet1!S71_ItemType,$AD:$AD)</f>
        <v>0</v>
      </c>
      <c r="M10" s="1357">
        <f>-SUMIFS(Sheet1!S71_OY2AdjustedBudget,Sheet1!S71_SubMunicipalVoteNo,$AC:$AC,Sheet1!S71_ItemType,$AD:$AD)</f>
        <v>0</v>
      </c>
      <c r="AC10" s="1345">
        <v>13</v>
      </c>
      <c r="AD10" s="1345" t="s">
        <v>1811</v>
      </c>
    </row>
    <row r="11" spans="1:30" ht="13.5" x14ac:dyDescent="0.25">
      <c r="A11" s="748" t="str">
        <f>IF(RIGHT('Org structure'!D6,18)&lt;&gt;"[Name of sub-vote]",'Org structure'!D6,"")</f>
        <v>1.4 - Administrative and Corporate Support</v>
      </c>
      <c r="B11" s="899"/>
      <c r="C11" s="1360">
        <f>-SUMIFS(Sheet1!S71_OriginalBudget,Sheet1!S71_SubMunicipalVoteNo,$AC:$AC,Sheet1!S71_ItemType,$AD:$AD)</f>
        <v>62000</v>
      </c>
      <c r="D11" s="1356">
        <f>-SUMIFS(Sheet1!S71_SpecialAdjustedBudget,Sheet1!S71_SubMunicipalVoteNo,$AC:$AC,Sheet1!S71_ItemType,$AD:$AD)</f>
        <v>62000</v>
      </c>
      <c r="E11" s="1356"/>
      <c r="F11" s="1356"/>
      <c r="G11" s="1356"/>
      <c r="H11" s="1356"/>
      <c r="I11" s="1356">
        <f>SUMIFS(Sheet1!S71_AdjustmentAmount,Sheet1!S71_SubMunicipalVoteNo,$AC:$AC,Sheet1!S71_ItemType,$AD:$AD)</f>
        <v>0</v>
      </c>
      <c r="J11" s="75">
        <f t="shared" si="1"/>
        <v>0</v>
      </c>
      <c r="K11" s="75">
        <f t="shared" si="2"/>
        <v>62000</v>
      </c>
      <c r="L11" s="1356">
        <f>-SUMIFS(Sheet1!S71_OY1AdjustedBudget,Sheet1!S71_SubMunicipalVoteNo,$AC:$AC,Sheet1!S71_ItemType,$AD:$AD)</f>
        <v>62000</v>
      </c>
      <c r="M11" s="1357">
        <f>-SUMIFS(Sheet1!S71_OY2AdjustedBudget,Sheet1!S71_SubMunicipalVoteNo,$AC:$AC,Sheet1!S71_ItemType,$AD:$AD)</f>
        <v>62000</v>
      </c>
      <c r="AC11" s="1345">
        <v>14</v>
      </c>
      <c r="AD11" s="1345" t="s">
        <v>1811</v>
      </c>
    </row>
    <row r="12" spans="1:30" ht="13.5" x14ac:dyDescent="0.25">
      <c r="A12" s="748" t="str">
        <f>IF(RIGHT('Org structure'!D7,18)&lt;&gt;"[Name of sub-vote]",'Org structure'!D7,"")</f>
        <v>1.5 - Human Resources</v>
      </c>
      <c r="B12" s="899"/>
      <c r="C12" s="1360">
        <f>-SUMIFS(Sheet1!S71_OriginalBudget,Sheet1!S71_SubMunicipalVoteNo,$AC:$AC,Sheet1!S71_ItemType,$AD:$AD)</f>
        <v>0</v>
      </c>
      <c r="D12" s="1356">
        <f>-SUMIFS(Sheet1!S71_SpecialAdjustedBudget,Sheet1!S71_SubMunicipalVoteNo,$AC:$AC,Sheet1!S71_ItemType,$AD:$AD)</f>
        <v>0</v>
      </c>
      <c r="E12" s="1356"/>
      <c r="F12" s="1356"/>
      <c r="G12" s="1356"/>
      <c r="H12" s="1356"/>
      <c r="I12" s="1356">
        <f>SUMIFS(Sheet1!S71_AdjustmentAmount,Sheet1!S71_SubMunicipalVoteNo,$AC:$AC,Sheet1!S71_ItemType,$AD:$AD)</f>
        <v>0</v>
      </c>
      <c r="J12" s="75">
        <f t="shared" si="1"/>
        <v>0</v>
      </c>
      <c r="K12" s="75">
        <f t="shared" si="2"/>
        <v>0</v>
      </c>
      <c r="L12" s="1356">
        <f>-SUMIFS(Sheet1!S71_OY1AdjustedBudget,Sheet1!S71_SubMunicipalVoteNo,$AC:$AC,Sheet1!S71_ItemType,$AD:$AD)</f>
        <v>0</v>
      </c>
      <c r="M12" s="1357">
        <f>-SUMIFS(Sheet1!S71_OY2AdjustedBudget,Sheet1!S71_SubMunicipalVoteNo,$AC:$AC,Sheet1!S71_ItemType,$AD:$AD)</f>
        <v>0</v>
      </c>
      <c r="AC12" s="1345">
        <v>15</v>
      </c>
      <c r="AD12" s="1345" t="s">
        <v>1811</v>
      </c>
    </row>
    <row r="13" spans="1:30" ht="13.5" x14ac:dyDescent="0.25">
      <c r="A13" s="748" t="str">
        <f>IF(RIGHT('Org structure'!D8,18)&lt;&gt;"[Name of sub-vote]",'Org structure'!D8,"")</f>
        <v>1.6 - Property Services</v>
      </c>
      <c r="B13" s="899"/>
      <c r="C13" s="1360">
        <f>-SUMIFS(Sheet1!S71_OriginalBudget,Sheet1!S71_SubMunicipalVoteNo,$AC:$AC,Sheet1!S71_ItemType,$AD:$AD)</f>
        <v>67330000</v>
      </c>
      <c r="D13" s="1356">
        <f>-SUMIFS(Sheet1!S71_SpecialAdjustedBudget,Sheet1!S71_SubMunicipalVoteNo,$AC:$AC,Sheet1!S71_ItemType,$AD:$AD)</f>
        <v>79735000</v>
      </c>
      <c r="E13" s="1356"/>
      <c r="F13" s="1356"/>
      <c r="G13" s="1356"/>
      <c r="H13" s="1356"/>
      <c r="I13" s="1356">
        <f>SUMIFS(Sheet1!S71_AdjustmentAmount,Sheet1!S71_SubMunicipalVoteNo,$AC:$AC,Sheet1!S71_ItemType,$AD:$AD)</f>
        <v>0</v>
      </c>
      <c r="J13" s="75">
        <f t="shared" si="1"/>
        <v>0</v>
      </c>
      <c r="K13" s="75">
        <f t="shared" si="2"/>
        <v>79735000</v>
      </c>
      <c r="L13" s="1356">
        <f>-SUMIFS(Sheet1!S71_OY1AdjustedBudget,Sheet1!S71_SubMunicipalVoteNo,$AC:$AC,Sheet1!S71_ItemType,$AD:$AD)</f>
        <v>72423000</v>
      </c>
      <c r="M13" s="1357">
        <f>-SUMIFS(Sheet1!S71_OY2AdjustedBudget,Sheet1!S71_SubMunicipalVoteNo,$AC:$AC,Sheet1!S71_ItemType,$AD:$AD)</f>
        <v>76881000</v>
      </c>
      <c r="AC13" s="1345">
        <v>16</v>
      </c>
      <c r="AD13" s="1345" t="s">
        <v>1811</v>
      </c>
    </row>
    <row r="14" spans="1:30" ht="13.5" x14ac:dyDescent="0.25">
      <c r="A14" s="748" t="str">
        <f>IF(RIGHT('Org structure'!D9,18)&lt;&gt;"[Name of sub-vote]",'Org structure'!D9,"")</f>
        <v>1.7 - Legal Services</v>
      </c>
      <c r="B14" s="899"/>
      <c r="C14" s="1360">
        <f>-SUMIFS(Sheet1!S71_OriginalBudget,Sheet1!S71_SubMunicipalVoteNo,$AC:$AC,Sheet1!S71_ItemType,$AD:$AD)</f>
        <v>0</v>
      </c>
      <c r="D14" s="1356">
        <f>-SUMIFS(Sheet1!S71_SpecialAdjustedBudget,Sheet1!S71_SubMunicipalVoteNo,$AC:$AC,Sheet1!S71_ItemType,$AD:$AD)</f>
        <v>0</v>
      </c>
      <c r="E14" s="1356"/>
      <c r="F14" s="1356"/>
      <c r="G14" s="1356"/>
      <c r="H14" s="1356"/>
      <c r="I14" s="1356">
        <f>SUMIFS(Sheet1!S71_AdjustmentAmount,Sheet1!S71_SubMunicipalVoteNo,$AC:$AC,Sheet1!S71_ItemType,$AD:$AD)</f>
        <v>0</v>
      </c>
      <c r="J14" s="75">
        <f t="shared" si="1"/>
        <v>0</v>
      </c>
      <c r="K14" s="75">
        <f t="shared" si="2"/>
        <v>0</v>
      </c>
      <c r="L14" s="1356">
        <f>-SUMIFS(Sheet1!S71_OY1AdjustedBudget,Sheet1!S71_SubMunicipalVoteNo,$AC:$AC,Sheet1!S71_ItemType,$AD:$AD)</f>
        <v>0</v>
      </c>
      <c r="M14" s="1357">
        <f>-SUMIFS(Sheet1!S71_OY2AdjustedBudget,Sheet1!S71_SubMunicipalVoteNo,$AC:$AC,Sheet1!S71_ItemType,$AD:$AD)</f>
        <v>0</v>
      </c>
      <c r="AC14" s="1345">
        <v>17</v>
      </c>
      <c r="AD14" s="1345" t="s">
        <v>1811</v>
      </c>
    </row>
    <row r="15" spans="1:30" ht="13.5" x14ac:dyDescent="0.25">
      <c r="A15" s="748" t="str">
        <f>IF(RIGHT('Org structure'!D10,18)&lt;&gt;"[Name of sub-vote]",'Org structure'!D10,"")</f>
        <v>1.8 - Information Technology</v>
      </c>
      <c r="B15" s="899"/>
      <c r="C15" s="1360">
        <f>-SUMIFS(Sheet1!S71_OriginalBudget,Sheet1!S71_SubMunicipalVoteNo,$AC:$AC,Sheet1!S71_ItemType,$AD:$AD)</f>
        <v>0</v>
      </c>
      <c r="D15" s="1356">
        <f>-SUMIFS(Sheet1!S71_SpecialAdjustedBudget,Sheet1!S71_SubMunicipalVoteNo,$AC:$AC,Sheet1!S71_ItemType,$AD:$AD)</f>
        <v>0</v>
      </c>
      <c r="E15" s="1356"/>
      <c r="F15" s="1356"/>
      <c r="G15" s="1356"/>
      <c r="H15" s="1356"/>
      <c r="I15" s="1356">
        <f>SUMIFS(Sheet1!S71_AdjustmentAmount,Sheet1!S71_SubMunicipalVoteNo,$AC:$AC,Sheet1!S71_ItemType,$AD:$AD)</f>
        <v>0</v>
      </c>
      <c r="J15" s="75">
        <f t="shared" si="1"/>
        <v>0</v>
      </c>
      <c r="K15" s="75">
        <f t="shared" si="2"/>
        <v>0</v>
      </c>
      <c r="L15" s="1356">
        <f>-SUMIFS(Sheet1!S71_OY1AdjustedBudget,Sheet1!S71_SubMunicipalVoteNo,$AC:$AC,Sheet1!S71_ItemType,$AD:$AD)</f>
        <v>0</v>
      </c>
      <c r="M15" s="1357">
        <f>-SUMIFS(Sheet1!S71_OY2AdjustedBudget,Sheet1!S71_SubMunicipalVoteNo,$AC:$AC,Sheet1!S71_ItemType,$AD:$AD)</f>
        <v>0</v>
      </c>
      <c r="AC15" s="1345">
        <v>18</v>
      </c>
      <c r="AD15" s="1345" t="s">
        <v>1811</v>
      </c>
    </row>
    <row r="16" spans="1:30" ht="13.5" x14ac:dyDescent="0.25">
      <c r="A16" s="748" t="str">
        <f>IF(RIGHT('Org structure'!D11,18)&lt;&gt;"[Name of sub-vote]",'Org structure'!D11,"")</f>
        <v>1.9 - Marketing, Customer Relations, Publicity and Media Co-ordination</v>
      </c>
      <c r="B16" s="899"/>
      <c r="C16" s="1360">
        <f>-SUMIFS(Sheet1!S71_OriginalBudget,Sheet1!S71_SubMunicipalVoteNo,$AC:$AC,Sheet1!S71_ItemType,$AD:$AD)</f>
        <v>0</v>
      </c>
      <c r="D16" s="1356">
        <f>-SUMIFS(Sheet1!S71_SpecialAdjustedBudget,Sheet1!S71_SubMunicipalVoteNo,$AC:$AC,Sheet1!S71_ItemType,$AD:$AD)</f>
        <v>0</v>
      </c>
      <c r="E16" s="1356"/>
      <c r="F16" s="1356"/>
      <c r="G16" s="1356"/>
      <c r="H16" s="1356"/>
      <c r="I16" s="1356">
        <f>SUMIFS(Sheet1!S71_AdjustmentAmount,Sheet1!S71_SubMunicipalVoteNo,$AC:$AC,Sheet1!S71_ItemType,$AD:$AD)</f>
        <v>0</v>
      </c>
      <c r="J16" s="75">
        <f t="shared" si="1"/>
        <v>0</v>
      </c>
      <c r="K16" s="75">
        <f t="shared" si="2"/>
        <v>0</v>
      </c>
      <c r="L16" s="1356">
        <f>-SUMIFS(Sheet1!S71_OY1AdjustedBudget,Sheet1!S71_SubMunicipalVoteNo,$AC:$AC,Sheet1!S71_ItemType,$AD:$AD)</f>
        <v>0</v>
      </c>
      <c r="M16" s="1357">
        <f>-SUMIFS(Sheet1!S71_OY2AdjustedBudget,Sheet1!S71_SubMunicipalVoteNo,$AC:$AC,Sheet1!S71_ItemType,$AD:$AD)</f>
        <v>0</v>
      </c>
      <c r="AC16" s="1345">
        <v>19</v>
      </c>
      <c r="AD16" s="1345" t="s">
        <v>1811</v>
      </c>
    </row>
    <row r="17" spans="1:30" ht="13.5" x14ac:dyDescent="0.25">
      <c r="A17" s="748" t="str">
        <f>IF(RIGHT('Org structure'!D12,18)&lt;&gt;"[Name of sub-vote]",'Org structure'!D12,"")</f>
        <v/>
      </c>
      <c r="B17" s="899"/>
      <c r="C17" s="1360">
        <f>-SUMIFS(Sheet1!S71_OriginalBudget,Sheet1!S71_SubMunicipalVoteNo,$AC:$AC,Sheet1!S71_ItemType,$AD:$AD)</f>
        <v>0</v>
      </c>
      <c r="D17" s="1356">
        <f>-SUMIFS(Sheet1!S71_SpecialAdjustedBudget,Sheet1!S71_SubMunicipalVoteNo,$AC:$AC,Sheet1!S71_ItemType,$AD:$AD)</f>
        <v>0</v>
      </c>
      <c r="E17" s="1356"/>
      <c r="F17" s="1356"/>
      <c r="G17" s="1356"/>
      <c r="H17" s="1356"/>
      <c r="I17" s="1356">
        <f>SUMIFS(Sheet1!S71_AdjustmentAmount,Sheet1!S71_SubMunicipalVoteNo,$AC:$AC,Sheet1!S71_ItemType,$AD:$AD)</f>
        <v>0</v>
      </c>
      <c r="J17" s="75">
        <f t="shared" si="1"/>
        <v>0</v>
      </c>
      <c r="K17" s="75">
        <f t="shared" si="2"/>
        <v>0</v>
      </c>
      <c r="L17" s="1356">
        <f>-SUMIFS(Sheet1!S71_OY1AdjustedBudget,Sheet1!S71_SubMunicipalVoteNo,$AC:$AC,Sheet1!S71_ItemType,$AD:$AD)</f>
        <v>0</v>
      </c>
      <c r="M17" s="1357">
        <f>-SUMIFS(Sheet1!S71_OY2AdjustedBudget,Sheet1!S71_SubMunicipalVoteNo,$AC:$AC,Sheet1!S71_ItemType,$AD:$AD)</f>
        <v>0</v>
      </c>
      <c r="AC17" s="1345">
        <v>110</v>
      </c>
      <c r="AD17" s="1345" t="s">
        <v>1811</v>
      </c>
    </row>
    <row r="18" spans="1:30" ht="13.5" x14ac:dyDescent="0.25">
      <c r="A18" s="745" t="str">
        <f>'Org structure'!A3</f>
        <v>Vote 2 - Finance and Administration2</v>
      </c>
      <c r="B18" s="898"/>
      <c r="C18" s="733">
        <f>SUM(C19:C28)</f>
        <v>0</v>
      </c>
      <c r="D18" s="732">
        <f t="shared" ref="D18:I18" si="3">SUM(D19:D28)</f>
        <v>0</v>
      </c>
      <c r="E18" s="732">
        <f t="shared" si="3"/>
        <v>0</v>
      </c>
      <c r="F18" s="732">
        <f t="shared" si="3"/>
        <v>0</v>
      </c>
      <c r="G18" s="732">
        <f t="shared" si="3"/>
        <v>0</v>
      </c>
      <c r="H18" s="732">
        <f t="shared" si="3"/>
        <v>0</v>
      </c>
      <c r="I18" s="732">
        <f t="shared" si="3"/>
        <v>0</v>
      </c>
      <c r="J18" s="75">
        <f t="shared" si="1"/>
        <v>0</v>
      </c>
      <c r="K18" s="75">
        <f t="shared" si="2"/>
        <v>0</v>
      </c>
      <c r="L18" s="732">
        <f>SUM(L19:L28)</f>
        <v>0</v>
      </c>
      <c r="M18" s="759">
        <f>SUM(M19:M28)</f>
        <v>0</v>
      </c>
    </row>
    <row r="19" spans="1:30" ht="13.5" x14ac:dyDescent="0.25">
      <c r="A19" s="748" t="str">
        <f>IF(RIGHT('Org structure'!D14,18)&lt;&gt;"[Name of sub-vote]",'Org structure'!D14,"")</f>
        <v>2.1 - Supply Chain Management</v>
      </c>
      <c r="B19" s="899"/>
      <c r="C19" s="1360">
        <f>-SUMIFS(Sheet1!S71_OriginalBudget,Sheet1!S71_SubMunicipalVoteNo,$AC:$AC,Sheet1!S71_ItemType,$AD:$AD)</f>
        <v>0</v>
      </c>
      <c r="D19" s="1356">
        <f>-SUMIFS(Sheet1!S71_SpecialAdjustedBudget,Sheet1!S71_SubMunicipalVoteNo,$AC:$AC,Sheet1!S71_ItemType,$AD:$AD)</f>
        <v>0</v>
      </c>
      <c r="E19" s="1356"/>
      <c r="F19" s="1356"/>
      <c r="G19" s="1356"/>
      <c r="H19" s="1356"/>
      <c r="I19" s="1356">
        <f>SUMIFS(Sheet1!S71_AdjustmentAmount,Sheet1!S71_SubMunicipalVoteNo,$AC:$AC,Sheet1!S71_ItemType,$AD:$AD)</f>
        <v>0</v>
      </c>
      <c r="J19" s="75">
        <f t="shared" si="1"/>
        <v>0</v>
      </c>
      <c r="K19" s="75">
        <f t="shared" si="2"/>
        <v>0</v>
      </c>
      <c r="L19" s="1356">
        <f>-SUMIFS(Sheet1!S71_OY1AdjustedBudget,Sheet1!S71_SubMunicipalVoteNo,$AC:$AC,Sheet1!S71_ItemType,$AD:$AD)</f>
        <v>0</v>
      </c>
      <c r="M19" s="1357">
        <f>-SUMIFS(Sheet1!S71_OY2AdjustedBudget,Sheet1!S71_SubMunicipalVoteNo,$AC:$AC,Sheet1!S71_ItemType,$AD:$AD)</f>
        <v>0</v>
      </c>
      <c r="AC19" s="1345">
        <v>21</v>
      </c>
      <c r="AD19" s="1345" t="s">
        <v>1811</v>
      </c>
    </row>
    <row r="20" spans="1:30" ht="13.5" x14ac:dyDescent="0.25">
      <c r="A20" s="748" t="str">
        <f>IF(RIGHT('Org structure'!D15,18)&lt;&gt;"[Name of sub-vote]",'Org structure'!D15,"")</f>
        <v/>
      </c>
      <c r="B20" s="899"/>
      <c r="C20" s="1360">
        <f>-SUMIFS(Sheet1!S71_OriginalBudget,Sheet1!S71_SubMunicipalVoteNo,$AC:$AC,Sheet1!S71_ItemType,$AD:$AD)</f>
        <v>0</v>
      </c>
      <c r="D20" s="1356">
        <f>-SUMIFS(Sheet1!S71_SpecialAdjustedBudget,Sheet1!S71_SubMunicipalVoteNo,$AC:$AC,Sheet1!S71_ItemType,$AD:$AD)</f>
        <v>0</v>
      </c>
      <c r="E20" s="1356"/>
      <c r="F20" s="1356"/>
      <c r="G20" s="1356"/>
      <c r="H20" s="1356"/>
      <c r="I20" s="1356">
        <f>SUMIFS(Sheet1!S71_AdjustmentAmount,Sheet1!S71_SubMunicipalVoteNo,$AC:$AC,Sheet1!S71_ItemType,$AD:$AD)</f>
        <v>0</v>
      </c>
      <c r="J20" s="75">
        <f t="shared" si="1"/>
        <v>0</v>
      </c>
      <c r="K20" s="75">
        <f t="shared" si="2"/>
        <v>0</v>
      </c>
      <c r="L20" s="1356">
        <f>-SUMIFS(Sheet1!S71_OY1AdjustedBudget,Sheet1!S71_SubMunicipalVoteNo,$AC:$AC,Sheet1!S71_ItemType,$AD:$AD)</f>
        <v>0</v>
      </c>
      <c r="M20" s="1357">
        <f>-SUMIFS(Sheet1!S71_OY2AdjustedBudget,Sheet1!S71_SubMunicipalVoteNo,$AC:$AC,Sheet1!S71_ItemType,$AD:$AD)</f>
        <v>0</v>
      </c>
      <c r="AC20" s="1345">
        <v>22</v>
      </c>
      <c r="AD20" s="1345" t="s">
        <v>1811</v>
      </c>
    </row>
    <row r="21" spans="1:30" ht="13.5" x14ac:dyDescent="0.25">
      <c r="A21" s="748" t="str">
        <f>IF(RIGHT('Org structure'!D16,18)&lt;&gt;"[Name of sub-vote]",'Org structure'!D16,"")</f>
        <v/>
      </c>
      <c r="B21" s="899"/>
      <c r="C21" s="1360">
        <f>-SUMIFS(Sheet1!S71_OriginalBudget,Sheet1!S71_SubMunicipalVoteNo,$AC:$AC,Sheet1!S71_ItemType,$AD:$AD)</f>
        <v>0</v>
      </c>
      <c r="D21" s="1356">
        <f>-SUMIFS(Sheet1!S71_SpecialAdjustedBudget,Sheet1!S71_SubMunicipalVoteNo,$AC:$AC,Sheet1!S71_ItemType,$AD:$AD)</f>
        <v>0</v>
      </c>
      <c r="E21" s="1356"/>
      <c r="F21" s="1356"/>
      <c r="G21" s="1356"/>
      <c r="H21" s="1356"/>
      <c r="I21" s="1356">
        <f>SUMIFS(Sheet1!S71_AdjustmentAmount,Sheet1!S71_SubMunicipalVoteNo,$AC:$AC,Sheet1!S71_ItemType,$AD:$AD)</f>
        <v>0</v>
      </c>
      <c r="J21" s="75">
        <f t="shared" si="1"/>
        <v>0</v>
      </c>
      <c r="K21" s="75">
        <f t="shared" si="2"/>
        <v>0</v>
      </c>
      <c r="L21" s="1356">
        <f>-SUMIFS(Sheet1!S71_OY1AdjustedBudget,Sheet1!S71_SubMunicipalVoteNo,$AC:$AC,Sheet1!S71_ItemType,$AD:$AD)</f>
        <v>0</v>
      </c>
      <c r="M21" s="1357">
        <f>-SUMIFS(Sheet1!S71_OY2AdjustedBudget,Sheet1!S71_SubMunicipalVoteNo,$AC:$AC,Sheet1!S71_ItemType,$AD:$AD)</f>
        <v>0</v>
      </c>
      <c r="AC21" s="1345">
        <v>23</v>
      </c>
      <c r="AD21" s="1345" t="s">
        <v>1811</v>
      </c>
    </row>
    <row r="22" spans="1:30" ht="13.5" x14ac:dyDescent="0.25">
      <c r="A22" s="748" t="str">
        <f>IF(RIGHT('Org structure'!D17,18)&lt;&gt;"[Name of sub-vote]",'Org structure'!D17,"")</f>
        <v/>
      </c>
      <c r="B22" s="899"/>
      <c r="C22" s="1360">
        <f>-SUMIFS(Sheet1!S71_OriginalBudget,Sheet1!S71_SubMunicipalVoteNo,$AC:$AC,Sheet1!S71_ItemType,$AD:$AD)</f>
        <v>0</v>
      </c>
      <c r="D22" s="1356">
        <f>-SUMIFS(Sheet1!S71_SpecialAdjustedBudget,Sheet1!S71_SubMunicipalVoteNo,$AC:$AC,Sheet1!S71_ItemType,$AD:$AD)</f>
        <v>0</v>
      </c>
      <c r="E22" s="1356"/>
      <c r="F22" s="1356"/>
      <c r="G22" s="1356"/>
      <c r="H22" s="1356"/>
      <c r="I22" s="1356">
        <f>SUMIFS(Sheet1!S71_AdjustmentAmount,Sheet1!S71_SubMunicipalVoteNo,$AC:$AC,Sheet1!S71_ItemType,$AD:$AD)</f>
        <v>0</v>
      </c>
      <c r="J22" s="75">
        <f t="shared" si="1"/>
        <v>0</v>
      </c>
      <c r="K22" s="75">
        <f t="shared" si="2"/>
        <v>0</v>
      </c>
      <c r="L22" s="1356">
        <f>-SUMIFS(Sheet1!S71_OY1AdjustedBudget,Sheet1!S71_SubMunicipalVoteNo,$AC:$AC,Sheet1!S71_ItemType,$AD:$AD)</f>
        <v>0</v>
      </c>
      <c r="M22" s="1357">
        <f>-SUMIFS(Sheet1!S71_OY2AdjustedBudget,Sheet1!S71_SubMunicipalVoteNo,$AC:$AC,Sheet1!S71_ItemType,$AD:$AD)</f>
        <v>0</v>
      </c>
      <c r="AC22" s="1345">
        <v>24</v>
      </c>
      <c r="AD22" s="1345" t="s">
        <v>1811</v>
      </c>
    </row>
    <row r="23" spans="1:30" ht="13.5" x14ac:dyDescent="0.25">
      <c r="A23" s="748" t="str">
        <f>IF(RIGHT('Org structure'!D18,18)&lt;&gt;"[Name of sub-vote]",'Org structure'!D18,"")</f>
        <v/>
      </c>
      <c r="B23" s="899"/>
      <c r="C23" s="1360">
        <f>-SUMIFS(Sheet1!S71_OriginalBudget,Sheet1!S71_SubMunicipalVoteNo,$AC:$AC,Sheet1!S71_ItemType,$AD:$AD)</f>
        <v>0</v>
      </c>
      <c r="D23" s="1356">
        <f>-SUMIFS(Sheet1!S71_SpecialAdjustedBudget,Sheet1!S71_SubMunicipalVoteNo,$AC:$AC,Sheet1!S71_ItemType,$AD:$AD)</f>
        <v>0</v>
      </c>
      <c r="E23" s="1356"/>
      <c r="F23" s="1356"/>
      <c r="G23" s="1356"/>
      <c r="H23" s="1356"/>
      <c r="I23" s="1356">
        <f>SUMIFS(Sheet1!S71_AdjustmentAmount,Sheet1!S71_SubMunicipalVoteNo,$AC:$AC,Sheet1!S71_ItemType,$AD:$AD)</f>
        <v>0</v>
      </c>
      <c r="J23" s="75">
        <f t="shared" si="1"/>
        <v>0</v>
      </c>
      <c r="K23" s="75">
        <f t="shared" si="2"/>
        <v>0</v>
      </c>
      <c r="L23" s="1356">
        <f>-SUMIFS(Sheet1!S71_OY1AdjustedBudget,Sheet1!S71_SubMunicipalVoteNo,$AC:$AC,Sheet1!S71_ItemType,$AD:$AD)</f>
        <v>0</v>
      </c>
      <c r="M23" s="1357">
        <f>-SUMIFS(Sheet1!S71_OY2AdjustedBudget,Sheet1!S71_SubMunicipalVoteNo,$AC:$AC,Sheet1!S71_ItemType,$AD:$AD)</f>
        <v>0</v>
      </c>
      <c r="AC23" s="1345">
        <v>25</v>
      </c>
      <c r="AD23" s="1345" t="s">
        <v>1811</v>
      </c>
    </row>
    <row r="24" spans="1:30" ht="13.5" x14ac:dyDescent="0.25">
      <c r="A24" s="748" t="str">
        <f>IF(RIGHT('Org structure'!D19,18)&lt;&gt;"[Name of sub-vote]",'Org structure'!D19,"")</f>
        <v/>
      </c>
      <c r="B24" s="899"/>
      <c r="C24" s="1360">
        <f>-SUMIFS(Sheet1!S71_OriginalBudget,Sheet1!S71_SubMunicipalVoteNo,$AC:$AC,Sheet1!S71_ItemType,$AD:$AD)</f>
        <v>0</v>
      </c>
      <c r="D24" s="1356">
        <f>-SUMIFS(Sheet1!S71_SpecialAdjustedBudget,Sheet1!S71_SubMunicipalVoteNo,$AC:$AC,Sheet1!S71_ItemType,$AD:$AD)</f>
        <v>0</v>
      </c>
      <c r="E24" s="1356"/>
      <c r="F24" s="1356"/>
      <c r="G24" s="1356"/>
      <c r="H24" s="1356"/>
      <c r="I24" s="1356">
        <f>SUMIFS(Sheet1!S71_AdjustmentAmount,Sheet1!S71_SubMunicipalVoteNo,$AC:$AC,Sheet1!S71_ItemType,$AD:$AD)</f>
        <v>0</v>
      </c>
      <c r="J24" s="75">
        <f t="shared" si="1"/>
        <v>0</v>
      </c>
      <c r="K24" s="75">
        <f t="shared" si="2"/>
        <v>0</v>
      </c>
      <c r="L24" s="1356">
        <f>-SUMIFS(Sheet1!S71_OY1AdjustedBudget,Sheet1!S71_SubMunicipalVoteNo,$AC:$AC,Sheet1!S71_ItemType,$AD:$AD)</f>
        <v>0</v>
      </c>
      <c r="M24" s="1357">
        <f>-SUMIFS(Sheet1!S71_OY2AdjustedBudget,Sheet1!S71_SubMunicipalVoteNo,$AC:$AC,Sheet1!S71_ItemType,$AD:$AD)</f>
        <v>0</v>
      </c>
      <c r="AC24" s="1345">
        <v>26</v>
      </c>
      <c r="AD24" s="1345" t="s">
        <v>1811</v>
      </c>
    </row>
    <row r="25" spans="1:30" ht="13.5" x14ac:dyDescent="0.25">
      <c r="A25" s="748" t="str">
        <f>IF(RIGHT('Org structure'!D20,18)&lt;&gt;"[Name of sub-vote]",'Org structure'!D20,"")</f>
        <v/>
      </c>
      <c r="B25" s="899"/>
      <c r="C25" s="1360">
        <f>-SUMIFS(Sheet1!S71_OriginalBudget,Sheet1!S71_SubMunicipalVoteNo,$AC:$AC,Sheet1!S71_ItemType,$AD:$AD)</f>
        <v>0</v>
      </c>
      <c r="D25" s="1356">
        <f>-SUMIFS(Sheet1!S71_SpecialAdjustedBudget,Sheet1!S71_SubMunicipalVoteNo,$AC:$AC,Sheet1!S71_ItemType,$AD:$AD)</f>
        <v>0</v>
      </c>
      <c r="E25" s="1356"/>
      <c r="F25" s="1356"/>
      <c r="G25" s="1356"/>
      <c r="H25" s="1356"/>
      <c r="I25" s="1356">
        <f>SUMIFS(Sheet1!S71_AdjustmentAmount,Sheet1!S71_SubMunicipalVoteNo,$AC:$AC,Sheet1!S71_ItemType,$AD:$AD)</f>
        <v>0</v>
      </c>
      <c r="J25" s="75">
        <f t="shared" si="1"/>
        <v>0</v>
      </c>
      <c r="K25" s="75">
        <f t="shared" si="2"/>
        <v>0</v>
      </c>
      <c r="L25" s="1356">
        <f>-SUMIFS(Sheet1!S71_OY1AdjustedBudget,Sheet1!S71_SubMunicipalVoteNo,$AC:$AC,Sheet1!S71_ItemType,$AD:$AD)</f>
        <v>0</v>
      </c>
      <c r="M25" s="1357">
        <f>-SUMIFS(Sheet1!S71_OY2AdjustedBudget,Sheet1!S71_SubMunicipalVoteNo,$AC:$AC,Sheet1!S71_ItemType,$AD:$AD)</f>
        <v>0</v>
      </c>
      <c r="AC25" s="1345">
        <v>27</v>
      </c>
      <c r="AD25" s="1345" t="s">
        <v>1811</v>
      </c>
    </row>
    <row r="26" spans="1:30" ht="13.5" x14ac:dyDescent="0.25">
      <c r="A26" s="748" t="str">
        <f>IF(RIGHT('Org structure'!D21,18)&lt;&gt;"[Name of sub-vote]",'Org structure'!D21,"")</f>
        <v/>
      </c>
      <c r="B26" s="899"/>
      <c r="C26" s="1360">
        <f>-SUMIFS(Sheet1!S71_OriginalBudget,Sheet1!S71_SubMunicipalVoteNo,$AC:$AC,Sheet1!S71_ItemType,$AD:$AD)</f>
        <v>0</v>
      </c>
      <c r="D26" s="1356">
        <f>-SUMIFS(Sheet1!S71_SpecialAdjustedBudget,Sheet1!S71_SubMunicipalVoteNo,$AC:$AC,Sheet1!S71_ItemType,$AD:$AD)</f>
        <v>0</v>
      </c>
      <c r="E26" s="1356"/>
      <c r="F26" s="1356"/>
      <c r="G26" s="1356"/>
      <c r="H26" s="1356"/>
      <c r="I26" s="1356">
        <f>SUMIFS(Sheet1!S71_AdjustmentAmount,Sheet1!S71_SubMunicipalVoteNo,$AC:$AC,Sheet1!S71_ItemType,$AD:$AD)</f>
        <v>0</v>
      </c>
      <c r="J26" s="75">
        <f t="shared" si="1"/>
        <v>0</v>
      </c>
      <c r="K26" s="75">
        <f t="shared" si="2"/>
        <v>0</v>
      </c>
      <c r="L26" s="1356">
        <f>-SUMIFS(Sheet1!S71_OY1AdjustedBudget,Sheet1!S71_SubMunicipalVoteNo,$AC:$AC,Sheet1!S71_ItemType,$AD:$AD)</f>
        <v>0</v>
      </c>
      <c r="M26" s="1357">
        <f>-SUMIFS(Sheet1!S71_OY2AdjustedBudget,Sheet1!S71_SubMunicipalVoteNo,$AC:$AC,Sheet1!S71_ItemType,$AD:$AD)</f>
        <v>0</v>
      </c>
      <c r="AC26" s="1345">
        <v>28</v>
      </c>
      <c r="AD26" s="1345" t="s">
        <v>1811</v>
      </c>
    </row>
    <row r="27" spans="1:30" ht="13.5" x14ac:dyDescent="0.25">
      <c r="A27" s="748" t="str">
        <f>IF(RIGHT('Org structure'!D22,18)&lt;&gt;"[Name of sub-vote]",'Org structure'!D22,"")</f>
        <v/>
      </c>
      <c r="B27" s="899"/>
      <c r="C27" s="1360">
        <f>-SUMIFS(Sheet1!S71_OriginalBudget,Sheet1!S71_SubMunicipalVoteNo,$AC:$AC,Sheet1!S71_ItemType,$AD:$AD)</f>
        <v>0</v>
      </c>
      <c r="D27" s="1356">
        <f>-SUMIFS(Sheet1!S71_SpecialAdjustedBudget,Sheet1!S71_SubMunicipalVoteNo,$AC:$AC,Sheet1!S71_ItemType,$AD:$AD)</f>
        <v>0</v>
      </c>
      <c r="E27" s="1356"/>
      <c r="F27" s="1356"/>
      <c r="G27" s="1356"/>
      <c r="H27" s="1356"/>
      <c r="I27" s="1356">
        <f>SUMIFS(Sheet1!S71_AdjustmentAmount,Sheet1!S71_SubMunicipalVoteNo,$AC:$AC,Sheet1!S71_ItemType,$AD:$AD)</f>
        <v>0</v>
      </c>
      <c r="J27" s="75">
        <f t="shared" si="1"/>
        <v>0</v>
      </c>
      <c r="K27" s="75">
        <f t="shared" si="2"/>
        <v>0</v>
      </c>
      <c r="L27" s="1356">
        <f>-SUMIFS(Sheet1!S71_OY1AdjustedBudget,Sheet1!S71_SubMunicipalVoteNo,$AC:$AC,Sheet1!S71_ItemType,$AD:$AD)</f>
        <v>0</v>
      </c>
      <c r="M27" s="1357">
        <f>-SUMIFS(Sheet1!S71_OY2AdjustedBudget,Sheet1!S71_SubMunicipalVoteNo,$AC:$AC,Sheet1!S71_ItemType,$AD:$AD)</f>
        <v>0</v>
      </c>
      <c r="AC27" s="1345">
        <v>29</v>
      </c>
      <c r="AD27" s="1345" t="s">
        <v>1811</v>
      </c>
    </row>
    <row r="28" spans="1:30" ht="13.5" x14ac:dyDescent="0.25">
      <c r="A28" s="748" t="str">
        <f>IF(RIGHT('Org structure'!D23,18)&lt;&gt;"[Name of sub-vote]",'Org structure'!D23,"")</f>
        <v/>
      </c>
      <c r="B28" s="899"/>
      <c r="C28" s="1360">
        <f>-SUMIFS(Sheet1!S71_OriginalBudget,Sheet1!S71_SubMunicipalVoteNo,$AC:$AC,Sheet1!S71_ItemType,$AD:$AD)</f>
        <v>0</v>
      </c>
      <c r="D28" s="1356">
        <f>-SUMIFS(Sheet1!S71_SpecialAdjustedBudget,Sheet1!S71_SubMunicipalVoteNo,$AC:$AC,Sheet1!S71_ItemType,$AD:$AD)</f>
        <v>0</v>
      </c>
      <c r="E28" s="1356"/>
      <c r="F28" s="1356"/>
      <c r="G28" s="1356"/>
      <c r="H28" s="1356"/>
      <c r="I28" s="1356">
        <f>SUMIFS(Sheet1!S71_AdjustmentAmount,Sheet1!S71_SubMunicipalVoteNo,$AC:$AC,Sheet1!S71_ItemType,$AD:$AD)</f>
        <v>0</v>
      </c>
      <c r="J28" s="75">
        <f t="shared" si="1"/>
        <v>0</v>
      </c>
      <c r="K28" s="75">
        <f t="shared" si="2"/>
        <v>0</v>
      </c>
      <c r="L28" s="1356">
        <f>-SUMIFS(Sheet1!S71_OY1AdjustedBudget,Sheet1!S71_SubMunicipalVoteNo,$AC:$AC,Sheet1!S71_ItemType,$AD:$AD)</f>
        <v>0</v>
      </c>
      <c r="M28" s="1357">
        <f>-SUMIFS(Sheet1!S71_OY2AdjustedBudget,Sheet1!S71_SubMunicipalVoteNo,$AC:$AC,Sheet1!S71_ItemType,$AD:$AD)</f>
        <v>0</v>
      </c>
      <c r="AC28" s="1345">
        <v>210</v>
      </c>
      <c r="AD28" s="1345" t="s">
        <v>1811</v>
      </c>
    </row>
    <row r="29" spans="1:30" ht="13.5" x14ac:dyDescent="0.25">
      <c r="A29" s="745" t="str">
        <f>'Org structure'!A4</f>
        <v>Vote 3 - Executive and Council</v>
      </c>
      <c r="B29" s="898"/>
      <c r="C29" s="733">
        <f t="shared" ref="C29:I29" si="4">SUM(C30:C39)</f>
        <v>0</v>
      </c>
      <c r="D29" s="732">
        <f t="shared" si="4"/>
        <v>0</v>
      </c>
      <c r="E29" s="732">
        <f t="shared" si="4"/>
        <v>0</v>
      </c>
      <c r="F29" s="732">
        <f t="shared" si="4"/>
        <v>0</v>
      </c>
      <c r="G29" s="732">
        <f t="shared" si="4"/>
        <v>0</v>
      </c>
      <c r="H29" s="732">
        <f t="shared" si="4"/>
        <v>0</v>
      </c>
      <c r="I29" s="732">
        <f t="shared" si="4"/>
        <v>0</v>
      </c>
      <c r="J29" s="75">
        <f t="shared" si="1"/>
        <v>0</v>
      </c>
      <c r="K29" s="75">
        <f t="shared" si="2"/>
        <v>0</v>
      </c>
      <c r="L29" s="732">
        <f>SUM(L30:L39)</f>
        <v>0</v>
      </c>
      <c r="M29" s="759">
        <f>SUM(M30:M39)</f>
        <v>0</v>
      </c>
    </row>
    <row r="30" spans="1:30" ht="13.5" x14ac:dyDescent="0.25">
      <c r="A30" s="748" t="str">
        <f>IF(RIGHT('Org structure'!D25,18)&lt;&gt;"[Name of sub-vote]",'Org structure'!D25,"")</f>
        <v>3.1 - Municipal Manager, Town Secretary and Chief Executive</v>
      </c>
      <c r="B30" s="899"/>
      <c r="C30" s="1360">
        <f>-SUMIFS(Sheet1!S71_OriginalBudget,Sheet1!S71_SubMunicipalVoteNo,$AC:$AC,Sheet1!S71_ItemType,$AD:$AD)</f>
        <v>0</v>
      </c>
      <c r="D30" s="1356">
        <f>-SUMIFS(Sheet1!S71_SpecialAdjustedBudget,Sheet1!S71_SubMunicipalVoteNo,$AC:$AC,Sheet1!S71_ItemType,$AD:$AD)</f>
        <v>0</v>
      </c>
      <c r="E30" s="1356"/>
      <c r="F30" s="1356"/>
      <c r="G30" s="1356"/>
      <c r="H30" s="1356"/>
      <c r="I30" s="1356">
        <f>SUMIFS(Sheet1!S71_AdjustmentAmount,Sheet1!S71_SubMunicipalVoteNo,$AC:$AC,Sheet1!S71_ItemType,$AD:$AD)</f>
        <v>0</v>
      </c>
      <c r="J30" s="75">
        <f t="shared" si="1"/>
        <v>0</v>
      </c>
      <c r="K30" s="75">
        <f t="shared" si="2"/>
        <v>0</v>
      </c>
      <c r="L30" s="1356">
        <f>-SUMIFS(Sheet1!S71_OY1AdjustedBudget,Sheet1!S71_SubMunicipalVoteNo,$AC:$AC,Sheet1!S71_ItemType,$AD:$AD)</f>
        <v>0</v>
      </c>
      <c r="M30" s="1357">
        <f>-SUMIFS(Sheet1!S71_OY2AdjustedBudget,Sheet1!S71_SubMunicipalVoteNo,$AC:$AC,Sheet1!S71_ItemType,$AD:$AD)</f>
        <v>0</v>
      </c>
      <c r="AC30" s="1345">
        <v>31</v>
      </c>
      <c r="AD30" s="1345" t="s">
        <v>1811</v>
      </c>
    </row>
    <row r="31" spans="1:30" ht="13.5" x14ac:dyDescent="0.25">
      <c r="A31" s="748" t="str">
        <f>IF(RIGHT('Org structure'!D26,18)&lt;&gt;"[Name of sub-vote]",'Org structure'!D26,"")</f>
        <v>3.2 - Mayor and Council</v>
      </c>
      <c r="B31" s="899"/>
      <c r="C31" s="1360">
        <f>-SUMIFS(Sheet1!S71_OriginalBudget,Sheet1!S71_SubMunicipalVoteNo,$AC:$AC,Sheet1!S71_ItemType,$AD:$AD)</f>
        <v>0</v>
      </c>
      <c r="D31" s="1356">
        <f>-SUMIFS(Sheet1!S71_SpecialAdjustedBudget,Sheet1!S71_SubMunicipalVoteNo,$AC:$AC,Sheet1!S71_ItemType,$AD:$AD)</f>
        <v>0</v>
      </c>
      <c r="E31" s="1356"/>
      <c r="F31" s="1356"/>
      <c r="G31" s="1356"/>
      <c r="H31" s="1356"/>
      <c r="I31" s="1356">
        <f>SUMIFS(Sheet1!S71_AdjustmentAmount,Sheet1!S71_SubMunicipalVoteNo,$AC:$AC,Sheet1!S71_ItemType,$AD:$AD)</f>
        <v>0</v>
      </c>
      <c r="J31" s="75">
        <f t="shared" si="1"/>
        <v>0</v>
      </c>
      <c r="K31" s="75">
        <f t="shared" si="2"/>
        <v>0</v>
      </c>
      <c r="L31" s="1356">
        <f>-SUMIFS(Sheet1!S71_OY1AdjustedBudget,Sheet1!S71_SubMunicipalVoteNo,$AC:$AC,Sheet1!S71_ItemType,$AD:$AD)</f>
        <v>0</v>
      </c>
      <c r="M31" s="1357">
        <f>-SUMIFS(Sheet1!S71_OY2AdjustedBudget,Sheet1!S71_SubMunicipalVoteNo,$AC:$AC,Sheet1!S71_ItemType,$AD:$AD)</f>
        <v>0</v>
      </c>
      <c r="AC31" s="1345">
        <v>32</v>
      </c>
      <c r="AD31" s="1345" t="s">
        <v>1811</v>
      </c>
    </row>
    <row r="32" spans="1:30" ht="13.5" x14ac:dyDescent="0.25">
      <c r="A32" s="748" t="str">
        <f>IF(RIGHT('Org structure'!D27,18)&lt;&gt;"[Name of sub-vote]",'Org structure'!D27,"")</f>
        <v/>
      </c>
      <c r="B32" s="899"/>
      <c r="C32" s="1360">
        <f>-SUMIFS(Sheet1!S71_OriginalBudget,Sheet1!S71_SubMunicipalVoteNo,$AC:$AC,Sheet1!S71_ItemType,$AD:$AD)</f>
        <v>0</v>
      </c>
      <c r="D32" s="1356">
        <f>-SUMIFS(Sheet1!S71_SpecialAdjustedBudget,Sheet1!S71_SubMunicipalVoteNo,$AC:$AC,Sheet1!S71_ItemType,$AD:$AD)</f>
        <v>0</v>
      </c>
      <c r="E32" s="1356"/>
      <c r="F32" s="1356"/>
      <c r="G32" s="1356"/>
      <c r="H32" s="1356"/>
      <c r="I32" s="1356">
        <f>SUMIFS(Sheet1!S71_AdjustmentAmount,Sheet1!S71_SubMunicipalVoteNo,$AC:$AC,Sheet1!S71_ItemType,$AD:$AD)</f>
        <v>0</v>
      </c>
      <c r="J32" s="75">
        <f t="shared" si="1"/>
        <v>0</v>
      </c>
      <c r="K32" s="75">
        <f t="shared" si="2"/>
        <v>0</v>
      </c>
      <c r="L32" s="1356">
        <f>-SUMIFS(Sheet1!S71_OY1AdjustedBudget,Sheet1!S71_SubMunicipalVoteNo,$AC:$AC,Sheet1!S71_ItemType,$AD:$AD)</f>
        <v>0</v>
      </c>
      <c r="M32" s="1357">
        <f>-SUMIFS(Sheet1!S71_OY2AdjustedBudget,Sheet1!S71_SubMunicipalVoteNo,$AC:$AC,Sheet1!S71_ItemType,$AD:$AD)</f>
        <v>0</v>
      </c>
      <c r="AC32" s="1345">
        <v>33</v>
      </c>
      <c r="AD32" s="1345" t="s">
        <v>1811</v>
      </c>
    </row>
    <row r="33" spans="1:30" ht="13.5" x14ac:dyDescent="0.25">
      <c r="A33" s="748" t="str">
        <f>IF(RIGHT('Org structure'!D28,18)&lt;&gt;"[Name of sub-vote]",'Org structure'!D28,"")</f>
        <v/>
      </c>
      <c r="B33" s="899"/>
      <c r="C33" s="1360">
        <f>-SUMIFS(Sheet1!S71_OriginalBudget,Sheet1!S71_SubMunicipalVoteNo,$AC:$AC,Sheet1!S71_ItemType,$AD:$AD)</f>
        <v>0</v>
      </c>
      <c r="D33" s="1356">
        <f>-SUMIFS(Sheet1!S71_SpecialAdjustedBudget,Sheet1!S71_SubMunicipalVoteNo,$AC:$AC,Sheet1!S71_ItemType,$AD:$AD)</f>
        <v>0</v>
      </c>
      <c r="E33" s="1356"/>
      <c r="F33" s="1356"/>
      <c r="G33" s="1356"/>
      <c r="H33" s="1356"/>
      <c r="I33" s="1356">
        <f>SUMIFS(Sheet1!S71_AdjustmentAmount,Sheet1!S71_SubMunicipalVoteNo,$AC:$AC,Sheet1!S71_ItemType,$AD:$AD)</f>
        <v>0</v>
      </c>
      <c r="J33" s="75">
        <f t="shared" si="1"/>
        <v>0</v>
      </c>
      <c r="K33" s="75">
        <f t="shared" si="2"/>
        <v>0</v>
      </c>
      <c r="L33" s="1356">
        <f>-SUMIFS(Sheet1!S71_OY1AdjustedBudget,Sheet1!S71_SubMunicipalVoteNo,$AC:$AC,Sheet1!S71_ItemType,$AD:$AD)</f>
        <v>0</v>
      </c>
      <c r="M33" s="1357">
        <f>-SUMIFS(Sheet1!S71_OY2AdjustedBudget,Sheet1!S71_SubMunicipalVoteNo,$AC:$AC,Sheet1!S71_ItemType,$AD:$AD)</f>
        <v>0</v>
      </c>
      <c r="AC33" s="1345">
        <v>34</v>
      </c>
      <c r="AD33" s="1345" t="s">
        <v>1811</v>
      </c>
    </row>
    <row r="34" spans="1:30" ht="13.5" x14ac:dyDescent="0.25">
      <c r="A34" s="748" t="str">
        <f>IF(RIGHT('Org structure'!D29,18)&lt;&gt;"[Name of sub-vote]",'Org structure'!D29,"")</f>
        <v/>
      </c>
      <c r="B34" s="899"/>
      <c r="C34" s="1360">
        <f>-SUMIFS(Sheet1!S71_OriginalBudget,Sheet1!S71_SubMunicipalVoteNo,$AC:$AC,Sheet1!S71_ItemType,$AD:$AD)</f>
        <v>0</v>
      </c>
      <c r="D34" s="1356">
        <f>-SUMIFS(Sheet1!S71_SpecialAdjustedBudget,Sheet1!S71_SubMunicipalVoteNo,$AC:$AC,Sheet1!S71_ItemType,$AD:$AD)</f>
        <v>0</v>
      </c>
      <c r="E34" s="1356"/>
      <c r="F34" s="1356"/>
      <c r="G34" s="1356"/>
      <c r="H34" s="1356"/>
      <c r="I34" s="1356">
        <f>SUMIFS(Sheet1!S71_AdjustmentAmount,Sheet1!S71_SubMunicipalVoteNo,$AC:$AC,Sheet1!S71_ItemType,$AD:$AD)</f>
        <v>0</v>
      </c>
      <c r="J34" s="75">
        <f t="shared" si="1"/>
        <v>0</v>
      </c>
      <c r="K34" s="75">
        <f t="shared" si="2"/>
        <v>0</v>
      </c>
      <c r="L34" s="1356">
        <f>-SUMIFS(Sheet1!S71_OY1AdjustedBudget,Sheet1!S71_SubMunicipalVoteNo,$AC:$AC,Sheet1!S71_ItemType,$AD:$AD)</f>
        <v>0</v>
      </c>
      <c r="M34" s="1357">
        <f>-SUMIFS(Sheet1!S71_OY2AdjustedBudget,Sheet1!S71_SubMunicipalVoteNo,$AC:$AC,Sheet1!S71_ItemType,$AD:$AD)</f>
        <v>0</v>
      </c>
      <c r="AC34" s="1345">
        <v>35</v>
      </c>
      <c r="AD34" s="1345" t="s">
        <v>1811</v>
      </c>
    </row>
    <row r="35" spans="1:30" ht="13.5" x14ac:dyDescent="0.25">
      <c r="A35" s="748" t="str">
        <f>IF(RIGHT('Org structure'!D30,18)&lt;&gt;"[Name of sub-vote]",'Org structure'!D30,"")</f>
        <v/>
      </c>
      <c r="B35" s="899"/>
      <c r="C35" s="1360">
        <f>-SUMIFS(Sheet1!S71_OriginalBudget,Sheet1!S71_SubMunicipalVoteNo,$AC:$AC,Sheet1!S71_ItemType,$AD:$AD)</f>
        <v>0</v>
      </c>
      <c r="D35" s="1356">
        <f>-SUMIFS(Sheet1!S71_SpecialAdjustedBudget,Sheet1!S71_SubMunicipalVoteNo,$AC:$AC,Sheet1!S71_ItemType,$AD:$AD)</f>
        <v>0</v>
      </c>
      <c r="E35" s="1356"/>
      <c r="F35" s="1356"/>
      <c r="G35" s="1356"/>
      <c r="H35" s="1356"/>
      <c r="I35" s="1356">
        <f>SUMIFS(Sheet1!S71_AdjustmentAmount,Sheet1!S71_SubMunicipalVoteNo,$AC:$AC,Sheet1!S71_ItemType,$AD:$AD)</f>
        <v>0</v>
      </c>
      <c r="J35" s="75">
        <f t="shared" si="1"/>
        <v>0</v>
      </c>
      <c r="K35" s="75">
        <f t="shared" si="2"/>
        <v>0</v>
      </c>
      <c r="L35" s="1356">
        <f>-SUMIFS(Sheet1!S71_OY1AdjustedBudget,Sheet1!S71_SubMunicipalVoteNo,$AC:$AC,Sheet1!S71_ItemType,$AD:$AD)</f>
        <v>0</v>
      </c>
      <c r="M35" s="1357">
        <f>-SUMIFS(Sheet1!S71_OY2AdjustedBudget,Sheet1!S71_SubMunicipalVoteNo,$AC:$AC,Sheet1!S71_ItemType,$AD:$AD)</f>
        <v>0</v>
      </c>
      <c r="AC35" s="1345">
        <v>36</v>
      </c>
      <c r="AD35" s="1345" t="s">
        <v>1811</v>
      </c>
    </row>
    <row r="36" spans="1:30" ht="13.5" x14ac:dyDescent="0.25">
      <c r="A36" s="748" t="str">
        <f>IF(RIGHT('Org structure'!D31,18)&lt;&gt;"[Name of sub-vote]",'Org structure'!D31,"")</f>
        <v/>
      </c>
      <c r="B36" s="899"/>
      <c r="C36" s="1360">
        <f>-SUMIFS(Sheet1!S71_OriginalBudget,Sheet1!S71_SubMunicipalVoteNo,$AC:$AC,Sheet1!S71_ItemType,$AD:$AD)</f>
        <v>0</v>
      </c>
      <c r="D36" s="1356">
        <f>-SUMIFS(Sheet1!S71_SpecialAdjustedBudget,Sheet1!S71_SubMunicipalVoteNo,$AC:$AC,Sheet1!S71_ItemType,$AD:$AD)</f>
        <v>0</v>
      </c>
      <c r="E36" s="1356"/>
      <c r="F36" s="1356"/>
      <c r="G36" s="1356"/>
      <c r="H36" s="1356"/>
      <c r="I36" s="1356">
        <f>SUMIFS(Sheet1!S71_AdjustmentAmount,Sheet1!S71_SubMunicipalVoteNo,$AC:$AC,Sheet1!S71_ItemType,$AD:$AD)</f>
        <v>0</v>
      </c>
      <c r="J36" s="75">
        <f t="shared" si="1"/>
        <v>0</v>
      </c>
      <c r="K36" s="75">
        <f t="shared" si="2"/>
        <v>0</v>
      </c>
      <c r="L36" s="1356">
        <f>-SUMIFS(Sheet1!S71_OY1AdjustedBudget,Sheet1!S71_SubMunicipalVoteNo,$AC:$AC,Sheet1!S71_ItemType,$AD:$AD)</f>
        <v>0</v>
      </c>
      <c r="M36" s="1357">
        <f>-SUMIFS(Sheet1!S71_OY2AdjustedBudget,Sheet1!S71_SubMunicipalVoteNo,$AC:$AC,Sheet1!S71_ItemType,$AD:$AD)</f>
        <v>0</v>
      </c>
      <c r="AC36" s="1345">
        <v>37</v>
      </c>
      <c r="AD36" s="1345" t="s">
        <v>1811</v>
      </c>
    </row>
    <row r="37" spans="1:30" ht="13.5" x14ac:dyDescent="0.25">
      <c r="A37" s="748" t="str">
        <f>IF(RIGHT('Org structure'!D32,18)&lt;&gt;"[Name of sub-vote]",'Org structure'!D32,"")</f>
        <v/>
      </c>
      <c r="B37" s="899"/>
      <c r="C37" s="1360">
        <f>-SUMIFS(Sheet1!S71_OriginalBudget,Sheet1!S71_SubMunicipalVoteNo,$AC:$AC,Sheet1!S71_ItemType,$AD:$AD)</f>
        <v>0</v>
      </c>
      <c r="D37" s="1356">
        <f>-SUMIFS(Sheet1!S71_SpecialAdjustedBudget,Sheet1!S71_SubMunicipalVoteNo,$AC:$AC,Sheet1!S71_ItemType,$AD:$AD)</f>
        <v>0</v>
      </c>
      <c r="E37" s="1356"/>
      <c r="F37" s="1356"/>
      <c r="G37" s="1356"/>
      <c r="H37" s="1356"/>
      <c r="I37" s="1356">
        <f>SUMIFS(Sheet1!S71_AdjustmentAmount,Sheet1!S71_SubMunicipalVoteNo,$AC:$AC,Sheet1!S71_ItemType,$AD:$AD)</f>
        <v>0</v>
      </c>
      <c r="J37" s="75">
        <f t="shared" si="1"/>
        <v>0</v>
      </c>
      <c r="K37" s="75">
        <f t="shared" si="2"/>
        <v>0</v>
      </c>
      <c r="L37" s="1356">
        <f>-SUMIFS(Sheet1!S71_OY1AdjustedBudget,Sheet1!S71_SubMunicipalVoteNo,$AC:$AC,Sheet1!S71_ItemType,$AD:$AD)</f>
        <v>0</v>
      </c>
      <c r="M37" s="1357">
        <f>-SUMIFS(Sheet1!S71_OY2AdjustedBudget,Sheet1!S71_SubMunicipalVoteNo,$AC:$AC,Sheet1!S71_ItemType,$AD:$AD)</f>
        <v>0</v>
      </c>
      <c r="AC37" s="1345">
        <v>38</v>
      </c>
      <c r="AD37" s="1345" t="s">
        <v>1811</v>
      </c>
    </row>
    <row r="38" spans="1:30" ht="13.5" x14ac:dyDescent="0.25">
      <c r="A38" s="748" t="str">
        <f>IF(RIGHT('Org structure'!D33,18)&lt;&gt;"[Name of sub-vote]",'Org structure'!D33,"")</f>
        <v/>
      </c>
      <c r="B38" s="899"/>
      <c r="C38" s="1360">
        <f>-SUMIFS(Sheet1!S71_OriginalBudget,Sheet1!S71_SubMunicipalVoteNo,$AC:$AC,Sheet1!S71_ItemType,$AD:$AD)</f>
        <v>0</v>
      </c>
      <c r="D38" s="1356">
        <f>-SUMIFS(Sheet1!S71_SpecialAdjustedBudget,Sheet1!S71_SubMunicipalVoteNo,$AC:$AC,Sheet1!S71_ItemType,$AD:$AD)</f>
        <v>0</v>
      </c>
      <c r="E38" s="1356"/>
      <c r="F38" s="1356"/>
      <c r="G38" s="1356"/>
      <c r="H38" s="1356"/>
      <c r="I38" s="1356">
        <f>SUMIFS(Sheet1!S71_AdjustmentAmount,Sheet1!S71_SubMunicipalVoteNo,$AC:$AC,Sheet1!S71_ItemType,$AD:$AD)</f>
        <v>0</v>
      </c>
      <c r="J38" s="75">
        <f t="shared" si="1"/>
        <v>0</v>
      </c>
      <c r="K38" s="75">
        <f t="shared" si="2"/>
        <v>0</v>
      </c>
      <c r="L38" s="1356">
        <f>-SUMIFS(Sheet1!S71_OY1AdjustedBudget,Sheet1!S71_SubMunicipalVoteNo,$AC:$AC,Sheet1!S71_ItemType,$AD:$AD)</f>
        <v>0</v>
      </c>
      <c r="M38" s="1357">
        <f>-SUMIFS(Sheet1!S71_OY2AdjustedBudget,Sheet1!S71_SubMunicipalVoteNo,$AC:$AC,Sheet1!S71_ItemType,$AD:$AD)</f>
        <v>0</v>
      </c>
      <c r="AC38" s="1345">
        <v>39</v>
      </c>
      <c r="AD38" s="1345" t="s">
        <v>1811</v>
      </c>
    </row>
    <row r="39" spans="1:30" ht="13.5" x14ac:dyDescent="0.25">
      <c r="A39" s="748" t="str">
        <f>IF(RIGHT('Org structure'!D34,18)&lt;&gt;"[Name of sub-vote]",'Org structure'!D34,"")</f>
        <v/>
      </c>
      <c r="B39" s="899"/>
      <c r="C39" s="1360">
        <f>-SUMIFS(Sheet1!S71_OriginalBudget,Sheet1!S71_SubMunicipalVoteNo,$AC:$AC,Sheet1!S71_ItemType,$AD:$AD)</f>
        <v>0</v>
      </c>
      <c r="D39" s="1356">
        <f>-SUMIFS(Sheet1!S71_SpecialAdjustedBudget,Sheet1!S71_SubMunicipalVoteNo,$AC:$AC,Sheet1!S71_ItemType,$AD:$AD)</f>
        <v>0</v>
      </c>
      <c r="E39" s="1356"/>
      <c r="F39" s="1356"/>
      <c r="G39" s="1356"/>
      <c r="H39" s="1356"/>
      <c r="I39" s="1356">
        <f>SUMIFS(Sheet1!S71_AdjustmentAmount,Sheet1!S71_SubMunicipalVoteNo,$AC:$AC,Sheet1!S71_ItemType,$AD:$AD)</f>
        <v>0</v>
      </c>
      <c r="J39" s="75">
        <f t="shared" ref="J39:J70" si="5">SUM(E39:I39)</f>
        <v>0</v>
      </c>
      <c r="K39" s="75">
        <f t="shared" si="2"/>
        <v>0</v>
      </c>
      <c r="L39" s="1356">
        <f>-SUMIFS(Sheet1!S71_OY1AdjustedBudget,Sheet1!S71_SubMunicipalVoteNo,$AC:$AC,Sheet1!S71_ItemType,$AD:$AD)</f>
        <v>0</v>
      </c>
      <c r="M39" s="1357">
        <f>-SUMIFS(Sheet1!S71_OY2AdjustedBudget,Sheet1!S71_SubMunicipalVoteNo,$AC:$AC,Sheet1!S71_ItemType,$AD:$AD)</f>
        <v>0</v>
      </c>
      <c r="AC39" s="1345">
        <v>310</v>
      </c>
      <c r="AD39" s="1345" t="s">
        <v>1811</v>
      </c>
    </row>
    <row r="40" spans="1:30" ht="13.5" x14ac:dyDescent="0.25">
      <c r="A40" s="745" t="str">
        <f>'Org structure'!A5</f>
        <v>Vote 4 - Community and Social Services</v>
      </c>
      <c r="B40" s="898"/>
      <c r="C40" s="733">
        <f t="shared" ref="C40:I40" si="6">SUM(C41:C50)</f>
        <v>2212094</v>
      </c>
      <c r="D40" s="732">
        <f t="shared" si="6"/>
        <v>2212094</v>
      </c>
      <c r="E40" s="732">
        <f t="shared" si="6"/>
        <v>0</v>
      </c>
      <c r="F40" s="732">
        <f t="shared" si="6"/>
        <v>0</v>
      </c>
      <c r="G40" s="732">
        <f t="shared" si="6"/>
        <v>0</v>
      </c>
      <c r="H40" s="732">
        <f t="shared" si="6"/>
        <v>0</v>
      </c>
      <c r="I40" s="732">
        <f t="shared" si="6"/>
        <v>-372500</v>
      </c>
      <c r="J40" s="75">
        <f t="shared" si="5"/>
        <v>-372500</v>
      </c>
      <c r="K40" s="75">
        <f t="shared" si="2"/>
        <v>1839594</v>
      </c>
      <c r="L40" s="732">
        <f>SUM(L41:L50)</f>
        <v>1840950</v>
      </c>
      <c r="M40" s="759">
        <f>SUM(M41:M50)</f>
        <v>1842387</v>
      </c>
    </row>
    <row r="41" spans="1:30" ht="13.5" x14ac:dyDescent="0.25">
      <c r="A41" s="748" t="str">
        <f>IF(RIGHT('Org structure'!D36,18)&lt;&gt;"[Name of sub-vote]",'Org structure'!D36,"")</f>
        <v>4.1 - Disaster Management</v>
      </c>
      <c r="B41" s="899"/>
      <c r="C41" s="1360">
        <f>-SUMIFS(Sheet1!S71_OriginalBudget,Sheet1!S71_SubMunicipalVoteNo,$AC:$AC,Sheet1!S71_ItemType,$AD:$AD)</f>
        <v>372500</v>
      </c>
      <c r="D41" s="1356">
        <f>-SUMIFS(Sheet1!S71_SpecialAdjustedBudget,Sheet1!S71_SubMunicipalVoteNo,$AC:$AC,Sheet1!S71_ItemType,$AD:$AD)</f>
        <v>372500</v>
      </c>
      <c r="E41" s="1356"/>
      <c r="F41" s="1356"/>
      <c r="G41" s="1356"/>
      <c r="H41" s="1356"/>
      <c r="I41" s="1356">
        <f>SUMIFS(Sheet1!S71_AdjustmentAmount,Sheet1!S71_SubMunicipalVoteNo,$AC:$AC,Sheet1!S71_ItemType,$AD:$AD)</f>
        <v>-372500</v>
      </c>
      <c r="J41" s="75">
        <f t="shared" si="5"/>
        <v>-372500</v>
      </c>
      <c r="K41" s="75">
        <f t="shared" si="2"/>
        <v>0</v>
      </c>
      <c r="L41" s="1356">
        <f>-SUMIFS(Sheet1!S71_OY1AdjustedBudget,Sheet1!S71_SubMunicipalVoteNo,$AC:$AC,Sheet1!S71_ItemType,$AD:$AD)</f>
        <v>0</v>
      </c>
      <c r="M41" s="1357">
        <f>-SUMIFS(Sheet1!S71_OY2AdjustedBudget,Sheet1!S71_SubMunicipalVoteNo,$AC:$AC,Sheet1!S71_ItemType,$AD:$AD)</f>
        <v>0</v>
      </c>
      <c r="AC41" s="1345">
        <v>41</v>
      </c>
      <c r="AD41" s="1345" t="s">
        <v>1811</v>
      </c>
    </row>
    <row r="42" spans="1:30" ht="13.5" x14ac:dyDescent="0.25">
      <c r="A42" s="748" t="str">
        <f>IF(RIGHT('Org structure'!D37,18)&lt;&gt;"[Name of sub-vote]",'Org structure'!D37,"")</f>
        <v>4.2 - Libraries and Archives</v>
      </c>
      <c r="B42" s="899"/>
      <c r="C42" s="1360">
        <f>-SUMIFS(Sheet1!S71_OriginalBudget,Sheet1!S71_SubMunicipalVoteNo,$AC:$AC,Sheet1!S71_ItemType,$AD:$AD)</f>
        <v>1839594</v>
      </c>
      <c r="D42" s="1356">
        <f>-SUMIFS(Sheet1!S71_SpecialAdjustedBudget,Sheet1!S71_SubMunicipalVoteNo,$AC:$AC,Sheet1!S71_ItemType,$AD:$AD)</f>
        <v>1839594</v>
      </c>
      <c r="E42" s="1356"/>
      <c r="F42" s="1356"/>
      <c r="G42" s="1356"/>
      <c r="H42" s="1356"/>
      <c r="I42" s="1356">
        <f>SUMIFS(Sheet1!S71_AdjustmentAmount,Sheet1!S71_SubMunicipalVoteNo,$AC:$AC,Sheet1!S71_ItemType,$AD:$AD)</f>
        <v>0</v>
      </c>
      <c r="J42" s="75">
        <f t="shared" si="5"/>
        <v>0</v>
      </c>
      <c r="K42" s="75">
        <f t="shared" si="2"/>
        <v>1839594</v>
      </c>
      <c r="L42" s="1356">
        <f>-SUMIFS(Sheet1!S71_OY1AdjustedBudget,Sheet1!S71_SubMunicipalVoteNo,$AC:$AC,Sheet1!S71_ItemType,$AD:$AD)</f>
        <v>1840950</v>
      </c>
      <c r="M42" s="1357">
        <f>-SUMIFS(Sheet1!S71_OY2AdjustedBudget,Sheet1!S71_SubMunicipalVoteNo,$AC:$AC,Sheet1!S71_ItemType,$AD:$AD)</f>
        <v>1842387</v>
      </c>
      <c r="AC42" s="1345">
        <v>42</v>
      </c>
      <c r="AD42" s="1345" t="s">
        <v>1811</v>
      </c>
    </row>
    <row r="43" spans="1:30" ht="13.5" x14ac:dyDescent="0.25">
      <c r="A43" s="748" t="str">
        <f>IF(RIGHT('Org structure'!D38,18)&lt;&gt;"[Name of sub-vote]",'Org structure'!D38,"")</f>
        <v>4.3 - Population Development</v>
      </c>
      <c r="B43" s="899"/>
      <c r="C43" s="1360">
        <f>-SUMIFS(Sheet1!S71_OriginalBudget,Sheet1!S71_SubMunicipalVoteNo,$AC:$AC,Sheet1!S71_ItemType,$AD:$AD)</f>
        <v>0</v>
      </c>
      <c r="D43" s="1356">
        <f>-SUMIFS(Sheet1!S71_SpecialAdjustedBudget,Sheet1!S71_SubMunicipalVoteNo,$AC:$AC,Sheet1!S71_ItemType,$AD:$AD)</f>
        <v>0</v>
      </c>
      <c r="E43" s="1356"/>
      <c r="F43" s="1356"/>
      <c r="G43" s="1356"/>
      <c r="H43" s="1356"/>
      <c r="I43" s="1356">
        <f>SUMIFS(Sheet1!S71_AdjustmentAmount,Sheet1!S71_SubMunicipalVoteNo,$AC:$AC,Sheet1!S71_ItemType,$AD:$AD)</f>
        <v>0</v>
      </c>
      <c r="J43" s="75">
        <f t="shared" si="5"/>
        <v>0</v>
      </c>
      <c r="K43" s="75">
        <f t="shared" si="2"/>
        <v>0</v>
      </c>
      <c r="L43" s="1356">
        <f>-SUMIFS(Sheet1!S71_OY1AdjustedBudget,Sheet1!S71_SubMunicipalVoteNo,$AC:$AC,Sheet1!S71_ItemType,$AD:$AD)</f>
        <v>0</v>
      </c>
      <c r="M43" s="1357">
        <f>-SUMIFS(Sheet1!S71_OY2AdjustedBudget,Sheet1!S71_SubMunicipalVoteNo,$AC:$AC,Sheet1!S71_ItemType,$AD:$AD)</f>
        <v>0</v>
      </c>
      <c r="AC43" s="1345">
        <v>43</v>
      </c>
      <c r="AD43" s="1345" t="s">
        <v>1811</v>
      </c>
    </row>
    <row r="44" spans="1:30" ht="13.5" x14ac:dyDescent="0.25">
      <c r="A44" s="748" t="str">
        <f>IF(RIGHT('Org structure'!D39,18)&lt;&gt;"[Name of sub-vote]",'Org structure'!D39,"")</f>
        <v>4.4 - Cultural Matters</v>
      </c>
      <c r="B44" s="899"/>
      <c r="C44" s="1360">
        <f>-SUMIFS(Sheet1!S71_OriginalBudget,Sheet1!S71_SubMunicipalVoteNo,$AC:$AC,Sheet1!S71_ItemType,$AD:$AD)</f>
        <v>0</v>
      </c>
      <c r="D44" s="1356">
        <f>-SUMIFS(Sheet1!S71_SpecialAdjustedBudget,Sheet1!S71_SubMunicipalVoteNo,$AC:$AC,Sheet1!S71_ItemType,$AD:$AD)</f>
        <v>0</v>
      </c>
      <c r="E44" s="1356"/>
      <c r="F44" s="1356"/>
      <c r="G44" s="1356"/>
      <c r="H44" s="1356"/>
      <c r="I44" s="1356">
        <f>SUMIFS(Sheet1!S71_AdjustmentAmount,Sheet1!S71_SubMunicipalVoteNo,$AC:$AC,Sheet1!S71_ItemType,$AD:$AD)</f>
        <v>0</v>
      </c>
      <c r="J44" s="75">
        <f t="shared" si="5"/>
        <v>0</v>
      </c>
      <c r="K44" s="75">
        <f t="shared" si="2"/>
        <v>0</v>
      </c>
      <c r="L44" s="1356">
        <f>-SUMIFS(Sheet1!S71_OY1AdjustedBudget,Sheet1!S71_SubMunicipalVoteNo,$AC:$AC,Sheet1!S71_ItemType,$AD:$AD)</f>
        <v>0</v>
      </c>
      <c r="M44" s="1357">
        <f>-SUMIFS(Sheet1!S71_OY2AdjustedBudget,Sheet1!S71_SubMunicipalVoteNo,$AC:$AC,Sheet1!S71_ItemType,$AD:$AD)</f>
        <v>0</v>
      </c>
      <c r="AC44" s="1345">
        <v>44</v>
      </c>
      <c r="AD44" s="1345" t="s">
        <v>1811</v>
      </c>
    </row>
    <row r="45" spans="1:30" ht="13.5" x14ac:dyDescent="0.25">
      <c r="A45" s="748" t="str">
        <f>IF(RIGHT('Org structure'!D40,18)&lt;&gt;"[Name of sub-vote]",'Org structure'!D40,"")</f>
        <v>4.5 - Indigenous and Customary Law</v>
      </c>
      <c r="B45" s="899"/>
      <c r="C45" s="1360">
        <f>-SUMIFS(Sheet1!S71_OriginalBudget,Sheet1!S71_SubMunicipalVoteNo,$AC:$AC,Sheet1!S71_ItemType,$AD:$AD)</f>
        <v>0</v>
      </c>
      <c r="D45" s="1356">
        <f>-SUMIFS(Sheet1!S71_SpecialAdjustedBudget,Sheet1!S71_SubMunicipalVoteNo,$AC:$AC,Sheet1!S71_ItemType,$AD:$AD)</f>
        <v>0</v>
      </c>
      <c r="E45" s="1356"/>
      <c r="F45" s="1356"/>
      <c r="G45" s="1356"/>
      <c r="H45" s="1356"/>
      <c r="I45" s="1356">
        <f>SUMIFS(Sheet1!S71_AdjustmentAmount,Sheet1!S71_SubMunicipalVoteNo,$AC:$AC,Sheet1!S71_ItemType,$AD:$AD)</f>
        <v>0</v>
      </c>
      <c r="J45" s="75">
        <f t="shared" si="5"/>
        <v>0</v>
      </c>
      <c r="K45" s="75">
        <f t="shared" si="2"/>
        <v>0</v>
      </c>
      <c r="L45" s="1356">
        <f>-SUMIFS(Sheet1!S71_OY1AdjustedBudget,Sheet1!S71_SubMunicipalVoteNo,$AC:$AC,Sheet1!S71_ItemType,$AD:$AD)</f>
        <v>0</v>
      </c>
      <c r="M45" s="1357">
        <f>-SUMIFS(Sheet1!S71_OY2AdjustedBudget,Sheet1!S71_SubMunicipalVoteNo,$AC:$AC,Sheet1!S71_ItemType,$AD:$AD)</f>
        <v>0</v>
      </c>
      <c r="AC45" s="1345">
        <v>45</v>
      </c>
      <c r="AD45" s="1345" t="s">
        <v>1811</v>
      </c>
    </row>
    <row r="46" spans="1:30" ht="13.5" x14ac:dyDescent="0.25">
      <c r="A46" s="748" t="str">
        <f>IF(RIGHT('Org structure'!D41,18)&lt;&gt;"[Name of sub-vote]",'Org structure'!D41,"")</f>
        <v>4.6 - Industrial Promotion</v>
      </c>
      <c r="B46" s="899"/>
      <c r="C46" s="1360">
        <f>-SUMIFS(Sheet1!S71_OriginalBudget,Sheet1!S71_SubMunicipalVoteNo,$AC:$AC,Sheet1!S71_ItemType,$AD:$AD)</f>
        <v>0</v>
      </c>
      <c r="D46" s="1356">
        <f>-SUMIFS(Sheet1!S71_SpecialAdjustedBudget,Sheet1!S71_SubMunicipalVoteNo,$AC:$AC,Sheet1!S71_ItemType,$AD:$AD)</f>
        <v>0</v>
      </c>
      <c r="E46" s="1356"/>
      <c r="F46" s="1356"/>
      <c r="G46" s="1356"/>
      <c r="H46" s="1356"/>
      <c r="I46" s="1356">
        <f>SUMIFS(Sheet1!S71_AdjustmentAmount,Sheet1!S71_SubMunicipalVoteNo,$AC:$AC,Sheet1!S71_ItemType,$AD:$AD)</f>
        <v>0</v>
      </c>
      <c r="J46" s="75">
        <f t="shared" si="5"/>
        <v>0</v>
      </c>
      <c r="K46" s="75">
        <f t="shared" si="2"/>
        <v>0</v>
      </c>
      <c r="L46" s="1356">
        <f>-SUMIFS(Sheet1!S71_OY1AdjustedBudget,Sheet1!S71_SubMunicipalVoteNo,$AC:$AC,Sheet1!S71_ItemType,$AD:$AD)</f>
        <v>0</v>
      </c>
      <c r="M46" s="1357">
        <f>-SUMIFS(Sheet1!S71_OY2AdjustedBudget,Sheet1!S71_SubMunicipalVoteNo,$AC:$AC,Sheet1!S71_ItemType,$AD:$AD)</f>
        <v>0</v>
      </c>
      <c r="AC46" s="1345">
        <v>46</v>
      </c>
      <c r="AD46" s="1345" t="s">
        <v>1811</v>
      </c>
    </row>
    <row r="47" spans="1:30" ht="13.5" x14ac:dyDescent="0.25">
      <c r="A47" s="748" t="str">
        <f>IF(RIGHT('Org structure'!D42,18)&lt;&gt;"[Name of sub-vote]",'Org structure'!D42,"")</f>
        <v>4.7 - Agricultural</v>
      </c>
      <c r="B47" s="899"/>
      <c r="C47" s="1360">
        <f>-SUMIFS(Sheet1!S71_OriginalBudget,Sheet1!S71_SubMunicipalVoteNo,$AC:$AC,Sheet1!S71_ItemType,$AD:$AD)</f>
        <v>0</v>
      </c>
      <c r="D47" s="1356">
        <f>-SUMIFS(Sheet1!S71_SpecialAdjustedBudget,Sheet1!S71_SubMunicipalVoteNo,$AC:$AC,Sheet1!S71_ItemType,$AD:$AD)</f>
        <v>0</v>
      </c>
      <c r="E47" s="1356"/>
      <c r="F47" s="1356"/>
      <c r="G47" s="1356"/>
      <c r="H47" s="1356"/>
      <c r="I47" s="1356">
        <f>SUMIFS(Sheet1!S71_AdjustmentAmount,Sheet1!S71_SubMunicipalVoteNo,$AC:$AC,Sheet1!S71_ItemType,$AD:$AD)</f>
        <v>0</v>
      </c>
      <c r="J47" s="75">
        <f t="shared" si="5"/>
        <v>0</v>
      </c>
      <c r="K47" s="75">
        <f t="shared" si="2"/>
        <v>0</v>
      </c>
      <c r="L47" s="1356">
        <f>-SUMIFS(Sheet1!S71_OY1AdjustedBudget,Sheet1!S71_SubMunicipalVoteNo,$AC:$AC,Sheet1!S71_ItemType,$AD:$AD)</f>
        <v>0</v>
      </c>
      <c r="M47" s="1357">
        <f>-SUMIFS(Sheet1!S71_OY2AdjustedBudget,Sheet1!S71_SubMunicipalVoteNo,$AC:$AC,Sheet1!S71_ItemType,$AD:$AD)</f>
        <v>0</v>
      </c>
      <c r="AC47" s="1345">
        <v>47</v>
      </c>
      <c r="AD47" s="1345" t="s">
        <v>1811</v>
      </c>
    </row>
    <row r="48" spans="1:30" ht="13.5" x14ac:dyDescent="0.25">
      <c r="A48" s="748" t="str">
        <f>IF(RIGHT('Org structure'!D43,18)&lt;&gt;"[Name of sub-vote]",'Org structure'!D43,"")</f>
        <v>4.8 - Aged Care</v>
      </c>
      <c r="B48" s="899"/>
      <c r="C48" s="1360">
        <f>-SUMIFS(Sheet1!S71_OriginalBudget,Sheet1!S71_SubMunicipalVoteNo,$AC:$AC,Sheet1!S71_ItemType,$AD:$AD)</f>
        <v>0</v>
      </c>
      <c r="D48" s="1356">
        <f>-SUMIFS(Sheet1!S71_SpecialAdjustedBudget,Sheet1!S71_SubMunicipalVoteNo,$AC:$AC,Sheet1!S71_ItemType,$AD:$AD)</f>
        <v>0</v>
      </c>
      <c r="E48" s="1356"/>
      <c r="F48" s="1356"/>
      <c r="G48" s="1356"/>
      <c r="H48" s="1356"/>
      <c r="I48" s="1356">
        <f>SUMIFS(Sheet1!S71_AdjustmentAmount,Sheet1!S71_SubMunicipalVoteNo,$AC:$AC,Sheet1!S71_ItemType,$AD:$AD)</f>
        <v>0</v>
      </c>
      <c r="J48" s="75">
        <f t="shared" si="5"/>
        <v>0</v>
      </c>
      <c r="K48" s="75">
        <f t="shared" si="2"/>
        <v>0</v>
      </c>
      <c r="L48" s="1356">
        <f>-SUMIFS(Sheet1!S71_OY1AdjustedBudget,Sheet1!S71_SubMunicipalVoteNo,$AC:$AC,Sheet1!S71_ItemType,$AD:$AD)</f>
        <v>0</v>
      </c>
      <c r="M48" s="1357">
        <f>-SUMIFS(Sheet1!S71_OY2AdjustedBudget,Sheet1!S71_SubMunicipalVoteNo,$AC:$AC,Sheet1!S71_ItemType,$AD:$AD)</f>
        <v>0</v>
      </c>
      <c r="AC48" s="1345">
        <v>48</v>
      </c>
      <c r="AD48" s="1345" t="s">
        <v>1811</v>
      </c>
    </row>
    <row r="49" spans="1:30" ht="13.5" x14ac:dyDescent="0.25">
      <c r="A49" s="748" t="str">
        <f>IF(RIGHT('Org structure'!D44,18)&lt;&gt;"[Name of sub-vote]",'Org structure'!D44,"")</f>
        <v>4.9 - Child Care Facilities</v>
      </c>
      <c r="B49" s="899"/>
      <c r="C49" s="1360">
        <f>-SUMIFS(Sheet1!S71_OriginalBudget,Sheet1!S71_SubMunicipalVoteNo,$AC:$AC,Sheet1!S71_ItemType,$AD:$AD)</f>
        <v>0</v>
      </c>
      <c r="D49" s="1356">
        <f>-SUMIFS(Sheet1!S71_SpecialAdjustedBudget,Sheet1!S71_SubMunicipalVoteNo,$AC:$AC,Sheet1!S71_ItemType,$AD:$AD)</f>
        <v>0</v>
      </c>
      <c r="E49" s="1356"/>
      <c r="F49" s="1356"/>
      <c r="G49" s="1356"/>
      <c r="H49" s="1356"/>
      <c r="I49" s="1356">
        <f>SUMIFS(Sheet1!S71_AdjustmentAmount,Sheet1!S71_SubMunicipalVoteNo,$AC:$AC,Sheet1!S71_ItemType,$AD:$AD)</f>
        <v>0</v>
      </c>
      <c r="J49" s="75">
        <f t="shared" si="5"/>
        <v>0</v>
      </c>
      <c r="K49" s="75">
        <f t="shared" si="2"/>
        <v>0</v>
      </c>
      <c r="L49" s="1356">
        <f>-SUMIFS(Sheet1!S71_OY1AdjustedBudget,Sheet1!S71_SubMunicipalVoteNo,$AC:$AC,Sheet1!S71_ItemType,$AD:$AD)</f>
        <v>0</v>
      </c>
      <c r="M49" s="1357">
        <f>-SUMIFS(Sheet1!S71_OY2AdjustedBudget,Sheet1!S71_SubMunicipalVoteNo,$AC:$AC,Sheet1!S71_ItemType,$AD:$AD)</f>
        <v>0</v>
      </c>
      <c r="AC49" s="1345">
        <v>49</v>
      </c>
      <c r="AD49" s="1345" t="s">
        <v>1811</v>
      </c>
    </row>
    <row r="50" spans="1:30" ht="13.5" x14ac:dyDescent="0.25">
      <c r="A50" s="748" t="str">
        <f>IF(RIGHT('Org structure'!D45,18)&lt;&gt;"[Name of sub-vote]",'Org structure'!D45,"")</f>
        <v/>
      </c>
      <c r="B50" s="899"/>
      <c r="C50" s="1360">
        <f>-SUMIFS(Sheet1!S71_OriginalBudget,Sheet1!S71_SubMunicipalVoteNo,$AC:$AC,Sheet1!S71_ItemType,$AD:$AD)</f>
        <v>0</v>
      </c>
      <c r="D50" s="1356">
        <f>-SUMIFS(Sheet1!S71_SpecialAdjustedBudget,Sheet1!S71_SubMunicipalVoteNo,$AC:$AC,Sheet1!S71_ItemType,$AD:$AD)</f>
        <v>0</v>
      </c>
      <c r="E50" s="1356"/>
      <c r="F50" s="1356"/>
      <c r="G50" s="1356"/>
      <c r="H50" s="1356"/>
      <c r="I50" s="1356">
        <f>SUMIFS(Sheet1!S71_AdjustmentAmount,Sheet1!S71_SubMunicipalVoteNo,$AC:$AC,Sheet1!S71_ItemType,$AD:$AD)</f>
        <v>0</v>
      </c>
      <c r="J50" s="75">
        <f t="shared" si="5"/>
        <v>0</v>
      </c>
      <c r="K50" s="75">
        <f t="shared" si="2"/>
        <v>0</v>
      </c>
      <c r="L50" s="1356">
        <f>-SUMIFS(Sheet1!S71_OY1AdjustedBudget,Sheet1!S71_SubMunicipalVoteNo,$AC:$AC,Sheet1!S71_ItemType,$AD:$AD)</f>
        <v>0</v>
      </c>
      <c r="M50" s="1357">
        <f>-SUMIFS(Sheet1!S71_OY2AdjustedBudget,Sheet1!S71_SubMunicipalVoteNo,$AC:$AC,Sheet1!S71_ItemType,$AD:$AD)</f>
        <v>0</v>
      </c>
      <c r="AC50" s="1345">
        <v>410</v>
      </c>
      <c r="AD50" s="1345" t="s">
        <v>1811</v>
      </c>
    </row>
    <row r="51" spans="1:30" ht="13.5" x14ac:dyDescent="0.25">
      <c r="A51" s="745" t="str">
        <f>'Org structure'!A6</f>
        <v>Vote 5 - Community and Social Services2</v>
      </c>
      <c r="B51" s="898"/>
      <c r="C51" s="733">
        <f>SUM(C52:C61)</f>
        <v>0</v>
      </c>
      <c r="D51" s="732">
        <f t="shared" ref="D51:I51" si="7">SUM(D52:D61)</f>
        <v>0</v>
      </c>
      <c r="E51" s="732">
        <f t="shared" si="7"/>
        <v>0</v>
      </c>
      <c r="F51" s="732">
        <f t="shared" si="7"/>
        <v>0</v>
      </c>
      <c r="G51" s="732">
        <f t="shared" si="7"/>
        <v>0</v>
      </c>
      <c r="H51" s="732">
        <f t="shared" si="7"/>
        <v>0</v>
      </c>
      <c r="I51" s="732">
        <f t="shared" si="7"/>
        <v>0</v>
      </c>
      <c r="J51" s="75">
        <f t="shared" si="5"/>
        <v>0</v>
      </c>
      <c r="K51" s="75">
        <f t="shared" si="2"/>
        <v>0</v>
      </c>
      <c r="L51" s="732">
        <f>SUM(L52:L61)</f>
        <v>0</v>
      </c>
      <c r="M51" s="759">
        <f>SUM(M52:M61)</f>
        <v>0</v>
      </c>
    </row>
    <row r="52" spans="1:30" ht="13.5" x14ac:dyDescent="0.25">
      <c r="A52" s="748" t="str">
        <f>IF(RIGHT('Org structure'!D47,18)&lt;&gt;"[Name of sub-vote]",'Org structure'!D47,"")</f>
        <v>5.1 - Literacy Programmes</v>
      </c>
      <c r="B52" s="899"/>
      <c r="C52" s="1360">
        <f>-SUMIFS(Sheet1!S71_OriginalBudget,Sheet1!S71_SubMunicipalVoteNo,$AC:$AC,Sheet1!S71_ItemType,$AD:$AD)</f>
        <v>0</v>
      </c>
      <c r="D52" s="1356">
        <f>-SUMIFS(Sheet1!S71_SpecialAdjustedBudget,Sheet1!S71_SubMunicipalVoteNo,$AC:$AC,Sheet1!S71_ItemType,$AD:$AD)</f>
        <v>0</v>
      </c>
      <c r="E52" s="1356"/>
      <c r="F52" s="1356"/>
      <c r="G52" s="1356"/>
      <c r="H52" s="1356"/>
      <c r="I52" s="1356">
        <f>SUMIFS(Sheet1!S71_AdjustmentAmount,Sheet1!S71_SubMunicipalVoteNo,$AC:$AC,Sheet1!S71_ItemType,$AD:$AD)</f>
        <v>0</v>
      </c>
      <c r="J52" s="75">
        <f t="shared" si="5"/>
        <v>0</v>
      </c>
      <c r="K52" s="75">
        <f t="shared" si="2"/>
        <v>0</v>
      </c>
      <c r="L52" s="1356">
        <f>-SUMIFS(Sheet1!S71_OY1AdjustedBudget,Sheet1!S71_SubMunicipalVoteNo,$AC:$AC,Sheet1!S71_ItemType,$AD:$AD)</f>
        <v>0</v>
      </c>
      <c r="M52" s="1357">
        <f>-SUMIFS(Sheet1!S71_OY2AdjustedBudget,Sheet1!S71_SubMunicipalVoteNo,$AC:$AC,Sheet1!S71_ItemType,$AD:$AD)</f>
        <v>0</v>
      </c>
      <c r="AC52" s="1345">
        <v>51</v>
      </c>
      <c r="AD52" s="1345" t="s">
        <v>1811</v>
      </c>
    </row>
    <row r="53" spans="1:30" ht="13.5" x14ac:dyDescent="0.25">
      <c r="A53" s="748" t="str">
        <f>IF(RIGHT('Org structure'!D48,18)&lt;&gt;"[Name of sub-vote]",'Org structure'!D48,"")</f>
        <v>5.2 - Education</v>
      </c>
      <c r="B53" s="899"/>
      <c r="C53" s="1360">
        <f>-SUMIFS(Sheet1!S71_OriginalBudget,Sheet1!S71_SubMunicipalVoteNo,$AC:$AC,Sheet1!S71_ItemType,$AD:$AD)</f>
        <v>0</v>
      </c>
      <c r="D53" s="1356">
        <f>-SUMIFS(Sheet1!S71_SpecialAdjustedBudget,Sheet1!S71_SubMunicipalVoteNo,$AC:$AC,Sheet1!S71_ItemType,$AD:$AD)</f>
        <v>0</v>
      </c>
      <c r="E53" s="1356"/>
      <c r="F53" s="1356"/>
      <c r="G53" s="1356"/>
      <c r="H53" s="1356"/>
      <c r="I53" s="1356">
        <f>SUMIFS(Sheet1!S71_AdjustmentAmount,Sheet1!S71_SubMunicipalVoteNo,$AC:$AC,Sheet1!S71_ItemType,$AD:$AD)</f>
        <v>0</v>
      </c>
      <c r="J53" s="75">
        <f t="shared" si="5"/>
        <v>0</v>
      </c>
      <c r="K53" s="75">
        <f t="shared" si="2"/>
        <v>0</v>
      </c>
      <c r="L53" s="1356">
        <f>-SUMIFS(Sheet1!S71_OY1AdjustedBudget,Sheet1!S71_SubMunicipalVoteNo,$AC:$AC,Sheet1!S71_ItemType,$AD:$AD)</f>
        <v>0</v>
      </c>
      <c r="M53" s="1357">
        <f>-SUMIFS(Sheet1!S71_OY2AdjustedBudget,Sheet1!S71_SubMunicipalVoteNo,$AC:$AC,Sheet1!S71_ItemType,$AD:$AD)</f>
        <v>0</v>
      </c>
      <c r="AC53" s="1345">
        <v>52</v>
      </c>
      <c r="AD53" s="1345" t="s">
        <v>1811</v>
      </c>
    </row>
    <row r="54" spans="1:30" ht="13.5" x14ac:dyDescent="0.25">
      <c r="A54" s="748" t="str">
        <f>IF(RIGHT('Org structure'!D49,18)&lt;&gt;"[Name of sub-vote]",'Org structure'!D49,"")</f>
        <v>5.3 - Community Halls and Facilities</v>
      </c>
      <c r="B54" s="899"/>
      <c r="C54" s="1360">
        <f>-SUMIFS(Sheet1!S71_OriginalBudget,Sheet1!S71_SubMunicipalVoteNo,$AC:$AC,Sheet1!S71_ItemType,$AD:$AD)</f>
        <v>0</v>
      </c>
      <c r="D54" s="1356">
        <f>-SUMIFS(Sheet1!S71_SpecialAdjustedBudget,Sheet1!S71_SubMunicipalVoteNo,$AC:$AC,Sheet1!S71_ItemType,$AD:$AD)</f>
        <v>0</v>
      </c>
      <c r="E54" s="1356"/>
      <c r="F54" s="1356"/>
      <c r="G54" s="1356"/>
      <c r="H54" s="1356"/>
      <c r="I54" s="1356">
        <f>SUMIFS(Sheet1!S71_AdjustmentAmount,Sheet1!S71_SubMunicipalVoteNo,$AC:$AC,Sheet1!S71_ItemType,$AD:$AD)</f>
        <v>0</v>
      </c>
      <c r="J54" s="75">
        <f t="shared" si="5"/>
        <v>0</v>
      </c>
      <c r="K54" s="75">
        <f t="shared" si="2"/>
        <v>0</v>
      </c>
      <c r="L54" s="1356">
        <f>-SUMIFS(Sheet1!S71_OY1AdjustedBudget,Sheet1!S71_SubMunicipalVoteNo,$AC:$AC,Sheet1!S71_ItemType,$AD:$AD)</f>
        <v>0</v>
      </c>
      <c r="M54" s="1357">
        <f>-SUMIFS(Sheet1!S71_OY2AdjustedBudget,Sheet1!S71_SubMunicipalVoteNo,$AC:$AC,Sheet1!S71_ItemType,$AD:$AD)</f>
        <v>0</v>
      </c>
      <c r="AC54" s="1345">
        <v>53</v>
      </c>
      <c r="AD54" s="1345" t="s">
        <v>1811</v>
      </c>
    </row>
    <row r="55" spans="1:30" ht="13.5" x14ac:dyDescent="0.25">
      <c r="A55" s="748" t="str">
        <f>IF(RIGHT('Org structure'!D50,18)&lt;&gt;"[Name of sub-vote]",'Org structure'!D50,"")</f>
        <v/>
      </c>
      <c r="B55" s="899"/>
      <c r="C55" s="1360">
        <f>-SUMIFS(Sheet1!S71_OriginalBudget,Sheet1!S71_SubMunicipalVoteNo,$AC:$AC,Sheet1!S71_ItemType,$AD:$AD)</f>
        <v>0</v>
      </c>
      <c r="D55" s="1356">
        <f>-SUMIFS(Sheet1!S71_SpecialAdjustedBudget,Sheet1!S71_SubMunicipalVoteNo,$AC:$AC,Sheet1!S71_ItemType,$AD:$AD)</f>
        <v>0</v>
      </c>
      <c r="E55" s="1356"/>
      <c r="F55" s="1356"/>
      <c r="G55" s="1356"/>
      <c r="H55" s="1356"/>
      <c r="I55" s="1356">
        <f>SUMIFS(Sheet1!S71_AdjustmentAmount,Sheet1!S71_SubMunicipalVoteNo,$AC:$AC,Sheet1!S71_ItemType,$AD:$AD)</f>
        <v>0</v>
      </c>
      <c r="J55" s="75">
        <f t="shared" si="5"/>
        <v>0</v>
      </c>
      <c r="K55" s="75">
        <f t="shared" si="2"/>
        <v>0</v>
      </c>
      <c r="L55" s="1356">
        <f>-SUMIFS(Sheet1!S71_OY1AdjustedBudget,Sheet1!S71_SubMunicipalVoteNo,$AC:$AC,Sheet1!S71_ItemType,$AD:$AD)</f>
        <v>0</v>
      </c>
      <c r="M55" s="1357">
        <f>-SUMIFS(Sheet1!S71_OY2AdjustedBudget,Sheet1!S71_SubMunicipalVoteNo,$AC:$AC,Sheet1!S71_ItemType,$AD:$AD)</f>
        <v>0</v>
      </c>
      <c r="AC55" s="1345">
        <v>54</v>
      </c>
      <c r="AD55" s="1345" t="s">
        <v>1811</v>
      </c>
    </row>
    <row r="56" spans="1:30" ht="13.5" x14ac:dyDescent="0.25">
      <c r="A56" s="748" t="str">
        <f>IF(RIGHT('Org structure'!D51,18)&lt;&gt;"[Name of sub-vote]",'Org structure'!D51,"")</f>
        <v/>
      </c>
      <c r="B56" s="900"/>
      <c r="C56" s="1360">
        <f>-SUMIFS(Sheet1!S71_OriginalBudget,Sheet1!S71_SubMunicipalVoteNo,$AC:$AC,Sheet1!S71_ItemType,$AD:$AD)</f>
        <v>0</v>
      </c>
      <c r="D56" s="1356">
        <f>-SUMIFS(Sheet1!S71_SpecialAdjustedBudget,Sheet1!S71_SubMunicipalVoteNo,$AC:$AC,Sheet1!S71_ItemType,$AD:$AD)</f>
        <v>0</v>
      </c>
      <c r="E56" s="1356"/>
      <c r="F56" s="1356"/>
      <c r="G56" s="1356"/>
      <c r="H56" s="1356"/>
      <c r="I56" s="1356">
        <f>SUMIFS(Sheet1!S71_AdjustmentAmount,Sheet1!S71_SubMunicipalVoteNo,$AC:$AC,Sheet1!S71_ItemType,$AD:$AD)</f>
        <v>0</v>
      </c>
      <c r="J56" s="75">
        <f t="shared" si="5"/>
        <v>0</v>
      </c>
      <c r="K56" s="75">
        <f t="shared" si="2"/>
        <v>0</v>
      </c>
      <c r="L56" s="1356">
        <f>-SUMIFS(Sheet1!S71_OY1AdjustedBudget,Sheet1!S71_SubMunicipalVoteNo,$AC:$AC,Sheet1!S71_ItemType,$AD:$AD)</f>
        <v>0</v>
      </c>
      <c r="M56" s="1357">
        <f>-SUMIFS(Sheet1!S71_OY2AdjustedBudget,Sheet1!S71_SubMunicipalVoteNo,$AC:$AC,Sheet1!S71_ItemType,$AD:$AD)</f>
        <v>0</v>
      </c>
      <c r="AC56" s="1345">
        <v>55</v>
      </c>
      <c r="AD56" s="1345" t="s">
        <v>1811</v>
      </c>
    </row>
    <row r="57" spans="1:30" ht="13.5" x14ac:dyDescent="0.25">
      <c r="A57" s="748" t="str">
        <f>IF(RIGHT('Org structure'!D52,18)&lt;&gt;"[Name of sub-vote]",'Org structure'!D52,"")</f>
        <v/>
      </c>
      <c r="B57" s="899"/>
      <c r="C57" s="1360">
        <f>-SUMIFS(Sheet1!S71_OriginalBudget,Sheet1!S71_SubMunicipalVoteNo,$AC:$AC,Sheet1!S71_ItemType,$AD:$AD)</f>
        <v>0</v>
      </c>
      <c r="D57" s="1356">
        <f>-SUMIFS(Sheet1!S71_SpecialAdjustedBudget,Sheet1!S71_SubMunicipalVoteNo,$AC:$AC,Sheet1!S71_ItemType,$AD:$AD)</f>
        <v>0</v>
      </c>
      <c r="E57" s="1356"/>
      <c r="F57" s="1356"/>
      <c r="G57" s="1356"/>
      <c r="H57" s="1356"/>
      <c r="I57" s="1356">
        <f>SUMIFS(Sheet1!S71_AdjustmentAmount,Sheet1!S71_SubMunicipalVoteNo,$AC:$AC,Sheet1!S71_ItemType,$AD:$AD)</f>
        <v>0</v>
      </c>
      <c r="J57" s="75">
        <f t="shared" si="5"/>
        <v>0</v>
      </c>
      <c r="K57" s="75">
        <f t="shared" si="2"/>
        <v>0</v>
      </c>
      <c r="L57" s="1356">
        <f>-SUMIFS(Sheet1!S71_OY1AdjustedBudget,Sheet1!S71_SubMunicipalVoteNo,$AC:$AC,Sheet1!S71_ItemType,$AD:$AD)</f>
        <v>0</v>
      </c>
      <c r="M57" s="1357">
        <f>-SUMIFS(Sheet1!S71_OY2AdjustedBudget,Sheet1!S71_SubMunicipalVoteNo,$AC:$AC,Sheet1!S71_ItemType,$AD:$AD)</f>
        <v>0</v>
      </c>
      <c r="AC57" s="1345">
        <v>56</v>
      </c>
      <c r="AD57" s="1345" t="s">
        <v>1811</v>
      </c>
    </row>
    <row r="58" spans="1:30" ht="13.5" x14ac:dyDescent="0.25">
      <c r="A58" s="748" t="str">
        <f>IF(RIGHT('Org structure'!D53,18)&lt;&gt;"[Name of sub-vote]",'Org structure'!D53,"")</f>
        <v/>
      </c>
      <c r="B58" s="899"/>
      <c r="C58" s="1360">
        <f>-SUMIFS(Sheet1!S71_OriginalBudget,Sheet1!S71_SubMunicipalVoteNo,$AC:$AC,Sheet1!S71_ItemType,$AD:$AD)</f>
        <v>0</v>
      </c>
      <c r="D58" s="1356">
        <f>-SUMIFS(Sheet1!S71_SpecialAdjustedBudget,Sheet1!S71_SubMunicipalVoteNo,$AC:$AC,Sheet1!S71_ItemType,$AD:$AD)</f>
        <v>0</v>
      </c>
      <c r="E58" s="1356"/>
      <c r="F58" s="1356"/>
      <c r="G58" s="1356"/>
      <c r="H58" s="1356"/>
      <c r="I58" s="1356">
        <f>SUMIFS(Sheet1!S71_AdjustmentAmount,Sheet1!S71_SubMunicipalVoteNo,$AC:$AC,Sheet1!S71_ItemType,$AD:$AD)</f>
        <v>0</v>
      </c>
      <c r="J58" s="75">
        <f t="shared" si="5"/>
        <v>0</v>
      </c>
      <c r="K58" s="75">
        <f t="shared" si="2"/>
        <v>0</v>
      </c>
      <c r="L58" s="1356">
        <f>-SUMIFS(Sheet1!S71_OY1AdjustedBudget,Sheet1!S71_SubMunicipalVoteNo,$AC:$AC,Sheet1!S71_ItemType,$AD:$AD)</f>
        <v>0</v>
      </c>
      <c r="M58" s="1357">
        <f>-SUMIFS(Sheet1!S71_OY2AdjustedBudget,Sheet1!S71_SubMunicipalVoteNo,$AC:$AC,Sheet1!S71_ItemType,$AD:$AD)</f>
        <v>0</v>
      </c>
      <c r="AC58" s="1345">
        <v>57</v>
      </c>
      <c r="AD58" s="1345" t="s">
        <v>1811</v>
      </c>
    </row>
    <row r="59" spans="1:30" ht="13.5" x14ac:dyDescent="0.25">
      <c r="A59" s="748" t="str">
        <f>IF(RIGHT('Org structure'!D54,18)&lt;&gt;"[Name of sub-vote]",'Org structure'!D54,"")</f>
        <v/>
      </c>
      <c r="B59" s="899"/>
      <c r="C59" s="1360">
        <f>-SUMIFS(Sheet1!S71_OriginalBudget,Sheet1!S71_SubMunicipalVoteNo,$AC:$AC,Sheet1!S71_ItemType,$AD:$AD)</f>
        <v>0</v>
      </c>
      <c r="D59" s="1356">
        <f>-SUMIFS(Sheet1!S71_SpecialAdjustedBudget,Sheet1!S71_SubMunicipalVoteNo,$AC:$AC,Sheet1!S71_ItemType,$AD:$AD)</f>
        <v>0</v>
      </c>
      <c r="E59" s="1356"/>
      <c r="F59" s="1356"/>
      <c r="G59" s="1356"/>
      <c r="H59" s="1356"/>
      <c r="I59" s="1356">
        <f>SUMIFS(Sheet1!S71_AdjustmentAmount,Sheet1!S71_SubMunicipalVoteNo,$AC:$AC,Sheet1!S71_ItemType,$AD:$AD)</f>
        <v>0</v>
      </c>
      <c r="J59" s="75">
        <f t="shared" si="5"/>
        <v>0</v>
      </c>
      <c r="K59" s="75">
        <f t="shared" si="2"/>
        <v>0</v>
      </c>
      <c r="L59" s="1356">
        <f>-SUMIFS(Sheet1!S71_OY1AdjustedBudget,Sheet1!S71_SubMunicipalVoteNo,$AC:$AC,Sheet1!S71_ItemType,$AD:$AD)</f>
        <v>0</v>
      </c>
      <c r="M59" s="1357">
        <f>-SUMIFS(Sheet1!S71_OY2AdjustedBudget,Sheet1!S71_SubMunicipalVoteNo,$AC:$AC,Sheet1!S71_ItemType,$AD:$AD)</f>
        <v>0</v>
      </c>
      <c r="AC59" s="1345">
        <v>58</v>
      </c>
      <c r="AD59" s="1345" t="s">
        <v>1811</v>
      </c>
    </row>
    <row r="60" spans="1:30" ht="13.5" x14ac:dyDescent="0.25">
      <c r="A60" s="748" t="str">
        <f>IF(RIGHT('Org structure'!D55,18)&lt;&gt;"[Name of sub-vote]",'Org structure'!D55,"")</f>
        <v/>
      </c>
      <c r="B60" s="899"/>
      <c r="C60" s="1360">
        <f>-SUMIFS(Sheet1!S71_OriginalBudget,Sheet1!S71_SubMunicipalVoteNo,$AC:$AC,Sheet1!S71_ItemType,$AD:$AD)</f>
        <v>0</v>
      </c>
      <c r="D60" s="1356">
        <f>-SUMIFS(Sheet1!S71_SpecialAdjustedBudget,Sheet1!S71_SubMunicipalVoteNo,$AC:$AC,Sheet1!S71_ItemType,$AD:$AD)</f>
        <v>0</v>
      </c>
      <c r="E60" s="1356"/>
      <c r="F60" s="1356"/>
      <c r="G60" s="1356"/>
      <c r="H60" s="1356"/>
      <c r="I60" s="1356">
        <f>SUMIFS(Sheet1!S71_AdjustmentAmount,Sheet1!S71_SubMunicipalVoteNo,$AC:$AC,Sheet1!S71_ItemType,$AD:$AD)</f>
        <v>0</v>
      </c>
      <c r="J60" s="75">
        <f t="shared" si="5"/>
        <v>0</v>
      </c>
      <c r="K60" s="75">
        <f t="shared" si="2"/>
        <v>0</v>
      </c>
      <c r="L60" s="1356">
        <f>-SUMIFS(Sheet1!S71_OY1AdjustedBudget,Sheet1!S71_SubMunicipalVoteNo,$AC:$AC,Sheet1!S71_ItemType,$AD:$AD)</f>
        <v>0</v>
      </c>
      <c r="M60" s="1357">
        <f>-SUMIFS(Sheet1!S71_OY2AdjustedBudget,Sheet1!S71_SubMunicipalVoteNo,$AC:$AC,Sheet1!S71_ItemType,$AD:$AD)</f>
        <v>0</v>
      </c>
      <c r="AC60" s="1345">
        <v>59</v>
      </c>
      <c r="AD60" s="1345" t="s">
        <v>1811</v>
      </c>
    </row>
    <row r="61" spans="1:30" ht="13.5" x14ac:dyDescent="0.25">
      <c r="A61" s="748" t="str">
        <f>IF(RIGHT('Org structure'!D56,18)&lt;&gt;"[Name of sub-vote]",'Org structure'!D56,"")</f>
        <v/>
      </c>
      <c r="B61" s="899"/>
      <c r="C61" s="1360">
        <f>-SUMIFS(Sheet1!S71_OriginalBudget,Sheet1!S71_SubMunicipalVoteNo,$AC:$AC,Sheet1!S71_ItemType,$AD:$AD)</f>
        <v>0</v>
      </c>
      <c r="D61" s="1356">
        <f>-SUMIFS(Sheet1!S71_SpecialAdjustedBudget,Sheet1!S71_SubMunicipalVoteNo,$AC:$AC,Sheet1!S71_ItemType,$AD:$AD)</f>
        <v>0</v>
      </c>
      <c r="E61" s="1356"/>
      <c r="F61" s="1356"/>
      <c r="G61" s="1356"/>
      <c r="H61" s="1356"/>
      <c r="I61" s="1356">
        <f>SUMIFS(Sheet1!S71_AdjustmentAmount,Sheet1!S71_SubMunicipalVoteNo,$AC:$AC,Sheet1!S71_ItemType,$AD:$AD)</f>
        <v>0</v>
      </c>
      <c r="J61" s="75">
        <f t="shared" si="5"/>
        <v>0</v>
      </c>
      <c r="K61" s="75">
        <f t="shared" si="2"/>
        <v>0</v>
      </c>
      <c r="L61" s="1356">
        <f>-SUMIFS(Sheet1!S71_OY1AdjustedBudget,Sheet1!S71_SubMunicipalVoteNo,$AC:$AC,Sheet1!S71_ItemType,$AD:$AD)</f>
        <v>0</v>
      </c>
      <c r="M61" s="1357">
        <f>-SUMIFS(Sheet1!S71_OY2AdjustedBudget,Sheet1!S71_SubMunicipalVoteNo,$AC:$AC,Sheet1!S71_ItemType,$AD:$AD)</f>
        <v>0</v>
      </c>
      <c r="AC61" s="1345">
        <v>510</v>
      </c>
      <c r="AD61" s="1345" t="s">
        <v>1811</v>
      </c>
    </row>
    <row r="62" spans="1:30" ht="13.5" x14ac:dyDescent="0.25">
      <c r="A62" s="745" t="str">
        <f>'Org structure'!A7</f>
        <v>Vote 6 - Energy Sources</v>
      </c>
      <c r="B62" s="898"/>
      <c r="C62" s="733">
        <f>SUM(C63:C72)</f>
        <v>0</v>
      </c>
      <c r="D62" s="732">
        <f t="shared" ref="D62:I62" si="8">SUM(D63:D72)</f>
        <v>0</v>
      </c>
      <c r="E62" s="732">
        <f t="shared" si="8"/>
        <v>0</v>
      </c>
      <c r="F62" s="732">
        <f t="shared" si="8"/>
        <v>0</v>
      </c>
      <c r="G62" s="732">
        <f t="shared" si="8"/>
        <v>0</v>
      </c>
      <c r="H62" s="732">
        <f t="shared" si="8"/>
        <v>0</v>
      </c>
      <c r="I62" s="732">
        <f t="shared" si="8"/>
        <v>0</v>
      </c>
      <c r="J62" s="75">
        <f t="shared" si="5"/>
        <v>0</v>
      </c>
      <c r="K62" s="75">
        <f t="shared" si="2"/>
        <v>0</v>
      </c>
      <c r="L62" s="732">
        <f>SUM(L63:L72)</f>
        <v>0</v>
      </c>
      <c r="M62" s="759">
        <f>SUM(M63:M72)</f>
        <v>0</v>
      </c>
    </row>
    <row r="63" spans="1:30" ht="13.5" x14ac:dyDescent="0.25">
      <c r="A63" s="748" t="str">
        <f>IF(RIGHT('Org structure'!D58,18)&lt;&gt;"[Name of sub-vote]",'Org structure'!D58,"")</f>
        <v>6.1 - Electricity</v>
      </c>
      <c r="B63" s="899"/>
      <c r="C63" s="1360">
        <f>-SUMIFS(Sheet1!S71_OriginalBudget,Sheet1!S71_SubMunicipalVoteNo,$AC:$AC,Sheet1!S71_ItemType,$AD:$AD)</f>
        <v>0</v>
      </c>
      <c r="D63" s="1356">
        <f>-SUMIFS(Sheet1!S71_SpecialAdjustedBudget,Sheet1!S71_SubMunicipalVoteNo,$AC:$AC,Sheet1!S71_ItemType,$AD:$AD)</f>
        <v>0</v>
      </c>
      <c r="E63" s="1356"/>
      <c r="F63" s="1356"/>
      <c r="G63" s="1356"/>
      <c r="H63" s="1356"/>
      <c r="I63" s="1356">
        <f>SUMIFS(Sheet1!S71_AdjustmentAmount,Sheet1!S71_SubMunicipalVoteNo,$AC:$AC,Sheet1!S71_ItemType,$AD:$AD)</f>
        <v>0</v>
      </c>
      <c r="J63" s="75">
        <f t="shared" si="5"/>
        <v>0</v>
      </c>
      <c r="K63" s="75">
        <f t="shared" si="2"/>
        <v>0</v>
      </c>
      <c r="L63" s="1356">
        <f>-SUMIFS(Sheet1!S71_OY1AdjustedBudget,Sheet1!S71_SubMunicipalVoteNo,$AC:$AC,Sheet1!S71_ItemType,$AD:$AD)</f>
        <v>0</v>
      </c>
      <c r="M63" s="1357">
        <f>-SUMIFS(Sheet1!S71_OY2AdjustedBudget,Sheet1!S71_SubMunicipalVoteNo,$AC:$AC,Sheet1!S71_ItemType,$AD:$AD)</f>
        <v>0</v>
      </c>
      <c r="AC63" s="1345">
        <v>61</v>
      </c>
      <c r="AD63" s="1345" t="s">
        <v>1811</v>
      </c>
    </row>
    <row r="64" spans="1:30" ht="13.5" x14ac:dyDescent="0.25">
      <c r="A64" s="748" t="str">
        <f>IF(RIGHT('Org structure'!D59,18)&lt;&gt;"[Name of sub-vote]",'Org structure'!D59,"")</f>
        <v/>
      </c>
      <c r="B64" s="899"/>
      <c r="C64" s="1360">
        <f>-SUMIFS(Sheet1!S71_OriginalBudget,Sheet1!S71_SubMunicipalVoteNo,$AC:$AC,Sheet1!S71_ItemType,$AD:$AD)</f>
        <v>0</v>
      </c>
      <c r="D64" s="1356">
        <f>-SUMIFS(Sheet1!S71_SpecialAdjustedBudget,Sheet1!S71_SubMunicipalVoteNo,$AC:$AC,Sheet1!S71_ItemType,$AD:$AD)</f>
        <v>0</v>
      </c>
      <c r="E64" s="1356"/>
      <c r="F64" s="1356"/>
      <c r="G64" s="1356"/>
      <c r="H64" s="1356"/>
      <c r="I64" s="1356">
        <f>SUMIFS(Sheet1!S71_AdjustmentAmount,Sheet1!S71_SubMunicipalVoteNo,$AC:$AC,Sheet1!S71_ItemType,$AD:$AD)</f>
        <v>0</v>
      </c>
      <c r="J64" s="75">
        <f t="shared" si="5"/>
        <v>0</v>
      </c>
      <c r="K64" s="75">
        <f t="shared" si="2"/>
        <v>0</v>
      </c>
      <c r="L64" s="1356">
        <f>-SUMIFS(Sheet1!S71_OY1AdjustedBudget,Sheet1!S71_SubMunicipalVoteNo,$AC:$AC,Sheet1!S71_ItemType,$AD:$AD)</f>
        <v>0</v>
      </c>
      <c r="M64" s="1357">
        <f>-SUMIFS(Sheet1!S71_OY2AdjustedBudget,Sheet1!S71_SubMunicipalVoteNo,$AC:$AC,Sheet1!S71_ItemType,$AD:$AD)</f>
        <v>0</v>
      </c>
      <c r="AC64" s="1345">
        <v>62</v>
      </c>
      <c r="AD64" s="1345" t="s">
        <v>1811</v>
      </c>
    </row>
    <row r="65" spans="1:30" ht="13.5" x14ac:dyDescent="0.25">
      <c r="A65" s="748" t="str">
        <f>IF(RIGHT('Org structure'!D60,18)&lt;&gt;"[Name of sub-vote]",'Org structure'!D60,"")</f>
        <v/>
      </c>
      <c r="B65" s="899"/>
      <c r="C65" s="1360">
        <f>-SUMIFS(Sheet1!S71_OriginalBudget,Sheet1!S71_SubMunicipalVoteNo,$AC:$AC,Sheet1!S71_ItemType,$AD:$AD)</f>
        <v>0</v>
      </c>
      <c r="D65" s="1356">
        <f>-SUMIFS(Sheet1!S71_SpecialAdjustedBudget,Sheet1!S71_SubMunicipalVoteNo,$AC:$AC,Sheet1!S71_ItemType,$AD:$AD)</f>
        <v>0</v>
      </c>
      <c r="E65" s="1356"/>
      <c r="F65" s="1356"/>
      <c r="G65" s="1356"/>
      <c r="H65" s="1356"/>
      <c r="I65" s="1356">
        <f>SUMIFS(Sheet1!S71_AdjustmentAmount,Sheet1!S71_SubMunicipalVoteNo,$AC:$AC,Sheet1!S71_ItemType,$AD:$AD)</f>
        <v>0</v>
      </c>
      <c r="J65" s="75">
        <f t="shared" si="5"/>
        <v>0</v>
      </c>
      <c r="K65" s="75">
        <f t="shared" si="2"/>
        <v>0</v>
      </c>
      <c r="L65" s="1356">
        <f>-SUMIFS(Sheet1!S71_OY1AdjustedBudget,Sheet1!S71_SubMunicipalVoteNo,$AC:$AC,Sheet1!S71_ItemType,$AD:$AD)</f>
        <v>0</v>
      </c>
      <c r="M65" s="1357">
        <f>-SUMIFS(Sheet1!S71_OY2AdjustedBudget,Sheet1!S71_SubMunicipalVoteNo,$AC:$AC,Sheet1!S71_ItemType,$AD:$AD)</f>
        <v>0</v>
      </c>
      <c r="AC65" s="1345">
        <v>63</v>
      </c>
      <c r="AD65" s="1345" t="s">
        <v>1811</v>
      </c>
    </row>
    <row r="66" spans="1:30" ht="13.5" x14ac:dyDescent="0.25">
      <c r="A66" s="748" t="str">
        <f>IF(RIGHT('Org structure'!D61,18)&lt;&gt;"[Name of sub-vote]",'Org structure'!D61,"")</f>
        <v/>
      </c>
      <c r="B66" s="899"/>
      <c r="C66" s="1360">
        <f>-SUMIFS(Sheet1!S71_OriginalBudget,Sheet1!S71_SubMunicipalVoteNo,$AC:$AC,Sheet1!S71_ItemType,$AD:$AD)</f>
        <v>0</v>
      </c>
      <c r="D66" s="1356">
        <f>-SUMIFS(Sheet1!S71_SpecialAdjustedBudget,Sheet1!S71_SubMunicipalVoteNo,$AC:$AC,Sheet1!S71_ItemType,$AD:$AD)</f>
        <v>0</v>
      </c>
      <c r="E66" s="1356"/>
      <c r="F66" s="1356"/>
      <c r="G66" s="1356"/>
      <c r="H66" s="1356"/>
      <c r="I66" s="1356">
        <f>SUMIFS(Sheet1!S71_AdjustmentAmount,Sheet1!S71_SubMunicipalVoteNo,$AC:$AC,Sheet1!S71_ItemType,$AD:$AD)</f>
        <v>0</v>
      </c>
      <c r="J66" s="75">
        <f t="shared" si="5"/>
        <v>0</v>
      </c>
      <c r="K66" s="75">
        <f t="shared" si="2"/>
        <v>0</v>
      </c>
      <c r="L66" s="1356">
        <f>-SUMIFS(Sheet1!S71_OY1AdjustedBudget,Sheet1!S71_SubMunicipalVoteNo,$AC:$AC,Sheet1!S71_ItemType,$AD:$AD)</f>
        <v>0</v>
      </c>
      <c r="M66" s="1357">
        <f>-SUMIFS(Sheet1!S71_OY2AdjustedBudget,Sheet1!S71_SubMunicipalVoteNo,$AC:$AC,Sheet1!S71_ItemType,$AD:$AD)</f>
        <v>0</v>
      </c>
      <c r="AC66" s="1345">
        <v>64</v>
      </c>
      <c r="AD66" s="1345" t="s">
        <v>1811</v>
      </c>
    </row>
    <row r="67" spans="1:30" ht="13.5" x14ac:dyDescent="0.25">
      <c r="A67" s="748" t="str">
        <f>IF(RIGHT('Org structure'!D62,18)&lt;&gt;"[Name of sub-vote]",'Org structure'!D62,"")</f>
        <v/>
      </c>
      <c r="B67" s="899"/>
      <c r="C67" s="1360">
        <f>-SUMIFS(Sheet1!S71_OriginalBudget,Sheet1!S71_SubMunicipalVoteNo,$AC:$AC,Sheet1!S71_ItemType,$AD:$AD)</f>
        <v>0</v>
      </c>
      <c r="D67" s="1356">
        <f>-SUMIFS(Sheet1!S71_SpecialAdjustedBudget,Sheet1!S71_SubMunicipalVoteNo,$AC:$AC,Sheet1!S71_ItemType,$AD:$AD)</f>
        <v>0</v>
      </c>
      <c r="E67" s="1356"/>
      <c r="F67" s="1356"/>
      <c r="G67" s="1356"/>
      <c r="H67" s="1356"/>
      <c r="I67" s="1356">
        <f>SUMIFS(Sheet1!S71_AdjustmentAmount,Sheet1!S71_SubMunicipalVoteNo,$AC:$AC,Sheet1!S71_ItemType,$AD:$AD)</f>
        <v>0</v>
      </c>
      <c r="J67" s="75">
        <f t="shared" si="5"/>
        <v>0</v>
      </c>
      <c r="K67" s="75">
        <f t="shared" si="2"/>
        <v>0</v>
      </c>
      <c r="L67" s="1356">
        <f>-SUMIFS(Sheet1!S71_OY1AdjustedBudget,Sheet1!S71_SubMunicipalVoteNo,$AC:$AC,Sheet1!S71_ItemType,$AD:$AD)</f>
        <v>0</v>
      </c>
      <c r="M67" s="1357">
        <f>-SUMIFS(Sheet1!S71_OY2AdjustedBudget,Sheet1!S71_SubMunicipalVoteNo,$AC:$AC,Sheet1!S71_ItemType,$AD:$AD)</f>
        <v>0</v>
      </c>
      <c r="AC67" s="1345">
        <v>65</v>
      </c>
      <c r="AD67" s="1345" t="s">
        <v>1811</v>
      </c>
    </row>
    <row r="68" spans="1:30" ht="13.5" x14ac:dyDescent="0.25">
      <c r="A68" s="748" t="str">
        <f>IF(RIGHT('Org structure'!D63,18)&lt;&gt;"[Name of sub-vote]",'Org structure'!D63,"")</f>
        <v/>
      </c>
      <c r="B68" s="899"/>
      <c r="C68" s="1360">
        <f>-SUMIFS(Sheet1!S71_OriginalBudget,Sheet1!S71_SubMunicipalVoteNo,$AC:$AC,Sheet1!S71_ItemType,$AD:$AD)</f>
        <v>0</v>
      </c>
      <c r="D68" s="1356">
        <f>-SUMIFS(Sheet1!S71_SpecialAdjustedBudget,Sheet1!S71_SubMunicipalVoteNo,$AC:$AC,Sheet1!S71_ItemType,$AD:$AD)</f>
        <v>0</v>
      </c>
      <c r="E68" s="1356"/>
      <c r="F68" s="1356"/>
      <c r="G68" s="1356"/>
      <c r="H68" s="1356"/>
      <c r="I68" s="1356">
        <f>SUMIFS(Sheet1!S71_AdjustmentAmount,Sheet1!S71_SubMunicipalVoteNo,$AC:$AC,Sheet1!S71_ItemType,$AD:$AD)</f>
        <v>0</v>
      </c>
      <c r="J68" s="75">
        <f t="shared" si="5"/>
        <v>0</v>
      </c>
      <c r="K68" s="75">
        <f t="shared" si="2"/>
        <v>0</v>
      </c>
      <c r="L68" s="1356">
        <f>-SUMIFS(Sheet1!S71_OY1AdjustedBudget,Sheet1!S71_SubMunicipalVoteNo,$AC:$AC,Sheet1!S71_ItemType,$AD:$AD)</f>
        <v>0</v>
      </c>
      <c r="M68" s="1357">
        <f>-SUMIFS(Sheet1!S71_OY2AdjustedBudget,Sheet1!S71_SubMunicipalVoteNo,$AC:$AC,Sheet1!S71_ItemType,$AD:$AD)</f>
        <v>0</v>
      </c>
      <c r="AC68" s="1345">
        <v>66</v>
      </c>
      <c r="AD68" s="1345" t="s">
        <v>1811</v>
      </c>
    </row>
    <row r="69" spans="1:30" ht="13.5" x14ac:dyDescent="0.25">
      <c r="A69" s="748" t="str">
        <f>IF(RIGHT('Org structure'!D64,18)&lt;&gt;"[Name of sub-vote]",'Org structure'!D64,"")</f>
        <v/>
      </c>
      <c r="B69" s="899"/>
      <c r="C69" s="1360">
        <f>-SUMIFS(Sheet1!S71_OriginalBudget,Sheet1!S71_SubMunicipalVoteNo,$AC:$AC,Sheet1!S71_ItemType,$AD:$AD)</f>
        <v>0</v>
      </c>
      <c r="D69" s="1356">
        <f>-SUMIFS(Sheet1!S71_SpecialAdjustedBudget,Sheet1!S71_SubMunicipalVoteNo,$AC:$AC,Sheet1!S71_ItemType,$AD:$AD)</f>
        <v>0</v>
      </c>
      <c r="E69" s="1356"/>
      <c r="F69" s="1356"/>
      <c r="G69" s="1356"/>
      <c r="H69" s="1356"/>
      <c r="I69" s="1356">
        <f>SUMIFS(Sheet1!S71_AdjustmentAmount,Sheet1!S71_SubMunicipalVoteNo,$AC:$AC,Sheet1!S71_ItemType,$AD:$AD)</f>
        <v>0</v>
      </c>
      <c r="J69" s="75">
        <f t="shared" si="5"/>
        <v>0</v>
      </c>
      <c r="K69" s="75">
        <f t="shared" si="2"/>
        <v>0</v>
      </c>
      <c r="L69" s="1356">
        <f>-SUMIFS(Sheet1!S71_OY1AdjustedBudget,Sheet1!S71_SubMunicipalVoteNo,$AC:$AC,Sheet1!S71_ItemType,$AD:$AD)</f>
        <v>0</v>
      </c>
      <c r="M69" s="1357">
        <f>-SUMIFS(Sheet1!S71_OY2AdjustedBudget,Sheet1!S71_SubMunicipalVoteNo,$AC:$AC,Sheet1!S71_ItemType,$AD:$AD)</f>
        <v>0</v>
      </c>
      <c r="AC69" s="1345">
        <v>67</v>
      </c>
      <c r="AD69" s="1345" t="s">
        <v>1811</v>
      </c>
    </row>
    <row r="70" spans="1:30" ht="13.5" x14ac:dyDescent="0.25">
      <c r="A70" s="748" t="str">
        <f>IF(RIGHT('Org structure'!D65,18)&lt;&gt;"[Name of sub-vote]",'Org structure'!D65,"")</f>
        <v/>
      </c>
      <c r="B70" s="899"/>
      <c r="C70" s="1360">
        <f>-SUMIFS(Sheet1!S71_OriginalBudget,Sheet1!S71_SubMunicipalVoteNo,$AC:$AC,Sheet1!S71_ItemType,$AD:$AD)</f>
        <v>0</v>
      </c>
      <c r="D70" s="1356">
        <f>-SUMIFS(Sheet1!S71_SpecialAdjustedBudget,Sheet1!S71_SubMunicipalVoteNo,$AC:$AC,Sheet1!S71_ItemType,$AD:$AD)</f>
        <v>0</v>
      </c>
      <c r="E70" s="1356"/>
      <c r="F70" s="1356"/>
      <c r="G70" s="1356"/>
      <c r="H70" s="1356"/>
      <c r="I70" s="1356">
        <f>SUMIFS(Sheet1!S71_AdjustmentAmount,Sheet1!S71_SubMunicipalVoteNo,$AC:$AC,Sheet1!S71_ItemType,$AD:$AD)</f>
        <v>0</v>
      </c>
      <c r="J70" s="75">
        <f t="shared" si="5"/>
        <v>0</v>
      </c>
      <c r="K70" s="75">
        <f t="shared" si="2"/>
        <v>0</v>
      </c>
      <c r="L70" s="1356">
        <f>-SUMIFS(Sheet1!S71_OY1AdjustedBudget,Sheet1!S71_SubMunicipalVoteNo,$AC:$AC,Sheet1!S71_ItemType,$AD:$AD)</f>
        <v>0</v>
      </c>
      <c r="M70" s="1357">
        <f>-SUMIFS(Sheet1!S71_OY2AdjustedBudget,Sheet1!S71_SubMunicipalVoteNo,$AC:$AC,Sheet1!S71_ItemType,$AD:$AD)</f>
        <v>0</v>
      </c>
      <c r="AC70" s="1345">
        <v>68</v>
      </c>
      <c r="AD70" s="1345" t="s">
        <v>1811</v>
      </c>
    </row>
    <row r="71" spans="1:30" ht="13.5" x14ac:dyDescent="0.25">
      <c r="A71" s="748" t="str">
        <f>IF(RIGHT('Org structure'!D66,18)&lt;&gt;"[Name of sub-vote]",'Org structure'!D66,"")</f>
        <v/>
      </c>
      <c r="B71" s="899"/>
      <c r="C71" s="1360">
        <f>-SUMIFS(Sheet1!S71_OriginalBudget,Sheet1!S71_SubMunicipalVoteNo,$AC:$AC,Sheet1!S71_ItemType,$AD:$AD)</f>
        <v>0</v>
      </c>
      <c r="D71" s="1356">
        <f>-SUMIFS(Sheet1!S71_SpecialAdjustedBudget,Sheet1!S71_SubMunicipalVoteNo,$AC:$AC,Sheet1!S71_ItemType,$AD:$AD)</f>
        <v>0</v>
      </c>
      <c r="E71" s="1356"/>
      <c r="F71" s="1356"/>
      <c r="G71" s="1356"/>
      <c r="H71" s="1356"/>
      <c r="I71" s="1356">
        <f>SUMIFS(Sheet1!S71_AdjustmentAmount,Sheet1!S71_SubMunicipalVoteNo,$AC:$AC,Sheet1!S71_ItemType,$AD:$AD)</f>
        <v>0</v>
      </c>
      <c r="J71" s="75">
        <f t="shared" ref="J71:J102" si="9">SUM(E71:I71)</f>
        <v>0</v>
      </c>
      <c r="K71" s="75">
        <f t="shared" si="2"/>
        <v>0</v>
      </c>
      <c r="L71" s="1356">
        <f>-SUMIFS(Sheet1!S71_OY1AdjustedBudget,Sheet1!S71_SubMunicipalVoteNo,$AC:$AC,Sheet1!S71_ItemType,$AD:$AD)</f>
        <v>0</v>
      </c>
      <c r="M71" s="1357">
        <f>-SUMIFS(Sheet1!S71_OY2AdjustedBudget,Sheet1!S71_SubMunicipalVoteNo,$AC:$AC,Sheet1!S71_ItemType,$AD:$AD)</f>
        <v>0</v>
      </c>
      <c r="AC71" s="1345">
        <v>69</v>
      </c>
      <c r="AD71" s="1345" t="s">
        <v>1811</v>
      </c>
    </row>
    <row r="72" spans="1:30" ht="13.5" x14ac:dyDescent="0.25">
      <c r="A72" s="748" t="str">
        <f>IF(RIGHT('Org structure'!D67,18)&lt;&gt;"[Name of sub-vote]",'Org structure'!D67,"")</f>
        <v/>
      </c>
      <c r="B72" s="899"/>
      <c r="C72" s="1360">
        <f>-SUMIFS(Sheet1!S71_OriginalBudget,Sheet1!S71_SubMunicipalVoteNo,$AC:$AC,Sheet1!S71_ItemType,$AD:$AD)</f>
        <v>0</v>
      </c>
      <c r="D72" s="1356">
        <f>-SUMIFS(Sheet1!S71_SpecialAdjustedBudget,Sheet1!S71_SubMunicipalVoteNo,$AC:$AC,Sheet1!S71_ItemType,$AD:$AD)</f>
        <v>0</v>
      </c>
      <c r="E72" s="1356"/>
      <c r="F72" s="1356"/>
      <c r="G72" s="1356"/>
      <c r="H72" s="1356"/>
      <c r="I72" s="1356">
        <f>SUMIFS(Sheet1!S71_AdjustmentAmount,Sheet1!S71_SubMunicipalVoteNo,$AC:$AC,Sheet1!S71_ItemType,$AD:$AD)</f>
        <v>0</v>
      </c>
      <c r="J72" s="75">
        <f t="shared" si="9"/>
        <v>0</v>
      </c>
      <c r="K72" s="75">
        <f t="shared" ref="K72:K135" si="10">IF(D72=0,C72+J72,D72+J72)</f>
        <v>0</v>
      </c>
      <c r="L72" s="1356">
        <f>-SUMIFS(Sheet1!S71_OY1AdjustedBudget,Sheet1!S71_SubMunicipalVoteNo,$AC:$AC,Sheet1!S71_ItemType,$AD:$AD)</f>
        <v>0</v>
      </c>
      <c r="M72" s="1357">
        <f>-SUMIFS(Sheet1!S71_OY2AdjustedBudget,Sheet1!S71_SubMunicipalVoteNo,$AC:$AC,Sheet1!S71_ItemType,$AD:$AD)</f>
        <v>0</v>
      </c>
      <c r="AC72" s="1345">
        <v>610</v>
      </c>
      <c r="AD72" s="1345" t="s">
        <v>1811</v>
      </c>
    </row>
    <row r="73" spans="1:30" ht="13.5" x14ac:dyDescent="0.25">
      <c r="A73" s="745" t="str">
        <f>'Org structure'!A8</f>
        <v>Vote 7 - Road Transport</v>
      </c>
      <c r="B73" s="898"/>
      <c r="C73" s="733">
        <f t="shared" ref="C73:I73" si="11">SUM(C74:C83)</f>
        <v>30000</v>
      </c>
      <c r="D73" s="732">
        <f t="shared" si="11"/>
        <v>30000</v>
      </c>
      <c r="E73" s="732">
        <f t="shared" si="11"/>
        <v>0</v>
      </c>
      <c r="F73" s="732">
        <f t="shared" si="11"/>
        <v>0</v>
      </c>
      <c r="G73" s="732">
        <f t="shared" si="11"/>
        <v>0</v>
      </c>
      <c r="H73" s="732">
        <f t="shared" si="11"/>
        <v>0</v>
      </c>
      <c r="I73" s="732">
        <f t="shared" si="11"/>
        <v>0</v>
      </c>
      <c r="J73" s="75">
        <f t="shared" si="9"/>
        <v>0</v>
      </c>
      <c r="K73" s="75">
        <f t="shared" si="10"/>
        <v>30000</v>
      </c>
      <c r="L73" s="732">
        <f>SUM(L74:L83)</f>
        <v>31800</v>
      </c>
      <c r="M73" s="759">
        <f>SUM(M74:M83)</f>
        <v>33708</v>
      </c>
    </row>
    <row r="74" spans="1:30" ht="13.5" x14ac:dyDescent="0.25">
      <c r="A74" s="748" t="str">
        <f>IF(RIGHT('Org structure'!D69,18)&lt;&gt;"[Name of sub-vote]",'Org structure'!D69,"")</f>
        <v>7.1 - Roads</v>
      </c>
      <c r="B74" s="899"/>
      <c r="C74" s="1360">
        <f>-SUMIFS(Sheet1!S71_OriginalBudget,Sheet1!S71_SubMunicipalVoteNo,$AC:$AC,Sheet1!S71_ItemType,$AD:$AD)</f>
        <v>30000</v>
      </c>
      <c r="D74" s="1356">
        <f>-SUMIFS(Sheet1!S71_SpecialAdjustedBudget,Sheet1!S71_SubMunicipalVoteNo,$AC:$AC,Sheet1!S71_ItemType,$AD:$AD)</f>
        <v>30000</v>
      </c>
      <c r="E74" s="1356"/>
      <c r="F74" s="1356"/>
      <c r="G74" s="1356"/>
      <c r="H74" s="1356"/>
      <c r="I74" s="1356">
        <f>SUMIFS(Sheet1!S71_AdjustmentAmount,Sheet1!S71_SubMunicipalVoteNo,$AC:$AC,Sheet1!S71_ItemType,$AD:$AD)</f>
        <v>0</v>
      </c>
      <c r="J74" s="75">
        <f t="shared" si="9"/>
        <v>0</v>
      </c>
      <c r="K74" s="75">
        <f t="shared" si="10"/>
        <v>30000</v>
      </c>
      <c r="L74" s="1356">
        <f>-SUMIFS(Sheet1!S71_OY1AdjustedBudget,Sheet1!S71_SubMunicipalVoteNo,$AC:$AC,Sheet1!S71_ItemType,$AD:$AD)</f>
        <v>31800</v>
      </c>
      <c r="M74" s="1357">
        <f>-SUMIFS(Sheet1!S71_OY2AdjustedBudget,Sheet1!S71_SubMunicipalVoteNo,$AC:$AC,Sheet1!S71_ItemType,$AD:$AD)</f>
        <v>33708</v>
      </c>
      <c r="AC74" s="1345">
        <v>71</v>
      </c>
      <c r="AD74" s="1345" t="s">
        <v>1811</v>
      </c>
    </row>
    <row r="75" spans="1:30" ht="13.5" x14ac:dyDescent="0.25">
      <c r="A75" s="748" t="str">
        <f>IF(RIGHT('Org structure'!D70,18)&lt;&gt;"[Name of sub-vote]",'Org structure'!D70,"")</f>
        <v/>
      </c>
      <c r="B75" s="899"/>
      <c r="C75" s="1360">
        <f>-SUMIFS(Sheet1!S71_OriginalBudget,Sheet1!S71_SubMunicipalVoteNo,$AC:$AC,Sheet1!S71_ItemType,$AD:$AD)</f>
        <v>0</v>
      </c>
      <c r="D75" s="1356">
        <f>-SUMIFS(Sheet1!S71_SpecialAdjustedBudget,Sheet1!S71_SubMunicipalVoteNo,$AC:$AC,Sheet1!S71_ItemType,$AD:$AD)</f>
        <v>0</v>
      </c>
      <c r="E75" s="1356"/>
      <c r="F75" s="1356"/>
      <c r="G75" s="1356"/>
      <c r="H75" s="1356"/>
      <c r="I75" s="1356">
        <f>SUMIFS(Sheet1!S71_AdjustmentAmount,Sheet1!S71_SubMunicipalVoteNo,$AC:$AC,Sheet1!S71_ItemType,$AD:$AD)</f>
        <v>0</v>
      </c>
      <c r="J75" s="75">
        <f t="shared" si="9"/>
        <v>0</v>
      </c>
      <c r="K75" s="75">
        <f t="shared" si="10"/>
        <v>0</v>
      </c>
      <c r="L75" s="1356">
        <f>-SUMIFS(Sheet1!S71_OY1AdjustedBudget,Sheet1!S71_SubMunicipalVoteNo,$AC:$AC,Sheet1!S71_ItemType,$AD:$AD)</f>
        <v>0</v>
      </c>
      <c r="M75" s="1357">
        <f>-SUMIFS(Sheet1!S71_OY2AdjustedBudget,Sheet1!S71_SubMunicipalVoteNo,$AC:$AC,Sheet1!S71_ItemType,$AD:$AD)</f>
        <v>0</v>
      </c>
      <c r="AC75" s="1345">
        <v>72</v>
      </c>
      <c r="AD75" s="1345" t="s">
        <v>1811</v>
      </c>
    </row>
    <row r="76" spans="1:30" ht="13.5" x14ac:dyDescent="0.25">
      <c r="A76" s="748" t="str">
        <f>IF(RIGHT('Org structure'!D71,18)&lt;&gt;"[Name of sub-vote]",'Org structure'!D71,"")</f>
        <v/>
      </c>
      <c r="B76" s="899"/>
      <c r="C76" s="1360">
        <f>-SUMIFS(Sheet1!S71_OriginalBudget,Sheet1!S71_SubMunicipalVoteNo,$AC:$AC,Sheet1!S71_ItemType,$AD:$AD)</f>
        <v>0</v>
      </c>
      <c r="D76" s="1356">
        <f>-SUMIFS(Sheet1!S71_SpecialAdjustedBudget,Sheet1!S71_SubMunicipalVoteNo,$AC:$AC,Sheet1!S71_ItemType,$AD:$AD)</f>
        <v>0</v>
      </c>
      <c r="E76" s="1356"/>
      <c r="F76" s="1356"/>
      <c r="G76" s="1356"/>
      <c r="H76" s="1356"/>
      <c r="I76" s="1356">
        <f>SUMIFS(Sheet1!S71_AdjustmentAmount,Sheet1!S71_SubMunicipalVoteNo,$AC:$AC,Sheet1!S71_ItemType,$AD:$AD)</f>
        <v>0</v>
      </c>
      <c r="J76" s="75">
        <f t="shared" si="9"/>
        <v>0</v>
      </c>
      <c r="K76" s="75">
        <f t="shared" si="10"/>
        <v>0</v>
      </c>
      <c r="L76" s="1356">
        <f>-SUMIFS(Sheet1!S71_OY1AdjustedBudget,Sheet1!S71_SubMunicipalVoteNo,$AC:$AC,Sheet1!S71_ItemType,$AD:$AD)</f>
        <v>0</v>
      </c>
      <c r="M76" s="1357">
        <f>-SUMIFS(Sheet1!S71_OY2AdjustedBudget,Sheet1!S71_SubMunicipalVoteNo,$AC:$AC,Sheet1!S71_ItemType,$AD:$AD)</f>
        <v>0</v>
      </c>
      <c r="AC76" s="1345">
        <v>73</v>
      </c>
      <c r="AD76" s="1345" t="s">
        <v>1811</v>
      </c>
    </row>
    <row r="77" spans="1:30" ht="13.5" x14ac:dyDescent="0.25">
      <c r="A77" s="748" t="str">
        <f>IF(RIGHT('Org structure'!D72,18)&lt;&gt;"[Name of sub-vote]",'Org structure'!D72,"")</f>
        <v/>
      </c>
      <c r="B77" s="899"/>
      <c r="C77" s="1360">
        <f>-SUMIFS(Sheet1!S71_OriginalBudget,Sheet1!S71_SubMunicipalVoteNo,$AC:$AC,Sheet1!S71_ItemType,$AD:$AD)</f>
        <v>0</v>
      </c>
      <c r="D77" s="1356">
        <f>-SUMIFS(Sheet1!S71_SpecialAdjustedBudget,Sheet1!S71_SubMunicipalVoteNo,$AC:$AC,Sheet1!S71_ItemType,$AD:$AD)</f>
        <v>0</v>
      </c>
      <c r="E77" s="1356"/>
      <c r="F77" s="1356"/>
      <c r="G77" s="1356"/>
      <c r="H77" s="1356"/>
      <c r="I77" s="1356">
        <f>SUMIFS(Sheet1!S71_AdjustmentAmount,Sheet1!S71_SubMunicipalVoteNo,$AC:$AC,Sheet1!S71_ItemType,$AD:$AD)</f>
        <v>0</v>
      </c>
      <c r="J77" s="75">
        <f t="shared" si="9"/>
        <v>0</v>
      </c>
      <c r="K77" s="75">
        <f t="shared" si="10"/>
        <v>0</v>
      </c>
      <c r="L77" s="1356">
        <f>-SUMIFS(Sheet1!S71_OY1AdjustedBudget,Sheet1!S71_SubMunicipalVoteNo,$AC:$AC,Sheet1!S71_ItemType,$AD:$AD)</f>
        <v>0</v>
      </c>
      <c r="M77" s="1357">
        <f>-SUMIFS(Sheet1!S71_OY2AdjustedBudget,Sheet1!S71_SubMunicipalVoteNo,$AC:$AC,Sheet1!S71_ItemType,$AD:$AD)</f>
        <v>0</v>
      </c>
      <c r="AC77" s="1345">
        <v>74</v>
      </c>
      <c r="AD77" s="1345" t="s">
        <v>1811</v>
      </c>
    </row>
    <row r="78" spans="1:30" ht="13.5" x14ac:dyDescent="0.25">
      <c r="A78" s="748" t="str">
        <f>IF(RIGHT('Org structure'!D73,18)&lt;&gt;"[Name of sub-vote]",'Org structure'!D73,"")</f>
        <v/>
      </c>
      <c r="B78" s="899"/>
      <c r="C78" s="1360">
        <f>-SUMIFS(Sheet1!S71_OriginalBudget,Sheet1!S71_SubMunicipalVoteNo,$AC:$AC,Sheet1!S71_ItemType,$AD:$AD)</f>
        <v>0</v>
      </c>
      <c r="D78" s="1356">
        <f>-SUMIFS(Sheet1!S71_SpecialAdjustedBudget,Sheet1!S71_SubMunicipalVoteNo,$AC:$AC,Sheet1!S71_ItemType,$AD:$AD)</f>
        <v>0</v>
      </c>
      <c r="E78" s="1356"/>
      <c r="F78" s="1356"/>
      <c r="G78" s="1356"/>
      <c r="H78" s="1356"/>
      <c r="I78" s="1356">
        <f>SUMIFS(Sheet1!S71_AdjustmentAmount,Sheet1!S71_SubMunicipalVoteNo,$AC:$AC,Sheet1!S71_ItemType,$AD:$AD)</f>
        <v>0</v>
      </c>
      <c r="J78" s="75">
        <f t="shared" si="9"/>
        <v>0</v>
      </c>
      <c r="K78" s="75">
        <f t="shared" si="10"/>
        <v>0</v>
      </c>
      <c r="L78" s="1356">
        <f>-SUMIFS(Sheet1!S71_OY1AdjustedBudget,Sheet1!S71_SubMunicipalVoteNo,$AC:$AC,Sheet1!S71_ItemType,$AD:$AD)</f>
        <v>0</v>
      </c>
      <c r="M78" s="1357">
        <f>-SUMIFS(Sheet1!S71_OY2AdjustedBudget,Sheet1!S71_SubMunicipalVoteNo,$AC:$AC,Sheet1!S71_ItemType,$AD:$AD)</f>
        <v>0</v>
      </c>
      <c r="AC78" s="1345">
        <v>75</v>
      </c>
      <c r="AD78" s="1345" t="s">
        <v>1811</v>
      </c>
    </row>
    <row r="79" spans="1:30" ht="13.5" x14ac:dyDescent="0.25">
      <c r="A79" s="748" t="str">
        <f>IF(RIGHT('Org structure'!D74,18)&lt;&gt;"[Name of sub-vote]",'Org structure'!D74,"")</f>
        <v/>
      </c>
      <c r="B79" s="899"/>
      <c r="C79" s="1360">
        <f>-SUMIFS(Sheet1!S71_OriginalBudget,Sheet1!S71_SubMunicipalVoteNo,$AC:$AC,Sheet1!S71_ItemType,$AD:$AD)</f>
        <v>0</v>
      </c>
      <c r="D79" s="1356">
        <f>-SUMIFS(Sheet1!S71_SpecialAdjustedBudget,Sheet1!S71_SubMunicipalVoteNo,$AC:$AC,Sheet1!S71_ItemType,$AD:$AD)</f>
        <v>0</v>
      </c>
      <c r="E79" s="1356"/>
      <c r="F79" s="1356"/>
      <c r="G79" s="1356"/>
      <c r="H79" s="1356"/>
      <c r="I79" s="1356">
        <f>SUMIFS(Sheet1!S71_AdjustmentAmount,Sheet1!S71_SubMunicipalVoteNo,$AC:$AC,Sheet1!S71_ItemType,$AD:$AD)</f>
        <v>0</v>
      </c>
      <c r="J79" s="75">
        <f t="shared" si="9"/>
        <v>0</v>
      </c>
      <c r="K79" s="75">
        <f t="shared" si="10"/>
        <v>0</v>
      </c>
      <c r="L79" s="1356">
        <f>-SUMIFS(Sheet1!S71_OY1AdjustedBudget,Sheet1!S71_SubMunicipalVoteNo,$AC:$AC,Sheet1!S71_ItemType,$AD:$AD)</f>
        <v>0</v>
      </c>
      <c r="M79" s="1357">
        <f>-SUMIFS(Sheet1!S71_OY2AdjustedBudget,Sheet1!S71_SubMunicipalVoteNo,$AC:$AC,Sheet1!S71_ItemType,$AD:$AD)</f>
        <v>0</v>
      </c>
      <c r="AC79" s="1345">
        <v>76</v>
      </c>
      <c r="AD79" s="1345" t="s">
        <v>1811</v>
      </c>
    </row>
    <row r="80" spans="1:30" ht="13.5" x14ac:dyDescent="0.25">
      <c r="A80" s="748" t="str">
        <f>IF(RIGHT('Org structure'!D75,18)&lt;&gt;"[Name of sub-vote]",'Org structure'!D75,"")</f>
        <v/>
      </c>
      <c r="B80" s="899"/>
      <c r="C80" s="1360">
        <f>-SUMIFS(Sheet1!S71_OriginalBudget,Sheet1!S71_SubMunicipalVoteNo,$AC:$AC,Sheet1!S71_ItemType,$AD:$AD)</f>
        <v>0</v>
      </c>
      <c r="D80" s="1356">
        <f>-SUMIFS(Sheet1!S71_SpecialAdjustedBudget,Sheet1!S71_SubMunicipalVoteNo,$AC:$AC,Sheet1!S71_ItemType,$AD:$AD)</f>
        <v>0</v>
      </c>
      <c r="E80" s="1356"/>
      <c r="F80" s="1356"/>
      <c r="G80" s="1356"/>
      <c r="H80" s="1356"/>
      <c r="I80" s="1356">
        <f>SUMIFS(Sheet1!S71_AdjustmentAmount,Sheet1!S71_SubMunicipalVoteNo,$AC:$AC,Sheet1!S71_ItemType,$AD:$AD)</f>
        <v>0</v>
      </c>
      <c r="J80" s="75">
        <f t="shared" si="9"/>
        <v>0</v>
      </c>
      <c r="K80" s="75">
        <f t="shared" si="10"/>
        <v>0</v>
      </c>
      <c r="L80" s="1356">
        <f>-SUMIFS(Sheet1!S71_OY1AdjustedBudget,Sheet1!S71_SubMunicipalVoteNo,$AC:$AC,Sheet1!S71_ItemType,$AD:$AD)</f>
        <v>0</v>
      </c>
      <c r="M80" s="1357">
        <f>-SUMIFS(Sheet1!S71_OY2AdjustedBudget,Sheet1!S71_SubMunicipalVoteNo,$AC:$AC,Sheet1!S71_ItemType,$AD:$AD)</f>
        <v>0</v>
      </c>
      <c r="AC80" s="1345">
        <v>77</v>
      </c>
      <c r="AD80" s="1345" t="s">
        <v>1811</v>
      </c>
    </row>
    <row r="81" spans="1:30" ht="13.5" x14ac:dyDescent="0.25">
      <c r="A81" s="748" t="str">
        <f>IF(RIGHT('Org structure'!D76,18)&lt;&gt;"[Name of sub-vote]",'Org structure'!D76,"")</f>
        <v/>
      </c>
      <c r="B81" s="899"/>
      <c r="C81" s="1360">
        <f>-SUMIFS(Sheet1!S71_OriginalBudget,Sheet1!S71_SubMunicipalVoteNo,$AC:$AC,Sheet1!S71_ItemType,$AD:$AD)</f>
        <v>0</v>
      </c>
      <c r="D81" s="1356">
        <f>-SUMIFS(Sheet1!S71_SpecialAdjustedBudget,Sheet1!S71_SubMunicipalVoteNo,$AC:$AC,Sheet1!S71_ItemType,$AD:$AD)</f>
        <v>0</v>
      </c>
      <c r="E81" s="1356"/>
      <c r="F81" s="1356"/>
      <c r="G81" s="1356"/>
      <c r="H81" s="1356"/>
      <c r="I81" s="1356">
        <f>SUMIFS(Sheet1!S71_AdjustmentAmount,Sheet1!S71_SubMunicipalVoteNo,$AC:$AC,Sheet1!S71_ItemType,$AD:$AD)</f>
        <v>0</v>
      </c>
      <c r="J81" s="75">
        <f t="shared" si="9"/>
        <v>0</v>
      </c>
      <c r="K81" s="75">
        <f t="shared" si="10"/>
        <v>0</v>
      </c>
      <c r="L81" s="1356">
        <f>-SUMIFS(Sheet1!S71_OY1AdjustedBudget,Sheet1!S71_SubMunicipalVoteNo,$AC:$AC,Sheet1!S71_ItemType,$AD:$AD)</f>
        <v>0</v>
      </c>
      <c r="M81" s="1357">
        <f>-SUMIFS(Sheet1!S71_OY2AdjustedBudget,Sheet1!S71_SubMunicipalVoteNo,$AC:$AC,Sheet1!S71_ItemType,$AD:$AD)</f>
        <v>0</v>
      </c>
      <c r="AC81" s="1345">
        <v>78</v>
      </c>
      <c r="AD81" s="1345" t="s">
        <v>1811</v>
      </c>
    </row>
    <row r="82" spans="1:30" ht="13.5" x14ac:dyDescent="0.25">
      <c r="A82" s="748" t="str">
        <f>IF(RIGHT('Org structure'!D77,18)&lt;&gt;"[Name of sub-vote]",'Org structure'!D77,"")</f>
        <v/>
      </c>
      <c r="B82" s="899"/>
      <c r="C82" s="1360">
        <f>-SUMIFS(Sheet1!S71_OriginalBudget,Sheet1!S71_SubMunicipalVoteNo,$AC:$AC,Sheet1!S71_ItemType,$AD:$AD)</f>
        <v>0</v>
      </c>
      <c r="D82" s="1356">
        <f>-SUMIFS(Sheet1!S71_SpecialAdjustedBudget,Sheet1!S71_SubMunicipalVoteNo,$AC:$AC,Sheet1!S71_ItemType,$AD:$AD)</f>
        <v>0</v>
      </c>
      <c r="E82" s="1356"/>
      <c r="F82" s="1356"/>
      <c r="G82" s="1356"/>
      <c r="H82" s="1356"/>
      <c r="I82" s="1356">
        <f>SUMIFS(Sheet1!S71_AdjustmentAmount,Sheet1!S71_SubMunicipalVoteNo,$AC:$AC,Sheet1!S71_ItemType,$AD:$AD)</f>
        <v>0</v>
      </c>
      <c r="J82" s="75">
        <f t="shared" si="9"/>
        <v>0</v>
      </c>
      <c r="K82" s="75">
        <f t="shared" si="10"/>
        <v>0</v>
      </c>
      <c r="L82" s="1356">
        <f>-SUMIFS(Sheet1!S71_OY1AdjustedBudget,Sheet1!S71_SubMunicipalVoteNo,$AC:$AC,Sheet1!S71_ItemType,$AD:$AD)</f>
        <v>0</v>
      </c>
      <c r="M82" s="1357">
        <f>-SUMIFS(Sheet1!S71_OY2AdjustedBudget,Sheet1!S71_SubMunicipalVoteNo,$AC:$AC,Sheet1!S71_ItemType,$AD:$AD)</f>
        <v>0</v>
      </c>
      <c r="AC82" s="1345">
        <v>79</v>
      </c>
      <c r="AD82" s="1345" t="s">
        <v>1811</v>
      </c>
    </row>
    <row r="83" spans="1:30" ht="13.5" x14ac:dyDescent="0.25">
      <c r="A83" s="748" t="str">
        <f>IF(RIGHT('Org structure'!D78,18)&lt;&gt;"[Name of sub-vote]",'Org structure'!D78,"")</f>
        <v/>
      </c>
      <c r="B83" s="899"/>
      <c r="C83" s="1360">
        <f>-SUMIFS(Sheet1!S71_OriginalBudget,Sheet1!S71_SubMunicipalVoteNo,$AC:$AC,Sheet1!S71_ItemType,$AD:$AD)</f>
        <v>0</v>
      </c>
      <c r="D83" s="1356">
        <f>-SUMIFS(Sheet1!S71_SpecialAdjustedBudget,Sheet1!S71_SubMunicipalVoteNo,$AC:$AC,Sheet1!S71_ItemType,$AD:$AD)</f>
        <v>0</v>
      </c>
      <c r="E83" s="1356"/>
      <c r="F83" s="1356"/>
      <c r="G83" s="1356"/>
      <c r="H83" s="1356"/>
      <c r="I83" s="1356">
        <f>SUMIFS(Sheet1!S71_AdjustmentAmount,Sheet1!S71_SubMunicipalVoteNo,$AC:$AC,Sheet1!S71_ItemType,$AD:$AD)</f>
        <v>0</v>
      </c>
      <c r="J83" s="75">
        <f t="shared" si="9"/>
        <v>0</v>
      </c>
      <c r="K83" s="75">
        <f t="shared" si="10"/>
        <v>0</v>
      </c>
      <c r="L83" s="1356">
        <f>-SUMIFS(Sheet1!S71_OY1AdjustedBudget,Sheet1!S71_SubMunicipalVoteNo,$AC:$AC,Sheet1!S71_ItemType,$AD:$AD)</f>
        <v>0</v>
      </c>
      <c r="M83" s="1357">
        <f>-SUMIFS(Sheet1!S71_OY2AdjustedBudget,Sheet1!S71_SubMunicipalVoteNo,$AC:$AC,Sheet1!S71_ItemType,$AD:$AD)</f>
        <v>0</v>
      </c>
      <c r="AC83" s="1345">
        <v>710</v>
      </c>
      <c r="AD83" s="1345" t="s">
        <v>1811</v>
      </c>
    </row>
    <row r="84" spans="1:30" ht="13.5" x14ac:dyDescent="0.25">
      <c r="A84" s="745" t="str">
        <f>'Org structure'!A9</f>
        <v>Vote 8 - Planning and Development</v>
      </c>
      <c r="B84" s="899"/>
      <c r="C84" s="733">
        <f>SUM(C85:C94)</f>
        <v>938955</v>
      </c>
      <c r="D84" s="732">
        <f t="shared" ref="D84:I84" si="12">SUM(D85:D94)</f>
        <v>938955</v>
      </c>
      <c r="E84" s="732">
        <f t="shared" si="12"/>
        <v>0</v>
      </c>
      <c r="F84" s="732">
        <f t="shared" si="12"/>
        <v>0</v>
      </c>
      <c r="G84" s="732">
        <f t="shared" si="12"/>
        <v>0</v>
      </c>
      <c r="H84" s="732">
        <f t="shared" si="12"/>
        <v>0</v>
      </c>
      <c r="I84" s="732">
        <f t="shared" si="12"/>
        <v>1526211</v>
      </c>
      <c r="J84" s="75">
        <f t="shared" si="9"/>
        <v>1526211</v>
      </c>
      <c r="K84" s="75">
        <f t="shared" si="10"/>
        <v>2465166</v>
      </c>
      <c r="L84" s="732">
        <f>SUM(L85:L94)</f>
        <v>985903</v>
      </c>
      <c r="M84" s="759">
        <f>SUM(M85:M94)</f>
        <v>1035198</v>
      </c>
    </row>
    <row r="85" spans="1:30" ht="13.5" x14ac:dyDescent="0.25">
      <c r="A85" s="748" t="str">
        <f>IF(RIGHT('Org structure'!D80,18)&lt;&gt;"[Name of sub-vote]",'Org structure'!D80,"")</f>
        <v>8.1 - Town Planning, Building Regulations and Enforcement, and City Engineer</v>
      </c>
      <c r="B85" s="899"/>
      <c r="C85" s="1360">
        <f>-SUMIFS(Sheet1!S71_OriginalBudget,Sheet1!S71_SubMunicipalVoteNo,$AC:$AC,Sheet1!S71_ItemType,$AD:$AD)</f>
        <v>938955</v>
      </c>
      <c r="D85" s="1356">
        <f>-SUMIFS(Sheet1!S71_SpecialAdjustedBudget,Sheet1!S71_SubMunicipalVoteNo,$AC:$AC,Sheet1!S71_ItemType,$AD:$AD)</f>
        <v>938955</v>
      </c>
      <c r="E85" s="1356"/>
      <c r="F85" s="1356"/>
      <c r="G85" s="1356"/>
      <c r="H85" s="1356"/>
      <c r="I85" s="1356">
        <f>SUMIFS(Sheet1!S71_AdjustmentAmount,Sheet1!S71_SubMunicipalVoteNo,$AC:$AC,Sheet1!S71_ItemType,$AD:$AD)</f>
        <v>1526211</v>
      </c>
      <c r="J85" s="75">
        <f t="shared" si="9"/>
        <v>1526211</v>
      </c>
      <c r="K85" s="75">
        <f t="shared" si="10"/>
        <v>2465166</v>
      </c>
      <c r="L85" s="1356">
        <f>-SUMIFS(Sheet1!S71_OY1AdjustedBudget,Sheet1!S71_SubMunicipalVoteNo,$AC:$AC,Sheet1!S71_ItemType,$AD:$AD)</f>
        <v>985903</v>
      </c>
      <c r="M85" s="1357">
        <f>-SUMIFS(Sheet1!S71_OY2AdjustedBudget,Sheet1!S71_SubMunicipalVoteNo,$AC:$AC,Sheet1!S71_ItemType,$AD:$AD)</f>
        <v>1035198</v>
      </c>
      <c r="AC85" s="1345">
        <v>81</v>
      </c>
      <c r="AD85" s="1345" t="s">
        <v>1811</v>
      </c>
    </row>
    <row r="86" spans="1:30" ht="13.5" x14ac:dyDescent="0.25">
      <c r="A86" s="748" t="str">
        <f>IF(RIGHT('Org structure'!D81,18)&lt;&gt;"[Name of sub-vote]",'Org structure'!D81,"")</f>
        <v>8.2 - Development Facilitation</v>
      </c>
      <c r="B86" s="899"/>
      <c r="C86" s="1360">
        <f>-SUMIFS(Sheet1!S71_OriginalBudget,Sheet1!S71_SubMunicipalVoteNo,$AC:$AC,Sheet1!S71_ItemType,$AD:$AD)</f>
        <v>0</v>
      </c>
      <c r="D86" s="1356">
        <f>-SUMIFS(Sheet1!S71_SpecialAdjustedBudget,Sheet1!S71_SubMunicipalVoteNo,$AC:$AC,Sheet1!S71_ItemType,$AD:$AD)</f>
        <v>0</v>
      </c>
      <c r="E86" s="1356"/>
      <c r="F86" s="1356"/>
      <c r="G86" s="1356"/>
      <c r="H86" s="1356"/>
      <c r="I86" s="1356">
        <f>SUMIFS(Sheet1!S71_AdjustmentAmount,Sheet1!S71_SubMunicipalVoteNo,$AC:$AC,Sheet1!S71_ItemType,$AD:$AD)</f>
        <v>0</v>
      </c>
      <c r="J86" s="75">
        <f t="shared" si="9"/>
        <v>0</v>
      </c>
      <c r="K86" s="75">
        <f t="shared" si="10"/>
        <v>0</v>
      </c>
      <c r="L86" s="1356">
        <f>-SUMIFS(Sheet1!S71_OY1AdjustedBudget,Sheet1!S71_SubMunicipalVoteNo,$AC:$AC,Sheet1!S71_ItemType,$AD:$AD)</f>
        <v>0</v>
      </c>
      <c r="M86" s="1357">
        <f>-SUMIFS(Sheet1!S71_OY2AdjustedBudget,Sheet1!S71_SubMunicipalVoteNo,$AC:$AC,Sheet1!S71_ItemType,$AD:$AD)</f>
        <v>0</v>
      </c>
      <c r="AC86" s="1345">
        <v>82</v>
      </c>
      <c r="AD86" s="1345" t="s">
        <v>1811</v>
      </c>
    </row>
    <row r="87" spans="1:30" ht="13.5" x14ac:dyDescent="0.25">
      <c r="A87" s="748" t="str">
        <f>IF(RIGHT('Org structure'!D82,18)&lt;&gt;"[Name of sub-vote]",'Org structure'!D82,"")</f>
        <v>8.3 - Economic Development/Planning</v>
      </c>
      <c r="B87" s="899"/>
      <c r="C87" s="1360">
        <f>-SUMIFS(Sheet1!S71_OriginalBudget,Sheet1!S71_SubMunicipalVoteNo,$AC:$AC,Sheet1!S71_ItemType,$AD:$AD)</f>
        <v>0</v>
      </c>
      <c r="D87" s="1356">
        <f>-SUMIFS(Sheet1!S71_SpecialAdjustedBudget,Sheet1!S71_SubMunicipalVoteNo,$AC:$AC,Sheet1!S71_ItemType,$AD:$AD)</f>
        <v>0</v>
      </c>
      <c r="E87" s="1356"/>
      <c r="F87" s="1356"/>
      <c r="G87" s="1356"/>
      <c r="H87" s="1356"/>
      <c r="I87" s="1356">
        <f>SUMIFS(Sheet1!S71_AdjustmentAmount,Sheet1!S71_SubMunicipalVoteNo,$AC:$AC,Sheet1!S71_ItemType,$AD:$AD)</f>
        <v>0</v>
      </c>
      <c r="J87" s="75">
        <f t="shared" si="9"/>
        <v>0</v>
      </c>
      <c r="K87" s="75">
        <f t="shared" si="10"/>
        <v>0</v>
      </c>
      <c r="L87" s="1356">
        <f>-SUMIFS(Sheet1!S71_OY1AdjustedBudget,Sheet1!S71_SubMunicipalVoteNo,$AC:$AC,Sheet1!S71_ItemType,$AD:$AD)</f>
        <v>0</v>
      </c>
      <c r="M87" s="1357">
        <f>-SUMIFS(Sheet1!S71_OY2AdjustedBudget,Sheet1!S71_SubMunicipalVoteNo,$AC:$AC,Sheet1!S71_ItemType,$AD:$AD)</f>
        <v>0</v>
      </c>
      <c r="AC87" s="1345">
        <v>83</v>
      </c>
      <c r="AD87" s="1345" t="s">
        <v>1811</v>
      </c>
    </row>
    <row r="88" spans="1:30" ht="13.5" x14ac:dyDescent="0.25">
      <c r="A88" s="748" t="str">
        <f>IF(RIGHT('Org structure'!D83,18)&lt;&gt;"[Name of sub-vote]",'Org structure'!D83,"")</f>
        <v>8.4 - Regional Planning and Development</v>
      </c>
      <c r="B88" s="899"/>
      <c r="C88" s="1360">
        <f>-SUMIFS(Sheet1!S71_OriginalBudget,Sheet1!S71_SubMunicipalVoteNo,$AC:$AC,Sheet1!S71_ItemType,$AD:$AD)</f>
        <v>0</v>
      </c>
      <c r="D88" s="1356">
        <f>-SUMIFS(Sheet1!S71_SpecialAdjustedBudget,Sheet1!S71_SubMunicipalVoteNo,$AC:$AC,Sheet1!S71_ItemType,$AD:$AD)</f>
        <v>0</v>
      </c>
      <c r="E88" s="1356"/>
      <c r="F88" s="1356"/>
      <c r="G88" s="1356"/>
      <c r="H88" s="1356"/>
      <c r="I88" s="1356">
        <f>SUMIFS(Sheet1!S71_AdjustmentAmount,Sheet1!S71_SubMunicipalVoteNo,$AC:$AC,Sheet1!S71_ItemType,$AD:$AD)</f>
        <v>0</v>
      </c>
      <c r="J88" s="75">
        <f t="shared" si="9"/>
        <v>0</v>
      </c>
      <c r="K88" s="75">
        <f t="shared" si="10"/>
        <v>0</v>
      </c>
      <c r="L88" s="1356">
        <f>-SUMIFS(Sheet1!S71_OY1AdjustedBudget,Sheet1!S71_SubMunicipalVoteNo,$AC:$AC,Sheet1!S71_ItemType,$AD:$AD)</f>
        <v>0</v>
      </c>
      <c r="M88" s="1357">
        <f>-SUMIFS(Sheet1!S71_OY2AdjustedBudget,Sheet1!S71_SubMunicipalVoteNo,$AC:$AC,Sheet1!S71_ItemType,$AD:$AD)</f>
        <v>0</v>
      </c>
      <c r="AC88" s="1345">
        <v>84</v>
      </c>
      <c r="AD88" s="1345" t="s">
        <v>1811</v>
      </c>
    </row>
    <row r="89" spans="1:30" ht="13.5" x14ac:dyDescent="0.25">
      <c r="A89" s="748" t="str">
        <f>IF(RIGHT('Org structure'!D84,18)&lt;&gt;"[Name of sub-vote]",'Org structure'!D84,"")</f>
        <v>8.5 - Corporate Wide Strategic Planning (IDPs, LEDs)</v>
      </c>
      <c r="B89" s="899"/>
      <c r="C89" s="1360">
        <f>-SUMIFS(Sheet1!S71_OriginalBudget,Sheet1!S71_SubMunicipalVoteNo,$AC:$AC,Sheet1!S71_ItemType,$AD:$AD)</f>
        <v>0</v>
      </c>
      <c r="D89" s="1356">
        <f>-SUMIFS(Sheet1!S71_SpecialAdjustedBudget,Sheet1!S71_SubMunicipalVoteNo,$AC:$AC,Sheet1!S71_ItemType,$AD:$AD)</f>
        <v>0</v>
      </c>
      <c r="E89" s="1356"/>
      <c r="F89" s="1356"/>
      <c r="G89" s="1356"/>
      <c r="H89" s="1356"/>
      <c r="I89" s="1356">
        <f>SUMIFS(Sheet1!S71_AdjustmentAmount,Sheet1!S71_SubMunicipalVoteNo,$AC:$AC,Sheet1!S71_ItemType,$AD:$AD)</f>
        <v>0</v>
      </c>
      <c r="J89" s="75">
        <f t="shared" si="9"/>
        <v>0</v>
      </c>
      <c r="K89" s="75">
        <f t="shared" si="10"/>
        <v>0</v>
      </c>
      <c r="L89" s="1356">
        <f>-SUMIFS(Sheet1!S71_OY1AdjustedBudget,Sheet1!S71_SubMunicipalVoteNo,$AC:$AC,Sheet1!S71_ItemType,$AD:$AD)</f>
        <v>0</v>
      </c>
      <c r="M89" s="1357">
        <f>-SUMIFS(Sheet1!S71_OY2AdjustedBudget,Sheet1!S71_SubMunicipalVoteNo,$AC:$AC,Sheet1!S71_ItemType,$AD:$AD)</f>
        <v>0</v>
      </c>
      <c r="AC89" s="1345">
        <v>85</v>
      </c>
      <c r="AD89" s="1345" t="s">
        <v>1811</v>
      </c>
    </row>
    <row r="90" spans="1:30" ht="13.5" x14ac:dyDescent="0.25">
      <c r="A90" s="748" t="str">
        <f>IF(RIGHT('Org structure'!D85,18)&lt;&gt;"[Name of sub-vote]",'Org structure'!D85,"")</f>
        <v>8.6 - Project Management Unit</v>
      </c>
      <c r="B90" s="899"/>
      <c r="C90" s="1360">
        <f>-SUMIFS(Sheet1!S71_OriginalBudget,Sheet1!S71_SubMunicipalVoteNo,$AC:$AC,Sheet1!S71_ItemType,$AD:$AD)</f>
        <v>0</v>
      </c>
      <c r="D90" s="1356">
        <f>-SUMIFS(Sheet1!S71_SpecialAdjustedBudget,Sheet1!S71_SubMunicipalVoteNo,$AC:$AC,Sheet1!S71_ItemType,$AD:$AD)</f>
        <v>0</v>
      </c>
      <c r="E90" s="1356"/>
      <c r="F90" s="1356"/>
      <c r="G90" s="1356"/>
      <c r="H90" s="1356"/>
      <c r="I90" s="1356">
        <f>SUMIFS(Sheet1!S71_AdjustmentAmount,Sheet1!S71_SubMunicipalVoteNo,$AC:$AC,Sheet1!S71_ItemType,$AD:$AD)</f>
        <v>0</v>
      </c>
      <c r="J90" s="75">
        <f t="shared" si="9"/>
        <v>0</v>
      </c>
      <c r="K90" s="75">
        <f t="shared" si="10"/>
        <v>0</v>
      </c>
      <c r="L90" s="1356">
        <f>-SUMIFS(Sheet1!S71_OY1AdjustedBudget,Sheet1!S71_SubMunicipalVoteNo,$AC:$AC,Sheet1!S71_ItemType,$AD:$AD)</f>
        <v>0</v>
      </c>
      <c r="M90" s="1357">
        <f>-SUMIFS(Sheet1!S71_OY2AdjustedBudget,Sheet1!S71_SubMunicipalVoteNo,$AC:$AC,Sheet1!S71_ItemType,$AD:$AD)</f>
        <v>0</v>
      </c>
      <c r="AC90" s="1345">
        <v>86</v>
      </c>
      <c r="AD90" s="1345" t="s">
        <v>1811</v>
      </c>
    </row>
    <row r="91" spans="1:30" ht="13.5" x14ac:dyDescent="0.25">
      <c r="A91" s="748" t="str">
        <f>IF(RIGHT('Org structure'!D86,18)&lt;&gt;"[Name of sub-vote]",'Org structure'!D86,"")</f>
        <v/>
      </c>
      <c r="B91" s="899"/>
      <c r="C91" s="1360">
        <f>-SUMIFS(Sheet1!S71_OriginalBudget,Sheet1!S71_SubMunicipalVoteNo,$AC:$AC,Sheet1!S71_ItemType,$AD:$AD)</f>
        <v>0</v>
      </c>
      <c r="D91" s="1356">
        <f>-SUMIFS(Sheet1!S71_SpecialAdjustedBudget,Sheet1!S71_SubMunicipalVoteNo,$AC:$AC,Sheet1!S71_ItemType,$AD:$AD)</f>
        <v>0</v>
      </c>
      <c r="E91" s="1356"/>
      <c r="F91" s="1356"/>
      <c r="G91" s="1356"/>
      <c r="H91" s="1356"/>
      <c r="I91" s="1356">
        <f>SUMIFS(Sheet1!S71_AdjustmentAmount,Sheet1!S71_SubMunicipalVoteNo,$AC:$AC,Sheet1!S71_ItemType,$AD:$AD)</f>
        <v>0</v>
      </c>
      <c r="J91" s="75">
        <f t="shared" si="9"/>
        <v>0</v>
      </c>
      <c r="K91" s="75">
        <f t="shared" si="10"/>
        <v>0</v>
      </c>
      <c r="L91" s="1356">
        <f>-SUMIFS(Sheet1!S71_OY1AdjustedBudget,Sheet1!S71_SubMunicipalVoteNo,$AC:$AC,Sheet1!S71_ItemType,$AD:$AD)</f>
        <v>0</v>
      </c>
      <c r="M91" s="1357">
        <f>-SUMIFS(Sheet1!S71_OY2AdjustedBudget,Sheet1!S71_SubMunicipalVoteNo,$AC:$AC,Sheet1!S71_ItemType,$AD:$AD)</f>
        <v>0</v>
      </c>
      <c r="AC91" s="1345">
        <v>87</v>
      </c>
      <c r="AD91" s="1345" t="s">
        <v>1811</v>
      </c>
    </row>
    <row r="92" spans="1:30" ht="13.5" x14ac:dyDescent="0.25">
      <c r="A92" s="748" t="str">
        <f>IF(RIGHT('Org structure'!D87,18)&lt;&gt;"[Name of sub-vote]",'Org structure'!D87,"")</f>
        <v/>
      </c>
      <c r="B92" s="899"/>
      <c r="C92" s="1360">
        <f>-SUMIFS(Sheet1!S71_OriginalBudget,Sheet1!S71_SubMunicipalVoteNo,$AC:$AC,Sheet1!S71_ItemType,$AD:$AD)</f>
        <v>0</v>
      </c>
      <c r="D92" s="1356">
        <f>-SUMIFS(Sheet1!S71_SpecialAdjustedBudget,Sheet1!S71_SubMunicipalVoteNo,$AC:$AC,Sheet1!S71_ItemType,$AD:$AD)</f>
        <v>0</v>
      </c>
      <c r="E92" s="1356"/>
      <c r="F92" s="1356"/>
      <c r="G92" s="1356"/>
      <c r="H92" s="1356"/>
      <c r="I92" s="1356">
        <f>SUMIFS(Sheet1!S71_AdjustmentAmount,Sheet1!S71_SubMunicipalVoteNo,$AC:$AC,Sheet1!S71_ItemType,$AD:$AD)</f>
        <v>0</v>
      </c>
      <c r="J92" s="75">
        <f t="shared" si="9"/>
        <v>0</v>
      </c>
      <c r="K92" s="75">
        <f t="shared" si="10"/>
        <v>0</v>
      </c>
      <c r="L92" s="1356">
        <f>-SUMIFS(Sheet1!S71_OY1AdjustedBudget,Sheet1!S71_SubMunicipalVoteNo,$AC:$AC,Sheet1!S71_ItemType,$AD:$AD)</f>
        <v>0</v>
      </c>
      <c r="M92" s="1357">
        <f>-SUMIFS(Sheet1!S71_OY2AdjustedBudget,Sheet1!S71_SubMunicipalVoteNo,$AC:$AC,Sheet1!S71_ItemType,$AD:$AD)</f>
        <v>0</v>
      </c>
      <c r="AC92" s="1345">
        <v>88</v>
      </c>
      <c r="AD92" s="1345" t="s">
        <v>1811</v>
      </c>
    </row>
    <row r="93" spans="1:30" ht="13.5" x14ac:dyDescent="0.25">
      <c r="A93" s="748" t="str">
        <f>IF(RIGHT('Org structure'!D88,18)&lt;&gt;"[Name of sub-vote]",'Org structure'!D88,"")</f>
        <v/>
      </c>
      <c r="B93" s="899"/>
      <c r="C93" s="1360">
        <f>-SUMIFS(Sheet1!S71_OriginalBudget,Sheet1!S71_SubMunicipalVoteNo,$AC:$AC,Sheet1!S71_ItemType,$AD:$AD)</f>
        <v>0</v>
      </c>
      <c r="D93" s="1356">
        <f>-SUMIFS(Sheet1!S71_SpecialAdjustedBudget,Sheet1!S71_SubMunicipalVoteNo,$AC:$AC,Sheet1!S71_ItemType,$AD:$AD)</f>
        <v>0</v>
      </c>
      <c r="E93" s="1356"/>
      <c r="F93" s="1356"/>
      <c r="G93" s="1356"/>
      <c r="H93" s="1356"/>
      <c r="I93" s="1356">
        <f>SUMIFS(Sheet1!S71_AdjustmentAmount,Sheet1!S71_SubMunicipalVoteNo,$AC:$AC,Sheet1!S71_ItemType,$AD:$AD)</f>
        <v>0</v>
      </c>
      <c r="J93" s="75">
        <f t="shared" si="9"/>
        <v>0</v>
      </c>
      <c r="K93" s="75">
        <f t="shared" si="10"/>
        <v>0</v>
      </c>
      <c r="L93" s="1356">
        <f>-SUMIFS(Sheet1!S71_OY1AdjustedBudget,Sheet1!S71_SubMunicipalVoteNo,$AC:$AC,Sheet1!S71_ItemType,$AD:$AD)</f>
        <v>0</v>
      </c>
      <c r="M93" s="1357">
        <f>-SUMIFS(Sheet1!S71_OY2AdjustedBudget,Sheet1!S71_SubMunicipalVoteNo,$AC:$AC,Sheet1!S71_ItemType,$AD:$AD)</f>
        <v>0</v>
      </c>
      <c r="AC93" s="1345">
        <v>89</v>
      </c>
      <c r="AD93" s="1345" t="s">
        <v>1811</v>
      </c>
    </row>
    <row r="94" spans="1:30" ht="13.5" x14ac:dyDescent="0.25">
      <c r="A94" s="748" t="str">
        <f>IF(RIGHT('Org structure'!D89,18)&lt;&gt;"[Name of sub-vote]",'Org structure'!D89,"")</f>
        <v/>
      </c>
      <c r="B94" s="899"/>
      <c r="C94" s="1360">
        <f>-SUMIFS(Sheet1!S71_OriginalBudget,Sheet1!S71_SubMunicipalVoteNo,$AC:$AC,Sheet1!S71_ItemType,$AD:$AD)</f>
        <v>0</v>
      </c>
      <c r="D94" s="1356">
        <f>-SUMIFS(Sheet1!S71_SpecialAdjustedBudget,Sheet1!S71_SubMunicipalVoteNo,$AC:$AC,Sheet1!S71_ItemType,$AD:$AD)</f>
        <v>0</v>
      </c>
      <c r="E94" s="1356"/>
      <c r="F94" s="1356"/>
      <c r="G94" s="1356"/>
      <c r="H94" s="1356"/>
      <c r="I94" s="1356">
        <f>SUMIFS(Sheet1!S71_AdjustmentAmount,Sheet1!S71_SubMunicipalVoteNo,$AC:$AC,Sheet1!S71_ItemType,$AD:$AD)</f>
        <v>0</v>
      </c>
      <c r="J94" s="75">
        <f t="shared" si="9"/>
        <v>0</v>
      </c>
      <c r="K94" s="75">
        <f t="shared" si="10"/>
        <v>0</v>
      </c>
      <c r="L94" s="1356">
        <f>-SUMIFS(Sheet1!S71_OY1AdjustedBudget,Sheet1!S71_SubMunicipalVoteNo,$AC:$AC,Sheet1!S71_ItemType,$AD:$AD)</f>
        <v>0</v>
      </c>
      <c r="M94" s="1357">
        <f>-SUMIFS(Sheet1!S71_OY2AdjustedBudget,Sheet1!S71_SubMunicipalVoteNo,$AC:$AC,Sheet1!S71_ItemType,$AD:$AD)</f>
        <v>0</v>
      </c>
      <c r="AC94" s="1345">
        <v>810</v>
      </c>
      <c r="AD94" s="1345" t="s">
        <v>1811</v>
      </c>
    </row>
    <row r="95" spans="1:30" ht="13.5" x14ac:dyDescent="0.25">
      <c r="A95" s="745" t="str">
        <f>'Org structure'!A10</f>
        <v>Vote 9 - Sport and Recreation</v>
      </c>
      <c r="B95" s="899"/>
      <c r="C95" s="733">
        <f>SUM(C96:C105)</f>
        <v>0</v>
      </c>
      <c r="D95" s="732">
        <f t="shared" ref="D95:I95" si="13">SUM(D96:D105)</f>
        <v>0</v>
      </c>
      <c r="E95" s="732">
        <f t="shared" si="13"/>
        <v>0</v>
      </c>
      <c r="F95" s="732">
        <f t="shared" si="13"/>
        <v>0</v>
      </c>
      <c r="G95" s="732">
        <f t="shared" si="13"/>
        <v>0</v>
      </c>
      <c r="H95" s="732">
        <f t="shared" si="13"/>
        <v>0</v>
      </c>
      <c r="I95" s="732">
        <f t="shared" si="13"/>
        <v>0</v>
      </c>
      <c r="J95" s="75">
        <f t="shared" si="9"/>
        <v>0</v>
      </c>
      <c r="K95" s="75">
        <f t="shared" si="10"/>
        <v>0</v>
      </c>
      <c r="L95" s="732">
        <f>SUM(L96:L105)</f>
        <v>0</v>
      </c>
      <c r="M95" s="759">
        <f>SUM(M96:M105)</f>
        <v>0</v>
      </c>
    </row>
    <row r="96" spans="1:30" ht="13.5" x14ac:dyDescent="0.25">
      <c r="A96" s="748" t="str">
        <f>IF(RIGHT('Org structure'!D91,18)&lt;&gt;"[Name of sub-vote]",'Org structure'!D91,"")</f>
        <v>9.1 - Sports Grounds and Stadiums</v>
      </c>
      <c r="B96" s="899"/>
      <c r="C96" s="1360">
        <f>-SUMIFS(Sheet1!S71_OriginalBudget,Sheet1!S71_SubMunicipalVoteNo,$AC:$AC,Sheet1!S71_ItemType,$AD:$AD)</f>
        <v>0</v>
      </c>
      <c r="D96" s="1356">
        <f>-SUMIFS(Sheet1!S71_SpecialAdjustedBudget,Sheet1!S71_SubMunicipalVoteNo,$AC:$AC,Sheet1!S71_ItemType,$AD:$AD)</f>
        <v>0</v>
      </c>
      <c r="E96" s="1356"/>
      <c r="F96" s="1356"/>
      <c r="G96" s="1356"/>
      <c r="H96" s="1356"/>
      <c r="I96" s="1356">
        <f>SUMIFS(Sheet1!S71_AdjustmentAmount,Sheet1!S71_SubMunicipalVoteNo,$AC:$AC,Sheet1!S71_ItemType,$AD:$AD)</f>
        <v>0</v>
      </c>
      <c r="J96" s="75">
        <f t="shared" si="9"/>
        <v>0</v>
      </c>
      <c r="K96" s="75">
        <f t="shared" si="10"/>
        <v>0</v>
      </c>
      <c r="L96" s="1356">
        <f>-SUMIFS(Sheet1!S71_OY1AdjustedBudget,Sheet1!S71_SubMunicipalVoteNo,$AC:$AC,Sheet1!S71_ItemType,$AD:$AD)</f>
        <v>0</v>
      </c>
      <c r="M96" s="1357">
        <f>-SUMIFS(Sheet1!S71_OY2AdjustedBudget,Sheet1!S71_SubMunicipalVoteNo,$AC:$AC,Sheet1!S71_ItemType,$AD:$AD)</f>
        <v>0</v>
      </c>
      <c r="AC96" s="1345">
        <v>91</v>
      </c>
      <c r="AD96" s="1345" t="s">
        <v>1811</v>
      </c>
    </row>
    <row r="97" spans="1:30" ht="13.5" x14ac:dyDescent="0.25">
      <c r="A97" s="748" t="str">
        <f>IF(RIGHT('Org structure'!D92,18)&lt;&gt;"[Name of sub-vote]",'Org structure'!D92,"")</f>
        <v/>
      </c>
      <c r="B97" s="899"/>
      <c r="C97" s="1360">
        <f>-SUMIFS(Sheet1!S71_OriginalBudget,Sheet1!S71_SubMunicipalVoteNo,$AC:$AC,Sheet1!S71_ItemType,$AD:$AD)</f>
        <v>0</v>
      </c>
      <c r="D97" s="1356">
        <f>-SUMIFS(Sheet1!S71_SpecialAdjustedBudget,Sheet1!S71_SubMunicipalVoteNo,$AC:$AC,Sheet1!S71_ItemType,$AD:$AD)</f>
        <v>0</v>
      </c>
      <c r="E97" s="1356"/>
      <c r="F97" s="1356"/>
      <c r="G97" s="1356"/>
      <c r="H97" s="1356"/>
      <c r="I97" s="1356">
        <f>SUMIFS(Sheet1!S71_AdjustmentAmount,Sheet1!S71_SubMunicipalVoteNo,$AC:$AC,Sheet1!S71_ItemType,$AD:$AD)</f>
        <v>0</v>
      </c>
      <c r="J97" s="75">
        <f t="shared" si="9"/>
        <v>0</v>
      </c>
      <c r="K97" s="75">
        <f t="shared" si="10"/>
        <v>0</v>
      </c>
      <c r="L97" s="1356">
        <f>-SUMIFS(Sheet1!S71_OY1AdjustedBudget,Sheet1!S71_SubMunicipalVoteNo,$AC:$AC,Sheet1!S71_ItemType,$AD:$AD)</f>
        <v>0</v>
      </c>
      <c r="M97" s="1357">
        <f>-SUMIFS(Sheet1!S71_OY2AdjustedBudget,Sheet1!S71_SubMunicipalVoteNo,$AC:$AC,Sheet1!S71_ItemType,$AD:$AD)</f>
        <v>0</v>
      </c>
      <c r="AC97" s="1345">
        <v>92</v>
      </c>
      <c r="AD97" s="1345" t="s">
        <v>1811</v>
      </c>
    </row>
    <row r="98" spans="1:30" ht="13.5" x14ac:dyDescent="0.25">
      <c r="A98" s="748" t="str">
        <f>IF(RIGHT('Org structure'!D93,18)&lt;&gt;"[Name of sub-vote]",'Org structure'!D93,"")</f>
        <v/>
      </c>
      <c r="B98" s="899"/>
      <c r="C98" s="1360">
        <f>-SUMIFS(Sheet1!S71_OriginalBudget,Sheet1!S71_SubMunicipalVoteNo,$AC:$AC,Sheet1!S71_ItemType,$AD:$AD)</f>
        <v>0</v>
      </c>
      <c r="D98" s="1356">
        <f>-SUMIFS(Sheet1!S71_SpecialAdjustedBudget,Sheet1!S71_SubMunicipalVoteNo,$AC:$AC,Sheet1!S71_ItemType,$AD:$AD)</f>
        <v>0</v>
      </c>
      <c r="E98" s="1356"/>
      <c r="F98" s="1356"/>
      <c r="G98" s="1356"/>
      <c r="H98" s="1356"/>
      <c r="I98" s="1356">
        <f>SUMIFS(Sheet1!S71_AdjustmentAmount,Sheet1!S71_SubMunicipalVoteNo,$AC:$AC,Sheet1!S71_ItemType,$AD:$AD)</f>
        <v>0</v>
      </c>
      <c r="J98" s="75">
        <f t="shared" si="9"/>
        <v>0</v>
      </c>
      <c r="K98" s="75">
        <f t="shared" si="10"/>
        <v>0</v>
      </c>
      <c r="L98" s="1356">
        <f>-SUMIFS(Sheet1!S71_OY1AdjustedBudget,Sheet1!S71_SubMunicipalVoteNo,$AC:$AC,Sheet1!S71_ItemType,$AD:$AD)</f>
        <v>0</v>
      </c>
      <c r="M98" s="1357">
        <f>-SUMIFS(Sheet1!S71_OY2AdjustedBudget,Sheet1!S71_SubMunicipalVoteNo,$AC:$AC,Sheet1!S71_ItemType,$AD:$AD)</f>
        <v>0</v>
      </c>
      <c r="AC98" s="1345">
        <v>93</v>
      </c>
      <c r="AD98" s="1345" t="s">
        <v>1811</v>
      </c>
    </row>
    <row r="99" spans="1:30" ht="13.5" x14ac:dyDescent="0.25">
      <c r="A99" s="748" t="str">
        <f>IF(RIGHT('Org structure'!D94,18)&lt;&gt;"[Name of sub-vote]",'Org structure'!D94,"")</f>
        <v/>
      </c>
      <c r="B99" s="899"/>
      <c r="C99" s="1360">
        <f>-SUMIFS(Sheet1!S71_OriginalBudget,Sheet1!S71_SubMunicipalVoteNo,$AC:$AC,Sheet1!S71_ItemType,$AD:$AD)</f>
        <v>0</v>
      </c>
      <c r="D99" s="1356">
        <f>-SUMIFS(Sheet1!S71_SpecialAdjustedBudget,Sheet1!S71_SubMunicipalVoteNo,$AC:$AC,Sheet1!S71_ItemType,$AD:$AD)</f>
        <v>0</v>
      </c>
      <c r="E99" s="1356"/>
      <c r="F99" s="1356"/>
      <c r="G99" s="1356"/>
      <c r="H99" s="1356"/>
      <c r="I99" s="1356">
        <f>SUMIFS(Sheet1!S71_AdjustmentAmount,Sheet1!S71_SubMunicipalVoteNo,$AC:$AC,Sheet1!S71_ItemType,$AD:$AD)</f>
        <v>0</v>
      </c>
      <c r="J99" s="75">
        <f t="shared" si="9"/>
        <v>0</v>
      </c>
      <c r="K99" s="75">
        <f t="shared" si="10"/>
        <v>0</v>
      </c>
      <c r="L99" s="1356">
        <f>-SUMIFS(Sheet1!S71_OY1AdjustedBudget,Sheet1!S71_SubMunicipalVoteNo,$AC:$AC,Sheet1!S71_ItemType,$AD:$AD)</f>
        <v>0</v>
      </c>
      <c r="M99" s="1357">
        <f>-SUMIFS(Sheet1!S71_OY2AdjustedBudget,Sheet1!S71_SubMunicipalVoteNo,$AC:$AC,Sheet1!S71_ItemType,$AD:$AD)</f>
        <v>0</v>
      </c>
      <c r="AC99" s="1345">
        <v>94</v>
      </c>
      <c r="AD99" s="1345" t="s">
        <v>1811</v>
      </c>
    </row>
    <row r="100" spans="1:30" ht="13.5" x14ac:dyDescent="0.25">
      <c r="A100" s="748" t="str">
        <f>IF(RIGHT('Org structure'!D95,18)&lt;&gt;"[Name of sub-vote]",'Org structure'!D95,"")</f>
        <v/>
      </c>
      <c r="B100" s="899"/>
      <c r="C100" s="1360">
        <f>-SUMIFS(Sheet1!S71_OriginalBudget,Sheet1!S71_SubMunicipalVoteNo,$AC:$AC,Sheet1!S71_ItemType,$AD:$AD)</f>
        <v>0</v>
      </c>
      <c r="D100" s="1356">
        <f>-SUMIFS(Sheet1!S71_SpecialAdjustedBudget,Sheet1!S71_SubMunicipalVoteNo,$AC:$AC,Sheet1!S71_ItemType,$AD:$AD)</f>
        <v>0</v>
      </c>
      <c r="E100" s="1356"/>
      <c r="F100" s="1356"/>
      <c r="G100" s="1356"/>
      <c r="H100" s="1356"/>
      <c r="I100" s="1356">
        <f>SUMIFS(Sheet1!S71_AdjustmentAmount,Sheet1!S71_SubMunicipalVoteNo,$AC:$AC,Sheet1!S71_ItemType,$AD:$AD)</f>
        <v>0</v>
      </c>
      <c r="J100" s="75">
        <f t="shared" si="9"/>
        <v>0</v>
      </c>
      <c r="K100" s="75">
        <f t="shared" si="10"/>
        <v>0</v>
      </c>
      <c r="L100" s="1356">
        <f>-SUMIFS(Sheet1!S71_OY1AdjustedBudget,Sheet1!S71_SubMunicipalVoteNo,$AC:$AC,Sheet1!S71_ItemType,$AD:$AD)</f>
        <v>0</v>
      </c>
      <c r="M100" s="1357">
        <f>-SUMIFS(Sheet1!S71_OY2AdjustedBudget,Sheet1!S71_SubMunicipalVoteNo,$AC:$AC,Sheet1!S71_ItemType,$AD:$AD)</f>
        <v>0</v>
      </c>
      <c r="AC100" s="1345">
        <v>95</v>
      </c>
      <c r="AD100" s="1345" t="s">
        <v>1811</v>
      </c>
    </row>
    <row r="101" spans="1:30" ht="13.5" x14ac:dyDescent="0.25">
      <c r="A101" s="748" t="str">
        <f>IF(RIGHT('Org structure'!D96,18)&lt;&gt;"[Name of sub-vote]",'Org structure'!D96,"")</f>
        <v/>
      </c>
      <c r="B101" s="899"/>
      <c r="C101" s="1360">
        <f>-SUMIFS(Sheet1!S71_OriginalBudget,Sheet1!S71_SubMunicipalVoteNo,$AC:$AC,Sheet1!S71_ItemType,$AD:$AD)</f>
        <v>0</v>
      </c>
      <c r="D101" s="1356">
        <f>-SUMIFS(Sheet1!S71_SpecialAdjustedBudget,Sheet1!S71_SubMunicipalVoteNo,$AC:$AC,Sheet1!S71_ItemType,$AD:$AD)</f>
        <v>0</v>
      </c>
      <c r="E101" s="1356"/>
      <c r="F101" s="1356"/>
      <c r="G101" s="1356"/>
      <c r="H101" s="1356"/>
      <c r="I101" s="1356">
        <f>SUMIFS(Sheet1!S71_AdjustmentAmount,Sheet1!S71_SubMunicipalVoteNo,$AC:$AC,Sheet1!S71_ItemType,$AD:$AD)</f>
        <v>0</v>
      </c>
      <c r="J101" s="75">
        <f t="shared" si="9"/>
        <v>0</v>
      </c>
      <c r="K101" s="75">
        <f t="shared" si="10"/>
        <v>0</v>
      </c>
      <c r="L101" s="1356">
        <f>-SUMIFS(Sheet1!S71_OY1AdjustedBudget,Sheet1!S71_SubMunicipalVoteNo,$AC:$AC,Sheet1!S71_ItemType,$AD:$AD)</f>
        <v>0</v>
      </c>
      <c r="M101" s="1357">
        <f>-SUMIFS(Sheet1!S71_OY2AdjustedBudget,Sheet1!S71_SubMunicipalVoteNo,$AC:$AC,Sheet1!S71_ItemType,$AD:$AD)</f>
        <v>0</v>
      </c>
      <c r="AC101" s="1345">
        <v>96</v>
      </c>
      <c r="AD101" s="1345" t="s">
        <v>1811</v>
      </c>
    </row>
    <row r="102" spans="1:30" ht="13.5" x14ac:dyDescent="0.25">
      <c r="A102" s="748" t="str">
        <f>IF(RIGHT('Org structure'!D97,18)&lt;&gt;"[Name of sub-vote]",'Org structure'!D97,"")</f>
        <v/>
      </c>
      <c r="B102" s="899"/>
      <c r="C102" s="1360">
        <f>-SUMIFS(Sheet1!S71_OriginalBudget,Sheet1!S71_SubMunicipalVoteNo,$AC:$AC,Sheet1!S71_ItemType,$AD:$AD)</f>
        <v>0</v>
      </c>
      <c r="D102" s="1356">
        <f>-SUMIFS(Sheet1!S71_SpecialAdjustedBudget,Sheet1!S71_SubMunicipalVoteNo,$AC:$AC,Sheet1!S71_ItemType,$AD:$AD)</f>
        <v>0</v>
      </c>
      <c r="E102" s="1356"/>
      <c r="F102" s="1356"/>
      <c r="G102" s="1356"/>
      <c r="H102" s="1356"/>
      <c r="I102" s="1356">
        <f>SUMIFS(Sheet1!S71_AdjustmentAmount,Sheet1!S71_SubMunicipalVoteNo,$AC:$AC,Sheet1!S71_ItemType,$AD:$AD)</f>
        <v>0</v>
      </c>
      <c r="J102" s="75">
        <f t="shared" si="9"/>
        <v>0</v>
      </c>
      <c r="K102" s="75">
        <f t="shared" si="10"/>
        <v>0</v>
      </c>
      <c r="L102" s="1356">
        <f>-SUMIFS(Sheet1!S71_OY1AdjustedBudget,Sheet1!S71_SubMunicipalVoteNo,$AC:$AC,Sheet1!S71_ItemType,$AD:$AD)</f>
        <v>0</v>
      </c>
      <c r="M102" s="1357">
        <f>-SUMIFS(Sheet1!S71_OY2AdjustedBudget,Sheet1!S71_SubMunicipalVoteNo,$AC:$AC,Sheet1!S71_ItemType,$AD:$AD)</f>
        <v>0</v>
      </c>
      <c r="AC102" s="1345">
        <v>97</v>
      </c>
      <c r="AD102" s="1345" t="s">
        <v>1811</v>
      </c>
    </row>
    <row r="103" spans="1:30" ht="13.5" x14ac:dyDescent="0.25">
      <c r="A103" s="748" t="str">
        <f>IF(RIGHT('Org structure'!D98,18)&lt;&gt;"[Name of sub-vote]",'Org structure'!D98,"")</f>
        <v/>
      </c>
      <c r="B103" s="899"/>
      <c r="C103" s="1360">
        <f>-SUMIFS(Sheet1!S71_OriginalBudget,Sheet1!S71_SubMunicipalVoteNo,$AC:$AC,Sheet1!S71_ItemType,$AD:$AD)</f>
        <v>0</v>
      </c>
      <c r="D103" s="1356">
        <f>-SUMIFS(Sheet1!S71_SpecialAdjustedBudget,Sheet1!S71_SubMunicipalVoteNo,$AC:$AC,Sheet1!S71_ItemType,$AD:$AD)</f>
        <v>0</v>
      </c>
      <c r="E103" s="1356"/>
      <c r="F103" s="1356"/>
      <c r="G103" s="1356"/>
      <c r="H103" s="1356"/>
      <c r="I103" s="1356">
        <f>SUMIFS(Sheet1!S71_AdjustmentAmount,Sheet1!S71_SubMunicipalVoteNo,$AC:$AC,Sheet1!S71_ItemType,$AD:$AD)</f>
        <v>0</v>
      </c>
      <c r="J103" s="75">
        <f t="shared" ref="J103:J134" si="14">SUM(E103:I103)</f>
        <v>0</v>
      </c>
      <c r="K103" s="75">
        <f t="shared" si="10"/>
        <v>0</v>
      </c>
      <c r="L103" s="1356">
        <f>-SUMIFS(Sheet1!S71_OY1AdjustedBudget,Sheet1!S71_SubMunicipalVoteNo,$AC:$AC,Sheet1!S71_ItemType,$AD:$AD)</f>
        <v>0</v>
      </c>
      <c r="M103" s="1357">
        <f>-SUMIFS(Sheet1!S71_OY2AdjustedBudget,Sheet1!S71_SubMunicipalVoteNo,$AC:$AC,Sheet1!S71_ItemType,$AD:$AD)</f>
        <v>0</v>
      </c>
      <c r="AC103" s="1345">
        <v>98</v>
      </c>
      <c r="AD103" s="1345" t="s">
        <v>1811</v>
      </c>
    </row>
    <row r="104" spans="1:30" ht="13.5" x14ac:dyDescent="0.25">
      <c r="A104" s="748" t="str">
        <f>IF(RIGHT('Org structure'!D99,18)&lt;&gt;"[Name of sub-vote]",'Org structure'!D99,"")</f>
        <v/>
      </c>
      <c r="B104" s="899"/>
      <c r="C104" s="1360">
        <f>-SUMIFS(Sheet1!S71_OriginalBudget,Sheet1!S71_SubMunicipalVoteNo,$AC:$AC,Sheet1!S71_ItemType,$AD:$AD)</f>
        <v>0</v>
      </c>
      <c r="D104" s="1356">
        <f>-SUMIFS(Sheet1!S71_SpecialAdjustedBudget,Sheet1!S71_SubMunicipalVoteNo,$AC:$AC,Sheet1!S71_ItemType,$AD:$AD)</f>
        <v>0</v>
      </c>
      <c r="E104" s="1356"/>
      <c r="F104" s="1356"/>
      <c r="G104" s="1356"/>
      <c r="H104" s="1356"/>
      <c r="I104" s="1356">
        <f>SUMIFS(Sheet1!S71_AdjustmentAmount,Sheet1!S71_SubMunicipalVoteNo,$AC:$AC,Sheet1!S71_ItemType,$AD:$AD)</f>
        <v>0</v>
      </c>
      <c r="J104" s="75">
        <f t="shared" si="14"/>
        <v>0</v>
      </c>
      <c r="K104" s="75">
        <f t="shared" si="10"/>
        <v>0</v>
      </c>
      <c r="L104" s="1356">
        <f>-SUMIFS(Sheet1!S71_OY1AdjustedBudget,Sheet1!S71_SubMunicipalVoteNo,$AC:$AC,Sheet1!S71_ItemType,$AD:$AD)</f>
        <v>0</v>
      </c>
      <c r="M104" s="1357">
        <f>-SUMIFS(Sheet1!S71_OY2AdjustedBudget,Sheet1!S71_SubMunicipalVoteNo,$AC:$AC,Sheet1!S71_ItemType,$AD:$AD)</f>
        <v>0</v>
      </c>
      <c r="AC104" s="1345">
        <v>99</v>
      </c>
      <c r="AD104" s="1345" t="s">
        <v>1811</v>
      </c>
    </row>
    <row r="105" spans="1:30" ht="13.5" x14ac:dyDescent="0.25">
      <c r="A105" s="748" t="str">
        <f>IF(RIGHT('Org structure'!D100,18)&lt;&gt;"[Name of sub-vote]",'Org structure'!D100,"")</f>
        <v/>
      </c>
      <c r="B105" s="899"/>
      <c r="C105" s="1360">
        <f>-SUMIFS(Sheet1!S71_OriginalBudget,Sheet1!S71_SubMunicipalVoteNo,$AC:$AC,Sheet1!S71_ItemType,$AD:$AD)</f>
        <v>0</v>
      </c>
      <c r="D105" s="1356">
        <f>-SUMIFS(Sheet1!S71_SpecialAdjustedBudget,Sheet1!S71_SubMunicipalVoteNo,$AC:$AC,Sheet1!S71_ItemType,$AD:$AD)</f>
        <v>0</v>
      </c>
      <c r="E105" s="1356"/>
      <c r="F105" s="1356"/>
      <c r="G105" s="1356"/>
      <c r="H105" s="1356"/>
      <c r="I105" s="1356">
        <f>SUMIFS(Sheet1!S71_AdjustmentAmount,Sheet1!S71_SubMunicipalVoteNo,$AC:$AC,Sheet1!S71_ItemType,$AD:$AD)</f>
        <v>0</v>
      </c>
      <c r="J105" s="75">
        <f t="shared" si="14"/>
        <v>0</v>
      </c>
      <c r="K105" s="75">
        <f t="shared" si="10"/>
        <v>0</v>
      </c>
      <c r="L105" s="1356">
        <f>-SUMIFS(Sheet1!S71_OY1AdjustedBudget,Sheet1!S71_SubMunicipalVoteNo,$AC:$AC,Sheet1!S71_ItemType,$AD:$AD)</f>
        <v>0</v>
      </c>
      <c r="M105" s="1357">
        <f>-SUMIFS(Sheet1!S71_OY2AdjustedBudget,Sheet1!S71_SubMunicipalVoteNo,$AC:$AC,Sheet1!S71_ItemType,$AD:$AD)</f>
        <v>0</v>
      </c>
      <c r="AC105" s="1345">
        <v>910</v>
      </c>
      <c r="AD105" s="1345" t="s">
        <v>1811</v>
      </c>
    </row>
    <row r="106" spans="1:30" ht="13.5" x14ac:dyDescent="0.25">
      <c r="A106" s="745" t="str">
        <f>'Org structure'!A11</f>
        <v>Vote 10 - Public Safety</v>
      </c>
      <c r="B106" s="899"/>
      <c r="C106" s="733">
        <f>SUM(C107:C116)</f>
        <v>0</v>
      </c>
      <c r="D106" s="732">
        <f t="shared" ref="D106:I106" si="15">SUM(D107:D116)</f>
        <v>0</v>
      </c>
      <c r="E106" s="732">
        <f t="shared" si="15"/>
        <v>0</v>
      </c>
      <c r="F106" s="732">
        <f t="shared" si="15"/>
        <v>0</v>
      </c>
      <c r="G106" s="732">
        <f t="shared" si="15"/>
        <v>0</v>
      </c>
      <c r="H106" s="732">
        <f t="shared" si="15"/>
        <v>0</v>
      </c>
      <c r="I106" s="732">
        <f t="shared" si="15"/>
        <v>0</v>
      </c>
      <c r="J106" s="75">
        <f t="shared" si="14"/>
        <v>0</v>
      </c>
      <c r="K106" s="75">
        <f t="shared" si="10"/>
        <v>0</v>
      </c>
      <c r="L106" s="732">
        <f>SUM(L107:L116)</f>
        <v>0</v>
      </c>
      <c r="M106" s="759">
        <f>SUM(M107:M116)</f>
        <v>0</v>
      </c>
    </row>
    <row r="107" spans="1:30" ht="13.5" x14ac:dyDescent="0.25">
      <c r="A107" s="748" t="str">
        <f>IF(RIGHT('Org structure'!D102,18)&lt;&gt;"[Name of sub-vote]",'Org structure'!D102,"")</f>
        <v>10.1 - Fire Fighting and Protection</v>
      </c>
      <c r="B107" s="899"/>
      <c r="C107" s="1360">
        <f>-SUMIFS(Sheet1!S71_OriginalBudget,Sheet1!S71_SubMunicipalVoteNo,$AC:$AC,Sheet1!S71_ItemType,$AD:$AD)</f>
        <v>0</v>
      </c>
      <c r="D107" s="1356">
        <f>-SUMIFS(Sheet1!S71_SpecialAdjustedBudget,Sheet1!S71_SubMunicipalVoteNo,$AC:$AC,Sheet1!S71_ItemType,$AD:$AD)</f>
        <v>0</v>
      </c>
      <c r="E107" s="1356"/>
      <c r="F107" s="1356"/>
      <c r="G107" s="1356"/>
      <c r="H107" s="1356"/>
      <c r="I107" s="1356">
        <f>SUMIFS(Sheet1!S71_AdjustmentAmount,Sheet1!S71_SubMunicipalVoteNo,$AC:$AC,Sheet1!S71_ItemType,$AD:$AD)</f>
        <v>0</v>
      </c>
      <c r="J107" s="75">
        <f t="shared" si="14"/>
        <v>0</v>
      </c>
      <c r="K107" s="75">
        <f t="shared" si="10"/>
        <v>0</v>
      </c>
      <c r="L107" s="1356">
        <f>-SUMIFS(Sheet1!S71_OY1AdjustedBudget,Sheet1!S71_SubMunicipalVoteNo,$AC:$AC,Sheet1!S71_ItemType,$AD:$AD)</f>
        <v>0</v>
      </c>
      <c r="M107" s="1357">
        <f>-SUMIFS(Sheet1!S71_OY2AdjustedBudget,Sheet1!S71_SubMunicipalVoteNo,$AC:$AC,Sheet1!S71_ItemType,$AD:$AD)</f>
        <v>0</v>
      </c>
      <c r="AC107" s="1345">
        <v>101</v>
      </c>
      <c r="AD107" s="1345" t="s">
        <v>1811</v>
      </c>
    </row>
    <row r="108" spans="1:30" ht="13.5" x14ac:dyDescent="0.25">
      <c r="A108" s="748" t="str">
        <f>IF(RIGHT('Org structure'!D103,18)&lt;&gt;"[Name of sub-vote]",'Org structure'!D103,"")</f>
        <v>10.2 - Fencing and Fences</v>
      </c>
      <c r="B108" s="899"/>
      <c r="C108" s="1360">
        <f>-SUMIFS(Sheet1!S71_OriginalBudget,Sheet1!S71_SubMunicipalVoteNo,$AC:$AC,Sheet1!S71_ItemType,$AD:$AD)</f>
        <v>0</v>
      </c>
      <c r="D108" s="1356">
        <f>-SUMIFS(Sheet1!S71_SpecialAdjustedBudget,Sheet1!S71_SubMunicipalVoteNo,$AC:$AC,Sheet1!S71_ItemType,$AD:$AD)</f>
        <v>0</v>
      </c>
      <c r="E108" s="1356"/>
      <c r="F108" s="1356"/>
      <c r="G108" s="1356"/>
      <c r="H108" s="1356"/>
      <c r="I108" s="1356">
        <f>SUMIFS(Sheet1!S71_AdjustmentAmount,Sheet1!S71_SubMunicipalVoteNo,$AC:$AC,Sheet1!S71_ItemType,$AD:$AD)</f>
        <v>0</v>
      </c>
      <c r="J108" s="75">
        <f t="shared" si="14"/>
        <v>0</v>
      </c>
      <c r="K108" s="75">
        <f t="shared" si="10"/>
        <v>0</v>
      </c>
      <c r="L108" s="1356">
        <f>-SUMIFS(Sheet1!S71_OY1AdjustedBudget,Sheet1!S71_SubMunicipalVoteNo,$AC:$AC,Sheet1!S71_ItemType,$AD:$AD)</f>
        <v>0</v>
      </c>
      <c r="M108" s="1357">
        <f>-SUMIFS(Sheet1!S71_OY2AdjustedBudget,Sheet1!S71_SubMunicipalVoteNo,$AC:$AC,Sheet1!S71_ItemType,$AD:$AD)</f>
        <v>0</v>
      </c>
      <c r="AC108" s="1345">
        <v>102</v>
      </c>
      <c r="AD108" s="1345" t="s">
        <v>1811</v>
      </c>
    </row>
    <row r="109" spans="1:30" ht="13.5" x14ac:dyDescent="0.25">
      <c r="A109" s="748" t="str">
        <f>IF(RIGHT('Org structure'!D104,18)&lt;&gt;"[Name of sub-vote]",'Org structure'!D104,"")</f>
        <v/>
      </c>
      <c r="B109" s="899"/>
      <c r="C109" s="1360">
        <f>-SUMIFS(Sheet1!S71_OriginalBudget,Sheet1!S71_SubMunicipalVoteNo,$AC:$AC,Sheet1!S71_ItemType,$AD:$AD)</f>
        <v>0</v>
      </c>
      <c r="D109" s="1356">
        <f>-SUMIFS(Sheet1!S71_SpecialAdjustedBudget,Sheet1!S71_SubMunicipalVoteNo,$AC:$AC,Sheet1!S71_ItemType,$AD:$AD)</f>
        <v>0</v>
      </c>
      <c r="E109" s="1356"/>
      <c r="F109" s="1356"/>
      <c r="G109" s="1356"/>
      <c r="H109" s="1356"/>
      <c r="I109" s="1356">
        <f>SUMIFS(Sheet1!S71_AdjustmentAmount,Sheet1!S71_SubMunicipalVoteNo,$AC:$AC,Sheet1!S71_ItemType,$AD:$AD)</f>
        <v>0</v>
      </c>
      <c r="J109" s="75">
        <f t="shared" si="14"/>
        <v>0</v>
      </c>
      <c r="K109" s="75">
        <f t="shared" si="10"/>
        <v>0</v>
      </c>
      <c r="L109" s="1356">
        <f>-SUMIFS(Sheet1!S71_OY1AdjustedBudget,Sheet1!S71_SubMunicipalVoteNo,$AC:$AC,Sheet1!S71_ItemType,$AD:$AD)</f>
        <v>0</v>
      </c>
      <c r="M109" s="1357">
        <f>-SUMIFS(Sheet1!S71_OY2AdjustedBudget,Sheet1!S71_SubMunicipalVoteNo,$AC:$AC,Sheet1!S71_ItemType,$AD:$AD)</f>
        <v>0</v>
      </c>
      <c r="AC109" s="1345">
        <v>103</v>
      </c>
      <c r="AD109" s="1345" t="s">
        <v>1811</v>
      </c>
    </row>
    <row r="110" spans="1:30" ht="13.5" x14ac:dyDescent="0.25">
      <c r="A110" s="748" t="str">
        <f>IF(RIGHT('Org structure'!D105,18)&lt;&gt;"[Name of sub-vote]",'Org structure'!D105,"")</f>
        <v/>
      </c>
      <c r="B110" s="899"/>
      <c r="C110" s="1360">
        <f>-SUMIFS(Sheet1!S71_OriginalBudget,Sheet1!S71_SubMunicipalVoteNo,$AC:$AC,Sheet1!S71_ItemType,$AD:$AD)</f>
        <v>0</v>
      </c>
      <c r="D110" s="1356">
        <f>-SUMIFS(Sheet1!S71_SpecialAdjustedBudget,Sheet1!S71_SubMunicipalVoteNo,$AC:$AC,Sheet1!S71_ItemType,$AD:$AD)</f>
        <v>0</v>
      </c>
      <c r="E110" s="1356"/>
      <c r="F110" s="1356"/>
      <c r="G110" s="1356"/>
      <c r="H110" s="1356"/>
      <c r="I110" s="1356">
        <f>SUMIFS(Sheet1!S71_AdjustmentAmount,Sheet1!S71_SubMunicipalVoteNo,$AC:$AC,Sheet1!S71_ItemType,$AD:$AD)</f>
        <v>0</v>
      </c>
      <c r="J110" s="75">
        <f t="shared" si="14"/>
        <v>0</v>
      </c>
      <c r="K110" s="75">
        <f t="shared" si="10"/>
        <v>0</v>
      </c>
      <c r="L110" s="1356">
        <f>-SUMIFS(Sheet1!S71_OY1AdjustedBudget,Sheet1!S71_SubMunicipalVoteNo,$AC:$AC,Sheet1!S71_ItemType,$AD:$AD)</f>
        <v>0</v>
      </c>
      <c r="M110" s="1357">
        <f>-SUMIFS(Sheet1!S71_OY2AdjustedBudget,Sheet1!S71_SubMunicipalVoteNo,$AC:$AC,Sheet1!S71_ItemType,$AD:$AD)</f>
        <v>0</v>
      </c>
      <c r="AC110" s="1345">
        <v>104</v>
      </c>
      <c r="AD110" s="1345" t="s">
        <v>1811</v>
      </c>
    </row>
    <row r="111" spans="1:30" ht="13.5" x14ac:dyDescent="0.25">
      <c r="A111" s="748" t="str">
        <f>IF(RIGHT('Org structure'!D106,18)&lt;&gt;"[Name of sub-vote]",'Org structure'!D106,"")</f>
        <v/>
      </c>
      <c r="B111" s="899"/>
      <c r="C111" s="1360">
        <f>-SUMIFS(Sheet1!S71_OriginalBudget,Sheet1!S71_SubMunicipalVoteNo,$AC:$AC,Sheet1!S71_ItemType,$AD:$AD)</f>
        <v>0</v>
      </c>
      <c r="D111" s="1356">
        <f>-SUMIFS(Sheet1!S71_SpecialAdjustedBudget,Sheet1!S71_SubMunicipalVoteNo,$AC:$AC,Sheet1!S71_ItemType,$AD:$AD)</f>
        <v>0</v>
      </c>
      <c r="E111" s="1356"/>
      <c r="F111" s="1356"/>
      <c r="G111" s="1356"/>
      <c r="H111" s="1356"/>
      <c r="I111" s="1356">
        <f>SUMIFS(Sheet1!S71_AdjustmentAmount,Sheet1!S71_SubMunicipalVoteNo,$AC:$AC,Sheet1!S71_ItemType,$AD:$AD)</f>
        <v>0</v>
      </c>
      <c r="J111" s="75">
        <f t="shared" si="14"/>
        <v>0</v>
      </c>
      <c r="K111" s="75">
        <f t="shared" si="10"/>
        <v>0</v>
      </c>
      <c r="L111" s="1356">
        <f>-SUMIFS(Sheet1!S71_OY1AdjustedBudget,Sheet1!S71_SubMunicipalVoteNo,$AC:$AC,Sheet1!S71_ItemType,$AD:$AD)</f>
        <v>0</v>
      </c>
      <c r="M111" s="1357">
        <f>-SUMIFS(Sheet1!S71_OY2AdjustedBudget,Sheet1!S71_SubMunicipalVoteNo,$AC:$AC,Sheet1!S71_ItemType,$AD:$AD)</f>
        <v>0</v>
      </c>
      <c r="AC111" s="1345">
        <v>105</v>
      </c>
      <c r="AD111" s="1345" t="s">
        <v>1811</v>
      </c>
    </row>
    <row r="112" spans="1:30" ht="13.5" x14ac:dyDescent="0.25">
      <c r="A112" s="748" t="str">
        <f>IF(RIGHT('Org structure'!D107,18)&lt;&gt;"[Name of sub-vote]",'Org structure'!D107,"")</f>
        <v/>
      </c>
      <c r="B112" s="899"/>
      <c r="C112" s="1360">
        <f>-SUMIFS(Sheet1!S71_OriginalBudget,Sheet1!S71_SubMunicipalVoteNo,$AC:$AC,Sheet1!S71_ItemType,$AD:$AD)</f>
        <v>0</v>
      </c>
      <c r="D112" s="1356">
        <f>-SUMIFS(Sheet1!S71_SpecialAdjustedBudget,Sheet1!S71_SubMunicipalVoteNo,$AC:$AC,Sheet1!S71_ItemType,$AD:$AD)</f>
        <v>0</v>
      </c>
      <c r="E112" s="1356"/>
      <c r="F112" s="1356"/>
      <c r="G112" s="1356"/>
      <c r="H112" s="1356"/>
      <c r="I112" s="1356">
        <f>SUMIFS(Sheet1!S71_AdjustmentAmount,Sheet1!S71_SubMunicipalVoteNo,$AC:$AC,Sheet1!S71_ItemType,$AD:$AD)</f>
        <v>0</v>
      </c>
      <c r="J112" s="75">
        <f t="shared" si="14"/>
        <v>0</v>
      </c>
      <c r="K112" s="75">
        <f t="shared" si="10"/>
        <v>0</v>
      </c>
      <c r="L112" s="1356">
        <f>-SUMIFS(Sheet1!S71_OY1AdjustedBudget,Sheet1!S71_SubMunicipalVoteNo,$AC:$AC,Sheet1!S71_ItemType,$AD:$AD)</f>
        <v>0</v>
      </c>
      <c r="M112" s="1357">
        <f>-SUMIFS(Sheet1!S71_OY2AdjustedBudget,Sheet1!S71_SubMunicipalVoteNo,$AC:$AC,Sheet1!S71_ItemType,$AD:$AD)</f>
        <v>0</v>
      </c>
      <c r="AC112" s="1345">
        <v>106</v>
      </c>
      <c r="AD112" s="1345" t="s">
        <v>1811</v>
      </c>
    </row>
    <row r="113" spans="1:30" ht="13.5" x14ac:dyDescent="0.25">
      <c r="A113" s="748" t="str">
        <f>IF(RIGHT('Org structure'!D108,18)&lt;&gt;"[Name of sub-vote]",'Org structure'!D108,"")</f>
        <v/>
      </c>
      <c r="B113" s="899"/>
      <c r="C113" s="1360">
        <f>-SUMIFS(Sheet1!S71_OriginalBudget,Sheet1!S71_SubMunicipalVoteNo,$AC:$AC,Sheet1!S71_ItemType,$AD:$AD)</f>
        <v>0</v>
      </c>
      <c r="D113" s="1356">
        <f>-SUMIFS(Sheet1!S71_SpecialAdjustedBudget,Sheet1!S71_SubMunicipalVoteNo,$AC:$AC,Sheet1!S71_ItemType,$AD:$AD)</f>
        <v>0</v>
      </c>
      <c r="E113" s="1356"/>
      <c r="F113" s="1356"/>
      <c r="G113" s="1356"/>
      <c r="H113" s="1356"/>
      <c r="I113" s="1356">
        <f>SUMIFS(Sheet1!S71_AdjustmentAmount,Sheet1!S71_SubMunicipalVoteNo,$AC:$AC,Sheet1!S71_ItemType,$AD:$AD)</f>
        <v>0</v>
      </c>
      <c r="J113" s="75">
        <f t="shared" si="14"/>
        <v>0</v>
      </c>
      <c r="K113" s="75">
        <f t="shared" si="10"/>
        <v>0</v>
      </c>
      <c r="L113" s="1356">
        <f>-SUMIFS(Sheet1!S71_OY1AdjustedBudget,Sheet1!S71_SubMunicipalVoteNo,$AC:$AC,Sheet1!S71_ItemType,$AD:$AD)</f>
        <v>0</v>
      </c>
      <c r="M113" s="1357">
        <f>-SUMIFS(Sheet1!S71_OY2AdjustedBudget,Sheet1!S71_SubMunicipalVoteNo,$AC:$AC,Sheet1!S71_ItemType,$AD:$AD)</f>
        <v>0</v>
      </c>
      <c r="AC113" s="1345">
        <v>107</v>
      </c>
      <c r="AD113" s="1345" t="s">
        <v>1811</v>
      </c>
    </row>
    <row r="114" spans="1:30" ht="13.5" x14ac:dyDescent="0.25">
      <c r="A114" s="748" t="str">
        <f>IF(RIGHT('Org structure'!D109,18)&lt;&gt;"[Name of sub-vote]",'Org structure'!D109,"")</f>
        <v/>
      </c>
      <c r="B114" s="899"/>
      <c r="C114" s="1360">
        <f>-SUMIFS(Sheet1!S71_OriginalBudget,Sheet1!S71_SubMunicipalVoteNo,$AC:$AC,Sheet1!S71_ItemType,$AD:$AD)</f>
        <v>0</v>
      </c>
      <c r="D114" s="1356">
        <f>-SUMIFS(Sheet1!S71_SpecialAdjustedBudget,Sheet1!S71_SubMunicipalVoteNo,$AC:$AC,Sheet1!S71_ItemType,$AD:$AD)</f>
        <v>0</v>
      </c>
      <c r="E114" s="1356"/>
      <c r="F114" s="1356"/>
      <c r="G114" s="1356"/>
      <c r="H114" s="1356"/>
      <c r="I114" s="1356">
        <f>SUMIFS(Sheet1!S71_AdjustmentAmount,Sheet1!S71_SubMunicipalVoteNo,$AC:$AC,Sheet1!S71_ItemType,$AD:$AD)</f>
        <v>0</v>
      </c>
      <c r="J114" s="75">
        <f t="shared" si="14"/>
        <v>0</v>
      </c>
      <c r="K114" s="75">
        <f t="shared" si="10"/>
        <v>0</v>
      </c>
      <c r="L114" s="1356">
        <f>-SUMIFS(Sheet1!S71_OY1AdjustedBudget,Sheet1!S71_SubMunicipalVoteNo,$AC:$AC,Sheet1!S71_ItemType,$AD:$AD)</f>
        <v>0</v>
      </c>
      <c r="M114" s="1357">
        <f>-SUMIFS(Sheet1!S71_OY2AdjustedBudget,Sheet1!S71_SubMunicipalVoteNo,$AC:$AC,Sheet1!S71_ItemType,$AD:$AD)</f>
        <v>0</v>
      </c>
      <c r="AC114" s="1345">
        <v>108</v>
      </c>
      <c r="AD114" s="1345" t="s">
        <v>1811</v>
      </c>
    </row>
    <row r="115" spans="1:30" ht="13.5" x14ac:dyDescent="0.25">
      <c r="A115" s="748" t="str">
        <f>IF(RIGHT('Org structure'!D110,18)&lt;&gt;"[Name of sub-vote]",'Org structure'!D110,"")</f>
        <v/>
      </c>
      <c r="B115" s="899"/>
      <c r="C115" s="1360">
        <f>-SUMIFS(Sheet1!S71_OriginalBudget,Sheet1!S71_SubMunicipalVoteNo,$AC:$AC,Sheet1!S71_ItemType,$AD:$AD)</f>
        <v>0</v>
      </c>
      <c r="D115" s="1356">
        <f>-SUMIFS(Sheet1!S71_SpecialAdjustedBudget,Sheet1!S71_SubMunicipalVoteNo,$AC:$AC,Sheet1!S71_ItemType,$AD:$AD)</f>
        <v>0</v>
      </c>
      <c r="E115" s="1356"/>
      <c r="F115" s="1356"/>
      <c r="G115" s="1356"/>
      <c r="H115" s="1356"/>
      <c r="I115" s="1356">
        <f>SUMIFS(Sheet1!S71_AdjustmentAmount,Sheet1!S71_SubMunicipalVoteNo,$AC:$AC,Sheet1!S71_ItemType,$AD:$AD)</f>
        <v>0</v>
      </c>
      <c r="J115" s="75">
        <f t="shared" si="14"/>
        <v>0</v>
      </c>
      <c r="K115" s="75">
        <f t="shared" si="10"/>
        <v>0</v>
      </c>
      <c r="L115" s="1356">
        <f>-SUMIFS(Sheet1!S71_OY1AdjustedBudget,Sheet1!S71_SubMunicipalVoteNo,$AC:$AC,Sheet1!S71_ItemType,$AD:$AD)</f>
        <v>0</v>
      </c>
      <c r="M115" s="1357">
        <f>-SUMIFS(Sheet1!S71_OY2AdjustedBudget,Sheet1!S71_SubMunicipalVoteNo,$AC:$AC,Sheet1!S71_ItemType,$AD:$AD)</f>
        <v>0</v>
      </c>
      <c r="AC115" s="1345">
        <v>109</v>
      </c>
      <c r="AD115" s="1345" t="s">
        <v>1811</v>
      </c>
    </row>
    <row r="116" spans="1:30" ht="13.5" x14ac:dyDescent="0.25">
      <c r="A116" s="748" t="str">
        <f>IF(RIGHT('Org structure'!D111,18)&lt;&gt;"[Name of sub-vote]",'Org structure'!D111,"")</f>
        <v/>
      </c>
      <c r="B116" s="899"/>
      <c r="C116" s="1360">
        <f>-SUMIFS(Sheet1!S71_OriginalBudget,Sheet1!S71_SubMunicipalVoteNo,$AC:$AC,Sheet1!S71_ItemType,$AD:$AD)</f>
        <v>0</v>
      </c>
      <c r="D116" s="1356">
        <f>-SUMIFS(Sheet1!S71_SpecialAdjustedBudget,Sheet1!S71_SubMunicipalVoteNo,$AC:$AC,Sheet1!S71_ItemType,$AD:$AD)</f>
        <v>0</v>
      </c>
      <c r="E116" s="1356"/>
      <c r="F116" s="1356"/>
      <c r="G116" s="1356"/>
      <c r="H116" s="1356"/>
      <c r="I116" s="1356">
        <f>SUMIFS(Sheet1!S71_AdjustmentAmount,Sheet1!S71_SubMunicipalVoteNo,$AC:$AC,Sheet1!S71_ItemType,$AD:$AD)</f>
        <v>0</v>
      </c>
      <c r="J116" s="75">
        <f t="shared" si="14"/>
        <v>0</v>
      </c>
      <c r="K116" s="75">
        <f t="shared" si="10"/>
        <v>0</v>
      </c>
      <c r="L116" s="1356">
        <f>-SUMIFS(Sheet1!S71_OY1AdjustedBudget,Sheet1!S71_SubMunicipalVoteNo,$AC:$AC,Sheet1!S71_ItemType,$AD:$AD)</f>
        <v>0</v>
      </c>
      <c r="M116" s="1357">
        <f>-SUMIFS(Sheet1!S71_OY2AdjustedBudget,Sheet1!S71_SubMunicipalVoteNo,$AC:$AC,Sheet1!S71_ItemType,$AD:$AD)</f>
        <v>0</v>
      </c>
      <c r="AC116" s="1345">
        <v>1010</v>
      </c>
      <c r="AD116" s="1345" t="s">
        <v>1811</v>
      </c>
    </row>
    <row r="117" spans="1:30" ht="13.5" x14ac:dyDescent="0.25">
      <c r="A117" s="745" t="str">
        <f>'Org structure'!A12</f>
        <v>Vote 11 - Other</v>
      </c>
      <c r="B117" s="899"/>
      <c r="C117" s="733">
        <f>SUM(C118:C127)</f>
        <v>7121110</v>
      </c>
      <c r="D117" s="732">
        <f t="shared" ref="D117:I117" si="16">SUM(D118:D127)</f>
        <v>7121110</v>
      </c>
      <c r="E117" s="732">
        <f t="shared" si="16"/>
        <v>0</v>
      </c>
      <c r="F117" s="732">
        <f t="shared" si="16"/>
        <v>0</v>
      </c>
      <c r="G117" s="732">
        <f t="shared" si="16"/>
        <v>0</v>
      </c>
      <c r="H117" s="732">
        <f t="shared" si="16"/>
        <v>0</v>
      </c>
      <c r="I117" s="732">
        <f t="shared" si="16"/>
        <v>1200</v>
      </c>
      <c r="J117" s="75">
        <f t="shared" si="14"/>
        <v>1200</v>
      </c>
      <c r="K117" s="75">
        <f t="shared" si="10"/>
        <v>7122310</v>
      </c>
      <c r="L117" s="732">
        <f>SUM(L118:L127)</f>
        <v>7548377</v>
      </c>
      <c r="M117" s="759">
        <f>SUM(M118:M127)</f>
        <v>8001279</v>
      </c>
    </row>
    <row r="118" spans="1:30" ht="13.5" x14ac:dyDescent="0.25">
      <c r="A118" s="748" t="str">
        <f>IF(RIGHT('Org structure'!D113,18)&lt;&gt;"[Name of sub-vote]",'Org structure'!D113,"")</f>
        <v>11.1 - Licensing and Regulation</v>
      </c>
      <c r="B118" s="899"/>
      <c r="C118" s="1360">
        <f>-SUMIFS(Sheet1!S71_OriginalBudget,Sheet1!S71_SubMunicipalVoteNo,$AC:$AC,Sheet1!S71_ItemType,$AD:$AD)</f>
        <v>7121110</v>
      </c>
      <c r="D118" s="1356">
        <f>-SUMIFS(Sheet1!S71_SpecialAdjustedBudget,Sheet1!S71_SubMunicipalVoteNo,$AC:$AC,Sheet1!S71_ItemType,$AD:$AD)</f>
        <v>7121110</v>
      </c>
      <c r="E118" s="1356"/>
      <c r="F118" s="1356"/>
      <c r="G118" s="1356"/>
      <c r="H118" s="1356"/>
      <c r="I118" s="1356">
        <f>SUMIFS(Sheet1!S71_AdjustmentAmount,Sheet1!S71_SubMunicipalVoteNo,$AC:$AC,Sheet1!S71_ItemType,$AD:$AD)</f>
        <v>1200</v>
      </c>
      <c r="J118" s="75">
        <f t="shared" si="14"/>
        <v>1200</v>
      </c>
      <c r="K118" s="75">
        <f t="shared" si="10"/>
        <v>7122310</v>
      </c>
      <c r="L118" s="1356">
        <f>-SUMIFS(Sheet1!S71_OY1AdjustedBudget,Sheet1!S71_SubMunicipalVoteNo,$AC:$AC,Sheet1!S71_ItemType,$AD:$AD)</f>
        <v>7548377</v>
      </c>
      <c r="M118" s="1357">
        <f>-SUMIFS(Sheet1!S71_OY2AdjustedBudget,Sheet1!S71_SubMunicipalVoteNo,$AC:$AC,Sheet1!S71_ItemType,$AD:$AD)</f>
        <v>8001279</v>
      </c>
      <c r="AC118" s="1345">
        <v>111</v>
      </c>
      <c r="AD118" s="1345" t="s">
        <v>1811</v>
      </c>
    </row>
    <row r="119" spans="1:30" ht="13.5" x14ac:dyDescent="0.25">
      <c r="A119" s="748" t="str">
        <f>IF(RIGHT('Org structure'!D114,18)&lt;&gt;"[Name of sub-vote]",'Org structure'!D114,"")</f>
        <v/>
      </c>
      <c r="B119" s="899"/>
      <c r="C119" s="1360">
        <f>-SUMIFS(Sheet1!S71_OriginalBudget,Sheet1!S71_SubMunicipalVoteNo,$AC:$AC,Sheet1!S71_ItemType,$AD:$AD)</f>
        <v>0</v>
      </c>
      <c r="D119" s="1356">
        <f>-SUMIFS(Sheet1!S71_SpecialAdjustedBudget,Sheet1!S71_SubMunicipalVoteNo,$AC:$AC,Sheet1!S71_ItemType,$AD:$AD)</f>
        <v>0</v>
      </c>
      <c r="E119" s="1356"/>
      <c r="F119" s="1356"/>
      <c r="G119" s="1356"/>
      <c r="H119" s="1356"/>
      <c r="I119" s="1356">
        <f>SUMIFS(Sheet1!S71_AdjustmentAmount,Sheet1!S71_SubMunicipalVoteNo,$AC:$AC,Sheet1!S71_ItemType,$AD:$AD)</f>
        <v>0</v>
      </c>
      <c r="J119" s="75">
        <f t="shared" si="14"/>
        <v>0</v>
      </c>
      <c r="K119" s="75">
        <f t="shared" si="10"/>
        <v>0</v>
      </c>
      <c r="L119" s="1356">
        <f>-SUMIFS(Sheet1!S71_OY1AdjustedBudget,Sheet1!S71_SubMunicipalVoteNo,$AC:$AC,Sheet1!S71_ItemType,$AD:$AD)</f>
        <v>0</v>
      </c>
      <c r="M119" s="1357">
        <f>-SUMIFS(Sheet1!S71_OY2AdjustedBudget,Sheet1!S71_SubMunicipalVoteNo,$AC:$AC,Sheet1!S71_ItemType,$AD:$AD)</f>
        <v>0</v>
      </c>
      <c r="AC119" s="1345">
        <v>112</v>
      </c>
      <c r="AD119" s="1345" t="s">
        <v>1811</v>
      </c>
    </row>
    <row r="120" spans="1:30" ht="13.5" x14ac:dyDescent="0.25">
      <c r="A120" s="748" t="str">
        <f>IF(RIGHT('Org structure'!D115,18)&lt;&gt;"[Name of sub-vote]",'Org structure'!D115,"")</f>
        <v/>
      </c>
      <c r="B120" s="899"/>
      <c r="C120" s="1360">
        <f>-SUMIFS(Sheet1!S71_OriginalBudget,Sheet1!S71_SubMunicipalVoteNo,$AC:$AC,Sheet1!S71_ItemType,$AD:$AD)</f>
        <v>0</v>
      </c>
      <c r="D120" s="1356">
        <f>-SUMIFS(Sheet1!S71_SpecialAdjustedBudget,Sheet1!S71_SubMunicipalVoteNo,$AC:$AC,Sheet1!S71_ItemType,$AD:$AD)</f>
        <v>0</v>
      </c>
      <c r="E120" s="1356"/>
      <c r="F120" s="1356"/>
      <c r="G120" s="1356"/>
      <c r="H120" s="1356"/>
      <c r="I120" s="1356">
        <f>SUMIFS(Sheet1!S71_AdjustmentAmount,Sheet1!S71_SubMunicipalVoteNo,$AC:$AC,Sheet1!S71_ItemType,$AD:$AD)</f>
        <v>0</v>
      </c>
      <c r="J120" s="75">
        <f t="shared" si="14"/>
        <v>0</v>
      </c>
      <c r="K120" s="75">
        <f t="shared" si="10"/>
        <v>0</v>
      </c>
      <c r="L120" s="1356">
        <f>-SUMIFS(Sheet1!S71_OY1AdjustedBudget,Sheet1!S71_SubMunicipalVoteNo,$AC:$AC,Sheet1!S71_ItemType,$AD:$AD)</f>
        <v>0</v>
      </c>
      <c r="M120" s="1357">
        <f>-SUMIFS(Sheet1!S71_OY2AdjustedBudget,Sheet1!S71_SubMunicipalVoteNo,$AC:$AC,Sheet1!S71_ItemType,$AD:$AD)</f>
        <v>0</v>
      </c>
      <c r="AC120" s="1345">
        <v>113</v>
      </c>
      <c r="AD120" s="1345" t="s">
        <v>1811</v>
      </c>
    </row>
    <row r="121" spans="1:30" ht="13.5" x14ac:dyDescent="0.25">
      <c r="A121" s="748" t="str">
        <f>IF(RIGHT('Org structure'!D116,18)&lt;&gt;"[Name of sub-vote]",'Org structure'!D116,"")</f>
        <v/>
      </c>
      <c r="B121" s="899"/>
      <c r="C121" s="1360">
        <f>-SUMIFS(Sheet1!S71_OriginalBudget,Sheet1!S71_SubMunicipalVoteNo,$AC:$AC,Sheet1!S71_ItemType,$AD:$AD)</f>
        <v>0</v>
      </c>
      <c r="D121" s="1356">
        <f>-SUMIFS(Sheet1!S71_SpecialAdjustedBudget,Sheet1!S71_SubMunicipalVoteNo,$AC:$AC,Sheet1!S71_ItemType,$AD:$AD)</f>
        <v>0</v>
      </c>
      <c r="E121" s="1356"/>
      <c r="F121" s="1356"/>
      <c r="G121" s="1356"/>
      <c r="H121" s="1356"/>
      <c r="I121" s="1356">
        <f>SUMIFS(Sheet1!S71_AdjustmentAmount,Sheet1!S71_SubMunicipalVoteNo,$AC:$AC,Sheet1!S71_ItemType,$AD:$AD)</f>
        <v>0</v>
      </c>
      <c r="J121" s="75">
        <f t="shared" si="14"/>
        <v>0</v>
      </c>
      <c r="K121" s="75">
        <f t="shared" si="10"/>
        <v>0</v>
      </c>
      <c r="L121" s="1356">
        <f>-SUMIFS(Sheet1!S71_OY1AdjustedBudget,Sheet1!S71_SubMunicipalVoteNo,$AC:$AC,Sheet1!S71_ItemType,$AD:$AD)</f>
        <v>0</v>
      </c>
      <c r="M121" s="1357">
        <f>-SUMIFS(Sheet1!S71_OY2AdjustedBudget,Sheet1!S71_SubMunicipalVoteNo,$AC:$AC,Sheet1!S71_ItemType,$AD:$AD)</f>
        <v>0</v>
      </c>
      <c r="AC121" s="1345">
        <v>114</v>
      </c>
      <c r="AD121" s="1345" t="s">
        <v>1811</v>
      </c>
    </row>
    <row r="122" spans="1:30" ht="13.5" x14ac:dyDescent="0.25">
      <c r="A122" s="748" t="str">
        <f>IF(RIGHT('Org structure'!D117,18)&lt;&gt;"[Name of sub-vote]",'Org structure'!D117,"")</f>
        <v/>
      </c>
      <c r="B122" s="899"/>
      <c r="C122" s="1360">
        <f>-SUMIFS(Sheet1!S71_OriginalBudget,Sheet1!S71_SubMunicipalVoteNo,$AC:$AC,Sheet1!S71_ItemType,$AD:$AD)</f>
        <v>0</v>
      </c>
      <c r="D122" s="1356">
        <f>-SUMIFS(Sheet1!S71_SpecialAdjustedBudget,Sheet1!S71_SubMunicipalVoteNo,$AC:$AC,Sheet1!S71_ItemType,$AD:$AD)</f>
        <v>0</v>
      </c>
      <c r="E122" s="1356"/>
      <c r="F122" s="1356"/>
      <c r="G122" s="1356"/>
      <c r="H122" s="1356"/>
      <c r="I122" s="1356">
        <f>SUMIFS(Sheet1!S71_AdjustmentAmount,Sheet1!S71_SubMunicipalVoteNo,$AC:$AC,Sheet1!S71_ItemType,$AD:$AD)</f>
        <v>0</v>
      </c>
      <c r="J122" s="75">
        <f t="shared" si="14"/>
        <v>0</v>
      </c>
      <c r="K122" s="75">
        <f t="shared" si="10"/>
        <v>0</v>
      </c>
      <c r="L122" s="1356">
        <f>-SUMIFS(Sheet1!S71_OY1AdjustedBudget,Sheet1!S71_SubMunicipalVoteNo,$AC:$AC,Sheet1!S71_ItemType,$AD:$AD)</f>
        <v>0</v>
      </c>
      <c r="M122" s="1357">
        <f>-SUMIFS(Sheet1!S71_OY2AdjustedBudget,Sheet1!S71_SubMunicipalVoteNo,$AC:$AC,Sheet1!S71_ItemType,$AD:$AD)</f>
        <v>0</v>
      </c>
      <c r="AC122" s="1345">
        <v>115</v>
      </c>
      <c r="AD122" s="1345" t="s">
        <v>1811</v>
      </c>
    </row>
    <row r="123" spans="1:30" ht="13.5" x14ac:dyDescent="0.25">
      <c r="A123" s="748" t="str">
        <f>IF(RIGHT('Org structure'!D118,18)&lt;&gt;"[Name of sub-vote]",'Org structure'!D118,"")</f>
        <v/>
      </c>
      <c r="B123" s="899"/>
      <c r="C123" s="1360">
        <f>-SUMIFS(Sheet1!S71_OriginalBudget,Sheet1!S71_SubMunicipalVoteNo,$AC:$AC,Sheet1!S71_ItemType,$AD:$AD)</f>
        <v>0</v>
      </c>
      <c r="D123" s="1356">
        <f>-SUMIFS(Sheet1!S71_SpecialAdjustedBudget,Sheet1!S71_SubMunicipalVoteNo,$AC:$AC,Sheet1!S71_ItemType,$AD:$AD)</f>
        <v>0</v>
      </c>
      <c r="E123" s="1356"/>
      <c r="F123" s="1356"/>
      <c r="G123" s="1356"/>
      <c r="H123" s="1356"/>
      <c r="I123" s="1356">
        <f>SUMIFS(Sheet1!S71_AdjustmentAmount,Sheet1!S71_SubMunicipalVoteNo,$AC:$AC,Sheet1!S71_ItemType,$AD:$AD)</f>
        <v>0</v>
      </c>
      <c r="J123" s="75">
        <f t="shared" si="14"/>
        <v>0</v>
      </c>
      <c r="K123" s="75">
        <f t="shared" si="10"/>
        <v>0</v>
      </c>
      <c r="L123" s="1356">
        <f>-SUMIFS(Sheet1!S71_OY1AdjustedBudget,Sheet1!S71_SubMunicipalVoteNo,$AC:$AC,Sheet1!S71_ItemType,$AD:$AD)</f>
        <v>0</v>
      </c>
      <c r="M123" s="1357">
        <f>-SUMIFS(Sheet1!S71_OY2AdjustedBudget,Sheet1!S71_SubMunicipalVoteNo,$AC:$AC,Sheet1!S71_ItemType,$AD:$AD)</f>
        <v>0</v>
      </c>
      <c r="AC123" s="1345">
        <v>116</v>
      </c>
      <c r="AD123" s="1345" t="s">
        <v>1811</v>
      </c>
    </row>
    <row r="124" spans="1:30" ht="13.5" x14ac:dyDescent="0.25">
      <c r="A124" s="748" t="str">
        <f>IF(RIGHT('Org structure'!D119,18)&lt;&gt;"[Name of sub-vote]",'Org structure'!D119,"")</f>
        <v/>
      </c>
      <c r="B124" s="899"/>
      <c r="C124" s="1360">
        <f>-SUMIFS(Sheet1!S71_OriginalBudget,Sheet1!S71_SubMunicipalVoteNo,$AC:$AC,Sheet1!S71_ItemType,$AD:$AD)</f>
        <v>0</v>
      </c>
      <c r="D124" s="1356">
        <f>-SUMIFS(Sheet1!S71_SpecialAdjustedBudget,Sheet1!S71_SubMunicipalVoteNo,$AC:$AC,Sheet1!S71_ItemType,$AD:$AD)</f>
        <v>0</v>
      </c>
      <c r="E124" s="1356"/>
      <c r="F124" s="1356"/>
      <c r="G124" s="1356"/>
      <c r="H124" s="1356"/>
      <c r="I124" s="1356">
        <f>SUMIFS(Sheet1!S71_AdjustmentAmount,Sheet1!S71_SubMunicipalVoteNo,$AC:$AC,Sheet1!S71_ItemType,$AD:$AD)</f>
        <v>0</v>
      </c>
      <c r="J124" s="75">
        <f t="shared" si="14"/>
        <v>0</v>
      </c>
      <c r="K124" s="75">
        <f t="shared" si="10"/>
        <v>0</v>
      </c>
      <c r="L124" s="1356">
        <f>-SUMIFS(Sheet1!S71_OY1AdjustedBudget,Sheet1!S71_SubMunicipalVoteNo,$AC:$AC,Sheet1!S71_ItemType,$AD:$AD)</f>
        <v>0</v>
      </c>
      <c r="M124" s="1357">
        <f>-SUMIFS(Sheet1!S71_OY2AdjustedBudget,Sheet1!S71_SubMunicipalVoteNo,$AC:$AC,Sheet1!S71_ItemType,$AD:$AD)</f>
        <v>0</v>
      </c>
      <c r="AC124" s="1345">
        <v>117</v>
      </c>
      <c r="AD124" s="1345" t="s">
        <v>1811</v>
      </c>
    </row>
    <row r="125" spans="1:30" ht="13.5" x14ac:dyDescent="0.25">
      <c r="A125" s="748" t="str">
        <f>IF(RIGHT('Org structure'!D120,18)&lt;&gt;"[Name of sub-vote]",'Org structure'!D120,"")</f>
        <v/>
      </c>
      <c r="B125" s="899"/>
      <c r="C125" s="1360">
        <f>-SUMIFS(Sheet1!S71_OriginalBudget,Sheet1!S71_SubMunicipalVoteNo,$AC:$AC,Sheet1!S71_ItemType,$AD:$AD)</f>
        <v>0</v>
      </c>
      <c r="D125" s="1356">
        <f>-SUMIFS(Sheet1!S71_SpecialAdjustedBudget,Sheet1!S71_SubMunicipalVoteNo,$AC:$AC,Sheet1!S71_ItemType,$AD:$AD)</f>
        <v>0</v>
      </c>
      <c r="E125" s="1356"/>
      <c r="F125" s="1356"/>
      <c r="G125" s="1356"/>
      <c r="H125" s="1356"/>
      <c r="I125" s="1356">
        <f>SUMIFS(Sheet1!S71_AdjustmentAmount,Sheet1!S71_SubMunicipalVoteNo,$AC:$AC,Sheet1!S71_ItemType,$AD:$AD)</f>
        <v>0</v>
      </c>
      <c r="J125" s="75">
        <f t="shared" si="14"/>
        <v>0</v>
      </c>
      <c r="K125" s="75">
        <f t="shared" si="10"/>
        <v>0</v>
      </c>
      <c r="L125" s="1356">
        <f>-SUMIFS(Sheet1!S71_OY1AdjustedBudget,Sheet1!S71_SubMunicipalVoteNo,$AC:$AC,Sheet1!S71_ItemType,$AD:$AD)</f>
        <v>0</v>
      </c>
      <c r="M125" s="1357">
        <f>-SUMIFS(Sheet1!S71_OY2AdjustedBudget,Sheet1!S71_SubMunicipalVoteNo,$AC:$AC,Sheet1!S71_ItemType,$AD:$AD)</f>
        <v>0</v>
      </c>
      <c r="AC125" s="1345">
        <v>118</v>
      </c>
      <c r="AD125" s="1345" t="s">
        <v>1811</v>
      </c>
    </row>
    <row r="126" spans="1:30" ht="13.5" x14ac:dyDescent="0.25">
      <c r="A126" s="748" t="str">
        <f>IF(RIGHT('Org structure'!D121,18)&lt;&gt;"[Name of sub-vote]",'Org structure'!D121,"")</f>
        <v/>
      </c>
      <c r="B126" s="899"/>
      <c r="C126" s="1360">
        <f>-SUMIFS(Sheet1!S71_OriginalBudget,Sheet1!S71_SubMunicipalVoteNo,$AC:$AC,Sheet1!S71_ItemType,$AD:$AD)</f>
        <v>0</v>
      </c>
      <c r="D126" s="1356">
        <f>-SUMIFS(Sheet1!S71_SpecialAdjustedBudget,Sheet1!S71_SubMunicipalVoteNo,$AC:$AC,Sheet1!S71_ItemType,$AD:$AD)</f>
        <v>0</v>
      </c>
      <c r="E126" s="1356"/>
      <c r="F126" s="1356"/>
      <c r="G126" s="1356"/>
      <c r="H126" s="1356"/>
      <c r="I126" s="1356">
        <f>SUMIFS(Sheet1!S71_AdjustmentAmount,Sheet1!S71_SubMunicipalVoteNo,$AC:$AC,Sheet1!S71_ItemType,$AD:$AD)</f>
        <v>0</v>
      </c>
      <c r="J126" s="75">
        <f t="shared" si="14"/>
        <v>0</v>
      </c>
      <c r="K126" s="75">
        <f t="shared" si="10"/>
        <v>0</v>
      </c>
      <c r="L126" s="1356">
        <f>-SUMIFS(Sheet1!S71_OY1AdjustedBudget,Sheet1!S71_SubMunicipalVoteNo,$AC:$AC,Sheet1!S71_ItemType,$AD:$AD)</f>
        <v>0</v>
      </c>
      <c r="M126" s="1357">
        <f>-SUMIFS(Sheet1!S71_OY2AdjustedBudget,Sheet1!S71_SubMunicipalVoteNo,$AC:$AC,Sheet1!S71_ItemType,$AD:$AD)</f>
        <v>0</v>
      </c>
      <c r="AC126" s="1345">
        <v>119</v>
      </c>
      <c r="AD126" s="1345" t="s">
        <v>1811</v>
      </c>
    </row>
    <row r="127" spans="1:30" ht="13.5" x14ac:dyDescent="0.25">
      <c r="A127" s="748" t="str">
        <f>IF(RIGHT('Org structure'!D122,18)&lt;&gt;"[Name of sub-vote]",'Org structure'!D122,"")</f>
        <v/>
      </c>
      <c r="B127" s="899"/>
      <c r="C127" s="1360">
        <f>-SUMIFS(Sheet1!S71_OriginalBudget,Sheet1!S71_SubMunicipalVoteNo,$AC:$AC,Sheet1!S71_ItemType,$AD:$AD)</f>
        <v>0</v>
      </c>
      <c r="D127" s="1356">
        <f>-SUMIFS(Sheet1!S71_SpecialAdjustedBudget,Sheet1!S71_SubMunicipalVoteNo,$AC:$AC,Sheet1!S71_ItemType,$AD:$AD)</f>
        <v>0</v>
      </c>
      <c r="E127" s="1356"/>
      <c r="F127" s="1356"/>
      <c r="G127" s="1356"/>
      <c r="H127" s="1356"/>
      <c r="I127" s="1356">
        <f>SUMIFS(Sheet1!S71_AdjustmentAmount,Sheet1!S71_SubMunicipalVoteNo,$AC:$AC,Sheet1!S71_ItemType,$AD:$AD)</f>
        <v>0</v>
      </c>
      <c r="J127" s="75">
        <f t="shared" si="14"/>
        <v>0</v>
      </c>
      <c r="K127" s="75">
        <f t="shared" si="10"/>
        <v>0</v>
      </c>
      <c r="L127" s="1356">
        <f>-SUMIFS(Sheet1!S71_OY1AdjustedBudget,Sheet1!S71_SubMunicipalVoteNo,$AC:$AC,Sheet1!S71_ItemType,$AD:$AD)</f>
        <v>0</v>
      </c>
      <c r="M127" s="1357">
        <f>-SUMIFS(Sheet1!S71_OY2AdjustedBudget,Sheet1!S71_SubMunicipalVoteNo,$AC:$AC,Sheet1!S71_ItemType,$AD:$AD)</f>
        <v>0</v>
      </c>
      <c r="AC127" s="1345">
        <v>1110</v>
      </c>
      <c r="AD127" s="1345" t="s">
        <v>1811</v>
      </c>
    </row>
    <row r="128" spans="1:30" ht="13.5" x14ac:dyDescent="0.25">
      <c r="A128" s="745" t="str">
        <f>'Org structure'!A13</f>
        <v>Vote 12 - Waste Management</v>
      </c>
      <c r="B128" s="899"/>
      <c r="C128" s="733">
        <f>SUM(C129:C138)</f>
        <v>574287</v>
      </c>
      <c r="D128" s="732">
        <f t="shared" ref="D128:I128" si="17">SUM(D129:D138)</f>
        <v>574287</v>
      </c>
      <c r="E128" s="732">
        <f t="shared" si="17"/>
        <v>0</v>
      </c>
      <c r="F128" s="732">
        <f t="shared" si="17"/>
        <v>0</v>
      </c>
      <c r="G128" s="732">
        <f t="shared" si="17"/>
        <v>0</v>
      </c>
      <c r="H128" s="732">
        <f t="shared" si="17"/>
        <v>0</v>
      </c>
      <c r="I128" s="732">
        <f t="shared" si="17"/>
        <v>0</v>
      </c>
      <c r="J128" s="75">
        <f t="shared" si="14"/>
        <v>0</v>
      </c>
      <c r="K128" s="75">
        <f t="shared" si="10"/>
        <v>574287</v>
      </c>
      <c r="L128" s="732">
        <f>SUM(L129:L138)</f>
        <v>608744</v>
      </c>
      <c r="M128" s="759">
        <f>SUM(M129:M138)</f>
        <v>645269</v>
      </c>
    </row>
    <row r="129" spans="1:30" ht="13.5" x14ac:dyDescent="0.25">
      <c r="A129" s="748" t="str">
        <f>IF(RIGHT('Org structure'!D124,18)&lt;&gt;"[Name of sub-vote]",'Org structure'!D124,"")</f>
        <v>12.1 - Solid Waste Removal</v>
      </c>
      <c r="B129" s="899"/>
      <c r="C129" s="1360">
        <f>-SUMIFS(Sheet1!S71_OriginalBudget,Sheet1!S71_SubMunicipalVoteNo,$AC:$AC,Sheet1!S71_ItemType,$AD:$AD)</f>
        <v>574287</v>
      </c>
      <c r="D129" s="1356">
        <f>-SUMIFS(Sheet1!S71_SpecialAdjustedBudget,Sheet1!S71_SubMunicipalVoteNo,$AC:$AC,Sheet1!S71_ItemType,$AD:$AD)</f>
        <v>574287</v>
      </c>
      <c r="E129" s="1356"/>
      <c r="F129" s="1356"/>
      <c r="G129" s="1356"/>
      <c r="H129" s="1356"/>
      <c r="I129" s="1356">
        <f>SUMIFS(Sheet1!S71_AdjustmentAmount,Sheet1!S71_SubMunicipalVoteNo,$AC:$AC,Sheet1!S71_ItemType,$AD:$AD)</f>
        <v>0</v>
      </c>
      <c r="J129" s="75">
        <f t="shared" si="14"/>
        <v>0</v>
      </c>
      <c r="K129" s="75">
        <f t="shared" si="10"/>
        <v>574287</v>
      </c>
      <c r="L129" s="1356">
        <f>-SUMIFS(Sheet1!S71_OY1AdjustedBudget,Sheet1!S71_SubMunicipalVoteNo,$AC:$AC,Sheet1!S71_ItemType,$AD:$AD)</f>
        <v>608744</v>
      </c>
      <c r="M129" s="1357">
        <f>-SUMIFS(Sheet1!S71_OY2AdjustedBudget,Sheet1!S71_SubMunicipalVoteNo,$AC:$AC,Sheet1!S71_ItemType,$AD:$AD)</f>
        <v>645269</v>
      </c>
      <c r="AC129" s="1345">
        <v>121</v>
      </c>
      <c r="AD129" s="1345" t="s">
        <v>1811</v>
      </c>
    </row>
    <row r="130" spans="1:30" ht="13.5" x14ac:dyDescent="0.25">
      <c r="A130" s="748" t="str">
        <f>IF(RIGHT('Org structure'!D125,18)&lt;&gt;"[Name of sub-vote]",'Org structure'!D125,"")</f>
        <v>12.2 - Street Cleaning</v>
      </c>
      <c r="B130" s="899"/>
      <c r="C130" s="1360">
        <f>-SUMIFS(Sheet1!S71_OriginalBudget,Sheet1!S71_SubMunicipalVoteNo,$AC:$AC,Sheet1!S71_ItemType,$AD:$AD)</f>
        <v>0</v>
      </c>
      <c r="D130" s="1356">
        <f>-SUMIFS(Sheet1!S71_SpecialAdjustedBudget,Sheet1!S71_SubMunicipalVoteNo,$AC:$AC,Sheet1!S71_ItemType,$AD:$AD)</f>
        <v>0</v>
      </c>
      <c r="E130" s="1356"/>
      <c r="F130" s="1356"/>
      <c r="G130" s="1356"/>
      <c r="H130" s="1356"/>
      <c r="I130" s="1356">
        <f>SUMIFS(Sheet1!S71_AdjustmentAmount,Sheet1!S71_SubMunicipalVoteNo,$AC:$AC,Sheet1!S71_ItemType,$AD:$AD)</f>
        <v>0</v>
      </c>
      <c r="J130" s="75">
        <f t="shared" si="14"/>
        <v>0</v>
      </c>
      <c r="K130" s="75">
        <f t="shared" si="10"/>
        <v>0</v>
      </c>
      <c r="L130" s="1356">
        <f>-SUMIFS(Sheet1!S71_OY1AdjustedBudget,Sheet1!S71_SubMunicipalVoteNo,$AC:$AC,Sheet1!S71_ItemType,$AD:$AD)</f>
        <v>0</v>
      </c>
      <c r="M130" s="1357">
        <f>-SUMIFS(Sheet1!S71_OY2AdjustedBudget,Sheet1!S71_SubMunicipalVoteNo,$AC:$AC,Sheet1!S71_ItemType,$AD:$AD)</f>
        <v>0</v>
      </c>
      <c r="AC130" s="1345">
        <v>122</v>
      </c>
      <c r="AD130" s="1345" t="s">
        <v>1811</v>
      </c>
    </row>
    <row r="131" spans="1:30" ht="13.5" x14ac:dyDescent="0.25">
      <c r="A131" s="748" t="str">
        <f>IF(RIGHT('Org structure'!D126,18)&lt;&gt;"[Name of sub-vote]",'Org structure'!D126,"")</f>
        <v>12.3 - Solid Waste Disposal (Landfill Sites)</v>
      </c>
      <c r="B131" s="899"/>
      <c r="C131" s="1360">
        <f>-SUMIFS(Sheet1!S71_OriginalBudget,Sheet1!S71_SubMunicipalVoteNo,$AC:$AC,Sheet1!S71_ItemType,$AD:$AD)</f>
        <v>0</v>
      </c>
      <c r="D131" s="1356">
        <f>-SUMIFS(Sheet1!S71_SpecialAdjustedBudget,Sheet1!S71_SubMunicipalVoteNo,$AC:$AC,Sheet1!S71_ItemType,$AD:$AD)</f>
        <v>0</v>
      </c>
      <c r="E131" s="1356"/>
      <c r="F131" s="1356"/>
      <c r="G131" s="1356"/>
      <c r="H131" s="1356"/>
      <c r="I131" s="1356">
        <f>SUMIFS(Sheet1!S71_AdjustmentAmount,Sheet1!S71_SubMunicipalVoteNo,$AC:$AC,Sheet1!S71_ItemType,$AD:$AD)</f>
        <v>0</v>
      </c>
      <c r="J131" s="75">
        <f t="shared" si="14"/>
        <v>0</v>
      </c>
      <c r="K131" s="75">
        <f t="shared" si="10"/>
        <v>0</v>
      </c>
      <c r="L131" s="1356">
        <f>-SUMIFS(Sheet1!S71_OY1AdjustedBudget,Sheet1!S71_SubMunicipalVoteNo,$AC:$AC,Sheet1!S71_ItemType,$AD:$AD)</f>
        <v>0</v>
      </c>
      <c r="M131" s="1357">
        <f>-SUMIFS(Sheet1!S71_OY2AdjustedBudget,Sheet1!S71_SubMunicipalVoteNo,$AC:$AC,Sheet1!S71_ItemType,$AD:$AD)</f>
        <v>0</v>
      </c>
      <c r="AC131" s="1345">
        <v>123</v>
      </c>
      <c r="AD131" s="1345" t="s">
        <v>1811</v>
      </c>
    </row>
    <row r="132" spans="1:30" ht="13.5" x14ac:dyDescent="0.25">
      <c r="A132" s="748" t="str">
        <f>IF(RIGHT('Org structure'!D127,18)&lt;&gt;"[Name of sub-vote]",'Org structure'!D127,"")</f>
        <v/>
      </c>
      <c r="B132" s="899"/>
      <c r="C132" s="1360">
        <f>-SUMIFS(Sheet1!S71_OriginalBudget,Sheet1!S71_SubMunicipalVoteNo,$AC:$AC,Sheet1!S71_ItemType,$AD:$AD)</f>
        <v>0</v>
      </c>
      <c r="D132" s="1356">
        <f>-SUMIFS(Sheet1!S71_SpecialAdjustedBudget,Sheet1!S71_SubMunicipalVoteNo,$AC:$AC,Sheet1!S71_ItemType,$AD:$AD)</f>
        <v>0</v>
      </c>
      <c r="E132" s="1356"/>
      <c r="F132" s="1356"/>
      <c r="G132" s="1356"/>
      <c r="H132" s="1356"/>
      <c r="I132" s="1356">
        <f>SUMIFS(Sheet1!S71_AdjustmentAmount,Sheet1!S71_SubMunicipalVoteNo,$AC:$AC,Sheet1!S71_ItemType,$AD:$AD)</f>
        <v>0</v>
      </c>
      <c r="J132" s="75">
        <f t="shared" si="14"/>
        <v>0</v>
      </c>
      <c r="K132" s="75">
        <f t="shared" si="10"/>
        <v>0</v>
      </c>
      <c r="L132" s="1356">
        <f>-SUMIFS(Sheet1!S71_OY1AdjustedBudget,Sheet1!S71_SubMunicipalVoteNo,$AC:$AC,Sheet1!S71_ItemType,$AD:$AD)</f>
        <v>0</v>
      </c>
      <c r="M132" s="1357">
        <f>-SUMIFS(Sheet1!S71_OY2AdjustedBudget,Sheet1!S71_SubMunicipalVoteNo,$AC:$AC,Sheet1!S71_ItemType,$AD:$AD)</f>
        <v>0</v>
      </c>
      <c r="AC132" s="1345">
        <v>124</v>
      </c>
      <c r="AD132" s="1345" t="s">
        <v>1811</v>
      </c>
    </row>
    <row r="133" spans="1:30" ht="13.5" x14ac:dyDescent="0.25">
      <c r="A133" s="748" t="str">
        <f>IF(RIGHT('Org structure'!D128,18)&lt;&gt;"[Name of sub-vote]",'Org structure'!D128,"")</f>
        <v/>
      </c>
      <c r="B133" s="899"/>
      <c r="C133" s="1360">
        <f>-SUMIFS(Sheet1!S71_OriginalBudget,Sheet1!S71_SubMunicipalVoteNo,$AC:$AC,Sheet1!S71_ItemType,$AD:$AD)</f>
        <v>0</v>
      </c>
      <c r="D133" s="1356">
        <f>-SUMIFS(Sheet1!S71_SpecialAdjustedBudget,Sheet1!S71_SubMunicipalVoteNo,$AC:$AC,Sheet1!S71_ItemType,$AD:$AD)</f>
        <v>0</v>
      </c>
      <c r="E133" s="1356"/>
      <c r="F133" s="1356"/>
      <c r="G133" s="1356"/>
      <c r="H133" s="1356"/>
      <c r="I133" s="1356">
        <f>SUMIFS(Sheet1!S71_AdjustmentAmount,Sheet1!S71_SubMunicipalVoteNo,$AC:$AC,Sheet1!S71_ItemType,$AD:$AD)</f>
        <v>0</v>
      </c>
      <c r="J133" s="75">
        <f t="shared" si="14"/>
        <v>0</v>
      </c>
      <c r="K133" s="75">
        <f t="shared" si="10"/>
        <v>0</v>
      </c>
      <c r="L133" s="1356">
        <f>-SUMIFS(Sheet1!S71_OY1AdjustedBudget,Sheet1!S71_SubMunicipalVoteNo,$AC:$AC,Sheet1!S71_ItemType,$AD:$AD)</f>
        <v>0</v>
      </c>
      <c r="M133" s="1357">
        <f>-SUMIFS(Sheet1!S71_OY2AdjustedBudget,Sheet1!S71_SubMunicipalVoteNo,$AC:$AC,Sheet1!S71_ItemType,$AD:$AD)</f>
        <v>0</v>
      </c>
      <c r="AC133" s="1345">
        <v>125</v>
      </c>
      <c r="AD133" s="1345" t="s">
        <v>1811</v>
      </c>
    </row>
    <row r="134" spans="1:30" ht="13.5" x14ac:dyDescent="0.25">
      <c r="A134" s="748" t="str">
        <f>IF(RIGHT('Org structure'!D129,18)&lt;&gt;"[Name of sub-vote]",'Org structure'!D129,"")</f>
        <v/>
      </c>
      <c r="B134" s="899"/>
      <c r="C134" s="1360">
        <f>-SUMIFS(Sheet1!S71_OriginalBudget,Sheet1!S71_SubMunicipalVoteNo,$AC:$AC,Sheet1!S71_ItemType,$AD:$AD)</f>
        <v>0</v>
      </c>
      <c r="D134" s="1356">
        <f>-SUMIFS(Sheet1!S71_SpecialAdjustedBudget,Sheet1!S71_SubMunicipalVoteNo,$AC:$AC,Sheet1!S71_ItemType,$AD:$AD)</f>
        <v>0</v>
      </c>
      <c r="E134" s="1356"/>
      <c r="F134" s="1356"/>
      <c r="G134" s="1356"/>
      <c r="H134" s="1356"/>
      <c r="I134" s="1356">
        <f>SUMIFS(Sheet1!S71_AdjustmentAmount,Sheet1!S71_SubMunicipalVoteNo,$AC:$AC,Sheet1!S71_ItemType,$AD:$AD)</f>
        <v>0</v>
      </c>
      <c r="J134" s="75">
        <f t="shared" si="14"/>
        <v>0</v>
      </c>
      <c r="K134" s="75">
        <f t="shared" si="10"/>
        <v>0</v>
      </c>
      <c r="L134" s="1356">
        <f>-SUMIFS(Sheet1!S71_OY1AdjustedBudget,Sheet1!S71_SubMunicipalVoteNo,$AC:$AC,Sheet1!S71_ItemType,$AD:$AD)</f>
        <v>0</v>
      </c>
      <c r="M134" s="1357">
        <f>-SUMIFS(Sheet1!S71_OY2AdjustedBudget,Sheet1!S71_SubMunicipalVoteNo,$AC:$AC,Sheet1!S71_ItemType,$AD:$AD)</f>
        <v>0</v>
      </c>
      <c r="AC134" s="1345">
        <v>126</v>
      </c>
      <c r="AD134" s="1345" t="s">
        <v>1811</v>
      </c>
    </row>
    <row r="135" spans="1:30" ht="13.5" x14ac:dyDescent="0.25">
      <c r="A135" s="748" t="str">
        <f>IF(RIGHT('Org structure'!D130,18)&lt;&gt;"[Name of sub-vote]",'Org structure'!D130,"")</f>
        <v/>
      </c>
      <c r="B135" s="899"/>
      <c r="C135" s="1360">
        <f>-SUMIFS(Sheet1!S71_OriginalBudget,Sheet1!S71_SubMunicipalVoteNo,$AC:$AC,Sheet1!S71_ItemType,$AD:$AD)</f>
        <v>0</v>
      </c>
      <c r="D135" s="1356">
        <f>-SUMIFS(Sheet1!S71_SpecialAdjustedBudget,Sheet1!S71_SubMunicipalVoteNo,$AC:$AC,Sheet1!S71_ItemType,$AD:$AD)</f>
        <v>0</v>
      </c>
      <c r="E135" s="1356"/>
      <c r="F135" s="1356"/>
      <c r="G135" s="1356"/>
      <c r="H135" s="1356"/>
      <c r="I135" s="1356">
        <f>SUMIFS(Sheet1!S71_AdjustmentAmount,Sheet1!S71_SubMunicipalVoteNo,$AC:$AC,Sheet1!S71_ItemType,$AD:$AD)</f>
        <v>0</v>
      </c>
      <c r="J135" s="75">
        <f t="shared" ref="J135:J166" si="18">SUM(E135:I135)</f>
        <v>0</v>
      </c>
      <c r="K135" s="75">
        <f t="shared" si="10"/>
        <v>0</v>
      </c>
      <c r="L135" s="1356">
        <f>-SUMIFS(Sheet1!S71_OY1AdjustedBudget,Sheet1!S71_SubMunicipalVoteNo,$AC:$AC,Sheet1!S71_ItemType,$AD:$AD)</f>
        <v>0</v>
      </c>
      <c r="M135" s="1357">
        <f>-SUMIFS(Sheet1!S71_OY2AdjustedBudget,Sheet1!S71_SubMunicipalVoteNo,$AC:$AC,Sheet1!S71_ItemType,$AD:$AD)</f>
        <v>0</v>
      </c>
      <c r="AC135" s="1345">
        <v>127</v>
      </c>
      <c r="AD135" s="1345" t="s">
        <v>1811</v>
      </c>
    </row>
    <row r="136" spans="1:30" ht="13.5" x14ac:dyDescent="0.25">
      <c r="A136" s="748" t="str">
        <f>IF(RIGHT('Org structure'!D131,18)&lt;&gt;"[Name of sub-vote]",'Org structure'!D131,"")</f>
        <v/>
      </c>
      <c r="B136" s="899"/>
      <c r="C136" s="1360">
        <f>-SUMIFS(Sheet1!S71_OriginalBudget,Sheet1!S71_SubMunicipalVoteNo,$AC:$AC,Sheet1!S71_ItemType,$AD:$AD)</f>
        <v>0</v>
      </c>
      <c r="D136" s="1356">
        <f>-SUMIFS(Sheet1!S71_SpecialAdjustedBudget,Sheet1!S71_SubMunicipalVoteNo,$AC:$AC,Sheet1!S71_ItemType,$AD:$AD)</f>
        <v>0</v>
      </c>
      <c r="E136" s="1356"/>
      <c r="F136" s="1356"/>
      <c r="G136" s="1356"/>
      <c r="H136" s="1356"/>
      <c r="I136" s="1356">
        <f>SUMIFS(Sheet1!S71_AdjustmentAmount,Sheet1!S71_SubMunicipalVoteNo,$AC:$AC,Sheet1!S71_ItemType,$AD:$AD)</f>
        <v>0</v>
      </c>
      <c r="J136" s="75">
        <f t="shared" si="18"/>
        <v>0</v>
      </c>
      <c r="K136" s="75">
        <f t="shared" ref="K136:K171" si="19">IF(D136=0,C136+J136,D136+J136)</f>
        <v>0</v>
      </c>
      <c r="L136" s="1356">
        <f>-SUMIFS(Sheet1!S71_OY1AdjustedBudget,Sheet1!S71_SubMunicipalVoteNo,$AC:$AC,Sheet1!S71_ItemType,$AD:$AD)</f>
        <v>0</v>
      </c>
      <c r="M136" s="1357">
        <f>-SUMIFS(Sheet1!S71_OY2AdjustedBudget,Sheet1!S71_SubMunicipalVoteNo,$AC:$AC,Sheet1!S71_ItemType,$AD:$AD)</f>
        <v>0</v>
      </c>
      <c r="AC136" s="1345">
        <v>128</v>
      </c>
      <c r="AD136" s="1345" t="s">
        <v>1811</v>
      </c>
    </row>
    <row r="137" spans="1:30" ht="13.5" x14ac:dyDescent="0.25">
      <c r="A137" s="748" t="str">
        <f>IF(RIGHT('Org structure'!D132,18)&lt;&gt;"[Name of sub-vote]",'Org structure'!D132,"")</f>
        <v/>
      </c>
      <c r="B137" s="899"/>
      <c r="C137" s="1360">
        <f>-SUMIFS(Sheet1!S71_OriginalBudget,Sheet1!S71_SubMunicipalVoteNo,$AC:$AC,Sheet1!S71_ItemType,$AD:$AD)</f>
        <v>0</v>
      </c>
      <c r="D137" s="1356">
        <f>-SUMIFS(Sheet1!S71_SpecialAdjustedBudget,Sheet1!S71_SubMunicipalVoteNo,$AC:$AC,Sheet1!S71_ItemType,$AD:$AD)</f>
        <v>0</v>
      </c>
      <c r="E137" s="1356"/>
      <c r="F137" s="1356"/>
      <c r="G137" s="1356"/>
      <c r="H137" s="1356"/>
      <c r="I137" s="1356">
        <f>SUMIFS(Sheet1!S71_AdjustmentAmount,Sheet1!S71_SubMunicipalVoteNo,$AC:$AC,Sheet1!S71_ItemType,$AD:$AD)</f>
        <v>0</v>
      </c>
      <c r="J137" s="75">
        <f t="shared" si="18"/>
        <v>0</v>
      </c>
      <c r="K137" s="75">
        <f t="shared" si="19"/>
        <v>0</v>
      </c>
      <c r="L137" s="1356">
        <f>-SUMIFS(Sheet1!S71_OY1AdjustedBudget,Sheet1!S71_SubMunicipalVoteNo,$AC:$AC,Sheet1!S71_ItemType,$AD:$AD)</f>
        <v>0</v>
      </c>
      <c r="M137" s="1357">
        <f>-SUMIFS(Sheet1!S71_OY2AdjustedBudget,Sheet1!S71_SubMunicipalVoteNo,$AC:$AC,Sheet1!S71_ItemType,$AD:$AD)</f>
        <v>0</v>
      </c>
      <c r="AC137" s="1345">
        <v>129</v>
      </c>
      <c r="AD137" s="1345" t="s">
        <v>1811</v>
      </c>
    </row>
    <row r="138" spans="1:30" ht="13.5" x14ac:dyDescent="0.25">
      <c r="A138" s="748" t="str">
        <f>IF(RIGHT('Org structure'!D133,18)&lt;&gt;"[Name of sub-vote]",'Org structure'!D133,"")</f>
        <v/>
      </c>
      <c r="B138" s="899"/>
      <c r="C138" s="1360">
        <f>-SUMIFS(Sheet1!S71_OriginalBudget,Sheet1!S71_SubMunicipalVoteNo,$AC:$AC,Sheet1!S71_ItemType,$AD:$AD)</f>
        <v>0</v>
      </c>
      <c r="D138" s="1356">
        <f>-SUMIFS(Sheet1!S71_SpecialAdjustedBudget,Sheet1!S71_SubMunicipalVoteNo,$AC:$AC,Sheet1!S71_ItemType,$AD:$AD)</f>
        <v>0</v>
      </c>
      <c r="E138" s="1356"/>
      <c r="F138" s="1356"/>
      <c r="G138" s="1356"/>
      <c r="H138" s="1356"/>
      <c r="I138" s="1356">
        <f>SUMIFS(Sheet1!S71_AdjustmentAmount,Sheet1!S71_SubMunicipalVoteNo,$AC:$AC,Sheet1!S71_ItemType,$AD:$AD)</f>
        <v>0</v>
      </c>
      <c r="J138" s="75">
        <f t="shared" si="18"/>
        <v>0</v>
      </c>
      <c r="K138" s="75">
        <f t="shared" si="19"/>
        <v>0</v>
      </c>
      <c r="L138" s="1356">
        <f>-SUMIFS(Sheet1!S71_OY1AdjustedBudget,Sheet1!S71_SubMunicipalVoteNo,$AC:$AC,Sheet1!S71_ItemType,$AD:$AD)</f>
        <v>0</v>
      </c>
      <c r="M138" s="1357">
        <f>-SUMIFS(Sheet1!S71_OY2AdjustedBudget,Sheet1!S71_SubMunicipalVoteNo,$AC:$AC,Sheet1!S71_ItemType,$AD:$AD)</f>
        <v>0</v>
      </c>
      <c r="AC138" s="1345">
        <v>1210</v>
      </c>
      <c r="AD138" s="1345" t="s">
        <v>1811</v>
      </c>
    </row>
    <row r="139" spans="1:30" ht="13.5" x14ac:dyDescent="0.25">
      <c r="A139" s="745" t="str">
        <f>'Org structure'!A14</f>
        <v>Vote 13 - Housing</v>
      </c>
      <c r="B139" s="899"/>
      <c r="C139" s="733">
        <f>SUM(C140:C149)</f>
        <v>0</v>
      </c>
      <c r="D139" s="732">
        <f t="shared" ref="D139:I139" si="20">SUM(D140:D149)</f>
        <v>0</v>
      </c>
      <c r="E139" s="732">
        <f t="shared" si="20"/>
        <v>0</v>
      </c>
      <c r="F139" s="732">
        <f t="shared" si="20"/>
        <v>0</v>
      </c>
      <c r="G139" s="732">
        <f t="shared" si="20"/>
        <v>0</v>
      </c>
      <c r="H139" s="732">
        <f t="shared" si="20"/>
        <v>0</v>
      </c>
      <c r="I139" s="732">
        <f t="shared" si="20"/>
        <v>0</v>
      </c>
      <c r="J139" s="75">
        <f t="shared" si="18"/>
        <v>0</v>
      </c>
      <c r="K139" s="75">
        <f t="shared" si="19"/>
        <v>0</v>
      </c>
      <c r="L139" s="732">
        <f>SUM(L140:L149)</f>
        <v>0</v>
      </c>
      <c r="M139" s="759">
        <f>SUM(M140:M149)</f>
        <v>0</v>
      </c>
    </row>
    <row r="140" spans="1:30" ht="13.5" x14ac:dyDescent="0.25">
      <c r="A140" s="748" t="str">
        <f>IF(RIGHT('Org structure'!D135,18)&lt;&gt;"[Name of sub-vote]",'Org structure'!D135,"")</f>
        <v>13.1 - Housing</v>
      </c>
      <c r="B140" s="899"/>
      <c r="C140" s="1360">
        <f>-SUMIFS(Sheet1!S71_OriginalBudget,Sheet1!S71_SubMunicipalVoteNo,$AC:$AC,Sheet1!S71_ItemType,$AD:$AD)</f>
        <v>0</v>
      </c>
      <c r="D140" s="1356">
        <f>-SUMIFS(Sheet1!S71_SpecialAdjustedBudget,Sheet1!S71_SubMunicipalVoteNo,$AC:$AC,Sheet1!S71_ItemType,$AD:$AD)</f>
        <v>0</v>
      </c>
      <c r="E140" s="1356"/>
      <c r="F140" s="1356"/>
      <c r="G140" s="1356"/>
      <c r="H140" s="1356"/>
      <c r="I140" s="1356">
        <f>SUMIFS(Sheet1!S71_AdjustmentAmount,Sheet1!S71_SubMunicipalVoteNo,$AC:$AC,Sheet1!S71_ItemType,$AD:$AD)</f>
        <v>0</v>
      </c>
      <c r="J140" s="75">
        <f t="shared" si="18"/>
        <v>0</v>
      </c>
      <c r="K140" s="75">
        <f t="shared" si="19"/>
        <v>0</v>
      </c>
      <c r="L140" s="1356">
        <f>-SUMIFS(Sheet1!S71_OY1AdjustedBudget,Sheet1!S71_SubMunicipalVoteNo,$AC:$AC,Sheet1!S71_ItemType,$AD:$AD)</f>
        <v>0</v>
      </c>
      <c r="M140" s="1357">
        <f>-SUMIFS(Sheet1!S71_OY2AdjustedBudget,Sheet1!S71_SubMunicipalVoteNo,$AC:$AC,Sheet1!S71_ItemType,$AD:$AD)</f>
        <v>0</v>
      </c>
      <c r="AC140" s="1345">
        <v>131</v>
      </c>
      <c r="AD140" s="1345" t="s">
        <v>1811</v>
      </c>
    </row>
    <row r="141" spans="1:30" ht="13.5" x14ac:dyDescent="0.25">
      <c r="A141" s="748" t="str">
        <f>IF(RIGHT('Org structure'!D136,18)&lt;&gt;"[Name of sub-vote]",'Org structure'!D136,"")</f>
        <v/>
      </c>
      <c r="B141" s="899"/>
      <c r="C141" s="1360">
        <f>-SUMIFS(Sheet1!S71_OriginalBudget,Sheet1!S71_SubMunicipalVoteNo,$AC:$AC,Sheet1!S71_ItemType,$AD:$AD)</f>
        <v>0</v>
      </c>
      <c r="D141" s="1356">
        <f>-SUMIFS(Sheet1!S71_SpecialAdjustedBudget,Sheet1!S71_SubMunicipalVoteNo,$AC:$AC,Sheet1!S71_ItemType,$AD:$AD)</f>
        <v>0</v>
      </c>
      <c r="E141" s="1356"/>
      <c r="F141" s="1356"/>
      <c r="G141" s="1356"/>
      <c r="H141" s="1356"/>
      <c r="I141" s="1356">
        <f>SUMIFS(Sheet1!S71_AdjustmentAmount,Sheet1!S71_SubMunicipalVoteNo,$AC:$AC,Sheet1!S71_ItemType,$AD:$AD)</f>
        <v>0</v>
      </c>
      <c r="J141" s="75">
        <f t="shared" si="18"/>
        <v>0</v>
      </c>
      <c r="K141" s="75">
        <f t="shared" si="19"/>
        <v>0</v>
      </c>
      <c r="L141" s="1356">
        <f>-SUMIFS(Sheet1!S71_OY1AdjustedBudget,Sheet1!S71_SubMunicipalVoteNo,$AC:$AC,Sheet1!S71_ItemType,$AD:$AD)</f>
        <v>0</v>
      </c>
      <c r="M141" s="1357">
        <f>-SUMIFS(Sheet1!S71_OY2AdjustedBudget,Sheet1!S71_SubMunicipalVoteNo,$AC:$AC,Sheet1!S71_ItemType,$AD:$AD)</f>
        <v>0</v>
      </c>
      <c r="AC141" s="1345">
        <v>132</v>
      </c>
      <c r="AD141" s="1345" t="s">
        <v>1811</v>
      </c>
    </row>
    <row r="142" spans="1:30" ht="13.5" x14ac:dyDescent="0.25">
      <c r="A142" s="748" t="str">
        <f>IF(RIGHT('Org structure'!D137,18)&lt;&gt;"[Name of sub-vote]",'Org structure'!D137,"")</f>
        <v/>
      </c>
      <c r="B142" s="899"/>
      <c r="C142" s="1360">
        <f>-SUMIFS(Sheet1!S71_OriginalBudget,Sheet1!S71_SubMunicipalVoteNo,$AC:$AC,Sheet1!S71_ItemType,$AD:$AD)</f>
        <v>0</v>
      </c>
      <c r="D142" s="1356">
        <f>-SUMIFS(Sheet1!S71_SpecialAdjustedBudget,Sheet1!S71_SubMunicipalVoteNo,$AC:$AC,Sheet1!S71_ItemType,$AD:$AD)</f>
        <v>0</v>
      </c>
      <c r="E142" s="1356"/>
      <c r="F142" s="1356"/>
      <c r="G142" s="1356"/>
      <c r="H142" s="1356"/>
      <c r="I142" s="1356">
        <f>SUMIFS(Sheet1!S71_AdjustmentAmount,Sheet1!S71_SubMunicipalVoteNo,$AC:$AC,Sheet1!S71_ItemType,$AD:$AD)</f>
        <v>0</v>
      </c>
      <c r="J142" s="75">
        <f t="shared" si="18"/>
        <v>0</v>
      </c>
      <c r="K142" s="75">
        <f t="shared" si="19"/>
        <v>0</v>
      </c>
      <c r="L142" s="1356">
        <f>-SUMIFS(Sheet1!S71_OY1AdjustedBudget,Sheet1!S71_SubMunicipalVoteNo,$AC:$AC,Sheet1!S71_ItemType,$AD:$AD)</f>
        <v>0</v>
      </c>
      <c r="M142" s="1357">
        <f>-SUMIFS(Sheet1!S71_OY2AdjustedBudget,Sheet1!S71_SubMunicipalVoteNo,$AC:$AC,Sheet1!S71_ItemType,$AD:$AD)</f>
        <v>0</v>
      </c>
      <c r="AC142" s="1345">
        <v>133</v>
      </c>
      <c r="AD142" s="1345" t="s">
        <v>1811</v>
      </c>
    </row>
    <row r="143" spans="1:30" ht="13.5" x14ac:dyDescent="0.25">
      <c r="A143" s="748" t="str">
        <f>IF(RIGHT('Org structure'!D138,18)&lt;&gt;"[Name of sub-vote]",'Org structure'!D138,"")</f>
        <v/>
      </c>
      <c r="B143" s="899"/>
      <c r="C143" s="1360">
        <f>-SUMIFS(Sheet1!S71_OriginalBudget,Sheet1!S71_SubMunicipalVoteNo,$AC:$AC,Sheet1!S71_ItemType,$AD:$AD)</f>
        <v>0</v>
      </c>
      <c r="D143" s="1356">
        <f>-SUMIFS(Sheet1!S71_SpecialAdjustedBudget,Sheet1!S71_SubMunicipalVoteNo,$AC:$AC,Sheet1!S71_ItemType,$AD:$AD)</f>
        <v>0</v>
      </c>
      <c r="E143" s="1356"/>
      <c r="F143" s="1356"/>
      <c r="G143" s="1356"/>
      <c r="H143" s="1356"/>
      <c r="I143" s="1356">
        <f>SUMIFS(Sheet1!S71_AdjustmentAmount,Sheet1!S71_SubMunicipalVoteNo,$AC:$AC,Sheet1!S71_ItemType,$AD:$AD)</f>
        <v>0</v>
      </c>
      <c r="J143" s="75">
        <f t="shared" si="18"/>
        <v>0</v>
      </c>
      <c r="K143" s="75">
        <f t="shared" si="19"/>
        <v>0</v>
      </c>
      <c r="L143" s="1356">
        <f>-SUMIFS(Sheet1!S71_OY1AdjustedBudget,Sheet1!S71_SubMunicipalVoteNo,$AC:$AC,Sheet1!S71_ItemType,$AD:$AD)</f>
        <v>0</v>
      </c>
      <c r="M143" s="1357">
        <f>-SUMIFS(Sheet1!S71_OY2AdjustedBudget,Sheet1!S71_SubMunicipalVoteNo,$AC:$AC,Sheet1!S71_ItemType,$AD:$AD)</f>
        <v>0</v>
      </c>
      <c r="AC143" s="1345">
        <v>134</v>
      </c>
      <c r="AD143" s="1345" t="s">
        <v>1811</v>
      </c>
    </row>
    <row r="144" spans="1:30" ht="13.5" x14ac:dyDescent="0.25">
      <c r="A144" s="748" t="str">
        <f>IF(RIGHT('Org structure'!D139,18)&lt;&gt;"[Name of sub-vote]",'Org structure'!D139,"")</f>
        <v/>
      </c>
      <c r="B144" s="899"/>
      <c r="C144" s="1360">
        <f>-SUMIFS(Sheet1!S71_OriginalBudget,Sheet1!S71_SubMunicipalVoteNo,$AC:$AC,Sheet1!S71_ItemType,$AD:$AD)</f>
        <v>0</v>
      </c>
      <c r="D144" s="1356">
        <f>-SUMIFS(Sheet1!S71_SpecialAdjustedBudget,Sheet1!S71_SubMunicipalVoteNo,$AC:$AC,Sheet1!S71_ItemType,$AD:$AD)</f>
        <v>0</v>
      </c>
      <c r="E144" s="1356"/>
      <c r="F144" s="1356"/>
      <c r="G144" s="1356"/>
      <c r="H144" s="1356"/>
      <c r="I144" s="1356">
        <f>SUMIFS(Sheet1!S71_AdjustmentAmount,Sheet1!S71_SubMunicipalVoteNo,$AC:$AC,Sheet1!S71_ItemType,$AD:$AD)</f>
        <v>0</v>
      </c>
      <c r="J144" s="75">
        <f t="shared" si="18"/>
        <v>0</v>
      </c>
      <c r="K144" s="75">
        <f t="shared" si="19"/>
        <v>0</v>
      </c>
      <c r="L144" s="1356">
        <f>-SUMIFS(Sheet1!S71_OY1AdjustedBudget,Sheet1!S71_SubMunicipalVoteNo,$AC:$AC,Sheet1!S71_ItemType,$AD:$AD)</f>
        <v>0</v>
      </c>
      <c r="M144" s="1357">
        <f>-SUMIFS(Sheet1!S71_OY2AdjustedBudget,Sheet1!S71_SubMunicipalVoteNo,$AC:$AC,Sheet1!S71_ItemType,$AD:$AD)</f>
        <v>0</v>
      </c>
      <c r="AC144" s="1345">
        <v>135</v>
      </c>
      <c r="AD144" s="1345" t="s">
        <v>1811</v>
      </c>
    </row>
    <row r="145" spans="1:30" ht="13.5" x14ac:dyDescent="0.25">
      <c r="A145" s="748" t="str">
        <f>IF(RIGHT('Org structure'!D140,18)&lt;&gt;"[Name of sub-vote]",'Org structure'!D140,"")</f>
        <v/>
      </c>
      <c r="B145" s="899"/>
      <c r="C145" s="1360">
        <f>-SUMIFS(Sheet1!S71_OriginalBudget,Sheet1!S71_SubMunicipalVoteNo,$AC:$AC,Sheet1!S71_ItemType,$AD:$AD)</f>
        <v>0</v>
      </c>
      <c r="D145" s="1356">
        <f>-SUMIFS(Sheet1!S71_SpecialAdjustedBudget,Sheet1!S71_SubMunicipalVoteNo,$AC:$AC,Sheet1!S71_ItemType,$AD:$AD)</f>
        <v>0</v>
      </c>
      <c r="E145" s="1356"/>
      <c r="F145" s="1356"/>
      <c r="G145" s="1356"/>
      <c r="H145" s="1356"/>
      <c r="I145" s="1356">
        <f>SUMIFS(Sheet1!S71_AdjustmentAmount,Sheet1!S71_SubMunicipalVoteNo,$AC:$AC,Sheet1!S71_ItemType,$AD:$AD)</f>
        <v>0</v>
      </c>
      <c r="J145" s="75">
        <f t="shared" si="18"/>
        <v>0</v>
      </c>
      <c r="K145" s="75">
        <f t="shared" si="19"/>
        <v>0</v>
      </c>
      <c r="L145" s="1356">
        <f>-SUMIFS(Sheet1!S71_OY1AdjustedBudget,Sheet1!S71_SubMunicipalVoteNo,$AC:$AC,Sheet1!S71_ItemType,$AD:$AD)</f>
        <v>0</v>
      </c>
      <c r="M145" s="1357">
        <f>-SUMIFS(Sheet1!S71_OY2AdjustedBudget,Sheet1!S71_SubMunicipalVoteNo,$AC:$AC,Sheet1!S71_ItemType,$AD:$AD)</f>
        <v>0</v>
      </c>
      <c r="AC145" s="1345">
        <v>136</v>
      </c>
      <c r="AD145" s="1345" t="s">
        <v>1811</v>
      </c>
    </row>
    <row r="146" spans="1:30" ht="13.5" x14ac:dyDescent="0.25">
      <c r="A146" s="748" t="str">
        <f>IF(RIGHT('Org structure'!D141,18)&lt;&gt;"[Name of sub-vote]",'Org structure'!D141,"")</f>
        <v/>
      </c>
      <c r="B146" s="899"/>
      <c r="C146" s="1360">
        <f>-SUMIFS(Sheet1!S71_OriginalBudget,Sheet1!S71_SubMunicipalVoteNo,$AC:$AC,Sheet1!S71_ItemType,$AD:$AD)</f>
        <v>0</v>
      </c>
      <c r="D146" s="1356">
        <f>-SUMIFS(Sheet1!S71_SpecialAdjustedBudget,Sheet1!S71_SubMunicipalVoteNo,$AC:$AC,Sheet1!S71_ItemType,$AD:$AD)</f>
        <v>0</v>
      </c>
      <c r="E146" s="1356"/>
      <c r="F146" s="1356"/>
      <c r="G146" s="1356"/>
      <c r="H146" s="1356"/>
      <c r="I146" s="1356">
        <f>SUMIFS(Sheet1!S71_AdjustmentAmount,Sheet1!S71_SubMunicipalVoteNo,$AC:$AC,Sheet1!S71_ItemType,$AD:$AD)</f>
        <v>0</v>
      </c>
      <c r="J146" s="75">
        <f t="shared" si="18"/>
        <v>0</v>
      </c>
      <c r="K146" s="75">
        <f t="shared" si="19"/>
        <v>0</v>
      </c>
      <c r="L146" s="1356">
        <f>-SUMIFS(Sheet1!S71_OY1AdjustedBudget,Sheet1!S71_SubMunicipalVoteNo,$AC:$AC,Sheet1!S71_ItemType,$AD:$AD)</f>
        <v>0</v>
      </c>
      <c r="M146" s="1357">
        <f>-SUMIFS(Sheet1!S71_OY2AdjustedBudget,Sheet1!S71_SubMunicipalVoteNo,$AC:$AC,Sheet1!S71_ItemType,$AD:$AD)</f>
        <v>0</v>
      </c>
      <c r="AC146" s="1345">
        <v>137</v>
      </c>
      <c r="AD146" s="1345" t="s">
        <v>1811</v>
      </c>
    </row>
    <row r="147" spans="1:30" ht="13.5" x14ac:dyDescent="0.25">
      <c r="A147" s="748" t="str">
        <f>IF(RIGHT('Org structure'!D142,18)&lt;&gt;"[Name of sub-vote]",'Org structure'!D142,"")</f>
        <v/>
      </c>
      <c r="B147" s="899"/>
      <c r="C147" s="1360">
        <f>-SUMIFS(Sheet1!S71_OriginalBudget,Sheet1!S71_SubMunicipalVoteNo,$AC:$AC,Sheet1!S71_ItemType,$AD:$AD)</f>
        <v>0</v>
      </c>
      <c r="D147" s="1356">
        <f>-SUMIFS(Sheet1!S71_SpecialAdjustedBudget,Sheet1!S71_SubMunicipalVoteNo,$AC:$AC,Sheet1!S71_ItemType,$AD:$AD)</f>
        <v>0</v>
      </c>
      <c r="E147" s="1356"/>
      <c r="F147" s="1356"/>
      <c r="G147" s="1356"/>
      <c r="H147" s="1356"/>
      <c r="I147" s="1356">
        <f>SUMIFS(Sheet1!S71_AdjustmentAmount,Sheet1!S71_SubMunicipalVoteNo,$AC:$AC,Sheet1!S71_ItemType,$AD:$AD)</f>
        <v>0</v>
      </c>
      <c r="J147" s="75">
        <f t="shared" si="18"/>
        <v>0</v>
      </c>
      <c r="K147" s="75">
        <f t="shared" si="19"/>
        <v>0</v>
      </c>
      <c r="L147" s="1356">
        <f>-SUMIFS(Sheet1!S71_OY1AdjustedBudget,Sheet1!S71_SubMunicipalVoteNo,$AC:$AC,Sheet1!S71_ItemType,$AD:$AD)</f>
        <v>0</v>
      </c>
      <c r="M147" s="1357">
        <f>-SUMIFS(Sheet1!S71_OY2AdjustedBudget,Sheet1!S71_SubMunicipalVoteNo,$AC:$AC,Sheet1!S71_ItemType,$AD:$AD)</f>
        <v>0</v>
      </c>
      <c r="AC147" s="1345">
        <v>138</v>
      </c>
      <c r="AD147" s="1345" t="s">
        <v>1811</v>
      </c>
    </row>
    <row r="148" spans="1:30" ht="13.5" x14ac:dyDescent="0.25">
      <c r="A148" s="748" t="str">
        <f>IF(RIGHT('Org structure'!D143,18)&lt;&gt;"[Name of sub-vote]",'Org structure'!D143,"")</f>
        <v/>
      </c>
      <c r="B148" s="899"/>
      <c r="C148" s="1360">
        <f>-SUMIFS(Sheet1!S71_OriginalBudget,Sheet1!S71_SubMunicipalVoteNo,$AC:$AC,Sheet1!S71_ItemType,$AD:$AD)</f>
        <v>0</v>
      </c>
      <c r="D148" s="1356">
        <f>-SUMIFS(Sheet1!S71_SpecialAdjustedBudget,Sheet1!S71_SubMunicipalVoteNo,$AC:$AC,Sheet1!S71_ItemType,$AD:$AD)</f>
        <v>0</v>
      </c>
      <c r="E148" s="1356"/>
      <c r="F148" s="1356"/>
      <c r="G148" s="1356"/>
      <c r="H148" s="1356"/>
      <c r="I148" s="1356">
        <f>SUMIFS(Sheet1!S71_AdjustmentAmount,Sheet1!S71_SubMunicipalVoteNo,$AC:$AC,Sheet1!S71_ItemType,$AD:$AD)</f>
        <v>0</v>
      </c>
      <c r="J148" s="75">
        <f t="shared" si="18"/>
        <v>0</v>
      </c>
      <c r="K148" s="75">
        <f t="shared" si="19"/>
        <v>0</v>
      </c>
      <c r="L148" s="1356">
        <f>-SUMIFS(Sheet1!S71_OY1AdjustedBudget,Sheet1!S71_SubMunicipalVoteNo,$AC:$AC,Sheet1!S71_ItemType,$AD:$AD)</f>
        <v>0</v>
      </c>
      <c r="M148" s="1357">
        <f>-SUMIFS(Sheet1!S71_OY2AdjustedBudget,Sheet1!S71_SubMunicipalVoteNo,$AC:$AC,Sheet1!S71_ItemType,$AD:$AD)</f>
        <v>0</v>
      </c>
      <c r="AC148" s="1345">
        <v>139</v>
      </c>
      <c r="AD148" s="1345" t="s">
        <v>1811</v>
      </c>
    </row>
    <row r="149" spans="1:30" ht="13.5" x14ac:dyDescent="0.25">
      <c r="A149" s="748" t="str">
        <f>IF(RIGHT('Org structure'!D144,18)&lt;&gt;"[Name of sub-vote]",'Org structure'!D144,"")</f>
        <v/>
      </c>
      <c r="B149" s="899"/>
      <c r="C149" s="1360">
        <f>-SUMIFS(Sheet1!S71_OriginalBudget,Sheet1!S71_SubMunicipalVoteNo,$AC:$AC,Sheet1!S71_ItemType,$AD:$AD)</f>
        <v>0</v>
      </c>
      <c r="D149" s="1356">
        <f>-SUMIFS(Sheet1!S71_SpecialAdjustedBudget,Sheet1!S71_SubMunicipalVoteNo,$AC:$AC,Sheet1!S71_ItemType,$AD:$AD)</f>
        <v>0</v>
      </c>
      <c r="E149" s="1356"/>
      <c r="F149" s="1356"/>
      <c r="G149" s="1356"/>
      <c r="H149" s="1356"/>
      <c r="I149" s="1356">
        <f>SUMIFS(Sheet1!S71_AdjustmentAmount,Sheet1!S71_SubMunicipalVoteNo,$AC:$AC,Sheet1!S71_ItemType,$AD:$AD)</f>
        <v>0</v>
      </c>
      <c r="J149" s="75">
        <f t="shared" si="18"/>
        <v>0</v>
      </c>
      <c r="K149" s="75">
        <f t="shared" si="19"/>
        <v>0</v>
      </c>
      <c r="L149" s="1356">
        <f>-SUMIFS(Sheet1!S71_OY1AdjustedBudget,Sheet1!S71_SubMunicipalVoteNo,$AC:$AC,Sheet1!S71_ItemType,$AD:$AD)</f>
        <v>0</v>
      </c>
      <c r="M149" s="1357">
        <f>-SUMIFS(Sheet1!S71_OY2AdjustedBudget,Sheet1!S71_SubMunicipalVoteNo,$AC:$AC,Sheet1!S71_ItemType,$AD:$AD)</f>
        <v>0</v>
      </c>
      <c r="AC149" s="1345">
        <v>1310</v>
      </c>
      <c r="AD149" s="1345" t="s">
        <v>1811</v>
      </c>
    </row>
    <row r="150" spans="1:30" ht="13.5" x14ac:dyDescent="0.25">
      <c r="A150" s="745" t="str">
        <f>'Org structure'!A15</f>
        <v>Vote 14 - Waste Water Management</v>
      </c>
      <c r="B150" s="899"/>
      <c r="C150" s="733">
        <f>SUM(C151:C160)</f>
        <v>0</v>
      </c>
      <c r="D150" s="732">
        <f t="shared" ref="D150:I150" si="21">SUM(D151:D160)</f>
        <v>0</v>
      </c>
      <c r="E150" s="732">
        <f t="shared" si="21"/>
        <v>0</v>
      </c>
      <c r="F150" s="732">
        <f t="shared" si="21"/>
        <v>0</v>
      </c>
      <c r="G150" s="732">
        <f t="shared" si="21"/>
        <v>0</v>
      </c>
      <c r="H150" s="732">
        <f t="shared" si="21"/>
        <v>0</v>
      </c>
      <c r="I150" s="732">
        <f t="shared" si="21"/>
        <v>0</v>
      </c>
      <c r="J150" s="75">
        <f t="shared" si="18"/>
        <v>0</v>
      </c>
      <c r="K150" s="75">
        <f t="shared" si="19"/>
        <v>0</v>
      </c>
      <c r="L150" s="732">
        <f>SUM(L151:L160)</f>
        <v>0</v>
      </c>
      <c r="M150" s="759">
        <f>SUM(M151:M160)</f>
        <v>0</v>
      </c>
    </row>
    <row r="151" spans="1:30" ht="13.5" x14ac:dyDescent="0.25">
      <c r="A151" s="748" t="str">
        <f>IF(RIGHT('Org structure'!D146,18)&lt;&gt;"[Name of sub-vote]",'Org structure'!D146,"")</f>
        <v>14.1 - Storm Water Management</v>
      </c>
      <c r="B151" s="899"/>
      <c r="C151" s="1360">
        <f>-SUMIFS(Sheet1!S71_OriginalBudget,Sheet1!S71_SubMunicipalVoteNo,$AC:$AC,Sheet1!S71_ItemType,$AD:$AD)</f>
        <v>0</v>
      </c>
      <c r="D151" s="1356">
        <f>-SUMIFS(Sheet1!S71_SpecialAdjustedBudget,Sheet1!S71_SubMunicipalVoteNo,$AC:$AC,Sheet1!S71_ItemType,$AD:$AD)</f>
        <v>0</v>
      </c>
      <c r="E151" s="1356"/>
      <c r="F151" s="1356"/>
      <c r="G151" s="1356"/>
      <c r="H151" s="1356"/>
      <c r="I151" s="1356">
        <f>SUMIFS(Sheet1!S71_AdjustmentAmount,Sheet1!S71_SubMunicipalVoteNo,$AC:$AC,Sheet1!S71_ItemType,$AD:$AD)</f>
        <v>0</v>
      </c>
      <c r="J151" s="75">
        <f t="shared" si="18"/>
        <v>0</v>
      </c>
      <c r="K151" s="75">
        <f t="shared" si="19"/>
        <v>0</v>
      </c>
      <c r="L151" s="1356">
        <f>-SUMIFS(Sheet1!S71_OY1AdjustedBudget,Sheet1!S71_SubMunicipalVoteNo,$AC:$AC,Sheet1!S71_ItemType,$AD:$AD)</f>
        <v>0</v>
      </c>
      <c r="M151" s="1357">
        <f>-SUMIFS(Sheet1!S71_OY2AdjustedBudget,Sheet1!S71_SubMunicipalVoteNo,$AC:$AC,Sheet1!S71_ItemType,$AD:$AD)</f>
        <v>0</v>
      </c>
      <c r="AC151" s="1345">
        <v>141</v>
      </c>
      <c r="AD151" s="1345" t="s">
        <v>1811</v>
      </c>
    </row>
    <row r="152" spans="1:30" ht="13.5" x14ac:dyDescent="0.25">
      <c r="A152" s="748" t="str">
        <f>IF(RIGHT('Org structure'!D147,18)&lt;&gt;"[Name of sub-vote]",'Org structure'!D147,"")</f>
        <v/>
      </c>
      <c r="B152" s="899"/>
      <c r="C152" s="1360">
        <f>-SUMIFS(Sheet1!S71_OriginalBudget,Sheet1!S71_SubMunicipalVoteNo,$AC:$AC,Sheet1!S71_ItemType,$AD:$AD)</f>
        <v>0</v>
      </c>
      <c r="D152" s="1356">
        <f>-SUMIFS(Sheet1!S71_SpecialAdjustedBudget,Sheet1!S71_SubMunicipalVoteNo,$AC:$AC,Sheet1!S71_ItemType,$AD:$AD)</f>
        <v>0</v>
      </c>
      <c r="E152" s="1356"/>
      <c r="F152" s="1356"/>
      <c r="G152" s="1356"/>
      <c r="H152" s="1356"/>
      <c r="I152" s="1356">
        <f>SUMIFS(Sheet1!S71_AdjustmentAmount,Sheet1!S71_SubMunicipalVoteNo,$AC:$AC,Sheet1!S71_ItemType,$AD:$AD)</f>
        <v>0</v>
      </c>
      <c r="J152" s="75">
        <f t="shared" si="18"/>
        <v>0</v>
      </c>
      <c r="K152" s="75">
        <f t="shared" si="19"/>
        <v>0</v>
      </c>
      <c r="L152" s="1356">
        <f>-SUMIFS(Sheet1!S71_OY1AdjustedBudget,Sheet1!S71_SubMunicipalVoteNo,$AC:$AC,Sheet1!S71_ItemType,$AD:$AD)</f>
        <v>0</v>
      </c>
      <c r="M152" s="1357">
        <f>-SUMIFS(Sheet1!S71_OY2AdjustedBudget,Sheet1!S71_SubMunicipalVoteNo,$AC:$AC,Sheet1!S71_ItemType,$AD:$AD)</f>
        <v>0</v>
      </c>
      <c r="AC152" s="1345">
        <v>142</v>
      </c>
      <c r="AD152" s="1345" t="s">
        <v>1811</v>
      </c>
    </row>
    <row r="153" spans="1:30" ht="13.5" x14ac:dyDescent="0.25">
      <c r="A153" s="748" t="str">
        <f>IF(RIGHT('Org structure'!D148,18)&lt;&gt;"[Name of sub-vote]",'Org structure'!D148,"")</f>
        <v/>
      </c>
      <c r="B153" s="899"/>
      <c r="C153" s="1360">
        <f>-SUMIFS(Sheet1!S71_OriginalBudget,Sheet1!S71_SubMunicipalVoteNo,$AC:$AC,Sheet1!S71_ItemType,$AD:$AD)</f>
        <v>0</v>
      </c>
      <c r="D153" s="1356">
        <f>-SUMIFS(Sheet1!S71_SpecialAdjustedBudget,Sheet1!S71_SubMunicipalVoteNo,$AC:$AC,Sheet1!S71_ItemType,$AD:$AD)</f>
        <v>0</v>
      </c>
      <c r="E153" s="1356"/>
      <c r="F153" s="1356"/>
      <c r="G153" s="1356"/>
      <c r="H153" s="1356"/>
      <c r="I153" s="1356">
        <f>SUMIFS(Sheet1!S71_AdjustmentAmount,Sheet1!S71_SubMunicipalVoteNo,$AC:$AC,Sheet1!S71_ItemType,$AD:$AD)</f>
        <v>0</v>
      </c>
      <c r="J153" s="75">
        <f t="shared" si="18"/>
        <v>0</v>
      </c>
      <c r="K153" s="75">
        <f t="shared" si="19"/>
        <v>0</v>
      </c>
      <c r="L153" s="1356">
        <f>-SUMIFS(Sheet1!S71_OY1AdjustedBudget,Sheet1!S71_SubMunicipalVoteNo,$AC:$AC,Sheet1!S71_ItemType,$AD:$AD)</f>
        <v>0</v>
      </c>
      <c r="M153" s="1357">
        <f>-SUMIFS(Sheet1!S71_OY2AdjustedBudget,Sheet1!S71_SubMunicipalVoteNo,$AC:$AC,Sheet1!S71_ItemType,$AD:$AD)</f>
        <v>0</v>
      </c>
      <c r="AC153" s="1345">
        <v>143</v>
      </c>
      <c r="AD153" s="1345" t="s">
        <v>1811</v>
      </c>
    </row>
    <row r="154" spans="1:30" ht="13.5" x14ac:dyDescent="0.25">
      <c r="A154" s="748" t="str">
        <f>IF(RIGHT('Org structure'!D149,18)&lt;&gt;"[Name of sub-vote]",'Org structure'!D149,"")</f>
        <v/>
      </c>
      <c r="B154" s="899"/>
      <c r="C154" s="1360">
        <f>-SUMIFS(Sheet1!S71_OriginalBudget,Sheet1!S71_SubMunicipalVoteNo,$AC:$AC,Sheet1!S71_ItemType,$AD:$AD)</f>
        <v>0</v>
      </c>
      <c r="D154" s="1356">
        <f>-SUMIFS(Sheet1!S71_SpecialAdjustedBudget,Sheet1!S71_SubMunicipalVoteNo,$AC:$AC,Sheet1!S71_ItemType,$AD:$AD)</f>
        <v>0</v>
      </c>
      <c r="E154" s="1356"/>
      <c r="F154" s="1356"/>
      <c r="G154" s="1356"/>
      <c r="H154" s="1356"/>
      <c r="I154" s="1356">
        <f>SUMIFS(Sheet1!S71_AdjustmentAmount,Sheet1!S71_SubMunicipalVoteNo,$AC:$AC,Sheet1!S71_ItemType,$AD:$AD)</f>
        <v>0</v>
      </c>
      <c r="J154" s="75">
        <f t="shared" si="18"/>
        <v>0</v>
      </c>
      <c r="K154" s="75">
        <f t="shared" si="19"/>
        <v>0</v>
      </c>
      <c r="L154" s="1356">
        <f>-SUMIFS(Sheet1!S71_OY1AdjustedBudget,Sheet1!S71_SubMunicipalVoteNo,$AC:$AC,Sheet1!S71_ItemType,$AD:$AD)</f>
        <v>0</v>
      </c>
      <c r="M154" s="1357">
        <f>-SUMIFS(Sheet1!S71_OY2AdjustedBudget,Sheet1!S71_SubMunicipalVoteNo,$AC:$AC,Sheet1!S71_ItemType,$AD:$AD)</f>
        <v>0</v>
      </c>
      <c r="AC154" s="1345">
        <v>144</v>
      </c>
      <c r="AD154" s="1345" t="s">
        <v>1811</v>
      </c>
    </row>
    <row r="155" spans="1:30" ht="13.5" x14ac:dyDescent="0.25">
      <c r="A155" s="748" t="str">
        <f>IF(RIGHT('Org structure'!D150,18)&lt;&gt;"[Name of sub-vote]",'Org structure'!D150,"")</f>
        <v/>
      </c>
      <c r="B155" s="899"/>
      <c r="C155" s="1360">
        <f>-SUMIFS(Sheet1!S71_OriginalBudget,Sheet1!S71_SubMunicipalVoteNo,$AC:$AC,Sheet1!S71_ItemType,$AD:$AD)</f>
        <v>0</v>
      </c>
      <c r="D155" s="1356">
        <f>-SUMIFS(Sheet1!S71_SpecialAdjustedBudget,Sheet1!S71_SubMunicipalVoteNo,$AC:$AC,Sheet1!S71_ItemType,$AD:$AD)</f>
        <v>0</v>
      </c>
      <c r="E155" s="1356"/>
      <c r="F155" s="1356"/>
      <c r="G155" s="1356"/>
      <c r="H155" s="1356"/>
      <c r="I155" s="1356">
        <f>SUMIFS(Sheet1!S71_AdjustmentAmount,Sheet1!S71_SubMunicipalVoteNo,$AC:$AC,Sheet1!S71_ItemType,$AD:$AD)</f>
        <v>0</v>
      </c>
      <c r="J155" s="75">
        <f t="shared" si="18"/>
        <v>0</v>
      </c>
      <c r="K155" s="75">
        <f t="shared" si="19"/>
        <v>0</v>
      </c>
      <c r="L155" s="1356">
        <f>-SUMIFS(Sheet1!S71_OY1AdjustedBudget,Sheet1!S71_SubMunicipalVoteNo,$AC:$AC,Sheet1!S71_ItemType,$AD:$AD)</f>
        <v>0</v>
      </c>
      <c r="M155" s="1357">
        <f>-SUMIFS(Sheet1!S71_OY2AdjustedBudget,Sheet1!S71_SubMunicipalVoteNo,$AC:$AC,Sheet1!S71_ItemType,$AD:$AD)</f>
        <v>0</v>
      </c>
      <c r="AC155" s="1345">
        <v>145</v>
      </c>
      <c r="AD155" s="1345" t="s">
        <v>1811</v>
      </c>
    </row>
    <row r="156" spans="1:30" ht="13.5" x14ac:dyDescent="0.25">
      <c r="A156" s="748" t="str">
        <f>IF(RIGHT('Org structure'!D151,18)&lt;&gt;"[Name of sub-vote]",'Org structure'!D151,"")</f>
        <v/>
      </c>
      <c r="B156" s="899"/>
      <c r="C156" s="1360">
        <f>-SUMIFS(Sheet1!S71_OriginalBudget,Sheet1!S71_SubMunicipalVoteNo,$AC:$AC,Sheet1!S71_ItemType,$AD:$AD)</f>
        <v>0</v>
      </c>
      <c r="D156" s="1356">
        <f>-SUMIFS(Sheet1!S71_SpecialAdjustedBudget,Sheet1!S71_SubMunicipalVoteNo,$AC:$AC,Sheet1!S71_ItemType,$AD:$AD)</f>
        <v>0</v>
      </c>
      <c r="E156" s="1356"/>
      <c r="F156" s="1356"/>
      <c r="G156" s="1356"/>
      <c r="H156" s="1356"/>
      <c r="I156" s="1356">
        <f>SUMIFS(Sheet1!S71_AdjustmentAmount,Sheet1!S71_SubMunicipalVoteNo,$AC:$AC,Sheet1!S71_ItemType,$AD:$AD)</f>
        <v>0</v>
      </c>
      <c r="J156" s="75">
        <f t="shared" si="18"/>
        <v>0</v>
      </c>
      <c r="K156" s="75">
        <f t="shared" si="19"/>
        <v>0</v>
      </c>
      <c r="L156" s="1356">
        <f>-SUMIFS(Sheet1!S71_OY1AdjustedBudget,Sheet1!S71_SubMunicipalVoteNo,$AC:$AC,Sheet1!S71_ItemType,$AD:$AD)</f>
        <v>0</v>
      </c>
      <c r="M156" s="1357">
        <f>-SUMIFS(Sheet1!S71_OY2AdjustedBudget,Sheet1!S71_SubMunicipalVoteNo,$AC:$AC,Sheet1!S71_ItemType,$AD:$AD)</f>
        <v>0</v>
      </c>
      <c r="AC156" s="1345">
        <v>146</v>
      </c>
      <c r="AD156" s="1345" t="s">
        <v>1811</v>
      </c>
    </row>
    <row r="157" spans="1:30" ht="13.5" x14ac:dyDescent="0.25">
      <c r="A157" s="748" t="str">
        <f>IF(RIGHT('Org structure'!D152,18)&lt;&gt;"[Name of sub-vote]",'Org structure'!D152,"")</f>
        <v/>
      </c>
      <c r="B157" s="899"/>
      <c r="C157" s="1360">
        <f>-SUMIFS(Sheet1!S71_OriginalBudget,Sheet1!S71_SubMunicipalVoteNo,$AC:$AC,Sheet1!S71_ItemType,$AD:$AD)</f>
        <v>0</v>
      </c>
      <c r="D157" s="1356">
        <f>-SUMIFS(Sheet1!S71_SpecialAdjustedBudget,Sheet1!S71_SubMunicipalVoteNo,$AC:$AC,Sheet1!S71_ItemType,$AD:$AD)</f>
        <v>0</v>
      </c>
      <c r="E157" s="1356"/>
      <c r="F157" s="1356"/>
      <c r="G157" s="1356"/>
      <c r="H157" s="1356"/>
      <c r="I157" s="1356">
        <f>SUMIFS(Sheet1!S71_AdjustmentAmount,Sheet1!S71_SubMunicipalVoteNo,$AC:$AC,Sheet1!S71_ItemType,$AD:$AD)</f>
        <v>0</v>
      </c>
      <c r="J157" s="75">
        <f t="shared" si="18"/>
        <v>0</v>
      </c>
      <c r="K157" s="75">
        <f t="shared" si="19"/>
        <v>0</v>
      </c>
      <c r="L157" s="1356">
        <f>-SUMIFS(Sheet1!S71_OY1AdjustedBudget,Sheet1!S71_SubMunicipalVoteNo,$AC:$AC,Sheet1!S71_ItemType,$AD:$AD)</f>
        <v>0</v>
      </c>
      <c r="M157" s="1357">
        <f>-SUMIFS(Sheet1!S71_OY2AdjustedBudget,Sheet1!S71_SubMunicipalVoteNo,$AC:$AC,Sheet1!S71_ItemType,$AD:$AD)</f>
        <v>0</v>
      </c>
      <c r="AC157" s="1345">
        <v>147</v>
      </c>
      <c r="AD157" s="1345" t="s">
        <v>1811</v>
      </c>
    </row>
    <row r="158" spans="1:30" ht="13.5" x14ac:dyDescent="0.25">
      <c r="A158" s="748" t="str">
        <f>IF(RIGHT('Org structure'!D153,18)&lt;&gt;"[Name of sub-vote]",'Org structure'!D153,"")</f>
        <v/>
      </c>
      <c r="B158" s="899"/>
      <c r="C158" s="1360">
        <f>-SUMIFS(Sheet1!S71_OriginalBudget,Sheet1!S71_SubMunicipalVoteNo,$AC:$AC,Sheet1!S71_ItemType,$AD:$AD)</f>
        <v>0</v>
      </c>
      <c r="D158" s="1356">
        <f>-SUMIFS(Sheet1!S71_SpecialAdjustedBudget,Sheet1!S71_SubMunicipalVoteNo,$AC:$AC,Sheet1!S71_ItemType,$AD:$AD)</f>
        <v>0</v>
      </c>
      <c r="E158" s="1356"/>
      <c r="F158" s="1356"/>
      <c r="G158" s="1356"/>
      <c r="H158" s="1356"/>
      <c r="I158" s="1356">
        <f>SUMIFS(Sheet1!S71_AdjustmentAmount,Sheet1!S71_SubMunicipalVoteNo,$AC:$AC,Sheet1!S71_ItemType,$AD:$AD)</f>
        <v>0</v>
      </c>
      <c r="J158" s="75">
        <f t="shared" si="18"/>
        <v>0</v>
      </c>
      <c r="K158" s="75">
        <f t="shared" si="19"/>
        <v>0</v>
      </c>
      <c r="L158" s="1356">
        <f>-SUMIFS(Sheet1!S71_OY1AdjustedBudget,Sheet1!S71_SubMunicipalVoteNo,$AC:$AC,Sheet1!S71_ItemType,$AD:$AD)</f>
        <v>0</v>
      </c>
      <c r="M158" s="1357">
        <f>-SUMIFS(Sheet1!S71_OY2AdjustedBudget,Sheet1!S71_SubMunicipalVoteNo,$AC:$AC,Sheet1!S71_ItemType,$AD:$AD)</f>
        <v>0</v>
      </c>
      <c r="AC158" s="1345">
        <v>148</v>
      </c>
      <c r="AD158" s="1345" t="s">
        <v>1811</v>
      </c>
    </row>
    <row r="159" spans="1:30" ht="13.5" x14ac:dyDescent="0.25">
      <c r="A159" s="748" t="str">
        <f>IF(RIGHT('Org structure'!D154,18)&lt;&gt;"[Name of sub-vote]",'Org structure'!D154,"")</f>
        <v/>
      </c>
      <c r="B159" s="899"/>
      <c r="C159" s="1360">
        <f>-SUMIFS(Sheet1!S71_OriginalBudget,Sheet1!S71_SubMunicipalVoteNo,$AC:$AC,Sheet1!S71_ItemType,$AD:$AD)</f>
        <v>0</v>
      </c>
      <c r="D159" s="1356">
        <f>-SUMIFS(Sheet1!S71_SpecialAdjustedBudget,Sheet1!S71_SubMunicipalVoteNo,$AC:$AC,Sheet1!S71_ItemType,$AD:$AD)</f>
        <v>0</v>
      </c>
      <c r="E159" s="1356"/>
      <c r="F159" s="1356"/>
      <c r="G159" s="1356"/>
      <c r="H159" s="1356"/>
      <c r="I159" s="1356">
        <f>SUMIFS(Sheet1!S71_AdjustmentAmount,Sheet1!S71_SubMunicipalVoteNo,$AC:$AC,Sheet1!S71_ItemType,$AD:$AD)</f>
        <v>0</v>
      </c>
      <c r="J159" s="75">
        <f t="shared" si="18"/>
        <v>0</v>
      </c>
      <c r="K159" s="75">
        <f t="shared" si="19"/>
        <v>0</v>
      </c>
      <c r="L159" s="1356">
        <f>-SUMIFS(Sheet1!S71_OY1AdjustedBudget,Sheet1!S71_SubMunicipalVoteNo,$AC:$AC,Sheet1!S71_ItemType,$AD:$AD)</f>
        <v>0</v>
      </c>
      <c r="M159" s="1357">
        <f>-SUMIFS(Sheet1!S71_OY2AdjustedBudget,Sheet1!S71_SubMunicipalVoteNo,$AC:$AC,Sheet1!S71_ItemType,$AD:$AD)</f>
        <v>0</v>
      </c>
      <c r="AC159" s="1345">
        <v>149</v>
      </c>
      <c r="AD159" s="1345" t="s">
        <v>1811</v>
      </c>
    </row>
    <row r="160" spans="1:30" ht="13.5" x14ac:dyDescent="0.25">
      <c r="A160" s="748" t="str">
        <f>IF(RIGHT('Org structure'!D155,18)&lt;&gt;"[Name of sub-vote]",'Org structure'!D155,"")</f>
        <v/>
      </c>
      <c r="B160" s="899"/>
      <c r="C160" s="1360">
        <f>-SUMIFS(Sheet1!S71_OriginalBudget,Sheet1!S71_SubMunicipalVoteNo,$AC:$AC,Sheet1!S71_ItemType,$AD:$AD)</f>
        <v>0</v>
      </c>
      <c r="D160" s="1356">
        <f>-SUMIFS(Sheet1!S71_SpecialAdjustedBudget,Sheet1!S71_SubMunicipalVoteNo,$AC:$AC,Sheet1!S71_ItemType,$AD:$AD)</f>
        <v>0</v>
      </c>
      <c r="E160" s="1356"/>
      <c r="F160" s="1356"/>
      <c r="G160" s="1356"/>
      <c r="H160" s="1356"/>
      <c r="I160" s="1356">
        <f>SUMIFS(Sheet1!S71_AdjustmentAmount,Sheet1!S71_SubMunicipalVoteNo,$AC:$AC,Sheet1!S71_ItemType,$AD:$AD)</f>
        <v>0</v>
      </c>
      <c r="J160" s="75">
        <f t="shared" si="18"/>
        <v>0</v>
      </c>
      <c r="K160" s="75">
        <f t="shared" si="19"/>
        <v>0</v>
      </c>
      <c r="L160" s="1356">
        <f>-SUMIFS(Sheet1!S71_OY1AdjustedBudget,Sheet1!S71_SubMunicipalVoteNo,$AC:$AC,Sheet1!S71_ItemType,$AD:$AD)</f>
        <v>0</v>
      </c>
      <c r="M160" s="1357">
        <f>-SUMIFS(Sheet1!S71_OY2AdjustedBudget,Sheet1!S71_SubMunicipalVoteNo,$AC:$AC,Sheet1!S71_ItemType,$AD:$AD)</f>
        <v>0</v>
      </c>
      <c r="AC160" s="1345">
        <v>1410</v>
      </c>
      <c r="AD160" s="1345" t="s">
        <v>1811</v>
      </c>
    </row>
    <row r="161" spans="1:30" ht="13.5" x14ac:dyDescent="0.25">
      <c r="A161" s="745" t="str">
        <f>'Org structure'!A16</f>
        <v>Vote 15 - Health</v>
      </c>
      <c r="B161" s="899"/>
      <c r="C161" s="733">
        <f>SUM(C162:C171)</f>
        <v>0</v>
      </c>
      <c r="D161" s="732">
        <f t="shared" ref="D161:I161" si="22">SUM(D162:D171)</f>
        <v>0</v>
      </c>
      <c r="E161" s="732">
        <f t="shared" si="22"/>
        <v>0</v>
      </c>
      <c r="F161" s="732">
        <f t="shared" si="22"/>
        <v>0</v>
      </c>
      <c r="G161" s="732">
        <f t="shared" si="22"/>
        <v>0</v>
      </c>
      <c r="H161" s="732">
        <f t="shared" si="22"/>
        <v>0</v>
      </c>
      <c r="I161" s="732">
        <f t="shared" si="22"/>
        <v>0</v>
      </c>
      <c r="J161" s="75">
        <f t="shared" si="18"/>
        <v>0</v>
      </c>
      <c r="K161" s="75">
        <f t="shared" si="19"/>
        <v>0</v>
      </c>
      <c r="L161" s="732">
        <f>SUM(L162:L171)</f>
        <v>0</v>
      </c>
      <c r="M161" s="759">
        <f>SUM(M162:M171)</f>
        <v>0</v>
      </c>
    </row>
    <row r="162" spans="1:30" ht="13.5" x14ac:dyDescent="0.25">
      <c r="A162" s="748" t="str">
        <f>IF(RIGHT('Org structure'!D157,18)&lt;&gt;"[Name of sub-vote]",'Org structure'!D157,"")</f>
        <v>15.1 - Health Services</v>
      </c>
      <c r="B162" s="899"/>
      <c r="C162" s="1360">
        <f>-SUMIFS(Sheet1!S71_OriginalBudget,Sheet1!S71_SubMunicipalVoteNo,$AC:$AC,Sheet1!S71_ItemType,$AD:$AD)</f>
        <v>0</v>
      </c>
      <c r="D162" s="1356">
        <f>-SUMIFS(Sheet1!S71_SpecialAdjustedBudget,Sheet1!S71_SubMunicipalVoteNo,$AC:$AC,Sheet1!S71_ItemType,$AD:$AD)</f>
        <v>0</v>
      </c>
      <c r="E162" s="1356"/>
      <c r="F162" s="1356"/>
      <c r="G162" s="1356"/>
      <c r="H162" s="1356"/>
      <c r="I162" s="1356">
        <f>SUMIFS(Sheet1!S71_AdjustmentAmount,Sheet1!S71_SubMunicipalVoteNo,$AC:$AC,Sheet1!S71_ItemType,$AD:$AD)</f>
        <v>0</v>
      </c>
      <c r="J162" s="75">
        <f t="shared" si="18"/>
        <v>0</v>
      </c>
      <c r="K162" s="75">
        <f t="shared" si="19"/>
        <v>0</v>
      </c>
      <c r="L162" s="1356">
        <f>-SUMIFS(Sheet1!S71_OY1AdjustedBudget,Sheet1!S71_SubMunicipalVoteNo,$AC:$AC,Sheet1!S71_ItemType,$AD:$AD)</f>
        <v>0</v>
      </c>
      <c r="M162" s="1357">
        <f>-SUMIFS(Sheet1!S71_OY2AdjustedBudget,Sheet1!S71_SubMunicipalVoteNo,$AC:$AC,Sheet1!S71_ItemType,$AD:$AD)</f>
        <v>0</v>
      </c>
      <c r="AC162" s="1345">
        <v>151</v>
      </c>
      <c r="AD162" s="1345" t="s">
        <v>1811</v>
      </c>
    </row>
    <row r="163" spans="1:30" ht="13.5" x14ac:dyDescent="0.25">
      <c r="A163" s="748" t="str">
        <f>IF(RIGHT('Org structure'!D158,18)&lt;&gt;"[Name of sub-vote]",'Org structure'!D158,"")</f>
        <v/>
      </c>
      <c r="B163" s="899"/>
      <c r="C163" s="1360">
        <f>-SUMIFS(Sheet1!S71_OriginalBudget,Sheet1!S71_SubMunicipalVoteNo,$AC:$AC,Sheet1!S71_ItemType,$AD:$AD)</f>
        <v>0</v>
      </c>
      <c r="D163" s="1356">
        <f>-SUMIFS(Sheet1!S71_SpecialAdjustedBudget,Sheet1!S71_SubMunicipalVoteNo,$AC:$AC,Sheet1!S71_ItemType,$AD:$AD)</f>
        <v>0</v>
      </c>
      <c r="E163" s="1356"/>
      <c r="F163" s="1356"/>
      <c r="G163" s="1356"/>
      <c r="H163" s="1356"/>
      <c r="I163" s="1356">
        <f>SUMIFS(Sheet1!S71_AdjustmentAmount,Sheet1!S71_SubMunicipalVoteNo,$AC:$AC,Sheet1!S71_ItemType,$AD:$AD)</f>
        <v>0</v>
      </c>
      <c r="J163" s="75">
        <f t="shared" si="18"/>
        <v>0</v>
      </c>
      <c r="K163" s="75">
        <f t="shared" si="19"/>
        <v>0</v>
      </c>
      <c r="L163" s="1356">
        <f>-SUMIFS(Sheet1!S71_OY1AdjustedBudget,Sheet1!S71_SubMunicipalVoteNo,$AC:$AC,Sheet1!S71_ItemType,$AD:$AD)</f>
        <v>0</v>
      </c>
      <c r="M163" s="1357">
        <f>-SUMIFS(Sheet1!S71_OY2AdjustedBudget,Sheet1!S71_SubMunicipalVoteNo,$AC:$AC,Sheet1!S71_ItemType,$AD:$AD)</f>
        <v>0</v>
      </c>
      <c r="AC163" s="1345">
        <v>152</v>
      </c>
      <c r="AD163" s="1345" t="s">
        <v>1811</v>
      </c>
    </row>
    <row r="164" spans="1:30" ht="13.5" x14ac:dyDescent="0.25">
      <c r="A164" s="748" t="str">
        <f>IF(RIGHT('Org structure'!D159,18)&lt;&gt;"[Name of sub-vote]",'Org structure'!D159,"")</f>
        <v/>
      </c>
      <c r="B164" s="899"/>
      <c r="C164" s="1360">
        <f>-SUMIFS(Sheet1!S71_OriginalBudget,Sheet1!S71_SubMunicipalVoteNo,$AC:$AC,Sheet1!S71_ItemType,$AD:$AD)</f>
        <v>0</v>
      </c>
      <c r="D164" s="1356">
        <f>-SUMIFS(Sheet1!S71_SpecialAdjustedBudget,Sheet1!S71_SubMunicipalVoteNo,$AC:$AC,Sheet1!S71_ItemType,$AD:$AD)</f>
        <v>0</v>
      </c>
      <c r="E164" s="1356"/>
      <c r="F164" s="1356"/>
      <c r="G164" s="1356"/>
      <c r="H164" s="1356"/>
      <c r="I164" s="1356">
        <f>SUMIFS(Sheet1!S71_AdjustmentAmount,Sheet1!S71_SubMunicipalVoteNo,$AC:$AC,Sheet1!S71_ItemType,$AD:$AD)</f>
        <v>0</v>
      </c>
      <c r="J164" s="75">
        <f t="shared" si="18"/>
        <v>0</v>
      </c>
      <c r="K164" s="75">
        <f t="shared" si="19"/>
        <v>0</v>
      </c>
      <c r="L164" s="1356">
        <f>-SUMIFS(Sheet1!S71_OY1AdjustedBudget,Sheet1!S71_SubMunicipalVoteNo,$AC:$AC,Sheet1!S71_ItemType,$AD:$AD)</f>
        <v>0</v>
      </c>
      <c r="M164" s="1357">
        <f>-SUMIFS(Sheet1!S71_OY2AdjustedBudget,Sheet1!S71_SubMunicipalVoteNo,$AC:$AC,Sheet1!S71_ItemType,$AD:$AD)</f>
        <v>0</v>
      </c>
      <c r="AC164" s="1345">
        <v>153</v>
      </c>
      <c r="AD164" s="1345" t="s">
        <v>1811</v>
      </c>
    </row>
    <row r="165" spans="1:30" ht="13.5" x14ac:dyDescent="0.25">
      <c r="A165" s="748" t="str">
        <f>IF(RIGHT('Org structure'!D160,18)&lt;&gt;"[Name of sub-vote]",'Org structure'!D160,"")</f>
        <v/>
      </c>
      <c r="B165" s="899"/>
      <c r="C165" s="1360">
        <f>-SUMIFS(Sheet1!S71_OriginalBudget,Sheet1!S71_SubMunicipalVoteNo,$AC:$AC,Sheet1!S71_ItemType,$AD:$AD)</f>
        <v>0</v>
      </c>
      <c r="D165" s="1356">
        <f>-SUMIFS(Sheet1!S71_SpecialAdjustedBudget,Sheet1!S71_SubMunicipalVoteNo,$AC:$AC,Sheet1!S71_ItemType,$AD:$AD)</f>
        <v>0</v>
      </c>
      <c r="E165" s="1356"/>
      <c r="F165" s="1356"/>
      <c r="G165" s="1356"/>
      <c r="H165" s="1356"/>
      <c r="I165" s="1356">
        <f>SUMIFS(Sheet1!S71_AdjustmentAmount,Sheet1!S71_SubMunicipalVoteNo,$AC:$AC,Sheet1!S71_ItemType,$AD:$AD)</f>
        <v>0</v>
      </c>
      <c r="J165" s="75">
        <f t="shared" si="18"/>
        <v>0</v>
      </c>
      <c r="K165" s="75">
        <f t="shared" si="19"/>
        <v>0</v>
      </c>
      <c r="L165" s="1356">
        <f>-SUMIFS(Sheet1!S71_OY1AdjustedBudget,Sheet1!S71_SubMunicipalVoteNo,$AC:$AC,Sheet1!S71_ItemType,$AD:$AD)</f>
        <v>0</v>
      </c>
      <c r="M165" s="1357">
        <f>-SUMIFS(Sheet1!S71_OY2AdjustedBudget,Sheet1!S71_SubMunicipalVoteNo,$AC:$AC,Sheet1!S71_ItemType,$AD:$AD)</f>
        <v>0</v>
      </c>
      <c r="AC165" s="1345">
        <v>154</v>
      </c>
      <c r="AD165" s="1345" t="s">
        <v>1811</v>
      </c>
    </row>
    <row r="166" spans="1:30" ht="13.5" x14ac:dyDescent="0.25">
      <c r="A166" s="748" t="str">
        <f>IF(RIGHT('Org structure'!D161,18)&lt;&gt;"[Name of sub-vote]",'Org structure'!D161,"")</f>
        <v/>
      </c>
      <c r="B166" s="899"/>
      <c r="C166" s="1360">
        <f>-SUMIFS(Sheet1!S71_OriginalBudget,Sheet1!S71_SubMunicipalVoteNo,$AC:$AC,Sheet1!S71_ItemType,$AD:$AD)</f>
        <v>0</v>
      </c>
      <c r="D166" s="1356">
        <f>-SUMIFS(Sheet1!S71_SpecialAdjustedBudget,Sheet1!S71_SubMunicipalVoteNo,$AC:$AC,Sheet1!S71_ItemType,$AD:$AD)</f>
        <v>0</v>
      </c>
      <c r="E166" s="1356"/>
      <c r="F166" s="1356"/>
      <c r="G166" s="1356"/>
      <c r="H166" s="1356"/>
      <c r="I166" s="1356">
        <f>SUMIFS(Sheet1!S71_AdjustmentAmount,Sheet1!S71_SubMunicipalVoteNo,$AC:$AC,Sheet1!S71_ItemType,$AD:$AD)</f>
        <v>0</v>
      </c>
      <c r="J166" s="75">
        <f t="shared" si="18"/>
        <v>0</v>
      </c>
      <c r="K166" s="75">
        <f t="shared" si="19"/>
        <v>0</v>
      </c>
      <c r="L166" s="1356">
        <f>-SUMIFS(Sheet1!S71_OY1AdjustedBudget,Sheet1!S71_SubMunicipalVoteNo,$AC:$AC,Sheet1!S71_ItemType,$AD:$AD)</f>
        <v>0</v>
      </c>
      <c r="M166" s="1357">
        <f>-SUMIFS(Sheet1!S71_OY2AdjustedBudget,Sheet1!S71_SubMunicipalVoteNo,$AC:$AC,Sheet1!S71_ItemType,$AD:$AD)</f>
        <v>0</v>
      </c>
      <c r="AC166" s="1345">
        <v>155</v>
      </c>
      <c r="AD166" s="1345" t="s">
        <v>1811</v>
      </c>
    </row>
    <row r="167" spans="1:30" ht="13.5" x14ac:dyDescent="0.25">
      <c r="A167" s="748" t="str">
        <f>IF(RIGHT('Org structure'!D162,18)&lt;&gt;"[Name of sub-vote]",'Org structure'!D162,"")</f>
        <v/>
      </c>
      <c r="B167" s="899"/>
      <c r="C167" s="1360">
        <f>-SUMIFS(Sheet1!S71_OriginalBudget,Sheet1!S71_SubMunicipalVoteNo,$AC:$AC,Sheet1!S71_ItemType,$AD:$AD)</f>
        <v>0</v>
      </c>
      <c r="D167" s="1356">
        <f>-SUMIFS(Sheet1!S71_SpecialAdjustedBudget,Sheet1!S71_SubMunicipalVoteNo,$AC:$AC,Sheet1!S71_ItemType,$AD:$AD)</f>
        <v>0</v>
      </c>
      <c r="E167" s="1356"/>
      <c r="F167" s="1356"/>
      <c r="G167" s="1356"/>
      <c r="H167" s="1356"/>
      <c r="I167" s="1356">
        <f>SUMIFS(Sheet1!S71_AdjustmentAmount,Sheet1!S71_SubMunicipalVoteNo,$AC:$AC,Sheet1!S71_ItemType,$AD:$AD)</f>
        <v>0</v>
      </c>
      <c r="J167" s="75">
        <f t="shared" ref="J167:J172" si="23">SUM(E167:I167)</f>
        <v>0</v>
      </c>
      <c r="K167" s="75">
        <f t="shared" si="19"/>
        <v>0</v>
      </c>
      <c r="L167" s="1356">
        <f>-SUMIFS(Sheet1!S71_OY1AdjustedBudget,Sheet1!S71_SubMunicipalVoteNo,$AC:$AC,Sheet1!S71_ItemType,$AD:$AD)</f>
        <v>0</v>
      </c>
      <c r="M167" s="1357">
        <f>-SUMIFS(Sheet1!S71_OY2AdjustedBudget,Sheet1!S71_SubMunicipalVoteNo,$AC:$AC,Sheet1!S71_ItemType,$AD:$AD)</f>
        <v>0</v>
      </c>
      <c r="AC167" s="1345">
        <v>156</v>
      </c>
      <c r="AD167" s="1345" t="s">
        <v>1811</v>
      </c>
    </row>
    <row r="168" spans="1:30" ht="13.5" x14ac:dyDescent="0.25">
      <c r="A168" s="748" t="str">
        <f>IF(RIGHT('Org structure'!D163,18)&lt;&gt;"[Name of sub-vote]",'Org structure'!D163,"")</f>
        <v/>
      </c>
      <c r="B168" s="899"/>
      <c r="C168" s="1360">
        <f>-SUMIFS(Sheet1!S71_OriginalBudget,Sheet1!S71_SubMunicipalVoteNo,$AC:$AC,Sheet1!S71_ItemType,$AD:$AD)</f>
        <v>0</v>
      </c>
      <c r="D168" s="1356">
        <f>-SUMIFS(Sheet1!S71_SpecialAdjustedBudget,Sheet1!S71_SubMunicipalVoteNo,$AC:$AC,Sheet1!S71_ItemType,$AD:$AD)</f>
        <v>0</v>
      </c>
      <c r="E168" s="1356"/>
      <c r="F168" s="1356"/>
      <c r="G168" s="1356"/>
      <c r="H168" s="1356"/>
      <c r="I168" s="1356">
        <f>SUMIFS(Sheet1!S71_AdjustmentAmount,Sheet1!S71_SubMunicipalVoteNo,$AC:$AC,Sheet1!S71_ItemType,$AD:$AD)</f>
        <v>0</v>
      </c>
      <c r="J168" s="75">
        <f t="shared" si="23"/>
        <v>0</v>
      </c>
      <c r="K168" s="75">
        <f t="shared" si="19"/>
        <v>0</v>
      </c>
      <c r="L168" s="1356">
        <f>-SUMIFS(Sheet1!S71_OY1AdjustedBudget,Sheet1!S71_SubMunicipalVoteNo,$AC:$AC,Sheet1!S71_ItemType,$AD:$AD)</f>
        <v>0</v>
      </c>
      <c r="M168" s="1357">
        <f>-SUMIFS(Sheet1!S71_OY2AdjustedBudget,Sheet1!S71_SubMunicipalVoteNo,$AC:$AC,Sheet1!S71_ItemType,$AD:$AD)</f>
        <v>0</v>
      </c>
      <c r="AC168" s="1345">
        <v>157</v>
      </c>
      <c r="AD168" s="1345" t="s">
        <v>1811</v>
      </c>
    </row>
    <row r="169" spans="1:30" ht="13.5" x14ac:dyDescent="0.25">
      <c r="A169" s="748" t="str">
        <f>IF(RIGHT('Org structure'!D164,18)&lt;&gt;"[Name of sub-vote]",'Org structure'!D164,"")</f>
        <v/>
      </c>
      <c r="B169" s="899"/>
      <c r="C169" s="1360">
        <f>-SUMIFS(Sheet1!S71_OriginalBudget,Sheet1!S71_SubMunicipalVoteNo,$AC:$AC,Sheet1!S71_ItemType,$AD:$AD)</f>
        <v>0</v>
      </c>
      <c r="D169" s="1356">
        <f>-SUMIFS(Sheet1!S71_SpecialAdjustedBudget,Sheet1!S71_SubMunicipalVoteNo,$AC:$AC,Sheet1!S71_ItemType,$AD:$AD)</f>
        <v>0</v>
      </c>
      <c r="E169" s="1356"/>
      <c r="F169" s="1356"/>
      <c r="G169" s="1356"/>
      <c r="H169" s="1356"/>
      <c r="I169" s="1356">
        <f>SUMIFS(Sheet1!S71_AdjustmentAmount,Sheet1!S71_SubMunicipalVoteNo,$AC:$AC,Sheet1!S71_ItemType,$AD:$AD)</f>
        <v>0</v>
      </c>
      <c r="J169" s="75">
        <f t="shared" si="23"/>
        <v>0</v>
      </c>
      <c r="K169" s="75">
        <f t="shared" si="19"/>
        <v>0</v>
      </c>
      <c r="L169" s="1356">
        <f>-SUMIFS(Sheet1!S71_OY1AdjustedBudget,Sheet1!S71_SubMunicipalVoteNo,$AC:$AC,Sheet1!S71_ItemType,$AD:$AD)</f>
        <v>0</v>
      </c>
      <c r="M169" s="1357">
        <f>-SUMIFS(Sheet1!S71_OY2AdjustedBudget,Sheet1!S71_SubMunicipalVoteNo,$AC:$AC,Sheet1!S71_ItemType,$AD:$AD)</f>
        <v>0</v>
      </c>
      <c r="AC169" s="1345">
        <v>158</v>
      </c>
      <c r="AD169" s="1345" t="s">
        <v>1811</v>
      </c>
    </row>
    <row r="170" spans="1:30" ht="13.5" x14ac:dyDescent="0.25">
      <c r="A170" s="748" t="str">
        <f>IF(RIGHT('Org structure'!D165,18)&lt;&gt;"[Name of sub-vote]",'Org structure'!D165,"")</f>
        <v/>
      </c>
      <c r="B170" s="899"/>
      <c r="C170" s="1360">
        <f>-SUMIFS(Sheet1!S71_OriginalBudget,Sheet1!S71_SubMunicipalVoteNo,$AC:$AC,Sheet1!S71_ItemType,$AD:$AD)</f>
        <v>0</v>
      </c>
      <c r="D170" s="1356">
        <f>-SUMIFS(Sheet1!S71_SpecialAdjustedBudget,Sheet1!S71_SubMunicipalVoteNo,$AC:$AC,Sheet1!S71_ItemType,$AD:$AD)</f>
        <v>0</v>
      </c>
      <c r="E170" s="1356"/>
      <c r="F170" s="1356"/>
      <c r="G170" s="1356"/>
      <c r="H170" s="1356"/>
      <c r="I170" s="1356">
        <f>SUMIFS(Sheet1!S71_AdjustmentAmount,Sheet1!S71_SubMunicipalVoteNo,$AC:$AC,Sheet1!S71_ItemType,$AD:$AD)</f>
        <v>0</v>
      </c>
      <c r="J170" s="75">
        <f t="shared" si="23"/>
        <v>0</v>
      </c>
      <c r="K170" s="75">
        <f t="shared" si="19"/>
        <v>0</v>
      </c>
      <c r="L170" s="1356">
        <f>-SUMIFS(Sheet1!S71_OY1AdjustedBudget,Sheet1!S71_SubMunicipalVoteNo,$AC:$AC,Sheet1!S71_ItemType,$AD:$AD)</f>
        <v>0</v>
      </c>
      <c r="M170" s="1357">
        <f>-SUMIFS(Sheet1!S71_OY2AdjustedBudget,Sheet1!S71_SubMunicipalVoteNo,$AC:$AC,Sheet1!S71_ItemType,$AD:$AD)</f>
        <v>0</v>
      </c>
      <c r="AC170" s="1345">
        <v>159</v>
      </c>
      <c r="AD170" s="1345" t="s">
        <v>1811</v>
      </c>
    </row>
    <row r="171" spans="1:30" ht="13.5" x14ac:dyDescent="0.25">
      <c r="A171" s="748" t="str">
        <f>IF(RIGHT('Org structure'!D166,18)&lt;&gt;"[Name of sub-vote]",'Org structure'!D166,"")</f>
        <v/>
      </c>
      <c r="B171" s="899"/>
      <c r="C171" s="1360">
        <f>-SUMIFS(Sheet1!S71_OriginalBudget,Sheet1!S71_SubMunicipalVoteNo,$AC:$AC,Sheet1!S71_ItemType,$AD:$AD)</f>
        <v>0</v>
      </c>
      <c r="D171" s="1356">
        <f>-SUMIFS(Sheet1!S71_SpecialAdjustedBudget,Sheet1!S71_SubMunicipalVoteNo,$AC:$AC,Sheet1!S71_ItemType,$AD:$AD)</f>
        <v>0</v>
      </c>
      <c r="E171" s="1356"/>
      <c r="F171" s="1356"/>
      <c r="G171" s="1356"/>
      <c r="H171" s="1356"/>
      <c r="I171" s="1356">
        <f>SUMIFS(Sheet1!S71_AdjustmentAmount,Sheet1!S71_SubMunicipalVoteNo,$AC:$AC,Sheet1!S71_ItemType,$AD:$AD)</f>
        <v>0</v>
      </c>
      <c r="J171" s="75">
        <f t="shared" si="23"/>
        <v>0</v>
      </c>
      <c r="K171" s="75">
        <f t="shared" si="19"/>
        <v>0</v>
      </c>
      <c r="L171" s="1356">
        <f>-SUMIFS(Sheet1!S71_OY1AdjustedBudget,Sheet1!S71_SubMunicipalVoteNo,$AC:$AC,Sheet1!S71_ItemType,$AD:$AD)</f>
        <v>0</v>
      </c>
      <c r="M171" s="1357">
        <f>-SUMIFS(Sheet1!S71_OY2AdjustedBudget,Sheet1!S71_SubMunicipalVoteNo,$AC:$AC,Sheet1!S71_ItemType,$AD:$AD)</f>
        <v>0</v>
      </c>
      <c r="AC171" s="1345">
        <v>1510</v>
      </c>
      <c r="AD171" s="1345" t="s">
        <v>1811</v>
      </c>
    </row>
    <row r="172" spans="1:30" ht="13.5" x14ac:dyDescent="0.25">
      <c r="A172" s="736" t="s">
        <v>607</v>
      </c>
      <c r="B172" s="897">
        <v>2</v>
      </c>
      <c r="C172" s="738">
        <f>C7+C18+C29+C40+C51+C62+C73+C84+C95+C106+C117+C128+C139+C150+C161</f>
        <v>124222455</v>
      </c>
      <c r="D172" s="737">
        <f t="shared" ref="D172:H172" si="24">D7+D18+D29+D40+D51+D62+D73+D84+D95+D106+D117+D128+D139+D150+D161</f>
        <v>136627455</v>
      </c>
      <c r="E172" s="737">
        <f t="shared" si="24"/>
        <v>0</v>
      </c>
      <c r="F172" s="737">
        <f t="shared" si="24"/>
        <v>0</v>
      </c>
      <c r="G172" s="737">
        <f t="shared" si="24"/>
        <v>0</v>
      </c>
      <c r="H172" s="737">
        <f t="shared" si="24"/>
        <v>0</v>
      </c>
      <c r="I172" s="737">
        <f>I7+I18+I29+I40+I51+I62+I73+I84+I95+I106+I117+I128+I139+I150+I161</f>
        <v>-924410</v>
      </c>
      <c r="J172" s="75">
        <f t="shared" si="23"/>
        <v>-924410</v>
      </c>
      <c r="K172" s="75">
        <f>IF(D172=0,C172+J172,D172+J172)</f>
        <v>135703045</v>
      </c>
      <c r="L172" s="737">
        <f>L7+L18+L29+L40+L51+L62+L73+L84+L95+L106+L117+L128+L139+L150+L161</f>
        <v>131138703</v>
      </c>
      <c r="M172" s="760">
        <f>M7+M18+M29+M40+M51+M62+M73+M84+M95+M106+M117+M128+M139+M150+M161</f>
        <v>138782873</v>
      </c>
    </row>
    <row r="173" spans="1:30" ht="5.25" customHeight="1" x14ac:dyDescent="0.25">
      <c r="A173" s="739"/>
      <c r="B173" s="901"/>
      <c r="C173" s="741"/>
      <c r="D173" s="740"/>
      <c r="E173" s="740"/>
      <c r="F173" s="740"/>
      <c r="G173" s="740"/>
      <c r="H173" s="740"/>
      <c r="I173" s="740"/>
      <c r="J173" s="740"/>
      <c r="K173" s="740"/>
      <c r="L173" s="740"/>
      <c r="M173" s="761"/>
    </row>
    <row r="174" spans="1:30" ht="13.5" x14ac:dyDescent="0.25">
      <c r="A174" s="742" t="s">
        <v>608</v>
      </c>
      <c r="B174" s="902">
        <v>1</v>
      </c>
      <c r="C174" s="744"/>
      <c r="D174" s="743"/>
      <c r="E174" s="743"/>
      <c r="F174" s="743"/>
      <c r="G174" s="743"/>
      <c r="H174" s="743"/>
      <c r="I174" s="743"/>
      <c r="J174" s="743"/>
      <c r="K174" s="743"/>
      <c r="L174" s="743"/>
      <c r="M174" s="762"/>
    </row>
    <row r="175" spans="1:30" ht="13.5" x14ac:dyDescent="0.25">
      <c r="A175" s="745" t="str">
        <f>A7</f>
        <v>Vote 1 - Finance and Administration</v>
      </c>
      <c r="B175" s="903"/>
      <c r="C175" s="747">
        <f t="shared" ref="C175:I175" si="25">SUM(C176:C185)</f>
        <v>49641785</v>
      </c>
      <c r="D175" s="746">
        <f t="shared" si="25"/>
        <v>49641785</v>
      </c>
      <c r="E175" s="746">
        <f t="shared" si="25"/>
        <v>0</v>
      </c>
      <c r="F175" s="746">
        <f t="shared" si="25"/>
        <v>0</v>
      </c>
      <c r="G175" s="746">
        <f t="shared" si="25"/>
        <v>0</v>
      </c>
      <c r="H175" s="746">
        <f t="shared" si="25"/>
        <v>0</v>
      </c>
      <c r="I175" s="746">
        <f t="shared" si="25"/>
        <v>7065000</v>
      </c>
      <c r="J175" s="75">
        <f t="shared" ref="J175:J206" si="26">SUM(E175:I175)</f>
        <v>7065000</v>
      </c>
      <c r="K175" s="75">
        <f>IF(D175=0,C175+J175,D175+J175)</f>
        <v>56706785</v>
      </c>
      <c r="L175" s="746">
        <f>SUM(L176:L185)</f>
        <v>53854110</v>
      </c>
      <c r="M175" s="763">
        <f>SUM(M176:M185)</f>
        <v>57753498</v>
      </c>
    </row>
    <row r="176" spans="1:30" ht="13.5" x14ac:dyDescent="0.25">
      <c r="A176" s="748" t="str">
        <f>IF(RIGHT('Org structure'!D3,18)&lt;&gt;"[Name of sub-vote]",'Org structure'!D3,"")</f>
        <v>1.1 - Finance</v>
      </c>
      <c r="B176" s="899"/>
      <c r="C176" s="1360">
        <f>SUMIFS(Sheet1!S71_OriginalBudget,Sheet1!S71_SubMunicipalVoteNo,$AC:$AC,Sheet1!S71_ItemType,$AD:$AD)</f>
        <v>17834080</v>
      </c>
      <c r="D176" s="1356">
        <f>SUMIFS(Sheet1!S71_SpecialAdjustedBudget,Sheet1!S71_SubMunicipalVoteNo,$AC:$AC,Sheet1!S71_ItemType,$AD:$AD)</f>
        <v>17834080</v>
      </c>
      <c r="E176" s="1356"/>
      <c r="F176" s="1356"/>
      <c r="G176" s="1356"/>
      <c r="H176" s="1356"/>
      <c r="I176" s="1356">
        <f>SUMIFS(Sheet1!S71_AdjustmentAmount,Sheet1!S71_SubMunicipalVoteNo,$AC:$AC,Sheet1!S71_ItemType,$AD:$AD)</f>
        <v>200000</v>
      </c>
      <c r="J176" s="75">
        <f t="shared" si="26"/>
        <v>200000</v>
      </c>
      <c r="K176" s="75">
        <f t="shared" ref="K176:K239" si="27">IF(D176=0,C176+J176,D176+J176)</f>
        <v>18034080</v>
      </c>
      <c r="L176" s="1356">
        <f>SUMIFS(Sheet1!S71_OY1AdjustedBudget,Sheet1!S71_SubMunicipalVoteNo,$AC:$AC,Sheet1!S71_ItemType,$AD:$AD)</f>
        <v>19487559</v>
      </c>
      <c r="M176" s="1357">
        <f>SUMIFS(Sheet1!S71_OY2AdjustedBudget,Sheet1!S71_SubMunicipalVoteNo,$AC:$AC,Sheet1!S71_ItemType,$AD:$AD)</f>
        <v>21307363</v>
      </c>
      <c r="AC176" s="1345">
        <v>11</v>
      </c>
      <c r="AD176" s="1345" t="s">
        <v>1812</v>
      </c>
    </row>
    <row r="177" spans="1:30" ht="13.5" x14ac:dyDescent="0.25">
      <c r="A177" s="748" t="str">
        <f>IF(RIGHT('Org structure'!D4,18)&lt;&gt;"[Name of sub-vote]",'Org structure'!D4,"")</f>
        <v>1.2 - Fleet Management</v>
      </c>
      <c r="B177" s="899"/>
      <c r="C177" s="1360">
        <f>SUMIFS(Sheet1!S71_OriginalBudget,Sheet1!S71_SubMunicipalVoteNo,$AC:$AC,Sheet1!S71_ItemType,$AD:$AD)</f>
        <v>910000</v>
      </c>
      <c r="D177" s="1356">
        <f>SUMIFS(Sheet1!S71_SpecialAdjustedBudget,Sheet1!S71_SubMunicipalVoteNo,$AC:$AC,Sheet1!S71_ItemType,$AD:$AD)</f>
        <v>910000</v>
      </c>
      <c r="E177" s="1356"/>
      <c r="F177" s="1356"/>
      <c r="G177" s="1356"/>
      <c r="H177" s="1356"/>
      <c r="I177" s="1356">
        <f>SUMIFS(Sheet1!S71_AdjustmentAmount,Sheet1!S71_SubMunicipalVoteNo,$AC:$AC,Sheet1!S71_ItemType,$AD:$AD)</f>
        <v>660000</v>
      </c>
      <c r="J177" s="75">
        <f t="shared" si="26"/>
        <v>660000</v>
      </c>
      <c r="K177" s="75">
        <f t="shared" si="27"/>
        <v>1570000</v>
      </c>
      <c r="L177" s="1356">
        <f>SUMIFS(Sheet1!S71_OY1AdjustedBudget,Sheet1!S71_SubMunicipalVoteNo,$AC:$AC,Sheet1!S71_ItemType,$AD:$AD)</f>
        <v>964600</v>
      </c>
      <c r="M177" s="1357">
        <f>SUMIFS(Sheet1!S71_OY2AdjustedBudget,Sheet1!S71_SubMunicipalVoteNo,$AC:$AC,Sheet1!S71_ItemType,$AD:$AD)</f>
        <v>1022476</v>
      </c>
      <c r="AC177" s="1345">
        <v>12</v>
      </c>
      <c r="AD177" s="1345" t="s">
        <v>1812</v>
      </c>
    </row>
    <row r="178" spans="1:30" ht="13.5" x14ac:dyDescent="0.25">
      <c r="A178" s="748" t="str">
        <f>IF(RIGHT('Org structure'!D5,18)&lt;&gt;"[Name of sub-vote]",'Org structure'!D5,"")</f>
        <v>1.3 - Asset Management</v>
      </c>
      <c r="B178" s="899"/>
      <c r="C178" s="1360">
        <f>SUMIFS(Sheet1!S71_OriginalBudget,Sheet1!S71_SubMunicipalVoteNo,$AC:$AC,Sheet1!S71_ItemType,$AD:$AD)</f>
        <v>13173339</v>
      </c>
      <c r="D178" s="1356">
        <f>SUMIFS(Sheet1!S71_SpecialAdjustedBudget,Sheet1!S71_SubMunicipalVoteNo,$AC:$AC,Sheet1!S71_ItemType,$AD:$AD)</f>
        <v>13173339</v>
      </c>
      <c r="E178" s="1356"/>
      <c r="F178" s="1356"/>
      <c r="G178" s="1356"/>
      <c r="H178" s="1356"/>
      <c r="I178" s="1356">
        <f>SUMIFS(Sheet1!S71_AdjustmentAmount,Sheet1!S71_SubMunicipalVoteNo,$AC:$AC,Sheet1!S71_ItemType,$AD:$AD)</f>
        <v>5819500</v>
      </c>
      <c r="J178" s="75">
        <f t="shared" si="26"/>
        <v>5819500</v>
      </c>
      <c r="K178" s="75">
        <f t="shared" si="27"/>
        <v>18992839</v>
      </c>
      <c r="L178" s="1356">
        <f>SUMIFS(Sheet1!S71_OY1AdjustedBudget,Sheet1!S71_SubMunicipalVoteNo,$AC:$AC,Sheet1!S71_ItemType,$AD:$AD)</f>
        <v>14490674</v>
      </c>
      <c r="M178" s="1357">
        <f>SUMIFS(Sheet1!S71_OY2AdjustedBudget,Sheet1!S71_SubMunicipalVoteNo,$AC:$AC,Sheet1!S71_ItemType,$AD:$AD)</f>
        <v>15939740</v>
      </c>
      <c r="AC178" s="1345">
        <v>13</v>
      </c>
      <c r="AD178" s="1345" t="s">
        <v>1812</v>
      </c>
    </row>
    <row r="179" spans="1:30" ht="13.5" x14ac:dyDescent="0.25">
      <c r="A179" s="748" t="str">
        <f>IF(RIGHT('Org structure'!D6,18)&lt;&gt;"[Name of sub-vote]",'Org structure'!D6,"")</f>
        <v>1.4 - Administrative and Corporate Support</v>
      </c>
      <c r="B179" s="899"/>
      <c r="C179" s="1360">
        <f>SUMIFS(Sheet1!S71_OriginalBudget,Sheet1!S71_SubMunicipalVoteNo,$AC:$AC,Sheet1!S71_ItemType,$AD:$AD)</f>
        <v>11894526</v>
      </c>
      <c r="D179" s="1356">
        <f>SUMIFS(Sheet1!S71_SpecialAdjustedBudget,Sheet1!S71_SubMunicipalVoteNo,$AC:$AC,Sheet1!S71_ItemType,$AD:$AD)</f>
        <v>11894526</v>
      </c>
      <c r="E179" s="1356"/>
      <c r="F179" s="1356"/>
      <c r="G179" s="1356"/>
      <c r="H179" s="1356"/>
      <c r="I179" s="1356">
        <f>SUMIFS(Sheet1!S71_AdjustmentAmount,Sheet1!S71_SubMunicipalVoteNo,$AC:$AC,Sheet1!S71_ItemType,$AD:$AD)</f>
        <v>-174500</v>
      </c>
      <c r="J179" s="75">
        <f t="shared" si="26"/>
        <v>-174500</v>
      </c>
      <c r="K179" s="75">
        <f t="shared" si="27"/>
        <v>11720026</v>
      </c>
      <c r="L179" s="1356">
        <f>SUMIFS(Sheet1!S71_OY1AdjustedBudget,Sheet1!S71_SubMunicipalVoteNo,$AC:$AC,Sheet1!S71_ItemType,$AD:$AD)</f>
        <v>12692221</v>
      </c>
      <c r="M179" s="1357">
        <f>SUMIFS(Sheet1!S71_OY2AdjustedBudget,Sheet1!S71_SubMunicipalVoteNo,$AC:$AC,Sheet1!S71_ItemType,$AD:$AD)</f>
        <v>12847030</v>
      </c>
      <c r="AC179" s="1345">
        <v>14</v>
      </c>
      <c r="AD179" s="1345" t="s">
        <v>1812</v>
      </c>
    </row>
    <row r="180" spans="1:30" ht="13.5" x14ac:dyDescent="0.25">
      <c r="A180" s="748" t="str">
        <f>IF(RIGHT('Org structure'!D7,18)&lt;&gt;"[Name of sub-vote]",'Org structure'!D7,"")</f>
        <v>1.5 - Human Resources</v>
      </c>
      <c r="B180" s="899"/>
      <c r="C180" s="1360">
        <f>SUMIFS(Sheet1!S71_OriginalBudget,Sheet1!S71_SubMunicipalVoteNo,$AC:$AC,Sheet1!S71_ItemType,$AD:$AD)</f>
        <v>1099190</v>
      </c>
      <c r="D180" s="1356">
        <f>SUMIFS(Sheet1!S71_SpecialAdjustedBudget,Sheet1!S71_SubMunicipalVoteNo,$AC:$AC,Sheet1!S71_ItemType,$AD:$AD)</f>
        <v>1099190</v>
      </c>
      <c r="E180" s="1356"/>
      <c r="F180" s="1356"/>
      <c r="G180" s="1356"/>
      <c r="H180" s="1356"/>
      <c r="I180" s="1356">
        <f>SUMIFS(Sheet1!S71_AdjustmentAmount,Sheet1!S71_SubMunicipalVoteNo,$AC:$AC,Sheet1!S71_ItemType,$AD:$AD)</f>
        <v>-160000</v>
      </c>
      <c r="J180" s="75">
        <f t="shared" si="26"/>
        <v>-160000</v>
      </c>
      <c r="K180" s="75">
        <f t="shared" si="27"/>
        <v>939190</v>
      </c>
      <c r="L180" s="1356">
        <f>SUMIFS(Sheet1!S71_OY1AdjustedBudget,Sheet1!S71_SubMunicipalVoteNo,$AC:$AC,Sheet1!S71_ItemType,$AD:$AD)</f>
        <v>1165141</v>
      </c>
      <c r="M180" s="1357">
        <f>SUMIFS(Sheet1!S71_OY2AdjustedBudget,Sheet1!S71_SubMunicipalVoteNo,$AC:$AC,Sheet1!S71_ItemType,$AD:$AD)</f>
        <v>1235050</v>
      </c>
      <c r="AC180" s="1345">
        <v>15</v>
      </c>
      <c r="AD180" s="1345" t="s">
        <v>1812</v>
      </c>
    </row>
    <row r="181" spans="1:30" ht="13.5" x14ac:dyDescent="0.25">
      <c r="A181" s="748" t="str">
        <f>IF(RIGHT('Org structure'!D8,18)&lt;&gt;"[Name of sub-vote]",'Org structure'!D8,"")</f>
        <v>1.6 - Property Services</v>
      </c>
      <c r="B181" s="899"/>
      <c r="C181" s="1360">
        <f>SUMIFS(Sheet1!S71_OriginalBudget,Sheet1!S71_SubMunicipalVoteNo,$AC:$AC,Sheet1!S71_ItemType,$AD:$AD)</f>
        <v>2635650</v>
      </c>
      <c r="D181" s="1356">
        <f>SUMIFS(Sheet1!S71_SpecialAdjustedBudget,Sheet1!S71_SubMunicipalVoteNo,$AC:$AC,Sheet1!S71_ItemType,$AD:$AD)</f>
        <v>2635650</v>
      </c>
      <c r="E181" s="1356"/>
      <c r="F181" s="1356"/>
      <c r="G181" s="1356"/>
      <c r="H181" s="1356"/>
      <c r="I181" s="1356">
        <f>SUMIFS(Sheet1!S71_AdjustmentAmount,Sheet1!S71_SubMunicipalVoteNo,$AC:$AC,Sheet1!S71_ItemType,$AD:$AD)</f>
        <v>0</v>
      </c>
      <c r="J181" s="75">
        <f t="shared" si="26"/>
        <v>0</v>
      </c>
      <c r="K181" s="75">
        <f t="shared" si="27"/>
        <v>2635650</v>
      </c>
      <c r="L181" s="1356">
        <f>SUMIFS(Sheet1!S71_OY1AdjustedBudget,Sheet1!S71_SubMunicipalVoteNo,$AC:$AC,Sheet1!S71_ItemType,$AD:$AD)</f>
        <v>2833215</v>
      </c>
      <c r="M181" s="1357">
        <f>SUMIFS(Sheet1!S71_OY2AdjustedBudget,Sheet1!S71_SubMunicipalVoteNo,$AC:$AC,Sheet1!S71_ItemType,$AD:$AD)</f>
        <v>3047897</v>
      </c>
      <c r="AC181" s="1345">
        <v>16</v>
      </c>
      <c r="AD181" s="1345" t="s">
        <v>1812</v>
      </c>
    </row>
    <row r="182" spans="1:30" ht="13.5" x14ac:dyDescent="0.25">
      <c r="A182" s="748" t="str">
        <f>IF(RIGHT('Org structure'!D9,18)&lt;&gt;"[Name of sub-vote]",'Org structure'!D9,"")</f>
        <v>1.7 - Legal Services</v>
      </c>
      <c r="B182" s="899"/>
      <c r="C182" s="1360">
        <f>SUMIFS(Sheet1!S71_OriginalBudget,Sheet1!S71_SubMunicipalVoteNo,$AC:$AC,Sheet1!S71_ItemType,$AD:$AD)</f>
        <v>500000</v>
      </c>
      <c r="D182" s="1356">
        <f>SUMIFS(Sheet1!S71_SpecialAdjustedBudget,Sheet1!S71_SubMunicipalVoteNo,$AC:$AC,Sheet1!S71_ItemType,$AD:$AD)</f>
        <v>500000</v>
      </c>
      <c r="E182" s="1356"/>
      <c r="F182" s="1356"/>
      <c r="G182" s="1356"/>
      <c r="H182" s="1356"/>
      <c r="I182" s="1356">
        <f>SUMIFS(Sheet1!S71_AdjustmentAmount,Sheet1!S71_SubMunicipalVoteNo,$AC:$AC,Sheet1!S71_ItemType,$AD:$AD)</f>
        <v>0</v>
      </c>
      <c r="J182" s="75">
        <f t="shared" si="26"/>
        <v>0</v>
      </c>
      <c r="K182" s="75">
        <f t="shared" si="27"/>
        <v>500000</v>
      </c>
      <c r="L182" s="1356">
        <f>SUMIFS(Sheet1!S71_OY1AdjustedBudget,Sheet1!S71_SubMunicipalVoteNo,$AC:$AC,Sheet1!S71_ItemType,$AD:$AD)</f>
        <v>530000</v>
      </c>
      <c r="M182" s="1357">
        <f>SUMIFS(Sheet1!S71_OY2AdjustedBudget,Sheet1!S71_SubMunicipalVoteNo,$AC:$AC,Sheet1!S71_ItemType,$AD:$AD)</f>
        <v>561800</v>
      </c>
      <c r="AC182" s="1345">
        <v>17</v>
      </c>
      <c r="AD182" s="1345" t="s">
        <v>1812</v>
      </c>
    </row>
    <row r="183" spans="1:30" ht="13.5" x14ac:dyDescent="0.25">
      <c r="A183" s="748" t="str">
        <f>IF(RIGHT('Org structure'!D10,18)&lt;&gt;"[Name of sub-vote]",'Org structure'!D10,"")</f>
        <v>1.8 - Information Technology</v>
      </c>
      <c r="B183" s="899"/>
      <c r="C183" s="1360">
        <f>SUMIFS(Sheet1!S71_OriginalBudget,Sheet1!S71_SubMunicipalVoteNo,$AC:$AC,Sheet1!S71_ItemType,$AD:$AD)</f>
        <v>1595000</v>
      </c>
      <c r="D183" s="1356">
        <f>SUMIFS(Sheet1!S71_SpecialAdjustedBudget,Sheet1!S71_SubMunicipalVoteNo,$AC:$AC,Sheet1!S71_ItemType,$AD:$AD)</f>
        <v>1595000</v>
      </c>
      <c r="E183" s="1356"/>
      <c r="F183" s="1356"/>
      <c r="G183" s="1356"/>
      <c r="H183" s="1356"/>
      <c r="I183" s="1356">
        <f>SUMIFS(Sheet1!S71_AdjustmentAmount,Sheet1!S71_SubMunicipalVoteNo,$AC:$AC,Sheet1!S71_ItemType,$AD:$AD)</f>
        <v>720000</v>
      </c>
      <c r="J183" s="75">
        <f t="shared" si="26"/>
        <v>720000</v>
      </c>
      <c r="K183" s="75">
        <f t="shared" si="27"/>
        <v>2315000</v>
      </c>
      <c r="L183" s="1356">
        <f>SUMIFS(Sheet1!S71_OY1AdjustedBudget,Sheet1!S71_SubMunicipalVoteNo,$AC:$AC,Sheet1!S71_ItemType,$AD:$AD)</f>
        <v>1690700</v>
      </c>
      <c r="M183" s="1357">
        <f>SUMIFS(Sheet1!S71_OY2AdjustedBudget,Sheet1!S71_SubMunicipalVoteNo,$AC:$AC,Sheet1!S71_ItemType,$AD:$AD)</f>
        <v>1792142</v>
      </c>
      <c r="AC183" s="1345">
        <v>18</v>
      </c>
      <c r="AD183" s="1345" t="s">
        <v>1812</v>
      </c>
    </row>
    <row r="184" spans="1:30" ht="13.5" x14ac:dyDescent="0.25">
      <c r="A184" s="748" t="str">
        <f>IF(RIGHT('Org structure'!D11,18)&lt;&gt;"[Name of sub-vote]",'Org structure'!D11,"")</f>
        <v>1.9 - Marketing, Customer Relations, Publicity and Media Co-ordination</v>
      </c>
      <c r="B184" s="899"/>
      <c r="C184" s="1360">
        <f>SUMIFS(Sheet1!S71_OriginalBudget,Sheet1!S71_SubMunicipalVoteNo,$AC:$AC,Sheet1!S71_ItemType,$AD:$AD)</f>
        <v>0</v>
      </c>
      <c r="D184" s="1356">
        <f>SUMIFS(Sheet1!S71_SpecialAdjustedBudget,Sheet1!S71_SubMunicipalVoteNo,$AC:$AC,Sheet1!S71_ItemType,$AD:$AD)</f>
        <v>0</v>
      </c>
      <c r="E184" s="1356"/>
      <c r="F184" s="1356"/>
      <c r="G184" s="1356"/>
      <c r="H184" s="1356"/>
      <c r="I184" s="1356">
        <f>SUMIFS(Sheet1!S71_AdjustmentAmount,Sheet1!S71_SubMunicipalVoteNo,$AC:$AC,Sheet1!S71_ItemType,$AD:$AD)</f>
        <v>0</v>
      </c>
      <c r="J184" s="75">
        <f t="shared" si="26"/>
        <v>0</v>
      </c>
      <c r="K184" s="75">
        <f t="shared" si="27"/>
        <v>0</v>
      </c>
      <c r="L184" s="1356">
        <f>SUMIFS(Sheet1!S71_OY1AdjustedBudget,Sheet1!S71_SubMunicipalVoteNo,$AC:$AC,Sheet1!S71_ItemType,$AD:$AD)</f>
        <v>0</v>
      </c>
      <c r="M184" s="1357">
        <f>SUMIFS(Sheet1!S71_OY2AdjustedBudget,Sheet1!S71_SubMunicipalVoteNo,$AC:$AC,Sheet1!S71_ItemType,$AD:$AD)</f>
        <v>0</v>
      </c>
      <c r="AC184" s="1345">
        <v>19</v>
      </c>
      <c r="AD184" s="1345" t="s">
        <v>1812</v>
      </c>
    </row>
    <row r="185" spans="1:30" ht="13.5" x14ac:dyDescent="0.25">
      <c r="A185" s="748" t="str">
        <f>IF(RIGHT('Org structure'!D12,18)&lt;&gt;"[Name of sub-vote]",'Org structure'!D12,"")</f>
        <v/>
      </c>
      <c r="B185" s="899"/>
      <c r="C185" s="1360">
        <f>SUMIFS(Sheet1!S71_OriginalBudget,Sheet1!S71_SubMunicipalVoteNo,$AC:$AC,Sheet1!S71_ItemType,$AD:$AD)</f>
        <v>0</v>
      </c>
      <c r="D185" s="1356">
        <f>SUMIFS(Sheet1!S71_SpecialAdjustedBudget,Sheet1!S71_SubMunicipalVoteNo,$AC:$AC,Sheet1!S71_ItemType,$AD:$AD)</f>
        <v>0</v>
      </c>
      <c r="E185" s="1356"/>
      <c r="F185" s="1356"/>
      <c r="G185" s="1356"/>
      <c r="H185" s="1356"/>
      <c r="I185" s="1356">
        <f>SUMIFS(Sheet1!S71_AdjustmentAmount,Sheet1!S71_SubMunicipalVoteNo,$AC:$AC,Sheet1!S71_ItemType,$AD:$AD)</f>
        <v>0</v>
      </c>
      <c r="J185" s="75">
        <f t="shared" si="26"/>
        <v>0</v>
      </c>
      <c r="K185" s="75">
        <f t="shared" si="27"/>
        <v>0</v>
      </c>
      <c r="L185" s="1356">
        <f>SUMIFS(Sheet1!S71_OY1AdjustedBudget,Sheet1!S71_SubMunicipalVoteNo,$AC:$AC,Sheet1!S71_ItemType,$AD:$AD)</f>
        <v>0</v>
      </c>
      <c r="M185" s="1357">
        <f>SUMIFS(Sheet1!S71_OY2AdjustedBudget,Sheet1!S71_SubMunicipalVoteNo,$AC:$AC,Sheet1!S71_ItemType,$AD:$AD)</f>
        <v>0</v>
      </c>
      <c r="AC185" s="1345">
        <v>110</v>
      </c>
      <c r="AD185" s="1345" t="s">
        <v>1812</v>
      </c>
    </row>
    <row r="186" spans="1:30" ht="13.5" x14ac:dyDescent="0.25">
      <c r="A186" s="745" t="str">
        <f>A18</f>
        <v>Vote 2 - Finance and Administration2</v>
      </c>
      <c r="B186" s="898"/>
      <c r="C186" s="733">
        <f t="shared" ref="C186:I186" si="28">SUM(C187:C196)</f>
        <v>650000</v>
      </c>
      <c r="D186" s="732">
        <f t="shared" si="28"/>
        <v>650000</v>
      </c>
      <c r="E186" s="732">
        <f t="shared" si="28"/>
        <v>0</v>
      </c>
      <c r="F186" s="732">
        <f t="shared" si="28"/>
        <v>0</v>
      </c>
      <c r="G186" s="732">
        <f t="shared" si="28"/>
        <v>0</v>
      </c>
      <c r="H186" s="732">
        <f t="shared" si="28"/>
        <v>0</v>
      </c>
      <c r="I186" s="732">
        <f t="shared" si="28"/>
        <v>-500000</v>
      </c>
      <c r="J186" s="75">
        <f t="shared" si="26"/>
        <v>-500000</v>
      </c>
      <c r="K186" s="75">
        <f t="shared" si="27"/>
        <v>150000</v>
      </c>
      <c r="L186" s="732">
        <f>SUM(L187:L196)</f>
        <v>275000</v>
      </c>
      <c r="M186" s="759">
        <f>SUM(M187:M196)</f>
        <v>302500</v>
      </c>
    </row>
    <row r="187" spans="1:30" ht="13.5" x14ac:dyDescent="0.25">
      <c r="A187" s="748" t="str">
        <f>IF(RIGHT('Org structure'!D14,18)&lt;&gt;"[Name of sub-vote]",'Org structure'!D14,"")</f>
        <v>2.1 - Supply Chain Management</v>
      </c>
      <c r="B187" s="899"/>
      <c r="C187" s="1360">
        <f>SUMIFS(Sheet1!S71_OriginalBudget,Sheet1!S71_SubMunicipalVoteNo,$AC:$AC,Sheet1!S71_ItemType,$AD:$AD)</f>
        <v>650000</v>
      </c>
      <c r="D187" s="1356">
        <f>SUMIFS(Sheet1!S71_SpecialAdjustedBudget,Sheet1!S71_SubMunicipalVoteNo,$AC:$AC,Sheet1!S71_ItemType,$AD:$AD)</f>
        <v>650000</v>
      </c>
      <c r="E187" s="1356"/>
      <c r="F187" s="1356"/>
      <c r="G187" s="1356"/>
      <c r="H187" s="1356"/>
      <c r="I187" s="1356">
        <f>SUMIFS(Sheet1!S71_AdjustmentAmount,Sheet1!S71_SubMunicipalVoteNo,$AC:$AC,Sheet1!S71_ItemType,$AD:$AD)</f>
        <v>-500000</v>
      </c>
      <c r="J187" s="75">
        <f t="shared" si="26"/>
        <v>-500000</v>
      </c>
      <c r="K187" s="75">
        <f t="shared" si="27"/>
        <v>150000</v>
      </c>
      <c r="L187" s="1356">
        <f>SUMIFS(Sheet1!S71_OY1AdjustedBudget,Sheet1!S71_SubMunicipalVoteNo,$AC:$AC,Sheet1!S71_ItemType,$AD:$AD)</f>
        <v>275000</v>
      </c>
      <c r="M187" s="1357">
        <f>SUMIFS(Sheet1!S71_OY2AdjustedBudget,Sheet1!S71_SubMunicipalVoteNo,$AC:$AC,Sheet1!S71_ItemType,$AD:$AD)</f>
        <v>302500</v>
      </c>
      <c r="AC187" s="1345">
        <v>21</v>
      </c>
      <c r="AD187" s="1345" t="s">
        <v>1812</v>
      </c>
    </row>
    <row r="188" spans="1:30" ht="13.5" x14ac:dyDescent="0.25">
      <c r="A188" s="748" t="str">
        <f>IF(RIGHT('Org structure'!D15,18)&lt;&gt;"[Name of sub-vote]",'Org structure'!D15,"")</f>
        <v/>
      </c>
      <c r="B188" s="899"/>
      <c r="C188" s="1360">
        <f>SUMIFS(Sheet1!S71_OriginalBudget,Sheet1!S71_SubMunicipalVoteNo,$AC:$AC,Sheet1!S71_ItemType,$AD:$AD)</f>
        <v>0</v>
      </c>
      <c r="D188" s="1356">
        <f>SUMIFS(Sheet1!S71_SpecialAdjustedBudget,Sheet1!S71_SubMunicipalVoteNo,$AC:$AC,Sheet1!S71_ItemType,$AD:$AD)</f>
        <v>0</v>
      </c>
      <c r="E188" s="1356"/>
      <c r="F188" s="1356"/>
      <c r="G188" s="1356"/>
      <c r="H188" s="1356"/>
      <c r="I188" s="1356">
        <f>SUMIFS(Sheet1!S71_AdjustmentAmount,Sheet1!S71_SubMunicipalVoteNo,$AC:$AC,Sheet1!S71_ItemType,$AD:$AD)</f>
        <v>0</v>
      </c>
      <c r="J188" s="75">
        <f t="shared" si="26"/>
        <v>0</v>
      </c>
      <c r="K188" s="75">
        <f t="shared" si="27"/>
        <v>0</v>
      </c>
      <c r="L188" s="1356">
        <f>SUMIFS(Sheet1!S71_OY1AdjustedBudget,Sheet1!S71_SubMunicipalVoteNo,$AC:$AC,Sheet1!S71_ItemType,$AD:$AD)</f>
        <v>0</v>
      </c>
      <c r="M188" s="1357">
        <f>SUMIFS(Sheet1!S71_OY2AdjustedBudget,Sheet1!S71_SubMunicipalVoteNo,$AC:$AC,Sheet1!S71_ItemType,$AD:$AD)</f>
        <v>0</v>
      </c>
      <c r="AC188" s="1345">
        <v>22</v>
      </c>
      <c r="AD188" s="1345" t="s">
        <v>1812</v>
      </c>
    </row>
    <row r="189" spans="1:30" ht="13.5" x14ac:dyDescent="0.25">
      <c r="A189" s="748" t="str">
        <f>IF(RIGHT('Org structure'!D16,18)&lt;&gt;"[Name of sub-vote]",'Org structure'!D16,"")</f>
        <v/>
      </c>
      <c r="B189" s="899"/>
      <c r="C189" s="1360">
        <f>SUMIFS(Sheet1!S71_OriginalBudget,Sheet1!S71_SubMunicipalVoteNo,$AC:$AC,Sheet1!S71_ItemType,$AD:$AD)</f>
        <v>0</v>
      </c>
      <c r="D189" s="1356">
        <f>SUMIFS(Sheet1!S71_SpecialAdjustedBudget,Sheet1!S71_SubMunicipalVoteNo,$AC:$AC,Sheet1!S71_ItemType,$AD:$AD)</f>
        <v>0</v>
      </c>
      <c r="E189" s="1356"/>
      <c r="F189" s="1356"/>
      <c r="G189" s="1356"/>
      <c r="H189" s="1356"/>
      <c r="I189" s="1356">
        <f>SUMIFS(Sheet1!S71_AdjustmentAmount,Sheet1!S71_SubMunicipalVoteNo,$AC:$AC,Sheet1!S71_ItemType,$AD:$AD)</f>
        <v>0</v>
      </c>
      <c r="J189" s="75">
        <f t="shared" si="26"/>
        <v>0</v>
      </c>
      <c r="K189" s="75">
        <f t="shared" si="27"/>
        <v>0</v>
      </c>
      <c r="L189" s="1356">
        <f>SUMIFS(Sheet1!S71_OY1AdjustedBudget,Sheet1!S71_SubMunicipalVoteNo,$AC:$AC,Sheet1!S71_ItemType,$AD:$AD)</f>
        <v>0</v>
      </c>
      <c r="M189" s="1357">
        <f>SUMIFS(Sheet1!S71_OY2AdjustedBudget,Sheet1!S71_SubMunicipalVoteNo,$AC:$AC,Sheet1!S71_ItemType,$AD:$AD)</f>
        <v>0</v>
      </c>
      <c r="AC189" s="1345">
        <v>23</v>
      </c>
      <c r="AD189" s="1345" t="s">
        <v>1812</v>
      </c>
    </row>
    <row r="190" spans="1:30" ht="13.5" x14ac:dyDescent="0.25">
      <c r="A190" s="748" t="str">
        <f>IF(RIGHT('Org structure'!D17,18)&lt;&gt;"[Name of sub-vote]",'Org structure'!D17,"")</f>
        <v/>
      </c>
      <c r="B190" s="899"/>
      <c r="C190" s="1360">
        <f>SUMIFS(Sheet1!S71_OriginalBudget,Sheet1!S71_SubMunicipalVoteNo,$AC:$AC,Sheet1!S71_ItemType,$AD:$AD)</f>
        <v>0</v>
      </c>
      <c r="D190" s="1356">
        <f>SUMIFS(Sheet1!S71_SpecialAdjustedBudget,Sheet1!S71_SubMunicipalVoteNo,$AC:$AC,Sheet1!S71_ItemType,$AD:$AD)</f>
        <v>0</v>
      </c>
      <c r="E190" s="1356"/>
      <c r="F190" s="1356"/>
      <c r="G190" s="1356"/>
      <c r="H190" s="1356"/>
      <c r="I190" s="1356">
        <f>SUMIFS(Sheet1!S71_AdjustmentAmount,Sheet1!S71_SubMunicipalVoteNo,$AC:$AC,Sheet1!S71_ItemType,$AD:$AD)</f>
        <v>0</v>
      </c>
      <c r="J190" s="75">
        <f t="shared" si="26"/>
        <v>0</v>
      </c>
      <c r="K190" s="75">
        <f t="shared" si="27"/>
        <v>0</v>
      </c>
      <c r="L190" s="1356">
        <f>SUMIFS(Sheet1!S71_OY1AdjustedBudget,Sheet1!S71_SubMunicipalVoteNo,$AC:$AC,Sheet1!S71_ItemType,$AD:$AD)</f>
        <v>0</v>
      </c>
      <c r="M190" s="1357">
        <f>SUMIFS(Sheet1!S71_OY2AdjustedBudget,Sheet1!S71_SubMunicipalVoteNo,$AC:$AC,Sheet1!S71_ItemType,$AD:$AD)</f>
        <v>0</v>
      </c>
      <c r="AC190" s="1345">
        <v>24</v>
      </c>
      <c r="AD190" s="1345" t="s">
        <v>1812</v>
      </c>
    </row>
    <row r="191" spans="1:30" ht="13.5" x14ac:dyDescent="0.25">
      <c r="A191" s="748" t="str">
        <f>IF(RIGHT('Org structure'!D18,18)&lt;&gt;"[Name of sub-vote]",'Org structure'!D18,"")</f>
        <v/>
      </c>
      <c r="B191" s="899"/>
      <c r="C191" s="1360">
        <f>SUMIFS(Sheet1!S71_OriginalBudget,Sheet1!S71_SubMunicipalVoteNo,$AC:$AC,Sheet1!S71_ItemType,$AD:$AD)</f>
        <v>0</v>
      </c>
      <c r="D191" s="1356">
        <f>SUMIFS(Sheet1!S71_SpecialAdjustedBudget,Sheet1!S71_SubMunicipalVoteNo,$AC:$AC,Sheet1!S71_ItemType,$AD:$AD)</f>
        <v>0</v>
      </c>
      <c r="E191" s="1356"/>
      <c r="F191" s="1356"/>
      <c r="G191" s="1356"/>
      <c r="H191" s="1356"/>
      <c r="I191" s="1356">
        <f>SUMIFS(Sheet1!S71_AdjustmentAmount,Sheet1!S71_SubMunicipalVoteNo,$AC:$AC,Sheet1!S71_ItemType,$AD:$AD)</f>
        <v>0</v>
      </c>
      <c r="J191" s="75">
        <f t="shared" si="26"/>
        <v>0</v>
      </c>
      <c r="K191" s="75">
        <f t="shared" si="27"/>
        <v>0</v>
      </c>
      <c r="L191" s="1356">
        <f>SUMIFS(Sheet1!S71_OY1AdjustedBudget,Sheet1!S71_SubMunicipalVoteNo,$AC:$AC,Sheet1!S71_ItemType,$AD:$AD)</f>
        <v>0</v>
      </c>
      <c r="M191" s="1357">
        <f>SUMIFS(Sheet1!S71_OY2AdjustedBudget,Sheet1!S71_SubMunicipalVoteNo,$AC:$AC,Sheet1!S71_ItemType,$AD:$AD)</f>
        <v>0</v>
      </c>
      <c r="AC191" s="1345">
        <v>25</v>
      </c>
      <c r="AD191" s="1345" t="s">
        <v>1812</v>
      </c>
    </row>
    <row r="192" spans="1:30" ht="13.5" x14ac:dyDescent="0.25">
      <c r="A192" s="748" t="str">
        <f>IF(RIGHT('Org structure'!D19,18)&lt;&gt;"[Name of sub-vote]",'Org structure'!D19,"")</f>
        <v/>
      </c>
      <c r="B192" s="899"/>
      <c r="C192" s="1360">
        <f>SUMIFS(Sheet1!S71_OriginalBudget,Sheet1!S71_SubMunicipalVoteNo,$AC:$AC,Sheet1!S71_ItemType,$AD:$AD)</f>
        <v>0</v>
      </c>
      <c r="D192" s="1356">
        <f>SUMIFS(Sheet1!S71_SpecialAdjustedBudget,Sheet1!S71_SubMunicipalVoteNo,$AC:$AC,Sheet1!S71_ItemType,$AD:$AD)</f>
        <v>0</v>
      </c>
      <c r="E192" s="1356"/>
      <c r="F192" s="1356"/>
      <c r="G192" s="1356"/>
      <c r="H192" s="1356"/>
      <c r="I192" s="1356">
        <f>SUMIFS(Sheet1!S71_AdjustmentAmount,Sheet1!S71_SubMunicipalVoteNo,$AC:$AC,Sheet1!S71_ItemType,$AD:$AD)</f>
        <v>0</v>
      </c>
      <c r="J192" s="75">
        <f t="shared" si="26"/>
        <v>0</v>
      </c>
      <c r="K192" s="75">
        <f t="shared" si="27"/>
        <v>0</v>
      </c>
      <c r="L192" s="1356">
        <f>SUMIFS(Sheet1!S71_OY1AdjustedBudget,Sheet1!S71_SubMunicipalVoteNo,$AC:$AC,Sheet1!S71_ItemType,$AD:$AD)</f>
        <v>0</v>
      </c>
      <c r="M192" s="1357">
        <f>SUMIFS(Sheet1!S71_OY2AdjustedBudget,Sheet1!S71_SubMunicipalVoteNo,$AC:$AC,Sheet1!S71_ItemType,$AD:$AD)</f>
        <v>0</v>
      </c>
      <c r="AC192" s="1345">
        <v>26</v>
      </c>
      <c r="AD192" s="1345" t="s">
        <v>1812</v>
      </c>
    </row>
    <row r="193" spans="1:30" ht="13.5" x14ac:dyDescent="0.25">
      <c r="A193" s="748" t="str">
        <f>IF(RIGHT('Org structure'!D20,18)&lt;&gt;"[Name of sub-vote]",'Org structure'!D20,"")</f>
        <v/>
      </c>
      <c r="B193" s="899"/>
      <c r="C193" s="1360">
        <f>SUMIFS(Sheet1!S71_OriginalBudget,Sheet1!S71_SubMunicipalVoteNo,$AC:$AC,Sheet1!S71_ItemType,$AD:$AD)</f>
        <v>0</v>
      </c>
      <c r="D193" s="1356">
        <f>SUMIFS(Sheet1!S71_SpecialAdjustedBudget,Sheet1!S71_SubMunicipalVoteNo,$AC:$AC,Sheet1!S71_ItemType,$AD:$AD)</f>
        <v>0</v>
      </c>
      <c r="E193" s="1356"/>
      <c r="F193" s="1356"/>
      <c r="G193" s="1356"/>
      <c r="H193" s="1356"/>
      <c r="I193" s="1356">
        <f>SUMIFS(Sheet1!S71_AdjustmentAmount,Sheet1!S71_SubMunicipalVoteNo,$AC:$AC,Sheet1!S71_ItemType,$AD:$AD)</f>
        <v>0</v>
      </c>
      <c r="J193" s="75">
        <f t="shared" si="26"/>
        <v>0</v>
      </c>
      <c r="K193" s="75">
        <f t="shared" si="27"/>
        <v>0</v>
      </c>
      <c r="L193" s="1356">
        <f>SUMIFS(Sheet1!S71_OY1AdjustedBudget,Sheet1!S71_SubMunicipalVoteNo,$AC:$AC,Sheet1!S71_ItemType,$AD:$AD)</f>
        <v>0</v>
      </c>
      <c r="M193" s="1357">
        <f>SUMIFS(Sheet1!S71_OY2AdjustedBudget,Sheet1!S71_SubMunicipalVoteNo,$AC:$AC,Sheet1!S71_ItemType,$AD:$AD)</f>
        <v>0</v>
      </c>
      <c r="AC193" s="1345">
        <v>27</v>
      </c>
      <c r="AD193" s="1345" t="s">
        <v>1812</v>
      </c>
    </row>
    <row r="194" spans="1:30" ht="13.5" x14ac:dyDescent="0.25">
      <c r="A194" s="748" t="str">
        <f>IF(RIGHT('Org structure'!D21,18)&lt;&gt;"[Name of sub-vote]",'Org structure'!D21,"")</f>
        <v/>
      </c>
      <c r="B194" s="899"/>
      <c r="C194" s="1360">
        <f>SUMIFS(Sheet1!S71_OriginalBudget,Sheet1!S71_SubMunicipalVoteNo,$AC:$AC,Sheet1!S71_ItemType,$AD:$AD)</f>
        <v>0</v>
      </c>
      <c r="D194" s="1356">
        <f>SUMIFS(Sheet1!S71_SpecialAdjustedBudget,Sheet1!S71_SubMunicipalVoteNo,$AC:$AC,Sheet1!S71_ItemType,$AD:$AD)</f>
        <v>0</v>
      </c>
      <c r="E194" s="1356"/>
      <c r="F194" s="1356"/>
      <c r="G194" s="1356"/>
      <c r="H194" s="1356"/>
      <c r="I194" s="1356">
        <f>SUMIFS(Sheet1!S71_AdjustmentAmount,Sheet1!S71_SubMunicipalVoteNo,$AC:$AC,Sheet1!S71_ItemType,$AD:$AD)</f>
        <v>0</v>
      </c>
      <c r="J194" s="75">
        <f t="shared" si="26"/>
        <v>0</v>
      </c>
      <c r="K194" s="75">
        <f t="shared" si="27"/>
        <v>0</v>
      </c>
      <c r="L194" s="1356">
        <f>SUMIFS(Sheet1!S71_OY1AdjustedBudget,Sheet1!S71_SubMunicipalVoteNo,$AC:$AC,Sheet1!S71_ItemType,$AD:$AD)</f>
        <v>0</v>
      </c>
      <c r="M194" s="1357">
        <f>SUMIFS(Sheet1!S71_OY2AdjustedBudget,Sheet1!S71_SubMunicipalVoteNo,$AC:$AC,Sheet1!S71_ItemType,$AD:$AD)</f>
        <v>0</v>
      </c>
      <c r="AC194" s="1345">
        <v>28</v>
      </c>
      <c r="AD194" s="1345" t="s">
        <v>1812</v>
      </c>
    </row>
    <row r="195" spans="1:30" ht="13.5" x14ac:dyDescent="0.25">
      <c r="A195" s="748" t="str">
        <f>IF(RIGHT('Org structure'!D22,18)&lt;&gt;"[Name of sub-vote]",'Org structure'!D22,"")</f>
        <v/>
      </c>
      <c r="B195" s="899"/>
      <c r="C195" s="1360">
        <f>SUMIFS(Sheet1!S71_OriginalBudget,Sheet1!S71_SubMunicipalVoteNo,$AC:$AC,Sheet1!S71_ItemType,$AD:$AD)</f>
        <v>0</v>
      </c>
      <c r="D195" s="1356">
        <f>SUMIFS(Sheet1!S71_SpecialAdjustedBudget,Sheet1!S71_SubMunicipalVoteNo,$AC:$AC,Sheet1!S71_ItemType,$AD:$AD)</f>
        <v>0</v>
      </c>
      <c r="E195" s="1356"/>
      <c r="F195" s="1356"/>
      <c r="G195" s="1356"/>
      <c r="H195" s="1356"/>
      <c r="I195" s="1356">
        <f>SUMIFS(Sheet1!S71_AdjustmentAmount,Sheet1!S71_SubMunicipalVoteNo,$AC:$AC,Sheet1!S71_ItemType,$AD:$AD)</f>
        <v>0</v>
      </c>
      <c r="J195" s="75">
        <f t="shared" si="26"/>
        <v>0</v>
      </c>
      <c r="K195" s="75">
        <f t="shared" si="27"/>
        <v>0</v>
      </c>
      <c r="L195" s="1356">
        <f>SUMIFS(Sheet1!S71_OY1AdjustedBudget,Sheet1!S71_SubMunicipalVoteNo,$AC:$AC,Sheet1!S71_ItemType,$AD:$AD)</f>
        <v>0</v>
      </c>
      <c r="M195" s="1357">
        <f>SUMIFS(Sheet1!S71_OY2AdjustedBudget,Sheet1!S71_SubMunicipalVoteNo,$AC:$AC,Sheet1!S71_ItemType,$AD:$AD)</f>
        <v>0</v>
      </c>
      <c r="AC195" s="1345">
        <v>29</v>
      </c>
      <c r="AD195" s="1345" t="s">
        <v>1812</v>
      </c>
    </row>
    <row r="196" spans="1:30" ht="13.5" x14ac:dyDescent="0.25">
      <c r="A196" s="748" t="str">
        <f>IF(RIGHT('Org structure'!D23,18)&lt;&gt;"[Name of sub-vote]",'Org structure'!D23,"")</f>
        <v/>
      </c>
      <c r="B196" s="899"/>
      <c r="C196" s="1360">
        <f>SUMIFS(Sheet1!S71_OriginalBudget,Sheet1!S71_SubMunicipalVoteNo,$AC:$AC,Sheet1!S71_ItemType,$AD:$AD)</f>
        <v>0</v>
      </c>
      <c r="D196" s="1356">
        <f>SUMIFS(Sheet1!S71_SpecialAdjustedBudget,Sheet1!S71_SubMunicipalVoteNo,$AC:$AC,Sheet1!S71_ItemType,$AD:$AD)</f>
        <v>0</v>
      </c>
      <c r="E196" s="1356"/>
      <c r="F196" s="1356"/>
      <c r="G196" s="1356"/>
      <c r="H196" s="1356"/>
      <c r="I196" s="1356">
        <f>SUMIFS(Sheet1!S71_AdjustmentAmount,Sheet1!S71_SubMunicipalVoteNo,$AC:$AC,Sheet1!S71_ItemType,$AD:$AD)</f>
        <v>0</v>
      </c>
      <c r="J196" s="75">
        <f t="shared" si="26"/>
        <v>0</v>
      </c>
      <c r="K196" s="75">
        <f t="shared" si="27"/>
        <v>0</v>
      </c>
      <c r="L196" s="1356">
        <f>SUMIFS(Sheet1!S71_OY1AdjustedBudget,Sheet1!S71_SubMunicipalVoteNo,$AC:$AC,Sheet1!S71_ItemType,$AD:$AD)</f>
        <v>0</v>
      </c>
      <c r="M196" s="1357">
        <f>SUMIFS(Sheet1!S71_OY2AdjustedBudget,Sheet1!S71_SubMunicipalVoteNo,$AC:$AC,Sheet1!S71_ItemType,$AD:$AD)</f>
        <v>0</v>
      </c>
      <c r="AC196" s="1345">
        <v>210</v>
      </c>
      <c r="AD196" s="1345" t="s">
        <v>1812</v>
      </c>
    </row>
    <row r="197" spans="1:30" ht="13.5" x14ac:dyDescent="0.25">
      <c r="A197" s="745" t="str">
        <f t="shared" ref="A197:A208" si="29">A29</f>
        <v>Vote 3 - Executive and Council</v>
      </c>
      <c r="B197" s="898"/>
      <c r="C197" s="733">
        <f t="shared" ref="C197:I197" si="30">SUM(C198:C207)</f>
        <v>19001756</v>
      </c>
      <c r="D197" s="732">
        <f t="shared" si="30"/>
        <v>19001756</v>
      </c>
      <c r="E197" s="732">
        <f t="shared" si="30"/>
        <v>0</v>
      </c>
      <c r="F197" s="732">
        <f t="shared" si="30"/>
        <v>0</v>
      </c>
      <c r="G197" s="732">
        <f t="shared" si="30"/>
        <v>0</v>
      </c>
      <c r="H197" s="732">
        <f t="shared" si="30"/>
        <v>0</v>
      </c>
      <c r="I197" s="732">
        <f t="shared" si="30"/>
        <v>2400000</v>
      </c>
      <c r="J197" s="75">
        <f t="shared" si="26"/>
        <v>2400000</v>
      </c>
      <c r="K197" s="75">
        <f t="shared" si="27"/>
        <v>21401756</v>
      </c>
      <c r="L197" s="732">
        <f>SUM(L198:L207)</f>
        <v>20458851</v>
      </c>
      <c r="M197" s="759">
        <f>SUM(M198:M207)</f>
        <v>21284098</v>
      </c>
    </row>
    <row r="198" spans="1:30" ht="13.5" x14ac:dyDescent="0.25">
      <c r="A198" s="748" t="str">
        <f>IF(RIGHT('Org structure'!D25,18)&lt;&gt;"[Name of sub-vote]",'Org structure'!D25,"")</f>
        <v>3.1 - Municipal Manager, Town Secretary and Chief Executive</v>
      </c>
      <c r="B198" s="899"/>
      <c r="C198" s="1360">
        <f>SUMIFS(Sheet1!S71_OriginalBudget,Sheet1!S71_SubMunicipalVoteNo,$AC:$AC,Sheet1!S71_ItemType,$AD:$AD)</f>
        <v>11544835</v>
      </c>
      <c r="D198" s="1356">
        <f>SUMIFS(Sheet1!S71_SpecialAdjustedBudget,Sheet1!S71_SubMunicipalVoteNo,$AC:$AC,Sheet1!S71_ItemType,$AD:$AD)</f>
        <v>11544835</v>
      </c>
      <c r="E198" s="1356"/>
      <c r="F198" s="1356"/>
      <c r="G198" s="1356"/>
      <c r="H198" s="1356"/>
      <c r="I198" s="1356">
        <f>SUMIFS(Sheet1!S71_AdjustmentAmount,Sheet1!S71_SubMunicipalVoteNo,$AC:$AC,Sheet1!S71_ItemType,$AD:$AD)</f>
        <v>2100000</v>
      </c>
      <c r="J198" s="75">
        <f t="shared" si="26"/>
        <v>2100000</v>
      </c>
      <c r="K198" s="75">
        <f t="shared" si="27"/>
        <v>13644835</v>
      </c>
      <c r="L198" s="1356">
        <f>SUMIFS(Sheet1!S71_OY1AdjustedBudget,Sheet1!S71_SubMunicipalVoteNo,$AC:$AC,Sheet1!S71_ItemType,$AD:$AD)</f>
        <v>12690996</v>
      </c>
      <c r="M198" s="1357">
        <f>SUMIFS(Sheet1!S71_OY2AdjustedBudget,Sheet1!S71_SubMunicipalVoteNo,$AC:$AC,Sheet1!S71_ItemType,$AD:$AD)</f>
        <v>13348124</v>
      </c>
      <c r="AC198" s="1345">
        <v>31</v>
      </c>
      <c r="AD198" s="1345" t="s">
        <v>1812</v>
      </c>
    </row>
    <row r="199" spans="1:30" ht="13.5" x14ac:dyDescent="0.25">
      <c r="A199" s="748" t="str">
        <f>IF(RIGHT('Org structure'!D26,18)&lt;&gt;"[Name of sub-vote]",'Org structure'!D26,"")</f>
        <v>3.2 - Mayor and Council</v>
      </c>
      <c r="B199" s="899"/>
      <c r="C199" s="1360">
        <f>SUMIFS(Sheet1!S71_OriginalBudget,Sheet1!S71_SubMunicipalVoteNo,$AC:$AC,Sheet1!S71_ItemType,$AD:$AD)</f>
        <v>7456921</v>
      </c>
      <c r="D199" s="1356">
        <f>SUMIFS(Sheet1!S71_SpecialAdjustedBudget,Sheet1!S71_SubMunicipalVoteNo,$AC:$AC,Sheet1!S71_ItemType,$AD:$AD)</f>
        <v>7456921</v>
      </c>
      <c r="E199" s="1356"/>
      <c r="F199" s="1356"/>
      <c r="G199" s="1356"/>
      <c r="H199" s="1356"/>
      <c r="I199" s="1356">
        <f>SUMIFS(Sheet1!S71_AdjustmentAmount,Sheet1!S71_SubMunicipalVoteNo,$AC:$AC,Sheet1!S71_ItemType,$AD:$AD)</f>
        <v>300000</v>
      </c>
      <c r="J199" s="75">
        <f t="shared" si="26"/>
        <v>300000</v>
      </c>
      <c r="K199" s="75">
        <f t="shared" si="27"/>
        <v>7756921</v>
      </c>
      <c r="L199" s="1356">
        <f>SUMIFS(Sheet1!S71_OY1AdjustedBudget,Sheet1!S71_SubMunicipalVoteNo,$AC:$AC,Sheet1!S71_ItemType,$AD:$AD)</f>
        <v>7767855</v>
      </c>
      <c r="M199" s="1357">
        <f>SUMIFS(Sheet1!S71_OY2AdjustedBudget,Sheet1!S71_SubMunicipalVoteNo,$AC:$AC,Sheet1!S71_ItemType,$AD:$AD)</f>
        <v>7935974</v>
      </c>
      <c r="AC199" s="1345">
        <v>32</v>
      </c>
      <c r="AD199" s="1345" t="s">
        <v>1812</v>
      </c>
    </row>
    <row r="200" spans="1:30" ht="13.5" x14ac:dyDescent="0.25">
      <c r="A200" s="748" t="str">
        <f>IF(RIGHT('Org structure'!D27,18)&lt;&gt;"[Name of sub-vote]",'Org structure'!D27,"")</f>
        <v/>
      </c>
      <c r="B200" s="899"/>
      <c r="C200" s="1360">
        <f>SUMIFS(Sheet1!S71_OriginalBudget,Sheet1!S71_SubMunicipalVoteNo,$AC:$AC,Sheet1!S71_ItemType,$AD:$AD)</f>
        <v>0</v>
      </c>
      <c r="D200" s="1356">
        <f>SUMIFS(Sheet1!S71_SpecialAdjustedBudget,Sheet1!S71_SubMunicipalVoteNo,$AC:$AC,Sheet1!S71_ItemType,$AD:$AD)</f>
        <v>0</v>
      </c>
      <c r="E200" s="1356"/>
      <c r="F200" s="1356"/>
      <c r="G200" s="1356"/>
      <c r="H200" s="1356"/>
      <c r="I200" s="1356">
        <f>SUMIFS(Sheet1!S71_AdjustmentAmount,Sheet1!S71_SubMunicipalVoteNo,$AC:$AC,Sheet1!S71_ItemType,$AD:$AD)</f>
        <v>0</v>
      </c>
      <c r="J200" s="75">
        <f t="shared" si="26"/>
        <v>0</v>
      </c>
      <c r="K200" s="75">
        <f t="shared" si="27"/>
        <v>0</v>
      </c>
      <c r="L200" s="1356">
        <f>SUMIFS(Sheet1!S71_OY1AdjustedBudget,Sheet1!S71_SubMunicipalVoteNo,$AC:$AC,Sheet1!S71_ItemType,$AD:$AD)</f>
        <v>0</v>
      </c>
      <c r="M200" s="1357">
        <f>SUMIFS(Sheet1!S71_OY2AdjustedBudget,Sheet1!S71_SubMunicipalVoteNo,$AC:$AC,Sheet1!S71_ItemType,$AD:$AD)</f>
        <v>0</v>
      </c>
      <c r="AC200" s="1345">
        <v>33</v>
      </c>
      <c r="AD200" s="1345" t="s">
        <v>1812</v>
      </c>
    </row>
    <row r="201" spans="1:30" ht="13.5" x14ac:dyDescent="0.25">
      <c r="A201" s="748" t="str">
        <f>IF(RIGHT('Org structure'!D28,18)&lt;&gt;"[Name of sub-vote]",'Org structure'!D28,"")</f>
        <v/>
      </c>
      <c r="B201" s="899"/>
      <c r="C201" s="1360">
        <f>SUMIFS(Sheet1!S71_OriginalBudget,Sheet1!S71_SubMunicipalVoteNo,$AC:$AC,Sheet1!S71_ItemType,$AD:$AD)</f>
        <v>0</v>
      </c>
      <c r="D201" s="1356">
        <f>SUMIFS(Sheet1!S71_SpecialAdjustedBudget,Sheet1!S71_SubMunicipalVoteNo,$AC:$AC,Sheet1!S71_ItemType,$AD:$AD)</f>
        <v>0</v>
      </c>
      <c r="E201" s="1356"/>
      <c r="F201" s="1356"/>
      <c r="G201" s="1356"/>
      <c r="H201" s="1356"/>
      <c r="I201" s="1356">
        <f>SUMIFS(Sheet1!S71_AdjustmentAmount,Sheet1!S71_SubMunicipalVoteNo,$AC:$AC,Sheet1!S71_ItemType,$AD:$AD)</f>
        <v>0</v>
      </c>
      <c r="J201" s="75">
        <f t="shared" si="26"/>
        <v>0</v>
      </c>
      <c r="K201" s="75">
        <f t="shared" si="27"/>
        <v>0</v>
      </c>
      <c r="L201" s="1356">
        <f>SUMIFS(Sheet1!S71_OY1AdjustedBudget,Sheet1!S71_SubMunicipalVoteNo,$AC:$AC,Sheet1!S71_ItemType,$AD:$AD)</f>
        <v>0</v>
      </c>
      <c r="M201" s="1357">
        <f>SUMIFS(Sheet1!S71_OY2AdjustedBudget,Sheet1!S71_SubMunicipalVoteNo,$AC:$AC,Sheet1!S71_ItemType,$AD:$AD)</f>
        <v>0</v>
      </c>
      <c r="AC201" s="1345">
        <v>34</v>
      </c>
      <c r="AD201" s="1345" t="s">
        <v>1812</v>
      </c>
    </row>
    <row r="202" spans="1:30" ht="13.5" x14ac:dyDescent="0.25">
      <c r="A202" s="748" t="str">
        <f>IF(RIGHT('Org structure'!D29,18)&lt;&gt;"[Name of sub-vote]",'Org structure'!D29,"")</f>
        <v/>
      </c>
      <c r="B202" s="899"/>
      <c r="C202" s="1360">
        <f>SUMIFS(Sheet1!S71_OriginalBudget,Sheet1!S71_SubMunicipalVoteNo,$AC:$AC,Sheet1!S71_ItemType,$AD:$AD)</f>
        <v>0</v>
      </c>
      <c r="D202" s="1356">
        <f>SUMIFS(Sheet1!S71_SpecialAdjustedBudget,Sheet1!S71_SubMunicipalVoteNo,$AC:$AC,Sheet1!S71_ItemType,$AD:$AD)</f>
        <v>0</v>
      </c>
      <c r="E202" s="1356"/>
      <c r="F202" s="1356"/>
      <c r="G202" s="1356"/>
      <c r="H202" s="1356"/>
      <c r="I202" s="1356">
        <f>SUMIFS(Sheet1!S71_AdjustmentAmount,Sheet1!S71_SubMunicipalVoteNo,$AC:$AC,Sheet1!S71_ItemType,$AD:$AD)</f>
        <v>0</v>
      </c>
      <c r="J202" s="75">
        <f t="shared" si="26"/>
        <v>0</v>
      </c>
      <c r="K202" s="75">
        <f t="shared" si="27"/>
        <v>0</v>
      </c>
      <c r="L202" s="1356">
        <f>SUMIFS(Sheet1!S71_OY1AdjustedBudget,Sheet1!S71_SubMunicipalVoteNo,$AC:$AC,Sheet1!S71_ItemType,$AD:$AD)</f>
        <v>0</v>
      </c>
      <c r="M202" s="1357">
        <f>SUMIFS(Sheet1!S71_OY2AdjustedBudget,Sheet1!S71_SubMunicipalVoteNo,$AC:$AC,Sheet1!S71_ItemType,$AD:$AD)</f>
        <v>0</v>
      </c>
      <c r="AC202" s="1345">
        <v>35</v>
      </c>
      <c r="AD202" s="1345" t="s">
        <v>1812</v>
      </c>
    </row>
    <row r="203" spans="1:30" ht="13.5" x14ac:dyDescent="0.25">
      <c r="A203" s="748" t="str">
        <f>IF(RIGHT('Org structure'!D30,18)&lt;&gt;"[Name of sub-vote]",'Org structure'!D30,"")</f>
        <v/>
      </c>
      <c r="B203" s="899"/>
      <c r="C203" s="1360">
        <f>SUMIFS(Sheet1!S71_OriginalBudget,Sheet1!S71_SubMunicipalVoteNo,$AC:$AC,Sheet1!S71_ItemType,$AD:$AD)</f>
        <v>0</v>
      </c>
      <c r="D203" s="1356">
        <f>SUMIFS(Sheet1!S71_SpecialAdjustedBudget,Sheet1!S71_SubMunicipalVoteNo,$AC:$AC,Sheet1!S71_ItemType,$AD:$AD)</f>
        <v>0</v>
      </c>
      <c r="E203" s="1356"/>
      <c r="F203" s="1356"/>
      <c r="G203" s="1356"/>
      <c r="H203" s="1356"/>
      <c r="I203" s="1356">
        <f>SUMIFS(Sheet1!S71_AdjustmentAmount,Sheet1!S71_SubMunicipalVoteNo,$AC:$AC,Sheet1!S71_ItemType,$AD:$AD)</f>
        <v>0</v>
      </c>
      <c r="J203" s="75">
        <f t="shared" si="26"/>
        <v>0</v>
      </c>
      <c r="K203" s="75">
        <f t="shared" si="27"/>
        <v>0</v>
      </c>
      <c r="L203" s="1356">
        <f>SUMIFS(Sheet1!S71_OY1AdjustedBudget,Sheet1!S71_SubMunicipalVoteNo,$AC:$AC,Sheet1!S71_ItemType,$AD:$AD)</f>
        <v>0</v>
      </c>
      <c r="M203" s="1357">
        <f>SUMIFS(Sheet1!S71_OY2AdjustedBudget,Sheet1!S71_SubMunicipalVoteNo,$AC:$AC,Sheet1!S71_ItemType,$AD:$AD)</f>
        <v>0</v>
      </c>
      <c r="AC203" s="1345">
        <v>36</v>
      </c>
      <c r="AD203" s="1345" t="s">
        <v>1812</v>
      </c>
    </row>
    <row r="204" spans="1:30" ht="13.5" x14ac:dyDescent="0.25">
      <c r="A204" s="748" t="str">
        <f>IF(RIGHT('Org structure'!D31,18)&lt;&gt;"[Name of sub-vote]",'Org structure'!D31,"")</f>
        <v/>
      </c>
      <c r="B204" s="899"/>
      <c r="C204" s="1360">
        <f>SUMIFS(Sheet1!S71_OriginalBudget,Sheet1!S71_SubMunicipalVoteNo,$AC:$AC,Sheet1!S71_ItemType,$AD:$AD)</f>
        <v>0</v>
      </c>
      <c r="D204" s="1356">
        <f>SUMIFS(Sheet1!S71_SpecialAdjustedBudget,Sheet1!S71_SubMunicipalVoteNo,$AC:$AC,Sheet1!S71_ItemType,$AD:$AD)</f>
        <v>0</v>
      </c>
      <c r="E204" s="1356"/>
      <c r="F204" s="1356"/>
      <c r="G204" s="1356"/>
      <c r="H204" s="1356"/>
      <c r="I204" s="1356">
        <f>SUMIFS(Sheet1!S71_AdjustmentAmount,Sheet1!S71_SubMunicipalVoteNo,$AC:$AC,Sheet1!S71_ItemType,$AD:$AD)</f>
        <v>0</v>
      </c>
      <c r="J204" s="75">
        <f t="shared" si="26"/>
        <v>0</v>
      </c>
      <c r="K204" s="75">
        <f t="shared" si="27"/>
        <v>0</v>
      </c>
      <c r="L204" s="1356">
        <f>SUMIFS(Sheet1!S71_OY1AdjustedBudget,Sheet1!S71_SubMunicipalVoteNo,$AC:$AC,Sheet1!S71_ItemType,$AD:$AD)</f>
        <v>0</v>
      </c>
      <c r="M204" s="1357">
        <f>SUMIFS(Sheet1!S71_OY2AdjustedBudget,Sheet1!S71_SubMunicipalVoteNo,$AC:$AC,Sheet1!S71_ItemType,$AD:$AD)</f>
        <v>0</v>
      </c>
      <c r="AC204" s="1345">
        <v>37</v>
      </c>
      <c r="AD204" s="1345" t="s">
        <v>1812</v>
      </c>
    </row>
    <row r="205" spans="1:30" ht="13.5" x14ac:dyDescent="0.25">
      <c r="A205" s="748" t="str">
        <f>IF(RIGHT('Org structure'!D32,18)&lt;&gt;"[Name of sub-vote]",'Org structure'!D32,"")</f>
        <v/>
      </c>
      <c r="B205" s="899"/>
      <c r="C205" s="1360">
        <f>SUMIFS(Sheet1!S71_OriginalBudget,Sheet1!S71_SubMunicipalVoteNo,$AC:$AC,Sheet1!S71_ItemType,$AD:$AD)</f>
        <v>0</v>
      </c>
      <c r="D205" s="1356">
        <f>SUMIFS(Sheet1!S71_SpecialAdjustedBudget,Sheet1!S71_SubMunicipalVoteNo,$AC:$AC,Sheet1!S71_ItemType,$AD:$AD)</f>
        <v>0</v>
      </c>
      <c r="E205" s="1356"/>
      <c r="F205" s="1356"/>
      <c r="G205" s="1356"/>
      <c r="H205" s="1356"/>
      <c r="I205" s="1356">
        <f>SUMIFS(Sheet1!S71_AdjustmentAmount,Sheet1!S71_SubMunicipalVoteNo,$AC:$AC,Sheet1!S71_ItemType,$AD:$AD)</f>
        <v>0</v>
      </c>
      <c r="J205" s="75">
        <f t="shared" si="26"/>
        <v>0</v>
      </c>
      <c r="K205" s="75">
        <f t="shared" si="27"/>
        <v>0</v>
      </c>
      <c r="L205" s="1356">
        <f>SUMIFS(Sheet1!S71_OY1AdjustedBudget,Sheet1!S71_SubMunicipalVoteNo,$AC:$AC,Sheet1!S71_ItemType,$AD:$AD)</f>
        <v>0</v>
      </c>
      <c r="M205" s="1357">
        <f>SUMIFS(Sheet1!S71_OY2AdjustedBudget,Sheet1!S71_SubMunicipalVoteNo,$AC:$AC,Sheet1!S71_ItemType,$AD:$AD)</f>
        <v>0</v>
      </c>
      <c r="AC205" s="1345">
        <v>38</v>
      </c>
      <c r="AD205" s="1345" t="s">
        <v>1812</v>
      </c>
    </row>
    <row r="206" spans="1:30" ht="13.5" x14ac:dyDescent="0.25">
      <c r="A206" s="748" t="str">
        <f>IF(RIGHT('Org structure'!D33,18)&lt;&gt;"[Name of sub-vote]",'Org structure'!D33,"")</f>
        <v/>
      </c>
      <c r="B206" s="899"/>
      <c r="C206" s="1360">
        <f>SUMIFS(Sheet1!S71_OriginalBudget,Sheet1!S71_SubMunicipalVoteNo,$AC:$AC,Sheet1!S71_ItemType,$AD:$AD)</f>
        <v>0</v>
      </c>
      <c r="D206" s="1356">
        <f>SUMIFS(Sheet1!S71_SpecialAdjustedBudget,Sheet1!S71_SubMunicipalVoteNo,$AC:$AC,Sheet1!S71_ItemType,$AD:$AD)</f>
        <v>0</v>
      </c>
      <c r="E206" s="1356"/>
      <c r="F206" s="1356"/>
      <c r="G206" s="1356"/>
      <c r="H206" s="1356"/>
      <c r="I206" s="1356">
        <f>SUMIFS(Sheet1!S71_AdjustmentAmount,Sheet1!S71_SubMunicipalVoteNo,$AC:$AC,Sheet1!S71_ItemType,$AD:$AD)</f>
        <v>0</v>
      </c>
      <c r="J206" s="75">
        <f t="shared" si="26"/>
        <v>0</v>
      </c>
      <c r="K206" s="75">
        <f t="shared" si="27"/>
        <v>0</v>
      </c>
      <c r="L206" s="1356">
        <f>SUMIFS(Sheet1!S71_OY1AdjustedBudget,Sheet1!S71_SubMunicipalVoteNo,$AC:$AC,Sheet1!S71_ItemType,$AD:$AD)</f>
        <v>0</v>
      </c>
      <c r="M206" s="1357">
        <f>SUMIFS(Sheet1!S71_OY2AdjustedBudget,Sheet1!S71_SubMunicipalVoteNo,$AC:$AC,Sheet1!S71_ItemType,$AD:$AD)</f>
        <v>0</v>
      </c>
      <c r="AC206" s="1345">
        <v>39</v>
      </c>
      <c r="AD206" s="1345" t="s">
        <v>1812</v>
      </c>
    </row>
    <row r="207" spans="1:30" ht="13.5" x14ac:dyDescent="0.25">
      <c r="A207" s="748" t="str">
        <f>IF(RIGHT('Org structure'!D34,18)&lt;&gt;"[Name of sub-vote]",'Org structure'!D34,"")</f>
        <v/>
      </c>
      <c r="B207" s="899"/>
      <c r="C207" s="1360">
        <f>SUMIFS(Sheet1!S71_OriginalBudget,Sheet1!S71_SubMunicipalVoteNo,$AC:$AC,Sheet1!S71_ItemType,$AD:$AD)</f>
        <v>0</v>
      </c>
      <c r="D207" s="1356">
        <f>SUMIFS(Sheet1!S71_SpecialAdjustedBudget,Sheet1!S71_SubMunicipalVoteNo,$AC:$AC,Sheet1!S71_ItemType,$AD:$AD)</f>
        <v>0</v>
      </c>
      <c r="E207" s="1356"/>
      <c r="F207" s="1356"/>
      <c r="G207" s="1356"/>
      <c r="H207" s="1356"/>
      <c r="I207" s="1356">
        <f>SUMIFS(Sheet1!S71_AdjustmentAmount,Sheet1!S71_SubMunicipalVoteNo,$AC:$AC,Sheet1!S71_ItemType,$AD:$AD)</f>
        <v>0</v>
      </c>
      <c r="J207" s="75">
        <f t="shared" ref="J207:J238" si="31">SUM(E207:I207)</f>
        <v>0</v>
      </c>
      <c r="K207" s="75">
        <f t="shared" si="27"/>
        <v>0</v>
      </c>
      <c r="L207" s="1356">
        <f>SUMIFS(Sheet1!S71_OY1AdjustedBudget,Sheet1!S71_SubMunicipalVoteNo,$AC:$AC,Sheet1!S71_ItemType,$AD:$AD)</f>
        <v>0</v>
      </c>
      <c r="M207" s="1357">
        <f>SUMIFS(Sheet1!S71_OY2AdjustedBudget,Sheet1!S71_SubMunicipalVoteNo,$AC:$AC,Sheet1!S71_ItemType,$AD:$AD)</f>
        <v>0</v>
      </c>
      <c r="AC207" s="1345">
        <v>310</v>
      </c>
      <c r="AD207" s="1345" t="s">
        <v>1812</v>
      </c>
    </row>
    <row r="208" spans="1:30" ht="13.5" x14ac:dyDescent="0.25">
      <c r="A208" s="745" t="str">
        <f t="shared" si="29"/>
        <v>Vote 4 - Community and Social Services</v>
      </c>
      <c r="B208" s="898"/>
      <c r="C208" s="733">
        <f t="shared" ref="C208:I208" si="32">SUM(C209:C218)</f>
        <v>9157704</v>
      </c>
      <c r="D208" s="732">
        <f t="shared" si="32"/>
        <v>9157704</v>
      </c>
      <c r="E208" s="732">
        <f t="shared" si="32"/>
        <v>0</v>
      </c>
      <c r="F208" s="732">
        <f t="shared" si="32"/>
        <v>0</v>
      </c>
      <c r="G208" s="732">
        <f t="shared" si="32"/>
        <v>0</v>
      </c>
      <c r="H208" s="732">
        <f t="shared" si="32"/>
        <v>0</v>
      </c>
      <c r="I208" s="732">
        <f t="shared" si="32"/>
        <v>-301164</v>
      </c>
      <c r="J208" s="75">
        <f t="shared" si="31"/>
        <v>-301164</v>
      </c>
      <c r="K208" s="75">
        <f t="shared" si="27"/>
        <v>8856540</v>
      </c>
      <c r="L208" s="732">
        <f>SUM(L209:L218)</f>
        <v>9732364</v>
      </c>
      <c r="M208" s="759">
        <f>SUM(M209:M218)</f>
        <v>10343265</v>
      </c>
    </row>
    <row r="209" spans="1:30" ht="13.5" x14ac:dyDescent="0.25">
      <c r="A209" s="748" t="str">
        <f>IF(RIGHT('Org structure'!D36,18)&lt;&gt;"[Name of sub-vote]",'Org structure'!D36,"")</f>
        <v>4.1 - Disaster Management</v>
      </c>
      <c r="B209" s="899"/>
      <c r="C209" s="1360">
        <f>SUMIFS(Sheet1!S71_OriginalBudget,Sheet1!S71_SubMunicipalVoteNo,$AC:$AC,Sheet1!S71_ItemType,$AD:$AD)</f>
        <v>1430000</v>
      </c>
      <c r="D209" s="1356">
        <f>SUMIFS(Sheet1!S71_SpecialAdjustedBudget,Sheet1!S71_SubMunicipalVoteNo,$AC:$AC,Sheet1!S71_ItemType,$AD:$AD)</f>
        <v>1430000</v>
      </c>
      <c r="E209" s="1356"/>
      <c r="F209" s="1356"/>
      <c r="G209" s="1356"/>
      <c r="H209" s="1356"/>
      <c r="I209" s="1356">
        <f>SUMIFS(Sheet1!S71_AdjustmentAmount,Sheet1!S71_SubMunicipalVoteNo,$AC:$AC,Sheet1!S71_ItemType,$AD:$AD)</f>
        <v>86750</v>
      </c>
      <c r="J209" s="75">
        <f t="shared" si="31"/>
        <v>86750</v>
      </c>
      <c r="K209" s="75">
        <f t="shared" si="27"/>
        <v>1516750</v>
      </c>
      <c r="L209" s="1356">
        <f>SUMIFS(Sheet1!S71_OY1AdjustedBudget,Sheet1!S71_SubMunicipalVoteNo,$AC:$AC,Sheet1!S71_ItemType,$AD:$AD)</f>
        <v>1515800</v>
      </c>
      <c r="M209" s="1357">
        <f>SUMIFS(Sheet1!S71_OY2AdjustedBudget,Sheet1!S71_SubMunicipalVoteNo,$AC:$AC,Sheet1!S71_ItemType,$AD:$AD)</f>
        <v>1606748</v>
      </c>
      <c r="AC209" s="1345">
        <v>41</v>
      </c>
      <c r="AD209" s="1345" t="s">
        <v>1812</v>
      </c>
    </row>
    <row r="210" spans="1:30" ht="13.5" x14ac:dyDescent="0.25">
      <c r="A210" s="748" t="str">
        <f>IF(RIGHT('Org structure'!D37,18)&lt;&gt;"[Name of sub-vote]",'Org structure'!D37,"")</f>
        <v>4.2 - Libraries and Archives</v>
      </c>
      <c r="B210" s="899"/>
      <c r="C210" s="1360">
        <f>SUMIFS(Sheet1!S71_OriginalBudget,Sheet1!S71_SubMunicipalVoteNo,$AC:$AC,Sheet1!S71_ItemType,$AD:$AD)</f>
        <v>2919704</v>
      </c>
      <c r="D210" s="1356">
        <f>SUMIFS(Sheet1!S71_SpecialAdjustedBudget,Sheet1!S71_SubMunicipalVoteNo,$AC:$AC,Sheet1!S71_ItemType,$AD:$AD)</f>
        <v>2919704</v>
      </c>
      <c r="E210" s="1356"/>
      <c r="F210" s="1356"/>
      <c r="G210" s="1356"/>
      <c r="H210" s="1356"/>
      <c r="I210" s="1356">
        <f>SUMIFS(Sheet1!S71_AdjustmentAmount,Sheet1!S71_SubMunicipalVoteNo,$AC:$AC,Sheet1!S71_ItemType,$AD:$AD)</f>
        <v>0</v>
      </c>
      <c r="J210" s="75">
        <f t="shared" si="31"/>
        <v>0</v>
      </c>
      <c r="K210" s="75">
        <f t="shared" si="27"/>
        <v>2919704</v>
      </c>
      <c r="L210" s="1356">
        <f>SUMIFS(Sheet1!S71_OY1AdjustedBudget,Sheet1!S71_SubMunicipalVoteNo,$AC:$AC,Sheet1!S71_ItemType,$AD:$AD)</f>
        <v>3120084</v>
      </c>
      <c r="M210" s="1357">
        <f>SUMIFS(Sheet1!S71_OY2AdjustedBudget,Sheet1!S71_SubMunicipalVoteNo,$AC:$AC,Sheet1!S71_ItemType,$AD:$AD)</f>
        <v>3334250</v>
      </c>
      <c r="AC210" s="1345">
        <v>42</v>
      </c>
      <c r="AD210" s="1345" t="s">
        <v>1812</v>
      </c>
    </row>
    <row r="211" spans="1:30" ht="13.5" x14ac:dyDescent="0.25">
      <c r="A211" s="748" t="str">
        <f>IF(RIGHT('Org structure'!D38,18)&lt;&gt;"[Name of sub-vote]",'Org structure'!D38,"")</f>
        <v>4.3 - Population Development</v>
      </c>
      <c r="B211" s="899"/>
      <c r="C211" s="1360">
        <f>SUMIFS(Sheet1!S71_OriginalBudget,Sheet1!S71_SubMunicipalVoteNo,$AC:$AC,Sheet1!S71_ItemType,$AD:$AD)</f>
        <v>2906500</v>
      </c>
      <c r="D211" s="1356">
        <f>SUMIFS(Sheet1!S71_SpecialAdjustedBudget,Sheet1!S71_SubMunicipalVoteNo,$AC:$AC,Sheet1!S71_ItemType,$AD:$AD)</f>
        <v>2906500</v>
      </c>
      <c r="E211" s="1356"/>
      <c r="F211" s="1356"/>
      <c r="G211" s="1356"/>
      <c r="H211" s="1356"/>
      <c r="I211" s="1356">
        <f>SUMIFS(Sheet1!S71_AdjustmentAmount,Sheet1!S71_SubMunicipalVoteNo,$AC:$AC,Sheet1!S71_ItemType,$AD:$AD)</f>
        <v>-233986</v>
      </c>
      <c r="J211" s="75">
        <f t="shared" si="31"/>
        <v>-233986</v>
      </c>
      <c r="K211" s="75">
        <f t="shared" si="27"/>
        <v>2672514</v>
      </c>
      <c r="L211" s="1356">
        <f>SUMIFS(Sheet1!S71_OY1AdjustedBudget,Sheet1!S71_SubMunicipalVoteNo,$AC:$AC,Sheet1!S71_ItemType,$AD:$AD)</f>
        <v>3080890</v>
      </c>
      <c r="M211" s="1357">
        <f>SUMIFS(Sheet1!S71_OY2AdjustedBudget,Sheet1!S71_SubMunicipalVoteNo,$AC:$AC,Sheet1!S71_ItemType,$AD:$AD)</f>
        <v>3265742</v>
      </c>
      <c r="AC211" s="1345">
        <v>43</v>
      </c>
      <c r="AD211" s="1345" t="s">
        <v>1812</v>
      </c>
    </row>
    <row r="212" spans="1:30" ht="13.5" x14ac:dyDescent="0.25">
      <c r="A212" s="748" t="str">
        <f>IF(RIGHT('Org structure'!D39,18)&lt;&gt;"[Name of sub-vote]",'Org structure'!D39,"")</f>
        <v>4.4 - Cultural Matters</v>
      </c>
      <c r="B212" s="899"/>
      <c r="C212" s="1360">
        <f>SUMIFS(Sheet1!S71_OriginalBudget,Sheet1!S71_SubMunicipalVoteNo,$AC:$AC,Sheet1!S71_ItemType,$AD:$AD)</f>
        <v>620000</v>
      </c>
      <c r="D212" s="1356">
        <f>SUMIFS(Sheet1!S71_SpecialAdjustedBudget,Sheet1!S71_SubMunicipalVoteNo,$AC:$AC,Sheet1!S71_ItemType,$AD:$AD)</f>
        <v>620000</v>
      </c>
      <c r="E212" s="1356"/>
      <c r="F212" s="1356"/>
      <c r="G212" s="1356"/>
      <c r="H212" s="1356"/>
      <c r="I212" s="1356">
        <f>SUMIFS(Sheet1!S71_AdjustmentAmount,Sheet1!S71_SubMunicipalVoteNo,$AC:$AC,Sheet1!S71_ItemType,$AD:$AD)</f>
        <v>82000</v>
      </c>
      <c r="J212" s="75">
        <f t="shared" si="31"/>
        <v>82000</v>
      </c>
      <c r="K212" s="75">
        <f t="shared" si="27"/>
        <v>702000</v>
      </c>
      <c r="L212" s="1356">
        <f>SUMIFS(Sheet1!S71_OY1AdjustedBudget,Sheet1!S71_SubMunicipalVoteNo,$AC:$AC,Sheet1!S71_ItemType,$AD:$AD)</f>
        <v>657200</v>
      </c>
      <c r="M212" s="1357">
        <f>SUMIFS(Sheet1!S71_OY2AdjustedBudget,Sheet1!S71_SubMunicipalVoteNo,$AC:$AC,Sheet1!S71_ItemType,$AD:$AD)</f>
        <v>696632</v>
      </c>
      <c r="AC212" s="1345">
        <v>44</v>
      </c>
      <c r="AD212" s="1345" t="s">
        <v>1812</v>
      </c>
    </row>
    <row r="213" spans="1:30" ht="13.5" x14ac:dyDescent="0.25">
      <c r="A213" s="748" t="str">
        <f>IF(RIGHT('Org structure'!D40,18)&lt;&gt;"[Name of sub-vote]",'Org structure'!D40,"")</f>
        <v>4.5 - Indigenous and Customary Law</v>
      </c>
      <c r="B213" s="899"/>
      <c r="C213" s="1360">
        <f>SUMIFS(Sheet1!S71_OriginalBudget,Sheet1!S71_SubMunicipalVoteNo,$AC:$AC,Sheet1!S71_ItemType,$AD:$AD)</f>
        <v>261500</v>
      </c>
      <c r="D213" s="1356">
        <f>SUMIFS(Sheet1!S71_SpecialAdjustedBudget,Sheet1!S71_SubMunicipalVoteNo,$AC:$AC,Sheet1!S71_ItemType,$AD:$AD)</f>
        <v>261500</v>
      </c>
      <c r="E213" s="1356"/>
      <c r="F213" s="1356"/>
      <c r="G213" s="1356"/>
      <c r="H213" s="1356"/>
      <c r="I213" s="1356">
        <f>SUMIFS(Sheet1!S71_AdjustmentAmount,Sheet1!S71_SubMunicipalVoteNo,$AC:$AC,Sheet1!S71_ItemType,$AD:$AD)</f>
        <v>-156500</v>
      </c>
      <c r="J213" s="75">
        <f t="shared" si="31"/>
        <v>-156500</v>
      </c>
      <c r="K213" s="75">
        <f t="shared" si="27"/>
        <v>105000</v>
      </c>
      <c r="L213" s="1356">
        <f>SUMIFS(Sheet1!S71_OY1AdjustedBudget,Sheet1!S71_SubMunicipalVoteNo,$AC:$AC,Sheet1!S71_ItemType,$AD:$AD)</f>
        <v>277190</v>
      </c>
      <c r="M213" s="1357">
        <f>SUMIFS(Sheet1!S71_OY2AdjustedBudget,Sheet1!S71_SubMunicipalVoteNo,$AC:$AC,Sheet1!S71_ItemType,$AD:$AD)</f>
        <v>293821</v>
      </c>
      <c r="AC213" s="1345">
        <v>45</v>
      </c>
      <c r="AD213" s="1345" t="s">
        <v>1812</v>
      </c>
    </row>
    <row r="214" spans="1:30" ht="13.5" x14ac:dyDescent="0.25">
      <c r="A214" s="748" t="str">
        <f>IF(RIGHT('Org structure'!D41,18)&lt;&gt;"[Name of sub-vote]",'Org structure'!D41,"")</f>
        <v>4.6 - Industrial Promotion</v>
      </c>
      <c r="B214" s="899"/>
      <c r="C214" s="1360">
        <f>SUMIFS(Sheet1!S71_OriginalBudget,Sheet1!S71_SubMunicipalVoteNo,$AC:$AC,Sheet1!S71_ItemType,$AD:$AD)</f>
        <v>380000</v>
      </c>
      <c r="D214" s="1356">
        <f>SUMIFS(Sheet1!S71_SpecialAdjustedBudget,Sheet1!S71_SubMunicipalVoteNo,$AC:$AC,Sheet1!S71_ItemType,$AD:$AD)</f>
        <v>380000</v>
      </c>
      <c r="E214" s="1356"/>
      <c r="F214" s="1356"/>
      <c r="G214" s="1356"/>
      <c r="H214" s="1356"/>
      <c r="I214" s="1356">
        <f>SUMIFS(Sheet1!S71_AdjustmentAmount,Sheet1!S71_SubMunicipalVoteNo,$AC:$AC,Sheet1!S71_ItemType,$AD:$AD)</f>
        <v>0</v>
      </c>
      <c r="J214" s="75">
        <f t="shared" si="31"/>
        <v>0</v>
      </c>
      <c r="K214" s="75">
        <f t="shared" si="27"/>
        <v>380000</v>
      </c>
      <c r="L214" s="1356">
        <f>SUMIFS(Sheet1!S71_OY1AdjustedBudget,Sheet1!S71_SubMunicipalVoteNo,$AC:$AC,Sheet1!S71_ItemType,$AD:$AD)</f>
        <v>402800</v>
      </c>
      <c r="M214" s="1357">
        <f>SUMIFS(Sheet1!S71_OY2AdjustedBudget,Sheet1!S71_SubMunicipalVoteNo,$AC:$AC,Sheet1!S71_ItemType,$AD:$AD)</f>
        <v>426968</v>
      </c>
      <c r="AC214" s="1345">
        <v>46</v>
      </c>
      <c r="AD214" s="1345" t="s">
        <v>1812</v>
      </c>
    </row>
    <row r="215" spans="1:30" ht="13.5" x14ac:dyDescent="0.25">
      <c r="A215" s="748" t="str">
        <f>IF(RIGHT('Org structure'!D42,18)&lt;&gt;"[Name of sub-vote]",'Org structure'!D42,"")</f>
        <v>4.7 - Agricultural</v>
      </c>
      <c r="B215" s="899"/>
      <c r="C215" s="1360">
        <f>SUMIFS(Sheet1!S71_OriginalBudget,Sheet1!S71_SubMunicipalVoteNo,$AC:$AC,Sheet1!S71_ItemType,$AD:$AD)</f>
        <v>150000</v>
      </c>
      <c r="D215" s="1356">
        <f>SUMIFS(Sheet1!S71_SpecialAdjustedBudget,Sheet1!S71_SubMunicipalVoteNo,$AC:$AC,Sheet1!S71_ItemType,$AD:$AD)</f>
        <v>150000</v>
      </c>
      <c r="E215" s="1356"/>
      <c r="F215" s="1356"/>
      <c r="G215" s="1356"/>
      <c r="H215" s="1356"/>
      <c r="I215" s="1356">
        <f>SUMIFS(Sheet1!S71_AdjustmentAmount,Sheet1!S71_SubMunicipalVoteNo,$AC:$AC,Sheet1!S71_ItemType,$AD:$AD)</f>
        <v>0</v>
      </c>
      <c r="J215" s="75">
        <f t="shared" si="31"/>
        <v>0</v>
      </c>
      <c r="K215" s="75">
        <f t="shared" si="27"/>
        <v>150000</v>
      </c>
      <c r="L215" s="1356">
        <f>SUMIFS(Sheet1!S71_OY1AdjustedBudget,Sheet1!S71_SubMunicipalVoteNo,$AC:$AC,Sheet1!S71_ItemType,$AD:$AD)</f>
        <v>159000</v>
      </c>
      <c r="M215" s="1357">
        <f>SUMIFS(Sheet1!S71_OY2AdjustedBudget,Sheet1!S71_SubMunicipalVoteNo,$AC:$AC,Sheet1!S71_ItemType,$AD:$AD)</f>
        <v>168540</v>
      </c>
      <c r="AC215" s="1345">
        <v>47</v>
      </c>
      <c r="AD215" s="1345" t="s">
        <v>1812</v>
      </c>
    </row>
    <row r="216" spans="1:30" ht="13.5" x14ac:dyDescent="0.25">
      <c r="A216" s="748" t="str">
        <f>IF(RIGHT('Org structure'!D43,18)&lt;&gt;"[Name of sub-vote]",'Org structure'!D43,"")</f>
        <v>4.8 - Aged Care</v>
      </c>
      <c r="B216" s="899"/>
      <c r="C216" s="1360">
        <f>SUMIFS(Sheet1!S71_OriginalBudget,Sheet1!S71_SubMunicipalVoteNo,$AC:$AC,Sheet1!S71_ItemType,$AD:$AD)</f>
        <v>490000</v>
      </c>
      <c r="D216" s="1356">
        <f>SUMIFS(Sheet1!S71_SpecialAdjustedBudget,Sheet1!S71_SubMunicipalVoteNo,$AC:$AC,Sheet1!S71_ItemType,$AD:$AD)</f>
        <v>490000</v>
      </c>
      <c r="E216" s="1356"/>
      <c r="F216" s="1356"/>
      <c r="G216" s="1356"/>
      <c r="H216" s="1356"/>
      <c r="I216" s="1356">
        <f>SUMIFS(Sheet1!S71_AdjustmentAmount,Sheet1!S71_SubMunicipalVoteNo,$AC:$AC,Sheet1!S71_ItemType,$AD:$AD)</f>
        <v>-79428</v>
      </c>
      <c r="J216" s="75">
        <f t="shared" si="31"/>
        <v>-79428</v>
      </c>
      <c r="K216" s="75">
        <f t="shared" si="27"/>
        <v>410572</v>
      </c>
      <c r="L216" s="1356">
        <f>SUMIFS(Sheet1!S71_OY1AdjustedBudget,Sheet1!S71_SubMunicipalVoteNo,$AC:$AC,Sheet1!S71_ItemType,$AD:$AD)</f>
        <v>519400</v>
      </c>
      <c r="M216" s="1357">
        <f>SUMIFS(Sheet1!S71_OY2AdjustedBudget,Sheet1!S71_SubMunicipalVoteNo,$AC:$AC,Sheet1!S71_ItemType,$AD:$AD)</f>
        <v>550564</v>
      </c>
      <c r="AC216" s="1345">
        <v>48</v>
      </c>
      <c r="AD216" s="1345" t="s">
        <v>1812</v>
      </c>
    </row>
    <row r="217" spans="1:30" ht="13.5" x14ac:dyDescent="0.25">
      <c r="A217" s="748" t="str">
        <f>IF(RIGHT('Org structure'!D44,18)&lt;&gt;"[Name of sub-vote]",'Org structure'!D44,"")</f>
        <v>4.9 - Child Care Facilities</v>
      </c>
      <c r="B217" s="899"/>
      <c r="C217" s="1360">
        <f>SUMIFS(Sheet1!S71_OriginalBudget,Sheet1!S71_SubMunicipalVoteNo,$AC:$AC,Sheet1!S71_ItemType,$AD:$AD)</f>
        <v>0</v>
      </c>
      <c r="D217" s="1356">
        <f>SUMIFS(Sheet1!S71_SpecialAdjustedBudget,Sheet1!S71_SubMunicipalVoteNo,$AC:$AC,Sheet1!S71_ItemType,$AD:$AD)</f>
        <v>0</v>
      </c>
      <c r="E217" s="1356"/>
      <c r="F217" s="1356"/>
      <c r="G217" s="1356"/>
      <c r="H217" s="1356"/>
      <c r="I217" s="1356">
        <f>SUMIFS(Sheet1!S71_AdjustmentAmount,Sheet1!S71_SubMunicipalVoteNo,$AC:$AC,Sheet1!S71_ItemType,$AD:$AD)</f>
        <v>0</v>
      </c>
      <c r="J217" s="75">
        <f t="shared" si="31"/>
        <v>0</v>
      </c>
      <c r="K217" s="75">
        <f t="shared" si="27"/>
        <v>0</v>
      </c>
      <c r="L217" s="1356">
        <f>SUMIFS(Sheet1!S71_OY1AdjustedBudget,Sheet1!S71_SubMunicipalVoteNo,$AC:$AC,Sheet1!S71_ItemType,$AD:$AD)</f>
        <v>0</v>
      </c>
      <c r="M217" s="1357">
        <f>SUMIFS(Sheet1!S71_OY2AdjustedBudget,Sheet1!S71_SubMunicipalVoteNo,$AC:$AC,Sheet1!S71_ItemType,$AD:$AD)</f>
        <v>0</v>
      </c>
      <c r="AC217" s="1345">
        <v>49</v>
      </c>
      <c r="AD217" s="1345" t="s">
        <v>1812</v>
      </c>
    </row>
    <row r="218" spans="1:30" ht="13.5" x14ac:dyDescent="0.25">
      <c r="A218" s="748" t="str">
        <f>IF(RIGHT('Org structure'!D45,18)&lt;&gt;"[Name of sub-vote]",'Org structure'!D45,"")</f>
        <v/>
      </c>
      <c r="B218" s="899"/>
      <c r="C218" s="1360">
        <f>SUMIFS(Sheet1!S71_OriginalBudget,Sheet1!S71_SubMunicipalVoteNo,$AC:$AC,Sheet1!S71_ItemType,$AD:$AD)</f>
        <v>0</v>
      </c>
      <c r="D218" s="1356">
        <f>SUMIFS(Sheet1!S71_SpecialAdjustedBudget,Sheet1!S71_SubMunicipalVoteNo,$AC:$AC,Sheet1!S71_ItemType,$AD:$AD)</f>
        <v>0</v>
      </c>
      <c r="E218" s="1356"/>
      <c r="F218" s="1356"/>
      <c r="G218" s="1356"/>
      <c r="H218" s="1356"/>
      <c r="I218" s="1356">
        <f>SUMIFS(Sheet1!S71_AdjustmentAmount,Sheet1!S71_SubMunicipalVoteNo,$AC:$AC,Sheet1!S71_ItemType,$AD:$AD)</f>
        <v>0</v>
      </c>
      <c r="J218" s="75">
        <f t="shared" si="31"/>
        <v>0</v>
      </c>
      <c r="K218" s="75">
        <f t="shared" si="27"/>
        <v>0</v>
      </c>
      <c r="L218" s="1356">
        <f>SUMIFS(Sheet1!S71_OY1AdjustedBudget,Sheet1!S71_SubMunicipalVoteNo,$AC:$AC,Sheet1!S71_ItemType,$AD:$AD)</f>
        <v>0</v>
      </c>
      <c r="M218" s="1357">
        <f>SUMIFS(Sheet1!S71_OY2AdjustedBudget,Sheet1!S71_SubMunicipalVoteNo,$AC:$AC,Sheet1!S71_ItemType,$AD:$AD)</f>
        <v>0</v>
      </c>
      <c r="AC218" s="1345">
        <v>410</v>
      </c>
      <c r="AD218" s="1345" t="s">
        <v>1812</v>
      </c>
    </row>
    <row r="219" spans="1:30" ht="13.5" x14ac:dyDescent="0.25">
      <c r="A219" s="745" t="str">
        <f>A51</f>
        <v>Vote 5 - Community and Social Services2</v>
      </c>
      <c r="B219" s="898"/>
      <c r="C219" s="733">
        <f t="shared" ref="C219:I219" si="33">SUM(C220:C229)</f>
        <v>12212528</v>
      </c>
      <c r="D219" s="732">
        <f t="shared" si="33"/>
        <v>12212528</v>
      </c>
      <c r="E219" s="732">
        <f t="shared" si="33"/>
        <v>0</v>
      </c>
      <c r="F219" s="732">
        <f t="shared" si="33"/>
        <v>0</v>
      </c>
      <c r="G219" s="732">
        <f t="shared" si="33"/>
        <v>0</v>
      </c>
      <c r="H219" s="732">
        <f t="shared" si="33"/>
        <v>0</v>
      </c>
      <c r="I219" s="732">
        <f t="shared" si="33"/>
        <v>2959775</v>
      </c>
      <c r="J219" s="75">
        <f t="shared" si="31"/>
        <v>2959775</v>
      </c>
      <c r="K219" s="75">
        <f t="shared" si="27"/>
        <v>15172303</v>
      </c>
      <c r="L219" s="732">
        <f>SUM(L220:L229)</f>
        <v>12871228</v>
      </c>
      <c r="M219" s="759">
        <f>SUM(M220:M229)</f>
        <v>13571291</v>
      </c>
    </row>
    <row r="220" spans="1:30" ht="13.5" x14ac:dyDescent="0.25">
      <c r="A220" s="748" t="str">
        <f>IF(RIGHT('Org structure'!D47,18)&lt;&gt;"[Name of sub-vote]",'Org structure'!D47,"")</f>
        <v>5.1 - Literacy Programmes</v>
      </c>
      <c r="B220" s="899"/>
      <c r="C220" s="1360">
        <f>SUMIFS(Sheet1!S71_OriginalBudget,Sheet1!S71_SubMunicipalVoteNo,$AC:$AC,Sheet1!S71_ItemType,$AD:$AD)</f>
        <v>2320000</v>
      </c>
      <c r="D220" s="1356">
        <f>SUMIFS(Sheet1!S71_SpecialAdjustedBudget,Sheet1!S71_SubMunicipalVoteNo,$AC:$AC,Sheet1!S71_ItemType,$AD:$AD)</f>
        <v>2320000</v>
      </c>
      <c r="E220" s="1356"/>
      <c r="F220" s="1356"/>
      <c r="G220" s="1356"/>
      <c r="H220" s="1356"/>
      <c r="I220" s="1356">
        <f>SUMIFS(Sheet1!S71_AdjustmentAmount,Sheet1!S71_SubMunicipalVoteNo,$AC:$AC,Sheet1!S71_ItemType,$AD:$AD)</f>
        <v>170000</v>
      </c>
      <c r="J220" s="75">
        <f t="shared" si="31"/>
        <v>170000</v>
      </c>
      <c r="K220" s="75">
        <f t="shared" si="27"/>
        <v>2490000</v>
      </c>
      <c r="L220" s="1356">
        <f>SUMIFS(Sheet1!S71_OY1AdjustedBudget,Sheet1!S71_SubMunicipalVoteNo,$AC:$AC,Sheet1!S71_ItemType,$AD:$AD)</f>
        <v>2459200</v>
      </c>
      <c r="M220" s="1357">
        <f>SUMIFS(Sheet1!S71_OY2AdjustedBudget,Sheet1!S71_SubMunicipalVoteNo,$AC:$AC,Sheet1!S71_ItemType,$AD:$AD)</f>
        <v>2606752</v>
      </c>
      <c r="AC220" s="1345">
        <v>51</v>
      </c>
      <c r="AD220" s="1345" t="s">
        <v>1812</v>
      </c>
    </row>
    <row r="221" spans="1:30" ht="13.5" x14ac:dyDescent="0.25">
      <c r="A221" s="748" t="str">
        <f>IF(RIGHT('Org structure'!D48,18)&lt;&gt;"[Name of sub-vote]",'Org structure'!D48,"")</f>
        <v>5.2 - Education</v>
      </c>
      <c r="B221" s="899"/>
      <c r="C221" s="1360">
        <f>SUMIFS(Sheet1!S71_OriginalBudget,Sheet1!S71_SubMunicipalVoteNo,$AC:$AC,Sheet1!S71_ItemType,$AD:$AD)</f>
        <v>190000</v>
      </c>
      <c r="D221" s="1356">
        <f>SUMIFS(Sheet1!S71_SpecialAdjustedBudget,Sheet1!S71_SubMunicipalVoteNo,$AC:$AC,Sheet1!S71_ItemType,$AD:$AD)</f>
        <v>190000</v>
      </c>
      <c r="E221" s="1356"/>
      <c r="F221" s="1356"/>
      <c r="G221" s="1356"/>
      <c r="H221" s="1356"/>
      <c r="I221" s="1356">
        <f>SUMIFS(Sheet1!S71_AdjustmentAmount,Sheet1!S71_SubMunicipalVoteNo,$AC:$AC,Sheet1!S71_ItemType,$AD:$AD)</f>
        <v>-190000</v>
      </c>
      <c r="J221" s="75">
        <f t="shared" si="31"/>
        <v>-190000</v>
      </c>
      <c r="K221" s="75">
        <f t="shared" si="27"/>
        <v>0</v>
      </c>
      <c r="L221" s="1356">
        <f>SUMIFS(Sheet1!S71_OY1AdjustedBudget,Sheet1!S71_SubMunicipalVoteNo,$AC:$AC,Sheet1!S71_ItemType,$AD:$AD)</f>
        <v>201400</v>
      </c>
      <c r="M221" s="1357">
        <f>SUMIFS(Sheet1!S71_OY2AdjustedBudget,Sheet1!S71_SubMunicipalVoteNo,$AC:$AC,Sheet1!S71_ItemType,$AD:$AD)</f>
        <v>213484</v>
      </c>
      <c r="AC221" s="1345">
        <v>52</v>
      </c>
      <c r="AD221" s="1345" t="s">
        <v>1812</v>
      </c>
    </row>
    <row r="222" spans="1:30" ht="13.5" x14ac:dyDescent="0.25">
      <c r="A222" s="748" t="str">
        <f>IF(RIGHT('Org structure'!D49,18)&lt;&gt;"[Name of sub-vote]",'Org structure'!D49,"")</f>
        <v>5.3 - Community Halls and Facilities</v>
      </c>
      <c r="B222" s="899"/>
      <c r="C222" s="1360">
        <f>SUMIFS(Sheet1!S71_OriginalBudget,Sheet1!S71_SubMunicipalVoteNo,$AC:$AC,Sheet1!S71_ItemType,$AD:$AD)</f>
        <v>9702528</v>
      </c>
      <c r="D222" s="1356">
        <f>SUMIFS(Sheet1!S71_SpecialAdjustedBudget,Sheet1!S71_SubMunicipalVoteNo,$AC:$AC,Sheet1!S71_ItemType,$AD:$AD)</f>
        <v>9702528</v>
      </c>
      <c r="E222" s="1356"/>
      <c r="F222" s="1356"/>
      <c r="G222" s="1356"/>
      <c r="H222" s="1356"/>
      <c r="I222" s="1356">
        <f>SUMIFS(Sheet1!S71_AdjustmentAmount,Sheet1!S71_SubMunicipalVoteNo,$AC:$AC,Sheet1!S71_ItemType,$AD:$AD)</f>
        <v>2979775</v>
      </c>
      <c r="J222" s="75">
        <f t="shared" si="31"/>
        <v>2979775</v>
      </c>
      <c r="K222" s="75">
        <f t="shared" si="27"/>
        <v>12682303</v>
      </c>
      <c r="L222" s="1356">
        <f>SUMIFS(Sheet1!S71_OY1AdjustedBudget,Sheet1!S71_SubMunicipalVoteNo,$AC:$AC,Sheet1!S71_ItemType,$AD:$AD)</f>
        <v>10210628</v>
      </c>
      <c r="M222" s="1357">
        <f>SUMIFS(Sheet1!S71_OY2AdjustedBudget,Sheet1!S71_SubMunicipalVoteNo,$AC:$AC,Sheet1!S71_ItemType,$AD:$AD)</f>
        <v>10751055</v>
      </c>
      <c r="AC222" s="1345">
        <v>53</v>
      </c>
      <c r="AD222" s="1345" t="s">
        <v>1812</v>
      </c>
    </row>
    <row r="223" spans="1:30" ht="13.5" x14ac:dyDescent="0.25">
      <c r="A223" s="748" t="str">
        <f>IF(RIGHT('Org structure'!D50,18)&lt;&gt;"[Name of sub-vote]",'Org structure'!D50,"")</f>
        <v/>
      </c>
      <c r="B223" s="899"/>
      <c r="C223" s="1360">
        <f>SUMIFS(Sheet1!S71_OriginalBudget,Sheet1!S71_SubMunicipalVoteNo,$AC:$AC,Sheet1!S71_ItemType,$AD:$AD)</f>
        <v>0</v>
      </c>
      <c r="D223" s="1356">
        <f>SUMIFS(Sheet1!S71_SpecialAdjustedBudget,Sheet1!S71_SubMunicipalVoteNo,$AC:$AC,Sheet1!S71_ItemType,$AD:$AD)</f>
        <v>0</v>
      </c>
      <c r="E223" s="1356"/>
      <c r="F223" s="1356"/>
      <c r="G223" s="1356"/>
      <c r="H223" s="1356"/>
      <c r="I223" s="1356">
        <f>SUMIFS(Sheet1!S71_AdjustmentAmount,Sheet1!S71_SubMunicipalVoteNo,$AC:$AC,Sheet1!S71_ItemType,$AD:$AD)</f>
        <v>0</v>
      </c>
      <c r="J223" s="75">
        <f t="shared" si="31"/>
        <v>0</v>
      </c>
      <c r="K223" s="75">
        <f t="shared" si="27"/>
        <v>0</v>
      </c>
      <c r="L223" s="1356">
        <f>SUMIFS(Sheet1!S71_OY1AdjustedBudget,Sheet1!S71_SubMunicipalVoteNo,$AC:$AC,Sheet1!S71_ItemType,$AD:$AD)</f>
        <v>0</v>
      </c>
      <c r="M223" s="1357">
        <f>SUMIFS(Sheet1!S71_OY2AdjustedBudget,Sheet1!S71_SubMunicipalVoteNo,$AC:$AC,Sheet1!S71_ItemType,$AD:$AD)</f>
        <v>0</v>
      </c>
      <c r="AC223" s="1345">
        <v>54</v>
      </c>
      <c r="AD223" s="1345" t="s">
        <v>1812</v>
      </c>
    </row>
    <row r="224" spans="1:30" ht="13.5" x14ac:dyDescent="0.25">
      <c r="A224" s="748" t="str">
        <f>IF(RIGHT('Org structure'!D51,18)&lt;&gt;"[Name of sub-vote]",'Org structure'!D51,"")</f>
        <v/>
      </c>
      <c r="B224" s="899"/>
      <c r="C224" s="1360">
        <f>SUMIFS(Sheet1!S71_OriginalBudget,Sheet1!S71_SubMunicipalVoteNo,$AC:$AC,Sheet1!S71_ItemType,$AD:$AD)</f>
        <v>0</v>
      </c>
      <c r="D224" s="1356">
        <f>SUMIFS(Sheet1!S71_SpecialAdjustedBudget,Sheet1!S71_SubMunicipalVoteNo,$AC:$AC,Sheet1!S71_ItemType,$AD:$AD)</f>
        <v>0</v>
      </c>
      <c r="E224" s="1356"/>
      <c r="F224" s="1356"/>
      <c r="G224" s="1356"/>
      <c r="H224" s="1356"/>
      <c r="I224" s="1356">
        <f>SUMIFS(Sheet1!S71_AdjustmentAmount,Sheet1!S71_SubMunicipalVoteNo,$AC:$AC,Sheet1!S71_ItemType,$AD:$AD)</f>
        <v>0</v>
      </c>
      <c r="J224" s="75">
        <f t="shared" si="31"/>
        <v>0</v>
      </c>
      <c r="K224" s="75">
        <f t="shared" si="27"/>
        <v>0</v>
      </c>
      <c r="L224" s="1356">
        <f>SUMIFS(Sheet1!S71_OY1AdjustedBudget,Sheet1!S71_SubMunicipalVoteNo,$AC:$AC,Sheet1!S71_ItemType,$AD:$AD)</f>
        <v>0</v>
      </c>
      <c r="M224" s="1357">
        <f>SUMIFS(Sheet1!S71_OY2AdjustedBudget,Sheet1!S71_SubMunicipalVoteNo,$AC:$AC,Sheet1!S71_ItemType,$AD:$AD)</f>
        <v>0</v>
      </c>
      <c r="AC224" s="1345">
        <v>55</v>
      </c>
      <c r="AD224" s="1345" t="s">
        <v>1812</v>
      </c>
    </row>
    <row r="225" spans="1:30" ht="13.5" x14ac:dyDescent="0.25">
      <c r="A225" s="748" t="str">
        <f>IF(RIGHT('Org structure'!D52,18)&lt;&gt;"[Name of sub-vote]",'Org structure'!D52,"")</f>
        <v/>
      </c>
      <c r="B225" s="899"/>
      <c r="C225" s="1360">
        <f>SUMIFS(Sheet1!S71_OriginalBudget,Sheet1!S71_SubMunicipalVoteNo,$AC:$AC,Sheet1!S71_ItemType,$AD:$AD)</f>
        <v>0</v>
      </c>
      <c r="D225" s="1356">
        <f>SUMIFS(Sheet1!S71_SpecialAdjustedBudget,Sheet1!S71_SubMunicipalVoteNo,$AC:$AC,Sheet1!S71_ItemType,$AD:$AD)</f>
        <v>0</v>
      </c>
      <c r="E225" s="1356"/>
      <c r="F225" s="1356"/>
      <c r="G225" s="1356"/>
      <c r="H225" s="1356"/>
      <c r="I225" s="1356">
        <f>SUMIFS(Sheet1!S71_AdjustmentAmount,Sheet1!S71_SubMunicipalVoteNo,$AC:$AC,Sheet1!S71_ItemType,$AD:$AD)</f>
        <v>0</v>
      </c>
      <c r="J225" s="75">
        <f t="shared" si="31"/>
        <v>0</v>
      </c>
      <c r="K225" s="75">
        <f t="shared" si="27"/>
        <v>0</v>
      </c>
      <c r="L225" s="1356">
        <f>SUMIFS(Sheet1!S71_OY1AdjustedBudget,Sheet1!S71_SubMunicipalVoteNo,$AC:$AC,Sheet1!S71_ItemType,$AD:$AD)</f>
        <v>0</v>
      </c>
      <c r="M225" s="1357">
        <f>SUMIFS(Sheet1!S71_OY2AdjustedBudget,Sheet1!S71_SubMunicipalVoteNo,$AC:$AC,Sheet1!S71_ItemType,$AD:$AD)</f>
        <v>0</v>
      </c>
      <c r="AC225" s="1345">
        <v>56</v>
      </c>
      <c r="AD225" s="1345" t="s">
        <v>1812</v>
      </c>
    </row>
    <row r="226" spans="1:30" ht="13.5" x14ac:dyDescent="0.25">
      <c r="A226" s="748" t="str">
        <f>IF(RIGHT('Org structure'!D53,18)&lt;&gt;"[Name of sub-vote]",'Org structure'!D53,"")</f>
        <v/>
      </c>
      <c r="B226" s="899"/>
      <c r="C226" s="1360">
        <f>SUMIFS(Sheet1!S71_OriginalBudget,Sheet1!S71_SubMunicipalVoteNo,$AC:$AC,Sheet1!S71_ItemType,$AD:$AD)</f>
        <v>0</v>
      </c>
      <c r="D226" s="1356">
        <f>SUMIFS(Sheet1!S71_SpecialAdjustedBudget,Sheet1!S71_SubMunicipalVoteNo,$AC:$AC,Sheet1!S71_ItemType,$AD:$AD)</f>
        <v>0</v>
      </c>
      <c r="E226" s="1356"/>
      <c r="F226" s="1356"/>
      <c r="G226" s="1356"/>
      <c r="H226" s="1356"/>
      <c r="I226" s="1356">
        <f>SUMIFS(Sheet1!S71_AdjustmentAmount,Sheet1!S71_SubMunicipalVoteNo,$AC:$AC,Sheet1!S71_ItemType,$AD:$AD)</f>
        <v>0</v>
      </c>
      <c r="J226" s="75">
        <f t="shared" si="31"/>
        <v>0</v>
      </c>
      <c r="K226" s="75">
        <f t="shared" si="27"/>
        <v>0</v>
      </c>
      <c r="L226" s="1356">
        <f>SUMIFS(Sheet1!S71_OY1AdjustedBudget,Sheet1!S71_SubMunicipalVoteNo,$AC:$AC,Sheet1!S71_ItemType,$AD:$AD)</f>
        <v>0</v>
      </c>
      <c r="M226" s="1357">
        <f>SUMIFS(Sheet1!S71_OY2AdjustedBudget,Sheet1!S71_SubMunicipalVoteNo,$AC:$AC,Sheet1!S71_ItemType,$AD:$AD)</f>
        <v>0</v>
      </c>
      <c r="AC226" s="1345">
        <v>57</v>
      </c>
      <c r="AD226" s="1345" t="s">
        <v>1812</v>
      </c>
    </row>
    <row r="227" spans="1:30" ht="13.5" x14ac:dyDescent="0.25">
      <c r="A227" s="748" t="str">
        <f>IF(RIGHT('Org structure'!D54,18)&lt;&gt;"[Name of sub-vote]",'Org structure'!D54,"")</f>
        <v/>
      </c>
      <c r="B227" s="899"/>
      <c r="C227" s="1360">
        <f>SUMIFS(Sheet1!S71_OriginalBudget,Sheet1!S71_SubMunicipalVoteNo,$AC:$AC,Sheet1!S71_ItemType,$AD:$AD)</f>
        <v>0</v>
      </c>
      <c r="D227" s="1356">
        <f>SUMIFS(Sheet1!S71_SpecialAdjustedBudget,Sheet1!S71_SubMunicipalVoteNo,$AC:$AC,Sheet1!S71_ItemType,$AD:$AD)</f>
        <v>0</v>
      </c>
      <c r="E227" s="1356"/>
      <c r="F227" s="1356"/>
      <c r="G227" s="1356"/>
      <c r="H227" s="1356"/>
      <c r="I227" s="1356">
        <f>SUMIFS(Sheet1!S71_AdjustmentAmount,Sheet1!S71_SubMunicipalVoteNo,$AC:$AC,Sheet1!S71_ItemType,$AD:$AD)</f>
        <v>0</v>
      </c>
      <c r="J227" s="75">
        <f t="shared" si="31"/>
        <v>0</v>
      </c>
      <c r="K227" s="75">
        <f t="shared" si="27"/>
        <v>0</v>
      </c>
      <c r="L227" s="1356">
        <f>SUMIFS(Sheet1!S71_OY1AdjustedBudget,Sheet1!S71_SubMunicipalVoteNo,$AC:$AC,Sheet1!S71_ItemType,$AD:$AD)</f>
        <v>0</v>
      </c>
      <c r="M227" s="1357">
        <f>SUMIFS(Sheet1!S71_OY2AdjustedBudget,Sheet1!S71_SubMunicipalVoteNo,$AC:$AC,Sheet1!S71_ItemType,$AD:$AD)</f>
        <v>0</v>
      </c>
      <c r="AC227" s="1345">
        <v>58</v>
      </c>
      <c r="AD227" s="1345" t="s">
        <v>1812</v>
      </c>
    </row>
    <row r="228" spans="1:30" ht="13.5" x14ac:dyDescent="0.25">
      <c r="A228" s="748" t="str">
        <f>IF(RIGHT('Org structure'!D55,18)&lt;&gt;"[Name of sub-vote]",'Org structure'!D55,"")</f>
        <v/>
      </c>
      <c r="B228" s="899"/>
      <c r="C228" s="1360">
        <f>SUMIFS(Sheet1!S71_OriginalBudget,Sheet1!S71_SubMunicipalVoteNo,$AC:$AC,Sheet1!S71_ItemType,$AD:$AD)</f>
        <v>0</v>
      </c>
      <c r="D228" s="1356">
        <f>SUMIFS(Sheet1!S71_SpecialAdjustedBudget,Sheet1!S71_SubMunicipalVoteNo,$AC:$AC,Sheet1!S71_ItemType,$AD:$AD)</f>
        <v>0</v>
      </c>
      <c r="E228" s="1356"/>
      <c r="F228" s="1356"/>
      <c r="G228" s="1356"/>
      <c r="H228" s="1356"/>
      <c r="I228" s="1356">
        <f>SUMIFS(Sheet1!S71_AdjustmentAmount,Sheet1!S71_SubMunicipalVoteNo,$AC:$AC,Sheet1!S71_ItemType,$AD:$AD)</f>
        <v>0</v>
      </c>
      <c r="J228" s="75">
        <f t="shared" si="31"/>
        <v>0</v>
      </c>
      <c r="K228" s="75">
        <f t="shared" si="27"/>
        <v>0</v>
      </c>
      <c r="L228" s="1356">
        <f>SUMIFS(Sheet1!S71_OY1AdjustedBudget,Sheet1!S71_SubMunicipalVoteNo,$AC:$AC,Sheet1!S71_ItemType,$AD:$AD)</f>
        <v>0</v>
      </c>
      <c r="M228" s="1357">
        <f>SUMIFS(Sheet1!S71_OY2AdjustedBudget,Sheet1!S71_SubMunicipalVoteNo,$AC:$AC,Sheet1!S71_ItemType,$AD:$AD)</f>
        <v>0</v>
      </c>
      <c r="AC228" s="1345">
        <v>59</v>
      </c>
      <c r="AD228" s="1345" t="s">
        <v>1812</v>
      </c>
    </row>
    <row r="229" spans="1:30" ht="13.5" x14ac:dyDescent="0.25">
      <c r="A229" s="748" t="str">
        <f>IF(RIGHT('Org structure'!D56,18)&lt;&gt;"[Name of sub-vote]",'Org structure'!D56,"")</f>
        <v/>
      </c>
      <c r="B229" s="899"/>
      <c r="C229" s="1360">
        <f>SUMIFS(Sheet1!S71_OriginalBudget,Sheet1!S71_SubMunicipalVoteNo,$AC:$AC,Sheet1!S71_ItemType,$AD:$AD)</f>
        <v>0</v>
      </c>
      <c r="D229" s="1356">
        <f>SUMIFS(Sheet1!S71_SpecialAdjustedBudget,Sheet1!S71_SubMunicipalVoteNo,$AC:$AC,Sheet1!S71_ItemType,$AD:$AD)</f>
        <v>0</v>
      </c>
      <c r="E229" s="1356"/>
      <c r="F229" s="1356"/>
      <c r="G229" s="1356"/>
      <c r="H229" s="1356"/>
      <c r="I229" s="1356">
        <f>SUMIFS(Sheet1!S71_AdjustmentAmount,Sheet1!S71_SubMunicipalVoteNo,$AC:$AC,Sheet1!S71_ItemType,$AD:$AD)</f>
        <v>0</v>
      </c>
      <c r="J229" s="75">
        <f t="shared" si="31"/>
        <v>0</v>
      </c>
      <c r="K229" s="75">
        <f t="shared" si="27"/>
        <v>0</v>
      </c>
      <c r="L229" s="1356">
        <f>SUMIFS(Sheet1!S71_OY1AdjustedBudget,Sheet1!S71_SubMunicipalVoteNo,$AC:$AC,Sheet1!S71_ItemType,$AD:$AD)</f>
        <v>0</v>
      </c>
      <c r="M229" s="1357">
        <f>SUMIFS(Sheet1!S71_OY2AdjustedBudget,Sheet1!S71_SubMunicipalVoteNo,$AC:$AC,Sheet1!S71_ItemType,$AD:$AD)</f>
        <v>0</v>
      </c>
      <c r="AC229" s="1345">
        <v>510</v>
      </c>
      <c r="AD229" s="1345" t="s">
        <v>1812</v>
      </c>
    </row>
    <row r="230" spans="1:30" ht="13.5" x14ac:dyDescent="0.25">
      <c r="A230" s="745" t="str">
        <f>A62</f>
        <v>Vote 6 - Energy Sources</v>
      </c>
      <c r="B230" s="898"/>
      <c r="C230" s="733">
        <f t="shared" ref="C230:I230" si="34">SUM(C231:C240)</f>
        <v>0</v>
      </c>
      <c r="D230" s="732">
        <f t="shared" si="34"/>
        <v>0</v>
      </c>
      <c r="E230" s="732">
        <f t="shared" si="34"/>
        <v>0</v>
      </c>
      <c r="F230" s="732">
        <f t="shared" si="34"/>
        <v>0</v>
      </c>
      <c r="G230" s="732">
        <f t="shared" si="34"/>
        <v>0</v>
      </c>
      <c r="H230" s="732">
        <f t="shared" si="34"/>
        <v>0</v>
      </c>
      <c r="I230" s="732">
        <f t="shared" si="34"/>
        <v>6381606</v>
      </c>
      <c r="J230" s="75">
        <f t="shared" si="31"/>
        <v>6381606</v>
      </c>
      <c r="K230" s="75">
        <f t="shared" si="27"/>
        <v>6381606</v>
      </c>
      <c r="L230" s="732">
        <f>SUM(L231:L240)</f>
        <v>0</v>
      </c>
      <c r="M230" s="759">
        <f>SUM(M231:M240)</f>
        <v>0</v>
      </c>
    </row>
    <row r="231" spans="1:30" ht="13.5" x14ac:dyDescent="0.25">
      <c r="A231" s="748" t="str">
        <f>IF(RIGHT('Org structure'!D58,18)&lt;&gt;"[Name of sub-vote]",'Org structure'!D58,"")</f>
        <v>6.1 - Electricity</v>
      </c>
      <c r="B231" s="899"/>
      <c r="C231" s="1360">
        <f>SUMIFS(Sheet1!S71_OriginalBudget,Sheet1!S71_SubMunicipalVoteNo,$AC:$AC,Sheet1!S71_ItemType,$AD:$AD)</f>
        <v>0</v>
      </c>
      <c r="D231" s="1356">
        <f>SUMIFS(Sheet1!S71_SpecialAdjustedBudget,Sheet1!S71_SubMunicipalVoteNo,$AC:$AC,Sheet1!S71_ItemType,$AD:$AD)</f>
        <v>0</v>
      </c>
      <c r="E231" s="1356"/>
      <c r="F231" s="1356"/>
      <c r="G231" s="1356"/>
      <c r="H231" s="1356"/>
      <c r="I231" s="1356">
        <f>SUMIFS(Sheet1!S71_AdjustmentAmount,Sheet1!S71_SubMunicipalVoteNo,$AC:$AC,Sheet1!S71_ItemType,$AD:$AD)</f>
        <v>6381606</v>
      </c>
      <c r="J231" s="75">
        <f t="shared" si="31"/>
        <v>6381606</v>
      </c>
      <c r="K231" s="75">
        <f t="shared" si="27"/>
        <v>6381606</v>
      </c>
      <c r="L231" s="1356">
        <f>SUMIFS(Sheet1!S71_OY1AdjustedBudget,Sheet1!S71_SubMunicipalVoteNo,$AC:$AC,Sheet1!S71_ItemType,$AD:$AD)</f>
        <v>0</v>
      </c>
      <c r="M231" s="1357">
        <f>SUMIFS(Sheet1!S71_OY2AdjustedBudget,Sheet1!S71_SubMunicipalVoteNo,$AC:$AC,Sheet1!S71_ItemType,$AD:$AD)</f>
        <v>0</v>
      </c>
      <c r="AC231" s="1345">
        <v>61</v>
      </c>
      <c r="AD231" s="1345" t="s">
        <v>1812</v>
      </c>
    </row>
    <row r="232" spans="1:30" ht="13.5" x14ac:dyDescent="0.25">
      <c r="A232" s="748" t="str">
        <f>IF(RIGHT('Org structure'!D59,18)&lt;&gt;"[Name of sub-vote]",'Org structure'!D59,"")</f>
        <v/>
      </c>
      <c r="B232" s="899"/>
      <c r="C232" s="1360">
        <f>SUMIFS(Sheet1!S71_OriginalBudget,Sheet1!S71_SubMunicipalVoteNo,$AC:$AC,Sheet1!S71_ItemType,$AD:$AD)</f>
        <v>0</v>
      </c>
      <c r="D232" s="1356">
        <f>SUMIFS(Sheet1!S71_SpecialAdjustedBudget,Sheet1!S71_SubMunicipalVoteNo,$AC:$AC,Sheet1!S71_ItemType,$AD:$AD)</f>
        <v>0</v>
      </c>
      <c r="E232" s="1356"/>
      <c r="F232" s="1356"/>
      <c r="G232" s="1356"/>
      <c r="H232" s="1356"/>
      <c r="I232" s="1356">
        <f>SUMIFS(Sheet1!S71_AdjustmentAmount,Sheet1!S71_SubMunicipalVoteNo,$AC:$AC,Sheet1!S71_ItemType,$AD:$AD)</f>
        <v>0</v>
      </c>
      <c r="J232" s="75">
        <f t="shared" si="31"/>
        <v>0</v>
      </c>
      <c r="K232" s="75">
        <f t="shared" si="27"/>
        <v>0</v>
      </c>
      <c r="L232" s="1356">
        <f>SUMIFS(Sheet1!S71_OY1AdjustedBudget,Sheet1!S71_SubMunicipalVoteNo,$AC:$AC,Sheet1!S71_ItemType,$AD:$AD)</f>
        <v>0</v>
      </c>
      <c r="M232" s="1357">
        <f>SUMIFS(Sheet1!S71_OY2AdjustedBudget,Sheet1!S71_SubMunicipalVoteNo,$AC:$AC,Sheet1!S71_ItemType,$AD:$AD)</f>
        <v>0</v>
      </c>
      <c r="AC232" s="1345">
        <v>62</v>
      </c>
      <c r="AD232" s="1345" t="s">
        <v>1812</v>
      </c>
    </row>
    <row r="233" spans="1:30" ht="13.5" x14ac:dyDescent="0.25">
      <c r="A233" s="748" t="str">
        <f>IF(RIGHT('Org structure'!D60,18)&lt;&gt;"[Name of sub-vote]",'Org structure'!D60,"")</f>
        <v/>
      </c>
      <c r="B233" s="899"/>
      <c r="C233" s="1360">
        <f>SUMIFS(Sheet1!S71_OriginalBudget,Sheet1!S71_SubMunicipalVoteNo,$AC:$AC,Sheet1!S71_ItemType,$AD:$AD)</f>
        <v>0</v>
      </c>
      <c r="D233" s="1356">
        <f>SUMIFS(Sheet1!S71_SpecialAdjustedBudget,Sheet1!S71_SubMunicipalVoteNo,$AC:$AC,Sheet1!S71_ItemType,$AD:$AD)</f>
        <v>0</v>
      </c>
      <c r="E233" s="1356"/>
      <c r="F233" s="1356"/>
      <c r="G233" s="1356"/>
      <c r="H233" s="1356"/>
      <c r="I233" s="1356">
        <f>SUMIFS(Sheet1!S71_AdjustmentAmount,Sheet1!S71_SubMunicipalVoteNo,$AC:$AC,Sheet1!S71_ItemType,$AD:$AD)</f>
        <v>0</v>
      </c>
      <c r="J233" s="75">
        <f t="shared" si="31"/>
        <v>0</v>
      </c>
      <c r="K233" s="75">
        <f t="shared" si="27"/>
        <v>0</v>
      </c>
      <c r="L233" s="1356">
        <f>SUMIFS(Sheet1!S71_OY1AdjustedBudget,Sheet1!S71_SubMunicipalVoteNo,$AC:$AC,Sheet1!S71_ItemType,$AD:$AD)</f>
        <v>0</v>
      </c>
      <c r="M233" s="1357">
        <f>SUMIFS(Sheet1!S71_OY2AdjustedBudget,Sheet1!S71_SubMunicipalVoteNo,$AC:$AC,Sheet1!S71_ItemType,$AD:$AD)</f>
        <v>0</v>
      </c>
      <c r="AC233" s="1345">
        <v>63</v>
      </c>
      <c r="AD233" s="1345" t="s">
        <v>1812</v>
      </c>
    </row>
    <row r="234" spans="1:30" ht="13.5" x14ac:dyDescent="0.25">
      <c r="A234" s="748" t="str">
        <f>IF(RIGHT('Org structure'!D61,18)&lt;&gt;"[Name of sub-vote]",'Org structure'!D61,"")</f>
        <v/>
      </c>
      <c r="B234" s="899"/>
      <c r="C234" s="1360">
        <f>SUMIFS(Sheet1!S71_OriginalBudget,Sheet1!S71_SubMunicipalVoteNo,$AC:$AC,Sheet1!S71_ItemType,$AD:$AD)</f>
        <v>0</v>
      </c>
      <c r="D234" s="1356">
        <f>SUMIFS(Sheet1!S71_SpecialAdjustedBudget,Sheet1!S71_SubMunicipalVoteNo,$AC:$AC,Sheet1!S71_ItemType,$AD:$AD)</f>
        <v>0</v>
      </c>
      <c r="E234" s="1356"/>
      <c r="F234" s="1356"/>
      <c r="G234" s="1356"/>
      <c r="H234" s="1356"/>
      <c r="I234" s="1356">
        <f>SUMIFS(Sheet1!S71_AdjustmentAmount,Sheet1!S71_SubMunicipalVoteNo,$AC:$AC,Sheet1!S71_ItemType,$AD:$AD)</f>
        <v>0</v>
      </c>
      <c r="J234" s="75">
        <f t="shared" si="31"/>
        <v>0</v>
      </c>
      <c r="K234" s="75">
        <f t="shared" si="27"/>
        <v>0</v>
      </c>
      <c r="L234" s="1356">
        <f>SUMIFS(Sheet1!S71_OY1AdjustedBudget,Sheet1!S71_SubMunicipalVoteNo,$AC:$AC,Sheet1!S71_ItemType,$AD:$AD)</f>
        <v>0</v>
      </c>
      <c r="M234" s="1357">
        <f>SUMIFS(Sheet1!S71_OY2AdjustedBudget,Sheet1!S71_SubMunicipalVoteNo,$AC:$AC,Sheet1!S71_ItemType,$AD:$AD)</f>
        <v>0</v>
      </c>
      <c r="AC234" s="1345">
        <v>64</v>
      </c>
      <c r="AD234" s="1345" t="s">
        <v>1812</v>
      </c>
    </row>
    <row r="235" spans="1:30" ht="13.5" x14ac:dyDescent="0.25">
      <c r="A235" s="748" t="str">
        <f>IF(RIGHT('Org structure'!D62,18)&lt;&gt;"[Name of sub-vote]",'Org structure'!D62,"")</f>
        <v/>
      </c>
      <c r="B235" s="899"/>
      <c r="C235" s="1360">
        <f>SUMIFS(Sheet1!S71_OriginalBudget,Sheet1!S71_SubMunicipalVoteNo,$AC:$AC,Sheet1!S71_ItemType,$AD:$AD)</f>
        <v>0</v>
      </c>
      <c r="D235" s="1356">
        <f>SUMIFS(Sheet1!S71_SpecialAdjustedBudget,Sheet1!S71_SubMunicipalVoteNo,$AC:$AC,Sheet1!S71_ItemType,$AD:$AD)</f>
        <v>0</v>
      </c>
      <c r="E235" s="1356"/>
      <c r="F235" s="1356"/>
      <c r="G235" s="1356"/>
      <c r="H235" s="1356"/>
      <c r="I235" s="1356">
        <f>SUMIFS(Sheet1!S71_AdjustmentAmount,Sheet1!S71_SubMunicipalVoteNo,$AC:$AC,Sheet1!S71_ItemType,$AD:$AD)</f>
        <v>0</v>
      </c>
      <c r="J235" s="75">
        <f t="shared" si="31"/>
        <v>0</v>
      </c>
      <c r="K235" s="75">
        <f t="shared" si="27"/>
        <v>0</v>
      </c>
      <c r="L235" s="1356">
        <f>SUMIFS(Sheet1!S71_OY1AdjustedBudget,Sheet1!S71_SubMunicipalVoteNo,$AC:$AC,Sheet1!S71_ItemType,$AD:$AD)</f>
        <v>0</v>
      </c>
      <c r="M235" s="1357">
        <f>SUMIFS(Sheet1!S71_OY2AdjustedBudget,Sheet1!S71_SubMunicipalVoteNo,$AC:$AC,Sheet1!S71_ItemType,$AD:$AD)</f>
        <v>0</v>
      </c>
      <c r="AC235" s="1345">
        <v>65</v>
      </c>
      <c r="AD235" s="1345" t="s">
        <v>1812</v>
      </c>
    </row>
    <row r="236" spans="1:30" ht="13.5" x14ac:dyDescent="0.25">
      <c r="A236" s="748" t="str">
        <f>IF(RIGHT('Org structure'!D63,18)&lt;&gt;"[Name of sub-vote]",'Org structure'!D63,"")</f>
        <v/>
      </c>
      <c r="B236" s="899"/>
      <c r="C236" s="1360">
        <f>SUMIFS(Sheet1!S71_OriginalBudget,Sheet1!S71_SubMunicipalVoteNo,$AC:$AC,Sheet1!S71_ItemType,$AD:$AD)</f>
        <v>0</v>
      </c>
      <c r="D236" s="1356">
        <f>SUMIFS(Sheet1!S71_SpecialAdjustedBudget,Sheet1!S71_SubMunicipalVoteNo,$AC:$AC,Sheet1!S71_ItemType,$AD:$AD)</f>
        <v>0</v>
      </c>
      <c r="E236" s="1356"/>
      <c r="F236" s="1356"/>
      <c r="G236" s="1356"/>
      <c r="H236" s="1356"/>
      <c r="I236" s="1356">
        <f>SUMIFS(Sheet1!S71_AdjustmentAmount,Sheet1!S71_SubMunicipalVoteNo,$AC:$AC,Sheet1!S71_ItemType,$AD:$AD)</f>
        <v>0</v>
      </c>
      <c r="J236" s="75">
        <f t="shared" si="31"/>
        <v>0</v>
      </c>
      <c r="K236" s="75">
        <f t="shared" si="27"/>
        <v>0</v>
      </c>
      <c r="L236" s="1356">
        <f>SUMIFS(Sheet1!S71_OY1AdjustedBudget,Sheet1!S71_SubMunicipalVoteNo,$AC:$AC,Sheet1!S71_ItemType,$AD:$AD)</f>
        <v>0</v>
      </c>
      <c r="M236" s="1357">
        <f>SUMIFS(Sheet1!S71_OY2AdjustedBudget,Sheet1!S71_SubMunicipalVoteNo,$AC:$AC,Sheet1!S71_ItemType,$AD:$AD)</f>
        <v>0</v>
      </c>
      <c r="AC236" s="1345">
        <v>66</v>
      </c>
      <c r="AD236" s="1345" t="s">
        <v>1812</v>
      </c>
    </row>
    <row r="237" spans="1:30" ht="13.5" x14ac:dyDescent="0.25">
      <c r="A237" s="748" t="str">
        <f>IF(RIGHT('Org structure'!D64,18)&lt;&gt;"[Name of sub-vote]",'Org structure'!D64,"")</f>
        <v/>
      </c>
      <c r="B237" s="899"/>
      <c r="C237" s="1360">
        <f>SUMIFS(Sheet1!S71_OriginalBudget,Sheet1!S71_SubMunicipalVoteNo,$AC:$AC,Sheet1!S71_ItemType,$AD:$AD)</f>
        <v>0</v>
      </c>
      <c r="D237" s="1356">
        <f>SUMIFS(Sheet1!S71_SpecialAdjustedBudget,Sheet1!S71_SubMunicipalVoteNo,$AC:$AC,Sheet1!S71_ItemType,$AD:$AD)</f>
        <v>0</v>
      </c>
      <c r="E237" s="1356"/>
      <c r="F237" s="1356"/>
      <c r="G237" s="1356"/>
      <c r="H237" s="1356"/>
      <c r="I237" s="1356">
        <f>SUMIFS(Sheet1!S71_AdjustmentAmount,Sheet1!S71_SubMunicipalVoteNo,$AC:$AC,Sheet1!S71_ItemType,$AD:$AD)</f>
        <v>0</v>
      </c>
      <c r="J237" s="75">
        <f t="shared" si="31"/>
        <v>0</v>
      </c>
      <c r="K237" s="75">
        <f t="shared" si="27"/>
        <v>0</v>
      </c>
      <c r="L237" s="1356">
        <f>SUMIFS(Sheet1!S71_OY1AdjustedBudget,Sheet1!S71_SubMunicipalVoteNo,$AC:$AC,Sheet1!S71_ItemType,$AD:$AD)</f>
        <v>0</v>
      </c>
      <c r="M237" s="1357">
        <f>SUMIFS(Sheet1!S71_OY2AdjustedBudget,Sheet1!S71_SubMunicipalVoteNo,$AC:$AC,Sheet1!S71_ItemType,$AD:$AD)</f>
        <v>0</v>
      </c>
      <c r="AC237" s="1345">
        <v>67</v>
      </c>
      <c r="AD237" s="1345" t="s">
        <v>1812</v>
      </c>
    </row>
    <row r="238" spans="1:30" ht="13.5" x14ac:dyDescent="0.25">
      <c r="A238" s="748" t="str">
        <f>IF(RIGHT('Org structure'!D65,18)&lt;&gt;"[Name of sub-vote]",'Org structure'!D65,"")</f>
        <v/>
      </c>
      <c r="B238" s="899"/>
      <c r="C238" s="1360">
        <f>SUMIFS(Sheet1!S71_OriginalBudget,Sheet1!S71_SubMunicipalVoteNo,$AC:$AC,Sheet1!S71_ItemType,$AD:$AD)</f>
        <v>0</v>
      </c>
      <c r="D238" s="1356">
        <f>SUMIFS(Sheet1!S71_SpecialAdjustedBudget,Sheet1!S71_SubMunicipalVoteNo,$AC:$AC,Sheet1!S71_ItemType,$AD:$AD)</f>
        <v>0</v>
      </c>
      <c r="E238" s="1356"/>
      <c r="F238" s="1356"/>
      <c r="G238" s="1356"/>
      <c r="H238" s="1356"/>
      <c r="I238" s="1356">
        <f>SUMIFS(Sheet1!S71_AdjustmentAmount,Sheet1!S71_SubMunicipalVoteNo,$AC:$AC,Sheet1!S71_ItemType,$AD:$AD)</f>
        <v>0</v>
      </c>
      <c r="J238" s="75">
        <f t="shared" si="31"/>
        <v>0</v>
      </c>
      <c r="K238" s="75">
        <f t="shared" si="27"/>
        <v>0</v>
      </c>
      <c r="L238" s="1356">
        <f>SUMIFS(Sheet1!S71_OY1AdjustedBudget,Sheet1!S71_SubMunicipalVoteNo,$AC:$AC,Sheet1!S71_ItemType,$AD:$AD)</f>
        <v>0</v>
      </c>
      <c r="M238" s="1357">
        <f>SUMIFS(Sheet1!S71_OY2AdjustedBudget,Sheet1!S71_SubMunicipalVoteNo,$AC:$AC,Sheet1!S71_ItemType,$AD:$AD)</f>
        <v>0</v>
      </c>
      <c r="AC238" s="1345">
        <v>68</v>
      </c>
      <c r="AD238" s="1345" t="s">
        <v>1812</v>
      </c>
    </row>
    <row r="239" spans="1:30" ht="13.5" x14ac:dyDescent="0.25">
      <c r="A239" s="748" t="str">
        <f>IF(RIGHT('Org structure'!D66,18)&lt;&gt;"[Name of sub-vote]",'Org structure'!D66,"")</f>
        <v/>
      </c>
      <c r="B239" s="899"/>
      <c r="C239" s="1360">
        <f>SUMIFS(Sheet1!S71_OriginalBudget,Sheet1!S71_SubMunicipalVoteNo,$AC:$AC,Sheet1!S71_ItemType,$AD:$AD)</f>
        <v>0</v>
      </c>
      <c r="D239" s="1356">
        <f>SUMIFS(Sheet1!S71_SpecialAdjustedBudget,Sheet1!S71_SubMunicipalVoteNo,$AC:$AC,Sheet1!S71_ItemType,$AD:$AD)</f>
        <v>0</v>
      </c>
      <c r="E239" s="1356"/>
      <c r="F239" s="1356"/>
      <c r="G239" s="1356"/>
      <c r="H239" s="1356"/>
      <c r="I239" s="1356">
        <f>SUMIFS(Sheet1!S71_AdjustmentAmount,Sheet1!S71_SubMunicipalVoteNo,$AC:$AC,Sheet1!S71_ItemType,$AD:$AD)</f>
        <v>0</v>
      </c>
      <c r="J239" s="75">
        <f t="shared" ref="J239:J270" si="35">SUM(E239:I239)</f>
        <v>0</v>
      </c>
      <c r="K239" s="75">
        <f t="shared" si="27"/>
        <v>0</v>
      </c>
      <c r="L239" s="1356">
        <f>SUMIFS(Sheet1!S71_OY1AdjustedBudget,Sheet1!S71_SubMunicipalVoteNo,$AC:$AC,Sheet1!S71_ItemType,$AD:$AD)</f>
        <v>0</v>
      </c>
      <c r="M239" s="1357">
        <f>SUMIFS(Sheet1!S71_OY2AdjustedBudget,Sheet1!S71_SubMunicipalVoteNo,$AC:$AC,Sheet1!S71_ItemType,$AD:$AD)</f>
        <v>0</v>
      </c>
      <c r="AC239" s="1345">
        <v>69</v>
      </c>
      <c r="AD239" s="1345" t="s">
        <v>1812</v>
      </c>
    </row>
    <row r="240" spans="1:30" ht="13.5" x14ac:dyDescent="0.25">
      <c r="A240" s="748" t="str">
        <f>IF(RIGHT('Org structure'!D67,18)&lt;&gt;"[Name of sub-vote]",'Org structure'!D67,"")</f>
        <v/>
      </c>
      <c r="B240" s="899"/>
      <c r="C240" s="1360">
        <f>SUMIFS(Sheet1!S71_OriginalBudget,Sheet1!S71_SubMunicipalVoteNo,$AC:$AC,Sheet1!S71_ItemType,$AD:$AD)</f>
        <v>0</v>
      </c>
      <c r="D240" s="1356">
        <f>SUMIFS(Sheet1!S71_SpecialAdjustedBudget,Sheet1!S71_SubMunicipalVoteNo,$AC:$AC,Sheet1!S71_ItemType,$AD:$AD)</f>
        <v>0</v>
      </c>
      <c r="E240" s="1356"/>
      <c r="F240" s="1356"/>
      <c r="G240" s="1356"/>
      <c r="H240" s="1356"/>
      <c r="I240" s="1356">
        <f>SUMIFS(Sheet1!S71_AdjustmentAmount,Sheet1!S71_SubMunicipalVoteNo,$AC:$AC,Sheet1!S71_ItemType,$AD:$AD)</f>
        <v>0</v>
      </c>
      <c r="J240" s="75">
        <f t="shared" si="35"/>
        <v>0</v>
      </c>
      <c r="K240" s="75">
        <f t="shared" ref="K240:K303" si="36">IF(D240=0,C240+J240,D240+J240)</f>
        <v>0</v>
      </c>
      <c r="L240" s="1356">
        <f>SUMIFS(Sheet1!S71_OY1AdjustedBudget,Sheet1!S71_SubMunicipalVoteNo,$AC:$AC,Sheet1!S71_ItemType,$AD:$AD)</f>
        <v>0</v>
      </c>
      <c r="M240" s="1357">
        <f>SUMIFS(Sheet1!S71_OY2AdjustedBudget,Sheet1!S71_SubMunicipalVoteNo,$AC:$AC,Sheet1!S71_ItemType,$AD:$AD)</f>
        <v>0</v>
      </c>
      <c r="AC240" s="1345">
        <v>610</v>
      </c>
      <c r="AD240" s="1345" t="s">
        <v>1812</v>
      </c>
    </row>
    <row r="241" spans="1:30" ht="13.5" x14ac:dyDescent="0.25">
      <c r="A241" s="745" t="str">
        <f>A73</f>
        <v>Vote 7 - Road Transport</v>
      </c>
      <c r="B241" s="898"/>
      <c r="C241" s="733">
        <f t="shared" ref="C241:I241" si="37">SUM(C242:C251)</f>
        <v>17376674</v>
      </c>
      <c r="D241" s="732">
        <f t="shared" si="37"/>
        <v>17376674</v>
      </c>
      <c r="E241" s="732">
        <f t="shared" si="37"/>
        <v>0</v>
      </c>
      <c r="F241" s="732">
        <f t="shared" si="37"/>
        <v>0</v>
      </c>
      <c r="G241" s="732">
        <f t="shared" si="37"/>
        <v>0</v>
      </c>
      <c r="H241" s="732">
        <f t="shared" si="37"/>
        <v>0</v>
      </c>
      <c r="I241" s="732">
        <f t="shared" si="37"/>
        <v>4679245</v>
      </c>
      <c r="J241" s="75">
        <f t="shared" si="35"/>
        <v>4679245</v>
      </c>
      <c r="K241" s="75">
        <f t="shared" si="36"/>
        <v>22055919</v>
      </c>
      <c r="L241" s="732">
        <f>SUM(L242:L251)</f>
        <v>13966341</v>
      </c>
      <c r="M241" s="759">
        <f>SUM(M242:M251)</f>
        <v>14711815</v>
      </c>
    </row>
    <row r="242" spans="1:30" ht="13.5" x14ac:dyDescent="0.25">
      <c r="A242" s="748" t="str">
        <f>IF(RIGHT('Org structure'!D69,18)&lt;&gt;"[Name of sub-vote]",'Org structure'!D69,"")</f>
        <v>7.1 - Roads</v>
      </c>
      <c r="B242" s="899"/>
      <c r="C242" s="1360">
        <f>SUMIFS(Sheet1!S71_OriginalBudget,Sheet1!S71_SubMunicipalVoteNo,$AC:$AC,Sheet1!S71_ItemType,$AD:$AD)</f>
        <v>17376674</v>
      </c>
      <c r="D242" s="1356">
        <f>SUMIFS(Sheet1!S71_SpecialAdjustedBudget,Sheet1!S71_SubMunicipalVoteNo,$AC:$AC,Sheet1!S71_ItemType,$AD:$AD)</f>
        <v>17376674</v>
      </c>
      <c r="E242" s="1356"/>
      <c r="F242" s="1356"/>
      <c r="G242" s="1356"/>
      <c r="H242" s="1356"/>
      <c r="I242" s="1356">
        <f>SUMIFS(Sheet1!S71_AdjustmentAmount,Sheet1!S71_SubMunicipalVoteNo,$AC:$AC,Sheet1!S71_ItemType,$AD:$AD)</f>
        <v>4679245</v>
      </c>
      <c r="J242" s="75">
        <f t="shared" si="35"/>
        <v>4679245</v>
      </c>
      <c r="K242" s="75">
        <f t="shared" si="36"/>
        <v>22055919</v>
      </c>
      <c r="L242" s="1356">
        <f>SUMIFS(Sheet1!S71_OY1AdjustedBudget,Sheet1!S71_SubMunicipalVoteNo,$AC:$AC,Sheet1!S71_ItemType,$AD:$AD)</f>
        <v>13966341</v>
      </c>
      <c r="M242" s="1357">
        <f>SUMIFS(Sheet1!S71_OY2AdjustedBudget,Sheet1!S71_SubMunicipalVoteNo,$AC:$AC,Sheet1!S71_ItemType,$AD:$AD)</f>
        <v>14711815</v>
      </c>
      <c r="AC242" s="1345">
        <v>71</v>
      </c>
      <c r="AD242" s="1345" t="s">
        <v>1812</v>
      </c>
    </row>
    <row r="243" spans="1:30" ht="13.5" x14ac:dyDescent="0.25">
      <c r="A243" s="748" t="str">
        <f>IF(RIGHT('Org structure'!D70,18)&lt;&gt;"[Name of sub-vote]",'Org structure'!D70,"")</f>
        <v/>
      </c>
      <c r="B243" s="899"/>
      <c r="C243" s="1360">
        <f>SUMIFS(Sheet1!S71_OriginalBudget,Sheet1!S71_SubMunicipalVoteNo,$AC:$AC,Sheet1!S71_ItemType,$AD:$AD)</f>
        <v>0</v>
      </c>
      <c r="D243" s="1356">
        <f>SUMIFS(Sheet1!S71_SpecialAdjustedBudget,Sheet1!S71_SubMunicipalVoteNo,$AC:$AC,Sheet1!S71_ItemType,$AD:$AD)</f>
        <v>0</v>
      </c>
      <c r="E243" s="1356"/>
      <c r="F243" s="1356"/>
      <c r="G243" s="1356"/>
      <c r="H243" s="1356"/>
      <c r="I243" s="1356">
        <f>SUMIFS(Sheet1!S71_AdjustmentAmount,Sheet1!S71_SubMunicipalVoteNo,$AC:$AC,Sheet1!S71_ItemType,$AD:$AD)</f>
        <v>0</v>
      </c>
      <c r="J243" s="75">
        <f t="shared" si="35"/>
        <v>0</v>
      </c>
      <c r="K243" s="75">
        <f t="shared" si="36"/>
        <v>0</v>
      </c>
      <c r="L243" s="1356">
        <f>SUMIFS(Sheet1!S71_OY1AdjustedBudget,Sheet1!S71_SubMunicipalVoteNo,$AC:$AC,Sheet1!S71_ItemType,$AD:$AD)</f>
        <v>0</v>
      </c>
      <c r="M243" s="1357">
        <f>SUMIFS(Sheet1!S71_OY2AdjustedBudget,Sheet1!S71_SubMunicipalVoteNo,$AC:$AC,Sheet1!S71_ItemType,$AD:$AD)</f>
        <v>0</v>
      </c>
      <c r="AC243" s="1345">
        <v>72</v>
      </c>
      <c r="AD243" s="1345" t="s">
        <v>1812</v>
      </c>
    </row>
    <row r="244" spans="1:30" ht="13.5" x14ac:dyDescent="0.25">
      <c r="A244" s="748" t="str">
        <f>IF(RIGHT('Org structure'!D71,18)&lt;&gt;"[Name of sub-vote]",'Org structure'!D71,"")</f>
        <v/>
      </c>
      <c r="B244" s="899"/>
      <c r="C244" s="1360">
        <f>SUMIFS(Sheet1!S71_OriginalBudget,Sheet1!S71_SubMunicipalVoteNo,$AC:$AC,Sheet1!S71_ItemType,$AD:$AD)</f>
        <v>0</v>
      </c>
      <c r="D244" s="1356">
        <f>SUMIFS(Sheet1!S71_SpecialAdjustedBudget,Sheet1!S71_SubMunicipalVoteNo,$AC:$AC,Sheet1!S71_ItemType,$AD:$AD)</f>
        <v>0</v>
      </c>
      <c r="E244" s="1356"/>
      <c r="F244" s="1356"/>
      <c r="G244" s="1356"/>
      <c r="H244" s="1356"/>
      <c r="I244" s="1356">
        <f>SUMIFS(Sheet1!S71_AdjustmentAmount,Sheet1!S71_SubMunicipalVoteNo,$AC:$AC,Sheet1!S71_ItemType,$AD:$AD)</f>
        <v>0</v>
      </c>
      <c r="J244" s="75">
        <f t="shared" si="35"/>
        <v>0</v>
      </c>
      <c r="K244" s="75">
        <f t="shared" si="36"/>
        <v>0</v>
      </c>
      <c r="L244" s="1356">
        <f>SUMIFS(Sheet1!S71_OY1AdjustedBudget,Sheet1!S71_SubMunicipalVoteNo,$AC:$AC,Sheet1!S71_ItemType,$AD:$AD)</f>
        <v>0</v>
      </c>
      <c r="M244" s="1357">
        <f>SUMIFS(Sheet1!S71_OY2AdjustedBudget,Sheet1!S71_SubMunicipalVoteNo,$AC:$AC,Sheet1!S71_ItemType,$AD:$AD)</f>
        <v>0</v>
      </c>
      <c r="AC244" s="1345">
        <v>73</v>
      </c>
      <c r="AD244" s="1345" t="s">
        <v>1812</v>
      </c>
    </row>
    <row r="245" spans="1:30" ht="13.5" x14ac:dyDescent="0.25">
      <c r="A245" s="748" t="str">
        <f>IF(RIGHT('Org structure'!D72,18)&lt;&gt;"[Name of sub-vote]",'Org structure'!D72,"")</f>
        <v/>
      </c>
      <c r="B245" s="899"/>
      <c r="C245" s="1360">
        <f>SUMIFS(Sheet1!S71_OriginalBudget,Sheet1!S71_SubMunicipalVoteNo,$AC:$AC,Sheet1!S71_ItemType,$AD:$AD)</f>
        <v>0</v>
      </c>
      <c r="D245" s="1356">
        <f>SUMIFS(Sheet1!S71_SpecialAdjustedBudget,Sheet1!S71_SubMunicipalVoteNo,$AC:$AC,Sheet1!S71_ItemType,$AD:$AD)</f>
        <v>0</v>
      </c>
      <c r="E245" s="1356"/>
      <c r="F245" s="1356"/>
      <c r="G245" s="1356"/>
      <c r="H245" s="1356"/>
      <c r="I245" s="1356">
        <f>SUMIFS(Sheet1!S71_AdjustmentAmount,Sheet1!S71_SubMunicipalVoteNo,$AC:$AC,Sheet1!S71_ItemType,$AD:$AD)</f>
        <v>0</v>
      </c>
      <c r="J245" s="75">
        <f t="shared" si="35"/>
        <v>0</v>
      </c>
      <c r="K245" s="75">
        <f t="shared" si="36"/>
        <v>0</v>
      </c>
      <c r="L245" s="1356">
        <f>SUMIFS(Sheet1!S71_OY1AdjustedBudget,Sheet1!S71_SubMunicipalVoteNo,$AC:$AC,Sheet1!S71_ItemType,$AD:$AD)</f>
        <v>0</v>
      </c>
      <c r="M245" s="1357">
        <f>SUMIFS(Sheet1!S71_OY2AdjustedBudget,Sheet1!S71_SubMunicipalVoteNo,$AC:$AC,Sheet1!S71_ItemType,$AD:$AD)</f>
        <v>0</v>
      </c>
      <c r="AC245" s="1345">
        <v>74</v>
      </c>
      <c r="AD245" s="1345" t="s">
        <v>1812</v>
      </c>
    </row>
    <row r="246" spans="1:30" ht="13.5" x14ac:dyDescent="0.25">
      <c r="A246" s="748" t="str">
        <f>IF(RIGHT('Org structure'!D73,18)&lt;&gt;"[Name of sub-vote]",'Org structure'!D73,"")</f>
        <v/>
      </c>
      <c r="B246" s="899"/>
      <c r="C246" s="1360">
        <f>SUMIFS(Sheet1!S71_OriginalBudget,Sheet1!S71_SubMunicipalVoteNo,$AC:$AC,Sheet1!S71_ItemType,$AD:$AD)</f>
        <v>0</v>
      </c>
      <c r="D246" s="1356">
        <f>SUMIFS(Sheet1!S71_SpecialAdjustedBudget,Sheet1!S71_SubMunicipalVoteNo,$AC:$AC,Sheet1!S71_ItemType,$AD:$AD)</f>
        <v>0</v>
      </c>
      <c r="E246" s="1356"/>
      <c r="F246" s="1356"/>
      <c r="G246" s="1356"/>
      <c r="H246" s="1356"/>
      <c r="I246" s="1356">
        <f>SUMIFS(Sheet1!S71_AdjustmentAmount,Sheet1!S71_SubMunicipalVoteNo,$AC:$AC,Sheet1!S71_ItemType,$AD:$AD)</f>
        <v>0</v>
      </c>
      <c r="J246" s="75">
        <f t="shared" si="35"/>
        <v>0</v>
      </c>
      <c r="K246" s="75">
        <f t="shared" si="36"/>
        <v>0</v>
      </c>
      <c r="L246" s="1356">
        <f>SUMIFS(Sheet1!S71_OY1AdjustedBudget,Sheet1!S71_SubMunicipalVoteNo,$AC:$AC,Sheet1!S71_ItemType,$AD:$AD)</f>
        <v>0</v>
      </c>
      <c r="M246" s="1357">
        <f>SUMIFS(Sheet1!S71_OY2AdjustedBudget,Sheet1!S71_SubMunicipalVoteNo,$AC:$AC,Sheet1!S71_ItemType,$AD:$AD)</f>
        <v>0</v>
      </c>
      <c r="AC246" s="1345">
        <v>75</v>
      </c>
      <c r="AD246" s="1345" t="s">
        <v>1812</v>
      </c>
    </row>
    <row r="247" spans="1:30" ht="13.5" x14ac:dyDescent="0.25">
      <c r="A247" s="748" t="str">
        <f>IF(RIGHT('Org structure'!D74,18)&lt;&gt;"[Name of sub-vote]",'Org structure'!D74,"")</f>
        <v/>
      </c>
      <c r="B247" s="899"/>
      <c r="C247" s="1360">
        <f>SUMIFS(Sheet1!S71_OriginalBudget,Sheet1!S71_SubMunicipalVoteNo,$AC:$AC,Sheet1!S71_ItemType,$AD:$AD)</f>
        <v>0</v>
      </c>
      <c r="D247" s="1356">
        <f>SUMIFS(Sheet1!S71_SpecialAdjustedBudget,Sheet1!S71_SubMunicipalVoteNo,$AC:$AC,Sheet1!S71_ItemType,$AD:$AD)</f>
        <v>0</v>
      </c>
      <c r="E247" s="1356"/>
      <c r="F247" s="1356"/>
      <c r="G247" s="1356"/>
      <c r="H247" s="1356"/>
      <c r="I247" s="1356">
        <f>SUMIFS(Sheet1!S71_AdjustmentAmount,Sheet1!S71_SubMunicipalVoteNo,$AC:$AC,Sheet1!S71_ItemType,$AD:$AD)</f>
        <v>0</v>
      </c>
      <c r="J247" s="75">
        <f t="shared" si="35"/>
        <v>0</v>
      </c>
      <c r="K247" s="75">
        <f t="shared" si="36"/>
        <v>0</v>
      </c>
      <c r="L247" s="1356">
        <f>SUMIFS(Sheet1!S71_OY1AdjustedBudget,Sheet1!S71_SubMunicipalVoteNo,$AC:$AC,Sheet1!S71_ItemType,$AD:$AD)</f>
        <v>0</v>
      </c>
      <c r="M247" s="1357">
        <f>SUMIFS(Sheet1!S71_OY2AdjustedBudget,Sheet1!S71_SubMunicipalVoteNo,$AC:$AC,Sheet1!S71_ItemType,$AD:$AD)</f>
        <v>0</v>
      </c>
      <c r="AC247" s="1345">
        <v>76</v>
      </c>
      <c r="AD247" s="1345" t="s">
        <v>1812</v>
      </c>
    </row>
    <row r="248" spans="1:30" ht="13.5" x14ac:dyDescent="0.25">
      <c r="A248" s="748" t="str">
        <f>IF(RIGHT('Org structure'!D75,18)&lt;&gt;"[Name of sub-vote]",'Org structure'!D75,"")</f>
        <v/>
      </c>
      <c r="B248" s="899"/>
      <c r="C248" s="1360">
        <f>SUMIFS(Sheet1!S71_OriginalBudget,Sheet1!S71_SubMunicipalVoteNo,$AC:$AC,Sheet1!S71_ItemType,$AD:$AD)</f>
        <v>0</v>
      </c>
      <c r="D248" s="1356">
        <f>SUMIFS(Sheet1!S71_SpecialAdjustedBudget,Sheet1!S71_SubMunicipalVoteNo,$AC:$AC,Sheet1!S71_ItemType,$AD:$AD)</f>
        <v>0</v>
      </c>
      <c r="E248" s="1356"/>
      <c r="F248" s="1356"/>
      <c r="G248" s="1356"/>
      <c r="H248" s="1356"/>
      <c r="I248" s="1356">
        <f>SUMIFS(Sheet1!S71_AdjustmentAmount,Sheet1!S71_SubMunicipalVoteNo,$AC:$AC,Sheet1!S71_ItemType,$AD:$AD)</f>
        <v>0</v>
      </c>
      <c r="J248" s="75">
        <f t="shared" si="35"/>
        <v>0</v>
      </c>
      <c r="K248" s="75">
        <f t="shared" si="36"/>
        <v>0</v>
      </c>
      <c r="L248" s="1356">
        <f>SUMIFS(Sheet1!S71_OY1AdjustedBudget,Sheet1!S71_SubMunicipalVoteNo,$AC:$AC,Sheet1!S71_ItemType,$AD:$AD)</f>
        <v>0</v>
      </c>
      <c r="M248" s="1357">
        <f>SUMIFS(Sheet1!S71_OY2AdjustedBudget,Sheet1!S71_SubMunicipalVoteNo,$AC:$AC,Sheet1!S71_ItemType,$AD:$AD)</f>
        <v>0</v>
      </c>
      <c r="AC248" s="1345">
        <v>77</v>
      </c>
      <c r="AD248" s="1345" t="s">
        <v>1812</v>
      </c>
    </row>
    <row r="249" spans="1:30" ht="13.5" x14ac:dyDescent="0.25">
      <c r="A249" s="748" t="str">
        <f>IF(RIGHT('Org structure'!D76,18)&lt;&gt;"[Name of sub-vote]",'Org structure'!D76,"")</f>
        <v/>
      </c>
      <c r="B249" s="899"/>
      <c r="C249" s="1360">
        <f>SUMIFS(Sheet1!S71_OriginalBudget,Sheet1!S71_SubMunicipalVoteNo,$AC:$AC,Sheet1!S71_ItemType,$AD:$AD)</f>
        <v>0</v>
      </c>
      <c r="D249" s="1356">
        <f>SUMIFS(Sheet1!S71_SpecialAdjustedBudget,Sheet1!S71_SubMunicipalVoteNo,$AC:$AC,Sheet1!S71_ItemType,$AD:$AD)</f>
        <v>0</v>
      </c>
      <c r="E249" s="1356"/>
      <c r="F249" s="1356"/>
      <c r="G249" s="1356"/>
      <c r="H249" s="1356"/>
      <c r="I249" s="1356">
        <f>SUMIFS(Sheet1!S71_AdjustmentAmount,Sheet1!S71_SubMunicipalVoteNo,$AC:$AC,Sheet1!S71_ItemType,$AD:$AD)</f>
        <v>0</v>
      </c>
      <c r="J249" s="75">
        <f t="shared" si="35"/>
        <v>0</v>
      </c>
      <c r="K249" s="75">
        <f t="shared" si="36"/>
        <v>0</v>
      </c>
      <c r="L249" s="1356">
        <f>SUMIFS(Sheet1!S71_OY1AdjustedBudget,Sheet1!S71_SubMunicipalVoteNo,$AC:$AC,Sheet1!S71_ItemType,$AD:$AD)</f>
        <v>0</v>
      </c>
      <c r="M249" s="1357">
        <f>SUMIFS(Sheet1!S71_OY2AdjustedBudget,Sheet1!S71_SubMunicipalVoteNo,$AC:$AC,Sheet1!S71_ItemType,$AD:$AD)</f>
        <v>0</v>
      </c>
      <c r="AC249" s="1345">
        <v>78</v>
      </c>
      <c r="AD249" s="1345" t="s">
        <v>1812</v>
      </c>
    </row>
    <row r="250" spans="1:30" ht="13.5" x14ac:dyDescent="0.25">
      <c r="A250" s="748" t="str">
        <f>IF(RIGHT('Org structure'!D77,18)&lt;&gt;"[Name of sub-vote]",'Org structure'!D77,"")</f>
        <v/>
      </c>
      <c r="B250" s="899"/>
      <c r="C250" s="1360">
        <f>SUMIFS(Sheet1!S71_OriginalBudget,Sheet1!S71_SubMunicipalVoteNo,$AC:$AC,Sheet1!S71_ItemType,$AD:$AD)</f>
        <v>0</v>
      </c>
      <c r="D250" s="1356">
        <f>SUMIFS(Sheet1!S71_SpecialAdjustedBudget,Sheet1!S71_SubMunicipalVoteNo,$AC:$AC,Sheet1!S71_ItemType,$AD:$AD)</f>
        <v>0</v>
      </c>
      <c r="E250" s="1356"/>
      <c r="F250" s="1356"/>
      <c r="G250" s="1356"/>
      <c r="H250" s="1356"/>
      <c r="I250" s="1356">
        <f>SUMIFS(Sheet1!S71_AdjustmentAmount,Sheet1!S71_SubMunicipalVoteNo,$AC:$AC,Sheet1!S71_ItemType,$AD:$AD)</f>
        <v>0</v>
      </c>
      <c r="J250" s="75">
        <f t="shared" si="35"/>
        <v>0</v>
      </c>
      <c r="K250" s="75">
        <f t="shared" si="36"/>
        <v>0</v>
      </c>
      <c r="L250" s="1356">
        <f>SUMIFS(Sheet1!S71_OY1AdjustedBudget,Sheet1!S71_SubMunicipalVoteNo,$AC:$AC,Sheet1!S71_ItemType,$AD:$AD)</f>
        <v>0</v>
      </c>
      <c r="M250" s="1357">
        <f>SUMIFS(Sheet1!S71_OY2AdjustedBudget,Sheet1!S71_SubMunicipalVoteNo,$AC:$AC,Sheet1!S71_ItemType,$AD:$AD)</f>
        <v>0</v>
      </c>
      <c r="AC250" s="1345">
        <v>79</v>
      </c>
      <c r="AD250" s="1345" t="s">
        <v>1812</v>
      </c>
    </row>
    <row r="251" spans="1:30" ht="13.5" x14ac:dyDescent="0.25">
      <c r="A251" s="748" t="str">
        <f>IF(RIGHT('Org structure'!D78,18)&lt;&gt;"[Name of sub-vote]",'Org structure'!D78,"")</f>
        <v/>
      </c>
      <c r="B251" s="899"/>
      <c r="C251" s="1360">
        <f>SUMIFS(Sheet1!S71_OriginalBudget,Sheet1!S71_SubMunicipalVoteNo,$AC:$AC,Sheet1!S71_ItemType,$AD:$AD)</f>
        <v>0</v>
      </c>
      <c r="D251" s="1356">
        <f>SUMIFS(Sheet1!S71_SpecialAdjustedBudget,Sheet1!S71_SubMunicipalVoteNo,$AC:$AC,Sheet1!S71_ItemType,$AD:$AD)</f>
        <v>0</v>
      </c>
      <c r="E251" s="1356"/>
      <c r="F251" s="1356"/>
      <c r="G251" s="1356"/>
      <c r="H251" s="1356"/>
      <c r="I251" s="1356">
        <f>SUMIFS(Sheet1!S71_AdjustmentAmount,Sheet1!S71_SubMunicipalVoteNo,$AC:$AC,Sheet1!S71_ItemType,$AD:$AD)</f>
        <v>0</v>
      </c>
      <c r="J251" s="75">
        <f t="shared" si="35"/>
        <v>0</v>
      </c>
      <c r="K251" s="75">
        <f t="shared" si="36"/>
        <v>0</v>
      </c>
      <c r="L251" s="1356">
        <f>SUMIFS(Sheet1!S71_OY1AdjustedBudget,Sheet1!S71_SubMunicipalVoteNo,$AC:$AC,Sheet1!S71_ItemType,$AD:$AD)</f>
        <v>0</v>
      </c>
      <c r="M251" s="1357">
        <f>SUMIFS(Sheet1!S71_OY2AdjustedBudget,Sheet1!S71_SubMunicipalVoteNo,$AC:$AC,Sheet1!S71_ItemType,$AD:$AD)</f>
        <v>0</v>
      </c>
      <c r="AC251" s="1345">
        <v>710</v>
      </c>
      <c r="AD251" s="1345" t="s">
        <v>1812</v>
      </c>
    </row>
    <row r="252" spans="1:30" ht="13.5" x14ac:dyDescent="0.25">
      <c r="A252" s="745" t="str">
        <f>A84</f>
        <v>Vote 8 - Planning and Development</v>
      </c>
      <c r="B252" s="899"/>
      <c r="C252" s="733">
        <f t="shared" ref="C252:I252" si="38">SUM(C253:C262)</f>
        <v>580000</v>
      </c>
      <c r="D252" s="732">
        <f t="shared" si="38"/>
        <v>580000</v>
      </c>
      <c r="E252" s="732">
        <f t="shared" si="38"/>
        <v>0</v>
      </c>
      <c r="F252" s="732">
        <f t="shared" si="38"/>
        <v>0</v>
      </c>
      <c r="G252" s="732">
        <f t="shared" si="38"/>
        <v>0</v>
      </c>
      <c r="H252" s="732">
        <f t="shared" si="38"/>
        <v>0</v>
      </c>
      <c r="I252" s="732">
        <f t="shared" si="38"/>
        <v>-149780</v>
      </c>
      <c r="J252" s="75">
        <f t="shared" si="35"/>
        <v>-149780</v>
      </c>
      <c r="K252" s="75">
        <f t="shared" si="36"/>
        <v>430220</v>
      </c>
      <c r="L252" s="732">
        <f>SUM(L253:L262)</f>
        <v>632400</v>
      </c>
      <c r="M252" s="759">
        <f>SUM(M253:M262)</f>
        <v>689704</v>
      </c>
    </row>
    <row r="253" spans="1:30" ht="13.5" x14ac:dyDescent="0.25">
      <c r="A253" s="748" t="str">
        <f>IF(RIGHT('Org structure'!D80,18)&lt;&gt;"[Name of sub-vote]",'Org structure'!D80,"")</f>
        <v>8.1 - Town Planning, Building Regulations and Enforcement, and City Engineer</v>
      </c>
      <c r="B253" s="899"/>
      <c r="C253" s="1360">
        <f>SUMIFS(Sheet1!S71_OriginalBudget,Sheet1!S71_SubMunicipalVoteNo,$AC:$AC,Sheet1!S71_ItemType,$AD:$AD)</f>
        <v>440000</v>
      </c>
      <c r="D253" s="1356">
        <f>SUMIFS(Sheet1!S71_SpecialAdjustedBudget,Sheet1!S71_SubMunicipalVoteNo,$AC:$AC,Sheet1!S71_ItemType,$AD:$AD)</f>
        <v>440000</v>
      </c>
      <c r="E253" s="1356"/>
      <c r="F253" s="1356"/>
      <c r="G253" s="1356"/>
      <c r="H253" s="1356"/>
      <c r="I253" s="1356">
        <f>SUMIFS(Sheet1!S71_AdjustmentAmount,Sheet1!S71_SubMunicipalVoteNo,$AC:$AC,Sheet1!S71_ItemType,$AD:$AD)</f>
        <v>-140000</v>
      </c>
      <c r="J253" s="75">
        <f t="shared" si="35"/>
        <v>-140000</v>
      </c>
      <c r="K253" s="75">
        <f t="shared" si="36"/>
        <v>300000</v>
      </c>
      <c r="L253" s="1356">
        <f>SUMIFS(Sheet1!S71_OY1AdjustedBudget,Sheet1!S71_SubMunicipalVoteNo,$AC:$AC,Sheet1!S71_ItemType,$AD:$AD)</f>
        <v>484000</v>
      </c>
      <c r="M253" s="1357">
        <f>SUMIFS(Sheet1!S71_OY2AdjustedBudget,Sheet1!S71_SubMunicipalVoteNo,$AC:$AC,Sheet1!S71_ItemType,$AD:$AD)</f>
        <v>532400</v>
      </c>
      <c r="AC253" s="1345">
        <v>81</v>
      </c>
      <c r="AD253" s="1345" t="s">
        <v>1812</v>
      </c>
    </row>
    <row r="254" spans="1:30" ht="13.5" x14ac:dyDescent="0.25">
      <c r="A254" s="748" t="str">
        <f>IF(RIGHT('Org structure'!D81,18)&lt;&gt;"[Name of sub-vote]",'Org structure'!D81,"")</f>
        <v>8.2 - Development Facilitation</v>
      </c>
      <c r="B254" s="899"/>
      <c r="C254" s="1360">
        <f>SUMIFS(Sheet1!S71_OriginalBudget,Sheet1!S71_SubMunicipalVoteNo,$AC:$AC,Sheet1!S71_ItemType,$AD:$AD)</f>
        <v>0</v>
      </c>
      <c r="D254" s="1356">
        <f>SUMIFS(Sheet1!S71_SpecialAdjustedBudget,Sheet1!S71_SubMunicipalVoteNo,$AC:$AC,Sheet1!S71_ItemType,$AD:$AD)</f>
        <v>0</v>
      </c>
      <c r="E254" s="1356"/>
      <c r="F254" s="1356"/>
      <c r="G254" s="1356"/>
      <c r="H254" s="1356"/>
      <c r="I254" s="1356">
        <f>SUMIFS(Sheet1!S71_AdjustmentAmount,Sheet1!S71_SubMunicipalVoteNo,$AC:$AC,Sheet1!S71_ItemType,$AD:$AD)</f>
        <v>0</v>
      </c>
      <c r="J254" s="75">
        <f t="shared" si="35"/>
        <v>0</v>
      </c>
      <c r="K254" s="75">
        <f t="shared" si="36"/>
        <v>0</v>
      </c>
      <c r="L254" s="1356">
        <f>SUMIFS(Sheet1!S71_OY1AdjustedBudget,Sheet1!S71_SubMunicipalVoteNo,$AC:$AC,Sheet1!S71_ItemType,$AD:$AD)</f>
        <v>0</v>
      </c>
      <c r="M254" s="1357">
        <f>SUMIFS(Sheet1!S71_OY2AdjustedBudget,Sheet1!S71_SubMunicipalVoteNo,$AC:$AC,Sheet1!S71_ItemType,$AD:$AD)</f>
        <v>0</v>
      </c>
      <c r="AC254" s="1345">
        <v>82</v>
      </c>
      <c r="AD254" s="1345" t="s">
        <v>1812</v>
      </c>
    </row>
    <row r="255" spans="1:30" ht="13.5" x14ac:dyDescent="0.25">
      <c r="A255" s="748" t="str">
        <f>IF(RIGHT('Org structure'!D82,18)&lt;&gt;"[Name of sub-vote]",'Org structure'!D82,"")</f>
        <v>8.3 - Economic Development/Planning</v>
      </c>
      <c r="B255" s="899"/>
      <c r="C255" s="1360">
        <f>SUMIFS(Sheet1!S71_OriginalBudget,Sheet1!S71_SubMunicipalVoteNo,$AC:$AC,Sheet1!S71_ItemType,$AD:$AD)</f>
        <v>140000</v>
      </c>
      <c r="D255" s="1356">
        <f>SUMIFS(Sheet1!S71_SpecialAdjustedBudget,Sheet1!S71_SubMunicipalVoteNo,$AC:$AC,Sheet1!S71_ItemType,$AD:$AD)</f>
        <v>140000</v>
      </c>
      <c r="E255" s="1356"/>
      <c r="F255" s="1356"/>
      <c r="G255" s="1356"/>
      <c r="H255" s="1356"/>
      <c r="I255" s="1356">
        <f>SUMIFS(Sheet1!S71_AdjustmentAmount,Sheet1!S71_SubMunicipalVoteNo,$AC:$AC,Sheet1!S71_ItemType,$AD:$AD)</f>
        <v>-9780</v>
      </c>
      <c r="J255" s="75">
        <f t="shared" si="35"/>
        <v>-9780</v>
      </c>
      <c r="K255" s="75">
        <f t="shared" si="36"/>
        <v>130220</v>
      </c>
      <c r="L255" s="1356">
        <f>SUMIFS(Sheet1!S71_OY1AdjustedBudget,Sheet1!S71_SubMunicipalVoteNo,$AC:$AC,Sheet1!S71_ItemType,$AD:$AD)</f>
        <v>148400</v>
      </c>
      <c r="M255" s="1357">
        <f>SUMIFS(Sheet1!S71_OY2AdjustedBudget,Sheet1!S71_SubMunicipalVoteNo,$AC:$AC,Sheet1!S71_ItemType,$AD:$AD)</f>
        <v>157304</v>
      </c>
      <c r="AC255" s="1345">
        <v>83</v>
      </c>
      <c r="AD255" s="1345" t="s">
        <v>1812</v>
      </c>
    </row>
    <row r="256" spans="1:30" ht="13.5" x14ac:dyDescent="0.25">
      <c r="A256" s="748" t="str">
        <f>IF(RIGHT('Org structure'!D83,18)&lt;&gt;"[Name of sub-vote]",'Org structure'!D83,"")</f>
        <v>8.4 - Regional Planning and Development</v>
      </c>
      <c r="B256" s="899"/>
      <c r="C256" s="1360">
        <f>SUMIFS(Sheet1!S71_OriginalBudget,Sheet1!S71_SubMunicipalVoteNo,$AC:$AC,Sheet1!S71_ItemType,$AD:$AD)</f>
        <v>0</v>
      </c>
      <c r="D256" s="1356">
        <f>SUMIFS(Sheet1!S71_SpecialAdjustedBudget,Sheet1!S71_SubMunicipalVoteNo,$AC:$AC,Sheet1!S71_ItemType,$AD:$AD)</f>
        <v>0</v>
      </c>
      <c r="E256" s="1356"/>
      <c r="F256" s="1356"/>
      <c r="G256" s="1356"/>
      <c r="H256" s="1356"/>
      <c r="I256" s="1356">
        <f>SUMIFS(Sheet1!S71_AdjustmentAmount,Sheet1!S71_SubMunicipalVoteNo,$AC:$AC,Sheet1!S71_ItemType,$AD:$AD)</f>
        <v>0</v>
      </c>
      <c r="J256" s="75">
        <f t="shared" si="35"/>
        <v>0</v>
      </c>
      <c r="K256" s="75">
        <f t="shared" si="36"/>
        <v>0</v>
      </c>
      <c r="L256" s="1356">
        <f>SUMIFS(Sheet1!S71_OY1AdjustedBudget,Sheet1!S71_SubMunicipalVoteNo,$AC:$AC,Sheet1!S71_ItemType,$AD:$AD)</f>
        <v>0</v>
      </c>
      <c r="M256" s="1357">
        <f>SUMIFS(Sheet1!S71_OY2AdjustedBudget,Sheet1!S71_SubMunicipalVoteNo,$AC:$AC,Sheet1!S71_ItemType,$AD:$AD)</f>
        <v>0</v>
      </c>
      <c r="AC256" s="1345">
        <v>84</v>
      </c>
      <c r="AD256" s="1345" t="s">
        <v>1812</v>
      </c>
    </row>
    <row r="257" spans="1:30" ht="13.5" x14ac:dyDescent="0.25">
      <c r="A257" s="748" t="str">
        <f>IF(RIGHT('Org structure'!D84,18)&lt;&gt;"[Name of sub-vote]",'Org structure'!D84,"")</f>
        <v>8.5 - Corporate Wide Strategic Planning (IDPs, LEDs)</v>
      </c>
      <c r="B257" s="899"/>
      <c r="C257" s="1360">
        <f>SUMIFS(Sheet1!S71_OriginalBudget,Sheet1!S71_SubMunicipalVoteNo,$AC:$AC,Sheet1!S71_ItemType,$AD:$AD)</f>
        <v>0</v>
      </c>
      <c r="D257" s="1356">
        <f>SUMIFS(Sheet1!S71_SpecialAdjustedBudget,Sheet1!S71_SubMunicipalVoteNo,$AC:$AC,Sheet1!S71_ItemType,$AD:$AD)</f>
        <v>0</v>
      </c>
      <c r="E257" s="1356"/>
      <c r="F257" s="1356"/>
      <c r="G257" s="1356"/>
      <c r="H257" s="1356"/>
      <c r="I257" s="1356">
        <f>SUMIFS(Sheet1!S71_AdjustmentAmount,Sheet1!S71_SubMunicipalVoteNo,$AC:$AC,Sheet1!S71_ItemType,$AD:$AD)</f>
        <v>0</v>
      </c>
      <c r="J257" s="75">
        <f t="shared" si="35"/>
        <v>0</v>
      </c>
      <c r="K257" s="75">
        <f t="shared" si="36"/>
        <v>0</v>
      </c>
      <c r="L257" s="1356">
        <f>SUMIFS(Sheet1!S71_OY1AdjustedBudget,Sheet1!S71_SubMunicipalVoteNo,$AC:$AC,Sheet1!S71_ItemType,$AD:$AD)</f>
        <v>0</v>
      </c>
      <c r="M257" s="1357">
        <f>SUMIFS(Sheet1!S71_OY2AdjustedBudget,Sheet1!S71_SubMunicipalVoteNo,$AC:$AC,Sheet1!S71_ItemType,$AD:$AD)</f>
        <v>0</v>
      </c>
      <c r="AC257" s="1345">
        <v>85</v>
      </c>
      <c r="AD257" s="1345" t="s">
        <v>1812</v>
      </c>
    </row>
    <row r="258" spans="1:30" ht="13.5" x14ac:dyDescent="0.25">
      <c r="A258" s="748" t="str">
        <f>IF(RIGHT('Org structure'!D85,18)&lt;&gt;"[Name of sub-vote]",'Org structure'!D85,"")</f>
        <v>8.6 - Project Management Unit</v>
      </c>
      <c r="B258" s="899"/>
      <c r="C258" s="1360">
        <f>SUMIFS(Sheet1!S71_OriginalBudget,Sheet1!S71_SubMunicipalVoteNo,$AC:$AC,Sheet1!S71_ItemType,$AD:$AD)</f>
        <v>0</v>
      </c>
      <c r="D258" s="1356">
        <f>SUMIFS(Sheet1!S71_SpecialAdjustedBudget,Sheet1!S71_SubMunicipalVoteNo,$AC:$AC,Sheet1!S71_ItemType,$AD:$AD)</f>
        <v>0</v>
      </c>
      <c r="E258" s="1356"/>
      <c r="F258" s="1356"/>
      <c r="G258" s="1356"/>
      <c r="H258" s="1356"/>
      <c r="I258" s="1356">
        <f>SUMIFS(Sheet1!S71_AdjustmentAmount,Sheet1!S71_SubMunicipalVoteNo,$AC:$AC,Sheet1!S71_ItemType,$AD:$AD)</f>
        <v>0</v>
      </c>
      <c r="J258" s="75">
        <f t="shared" si="35"/>
        <v>0</v>
      </c>
      <c r="K258" s="75">
        <f t="shared" si="36"/>
        <v>0</v>
      </c>
      <c r="L258" s="1356">
        <f>SUMIFS(Sheet1!S71_OY1AdjustedBudget,Sheet1!S71_SubMunicipalVoteNo,$AC:$AC,Sheet1!S71_ItemType,$AD:$AD)</f>
        <v>0</v>
      </c>
      <c r="M258" s="1357">
        <f>SUMIFS(Sheet1!S71_OY2AdjustedBudget,Sheet1!S71_SubMunicipalVoteNo,$AC:$AC,Sheet1!S71_ItemType,$AD:$AD)</f>
        <v>0</v>
      </c>
      <c r="AC258" s="1345">
        <v>86</v>
      </c>
      <c r="AD258" s="1345" t="s">
        <v>1812</v>
      </c>
    </row>
    <row r="259" spans="1:30" ht="13.5" x14ac:dyDescent="0.25">
      <c r="A259" s="748" t="str">
        <f>IF(RIGHT('Org structure'!D86,18)&lt;&gt;"[Name of sub-vote]",'Org structure'!D86,"")</f>
        <v/>
      </c>
      <c r="B259" s="899"/>
      <c r="C259" s="1360">
        <f>SUMIFS(Sheet1!S71_OriginalBudget,Sheet1!S71_SubMunicipalVoteNo,$AC:$AC,Sheet1!S71_ItemType,$AD:$AD)</f>
        <v>0</v>
      </c>
      <c r="D259" s="1356">
        <f>SUMIFS(Sheet1!S71_SpecialAdjustedBudget,Sheet1!S71_SubMunicipalVoteNo,$AC:$AC,Sheet1!S71_ItemType,$AD:$AD)</f>
        <v>0</v>
      </c>
      <c r="E259" s="1356"/>
      <c r="F259" s="1356"/>
      <c r="G259" s="1356"/>
      <c r="H259" s="1356"/>
      <c r="I259" s="1356">
        <f>SUMIFS(Sheet1!S71_AdjustmentAmount,Sheet1!S71_SubMunicipalVoteNo,$AC:$AC,Sheet1!S71_ItemType,$AD:$AD)</f>
        <v>0</v>
      </c>
      <c r="J259" s="75">
        <f t="shared" si="35"/>
        <v>0</v>
      </c>
      <c r="K259" s="75">
        <f t="shared" si="36"/>
        <v>0</v>
      </c>
      <c r="L259" s="1356">
        <f>SUMIFS(Sheet1!S71_OY1AdjustedBudget,Sheet1!S71_SubMunicipalVoteNo,$AC:$AC,Sheet1!S71_ItemType,$AD:$AD)</f>
        <v>0</v>
      </c>
      <c r="M259" s="1357">
        <f>SUMIFS(Sheet1!S71_OY2AdjustedBudget,Sheet1!S71_SubMunicipalVoteNo,$AC:$AC,Sheet1!S71_ItemType,$AD:$AD)</f>
        <v>0</v>
      </c>
      <c r="AC259" s="1345">
        <v>87</v>
      </c>
      <c r="AD259" s="1345" t="s">
        <v>1812</v>
      </c>
    </row>
    <row r="260" spans="1:30" ht="13.5" x14ac:dyDescent="0.25">
      <c r="A260" s="748" t="str">
        <f>IF(RIGHT('Org structure'!D87,18)&lt;&gt;"[Name of sub-vote]",'Org structure'!D87,"")</f>
        <v/>
      </c>
      <c r="B260" s="899"/>
      <c r="C260" s="1360">
        <f>SUMIFS(Sheet1!S71_OriginalBudget,Sheet1!S71_SubMunicipalVoteNo,$AC:$AC,Sheet1!S71_ItemType,$AD:$AD)</f>
        <v>0</v>
      </c>
      <c r="D260" s="1356">
        <f>SUMIFS(Sheet1!S71_SpecialAdjustedBudget,Sheet1!S71_SubMunicipalVoteNo,$AC:$AC,Sheet1!S71_ItemType,$AD:$AD)</f>
        <v>0</v>
      </c>
      <c r="E260" s="1356"/>
      <c r="F260" s="1356"/>
      <c r="G260" s="1356"/>
      <c r="H260" s="1356"/>
      <c r="I260" s="1356">
        <f>SUMIFS(Sheet1!S71_AdjustmentAmount,Sheet1!S71_SubMunicipalVoteNo,$AC:$AC,Sheet1!S71_ItemType,$AD:$AD)</f>
        <v>0</v>
      </c>
      <c r="J260" s="75">
        <f t="shared" si="35"/>
        <v>0</v>
      </c>
      <c r="K260" s="75">
        <f t="shared" si="36"/>
        <v>0</v>
      </c>
      <c r="L260" s="1356">
        <f>SUMIFS(Sheet1!S71_OY1AdjustedBudget,Sheet1!S71_SubMunicipalVoteNo,$AC:$AC,Sheet1!S71_ItemType,$AD:$AD)</f>
        <v>0</v>
      </c>
      <c r="M260" s="1357">
        <f>SUMIFS(Sheet1!S71_OY2AdjustedBudget,Sheet1!S71_SubMunicipalVoteNo,$AC:$AC,Sheet1!S71_ItemType,$AD:$AD)</f>
        <v>0</v>
      </c>
      <c r="AC260" s="1345">
        <v>88</v>
      </c>
      <c r="AD260" s="1345" t="s">
        <v>1812</v>
      </c>
    </row>
    <row r="261" spans="1:30" ht="13.5" x14ac:dyDescent="0.25">
      <c r="A261" s="748" t="str">
        <f>IF(RIGHT('Org structure'!D88,18)&lt;&gt;"[Name of sub-vote]",'Org structure'!D88,"")</f>
        <v/>
      </c>
      <c r="B261" s="899"/>
      <c r="C261" s="1360">
        <f>SUMIFS(Sheet1!S71_OriginalBudget,Sheet1!S71_SubMunicipalVoteNo,$AC:$AC,Sheet1!S71_ItemType,$AD:$AD)</f>
        <v>0</v>
      </c>
      <c r="D261" s="1356">
        <f>SUMIFS(Sheet1!S71_SpecialAdjustedBudget,Sheet1!S71_SubMunicipalVoteNo,$AC:$AC,Sheet1!S71_ItemType,$AD:$AD)</f>
        <v>0</v>
      </c>
      <c r="E261" s="1356"/>
      <c r="F261" s="1356"/>
      <c r="G261" s="1356"/>
      <c r="H261" s="1356"/>
      <c r="I261" s="1356">
        <f>SUMIFS(Sheet1!S71_AdjustmentAmount,Sheet1!S71_SubMunicipalVoteNo,$AC:$AC,Sheet1!S71_ItemType,$AD:$AD)</f>
        <v>0</v>
      </c>
      <c r="J261" s="75">
        <f t="shared" si="35"/>
        <v>0</v>
      </c>
      <c r="K261" s="75">
        <f t="shared" si="36"/>
        <v>0</v>
      </c>
      <c r="L261" s="1356">
        <f>SUMIFS(Sheet1!S71_OY1AdjustedBudget,Sheet1!S71_SubMunicipalVoteNo,$AC:$AC,Sheet1!S71_ItemType,$AD:$AD)</f>
        <v>0</v>
      </c>
      <c r="M261" s="1357">
        <f>SUMIFS(Sheet1!S71_OY2AdjustedBudget,Sheet1!S71_SubMunicipalVoteNo,$AC:$AC,Sheet1!S71_ItemType,$AD:$AD)</f>
        <v>0</v>
      </c>
      <c r="AC261" s="1345">
        <v>89</v>
      </c>
      <c r="AD261" s="1345" t="s">
        <v>1812</v>
      </c>
    </row>
    <row r="262" spans="1:30" ht="13.5" x14ac:dyDescent="0.25">
      <c r="A262" s="748" t="str">
        <f>IF(RIGHT('Org structure'!D89,18)&lt;&gt;"[Name of sub-vote]",'Org structure'!D89,"")</f>
        <v/>
      </c>
      <c r="B262" s="899"/>
      <c r="C262" s="1360">
        <f>SUMIFS(Sheet1!S71_OriginalBudget,Sheet1!S71_SubMunicipalVoteNo,$AC:$AC,Sheet1!S71_ItemType,$AD:$AD)</f>
        <v>0</v>
      </c>
      <c r="D262" s="1356">
        <f>SUMIFS(Sheet1!S71_SpecialAdjustedBudget,Sheet1!S71_SubMunicipalVoteNo,$AC:$AC,Sheet1!S71_ItemType,$AD:$AD)</f>
        <v>0</v>
      </c>
      <c r="E262" s="1356"/>
      <c r="F262" s="1356"/>
      <c r="G262" s="1356"/>
      <c r="H262" s="1356"/>
      <c r="I262" s="1356">
        <f>SUMIFS(Sheet1!S71_AdjustmentAmount,Sheet1!S71_SubMunicipalVoteNo,$AC:$AC,Sheet1!S71_ItemType,$AD:$AD)</f>
        <v>0</v>
      </c>
      <c r="J262" s="75">
        <f t="shared" si="35"/>
        <v>0</v>
      </c>
      <c r="K262" s="75">
        <f t="shared" si="36"/>
        <v>0</v>
      </c>
      <c r="L262" s="1356">
        <f>SUMIFS(Sheet1!S71_OY1AdjustedBudget,Sheet1!S71_SubMunicipalVoteNo,$AC:$AC,Sheet1!S71_ItemType,$AD:$AD)</f>
        <v>0</v>
      </c>
      <c r="M262" s="1357">
        <f>SUMIFS(Sheet1!S71_OY2AdjustedBudget,Sheet1!S71_SubMunicipalVoteNo,$AC:$AC,Sheet1!S71_ItemType,$AD:$AD)</f>
        <v>0</v>
      </c>
      <c r="AC262" s="1345">
        <v>810</v>
      </c>
      <c r="AD262" s="1345" t="s">
        <v>1812</v>
      </c>
    </row>
    <row r="263" spans="1:30" ht="13.5" x14ac:dyDescent="0.25">
      <c r="A263" s="745" t="str">
        <f t="shared" ref="A263" si="39">A95</f>
        <v>Vote 9 - Sport and Recreation</v>
      </c>
      <c r="B263" s="899"/>
      <c r="C263" s="733">
        <f t="shared" ref="C263:I263" si="40">SUM(C264:C273)</f>
        <v>3300000</v>
      </c>
      <c r="D263" s="732">
        <f t="shared" si="40"/>
        <v>3300000</v>
      </c>
      <c r="E263" s="732">
        <f t="shared" si="40"/>
        <v>0</v>
      </c>
      <c r="F263" s="732">
        <f t="shared" si="40"/>
        <v>0</v>
      </c>
      <c r="G263" s="732">
        <f t="shared" si="40"/>
        <v>0</v>
      </c>
      <c r="H263" s="732">
        <f t="shared" si="40"/>
        <v>0</v>
      </c>
      <c r="I263" s="732">
        <f t="shared" si="40"/>
        <v>-942500</v>
      </c>
      <c r="J263" s="75">
        <f t="shared" si="35"/>
        <v>-942500</v>
      </c>
      <c r="K263" s="75">
        <f t="shared" si="36"/>
        <v>2357500</v>
      </c>
      <c r="L263" s="732">
        <f>SUM(L264:L273)</f>
        <v>3558000</v>
      </c>
      <c r="M263" s="759">
        <f>SUM(M264:M273)</f>
        <v>3837480</v>
      </c>
    </row>
    <row r="264" spans="1:30" ht="13.5" x14ac:dyDescent="0.25">
      <c r="A264" s="748" t="str">
        <f>IF(RIGHT('Org structure'!D91,18)&lt;&gt;"[Name of sub-vote]",'Org structure'!D91,"")</f>
        <v>9.1 - Sports Grounds and Stadiums</v>
      </c>
      <c r="B264" s="899"/>
      <c r="C264" s="1360">
        <f>SUMIFS(Sheet1!S71_OriginalBudget,Sheet1!S71_SubMunicipalVoteNo,$AC:$AC,Sheet1!S71_ItemType,$AD:$AD)</f>
        <v>3300000</v>
      </c>
      <c r="D264" s="1356">
        <f>SUMIFS(Sheet1!S71_SpecialAdjustedBudget,Sheet1!S71_SubMunicipalVoteNo,$AC:$AC,Sheet1!S71_ItemType,$AD:$AD)</f>
        <v>3300000</v>
      </c>
      <c r="E264" s="1356"/>
      <c r="F264" s="1356"/>
      <c r="G264" s="1356"/>
      <c r="H264" s="1356"/>
      <c r="I264" s="1356">
        <f>SUMIFS(Sheet1!S71_AdjustmentAmount,Sheet1!S71_SubMunicipalVoteNo,$AC:$AC,Sheet1!S71_ItemType,$AD:$AD)</f>
        <v>-942500</v>
      </c>
      <c r="J264" s="75">
        <f t="shared" si="35"/>
        <v>-942500</v>
      </c>
      <c r="K264" s="75">
        <f t="shared" si="36"/>
        <v>2357500</v>
      </c>
      <c r="L264" s="1356">
        <f>SUMIFS(Sheet1!S71_OY1AdjustedBudget,Sheet1!S71_SubMunicipalVoteNo,$AC:$AC,Sheet1!S71_ItemType,$AD:$AD)</f>
        <v>3558000</v>
      </c>
      <c r="M264" s="1357">
        <f>SUMIFS(Sheet1!S71_OY2AdjustedBudget,Sheet1!S71_SubMunicipalVoteNo,$AC:$AC,Sheet1!S71_ItemType,$AD:$AD)</f>
        <v>3837480</v>
      </c>
      <c r="AC264" s="1345">
        <v>91</v>
      </c>
      <c r="AD264" s="1345" t="s">
        <v>1812</v>
      </c>
    </row>
    <row r="265" spans="1:30" ht="13.5" x14ac:dyDescent="0.25">
      <c r="A265" s="748" t="str">
        <f>IF(RIGHT('Org structure'!D92,18)&lt;&gt;"[Name of sub-vote]",'Org structure'!D92,"")</f>
        <v/>
      </c>
      <c r="B265" s="899"/>
      <c r="C265" s="1360">
        <f>SUMIFS(Sheet1!S71_OriginalBudget,Sheet1!S71_SubMunicipalVoteNo,$AC:$AC,Sheet1!S71_ItemType,$AD:$AD)</f>
        <v>0</v>
      </c>
      <c r="D265" s="1356">
        <f>SUMIFS(Sheet1!S71_SpecialAdjustedBudget,Sheet1!S71_SubMunicipalVoteNo,$AC:$AC,Sheet1!S71_ItemType,$AD:$AD)</f>
        <v>0</v>
      </c>
      <c r="E265" s="1356"/>
      <c r="F265" s="1356"/>
      <c r="G265" s="1356"/>
      <c r="H265" s="1356"/>
      <c r="I265" s="1356">
        <f>SUMIFS(Sheet1!S71_AdjustmentAmount,Sheet1!S71_SubMunicipalVoteNo,$AC:$AC,Sheet1!S71_ItemType,$AD:$AD)</f>
        <v>0</v>
      </c>
      <c r="J265" s="75">
        <f t="shared" si="35"/>
        <v>0</v>
      </c>
      <c r="K265" s="75">
        <f t="shared" si="36"/>
        <v>0</v>
      </c>
      <c r="L265" s="1356">
        <f>SUMIFS(Sheet1!S71_OY1AdjustedBudget,Sheet1!S71_SubMunicipalVoteNo,$AC:$AC,Sheet1!S71_ItemType,$AD:$AD)</f>
        <v>0</v>
      </c>
      <c r="M265" s="1357">
        <f>SUMIFS(Sheet1!S71_OY2AdjustedBudget,Sheet1!S71_SubMunicipalVoteNo,$AC:$AC,Sheet1!S71_ItemType,$AD:$AD)</f>
        <v>0</v>
      </c>
      <c r="AC265" s="1345">
        <v>92</v>
      </c>
      <c r="AD265" s="1345" t="s">
        <v>1812</v>
      </c>
    </row>
    <row r="266" spans="1:30" ht="13.5" x14ac:dyDescent="0.25">
      <c r="A266" s="748" t="str">
        <f>IF(RIGHT('Org structure'!D93,18)&lt;&gt;"[Name of sub-vote]",'Org structure'!D93,"")</f>
        <v/>
      </c>
      <c r="B266" s="899"/>
      <c r="C266" s="1360">
        <f>SUMIFS(Sheet1!S71_OriginalBudget,Sheet1!S71_SubMunicipalVoteNo,$AC:$AC,Sheet1!S71_ItemType,$AD:$AD)</f>
        <v>0</v>
      </c>
      <c r="D266" s="1356">
        <f>SUMIFS(Sheet1!S71_SpecialAdjustedBudget,Sheet1!S71_SubMunicipalVoteNo,$AC:$AC,Sheet1!S71_ItemType,$AD:$AD)</f>
        <v>0</v>
      </c>
      <c r="E266" s="1356"/>
      <c r="F266" s="1356"/>
      <c r="G266" s="1356"/>
      <c r="H266" s="1356"/>
      <c r="I266" s="1356">
        <f>SUMIFS(Sheet1!S71_AdjustmentAmount,Sheet1!S71_SubMunicipalVoteNo,$AC:$AC,Sheet1!S71_ItemType,$AD:$AD)</f>
        <v>0</v>
      </c>
      <c r="J266" s="75">
        <f t="shared" si="35"/>
        <v>0</v>
      </c>
      <c r="K266" s="75">
        <f t="shared" si="36"/>
        <v>0</v>
      </c>
      <c r="L266" s="1356">
        <f>SUMIFS(Sheet1!S71_OY1AdjustedBudget,Sheet1!S71_SubMunicipalVoteNo,$AC:$AC,Sheet1!S71_ItemType,$AD:$AD)</f>
        <v>0</v>
      </c>
      <c r="M266" s="1357">
        <f>SUMIFS(Sheet1!S71_OY2AdjustedBudget,Sheet1!S71_SubMunicipalVoteNo,$AC:$AC,Sheet1!S71_ItemType,$AD:$AD)</f>
        <v>0</v>
      </c>
      <c r="AC266" s="1345">
        <v>93</v>
      </c>
      <c r="AD266" s="1345" t="s">
        <v>1812</v>
      </c>
    </row>
    <row r="267" spans="1:30" ht="13.5" x14ac:dyDescent="0.25">
      <c r="A267" s="748" t="str">
        <f>IF(RIGHT('Org structure'!D94,18)&lt;&gt;"[Name of sub-vote]",'Org structure'!D94,"")</f>
        <v/>
      </c>
      <c r="B267" s="899"/>
      <c r="C267" s="1360">
        <f>SUMIFS(Sheet1!S71_OriginalBudget,Sheet1!S71_SubMunicipalVoteNo,$AC:$AC,Sheet1!S71_ItemType,$AD:$AD)</f>
        <v>0</v>
      </c>
      <c r="D267" s="1356">
        <f>SUMIFS(Sheet1!S71_SpecialAdjustedBudget,Sheet1!S71_SubMunicipalVoteNo,$AC:$AC,Sheet1!S71_ItemType,$AD:$AD)</f>
        <v>0</v>
      </c>
      <c r="E267" s="1356"/>
      <c r="F267" s="1356"/>
      <c r="G267" s="1356"/>
      <c r="H267" s="1356"/>
      <c r="I267" s="1356">
        <f>SUMIFS(Sheet1!S71_AdjustmentAmount,Sheet1!S71_SubMunicipalVoteNo,$AC:$AC,Sheet1!S71_ItemType,$AD:$AD)</f>
        <v>0</v>
      </c>
      <c r="J267" s="75">
        <f t="shared" si="35"/>
        <v>0</v>
      </c>
      <c r="K267" s="75">
        <f t="shared" si="36"/>
        <v>0</v>
      </c>
      <c r="L267" s="1356">
        <f>SUMIFS(Sheet1!S71_OY1AdjustedBudget,Sheet1!S71_SubMunicipalVoteNo,$AC:$AC,Sheet1!S71_ItemType,$AD:$AD)</f>
        <v>0</v>
      </c>
      <c r="M267" s="1357">
        <f>SUMIFS(Sheet1!S71_OY2AdjustedBudget,Sheet1!S71_SubMunicipalVoteNo,$AC:$AC,Sheet1!S71_ItemType,$AD:$AD)</f>
        <v>0</v>
      </c>
      <c r="AC267" s="1345">
        <v>94</v>
      </c>
      <c r="AD267" s="1345" t="s">
        <v>1812</v>
      </c>
    </row>
    <row r="268" spans="1:30" ht="13.5" x14ac:dyDescent="0.25">
      <c r="A268" s="748" t="str">
        <f>IF(RIGHT('Org structure'!D95,18)&lt;&gt;"[Name of sub-vote]",'Org structure'!D95,"")</f>
        <v/>
      </c>
      <c r="B268" s="899"/>
      <c r="C268" s="1360">
        <f>SUMIFS(Sheet1!S71_OriginalBudget,Sheet1!S71_SubMunicipalVoteNo,$AC:$AC,Sheet1!S71_ItemType,$AD:$AD)</f>
        <v>0</v>
      </c>
      <c r="D268" s="1356">
        <f>SUMIFS(Sheet1!S71_SpecialAdjustedBudget,Sheet1!S71_SubMunicipalVoteNo,$AC:$AC,Sheet1!S71_ItemType,$AD:$AD)</f>
        <v>0</v>
      </c>
      <c r="E268" s="1356"/>
      <c r="F268" s="1356"/>
      <c r="G268" s="1356"/>
      <c r="H268" s="1356"/>
      <c r="I268" s="1356">
        <f>SUMIFS(Sheet1!S71_AdjustmentAmount,Sheet1!S71_SubMunicipalVoteNo,$AC:$AC,Sheet1!S71_ItemType,$AD:$AD)</f>
        <v>0</v>
      </c>
      <c r="J268" s="75">
        <f t="shared" si="35"/>
        <v>0</v>
      </c>
      <c r="K268" s="75">
        <f t="shared" si="36"/>
        <v>0</v>
      </c>
      <c r="L268" s="1356">
        <f>SUMIFS(Sheet1!S71_OY1AdjustedBudget,Sheet1!S71_SubMunicipalVoteNo,$AC:$AC,Sheet1!S71_ItemType,$AD:$AD)</f>
        <v>0</v>
      </c>
      <c r="M268" s="1357">
        <f>SUMIFS(Sheet1!S71_OY2AdjustedBudget,Sheet1!S71_SubMunicipalVoteNo,$AC:$AC,Sheet1!S71_ItemType,$AD:$AD)</f>
        <v>0</v>
      </c>
      <c r="AC268" s="1345">
        <v>95</v>
      </c>
      <c r="AD268" s="1345" t="s">
        <v>1812</v>
      </c>
    </row>
    <row r="269" spans="1:30" ht="13.5" x14ac:dyDescent="0.25">
      <c r="A269" s="748" t="str">
        <f>IF(RIGHT('Org structure'!D96,18)&lt;&gt;"[Name of sub-vote]",'Org structure'!D96,"")</f>
        <v/>
      </c>
      <c r="B269" s="899"/>
      <c r="C269" s="1360">
        <f>SUMIFS(Sheet1!S71_OriginalBudget,Sheet1!S71_SubMunicipalVoteNo,$AC:$AC,Sheet1!S71_ItemType,$AD:$AD)</f>
        <v>0</v>
      </c>
      <c r="D269" s="1356">
        <f>SUMIFS(Sheet1!S71_SpecialAdjustedBudget,Sheet1!S71_SubMunicipalVoteNo,$AC:$AC,Sheet1!S71_ItemType,$AD:$AD)</f>
        <v>0</v>
      </c>
      <c r="E269" s="1356"/>
      <c r="F269" s="1356"/>
      <c r="G269" s="1356"/>
      <c r="H269" s="1356"/>
      <c r="I269" s="1356">
        <f>SUMIFS(Sheet1!S71_AdjustmentAmount,Sheet1!S71_SubMunicipalVoteNo,$AC:$AC,Sheet1!S71_ItemType,$AD:$AD)</f>
        <v>0</v>
      </c>
      <c r="J269" s="75">
        <f t="shared" si="35"/>
        <v>0</v>
      </c>
      <c r="K269" s="75">
        <f t="shared" si="36"/>
        <v>0</v>
      </c>
      <c r="L269" s="1356">
        <f>SUMIFS(Sheet1!S71_OY1AdjustedBudget,Sheet1!S71_SubMunicipalVoteNo,$AC:$AC,Sheet1!S71_ItemType,$AD:$AD)</f>
        <v>0</v>
      </c>
      <c r="M269" s="1357">
        <f>SUMIFS(Sheet1!S71_OY2AdjustedBudget,Sheet1!S71_SubMunicipalVoteNo,$AC:$AC,Sheet1!S71_ItemType,$AD:$AD)</f>
        <v>0</v>
      </c>
      <c r="AC269" s="1345">
        <v>96</v>
      </c>
      <c r="AD269" s="1345" t="s">
        <v>1812</v>
      </c>
    </row>
    <row r="270" spans="1:30" ht="13.5" x14ac:dyDescent="0.25">
      <c r="A270" s="748" t="str">
        <f>IF(RIGHT('Org structure'!D97,18)&lt;&gt;"[Name of sub-vote]",'Org structure'!D97,"")</f>
        <v/>
      </c>
      <c r="B270" s="899"/>
      <c r="C270" s="1360">
        <f>SUMIFS(Sheet1!S71_OriginalBudget,Sheet1!S71_SubMunicipalVoteNo,$AC:$AC,Sheet1!S71_ItemType,$AD:$AD)</f>
        <v>0</v>
      </c>
      <c r="D270" s="1356">
        <f>SUMIFS(Sheet1!S71_SpecialAdjustedBudget,Sheet1!S71_SubMunicipalVoteNo,$AC:$AC,Sheet1!S71_ItemType,$AD:$AD)</f>
        <v>0</v>
      </c>
      <c r="E270" s="1356"/>
      <c r="F270" s="1356"/>
      <c r="G270" s="1356"/>
      <c r="H270" s="1356"/>
      <c r="I270" s="1356">
        <f>SUMIFS(Sheet1!S71_AdjustmentAmount,Sheet1!S71_SubMunicipalVoteNo,$AC:$AC,Sheet1!S71_ItemType,$AD:$AD)</f>
        <v>0</v>
      </c>
      <c r="J270" s="75">
        <f t="shared" si="35"/>
        <v>0</v>
      </c>
      <c r="K270" s="75">
        <f t="shared" si="36"/>
        <v>0</v>
      </c>
      <c r="L270" s="1356">
        <f>SUMIFS(Sheet1!S71_OY1AdjustedBudget,Sheet1!S71_SubMunicipalVoteNo,$AC:$AC,Sheet1!S71_ItemType,$AD:$AD)</f>
        <v>0</v>
      </c>
      <c r="M270" s="1357">
        <f>SUMIFS(Sheet1!S71_OY2AdjustedBudget,Sheet1!S71_SubMunicipalVoteNo,$AC:$AC,Sheet1!S71_ItemType,$AD:$AD)</f>
        <v>0</v>
      </c>
      <c r="AC270" s="1345">
        <v>97</v>
      </c>
      <c r="AD270" s="1345" t="s">
        <v>1812</v>
      </c>
    </row>
    <row r="271" spans="1:30" ht="13.5" x14ac:dyDescent="0.25">
      <c r="A271" s="748" t="str">
        <f>IF(RIGHT('Org structure'!D98,18)&lt;&gt;"[Name of sub-vote]",'Org structure'!D98,"")</f>
        <v/>
      </c>
      <c r="B271" s="899"/>
      <c r="C271" s="1360">
        <f>SUMIFS(Sheet1!S71_OriginalBudget,Sheet1!S71_SubMunicipalVoteNo,$AC:$AC,Sheet1!S71_ItemType,$AD:$AD)</f>
        <v>0</v>
      </c>
      <c r="D271" s="1356">
        <f>SUMIFS(Sheet1!S71_SpecialAdjustedBudget,Sheet1!S71_SubMunicipalVoteNo,$AC:$AC,Sheet1!S71_ItemType,$AD:$AD)</f>
        <v>0</v>
      </c>
      <c r="E271" s="1356"/>
      <c r="F271" s="1356"/>
      <c r="G271" s="1356"/>
      <c r="H271" s="1356"/>
      <c r="I271" s="1356">
        <f>SUMIFS(Sheet1!S71_AdjustmentAmount,Sheet1!S71_SubMunicipalVoteNo,$AC:$AC,Sheet1!S71_ItemType,$AD:$AD)</f>
        <v>0</v>
      </c>
      <c r="J271" s="75">
        <f t="shared" ref="J271:J302" si="41">SUM(E271:I271)</f>
        <v>0</v>
      </c>
      <c r="K271" s="75">
        <f t="shared" si="36"/>
        <v>0</v>
      </c>
      <c r="L271" s="1356">
        <f>SUMIFS(Sheet1!S71_OY1AdjustedBudget,Sheet1!S71_SubMunicipalVoteNo,$AC:$AC,Sheet1!S71_ItemType,$AD:$AD)</f>
        <v>0</v>
      </c>
      <c r="M271" s="1357">
        <f>SUMIFS(Sheet1!S71_OY2AdjustedBudget,Sheet1!S71_SubMunicipalVoteNo,$AC:$AC,Sheet1!S71_ItemType,$AD:$AD)</f>
        <v>0</v>
      </c>
      <c r="AC271" s="1345">
        <v>98</v>
      </c>
      <c r="AD271" s="1345" t="s">
        <v>1812</v>
      </c>
    </row>
    <row r="272" spans="1:30" ht="13.5" x14ac:dyDescent="0.25">
      <c r="A272" s="748" t="str">
        <f>IF(RIGHT('Org structure'!D99,18)&lt;&gt;"[Name of sub-vote]",'Org structure'!D99,"")</f>
        <v/>
      </c>
      <c r="B272" s="899"/>
      <c r="C272" s="1360">
        <f>SUMIFS(Sheet1!S71_OriginalBudget,Sheet1!S71_SubMunicipalVoteNo,$AC:$AC,Sheet1!S71_ItemType,$AD:$AD)</f>
        <v>0</v>
      </c>
      <c r="D272" s="1356">
        <f>SUMIFS(Sheet1!S71_SpecialAdjustedBudget,Sheet1!S71_SubMunicipalVoteNo,$AC:$AC,Sheet1!S71_ItemType,$AD:$AD)</f>
        <v>0</v>
      </c>
      <c r="E272" s="1356"/>
      <c r="F272" s="1356"/>
      <c r="G272" s="1356"/>
      <c r="H272" s="1356"/>
      <c r="I272" s="1356">
        <f>SUMIFS(Sheet1!S71_AdjustmentAmount,Sheet1!S71_SubMunicipalVoteNo,$AC:$AC,Sheet1!S71_ItemType,$AD:$AD)</f>
        <v>0</v>
      </c>
      <c r="J272" s="75">
        <f t="shared" si="41"/>
        <v>0</v>
      </c>
      <c r="K272" s="75">
        <f t="shared" si="36"/>
        <v>0</v>
      </c>
      <c r="L272" s="1356">
        <f>SUMIFS(Sheet1!S71_OY1AdjustedBudget,Sheet1!S71_SubMunicipalVoteNo,$AC:$AC,Sheet1!S71_ItemType,$AD:$AD)</f>
        <v>0</v>
      </c>
      <c r="M272" s="1357">
        <f>SUMIFS(Sheet1!S71_OY2AdjustedBudget,Sheet1!S71_SubMunicipalVoteNo,$AC:$AC,Sheet1!S71_ItemType,$AD:$AD)</f>
        <v>0</v>
      </c>
      <c r="AC272" s="1345">
        <v>99</v>
      </c>
      <c r="AD272" s="1345" t="s">
        <v>1812</v>
      </c>
    </row>
    <row r="273" spans="1:30" ht="13.5" x14ac:dyDescent="0.25">
      <c r="A273" s="748" t="str">
        <f>IF(RIGHT('Org structure'!D100,18)&lt;&gt;"[Name of sub-vote]",'Org structure'!D100,"")</f>
        <v/>
      </c>
      <c r="B273" s="899"/>
      <c r="C273" s="1360">
        <f>SUMIFS(Sheet1!S71_OriginalBudget,Sheet1!S71_SubMunicipalVoteNo,$AC:$AC,Sheet1!S71_ItemType,$AD:$AD)</f>
        <v>0</v>
      </c>
      <c r="D273" s="1356">
        <f>SUMIFS(Sheet1!S71_SpecialAdjustedBudget,Sheet1!S71_SubMunicipalVoteNo,$AC:$AC,Sheet1!S71_ItemType,$AD:$AD)</f>
        <v>0</v>
      </c>
      <c r="E273" s="1356"/>
      <c r="F273" s="1356"/>
      <c r="G273" s="1356"/>
      <c r="H273" s="1356"/>
      <c r="I273" s="1356">
        <f>SUMIFS(Sheet1!S71_AdjustmentAmount,Sheet1!S71_SubMunicipalVoteNo,$AC:$AC,Sheet1!S71_ItemType,$AD:$AD)</f>
        <v>0</v>
      </c>
      <c r="J273" s="75">
        <f t="shared" si="41"/>
        <v>0</v>
      </c>
      <c r="K273" s="75">
        <f t="shared" si="36"/>
        <v>0</v>
      </c>
      <c r="L273" s="1356">
        <f>SUMIFS(Sheet1!S71_OY1AdjustedBudget,Sheet1!S71_SubMunicipalVoteNo,$AC:$AC,Sheet1!S71_ItemType,$AD:$AD)</f>
        <v>0</v>
      </c>
      <c r="M273" s="1357">
        <f>SUMIFS(Sheet1!S71_OY2AdjustedBudget,Sheet1!S71_SubMunicipalVoteNo,$AC:$AC,Sheet1!S71_ItemType,$AD:$AD)</f>
        <v>0</v>
      </c>
      <c r="AC273" s="1345">
        <v>910</v>
      </c>
      <c r="AD273" s="1345" t="s">
        <v>1812</v>
      </c>
    </row>
    <row r="274" spans="1:30" ht="13.5" x14ac:dyDescent="0.25">
      <c r="A274" s="745" t="str">
        <f>A106</f>
        <v>Vote 10 - Public Safety</v>
      </c>
      <c r="B274" s="899"/>
      <c r="C274" s="733">
        <f t="shared" ref="C274:I274" si="42">SUM(C275:C284)</f>
        <v>15000</v>
      </c>
      <c r="D274" s="732">
        <f t="shared" si="42"/>
        <v>15000</v>
      </c>
      <c r="E274" s="732">
        <f t="shared" si="42"/>
        <v>0</v>
      </c>
      <c r="F274" s="732">
        <f t="shared" si="42"/>
        <v>0</v>
      </c>
      <c r="G274" s="732">
        <f t="shared" si="42"/>
        <v>0</v>
      </c>
      <c r="H274" s="732">
        <f t="shared" si="42"/>
        <v>0</v>
      </c>
      <c r="I274" s="732">
        <f t="shared" si="42"/>
        <v>-15000</v>
      </c>
      <c r="J274" s="75">
        <f t="shared" si="41"/>
        <v>-15000</v>
      </c>
      <c r="K274" s="75">
        <f t="shared" si="36"/>
        <v>0</v>
      </c>
      <c r="L274" s="732">
        <f>SUM(L275:L284)</f>
        <v>15900</v>
      </c>
      <c r="M274" s="759">
        <f>SUM(M275:M284)</f>
        <v>16854</v>
      </c>
    </row>
    <row r="275" spans="1:30" ht="13.5" x14ac:dyDescent="0.25">
      <c r="A275" s="748" t="str">
        <f>IF(RIGHT('Org structure'!D102,18)&lt;&gt;"[Name of sub-vote]",'Org structure'!D102,"")</f>
        <v>10.1 - Fire Fighting and Protection</v>
      </c>
      <c r="B275" s="899"/>
      <c r="C275" s="1360">
        <f>SUMIFS(Sheet1!S71_OriginalBudget,Sheet1!S71_SubMunicipalVoteNo,$AC:$AC,Sheet1!S71_ItemType,$AD:$AD)</f>
        <v>15000</v>
      </c>
      <c r="D275" s="1356">
        <f>SUMIFS(Sheet1!S71_SpecialAdjustedBudget,Sheet1!S71_SubMunicipalVoteNo,$AC:$AC,Sheet1!S71_ItemType,$AD:$AD)</f>
        <v>15000</v>
      </c>
      <c r="E275" s="1356"/>
      <c r="F275" s="1356"/>
      <c r="G275" s="1356"/>
      <c r="H275" s="1356"/>
      <c r="I275" s="1356">
        <f>SUMIFS(Sheet1!S71_AdjustmentAmount,Sheet1!S71_SubMunicipalVoteNo,$AC:$AC,Sheet1!S71_ItemType,$AD:$AD)</f>
        <v>-15000</v>
      </c>
      <c r="J275" s="75">
        <f t="shared" si="41"/>
        <v>-15000</v>
      </c>
      <c r="K275" s="75">
        <f t="shared" si="36"/>
        <v>0</v>
      </c>
      <c r="L275" s="1356">
        <f>SUMIFS(Sheet1!S71_OY1AdjustedBudget,Sheet1!S71_SubMunicipalVoteNo,$AC:$AC,Sheet1!S71_ItemType,$AD:$AD)</f>
        <v>15900</v>
      </c>
      <c r="M275" s="1357">
        <f>SUMIFS(Sheet1!S71_OY2AdjustedBudget,Sheet1!S71_SubMunicipalVoteNo,$AC:$AC,Sheet1!S71_ItemType,$AD:$AD)</f>
        <v>16854</v>
      </c>
      <c r="AC275" s="1345">
        <v>101</v>
      </c>
      <c r="AD275" s="1345" t="s">
        <v>1812</v>
      </c>
    </row>
    <row r="276" spans="1:30" ht="13.5" x14ac:dyDescent="0.25">
      <c r="A276" s="748" t="str">
        <f>IF(RIGHT('Org structure'!D103,18)&lt;&gt;"[Name of sub-vote]",'Org structure'!D103,"")</f>
        <v>10.2 - Fencing and Fences</v>
      </c>
      <c r="B276" s="899"/>
      <c r="C276" s="1360">
        <f>SUMIFS(Sheet1!S71_OriginalBudget,Sheet1!S71_SubMunicipalVoteNo,$AC:$AC,Sheet1!S71_ItemType,$AD:$AD)</f>
        <v>0</v>
      </c>
      <c r="D276" s="1356">
        <f>SUMIFS(Sheet1!S71_SpecialAdjustedBudget,Sheet1!S71_SubMunicipalVoteNo,$AC:$AC,Sheet1!S71_ItemType,$AD:$AD)</f>
        <v>0</v>
      </c>
      <c r="E276" s="1356"/>
      <c r="F276" s="1356"/>
      <c r="G276" s="1356"/>
      <c r="H276" s="1356"/>
      <c r="I276" s="1356">
        <f>SUMIFS(Sheet1!S71_AdjustmentAmount,Sheet1!S71_SubMunicipalVoteNo,$AC:$AC,Sheet1!S71_ItemType,$AD:$AD)</f>
        <v>0</v>
      </c>
      <c r="J276" s="75">
        <f t="shared" si="41"/>
        <v>0</v>
      </c>
      <c r="K276" s="75">
        <f t="shared" si="36"/>
        <v>0</v>
      </c>
      <c r="L276" s="1356">
        <f>SUMIFS(Sheet1!S71_OY1AdjustedBudget,Sheet1!S71_SubMunicipalVoteNo,$AC:$AC,Sheet1!S71_ItemType,$AD:$AD)</f>
        <v>0</v>
      </c>
      <c r="M276" s="1357">
        <f>SUMIFS(Sheet1!S71_OY2AdjustedBudget,Sheet1!S71_SubMunicipalVoteNo,$AC:$AC,Sheet1!S71_ItemType,$AD:$AD)</f>
        <v>0</v>
      </c>
      <c r="AC276" s="1345">
        <v>102</v>
      </c>
      <c r="AD276" s="1345" t="s">
        <v>1812</v>
      </c>
    </row>
    <row r="277" spans="1:30" ht="13.5" x14ac:dyDescent="0.25">
      <c r="A277" s="748" t="str">
        <f>IF(RIGHT('Org structure'!D104,18)&lt;&gt;"[Name of sub-vote]",'Org structure'!D104,"")</f>
        <v/>
      </c>
      <c r="B277" s="899"/>
      <c r="C277" s="1360">
        <f>SUMIFS(Sheet1!S71_OriginalBudget,Sheet1!S71_SubMunicipalVoteNo,$AC:$AC,Sheet1!S71_ItemType,$AD:$AD)</f>
        <v>0</v>
      </c>
      <c r="D277" s="1356">
        <f>SUMIFS(Sheet1!S71_SpecialAdjustedBudget,Sheet1!S71_SubMunicipalVoteNo,$AC:$AC,Sheet1!S71_ItemType,$AD:$AD)</f>
        <v>0</v>
      </c>
      <c r="E277" s="1356"/>
      <c r="F277" s="1356"/>
      <c r="G277" s="1356"/>
      <c r="H277" s="1356"/>
      <c r="I277" s="1356">
        <f>SUMIFS(Sheet1!S71_AdjustmentAmount,Sheet1!S71_SubMunicipalVoteNo,$AC:$AC,Sheet1!S71_ItemType,$AD:$AD)</f>
        <v>0</v>
      </c>
      <c r="J277" s="75">
        <f t="shared" si="41"/>
        <v>0</v>
      </c>
      <c r="K277" s="75">
        <f t="shared" si="36"/>
        <v>0</v>
      </c>
      <c r="L277" s="1356">
        <f>SUMIFS(Sheet1!S71_OY1AdjustedBudget,Sheet1!S71_SubMunicipalVoteNo,$AC:$AC,Sheet1!S71_ItemType,$AD:$AD)</f>
        <v>0</v>
      </c>
      <c r="M277" s="1357">
        <f>SUMIFS(Sheet1!S71_OY2AdjustedBudget,Sheet1!S71_SubMunicipalVoteNo,$AC:$AC,Sheet1!S71_ItemType,$AD:$AD)</f>
        <v>0</v>
      </c>
      <c r="AC277" s="1345">
        <v>103</v>
      </c>
      <c r="AD277" s="1345" t="s">
        <v>1812</v>
      </c>
    </row>
    <row r="278" spans="1:30" ht="13.5" x14ac:dyDescent="0.25">
      <c r="A278" s="748" t="str">
        <f>IF(RIGHT('Org structure'!D105,18)&lt;&gt;"[Name of sub-vote]",'Org structure'!D105,"")</f>
        <v/>
      </c>
      <c r="B278" s="899"/>
      <c r="C278" s="1360">
        <f>SUMIFS(Sheet1!S71_OriginalBudget,Sheet1!S71_SubMunicipalVoteNo,$AC:$AC,Sheet1!S71_ItemType,$AD:$AD)</f>
        <v>0</v>
      </c>
      <c r="D278" s="1356">
        <f>SUMIFS(Sheet1!S71_SpecialAdjustedBudget,Sheet1!S71_SubMunicipalVoteNo,$AC:$AC,Sheet1!S71_ItemType,$AD:$AD)</f>
        <v>0</v>
      </c>
      <c r="E278" s="1356"/>
      <c r="F278" s="1356"/>
      <c r="G278" s="1356"/>
      <c r="H278" s="1356"/>
      <c r="I278" s="1356">
        <f>SUMIFS(Sheet1!S71_AdjustmentAmount,Sheet1!S71_SubMunicipalVoteNo,$AC:$AC,Sheet1!S71_ItemType,$AD:$AD)</f>
        <v>0</v>
      </c>
      <c r="J278" s="75">
        <f t="shared" si="41"/>
        <v>0</v>
      </c>
      <c r="K278" s="75">
        <f t="shared" si="36"/>
        <v>0</v>
      </c>
      <c r="L278" s="1356">
        <f>SUMIFS(Sheet1!S71_OY1AdjustedBudget,Sheet1!S71_SubMunicipalVoteNo,$AC:$AC,Sheet1!S71_ItemType,$AD:$AD)</f>
        <v>0</v>
      </c>
      <c r="M278" s="1357">
        <f>SUMIFS(Sheet1!S71_OY2AdjustedBudget,Sheet1!S71_SubMunicipalVoteNo,$AC:$AC,Sheet1!S71_ItemType,$AD:$AD)</f>
        <v>0</v>
      </c>
      <c r="AC278" s="1345">
        <v>104</v>
      </c>
      <c r="AD278" s="1345" t="s">
        <v>1812</v>
      </c>
    </row>
    <row r="279" spans="1:30" ht="13.5" x14ac:dyDescent="0.25">
      <c r="A279" s="748" t="str">
        <f>IF(RIGHT('Org structure'!D106,18)&lt;&gt;"[Name of sub-vote]",'Org structure'!D106,"")</f>
        <v/>
      </c>
      <c r="B279" s="899"/>
      <c r="C279" s="1360">
        <f>SUMIFS(Sheet1!S71_OriginalBudget,Sheet1!S71_SubMunicipalVoteNo,$AC:$AC,Sheet1!S71_ItemType,$AD:$AD)</f>
        <v>0</v>
      </c>
      <c r="D279" s="1356">
        <f>SUMIFS(Sheet1!S71_SpecialAdjustedBudget,Sheet1!S71_SubMunicipalVoteNo,$AC:$AC,Sheet1!S71_ItemType,$AD:$AD)</f>
        <v>0</v>
      </c>
      <c r="E279" s="1356"/>
      <c r="F279" s="1356"/>
      <c r="G279" s="1356"/>
      <c r="H279" s="1356"/>
      <c r="I279" s="1356">
        <f>SUMIFS(Sheet1!S71_AdjustmentAmount,Sheet1!S71_SubMunicipalVoteNo,$AC:$AC,Sheet1!S71_ItemType,$AD:$AD)</f>
        <v>0</v>
      </c>
      <c r="J279" s="75">
        <f t="shared" si="41"/>
        <v>0</v>
      </c>
      <c r="K279" s="75">
        <f t="shared" si="36"/>
        <v>0</v>
      </c>
      <c r="L279" s="1356">
        <f>SUMIFS(Sheet1!S71_OY1AdjustedBudget,Sheet1!S71_SubMunicipalVoteNo,$AC:$AC,Sheet1!S71_ItemType,$AD:$AD)</f>
        <v>0</v>
      </c>
      <c r="M279" s="1357">
        <f>SUMIFS(Sheet1!S71_OY2AdjustedBudget,Sheet1!S71_SubMunicipalVoteNo,$AC:$AC,Sheet1!S71_ItemType,$AD:$AD)</f>
        <v>0</v>
      </c>
      <c r="AC279" s="1345">
        <v>105</v>
      </c>
      <c r="AD279" s="1345" t="s">
        <v>1812</v>
      </c>
    </row>
    <row r="280" spans="1:30" ht="13.5" x14ac:dyDescent="0.25">
      <c r="A280" s="748" t="str">
        <f>IF(RIGHT('Org structure'!D107,18)&lt;&gt;"[Name of sub-vote]",'Org structure'!D107,"")</f>
        <v/>
      </c>
      <c r="B280" s="899"/>
      <c r="C280" s="1360">
        <f>SUMIFS(Sheet1!S71_OriginalBudget,Sheet1!S71_SubMunicipalVoteNo,$AC:$AC,Sheet1!S71_ItemType,$AD:$AD)</f>
        <v>0</v>
      </c>
      <c r="D280" s="1356">
        <f>SUMIFS(Sheet1!S71_SpecialAdjustedBudget,Sheet1!S71_SubMunicipalVoteNo,$AC:$AC,Sheet1!S71_ItemType,$AD:$AD)</f>
        <v>0</v>
      </c>
      <c r="E280" s="1356"/>
      <c r="F280" s="1356"/>
      <c r="G280" s="1356"/>
      <c r="H280" s="1356"/>
      <c r="I280" s="1356">
        <f>SUMIFS(Sheet1!S71_AdjustmentAmount,Sheet1!S71_SubMunicipalVoteNo,$AC:$AC,Sheet1!S71_ItemType,$AD:$AD)</f>
        <v>0</v>
      </c>
      <c r="J280" s="75">
        <f t="shared" si="41"/>
        <v>0</v>
      </c>
      <c r="K280" s="75">
        <f t="shared" si="36"/>
        <v>0</v>
      </c>
      <c r="L280" s="1356">
        <f>SUMIFS(Sheet1!S71_OY1AdjustedBudget,Sheet1!S71_SubMunicipalVoteNo,$AC:$AC,Sheet1!S71_ItemType,$AD:$AD)</f>
        <v>0</v>
      </c>
      <c r="M280" s="1357">
        <f>SUMIFS(Sheet1!S71_OY2AdjustedBudget,Sheet1!S71_SubMunicipalVoteNo,$AC:$AC,Sheet1!S71_ItemType,$AD:$AD)</f>
        <v>0</v>
      </c>
      <c r="AC280" s="1345">
        <v>106</v>
      </c>
      <c r="AD280" s="1345" t="s">
        <v>1812</v>
      </c>
    </row>
    <row r="281" spans="1:30" ht="13.5" x14ac:dyDescent="0.25">
      <c r="A281" s="748" t="str">
        <f>IF(RIGHT('Org structure'!D108,18)&lt;&gt;"[Name of sub-vote]",'Org structure'!D108,"")</f>
        <v/>
      </c>
      <c r="B281" s="899"/>
      <c r="C281" s="1360">
        <f>SUMIFS(Sheet1!S71_OriginalBudget,Sheet1!S71_SubMunicipalVoteNo,$AC:$AC,Sheet1!S71_ItemType,$AD:$AD)</f>
        <v>0</v>
      </c>
      <c r="D281" s="1356">
        <f>SUMIFS(Sheet1!S71_SpecialAdjustedBudget,Sheet1!S71_SubMunicipalVoteNo,$AC:$AC,Sheet1!S71_ItemType,$AD:$AD)</f>
        <v>0</v>
      </c>
      <c r="E281" s="1356"/>
      <c r="F281" s="1356"/>
      <c r="G281" s="1356"/>
      <c r="H281" s="1356"/>
      <c r="I281" s="1356">
        <f>SUMIFS(Sheet1!S71_AdjustmentAmount,Sheet1!S71_SubMunicipalVoteNo,$AC:$AC,Sheet1!S71_ItemType,$AD:$AD)</f>
        <v>0</v>
      </c>
      <c r="J281" s="75">
        <f t="shared" si="41"/>
        <v>0</v>
      </c>
      <c r="K281" s="75">
        <f t="shared" si="36"/>
        <v>0</v>
      </c>
      <c r="L281" s="1356">
        <f>SUMIFS(Sheet1!S71_OY1AdjustedBudget,Sheet1!S71_SubMunicipalVoteNo,$AC:$AC,Sheet1!S71_ItemType,$AD:$AD)</f>
        <v>0</v>
      </c>
      <c r="M281" s="1357">
        <f>SUMIFS(Sheet1!S71_OY2AdjustedBudget,Sheet1!S71_SubMunicipalVoteNo,$AC:$AC,Sheet1!S71_ItemType,$AD:$AD)</f>
        <v>0</v>
      </c>
      <c r="AC281" s="1345">
        <v>107</v>
      </c>
      <c r="AD281" s="1345" t="s">
        <v>1812</v>
      </c>
    </row>
    <row r="282" spans="1:30" ht="13.5" x14ac:dyDescent="0.25">
      <c r="A282" s="748" t="str">
        <f>IF(RIGHT('Org structure'!D109,18)&lt;&gt;"[Name of sub-vote]",'Org structure'!D109,"")</f>
        <v/>
      </c>
      <c r="B282" s="899"/>
      <c r="C282" s="1360">
        <f>SUMIFS(Sheet1!S71_OriginalBudget,Sheet1!S71_SubMunicipalVoteNo,$AC:$AC,Sheet1!S71_ItemType,$AD:$AD)</f>
        <v>0</v>
      </c>
      <c r="D282" s="1356">
        <f>SUMIFS(Sheet1!S71_SpecialAdjustedBudget,Sheet1!S71_SubMunicipalVoteNo,$AC:$AC,Sheet1!S71_ItemType,$AD:$AD)</f>
        <v>0</v>
      </c>
      <c r="E282" s="1356"/>
      <c r="F282" s="1356"/>
      <c r="G282" s="1356"/>
      <c r="H282" s="1356"/>
      <c r="I282" s="1356">
        <f>SUMIFS(Sheet1!S71_AdjustmentAmount,Sheet1!S71_SubMunicipalVoteNo,$AC:$AC,Sheet1!S71_ItemType,$AD:$AD)</f>
        <v>0</v>
      </c>
      <c r="J282" s="75">
        <f t="shared" si="41"/>
        <v>0</v>
      </c>
      <c r="K282" s="75">
        <f t="shared" si="36"/>
        <v>0</v>
      </c>
      <c r="L282" s="1356">
        <f>SUMIFS(Sheet1!S71_OY1AdjustedBudget,Sheet1!S71_SubMunicipalVoteNo,$AC:$AC,Sheet1!S71_ItemType,$AD:$AD)</f>
        <v>0</v>
      </c>
      <c r="M282" s="1357">
        <f>SUMIFS(Sheet1!S71_OY2AdjustedBudget,Sheet1!S71_SubMunicipalVoteNo,$AC:$AC,Sheet1!S71_ItemType,$AD:$AD)</f>
        <v>0</v>
      </c>
      <c r="AC282" s="1345">
        <v>108</v>
      </c>
      <c r="AD282" s="1345" t="s">
        <v>1812</v>
      </c>
    </row>
    <row r="283" spans="1:30" ht="13.5" x14ac:dyDescent="0.25">
      <c r="A283" s="748" t="str">
        <f>IF(RIGHT('Org structure'!D110,18)&lt;&gt;"[Name of sub-vote]",'Org structure'!D110,"")</f>
        <v/>
      </c>
      <c r="B283" s="899"/>
      <c r="C283" s="1360">
        <f>SUMIFS(Sheet1!S71_OriginalBudget,Sheet1!S71_SubMunicipalVoteNo,$AC:$AC,Sheet1!S71_ItemType,$AD:$AD)</f>
        <v>0</v>
      </c>
      <c r="D283" s="1356">
        <f>SUMIFS(Sheet1!S71_SpecialAdjustedBudget,Sheet1!S71_SubMunicipalVoteNo,$AC:$AC,Sheet1!S71_ItemType,$AD:$AD)</f>
        <v>0</v>
      </c>
      <c r="E283" s="1356"/>
      <c r="F283" s="1356"/>
      <c r="G283" s="1356"/>
      <c r="H283" s="1356"/>
      <c r="I283" s="1356">
        <f>SUMIFS(Sheet1!S71_AdjustmentAmount,Sheet1!S71_SubMunicipalVoteNo,$AC:$AC,Sheet1!S71_ItemType,$AD:$AD)</f>
        <v>0</v>
      </c>
      <c r="J283" s="75">
        <f t="shared" si="41"/>
        <v>0</v>
      </c>
      <c r="K283" s="75">
        <f t="shared" si="36"/>
        <v>0</v>
      </c>
      <c r="L283" s="1356">
        <f>SUMIFS(Sheet1!S71_OY1AdjustedBudget,Sheet1!S71_SubMunicipalVoteNo,$AC:$AC,Sheet1!S71_ItemType,$AD:$AD)</f>
        <v>0</v>
      </c>
      <c r="M283" s="1357">
        <f>SUMIFS(Sheet1!S71_OY2AdjustedBudget,Sheet1!S71_SubMunicipalVoteNo,$AC:$AC,Sheet1!S71_ItemType,$AD:$AD)</f>
        <v>0</v>
      </c>
      <c r="AC283" s="1345">
        <v>109</v>
      </c>
      <c r="AD283" s="1345" t="s">
        <v>1812</v>
      </c>
    </row>
    <row r="284" spans="1:30" ht="13.5" x14ac:dyDescent="0.25">
      <c r="A284" s="748" t="str">
        <f>IF(RIGHT('Org structure'!D111,18)&lt;&gt;"[Name of sub-vote]",'Org structure'!D111,"")</f>
        <v/>
      </c>
      <c r="B284" s="899"/>
      <c r="C284" s="1360">
        <f>SUMIFS(Sheet1!S71_OriginalBudget,Sheet1!S71_SubMunicipalVoteNo,$AC:$AC,Sheet1!S71_ItemType,$AD:$AD)</f>
        <v>0</v>
      </c>
      <c r="D284" s="1356">
        <f>SUMIFS(Sheet1!S71_SpecialAdjustedBudget,Sheet1!S71_SubMunicipalVoteNo,$AC:$AC,Sheet1!S71_ItemType,$AD:$AD)</f>
        <v>0</v>
      </c>
      <c r="E284" s="1356"/>
      <c r="F284" s="1356"/>
      <c r="G284" s="1356"/>
      <c r="H284" s="1356"/>
      <c r="I284" s="1356">
        <f>SUMIFS(Sheet1!S71_AdjustmentAmount,Sheet1!S71_SubMunicipalVoteNo,$AC:$AC,Sheet1!S71_ItemType,$AD:$AD)</f>
        <v>0</v>
      </c>
      <c r="J284" s="75">
        <f t="shared" si="41"/>
        <v>0</v>
      </c>
      <c r="K284" s="75">
        <f t="shared" si="36"/>
        <v>0</v>
      </c>
      <c r="L284" s="1356">
        <f>SUMIFS(Sheet1!S71_OY1AdjustedBudget,Sheet1!S71_SubMunicipalVoteNo,$AC:$AC,Sheet1!S71_ItemType,$AD:$AD)</f>
        <v>0</v>
      </c>
      <c r="M284" s="1357">
        <f>SUMIFS(Sheet1!S71_OY2AdjustedBudget,Sheet1!S71_SubMunicipalVoteNo,$AC:$AC,Sheet1!S71_ItemType,$AD:$AD)</f>
        <v>0</v>
      </c>
      <c r="AC284" s="1345">
        <v>1010</v>
      </c>
      <c r="AD284" s="1345" t="s">
        <v>1812</v>
      </c>
    </row>
    <row r="285" spans="1:30" ht="13.5" x14ac:dyDescent="0.25">
      <c r="A285" s="745" t="str">
        <f>A117</f>
        <v>Vote 11 - Other</v>
      </c>
      <c r="B285" s="899"/>
      <c r="C285" s="733">
        <f t="shared" ref="C285:I285" si="43">SUM(C286:C295)</f>
        <v>6513455</v>
      </c>
      <c r="D285" s="732">
        <f t="shared" si="43"/>
        <v>6513455</v>
      </c>
      <c r="E285" s="732">
        <f t="shared" si="43"/>
        <v>0</v>
      </c>
      <c r="F285" s="732">
        <f t="shared" si="43"/>
        <v>0</v>
      </c>
      <c r="G285" s="732">
        <f t="shared" si="43"/>
        <v>0</v>
      </c>
      <c r="H285" s="732">
        <f t="shared" si="43"/>
        <v>0</v>
      </c>
      <c r="I285" s="732">
        <f t="shared" si="43"/>
        <v>0</v>
      </c>
      <c r="J285" s="75">
        <f t="shared" si="41"/>
        <v>0</v>
      </c>
      <c r="K285" s="75">
        <f t="shared" si="36"/>
        <v>6513455</v>
      </c>
      <c r="L285" s="732">
        <f>SUM(L286:L295)</f>
        <v>6926530</v>
      </c>
      <c r="M285" s="759">
        <f>SUM(M286:M295)</f>
        <v>7366804</v>
      </c>
    </row>
    <row r="286" spans="1:30" ht="13.5" x14ac:dyDescent="0.25">
      <c r="A286" s="748" t="str">
        <f>IF(RIGHT('Org structure'!D113,18)&lt;&gt;"[Name of sub-vote]",'Org structure'!D113,"")</f>
        <v>11.1 - Licensing and Regulation</v>
      </c>
      <c r="B286" s="899"/>
      <c r="C286" s="1360">
        <f>SUMIFS(Sheet1!S71_OriginalBudget,Sheet1!S71_SubMunicipalVoteNo,$AC:$AC,Sheet1!S71_ItemType,$AD:$AD)</f>
        <v>6513455</v>
      </c>
      <c r="D286" s="1356">
        <f>SUMIFS(Sheet1!S71_SpecialAdjustedBudget,Sheet1!S71_SubMunicipalVoteNo,$AC:$AC,Sheet1!S71_ItemType,$AD:$AD)</f>
        <v>6513455</v>
      </c>
      <c r="E286" s="1356"/>
      <c r="F286" s="1356"/>
      <c r="G286" s="1356"/>
      <c r="H286" s="1356"/>
      <c r="I286" s="1356">
        <f>SUMIFS(Sheet1!S71_AdjustmentAmount,Sheet1!S71_SubMunicipalVoteNo,$AC:$AC,Sheet1!S71_ItemType,$AD:$AD)</f>
        <v>0</v>
      </c>
      <c r="J286" s="75">
        <f t="shared" si="41"/>
        <v>0</v>
      </c>
      <c r="K286" s="75">
        <f t="shared" si="36"/>
        <v>6513455</v>
      </c>
      <c r="L286" s="1356">
        <f>SUMIFS(Sheet1!S71_OY1AdjustedBudget,Sheet1!S71_SubMunicipalVoteNo,$AC:$AC,Sheet1!S71_ItemType,$AD:$AD)</f>
        <v>6926530</v>
      </c>
      <c r="M286" s="1357">
        <f>SUMIFS(Sheet1!S71_OY2AdjustedBudget,Sheet1!S71_SubMunicipalVoteNo,$AC:$AC,Sheet1!S71_ItemType,$AD:$AD)</f>
        <v>7366804</v>
      </c>
      <c r="AC286" s="1345">
        <v>111</v>
      </c>
      <c r="AD286" s="1345" t="s">
        <v>1812</v>
      </c>
    </row>
    <row r="287" spans="1:30" ht="13.5" x14ac:dyDescent="0.25">
      <c r="A287" s="748" t="str">
        <f>IF(RIGHT('Org structure'!D114,18)&lt;&gt;"[Name of sub-vote]",'Org structure'!D114,"")</f>
        <v/>
      </c>
      <c r="B287" s="899"/>
      <c r="C287" s="1360">
        <f>SUMIFS(Sheet1!S71_OriginalBudget,Sheet1!S71_SubMunicipalVoteNo,$AC:$AC,Sheet1!S71_ItemType,$AD:$AD)</f>
        <v>0</v>
      </c>
      <c r="D287" s="1356">
        <f>SUMIFS(Sheet1!S71_SpecialAdjustedBudget,Sheet1!S71_SubMunicipalVoteNo,$AC:$AC,Sheet1!S71_ItemType,$AD:$AD)</f>
        <v>0</v>
      </c>
      <c r="E287" s="1356"/>
      <c r="F287" s="1356"/>
      <c r="G287" s="1356"/>
      <c r="H287" s="1356"/>
      <c r="I287" s="1356">
        <f>SUMIFS(Sheet1!S71_AdjustmentAmount,Sheet1!S71_SubMunicipalVoteNo,$AC:$AC,Sheet1!S71_ItemType,$AD:$AD)</f>
        <v>0</v>
      </c>
      <c r="J287" s="75">
        <f t="shared" si="41"/>
        <v>0</v>
      </c>
      <c r="K287" s="75">
        <f t="shared" si="36"/>
        <v>0</v>
      </c>
      <c r="L287" s="1356">
        <f>SUMIFS(Sheet1!S71_OY1AdjustedBudget,Sheet1!S71_SubMunicipalVoteNo,$AC:$AC,Sheet1!S71_ItemType,$AD:$AD)</f>
        <v>0</v>
      </c>
      <c r="M287" s="1357">
        <f>SUMIFS(Sheet1!S71_OY2AdjustedBudget,Sheet1!S71_SubMunicipalVoteNo,$AC:$AC,Sheet1!S71_ItemType,$AD:$AD)</f>
        <v>0</v>
      </c>
      <c r="AC287" s="1345">
        <v>112</v>
      </c>
      <c r="AD287" s="1345" t="s">
        <v>1812</v>
      </c>
    </row>
    <row r="288" spans="1:30" ht="13.5" x14ac:dyDescent="0.25">
      <c r="A288" s="748" t="str">
        <f>IF(RIGHT('Org structure'!D115,18)&lt;&gt;"[Name of sub-vote]",'Org structure'!D115,"")</f>
        <v/>
      </c>
      <c r="B288" s="899"/>
      <c r="C288" s="1360">
        <f>SUMIFS(Sheet1!S71_OriginalBudget,Sheet1!S71_SubMunicipalVoteNo,$AC:$AC,Sheet1!S71_ItemType,$AD:$AD)</f>
        <v>0</v>
      </c>
      <c r="D288" s="1356">
        <f>SUMIFS(Sheet1!S71_SpecialAdjustedBudget,Sheet1!S71_SubMunicipalVoteNo,$AC:$AC,Sheet1!S71_ItemType,$AD:$AD)</f>
        <v>0</v>
      </c>
      <c r="E288" s="1356"/>
      <c r="F288" s="1356"/>
      <c r="G288" s="1356"/>
      <c r="H288" s="1356"/>
      <c r="I288" s="1356">
        <f>SUMIFS(Sheet1!S71_AdjustmentAmount,Sheet1!S71_SubMunicipalVoteNo,$AC:$AC,Sheet1!S71_ItemType,$AD:$AD)</f>
        <v>0</v>
      </c>
      <c r="J288" s="75">
        <f t="shared" si="41"/>
        <v>0</v>
      </c>
      <c r="K288" s="75">
        <f t="shared" si="36"/>
        <v>0</v>
      </c>
      <c r="L288" s="1356">
        <f>SUMIFS(Sheet1!S71_OY1AdjustedBudget,Sheet1!S71_SubMunicipalVoteNo,$AC:$AC,Sheet1!S71_ItemType,$AD:$AD)</f>
        <v>0</v>
      </c>
      <c r="M288" s="1357">
        <f>SUMIFS(Sheet1!S71_OY2AdjustedBudget,Sheet1!S71_SubMunicipalVoteNo,$AC:$AC,Sheet1!S71_ItemType,$AD:$AD)</f>
        <v>0</v>
      </c>
      <c r="AC288" s="1345">
        <v>113</v>
      </c>
      <c r="AD288" s="1345" t="s">
        <v>1812</v>
      </c>
    </row>
    <row r="289" spans="1:30" ht="13.5" x14ac:dyDescent="0.25">
      <c r="A289" s="748" t="str">
        <f>IF(RIGHT('Org structure'!D116,18)&lt;&gt;"[Name of sub-vote]",'Org structure'!D116,"")</f>
        <v/>
      </c>
      <c r="B289" s="899"/>
      <c r="C289" s="1360">
        <f>SUMIFS(Sheet1!S71_OriginalBudget,Sheet1!S71_SubMunicipalVoteNo,$AC:$AC,Sheet1!S71_ItemType,$AD:$AD)</f>
        <v>0</v>
      </c>
      <c r="D289" s="1356">
        <f>SUMIFS(Sheet1!S71_SpecialAdjustedBudget,Sheet1!S71_SubMunicipalVoteNo,$AC:$AC,Sheet1!S71_ItemType,$AD:$AD)</f>
        <v>0</v>
      </c>
      <c r="E289" s="1356"/>
      <c r="F289" s="1356"/>
      <c r="G289" s="1356"/>
      <c r="H289" s="1356"/>
      <c r="I289" s="1356">
        <f>SUMIFS(Sheet1!S71_AdjustmentAmount,Sheet1!S71_SubMunicipalVoteNo,$AC:$AC,Sheet1!S71_ItemType,$AD:$AD)</f>
        <v>0</v>
      </c>
      <c r="J289" s="75">
        <f t="shared" si="41"/>
        <v>0</v>
      </c>
      <c r="K289" s="75">
        <f t="shared" si="36"/>
        <v>0</v>
      </c>
      <c r="L289" s="1356">
        <f>SUMIFS(Sheet1!S71_OY1AdjustedBudget,Sheet1!S71_SubMunicipalVoteNo,$AC:$AC,Sheet1!S71_ItemType,$AD:$AD)</f>
        <v>0</v>
      </c>
      <c r="M289" s="1357">
        <f>SUMIFS(Sheet1!S71_OY2AdjustedBudget,Sheet1!S71_SubMunicipalVoteNo,$AC:$AC,Sheet1!S71_ItemType,$AD:$AD)</f>
        <v>0</v>
      </c>
      <c r="AC289" s="1345">
        <v>114</v>
      </c>
      <c r="AD289" s="1345" t="s">
        <v>1812</v>
      </c>
    </row>
    <row r="290" spans="1:30" ht="13.5" x14ac:dyDescent="0.25">
      <c r="A290" s="748" t="str">
        <f>IF(RIGHT('Org structure'!D117,18)&lt;&gt;"[Name of sub-vote]",'Org structure'!D117,"")</f>
        <v/>
      </c>
      <c r="B290" s="899"/>
      <c r="C290" s="1360">
        <f>SUMIFS(Sheet1!S71_OriginalBudget,Sheet1!S71_SubMunicipalVoteNo,$AC:$AC,Sheet1!S71_ItemType,$AD:$AD)</f>
        <v>0</v>
      </c>
      <c r="D290" s="1356">
        <f>SUMIFS(Sheet1!S71_SpecialAdjustedBudget,Sheet1!S71_SubMunicipalVoteNo,$AC:$AC,Sheet1!S71_ItemType,$AD:$AD)</f>
        <v>0</v>
      </c>
      <c r="E290" s="1356"/>
      <c r="F290" s="1356"/>
      <c r="G290" s="1356"/>
      <c r="H290" s="1356"/>
      <c r="I290" s="1356">
        <f>SUMIFS(Sheet1!S71_AdjustmentAmount,Sheet1!S71_SubMunicipalVoteNo,$AC:$AC,Sheet1!S71_ItemType,$AD:$AD)</f>
        <v>0</v>
      </c>
      <c r="J290" s="75">
        <f t="shared" si="41"/>
        <v>0</v>
      </c>
      <c r="K290" s="75">
        <f t="shared" si="36"/>
        <v>0</v>
      </c>
      <c r="L290" s="1356">
        <f>SUMIFS(Sheet1!S71_OY1AdjustedBudget,Sheet1!S71_SubMunicipalVoteNo,$AC:$AC,Sheet1!S71_ItemType,$AD:$AD)</f>
        <v>0</v>
      </c>
      <c r="M290" s="1357">
        <f>SUMIFS(Sheet1!S71_OY2AdjustedBudget,Sheet1!S71_SubMunicipalVoteNo,$AC:$AC,Sheet1!S71_ItemType,$AD:$AD)</f>
        <v>0</v>
      </c>
      <c r="AC290" s="1345">
        <v>115</v>
      </c>
      <c r="AD290" s="1345" t="s">
        <v>1812</v>
      </c>
    </row>
    <row r="291" spans="1:30" ht="13.5" x14ac:dyDescent="0.25">
      <c r="A291" s="748" t="str">
        <f>IF(RIGHT('Org structure'!D118,18)&lt;&gt;"[Name of sub-vote]",'Org structure'!D118,"")</f>
        <v/>
      </c>
      <c r="B291" s="899"/>
      <c r="C291" s="1360">
        <f>SUMIFS(Sheet1!S71_OriginalBudget,Sheet1!S71_SubMunicipalVoteNo,$AC:$AC,Sheet1!S71_ItemType,$AD:$AD)</f>
        <v>0</v>
      </c>
      <c r="D291" s="1356">
        <f>SUMIFS(Sheet1!S71_SpecialAdjustedBudget,Sheet1!S71_SubMunicipalVoteNo,$AC:$AC,Sheet1!S71_ItemType,$AD:$AD)</f>
        <v>0</v>
      </c>
      <c r="E291" s="1356"/>
      <c r="F291" s="1356"/>
      <c r="G291" s="1356"/>
      <c r="H291" s="1356"/>
      <c r="I291" s="1356">
        <f>SUMIFS(Sheet1!S71_AdjustmentAmount,Sheet1!S71_SubMunicipalVoteNo,$AC:$AC,Sheet1!S71_ItemType,$AD:$AD)</f>
        <v>0</v>
      </c>
      <c r="J291" s="75">
        <f t="shared" si="41"/>
        <v>0</v>
      </c>
      <c r="K291" s="75">
        <f t="shared" si="36"/>
        <v>0</v>
      </c>
      <c r="L291" s="1356">
        <f>SUMIFS(Sheet1!S71_OY1AdjustedBudget,Sheet1!S71_SubMunicipalVoteNo,$AC:$AC,Sheet1!S71_ItemType,$AD:$AD)</f>
        <v>0</v>
      </c>
      <c r="M291" s="1357">
        <f>SUMIFS(Sheet1!S71_OY2AdjustedBudget,Sheet1!S71_SubMunicipalVoteNo,$AC:$AC,Sheet1!S71_ItemType,$AD:$AD)</f>
        <v>0</v>
      </c>
      <c r="AC291" s="1345">
        <v>116</v>
      </c>
      <c r="AD291" s="1345" t="s">
        <v>1812</v>
      </c>
    </row>
    <row r="292" spans="1:30" ht="13.5" x14ac:dyDescent="0.25">
      <c r="A292" s="748" t="str">
        <f>IF(RIGHT('Org structure'!D119,18)&lt;&gt;"[Name of sub-vote]",'Org structure'!D119,"")</f>
        <v/>
      </c>
      <c r="B292" s="899"/>
      <c r="C292" s="1360">
        <f>SUMIFS(Sheet1!S71_OriginalBudget,Sheet1!S71_SubMunicipalVoteNo,$AC:$AC,Sheet1!S71_ItemType,$AD:$AD)</f>
        <v>0</v>
      </c>
      <c r="D292" s="1356">
        <f>SUMIFS(Sheet1!S71_SpecialAdjustedBudget,Sheet1!S71_SubMunicipalVoteNo,$AC:$AC,Sheet1!S71_ItemType,$AD:$AD)</f>
        <v>0</v>
      </c>
      <c r="E292" s="1356"/>
      <c r="F292" s="1356"/>
      <c r="G292" s="1356"/>
      <c r="H292" s="1356"/>
      <c r="I292" s="1356">
        <f>SUMIFS(Sheet1!S71_AdjustmentAmount,Sheet1!S71_SubMunicipalVoteNo,$AC:$AC,Sheet1!S71_ItemType,$AD:$AD)</f>
        <v>0</v>
      </c>
      <c r="J292" s="75">
        <f t="shared" si="41"/>
        <v>0</v>
      </c>
      <c r="K292" s="75">
        <f t="shared" si="36"/>
        <v>0</v>
      </c>
      <c r="L292" s="1356">
        <f>SUMIFS(Sheet1!S71_OY1AdjustedBudget,Sheet1!S71_SubMunicipalVoteNo,$AC:$AC,Sheet1!S71_ItemType,$AD:$AD)</f>
        <v>0</v>
      </c>
      <c r="M292" s="1357">
        <f>SUMIFS(Sheet1!S71_OY2AdjustedBudget,Sheet1!S71_SubMunicipalVoteNo,$AC:$AC,Sheet1!S71_ItemType,$AD:$AD)</f>
        <v>0</v>
      </c>
      <c r="AC292" s="1345">
        <v>117</v>
      </c>
      <c r="AD292" s="1345" t="s">
        <v>1812</v>
      </c>
    </row>
    <row r="293" spans="1:30" ht="13.5" x14ac:dyDescent="0.25">
      <c r="A293" s="748" t="str">
        <f>IF(RIGHT('Org structure'!D120,18)&lt;&gt;"[Name of sub-vote]",'Org structure'!D120,"")</f>
        <v/>
      </c>
      <c r="B293" s="899"/>
      <c r="C293" s="1360">
        <f>SUMIFS(Sheet1!S71_OriginalBudget,Sheet1!S71_SubMunicipalVoteNo,$AC:$AC,Sheet1!S71_ItemType,$AD:$AD)</f>
        <v>0</v>
      </c>
      <c r="D293" s="1356">
        <f>SUMIFS(Sheet1!S71_SpecialAdjustedBudget,Sheet1!S71_SubMunicipalVoteNo,$AC:$AC,Sheet1!S71_ItemType,$AD:$AD)</f>
        <v>0</v>
      </c>
      <c r="E293" s="1356"/>
      <c r="F293" s="1356"/>
      <c r="G293" s="1356"/>
      <c r="H293" s="1356"/>
      <c r="I293" s="1356">
        <f>SUMIFS(Sheet1!S71_AdjustmentAmount,Sheet1!S71_SubMunicipalVoteNo,$AC:$AC,Sheet1!S71_ItemType,$AD:$AD)</f>
        <v>0</v>
      </c>
      <c r="J293" s="75">
        <f t="shared" si="41"/>
        <v>0</v>
      </c>
      <c r="K293" s="75">
        <f t="shared" si="36"/>
        <v>0</v>
      </c>
      <c r="L293" s="1356">
        <f>SUMIFS(Sheet1!S71_OY1AdjustedBudget,Sheet1!S71_SubMunicipalVoteNo,$AC:$AC,Sheet1!S71_ItemType,$AD:$AD)</f>
        <v>0</v>
      </c>
      <c r="M293" s="1357">
        <f>SUMIFS(Sheet1!S71_OY2AdjustedBudget,Sheet1!S71_SubMunicipalVoteNo,$AC:$AC,Sheet1!S71_ItemType,$AD:$AD)</f>
        <v>0</v>
      </c>
      <c r="AC293" s="1345">
        <v>118</v>
      </c>
      <c r="AD293" s="1345" t="s">
        <v>1812</v>
      </c>
    </row>
    <row r="294" spans="1:30" ht="13.5" x14ac:dyDescent="0.25">
      <c r="A294" s="748" t="str">
        <f>IF(RIGHT('Org structure'!D121,18)&lt;&gt;"[Name of sub-vote]",'Org structure'!D121,"")</f>
        <v/>
      </c>
      <c r="B294" s="899"/>
      <c r="C294" s="1360">
        <f>SUMIFS(Sheet1!S71_OriginalBudget,Sheet1!S71_SubMunicipalVoteNo,$AC:$AC,Sheet1!S71_ItemType,$AD:$AD)</f>
        <v>0</v>
      </c>
      <c r="D294" s="1356">
        <f>SUMIFS(Sheet1!S71_SpecialAdjustedBudget,Sheet1!S71_SubMunicipalVoteNo,$AC:$AC,Sheet1!S71_ItemType,$AD:$AD)</f>
        <v>0</v>
      </c>
      <c r="E294" s="1356"/>
      <c r="F294" s="1356"/>
      <c r="G294" s="1356"/>
      <c r="H294" s="1356"/>
      <c r="I294" s="1356">
        <f>SUMIFS(Sheet1!S71_AdjustmentAmount,Sheet1!S71_SubMunicipalVoteNo,$AC:$AC,Sheet1!S71_ItemType,$AD:$AD)</f>
        <v>0</v>
      </c>
      <c r="J294" s="75">
        <f t="shared" si="41"/>
        <v>0</v>
      </c>
      <c r="K294" s="75">
        <f t="shared" si="36"/>
        <v>0</v>
      </c>
      <c r="L294" s="1356">
        <f>SUMIFS(Sheet1!S71_OY1AdjustedBudget,Sheet1!S71_SubMunicipalVoteNo,$AC:$AC,Sheet1!S71_ItemType,$AD:$AD)</f>
        <v>0</v>
      </c>
      <c r="M294" s="1357">
        <f>SUMIFS(Sheet1!S71_OY2AdjustedBudget,Sheet1!S71_SubMunicipalVoteNo,$AC:$AC,Sheet1!S71_ItemType,$AD:$AD)</f>
        <v>0</v>
      </c>
      <c r="AC294" s="1345">
        <v>119</v>
      </c>
      <c r="AD294" s="1345" t="s">
        <v>1812</v>
      </c>
    </row>
    <row r="295" spans="1:30" ht="13.5" x14ac:dyDescent="0.25">
      <c r="A295" s="748" t="str">
        <f>IF(RIGHT('Org structure'!D122,18)&lt;&gt;"[Name of sub-vote]",'Org structure'!D122,"")</f>
        <v/>
      </c>
      <c r="B295" s="899"/>
      <c r="C295" s="1360">
        <f>SUMIFS(Sheet1!S71_OriginalBudget,Sheet1!S71_SubMunicipalVoteNo,$AC:$AC,Sheet1!S71_ItemType,$AD:$AD)</f>
        <v>0</v>
      </c>
      <c r="D295" s="1356">
        <f>SUMIFS(Sheet1!S71_SpecialAdjustedBudget,Sheet1!S71_SubMunicipalVoteNo,$AC:$AC,Sheet1!S71_ItemType,$AD:$AD)</f>
        <v>0</v>
      </c>
      <c r="E295" s="1356"/>
      <c r="F295" s="1356"/>
      <c r="G295" s="1356"/>
      <c r="H295" s="1356"/>
      <c r="I295" s="1356">
        <f>SUMIFS(Sheet1!S71_AdjustmentAmount,Sheet1!S71_SubMunicipalVoteNo,$AC:$AC,Sheet1!S71_ItemType,$AD:$AD)</f>
        <v>0</v>
      </c>
      <c r="J295" s="75">
        <f t="shared" si="41"/>
        <v>0</v>
      </c>
      <c r="K295" s="75">
        <f t="shared" si="36"/>
        <v>0</v>
      </c>
      <c r="L295" s="1356">
        <f>SUMIFS(Sheet1!S71_OY1AdjustedBudget,Sheet1!S71_SubMunicipalVoteNo,$AC:$AC,Sheet1!S71_ItemType,$AD:$AD)</f>
        <v>0</v>
      </c>
      <c r="M295" s="1357">
        <f>SUMIFS(Sheet1!S71_OY2AdjustedBudget,Sheet1!S71_SubMunicipalVoteNo,$AC:$AC,Sheet1!S71_ItemType,$AD:$AD)</f>
        <v>0</v>
      </c>
      <c r="AC295" s="1345">
        <v>1110</v>
      </c>
      <c r="AD295" s="1345" t="s">
        <v>1812</v>
      </c>
    </row>
    <row r="296" spans="1:30" ht="13.5" x14ac:dyDescent="0.25">
      <c r="A296" s="745" t="str">
        <f t="shared" ref="A296:A329" si="44">A128</f>
        <v>Vote 12 - Waste Management</v>
      </c>
      <c r="B296" s="899"/>
      <c r="C296" s="733">
        <f t="shared" ref="C296:I296" si="45">SUM(C297:C306)</f>
        <v>2558000</v>
      </c>
      <c r="D296" s="732">
        <f t="shared" si="45"/>
        <v>2558000</v>
      </c>
      <c r="E296" s="732">
        <f t="shared" si="45"/>
        <v>0</v>
      </c>
      <c r="F296" s="732">
        <f t="shared" si="45"/>
        <v>0</v>
      </c>
      <c r="G296" s="732">
        <f t="shared" si="45"/>
        <v>0</v>
      </c>
      <c r="H296" s="732">
        <f t="shared" si="45"/>
        <v>0</v>
      </c>
      <c r="I296" s="732">
        <f t="shared" si="45"/>
        <v>-500000</v>
      </c>
      <c r="J296" s="75">
        <f t="shared" si="41"/>
        <v>-500000</v>
      </c>
      <c r="K296" s="75">
        <f t="shared" si="36"/>
        <v>2058000</v>
      </c>
      <c r="L296" s="732">
        <f>SUM(L297:L306)</f>
        <v>2691480</v>
      </c>
      <c r="M296" s="759">
        <f>SUM(M297:M306)</f>
        <v>2832169</v>
      </c>
    </row>
    <row r="297" spans="1:30" ht="13.5" x14ac:dyDescent="0.25">
      <c r="A297" s="748" t="str">
        <f>IF(RIGHT('Org structure'!D124,18)&lt;&gt;"[Name of sub-vote]",'Org structure'!D124,"")</f>
        <v>12.1 - Solid Waste Removal</v>
      </c>
      <c r="B297" s="899"/>
      <c r="C297" s="1360">
        <f>SUMIFS(Sheet1!S71_OriginalBudget,Sheet1!S71_SubMunicipalVoteNo,$AC:$AC,Sheet1!S71_ItemType,$AD:$AD)</f>
        <v>2138000</v>
      </c>
      <c r="D297" s="1356">
        <f>SUMIFS(Sheet1!S71_SpecialAdjustedBudget,Sheet1!S71_SubMunicipalVoteNo,$AC:$AC,Sheet1!S71_ItemType,$AD:$AD)</f>
        <v>2138000</v>
      </c>
      <c r="E297" s="1356"/>
      <c r="F297" s="1356"/>
      <c r="G297" s="1356"/>
      <c r="H297" s="1356"/>
      <c r="I297" s="1356">
        <f>SUMIFS(Sheet1!S71_AdjustmentAmount,Sheet1!S71_SubMunicipalVoteNo,$AC:$AC,Sheet1!S71_ItemType,$AD:$AD)</f>
        <v>-500000</v>
      </c>
      <c r="J297" s="75">
        <f t="shared" si="41"/>
        <v>-500000</v>
      </c>
      <c r="K297" s="75">
        <f t="shared" si="36"/>
        <v>1638000</v>
      </c>
      <c r="L297" s="1356">
        <f>SUMIFS(Sheet1!S71_OY1AdjustedBudget,Sheet1!S71_SubMunicipalVoteNo,$AC:$AC,Sheet1!S71_ItemType,$AD:$AD)</f>
        <v>2246280</v>
      </c>
      <c r="M297" s="1357">
        <f>SUMIFS(Sheet1!S71_OY2AdjustedBudget,Sheet1!S71_SubMunicipalVoteNo,$AC:$AC,Sheet1!S71_ItemType,$AD:$AD)</f>
        <v>2360257</v>
      </c>
      <c r="AC297" s="1345">
        <v>121</v>
      </c>
      <c r="AD297" s="1345" t="s">
        <v>1812</v>
      </c>
    </row>
    <row r="298" spans="1:30" ht="13.5" x14ac:dyDescent="0.25">
      <c r="A298" s="748" t="str">
        <f>IF(RIGHT('Org structure'!D125,18)&lt;&gt;"[Name of sub-vote]",'Org structure'!D125,"")</f>
        <v>12.2 - Street Cleaning</v>
      </c>
      <c r="B298" s="899"/>
      <c r="C298" s="1360">
        <f>SUMIFS(Sheet1!S71_OriginalBudget,Sheet1!S71_SubMunicipalVoteNo,$AC:$AC,Sheet1!S71_ItemType,$AD:$AD)</f>
        <v>40000</v>
      </c>
      <c r="D298" s="1356">
        <f>SUMIFS(Sheet1!S71_SpecialAdjustedBudget,Sheet1!S71_SubMunicipalVoteNo,$AC:$AC,Sheet1!S71_ItemType,$AD:$AD)</f>
        <v>40000</v>
      </c>
      <c r="E298" s="1356"/>
      <c r="F298" s="1356"/>
      <c r="G298" s="1356"/>
      <c r="H298" s="1356"/>
      <c r="I298" s="1356">
        <f>SUMIFS(Sheet1!S71_AdjustmentAmount,Sheet1!S71_SubMunicipalVoteNo,$AC:$AC,Sheet1!S71_ItemType,$AD:$AD)</f>
        <v>0</v>
      </c>
      <c r="J298" s="75">
        <f t="shared" si="41"/>
        <v>0</v>
      </c>
      <c r="K298" s="75">
        <f t="shared" si="36"/>
        <v>40000</v>
      </c>
      <c r="L298" s="1356">
        <f>SUMIFS(Sheet1!S71_OY1AdjustedBudget,Sheet1!S71_SubMunicipalVoteNo,$AC:$AC,Sheet1!S71_ItemType,$AD:$AD)</f>
        <v>42400</v>
      </c>
      <c r="M298" s="1357">
        <f>SUMIFS(Sheet1!S71_OY2AdjustedBudget,Sheet1!S71_SubMunicipalVoteNo,$AC:$AC,Sheet1!S71_ItemType,$AD:$AD)</f>
        <v>44944</v>
      </c>
      <c r="AC298" s="1345">
        <v>122</v>
      </c>
      <c r="AD298" s="1345" t="s">
        <v>1812</v>
      </c>
    </row>
    <row r="299" spans="1:30" ht="13.5" x14ac:dyDescent="0.25">
      <c r="A299" s="748" t="str">
        <f>IF(RIGHT('Org structure'!D126,18)&lt;&gt;"[Name of sub-vote]",'Org structure'!D126,"")</f>
        <v>12.3 - Solid Waste Disposal (Landfill Sites)</v>
      </c>
      <c r="B299" s="899"/>
      <c r="C299" s="1360">
        <f>SUMIFS(Sheet1!S71_OriginalBudget,Sheet1!S71_SubMunicipalVoteNo,$AC:$AC,Sheet1!S71_ItemType,$AD:$AD)</f>
        <v>380000</v>
      </c>
      <c r="D299" s="1356">
        <f>SUMIFS(Sheet1!S71_SpecialAdjustedBudget,Sheet1!S71_SubMunicipalVoteNo,$AC:$AC,Sheet1!S71_ItemType,$AD:$AD)</f>
        <v>380000</v>
      </c>
      <c r="E299" s="1356"/>
      <c r="F299" s="1356"/>
      <c r="G299" s="1356"/>
      <c r="H299" s="1356"/>
      <c r="I299" s="1356">
        <f>SUMIFS(Sheet1!S71_AdjustmentAmount,Sheet1!S71_SubMunicipalVoteNo,$AC:$AC,Sheet1!S71_ItemType,$AD:$AD)</f>
        <v>0</v>
      </c>
      <c r="J299" s="75">
        <f t="shared" si="41"/>
        <v>0</v>
      </c>
      <c r="K299" s="75">
        <f t="shared" si="36"/>
        <v>380000</v>
      </c>
      <c r="L299" s="1356">
        <f>SUMIFS(Sheet1!S71_OY1AdjustedBudget,Sheet1!S71_SubMunicipalVoteNo,$AC:$AC,Sheet1!S71_ItemType,$AD:$AD)</f>
        <v>402800</v>
      </c>
      <c r="M299" s="1357">
        <f>SUMIFS(Sheet1!S71_OY2AdjustedBudget,Sheet1!S71_SubMunicipalVoteNo,$AC:$AC,Sheet1!S71_ItemType,$AD:$AD)</f>
        <v>426968</v>
      </c>
      <c r="AC299" s="1345">
        <v>123</v>
      </c>
      <c r="AD299" s="1345" t="s">
        <v>1812</v>
      </c>
    </row>
    <row r="300" spans="1:30" ht="13.5" x14ac:dyDescent="0.25">
      <c r="A300" s="748" t="str">
        <f>IF(RIGHT('Org structure'!D127,18)&lt;&gt;"[Name of sub-vote]",'Org structure'!D127,"")</f>
        <v/>
      </c>
      <c r="B300" s="899"/>
      <c r="C300" s="1360">
        <f>SUMIFS(Sheet1!S71_OriginalBudget,Sheet1!S71_SubMunicipalVoteNo,$AC:$AC,Sheet1!S71_ItemType,$AD:$AD)</f>
        <v>0</v>
      </c>
      <c r="D300" s="1356">
        <f>SUMIFS(Sheet1!S71_SpecialAdjustedBudget,Sheet1!S71_SubMunicipalVoteNo,$AC:$AC,Sheet1!S71_ItemType,$AD:$AD)</f>
        <v>0</v>
      </c>
      <c r="E300" s="1356"/>
      <c r="F300" s="1356"/>
      <c r="G300" s="1356"/>
      <c r="H300" s="1356"/>
      <c r="I300" s="1356">
        <f>SUMIFS(Sheet1!S71_AdjustmentAmount,Sheet1!S71_SubMunicipalVoteNo,$AC:$AC,Sheet1!S71_ItemType,$AD:$AD)</f>
        <v>0</v>
      </c>
      <c r="J300" s="75">
        <f t="shared" si="41"/>
        <v>0</v>
      </c>
      <c r="K300" s="75">
        <f t="shared" si="36"/>
        <v>0</v>
      </c>
      <c r="L300" s="1356">
        <f>SUMIFS(Sheet1!S71_OY1AdjustedBudget,Sheet1!S71_SubMunicipalVoteNo,$AC:$AC,Sheet1!S71_ItemType,$AD:$AD)</f>
        <v>0</v>
      </c>
      <c r="M300" s="1357">
        <f>SUMIFS(Sheet1!S71_OY2AdjustedBudget,Sheet1!S71_SubMunicipalVoteNo,$AC:$AC,Sheet1!S71_ItemType,$AD:$AD)</f>
        <v>0</v>
      </c>
      <c r="AC300" s="1345">
        <v>124</v>
      </c>
      <c r="AD300" s="1345" t="s">
        <v>1812</v>
      </c>
    </row>
    <row r="301" spans="1:30" ht="13.5" x14ac:dyDescent="0.25">
      <c r="A301" s="748" t="str">
        <f>IF(RIGHT('Org structure'!D128,18)&lt;&gt;"[Name of sub-vote]",'Org structure'!D128,"")</f>
        <v/>
      </c>
      <c r="B301" s="899"/>
      <c r="C301" s="1360">
        <f>SUMIFS(Sheet1!S71_OriginalBudget,Sheet1!S71_SubMunicipalVoteNo,$AC:$AC,Sheet1!S71_ItemType,$AD:$AD)</f>
        <v>0</v>
      </c>
      <c r="D301" s="1356">
        <f>SUMIFS(Sheet1!S71_SpecialAdjustedBudget,Sheet1!S71_SubMunicipalVoteNo,$AC:$AC,Sheet1!S71_ItemType,$AD:$AD)</f>
        <v>0</v>
      </c>
      <c r="E301" s="1356"/>
      <c r="F301" s="1356"/>
      <c r="G301" s="1356"/>
      <c r="H301" s="1356"/>
      <c r="I301" s="1356">
        <f>SUMIFS(Sheet1!S71_AdjustmentAmount,Sheet1!S71_SubMunicipalVoteNo,$AC:$AC,Sheet1!S71_ItemType,$AD:$AD)</f>
        <v>0</v>
      </c>
      <c r="J301" s="75">
        <f t="shared" si="41"/>
        <v>0</v>
      </c>
      <c r="K301" s="75">
        <f t="shared" si="36"/>
        <v>0</v>
      </c>
      <c r="L301" s="1356">
        <f>SUMIFS(Sheet1!S71_OY1AdjustedBudget,Sheet1!S71_SubMunicipalVoteNo,$AC:$AC,Sheet1!S71_ItemType,$AD:$AD)</f>
        <v>0</v>
      </c>
      <c r="M301" s="1357">
        <f>SUMIFS(Sheet1!S71_OY2AdjustedBudget,Sheet1!S71_SubMunicipalVoteNo,$AC:$AC,Sheet1!S71_ItemType,$AD:$AD)</f>
        <v>0</v>
      </c>
      <c r="AC301" s="1345">
        <v>125</v>
      </c>
      <c r="AD301" s="1345" t="s">
        <v>1812</v>
      </c>
    </row>
    <row r="302" spans="1:30" ht="13.5" x14ac:dyDescent="0.25">
      <c r="A302" s="748" t="str">
        <f>IF(RIGHT('Org structure'!D129,18)&lt;&gt;"[Name of sub-vote]",'Org structure'!D129,"")</f>
        <v/>
      </c>
      <c r="B302" s="899"/>
      <c r="C302" s="1360">
        <f>SUMIFS(Sheet1!S71_OriginalBudget,Sheet1!S71_SubMunicipalVoteNo,$AC:$AC,Sheet1!S71_ItemType,$AD:$AD)</f>
        <v>0</v>
      </c>
      <c r="D302" s="1356">
        <f>SUMIFS(Sheet1!S71_SpecialAdjustedBudget,Sheet1!S71_SubMunicipalVoteNo,$AC:$AC,Sheet1!S71_ItemType,$AD:$AD)</f>
        <v>0</v>
      </c>
      <c r="E302" s="1356"/>
      <c r="F302" s="1356"/>
      <c r="G302" s="1356"/>
      <c r="H302" s="1356"/>
      <c r="I302" s="1356">
        <f>SUMIFS(Sheet1!S71_AdjustmentAmount,Sheet1!S71_SubMunicipalVoteNo,$AC:$AC,Sheet1!S71_ItemType,$AD:$AD)</f>
        <v>0</v>
      </c>
      <c r="J302" s="75">
        <f t="shared" si="41"/>
        <v>0</v>
      </c>
      <c r="K302" s="75">
        <f t="shared" si="36"/>
        <v>0</v>
      </c>
      <c r="L302" s="1356">
        <f>SUMIFS(Sheet1!S71_OY1AdjustedBudget,Sheet1!S71_SubMunicipalVoteNo,$AC:$AC,Sheet1!S71_ItemType,$AD:$AD)</f>
        <v>0</v>
      </c>
      <c r="M302" s="1357">
        <f>SUMIFS(Sheet1!S71_OY2AdjustedBudget,Sheet1!S71_SubMunicipalVoteNo,$AC:$AC,Sheet1!S71_ItemType,$AD:$AD)</f>
        <v>0</v>
      </c>
      <c r="AC302" s="1345">
        <v>126</v>
      </c>
      <c r="AD302" s="1345" t="s">
        <v>1812</v>
      </c>
    </row>
    <row r="303" spans="1:30" ht="13.5" x14ac:dyDescent="0.25">
      <c r="A303" s="748" t="str">
        <f>IF(RIGHT('Org structure'!D130,18)&lt;&gt;"[Name of sub-vote]",'Org structure'!D130,"")</f>
        <v/>
      </c>
      <c r="B303" s="899"/>
      <c r="C303" s="1360">
        <f>SUMIFS(Sheet1!S71_OriginalBudget,Sheet1!S71_SubMunicipalVoteNo,$AC:$AC,Sheet1!S71_ItemType,$AD:$AD)</f>
        <v>0</v>
      </c>
      <c r="D303" s="1356">
        <f>SUMIFS(Sheet1!S71_SpecialAdjustedBudget,Sheet1!S71_SubMunicipalVoteNo,$AC:$AC,Sheet1!S71_ItemType,$AD:$AD)</f>
        <v>0</v>
      </c>
      <c r="E303" s="1356"/>
      <c r="F303" s="1356"/>
      <c r="G303" s="1356"/>
      <c r="H303" s="1356"/>
      <c r="I303" s="1356">
        <f>SUMIFS(Sheet1!S71_AdjustmentAmount,Sheet1!S71_SubMunicipalVoteNo,$AC:$AC,Sheet1!S71_ItemType,$AD:$AD)</f>
        <v>0</v>
      </c>
      <c r="J303" s="75">
        <f t="shared" ref="J303:J334" si="46">SUM(E303:I303)</f>
        <v>0</v>
      </c>
      <c r="K303" s="75">
        <f t="shared" si="36"/>
        <v>0</v>
      </c>
      <c r="L303" s="1356">
        <f>SUMIFS(Sheet1!S71_OY1AdjustedBudget,Sheet1!S71_SubMunicipalVoteNo,$AC:$AC,Sheet1!S71_ItemType,$AD:$AD)</f>
        <v>0</v>
      </c>
      <c r="M303" s="1357">
        <f>SUMIFS(Sheet1!S71_OY2AdjustedBudget,Sheet1!S71_SubMunicipalVoteNo,$AC:$AC,Sheet1!S71_ItemType,$AD:$AD)</f>
        <v>0</v>
      </c>
      <c r="AC303" s="1345">
        <v>127</v>
      </c>
      <c r="AD303" s="1345" t="s">
        <v>1812</v>
      </c>
    </row>
    <row r="304" spans="1:30" ht="13.5" x14ac:dyDescent="0.25">
      <c r="A304" s="748" t="str">
        <f>IF(RIGHT('Org structure'!D131,18)&lt;&gt;"[Name of sub-vote]",'Org structure'!D131,"")</f>
        <v/>
      </c>
      <c r="B304" s="899"/>
      <c r="C304" s="1360">
        <f>SUMIFS(Sheet1!S71_OriginalBudget,Sheet1!S71_SubMunicipalVoteNo,$AC:$AC,Sheet1!S71_ItemType,$AD:$AD)</f>
        <v>0</v>
      </c>
      <c r="D304" s="1356">
        <f>SUMIFS(Sheet1!S71_SpecialAdjustedBudget,Sheet1!S71_SubMunicipalVoteNo,$AC:$AC,Sheet1!S71_ItemType,$AD:$AD)</f>
        <v>0</v>
      </c>
      <c r="E304" s="1356"/>
      <c r="F304" s="1356"/>
      <c r="G304" s="1356"/>
      <c r="H304" s="1356"/>
      <c r="I304" s="1356">
        <f>SUMIFS(Sheet1!S71_AdjustmentAmount,Sheet1!S71_SubMunicipalVoteNo,$AC:$AC,Sheet1!S71_ItemType,$AD:$AD)</f>
        <v>0</v>
      </c>
      <c r="J304" s="75">
        <f t="shared" si="46"/>
        <v>0</v>
      </c>
      <c r="K304" s="75">
        <f t="shared" ref="K304:K339" si="47">IF(D304=0,C304+J304,D304+J304)</f>
        <v>0</v>
      </c>
      <c r="L304" s="1356">
        <f>SUMIFS(Sheet1!S71_OY1AdjustedBudget,Sheet1!S71_SubMunicipalVoteNo,$AC:$AC,Sheet1!S71_ItemType,$AD:$AD)</f>
        <v>0</v>
      </c>
      <c r="M304" s="1357">
        <f>SUMIFS(Sheet1!S71_OY2AdjustedBudget,Sheet1!S71_SubMunicipalVoteNo,$AC:$AC,Sheet1!S71_ItemType,$AD:$AD)</f>
        <v>0</v>
      </c>
      <c r="AC304" s="1345">
        <v>128</v>
      </c>
      <c r="AD304" s="1345" t="s">
        <v>1812</v>
      </c>
    </row>
    <row r="305" spans="1:30" ht="13.5" x14ac:dyDescent="0.25">
      <c r="A305" s="748" t="str">
        <f>IF(RIGHT('Org structure'!D132,18)&lt;&gt;"[Name of sub-vote]",'Org structure'!D132,"")</f>
        <v/>
      </c>
      <c r="B305" s="899"/>
      <c r="C305" s="1360">
        <f>SUMIFS(Sheet1!S71_OriginalBudget,Sheet1!S71_SubMunicipalVoteNo,$AC:$AC,Sheet1!S71_ItemType,$AD:$AD)</f>
        <v>0</v>
      </c>
      <c r="D305" s="1356">
        <f>SUMIFS(Sheet1!S71_SpecialAdjustedBudget,Sheet1!S71_SubMunicipalVoteNo,$AC:$AC,Sheet1!S71_ItemType,$AD:$AD)</f>
        <v>0</v>
      </c>
      <c r="E305" s="1356"/>
      <c r="F305" s="1356"/>
      <c r="G305" s="1356"/>
      <c r="H305" s="1356"/>
      <c r="I305" s="1356">
        <f>SUMIFS(Sheet1!S71_AdjustmentAmount,Sheet1!S71_SubMunicipalVoteNo,$AC:$AC,Sheet1!S71_ItemType,$AD:$AD)</f>
        <v>0</v>
      </c>
      <c r="J305" s="75">
        <f t="shared" si="46"/>
        <v>0</v>
      </c>
      <c r="K305" s="75">
        <f t="shared" si="47"/>
        <v>0</v>
      </c>
      <c r="L305" s="1356">
        <f>SUMIFS(Sheet1!S71_OY1AdjustedBudget,Sheet1!S71_SubMunicipalVoteNo,$AC:$AC,Sheet1!S71_ItemType,$AD:$AD)</f>
        <v>0</v>
      </c>
      <c r="M305" s="1357">
        <f>SUMIFS(Sheet1!S71_OY2AdjustedBudget,Sheet1!S71_SubMunicipalVoteNo,$AC:$AC,Sheet1!S71_ItemType,$AD:$AD)</f>
        <v>0</v>
      </c>
      <c r="AC305" s="1345">
        <v>129</v>
      </c>
      <c r="AD305" s="1345" t="s">
        <v>1812</v>
      </c>
    </row>
    <row r="306" spans="1:30" ht="13.5" x14ac:dyDescent="0.25">
      <c r="A306" s="748" t="str">
        <f>IF(RIGHT('Org structure'!D133,18)&lt;&gt;"[Name of sub-vote]",'Org structure'!D133,"")</f>
        <v/>
      </c>
      <c r="B306" s="899"/>
      <c r="C306" s="1360">
        <f>SUMIFS(Sheet1!S71_OriginalBudget,Sheet1!S71_SubMunicipalVoteNo,$AC:$AC,Sheet1!S71_ItemType,$AD:$AD)</f>
        <v>0</v>
      </c>
      <c r="D306" s="1356">
        <f>SUMIFS(Sheet1!S71_SpecialAdjustedBudget,Sheet1!S71_SubMunicipalVoteNo,$AC:$AC,Sheet1!S71_ItemType,$AD:$AD)</f>
        <v>0</v>
      </c>
      <c r="E306" s="1356"/>
      <c r="F306" s="1356"/>
      <c r="G306" s="1356"/>
      <c r="H306" s="1356"/>
      <c r="I306" s="1356">
        <f>SUMIFS(Sheet1!S71_AdjustmentAmount,Sheet1!S71_SubMunicipalVoteNo,$AC:$AC,Sheet1!S71_ItemType,$AD:$AD)</f>
        <v>0</v>
      </c>
      <c r="J306" s="75">
        <f t="shared" si="46"/>
        <v>0</v>
      </c>
      <c r="K306" s="75">
        <f t="shared" si="47"/>
        <v>0</v>
      </c>
      <c r="L306" s="1356">
        <f>SUMIFS(Sheet1!S71_OY1AdjustedBudget,Sheet1!S71_SubMunicipalVoteNo,$AC:$AC,Sheet1!S71_ItemType,$AD:$AD)</f>
        <v>0</v>
      </c>
      <c r="M306" s="1357">
        <f>SUMIFS(Sheet1!S71_OY2AdjustedBudget,Sheet1!S71_SubMunicipalVoteNo,$AC:$AC,Sheet1!S71_ItemType,$AD:$AD)</f>
        <v>0</v>
      </c>
      <c r="AC306" s="1345">
        <v>1210</v>
      </c>
      <c r="AD306" s="1345" t="s">
        <v>1812</v>
      </c>
    </row>
    <row r="307" spans="1:30" ht="13.5" x14ac:dyDescent="0.25">
      <c r="A307" s="745" t="str">
        <f t="shared" si="44"/>
        <v>Vote 13 - Housing</v>
      </c>
      <c r="B307" s="899"/>
      <c r="C307" s="733">
        <f t="shared" ref="C307:I307" si="48">SUM(C308:C317)</f>
        <v>0</v>
      </c>
      <c r="D307" s="732">
        <f t="shared" si="48"/>
        <v>0</v>
      </c>
      <c r="E307" s="732">
        <f t="shared" si="48"/>
        <v>0</v>
      </c>
      <c r="F307" s="732">
        <f t="shared" si="48"/>
        <v>0</v>
      </c>
      <c r="G307" s="732">
        <f t="shared" si="48"/>
        <v>0</v>
      </c>
      <c r="H307" s="732">
        <f t="shared" si="48"/>
        <v>0</v>
      </c>
      <c r="I307" s="732">
        <f t="shared" si="48"/>
        <v>0</v>
      </c>
      <c r="J307" s="75">
        <f t="shared" si="46"/>
        <v>0</v>
      </c>
      <c r="K307" s="75">
        <f t="shared" si="47"/>
        <v>0</v>
      </c>
      <c r="L307" s="732">
        <f>SUM(L308:L317)</f>
        <v>0</v>
      </c>
      <c r="M307" s="759">
        <f>SUM(M308:M317)</f>
        <v>0</v>
      </c>
    </row>
    <row r="308" spans="1:30" ht="13.5" x14ac:dyDescent="0.25">
      <c r="A308" s="748" t="str">
        <f>IF(RIGHT('Org structure'!D135,18)&lt;&gt;"[Name of sub-vote]",'Org structure'!D135,"")</f>
        <v>13.1 - Housing</v>
      </c>
      <c r="B308" s="899"/>
      <c r="C308" s="1360">
        <f>SUMIFS(Sheet1!S71_OriginalBudget,Sheet1!S71_SubMunicipalVoteNo,$AC:$AC,Sheet1!S71_ItemType,$AD:$AD)</f>
        <v>0</v>
      </c>
      <c r="D308" s="1356">
        <f>SUMIFS(Sheet1!S71_SpecialAdjustedBudget,Sheet1!S71_SubMunicipalVoteNo,$AC:$AC,Sheet1!S71_ItemType,$AD:$AD)</f>
        <v>0</v>
      </c>
      <c r="E308" s="1356"/>
      <c r="F308" s="1356"/>
      <c r="G308" s="1356"/>
      <c r="H308" s="1356"/>
      <c r="I308" s="1356">
        <f>SUMIFS(Sheet1!S71_AdjustmentAmount,Sheet1!S71_SubMunicipalVoteNo,$AC:$AC,Sheet1!S71_ItemType,$AD:$AD)</f>
        <v>0</v>
      </c>
      <c r="J308" s="75">
        <f t="shared" si="46"/>
        <v>0</v>
      </c>
      <c r="K308" s="75">
        <f t="shared" si="47"/>
        <v>0</v>
      </c>
      <c r="L308" s="1356">
        <f>SUMIFS(Sheet1!S71_OY1AdjustedBudget,Sheet1!S71_SubMunicipalVoteNo,$AC:$AC,Sheet1!S71_ItemType,$AD:$AD)</f>
        <v>0</v>
      </c>
      <c r="M308" s="1357">
        <f>SUMIFS(Sheet1!S71_OY2AdjustedBudget,Sheet1!S71_SubMunicipalVoteNo,$AC:$AC,Sheet1!S71_ItemType,$AD:$AD)</f>
        <v>0</v>
      </c>
      <c r="AC308" s="1345">
        <v>131</v>
      </c>
      <c r="AD308" s="1345" t="s">
        <v>1812</v>
      </c>
    </row>
    <row r="309" spans="1:30" ht="13.5" x14ac:dyDescent="0.25">
      <c r="A309" s="748" t="str">
        <f>IF(RIGHT('Org structure'!D136,18)&lt;&gt;"[Name of sub-vote]",'Org structure'!D136,"")</f>
        <v/>
      </c>
      <c r="B309" s="899"/>
      <c r="C309" s="1360">
        <f>SUMIFS(Sheet1!S71_OriginalBudget,Sheet1!S71_SubMunicipalVoteNo,$AC:$AC,Sheet1!S71_ItemType,$AD:$AD)</f>
        <v>0</v>
      </c>
      <c r="D309" s="1356">
        <f>SUMIFS(Sheet1!S71_SpecialAdjustedBudget,Sheet1!S71_SubMunicipalVoteNo,$AC:$AC,Sheet1!S71_ItemType,$AD:$AD)</f>
        <v>0</v>
      </c>
      <c r="E309" s="1356"/>
      <c r="F309" s="1356"/>
      <c r="G309" s="1356"/>
      <c r="H309" s="1356"/>
      <c r="I309" s="1356">
        <f>SUMIFS(Sheet1!S71_AdjustmentAmount,Sheet1!S71_SubMunicipalVoteNo,$AC:$AC,Sheet1!S71_ItemType,$AD:$AD)</f>
        <v>0</v>
      </c>
      <c r="J309" s="75">
        <f t="shared" si="46"/>
        <v>0</v>
      </c>
      <c r="K309" s="75">
        <f t="shared" si="47"/>
        <v>0</v>
      </c>
      <c r="L309" s="1356">
        <f>SUMIFS(Sheet1!S71_OY1AdjustedBudget,Sheet1!S71_SubMunicipalVoteNo,$AC:$AC,Sheet1!S71_ItemType,$AD:$AD)</f>
        <v>0</v>
      </c>
      <c r="M309" s="1357">
        <f>SUMIFS(Sheet1!S71_OY2AdjustedBudget,Sheet1!S71_SubMunicipalVoteNo,$AC:$AC,Sheet1!S71_ItemType,$AD:$AD)</f>
        <v>0</v>
      </c>
      <c r="AC309" s="1345">
        <v>132</v>
      </c>
      <c r="AD309" s="1345" t="s">
        <v>1812</v>
      </c>
    </row>
    <row r="310" spans="1:30" ht="13.5" x14ac:dyDescent="0.25">
      <c r="A310" s="748" t="str">
        <f>IF(RIGHT('Org structure'!D137,18)&lt;&gt;"[Name of sub-vote]",'Org structure'!D137,"")</f>
        <v/>
      </c>
      <c r="B310" s="899"/>
      <c r="C310" s="1360">
        <f>SUMIFS(Sheet1!S71_OriginalBudget,Sheet1!S71_SubMunicipalVoteNo,$AC:$AC,Sheet1!S71_ItemType,$AD:$AD)</f>
        <v>0</v>
      </c>
      <c r="D310" s="1356">
        <f>SUMIFS(Sheet1!S71_SpecialAdjustedBudget,Sheet1!S71_SubMunicipalVoteNo,$AC:$AC,Sheet1!S71_ItemType,$AD:$AD)</f>
        <v>0</v>
      </c>
      <c r="E310" s="1356"/>
      <c r="F310" s="1356"/>
      <c r="G310" s="1356"/>
      <c r="H310" s="1356"/>
      <c r="I310" s="1356">
        <f>SUMIFS(Sheet1!S71_AdjustmentAmount,Sheet1!S71_SubMunicipalVoteNo,$AC:$AC,Sheet1!S71_ItemType,$AD:$AD)</f>
        <v>0</v>
      </c>
      <c r="J310" s="75">
        <f t="shared" si="46"/>
        <v>0</v>
      </c>
      <c r="K310" s="75">
        <f t="shared" si="47"/>
        <v>0</v>
      </c>
      <c r="L310" s="1356">
        <f>SUMIFS(Sheet1!S71_OY1AdjustedBudget,Sheet1!S71_SubMunicipalVoteNo,$AC:$AC,Sheet1!S71_ItemType,$AD:$AD)</f>
        <v>0</v>
      </c>
      <c r="M310" s="1357">
        <f>SUMIFS(Sheet1!S71_OY2AdjustedBudget,Sheet1!S71_SubMunicipalVoteNo,$AC:$AC,Sheet1!S71_ItemType,$AD:$AD)</f>
        <v>0</v>
      </c>
      <c r="AC310" s="1345">
        <v>133</v>
      </c>
      <c r="AD310" s="1345" t="s">
        <v>1812</v>
      </c>
    </row>
    <row r="311" spans="1:30" ht="13.5" x14ac:dyDescent="0.25">
      <c r="A311" s="748" t="str">
        <f>IF(RIGHT('Org structure'!D138,18)&lt;&gt;"[Name of sub-vote]",'Org structure'!D138,"")</f>
        <v/>
      </c>
      <c r="B311" s="899"/>
      <c r="C311" s="1360">
        <f>SUMIFS(Sheet1!S71_OriginalBudget,Sheet1!S71_SubMunicipalVoteNo,$AC:$AC,Sheet1!S71_ItemType,$AD:$AD)</f>
        <v>0</v>
      </c>
      <c r="D311" s="1356">
        <f>SUMIFS(Sheet1!S71_SpecialAdjustedBudget,Sheet1!S71_SubMunicipalVoteNo,$AC:$AC,Sheet1!S71_ItemType,$AD:$AD)</f>
        <v>0</v>
      </c>
      <c r="E311" s="1356"/>
      <c r="F311" s="1356"/>
      <c r="G311" s="1356"/>
      <c r="H311" s="1356"/>
      <c r="I311" s="1356">
        <f>SUMIFS(Sheet1!S71_AdjustmentAmount,Sheet1!S71_SubMunicipalVoteNo,$AC:$AC,Sheet1!S71_ItemType,$AD:$AD)</f>
        <v>0</v>
      </c>
      <c r="J311" s="75">
        <f t="shared" si="46"/>
        <v>0</v>
      </c>
      <c r="K311" s="75">
        <f t="shared" si="47"/>
        <v>0</v>
      </c>
      <c r="L311" s="1356">
        <f>SUMIFS(Sheet1!S71_OY1AdjustedBudget,Sheet1!S71_SubMunicipalVoteNo,$AC:$AC,Sheet1!S71_ItemType,$AD:$AD)</f>
        <v>0</v>
      </c>
      <c r="M311" s="1357">
        <f>SUMIFS(Sheet1!S71_OY2AdjustedBudget,Sheet1!S71_SubMunicipalVoteNo,$AC:$AC,Sheet1!S71_ItemType,$AD:$AD)</f>
        <v>0</v>
      </c>
      <c r="AC311" s="1345">
        <v>134</v>
      </c>
      <c r="AD311" s="1345" t="s">
        <v>1812</v>
      </c>
    </row>
    <row r="312" spans="1:30" ht="13.5" x14ac:dyDescent="0.25">
      <c r="A312" s="748" t="str">
        <f>IF(RIGHT('Org structure'!D139,18)&lt;&gt;"[Name of sub-vote]",'Org structure'!D139,"")</f>
        <v/>
      </c>
      <c r="B312" s="899"/>
      <c r="C312" s="1360">
        <f>SUMIFS(Sheet1!S71_OriginalBudget,Sheet1!S71_SubMunicipalVoteNo,$AC:$AC,Sheet1!S71_ItemType,$AD:$AD)</f>
        <v>0</v>
      </c>
      <c r="D312" s="1356">
        <f>SUMIFS(Sheet1!S71_SpecialAdjustedBudget,Sheet1!S71_SubMunicipalVoteNo,$AC:$AC,Sheet1!S71_ItemType,$AD:$AD)</f>
        <v>0</v>
      </c>
      <c r="E312" s="1356"/>
      <c r="F312" s="1356"/>
      <c r="G312" s="1356"/>
      <c r="H312" s="1356"/>
      <c r="I312" s="1356">
        <f>SUMIFS(Sheet1!S71_AdjustmentAmount,Sheet1!S71_SubMunicipalVoteNo,$AC:$AC,Sheet1!S71_ItemType,$AD:$AD)</f>
        <v>0</v>
      </c>
      <c r="J312" s="75">
        <f t="shared" si="46"/>
        <v>0</v>
      </c>
      <c r="K312" s="75">
        <f t="shared" si="47"/>
        <v>0</v>
      </c>
      <c r="L312" s="1356">
        <f>SUMIFS(Sheet1!S71_OY1AdjustedBudget,Sheet1!S71_SubMunicipalVoteNo,$AC:$AC,Sheet1!S71_ItemType,$AD:$AD)</f>
        <v>0</v>
      </c>
      <c r="M312" s="1357">
        <f>SUMIFS(Sheet1!S71_OY2AdjustedBudget,Sheet1!S71_SubMunicipalVoteNo,$AC:$AC,Sheet1!S71_ItemType,$AD:$AD)</f>
        <v>0</v>
      </c>
      <c r="AC312" s="1345">
        <v>135</v>
      </c>
      <c r="AD312" s="1345" t="s">
        <v>1812</v>
      </c>
    </row>
    <row r="313" spans="1:30" ht="13.5" x14ac:dyDescent="0.25">
      <c r="A313" s="748" t="str">
        <f>IF(RIGHT('Org structure'!D140,18)&lt;&gt;"[Name of sub-vote]",'Org structure'!D140,"")</f>
        <v/>
      </c>
      <c r="B313" s="899"/>
      <c r="C313" s="1360">
        <f>SUMIFS(Sheet1!S71_OriginalBudget,Sheet1!S71_SubMunicipalVoteNo,$AC:$AC,Sheet1!S71_ItemType,$AD:$AD)</f>
        <v>0</v>
      </c>
      <c r="D313" s="1356">
        <f>SUMIFS(Sheet1!S71_SpecialAdjustedBudget,Sheet1!S71_SubMunicipalVoteNo,$AC:$AC,Sheet1!S71_ItemType,$AD:$AD)</f>
        <v>0</v>
      </c>
      <c r="E313" s="1356"/>
      <c r="F313" s="1356"/>
      <c r="G313" s="1356"/>
      <c r="H313" s="1356"/>
      <c r="I313" s="1356">
        <f>SUMIFS(Sheet1!S71_AdjustmentAmount,Sheet1!S71_SubMunicipalVoteNo,$AC:$AC,Sheet1!S71_ItemType,$AD:$AD)</f>
        <v>0</v>
      </c>
      <c r="J313" s="75">
        <f t="shared" si="46"/>
        <v>0</v>
      </c>
      <c r="K313" s="75">
        <f t="shared" si="47"/>
        <v>0</v>
      </c>
      <c r="L313" s="1356">
        <f>SUMIFS(Sheet1!S71_OY1AdjustedBudget,Sheet1!S71_SubMunicipalVoteNo,$AC:$AC,Sheet1!S71_ItemType,$AD:$AD)</f>
        <v>0</v>
      </c>
      <c r="M313" s="1357">
        <f>SUMIFS(Sheet1!S71_OY2AdjustedBudget,Sheet1!S71_SubMunicipalVoteNo,$AC:$AC,Sheet1!S71_ItemType,$AD:$AD)</f>
        <v>0</v>
      </c>
      <c r="AC313" s="1345">
        <v>136</v>
      </c>
      <c r="AD313" s="1345" t="s">
        <v>1812</v>
      </c>
    </row>
    <row r="314" spans="1:30" ht="13.5" x14ac:dyDescent="0.25">
      <c r="A314" s="748" t="str">
        <f>IF(RIGHT('Org structure'!D141,18)&lt;&gt;"[Name of sub-vote]",'Org structure'!D141,"")</f>
        <v/>
      </c>
      <c r="B314" s="899"/>
      <c r="C314" s="1360">
        <f>SUMIFS(Sheet1!S71_OriginalBudget,Sheet1!S71_SubMunicipalVoteNo,$AC:$AC,Sheet1!S71_ItemType,$AD:$AD)</f>
        <v>0</v>
      </c>
      <c r="D314" s="1356">
        <f>SUMIFS(Sheet1!S71_SpecialAdjustedBudget,Sheet1!S71_SubMunicipalVoteNo,$AC:$AC,Sheet1!S71_ItemType,$AD:$AD)</f>
        <v>0</v>
      </c>
      <c r="E314" s="1356"/>
      <c r="F314" s="1356"/>
      <c r="G314" s="1356"/>
      <c r="H314" s="1356"/>
      <c r="I314" s="1356">
        <f>SUMIFS(Sheet1!S71_AdjustmentAmount,Sheet1!S71_SubMunicipalVoteNo,$AC:$AC,Sheet1!S71_ItemType,$AD:$AD)</f>
        <v>0</v>
      </c>
      <c r="J314" s="75">
        <f t="shared" si="46"/>
        <v>0</v>
      </c>
      <c r="K314" s="75">
        <f t="shared" si="47"/>
        <v>0</v>
      </c>
      <c r="L314" s="1356">
        <f>SUMIFS(Sheet1!S71_OY1AdjustedBudget,Sheet1!S71_SubMunicipalVoteNo,$AC:$AC,Sheet1!S71_ItemType,$AD:$AD)</f>
        <v>0</v>
      </c>
      <c r="M314" s="1357">
        <f>SUMIFS(Sheet1!S71_OY2AdjustedBudget,Sheet1!S71_SubMunicipalVoteNo,$AC:$AC,Sheet1!S71_ItemType,$AD:$AD)</f>
        <v>0</v>
      </c>
      <c r="AC314" s="1345">
        <v>137</v>
      </c>
      <c r="AD314" s="1345" t="s">
        <v>1812</v>
      </c>
    </row>
    <row r="315" spans="1:30" ht="13.5" x14ac:dyDescent="0.25">
      <c r="A315" s="748" t="str">
        <f>IF(RIGHT('Org structure'!D142,18)&lt;&gt;"[Name of sub-vote]",'Org structure'!D142,"")</f>
        <v/>
      </c>
      <c r="B315" s="899"/>
      <c r="C315" s="1360">
        <f>SUMIFS(Sheet1!S71_OriginalBudget,Sheet1!S71_SubMunicipalVoteNo,$AC:$AC,Sheet1!S71_ItemType,$AD:$AD)</f>
        <v>0</v>
      </c>
      <c r="D315" s="1356">
        <f>SUMIFS(Sheet1!S71_SpecialAdjustedBudget,Sheet1!S71_SubMunicipalVoteNo,$AC:$AC,Sheet1!S71_ItemType,$AD:$AD)</f>
        <v>0</v>
      </c>
      <c r="E315" s="1356"/>
      <c r="F315" s="1356"/>
      <c r="G315" s="1356"/>
      <c r="H315" s="1356"/>
      <c r="I315" s="1356">
        <f>SUMIFS(Sheet1!S71_AdjustmentAmount,Sheet1!S71_SubMunicipalVoteNo,$AC:$AC,Sheet1!S71_ItemType,$AD:$AD)</f>
        <v>0</v>
      </c>
      <c r="J315" s="75">
        <f t="shared" si="46"/>
        <v>0</v>
      </c>
      <c r="K315" s="75">
        <f t="shared" si="47"/>
        <v>0</v>
      </c>
      <c r="L315" s="1356">
        <f>SUMIFS(Sheet1!S71_OY1AdjustedBudget,Sheet1!S71_SubMunicipalVoteNo,$AC:$AC,Sheet1!S71_ItemType,$AD:$AD)</f>
        <v>0</v>
      </c>
      <c r="M315" s="1357">
        <f>SUMIFS(Sheet1!S71_OY2AdjustedBudget,Sheet1!S71_SubMunicipalVoteNo,$AC:$AC,Sheet1!S71_ItemType,$AD:$AD)</f>
        <v>0</v>
      </c>
      <c r="AC315" s="1345">
        <v>138</v>
      </c>
      <c r="AD315" s="1345" t="s">
        <v>1812</v>
      </c>
    </row>
    <row r="316" spans="1:30" ht="13.5" x14ac:dyDescent="0.25">
      <c r="A316" s="748" t="str">
        <f>IF(RIGHT('Org structure'!D143,18)&lt;&gt;"[Name of sub-vote]",'Org structure'!D143,"")</f>
        <v/>
      </c>
      <c r="B316" s="899"/>
      <c r="C316" s="1360">
        <f>SUMIFS(Sheet1!S71_OriginalBudget,Sheet1!S71_SubMunicipalVoteNo,$AC:$AC,Sheet1!S71_ItemType,$AD:$AD)</f>
        <v>0</v>
      </c>
      <c r="D316" s="1356">
        <f>SUMIFS(Sheet1!S71_SpecialAdjustedBudget,Sheet1!S71_SubMunicipalVoteNo,$AC:$AC,Sheet1!S71_ItemType,$AD:$AD)</f>
        <v>0</v>
      </c>
      <c r="E316" s="1356"/>
      <c r="F316" s="1356"/>
      <c r="G316" s="1356"/>
      <c r="H316" s="1356"/>
      <c r="I316" s="1356">
        <f>SUMIFS(Sheet1!S71_AdjustmentAmount,Sheet1!S71_SubMunicipalVoteNo,$AC:$AC,Sheet1!S71_ItemType,$AD:$AD)</f>
        <v>0</v>
      </c>
      <c r="J316" s="75">
        <f t="shared" si="46"/>
        <v>0</v>
      </c>
      <c r="K316" s="75">
        <f t="shared" si="47"/>
        <v>0</v>
      </c>
      <c r="L316" s="1356">
        <f>SUMIFS(Sheet1!S71_OY1AdjustedBudget,Sheet1!S71_SubMunicipalVoteNo,$AC:$AC,Sheet1!S71_ItemType,$AD:$AD)</f>
        <v>0</v>
      </c>
      <c r="M316" s="1357">
        <f>SUMIFS(Sheet1!S71_OY2AdjustedBudget,Sheet1!S71_SubMunicipalVoteNo,$AC:$AC,Sheet1!S71_ItemType,$AD:$AD)</f>
        <v>0</v>
      </c>
      <c r="AC316" s="1345">
        <v>139</v>
      </c>
      <c r="AD316" s="1345" t="s">
        <v>1812</v>
      </c>
    </row>
    <row r="317" spans="1:30" ht="13.5" x14ac:dyDescent="0.25">
      <c r="A317" s="748" t="str">
        <f>IF(RIGHT('Org structure'!D144,18)&lt;&gt;"[Name of sub-vote]",'Org structure'!D144,"")</f>
        <v/>
      </c>
      <c r="B317" s="899"/>
      <c r="C317" s="1360">
        <f>SUMIFS(Sheet1!S71_OriginalBudget,Sheet1!S71_SubMunicipalVoteNo,$AC:$AC,Sheet1!S71_ItemType,$AD:$AD)</f>
        <v>0</v>
      </c>
      <c r="D317" s="1356">
        <f>SUMIFS(Sheet1!S71_SpecialAdjustedBudget,Sheet1!S71_SubMunicipalVoteNo,$AC:$AC,Sheet1!S71_ItemType,$AD:$AD)</f>
        <v>0</v>
      </c>
      <c r="E317" s="1356"/>
      <c r="F317" s="1356"/>
      <c r="G317" s="1356"/>
      <c r="H317" s="1356"/>
      <c r="I317" s="1356">
        <f>SUMIFS(Sheet1!S71_AdjustmentAmount,Sheet1!S71_SubMunicipalVoteNo,$AC:$AC,Sheet1!S71_ItemType,$AD:$AD)</f>
        <v>0</v>
      </c>
      <c r="J317" s="75">
        <f t="shared" si="46"/>
        <v>0</v>
      </c>
      <c r="K317" s="75">
        <f t="shared" si="47"/>
        <v>0</v>
      </c>
      <c r="L317" s="1356">
        <f>SUMIFS(Sheet1!S71_OY1AdjustedBudget,Sheet1!S71_SubMunicipalVoteNo,$AC:$AC,Sheet1!S71_ItemType,$AD:$AD)</f>
        <v>0</v>
      </c>
      <c r="M317" s="1357">
        <f>SUMIFS(Sheet1!S71_OY2AdjustedBudget,Sheet1!S71_SubMunicipalVoteNo,$AC:$AC,Sheet1!S71_ItemType,$AD:$AD)</f>
        <v>0</v>
      </c>
      <c r="AC317" s="1345">
        <v>1310</v>
      </c>
      <c r="AD317" s="1345" t="s">
        <v>1812</v>
      </c>
    </row>
    <row r="318" spans="1:30" ht="13.5" x14ac:dyDescent="0.25">
      <c r="A318" s="745" t="str">
        <f t="shared" si="44"/>
        <v>Vote 14 - Waste Water Management</v>
      </c>
      <c r="B318" s="899"/>
      <c r="C318" s="733">
        <f t="shared" ref="C318:I318" si="49">SUM(C319:C328)</f>
        <v>0</v>
      </c>
      <c r="D318" s="732">
        <f t="shared" si="49"/>
        <v>0</v>
      </c>
      <c r="E318" s="732">
        <f t="shared" si="49"/>
        <v>0</v>
      </c>
      <c r="F318" s="732">
        <f t="shared" si="49"/>
        <v>0</v>
      </c>
      <c r="G318" s="732">
        <f t="shared" si="49"/>
        <v>0</v>
      </c>
      <c r="H318" s="732">
        <f t="shared" si="49"/>
        <v>0</v>
      </c>
      <c r="I318" s="732">
        <f t="shared" si="49"/>
        <v>0</v>
      </c>
      <c r="J318" s="75">
        <f t="shared" si="46"/>
        <v>0</v>
      </c>
      <c r="K318" s="75">
        <f t="shared" si="47"/>
        <v>0</v>
      </c>
      <c r="L318" s="732">
        <f>SUM(L319:L328)</f>
        <v>0</v>
      </c>
      <c r="M318" s="759">
        <f>SUM(M319:M328)</f>
        <v>0</v>
      </c>
    </row>
    <row r="319" spans="1:30" ht="13.5" x14ac:dyDescent="0.25">
      <c r="A319" s="748" t="str">
        <f>IF(RIGHT('Org structure'!D146,18)&lt;&gt;"[Name of sub-vote]",'Org structure'!D146,"")</f>
        <v>14.1 - Storm Water Management</v>
      </c>
      <c r="B319" s="899"/>
      <c r="C319" s="1360">
        <f>SUMIFS(Sheet1!S71_OriginalBudget,Sheet1!S71_SubMunicipalVoteNo,$AC:$AC,Sheet1!S71_ItemType,$AD:$AD)</f>
        <v>0</v>
      </c>
      <c r="D319" s="1356">
        <f>SUMIFS(Sheet1!S71_SpecialAdjustedBudget,Sheet1!S71_SubMunicipalVoteNo,$AC:$AC,Sheet1!S71_ItemType,$AD:$AD)</f>
        <v>0</v>
      </c>
      <c r="E319" s="1356"/>
      <c r="F319" s="1356"/>
      <c r="G319" s="1356"/>
      <c r="H319" s="1356"/>
      <c r="I319" s="1356">
        <f>SUMIFS(Sheet1!S71_AdjustmentAmount,Sheet1!S71_SubMunicipalVoteNo,$AC:$AC,Sheet1!S71_ItemType,$AD:$AD)</f>
        <v>0</v>
      </c>
      <c r="J319" s="75">
        <f t="shared" si="46"/>
        <v>0</v>
      </c>
      <c r="K319" s="75">
        <f t="shared" si="47"/>
        <v>0</v>
      </c>
      <c r="L319" s="1356">
        <f>SUMIFS(Sheet1!S71_OY1AdjustedBudget,Sheet1!S71_SubMunicipalVoteNo,$AC:$AC,Sheet1!S71_ItemType,$AD:$AD)</f>
        <v>0</v>
      </c>
      <c r="M319" s="1357">
        <f>SUMIFS(Sheet1!S71_OY2AdjustedBudget,Sheet1!S71_SubMunicipalVoteNo,$AC:$AC,Sheet1!S71_ItemType,$AD:$AD)</f>
        <v>0</v>
      </c>
      <c r="AC319" s="1345">
        <v>141</v>
      </c>
      <c r="AD319" s="1345" t="s">
        <v>1812</v>
      </c>
    </row>
    <row r="320" spans="1:30" ht="13.5" x14ac:dyDescent="0.25">
      <c r="A320" s="748" t="str">
        <f>IF(RIGHT('Org structure'!D147,18)&lt;&gt;"[Name of sub-vote]",'Org structure'!D147,"")</f>
        <v/>
      </c>
      <c r="B320" s="899"/>
      <c r="C320" s="1360">
        <f>SUMIFS(Sheet1!S71_OriginalBudget,Sheet1!S71_SubMunicipalVoteNo,$AC:$AC,Sheet1!S71_ItemType,$AD:$AD)</f>
        <v>0</v>
      </c>
      <c r="D320" s="1356">
        <f>SUMIFS(Sheet1!S71_SpecialAdjustedBudget,Sheet1!S71_SubMunicipalVoteNo,$AC:$AC,Sheet1!S71_ItemType,$AD:$AD)</f>
        <v>0</v>
      </c>
      <c r="E320" s="1356"/>
      <c r="F320" s="1356"/>
      <c r="G320" s="1356"/>
      <c r="H320" s="1356"/>
      <c r="I320" s="1356">
        <f>SUMIFS(Sheet1!S71_AdjustmentAmount,Sheet1!S71_SubMunicipalVoteNo,$AC:$AC,Sheet1!S71_ItemType,$AD:$AD)</f>
        <v>0</v>
      </c>
      <c r="J320" s="75">
        <f t="shared" si="46"/>
        <v>0</v>
      </c>
      <c r="K320" s="75">
        <f t="shared" si="47"/>
        <v>0</v>
      </c>
      <c r="L320" s="1356">
        <f>SUMIFS(Sheet1!S71_OY1AdjustedBudget,Sheet1!S71_SubMunicipalVoteNo,$AC:$AC,Sheet1!S71_ItemType,$AD:$AD)</f>
        <v>0</v>
      </c>
      <c r="M320" s="1357">
        <f>SUMIFS(Sheet1!S71_OY2AdjustedBudget,Sheet1!S71_SubMunicipalVoteNo,$AC:$AC,Sheet1!S71_ItemType,$AD:$AD)</f>
        <v>0</v>
      </c>
      <c r="AC320" s="1345">
        <v>142</v>
      </c>
      <c r="AD320" s="1345" t="s">
        <v>1812</v>
      </c>
    </row>
    <row r="321" spans="1:30" ht="13.5" x14ac:dyDescent="0.25">
      <c r="A321" s="748" t="str">
        <f>IF(RIGHT('Org structure'!D148,18)&lt;&gt;"[Name of sub-vote]",'Org structure'!D148,"")</f>
        <v/>
      </c>
      <c r="B321" s="899"/>
      <c r="C321" s="1360">
        <f>SUMIFS(Sheet1!S71_OriginalBudget,Sheet1!S71_SubMunicipalVoteNo,$AC:$AC,Sheet1!S71_ItemType,$AD:$AD)</f>
        <v>0</v>
      </c>
      <c r="D321" s="1356">
        <f>SUMIFS(Sheet1!S71_SpecialAdjustedBudget,Sheet1!S71_SubMunicipalVoteNo,$AC:$AC,Sheet1!S71_ItemType,$AD:$AD)</f>
        <v>0</v>
      </c>
      <c r="E321" s="1356"/>
      <c r="F321" s="1356"/>
      <c r="G321" s="1356"/>
      <c r="H321" s="1356"/>
      <c r="I321" s="1356">
        <f>SUMIFS(Sheet1!S71_AdjustmentAmount,Sheet1!S71_SubMunicipalVoteNo,$AC:$AC,Sheet1!S71_ItemType,$AD:$AD)</f>
        <v>0</v>
      </c>
      <c r="J321" s="75">
        <f t="shared" si="46"/>
        <v>0</v>
      </c>
      <c r="K321" s="75">
        <f t="shared" si="47"/>
        <v>0</v>
      </c>
      <c r="L321" s="1356">
        <f>SUMIFS(Sheet1!S71_OY1AdjustedBudget,Sheet1!S71_SubMunicipalVoteNo,$AC:$AC,Sheet1!S71_ItemType,$AD:$AD)</f>
        <v>0</v>
      </c>
      <c r="M321" s="1357">
        <f>SUMIFS(Sheet1!S71_OY2AdjustedBudget,Sheet1!S71_SubMunicipalVoteNo,$AC:$AC,Sheet1!S71_ItemType,$AD:$AD)</f>
        <v>0</v>
      </c>
      <c r="AC321" s="1345">
        <v>143</v>
      </c>
      <c r="AD321" s="1345" t="s">
        <v>1812</v>
      </c>
    </row>
    <row r="322" spans="1:30" ht="13.5" x14ac:dyDescent="0.25">
      <c r="A322" s="748" t="str">
        <f>IF(RIGHT('Org structure'!D149,18)&lt;&gt;"[Name of sub-vote]",'Org structure'!D149,"")</f>
        <v/>
      </c>
      <c r="B322" s="899"/>
      <c r="C322" s="1360">
        <f>SUMIFS(Sheet1!S71_OriginalBudget,Sheet1!S71_SubMunicipalVoteNo,$AC:$AC,Sheet1!S71_ItemType,$AD:$AD)</f>
        <v>0</v>
      </c>
      <c r="D322" s="1356">
        <f>SUMIFS(Sheet1!S71_SpecialAdjustedBudget,Sheet1!S71_SubMunicipalVoteNo,$AC:$AC,Sheet1!S71_ItemType,$AD:$AD)</f>
        <v>0</v>
      </c>
      <c r="E322" s="1356"/>
      <c r="F322" s="1356"/>
      <c r="G322" s="1356"/>
      <c r="H322" s="1356"/>
      <c r="I322" s="1356">
        <f>SUMIFS(Sheet1!S71_AdjustmentAmount,Sheet1!S71_SubMunicipalVoteNo,$AC:$AC,Sheet1!S71_ItemType,$AD:$AD)</f>
        <v>0</v>
      </c>
      <c r="J322" s="75">
        <f t="shared" si="46"/>
        <v>0</v>
      </c>
      <c r="K322" s="75">
        <f t="shared" si="47"/>
        <v>0</v>
      </c>
      <c r="L322" s="1356">
        <f>SUMIFS(Sheet1!S71_OY1AdjustedBudget,Sheet1!S71_SubMunicipalVoteNo,$AC:$AC,Sheet1!S71_ItemType,$AD:$AD)</f>
        <v>0</v>
      </c>
      <c r="M322" s="1357">
        <f>SUMIFS(Sheet1!S71_OY2AdjustedBudget,Sheet1!S71_SubMunicipalVoteNo,$AC:$AC,Sheet1!S71_ItemType,$AD:$AD)</f>
        <v>0</v>
      </c>
      <c r="AC322" s="1345">
        <v>144</v>
      </c>
      <c r="AD322" s="1345" t="s">
        <v>1812</v>
      </c>
    </row>
    <row r="323" spans="1:30" ht="13.5" x14ac:dyDescent="0.25">
      <c r="A323" s="748" t="str">
        <f>IF(RIGHT('Org structure'!D150,18)&lt;&gt;"[Name of sub-vote]",'Org structure'!D150,"")</f>
        <v/>
      </c>
      <c r="B323" s="899"/>
      <c r="C323" s="1360">
        <f>SUMIFS(Sheet1!S71_OriginalBudget,Sheet1!S71_SubMunicipalVoteNo,$AC:$AC,Sheet1!S71_ItemType,$AD:$AD)</f>
        <v>0</v>
      </c>
      <c r="D323" s="1356">
        <f>SUMIFS(Sheet1!S71_SpecialAdjustedBudget,Sheet1!S71_SubMunicipalVoteNo,$AC:$AC,Sheet1!S71_ItemType,$AD:$AD)</f>
        <v>0</v>
      </c>
      <c r="E323" s="1356"/>
      <c r="F323" s="1356"/>
      <c r="G323" s="1356"/>
      <c r="H323" s="1356"/>
      <c r="I323" s="1356">
        <f>SUMIFS(Sheet1!S71_AdjustmentAmount,Sheet1!S71_SubMunicipalVoteNo,$AC:$AC,Sheet1!S71_ItemType,$AD:$AD)</f>
        <v>0</v>
      </c>
      <c r="J323" s="75">
        <f t="shared" si="46"/>
        <v>0</v>
      </c>
      <c r="K323" s="75">
        <f t="shared" si="47"/>
        <v>0</v>
      </c>
      <c r="L323" s="1356">
        <f>SUMIFS(Sheet1!S71_OY1AdjustedBudget,Sheet1!S71_SubMunicipalVoteNo,$AC:$AC,Sheet1!S71_ItemType,$AD:$AD)</f>
        <v>0</v>
      </c>
      <c r="M323" s="1357">
        <f>SUMIFS(Sheet1!S71_OY2AdjustedBudget,Sheet1!S71_SubMunicipalVoteNo,$AC:$AC,Sheet1!S71_ItemType,$AD:$AD)</f>
        <v>0</v>
      </c>
      <c r="AC323" s="1345">
        <v>145</v>
      </c>
      <c r="AD323" s="1345" t="s">
        <v>1812</v>
      </c>
    </row>
    <row r="324" spans="1:30" ht="13.5" x14ac:dyDescent="0.25">
      <c r="A324" s="748" t="str">
        <f>IF(RIGHT('Org structure'!D151,18)&lt;&gt;"[Name of sub-vote]",'Org structure'!D151,"")</f>
        <v/>
      </c>
      <c r="B324" s="899"/>
      <c r="C324" s="1360">
        <f>SUMIFS(Sheet1!S71_OriginalBudget,Sheet1!S71_SubMunicipalVoteNo,$AC:$AC,Sheet1!S71_ItemType,$AD:$AD)</f>
        <v>0</v>
      </c>
      <c r="D324" s="1356">
        <f>SUMIFS(Sheet1!S71_SpecialAdjustedBudget,Sheet1!S71_SubMunicipalVoteNo,$AC:$AC,Sheet1!S71_ItemType,$AD:$AD)</f>
        <v>0</v>
      </c>
      <c r="E324" s="1356"/>
      <c r="F324" s="1356"/>
      <c r="G324" s="1356"/>
      <c r="H324" s="1356"/>
      <c r="I324" s="1356">
        <f>SUMIFS(Sheet1!S71_AdjustmentAmount,Sheet1!S71_SubMunicipalVoteNo,$AC:$AC,Sheet1!S71_ItemType,$AD:$AD)</f>
        <v>0</v>
      </c>
      <c r="J324" s="75">
        <f t="shared" si="46"/>
        <v>0</v>
      </c>
      <c r="K324" s="75">
        <f t="shared" si="47"/>
        <v>0</v>
      </c>
      <c r="L324" s="1356">
        <f>SUMIFS(Sheet1!S71_OY1AdjustedBudget,Sheet1!S71_SubMunicipalVoteNo,$AC:$AC,Sheet1!S71_ItemType,$AD:$AD)</f>
        <v>0</v>
      </c>
      <c r="M324" s="1357">
        <f>SUMIFS(Sheet1!S71_OY2AdjustedBudget,Sheet1!S71_SubMunicipalVoteNo,$AC:$AC,Sheet1!S71_ItemType,$AD:$AD)</f>
        <v>0</v>
      </c>
      <c r="AC324" s="1345">
        <v>146</v>
      </c>
      <c r="AD324" s="1345" t="s">
        <v>1812</v>
      </c>
    </row>
    <row r="325" spans="1:30" ht="13.5" x14ac:dyDescent="0.25">
      <c r="A325" s="748" t="str">
        <f>IF(RIGHT('Org structure'!D152,18)&lt;&gt;"[Name of sub-vote]",'Org structure'!D152,"")</f>
        <v/>
      </c>
      <c r="B325" s="899"/>
      <c r="C325" s="1360">
        <f>SUMIFS(Sheet1!S71_OriginalBudget,Sheet1!S71_SubMunicipalVoteNo,$AC:$AC,Sheet1!S71_ItemType,$AD:$AD)</f>
        <v>0</v>
      </c>
      <c r="D325" s="1356">
        <f>SUMIFS(Sheet1!S71_SpecialAdjustedBudget,Sheet1!S71_SubMunicipalVoteNo,$AC:$AC,Sheet1!S71_ItemType,$AD:$AD)</f>
        <v>0</v>
      </c>
      <c r="E325" s="1356"/>
      <c r="F325" s="1356"/>
      <c r="G325" s="1356"/>
      <c r="H325" s="1356"/>
      <c r="I325" s="1356">
        <f>SUMIFS(Sheet1!S71_AdjustmentAmount,Sheet1!S71_SubMunicipalVoteNo,$AC:$AC,Sheet1!S71_ItemType,$AD:$AD)</f>
        <v>0</v>
      </c>
      <c r="J325" s="75">
        <f t="shared" si="46"/>
        <v>0</v>
      </c>
      <c r="K325" s="75">
        <f t="shared" si="47"/>
        <v>0</v>
      </c>
      <c r="L325" s="1356">
        <f>SUMIFS(Sheet1!S71_OY1AdjustedBudget,Sheet1!S71_SubMunicipalVoteNo,$AC:$AC,Sheet1!S71_ItemType,$AD:$AD)</f>
        <v>0</v>
      </c>
      <c r="M325" s="1357">
        <f>SUMIFS(Sheet1!S71_OY2AdjustedBudget,Sheet1!S71_SubMunicipalVoteNo,$AC:$AC,Sheet1!S71_ItemType,$AD:$AD)</f>
        <v>0</v>
      </c>
      <c r="AC325" s="1345">
        <v>147</v>
      </c>
      <c r="AD325" s="1345" t="s">
        <v>1812</v>
      </c>
    </row>
    <row r="326" spans="1:30" ht="13.5" x14ac:dyDescent="0.25">
      <c r="A326" s="748" t="str">
        <f>IF(RIGHT('Org structure'!D153,18)&lt;&gt;"[Name of sub-vote]",'Org structure'!D153,"")</f>
        <v/>
      </c>
      <c r="B326" s="899"/>
      <c r="C326" s="1360">
        <f>SUMIFS(Sheet1!S71_OriginalBudget,Sheet1!S71_SubMunicipalVoteNo,$AC:$AC,Sheet1!S71_ItemType,$AD:$AD)</f>
        <v>0</v>
      </c>
      <c r="D326" s="1356">
        <f>SUMIFS(Sheet1!S71_SpecialAdjustedBudget,Sheet1!S71_SubMunicipalVoteNo,$AC:$AC,Sheet1!S71_ItemType,$AD:$AD)</f>
        <v>0</v>
      </c>
      <c r="E326" s="1356"/>
      <c r="F326" s="1356"/>
      <c r="G326" s="1356"/>
      <c r="H326" s="1356"/>
      <c r="I326" s="1356">
        <f>SUMIFS(Sheet1!S71_AdjustmentAmount,Sheet1!S71_SubMunicipalVoteNo,$AC:$AC,Sheet1!S71_ItemType,$AD:$AD)</f>
        <v>0</v>
      </c>
      <c r="J326" s="75">
        <f t="shared" si="46"/>
        <v>0</v>
      </c>
      <c r="K326" s="75">
        <f t="shared" si="47"/>
        <v>0</v>
      </c>
      <c r="L326" s="1356">
        <f>SUMIFS(Sheet1!S71_OY1AdjustedBudget,Sheet1!S71_SubMunicipalVoteNo,$AC:$AC,Sheet1!S71_ItemType,$AD:$AD)</f>
        <v>0</v>
      </c>
      <c r="M326" s="1357">
        <f>SUMIFS(Sheet1!S71_OY2AdjustedBudget,Sheet1!S71_SubMunicipalVoteNo,$AC:$AC,Sheet1!S71_ItemType,$AD:$AD)</f>
        <v>0</v>
      </c>
      <c r="AC326" s="1345">
        <v>148</v>
      </c>
      <c r="AD326" s="1345" t="s">
        <v>1812</v>
      </c>
    </row>
    <row r="327" spans="1:30" ht="13.5" x14ac:dyDescent="0.25">
      <c r="A327" s="748" t="str">
        <f>IF(RIGHT('Org structure'!D154,18)&lt;&gt;"[Name of sub-vote]",'Org structure'!D154,"")</f>
        <v/>
      </c>
      <c r="B327" s="899"/>
      <c r="C327" s="1360">
        <f>SUMIFS(Sheet1!S71_OriginalBudget,Sheet1!S71_SubMunicipalVoteNo,$AC:$AC,Sheet1!S71_ItemType,$AD:$AD)</f>
        <v>0</v>
      </c>
      <c r="D327" s="1356">
        <f>SUMIFS(Sheet1!S71_SpecialAdjustedBudget,Sheet1!S71_SubMunicipalVoteNo,$AC:$AC,Sheet1!S71_ItemType,$AD:$AD)</f>
        <v>0</v>
      </c>
      <c r="E327" s="1356"/>
      <c r="F327" s="1356"/>
      <c r="G327" s="1356"/>
      <c r="H327" s="1356"/>
      <c r="I327" s="1356">
        <f>SUMIFS(Sheet1!S71_AdjustmentAmount,Sheet1!S71_SubMunicipalVoteNo,$AC:$AC,Sheet1!S71_ItemType,$AD:$AD)</f>
        <v>0</v>
      </c>
      <c r="J327" s="75">
        <f t="shared" si="46"/>
        <v>0</v>
      </c>
      <c r="K327" s="75">
        <f t="shared" si="47"/>
        <v>0</v>
      </c>
      <c r="L327" s="1356">
        <f>SUMIFS(Sheet1!S71_OY1AdjustedBudget,Sheet1!S71_SubMunicipalVoteNo,$AC:$AC,Sheet1!S71_ItemType,$AD:$AD)</f>
        <v>0</v>
      </c>
      <c r="M327" s="1357">
        <f>SUMIFS(Sheet1!S71_OY2AdjustedBudget,Sheet1!S71_SubMunicipalVoteNo,$AC:$AC,Sheet1!S71_ItemType,$AD:$AD)</f>
        <v>0</v>
      </c>
      <c r="AC327" s="1345">
        <v>149</v>
      </c>
      <c r="AD327" s="1345" t="s">
        <v>1812</v>
      </c>
    </row>
    <row r="328" spans="1:30" ht="13.5" x14ac:dyDescent="0.25">
      <c r="A328" s="748" t="str">
        <f>IF(RIGHT('Org structure'!D155,18)&lt;&gt;"[Name of sub-vote]",'Org structure'!D155,"")</f>
        <v/>
      </c>
      <c r="B328" s="899"/>
      <c r="C328" s="1360">
        <f>SUMIFS(Sheet1!S71_OriginalBudget,Sheet1!S71_SubMunicipalVoteNo,$AC:$AC,Sheet1!S71_ItemType,$AD:$AD)</f>
        <v>0</v>
      </c>
      <c r="D328" s="1356">
        <f>SUMIFS(Sheet1!S71_SpecialAdjustedBudget,Sheet1!S71_SubMunicipalVoteNo,$AC:$AC,Sheet1!S71_ItemType,$AD:$AD)</f>
        <v>0</v>
      </c>
      <c r="E328" s="1356"/>
      <c r="F328" s="1356"/>
      <c r="G328" s="1356"/>
      <c r="H328" s="1356"/>
      <c r="I328" s="1356">
        <f>SUMIFS(Sheet1!S71_AdjustmentAmount,Sheet1!S71_SubMunicipalVoteNo,$AC:$AC,Sheet1!S71_ItemType,$AD:$AD)</f>
        <v>0</v>
      </c>
      <c r="J328" s="75">
        <f t="shared" si="46"/>
        <v>0</v>
      </c>
      <c r="K328" s="75">
        <f t="shared" si="47"/>
        <v>0</v>
      </c>
      <c r="L328" s="1356">
        <f>SUMIFS(Sheet1!S71_OY1AdjustedBudget,Sheet1!S71_SubMunicipalVoteNo,$AC:$AC,Sheet1!S71_ItemType,$AD:$AD)</f>
        <v>0</v>
      </c>
      <c r="M328" s="1357">
        <f>SUMIFS(Sheet1!S71_OY2AdjustedBudget,Sheet1!S71_SubMunicipalVoteNo,$AC:$AC,Sheet1!S71_ItemType,$AD:$AD)</f>
        <v>0</v>
      </c>
      <c r="AC328" s="1345">
        <v>1410</v>
      </c>
      <c r="AD328" s="1345" t="s">
        <v>1812</v>
      </c>
    </row>
    <row r="329" spans="1:30" ht="13.5" x14ac:dyDescent="0.25">
      <c r="A329" s="745" t="str">
        <f t="shared" si="44"/>
        <v>Vote 15 - Health</v>
      </c>
      <c r="B329" s="899"/>
      <c r="C329" s="733">
        <f t="shared" ref="C329:I329" si="50">SUM(C330:C339)</f>
        <v>270000</v>
      </c>
      <c r="D329" s="732">
        <f t="shared" si="50"/>
        <v>270000</v>
      </c>
      <c r="E329" s="732">
        <f t="shared" si="50"/>
        <v>0</v>
      </c>
      <c r="F329" s="732">
        <f t="shared" si="50"/>
        <v>0</v>
      </c>
      <c r="G329" s="732">
        <f t="shared" si="50"/>
        <v>0</v>
      </c>
      <c r="H329" s="732">
        <f t="shared" si="50"/>
        <v>0</v>
      </c>
      <c r="I329" s="732">
        <f t="shared" si="50"/>
        <v>-80115</v>
      </c>
      <c r="J329" s="75">
        <f t="shared" si="46"/>
        <v>-80115</v>
      </c>
      <c r="K329" s="75">
        <f t="shared" si="47"/>
        <v>189885</v>
      </c>
      <c r="L329" s="732">
        <f>SUM(L330:L339)</f>
        <v>286200</v>
      </c>
      <c r="M329" s="759">
        <f>SUM(M330:M339)</f>
        <v>303372</v>
      </c>
    </row>
    <row r="330" spans="1:30" ht="13.5" x14ac:dyDescent="0.25">
      <c r="A330" s="748" t="str">
        <f>IF(RIGHT('Org structure'!D157,18)&lt;&gt;"[Name of sub-vote]",'Org structure'!D157,"")</f>
        <v>15.1 - Health Services</v>
      </c>
      <c r="B330" s="899"/>
      <c r="C330" s="1360">
        <f>SUMIFS(Sheet1!S71_OriginalBudget,Sheet1!S71_SubMunicipalVoteNo,$AC:$AC,Sheet1!S71_ItemType,$AD:$AD)</f>
        <v>270000</v>
      </c>
      <c r="D330" s="1356">
        <f>SUMIFS(Sheet1!S71_SpecialAdjustedBudget,Sheet1!S71_SubMunicipalVoteNo,$AC:$AC,Sheet1!S71_ItemType,$AD:$AD)</f>
        <v>270000</v>
      </c>
      <c r="E330" s="1356"/>
      <c r="F330" s="1356"/>
      <c r="G330" s="1356"/>
      <c r="H330" s="1356"/>
      <c r="I330" s="1356">
        <f>SUMIFS(Sheet1!S71_AdjustmentAmount,Sheet1!S71_SubMunicipalVoteNo,$AC:$AC,Sheet1!S71_ItemType,$AD:$AD)</f>
        <v>-80115</v>
      </c>
      <c r="J330" s="75">
        <f t="shared" si="46"/>
        <v>-80115</v>
      </c>
      <c r="K330" s="75">
        <f t="shared" si="47"/>
        <v>189885</v>
      </c>
      <c r="L330" s="1356">
        <f>SUMIFS(Sheet1!S71_OY1AdjustedBudget,Sheet1!S71_SubMunicipalVoteNo,$AC:$AC,Sheet1!S71_ItemType,$AD:$AD)</f>
        <v>286200</v>
      </c>
      <c r="M330" s="1357">
        <f>SUMIFS(Sheet1!S71_OY2AdjustedBudget,Sheet1!S71_SubMunicipalVoteNo,$AC:$AC,Sheet1!S71_ItemType,$AD:$AD)</f>
        <v>303372</v>
      </c>
      <c r="AC330" s="1345">
        <v>151</v>
      </c>
      <c r="AD330" s="1345" t="s">
        <v>1812</v>
      </c>
    </row>
    <row r="331" spans="1:30" ht="13.5" x14ac:dyDescent="0.25">
      <c r="A331" s="748" t="str">
        <f>IF(RIGHT('Org structure'!D158,18)&lt;&gt;"[Name of sub-vote]",'Org structure'!D158,"")</f>
        <v/>
      </c>
      <c r="B331" s="899"/>
      <c r="C331" s="1360">
        <f>SUMIFS(Sheet1!S71_OriginalBudget,Sheet1!S71_SubMunicipalVoteNo,$AC:$AC,Sheet1!S71_ItemType,$AD:$AD)</f>
        <v>0</v>
      </c>
      <c r="D331" s="1356">
        <f>SUMIFS(Sheet1!S71_SpecialAdjustedBudget,Sheet1!S71_SubMunicipalVoteNo,$AC:$AC,Sheet1!S71_ItemType,$AD:$AD)</f>
        <v>0</v>
      </c>
      <c r="E331" s="1356"/>
      <c r="F331" s="1356"/>
      <c r="G331" s="1356"/>
      <c r="H331" s="1356"/>
      <c r="I331" s="1356">
        <f>SUMIFS(Sheet1!S71_AdjustmentAmount,Sheet1!S71_SubMunicipalVoteNo,$AC:$AC,Sheet1!S71_ItemType,$AD:$AD)</f>
        <v>0</v>
      </c>
      <c r="J331" s="75">
        <f t="shared" si="46"/>
        <v>0</v>
      </c>
      <c r="K331" s="75">
        <f t="shared" si="47"/>
        <v>0</v>
      </c>
      <c r="L331" s="1356">
        <f>SUMIFS(Sheet1!S71_OY1AdjustedBudget,Sheet1!S71_SubMunicipalVoteNo,$AC:$AC,Sheet1!S71_ItemType,$AD:$AD)</f>
        <v>0</v>
      </c>
      <c r="M331" s="1357">
        <f>SUMIFS(Sheet1!S71_OY2AdjustedBudget,Sheet1!S71_SubMunicipalVoteNo,$AC:$AC,Sheet1!S71_ItemType,$AD:$AD)</f>
        <v>0</v>
      </c>
      <c r="AC331" s="1345">
        <v>152</v>
      </c>
      <c r="AD331" s="1345" t="s">
        <v>1812</v>
      </c>
    </row>
    <row r="332" spans="1:30" ht="13.5" x14ac:dyDescent="0.25">
      <c r="A332" s="748" t="str">
        <f>IF(RIGHT('Org structure'!D159,18)&lt;&gt;"[Name of sub-vote]",'Org structure'!D159,"")</f>
        <v/>
      </c>
      <c r="B332" s="899"/>
      <c r="C332" s="1360">
        <f>SUMIFS(Sheet1!S71_OriginalBudget,Sheet1!S71_SubMunicipalVoteNo,$AC:$AC,Sheet1!S71_ItemType,$AD:$AD)</f>
        <v>0</v>
      </c>
      <c r="D332" s="1356">
        <f>SUMIFS(Sheet1!S71_SpecialAdjustedBudget,Sheet1!S71_SubMunicipalVoteNo,$AC:$AC,Sheet1!S71_ItemType,$AD:$AD)</f>
        <v>0</v>
      </c>
      <c r="E332" s="1356"/>
      <c r="F332" s="1356"/>
      <c r="G332" s="1356"/>
      <c r="H332" s="1356"/>
      <c r="I332" s="1356">
        <f>SUMIFS(Sheet1!S71_AdjustmentAmount,Sheet1!S71_SubMunicipalVoteNo,$AC:$AC,Sheet1!S71_ItemType,$AD:$AD)</f>
        <v>0</v>
      </c>
      <c r="J332" s="75">
        <f t="shared" si="46"/>
        <v>0</v>
      </c>
      <c r="K332" s="75">
        <f t="shared" si="47"/>
        <v>0</v>
      </c>
      <c r="L332" s="1356">
        <f>SUMIFS(Sheet1!S71_OY1AdjustedBudget,Sheet1!S71_SubMunicipalVoteNo,$AC:$AC,Sheet1!S71_ItemType,$AD:$AD)</f>
        <v>0</v>
      </c>
      <c r="M332" s="1357">
        <f>SUMIFS(Sheet1!S71_OY2AdjustedBudget,Sheet1!S71_SubMunicipalVoteNo,$AC:$AC,Sheet1!S71_ItemType,$AD:$AD)</f>
        <v>0</v>
      </c>
      <c r="AC332" s="1345">
        <v>153</v>
      </c>
      <c r="AD332" s="1345" t="s">
        <v>1812</v>
      </c>
    </row>
    <row r="333" spans="1:30" ht="13.5" x14ac:dyDescent="0.25">
      <c r="A333" s="748" t="str">
        <f>IF(RIGHT('Org structure'!D160,18)&lt;&gt;"[Name of sub-vote]",'Org structure'!D160,"")</f>
        <v/>
      </c>
      <c r="B333" s="899"/>
      <c r="C333" s="1360">
        <f>SUMIFS(Sheet1!S71_OriginalBudget,Sheet1!S71_SubMunicipalVoteNo,$AC:$AC,Sheet1!S71_ItemType,$AD:$AD)</f>
        <v>0</v>
      </c>
      <c r="D333" s="1356">
        <f>SUMIFS(Sheet1!S71_SpecialAdjustedBudget,Sheet1!S71_SubMunicipalVoteNo,$AC:$AC,Sheet1!S71_ItemType,$AD:$AD)</f>
        <v>0</v>
      </c>
      <c r="E333" s="1356"/>
      <c r="F333" s="1356"/>
      <c r="G333" s="1356"/>
      <c r="H333" s="1356"/>
      <c r="I333" s="1356">
        <f>SUMIFS(Sheet1!S71_AdjustmentAmount,Sheet1!S71_SubMunicipalVoteNo,$AC:$AC,Sheet1!S71_ItemType,$AD:$AD)</f>
        <v>0</v>
      </c>
      <c r="J333" s="75">
        <f t="shared" si="46"/>
        <v>0</v>
      </c>
      <c r="K333" s="75">
        <f t="shared" si="47"/>
        <v>0</v>
      </c>
      <c r="L333" s="1356">
        <f>SUMIFS(Sheet1!S71_OY1AdjustedBudget,Sheet1!S71_SubMunicipalVoteNo,$AC:$AC,Sheet1!S71_ItemType,$AD:$AD)</f>
        <v>0</v>
      </c>
      <c r="M333" s="1357">
        <f>SUMIFS(Sheet1!S71_OY2AdjustedBudget,Sheet1!S71_SubMunicipalVoteNo,$AC:$AC,Sheet1!S71_ItemType,$AD:$AD)</f>
        <v>0</v>
      </c>
      <c r="AC333" s="1345">
        <v>154</v>
      </c>
      <c r="AD333" s="1345" t="s">
        <v>1812</v>
      </c>
    </row>
    <row r="334" spans="1:30" ht="13.5" x14ac:dyDescent="0.25">
      <c r="A334" s="748" t="str">
        <f>IF(RIGHT('Org structure'!D161,18)&lt;&gt;"[Name of sub-vote]",'Org structure'!D161,"")</f>
        <v/>
      </c>
      <c r="B334" s="899"/>
      <c r="C334" s="1360">
        <f>SUMIFS(Sheet1!S71_OriginalBudget,Sheet1!S71_SubMunicipalVoteNo,$AC:$AC,Sheet1!S71_ItemType,$AD:$AD)</f>
        <v>0</v>
      </c>
      <c r="D334" s="1356">
        <f>SUMIFS(Sheet1!S71_SpecialAdjustedBudget,Sheet1!S71_SubMunicipalVoteNo,$AC:$AC,Sheet1!S71_ItemType,$AD:$AD)</f>
        <v>0</v>
      </c>
      <c r="E334" s="1356"/>
      <c r="F334" s="1356"/>
      <c r="G334" s="1356"/>
      <c r="H334" s="1356"/>
      <c r="I334" s="1356">
        <f>SUMIFS(Sheet1!S71_AdjustmentAmount,Sheet1!S71_SubMunicipalVoteNo,$AC:$AC,Sheet1!S71_ItemType,$AD:$AD)</f>
        <v>0</v>
      </c>
      <c r="J334" s="75">
        <f t="shared" si="46"/>
        <v>0</v>
      </c>
      <c r="K334" s="75">
        <f t="shared" si="47"/>
        <v>0</v>
      </c>
      <c r="L334" s="1356">
        <f>SUMIFS(Sheet1!S71_OY1AdjustedBudget,Sheet1!S71_SubMunicipalVoteNo,$AC:$AC,Sheet1!S71_ItemType,$AD:$AD)</f>
        <v>0</v>
      </c>
      <c r="M334" s="1357">
        <f>SUMIFS(Sheet1!S71_OY2AdjustedBudget,Sheet1!S71_SubMunicipalVoteNo,$AC:$AC,Sheet1!S71_ItemType,$AD:$AD)</f>
        <v>0</v>
      </c>
      <c r="AC334" s="1345">
        <v>155</v>
      </c>
      <c r="AD334" s="1345" t="s">
        <v>1812</v>
      </c>
    </row>
    <row r="335" spans="1:30" ht="13.5" x14ac:dyDescent="0.25">
      <c r="A335" s="748" t="str">
        <f>IF(RIGHT('Org structure'!D162,18)&lt;&gt;"[Name of sub-vote]",'Org structure'!D162,"")</f>
        <v/>
      </c>
      <c r="B335" s="899"/>
      <c r="C335" s="1360">
        <f>SUMIFS(Sheet1!S71_OriginalBudget,Sheet1!S71_SubMunicipalVoteNo,$AC:$AC,Sheet1!S71_ItemType,$AD:$AD)</f>
        <v>0</v>
      </c>
      <c r="D335" s="1356">
        <f>SUMIFS(Sheet1!S71_SpecialAdjustedBudget,Sheet1!S71_SubMunicipalVoteNo,$AC:$AC,Sheet1!S71_ItemType,$AD:$AD)</f>
        <v>0</v>
      </c>
      <c r="E335" s="1356"/>
      <c r="F335" s="1356"/>
      <c r="G335" s="1356"/>
      <c r="H335" s="1356"/>
      <c r="I335" s="1356">
        <f>SUMIFS(Sheet1!S71_AdjustmentAmount,Sheet1!S71_SubMunicipalVoteNo,$AC:$AC,Sheet1!S71_ItemType,$AD:$AD)</f>
        <v>0</v>
      </c>
      <c r="J335" s="75">
        <f t="shared" ref="J335:J340" si="51">SUM(E335:I335)</f>
        <v>0</v>
      </c>
      <c r="K335" s="75">
        <f t="shared" si="47"/>
        <v>0</v>
      </c>
      <c r="L335" s="1356">
        <f>SUMIFS(Sheet1!S71_OY1AdjustedBudget,Sheet1!S71_SubMunicipalVoteNo,$AC:$AC,Sheet1!S71_ItemType,$AD:$AD)</f>
        <v>0</v>
      </c>
      <c r="M335" s="1357">
        <f>SUMIFS(Sheet1!S71_OY2AdjustedBudget,Sheet1!S71_SubMunicipalVoteNo,$AC:$AC,Sheet1!S71_ItemType,$AD:$AD)</f>
        <v>0</v>
      </c>
      <c r="AC335" s="1345">
        <v>156</v>
      </c>
      <c r="AD335" s="1345" t="s">
        <v>1812</v>
      </c>
    </row>
    <row r="336" spans="1:30" ht="13.5" x14ac:dyDescent="0.25">
      <c r="A336" s="748" t="str">
        <f>IF(RIGHT('Org structure'!D163,18)&lt;&gt;"[Name of sub-vote]",'Org structure'!D163,"")</f>
        <v/>
      </c>
      <c r="B336" s="899"/>
      <c r="C336" s="1360">
        <f>SUMIFS(Sheet1!S71_OriginalBudget,Sheet1!S71_SubMunicipalVoteNo,$AC:$AC,Sheet1!S71_ItemType,$AD:$AD)</f>
        <v>0</v>
      </c>
      <c r="D336" s="1356">
        <f>SUMIFS(Sheet1!S71_SpecialAdjustedBudget,Sheet1!S71_SubMunicipalVoteNo,$AC:$AC,Sheet1!S71_ItemType,$AD:$AD)</f>
        <v>0</v>
      </c>
      <c r="E336" s="1356"/>
      <c r="F336" s="1356"/>
      <c r="G336" s="1356"/>
      <c r="H336" s="1356"/>
      <c r="I336" s="1356">
        <f>SUMIFS(Sheet1!S71_AdjustmentAmount,Sheet1!S71_SubMunicipalVoteNo,$AC:$AC,Sheet1!S71_ItemType,$AD:$AD)</f>
        <v>0</v>
      </c>
      <c r="J336" s="75">
        <f t="shared" si="51"/>
        <v>0</v>
      </c>
      <c r="K336" s="75">
        <f t="shared" si="47"/>
        <v>0</v>
      </c>
      <c r="L336" s="1356">
        <f>SUMIFS(Sheet1!S71_OY1AdjustedBudget,Sheet1!S71_SubMunicipalVoteNo,$AC:$AC,Sheet1!S71_ItemType,$AD:$AD)</f>
        <v>0</v>
      </c>
      <c r="M336" s="1357">
        <f>SUMIFS(Sheet1!S71_OY2AdjustedBudget,Sheet1!S71_SubMunicipalVoteNo,$AC:$AC,Sheet1!S71_ItemType,$AD:$AD)</f>
        <v>0</v>
      </c>
      <c r="AC336" s="1345">
        <v>157</v>
      </c>
      <c r="AD336" s="1345" t="s">
        <v>1812</v>
      </c>
    </row>
    <row r="337" spans="1:30" ht="13.5" x14ac:dyDescent="0.25">
      <c r="A337" s="748" t="str">
        <f>IF(RIGHT('Org structure'!D164,18)&lt;&gt;"[Name of sub-vote]",'Org structure'!D164,"")</f>
        <v/>
      </c>
      <c r="B337" s="899"/>
      <c r="C337" s="1360">
        <f>SUMIFS(Sheet1!S71_OriginalBudget,Sheet1!S71_SubMunicipalVoteNo,$AC:$AC,Sheet1!S71_ItemType,$AD:$AD)</f>
        <v>0</v>
      </c>
      <c r="D337" s="1356">
        <f>SUMIFS(Sheet1!S71_SpecialAdjustedBudget,Sheet1!S71_SubMunicipalVoteNo,$AC:$AC,Sheet1!S71_ItemType,$AD:$AD)</f>
        <v>0</v>
      </c>
      <c r="E337" s="1356"/>
      <c r="F337" s="1356"/>
      <c r="G337" s="1356"/>
      <c r="H337" s="1356"/>
      <c r="I337" s="1356">
        <f>SUMIFS(Sheet1!S71_AdjustmentAmount,Sheet1!S71_SubMunicipalVoteNo,$AC:$AC,Sheet1!S71_ItemType,$AD:$AD)</f>
        <v>0</v>
      </c>
      <c r="J337" s="75">
        <f t="shared" si="51"/>
        <v>0</v>
      </c>
      <c r="K337" s="75">
        <f t="shared" si="47"/>
        <v>0</v>
      </c>
      <c r="L337" s="1356">
        <f>SUMIFS(Sheet1!S71_OY1AdjustedBudget,Sheet1!S71_SubMunicipalVoteNo,$AC:$AC,Sheet1!S71_ItemType,$AD:$AD)</f>
        <v>0</v>
      </c>
      <c r="M337" s="1357">
        <f>SUMIFS(Sheet1!S71_OY2AdjustedBudget,Sheet1!S71_SubMunicipalVoteNo,$AC:$AC,Sheet1!S71_ItemType,$AD:$AD)</f>
        <v>0</v>
      </c>
      <c r="AC337" s="1345">
        <v>158</v>
      </c>
      <c r="AD337" s="1345" t="s">
        <v>1812</v>
      </c>
    </row>
    <row r="338" spans="1:30" ht="13.5" x14ac:dyDescent="0.25">
      <c r="A338" s="748" t="str">
        <f>IF(RIGHT('Org structure'!D165,18)&lt;&gt;"[Name of sub-vote]",'Org structure'!D165,"")</f>
        <v/>
      </c>
      <c r="B338" s="899"/>
      <c r="C338" s="1360">
        <f>SUMIFS(Sheet1!S71_OriginalBudget,Sheet1!S71_SubMunicipalVoteNo,$AC:$AC,Sheet1!S71_ItemType,$AD:$AD)</f>
        <v>0</v>
      </c>
      <c r="D338" s="1356">
        <f>SUMIFS(Sheet1!S71_SpecialAdjustedBudget,Sheet1!S71_SubMunicipalVoteNo,$AC:$AC,Sheet1!S71_ItemType,$AD:$AD)</f>
        <v>0</v>
      </c>
      <c r="E338" s="1356"/>
      <c r="F338" s="1356"/>
      <c r="G338" s="1356"/>
      <c r="H338" s="1356"/>
      <c r="I338" s="1356">
        <f>SUMIFS(Sheet1!S71_AdjustmentAmount,Sheet1!S71_SubMunicipalVoteNo,$AC:$AC,Sheet1!S71_ItemType,$AD:$AD)</f>
        <v>0</v>
      </c>
      <c r="J338" s="75">
        <f t="shared" si="51"/>
        <v>0</v>
      </c>
      <c r="K338" s="75">
        <f t="shared" si="47"/>
        <v>0</v>
      </c>
      <c r="L338" s="1356">
        <f>SUMIFS(Sheet1!S71_OY1AdjustedBudget,Sheet1!S71_SubMunicipalVoteNo,$AC:$AC,Sheet1!S71_ItemType,$AD:$AD)</f>
        <v>0</v>
      </c>
      <c r="M338" s="1357">
        <f>SUMIFS(Sheet1!S71_OY2AdjustedBudget,Sheet1!S71_SubMunicipalVoteNo,$AC:$AC,Sheet1!S71_ItemType,$AD:$AD)</f>
        <v>0</v>
      </c>
      <c r="AC338" s="1345">
        <v>159</v>
      </c>
      <c r="AD338" s="1345" t="s">
        <v>1812</v>
      </c>
    </row>
    <row r="339" spans="1:30" ht="13.5" x14ac:dyDescent="0.25">
      <c r="A339" s="748" t="str">
        <f>IF(RIGHT('Org structure'!D166,18)&lt;&gt;"[Name of sub-vote]",'Org structure'!D166,"")</f>
        <v/>
      </c>
      <c r="B339" s="899"/>
      <c r="C339" s="1360">
        <f>SUMIFS(Sheet1!S71_OriginalBudget,Sheet1!S71_SubMunicipalVoteNo,$AC:$AC,Sheet1!S71_ItemType,$AD:$AD)</f>
        <v>0</v>
      </c>
      <c r="D339" s="1356">
        <f>SUMIFS(Sheet1!S71_SpecialAdjustedBudget,Sheet1!S71_SubMunicipalVoteNo,$AC:$AC,Sheet1!S71_ItemType,$AD:$AD)</f>
        <v>0</v>
      </c>
      <c r="E339" s="1356"/>
      <c r="F339" s="1356"/>
      <c r="G339" s="1356"/>
      <c r="H339" s="1356"/>
      <c r="I339" s="1356">
        <f>SUMIFS(Sheet1!S71_AdjustmentAmount,Sheet1!S71_SubMunicipalVoteNo,$AC:$AC,Sheet1!S71_ItemType,$AD:$AD)</f>
        <v>0</v>
      </c>
      <c r="J339" s="75">
        <f t="shared" si="51"/>
        <v>0</v>
      </c>
      <c r="K339" s="75">
        <f t="shared" si="47"/>
        <v>0</v>
      </c>
      <c r="L339" s="1356">
        <f>SUMIFS(Sheet1!S71_OY1AdjustedBudget,Sheet1!S71_SubMunicipalVoteNo,$AC:$AC,Sheet1!S71_ItemType,$AD:$AD)</f>
        <v>0</v>
      </c>
      <c r="M339" s="1357">
        <f>SUMIFS(Sheet1!S71_OY2AdjustedBudget,Sheet1!S71_SubMunicipalVoteNo,$AC:$AC,Sheet1!S71_ItemType,$AD:$AD)</f>
        <v>0</v>
      </c>
      <c r="AC339" s="1345">
        <v>1510</v>
      </c>
      <c r="AD339" s="1345" t="s">
        <v>1812</v>
      </c>
    </row>
    <row r="340" spans="1:30" ht="13.5" x14ac:dyDescent="0.25">
      <c r="A340" s="749" t="s">
        <v>609</v>
      </c>
      <c r="B340" s="899">
        <v>2</v>
      </c>
      <c r="C340" s="300">
        <f>C175+C186+C197+C208+C219+C230+C241+C252+C263+C285+C296+C307+C318+C329+C274</f>
        <v>121276902</v>
      </c>
      <c r="D340" s="149">
        <f t="shared" ref="D340:I340" si="52">D175+D186+D197+D208+D219+D230+D241+D252+D263+D285+D296+D307+D318+D329+D274</f>
        <v>121276902</v>
      </c>
      <c r="E340" s="149">
        <f t="shared" si="52"/>
        <v>0</v>
      </c>
      <c r="F340" s="149">
        <f t="shared" si="52"/>
        <v>0</v>
      </c>
      <c r="G340" s="149">
        <f t="shared" si="52"/>
        <v>0</v>
      </c>
      <c r="H340" s="149">
        <f t="shared" si="52"/>
        <v>0</v>
      </c>
      <c r="I340" s="149">
        <f t="shared" si="52"/>
        <v>20997067</v>
      </c>
      <c r="J340" s="478">
        <f t="shared" si="51"/>
        <v>20997067</v>
      </c>
      <c r="K340" s="478">
        <f>IF(D340=0,C340+J340,D340+J340)</f>
        <v>142273969</v>
      </c>
      <c r="L340" s="149">
        <f>L175+L186+L197+L208+L219+L230+L241+L252+L263+L285+L296+L307+L318+L329+L274</f>
        <v>125268404</v>
      </c>
      <c r="M340" s="150">
        <f>M175+M186+M197+M208+M219+M230+M241+M252+M263+M285+M296+M307+M318+M329+M274</f>
        <v>133012850</v>
      </c>
    </row>
    <row r="341" spans="1:30" ht="4.5" customHeight="1" x14ac:dyDescent="0.25">
      <c r="A341" s="134"/>
      <c r="B341" s="899"/>
      <c r="C341" s="474"/>
      <c r="D341" s="139"/>
      <c r="E341" s="139"/>
      <c r="F341" s="139"/>
      <c r="G341" s="139"/>
      <c r="H341" s="139"/>
      <c r="I341" s="139"/>
      <c r="J341" s="139"/>
      <c r="K341" s="139"/>
      <c r="L341" s="139"/>
      <c r="M341" s="140"/>
    </row>
    <row r="342" spans="1:30" ht="13.5" x14ac:dyDescent="0.25">
      <c r="A342" s="153" t="str">
        <f>result</f>
        <v>Surplus/ (Deficit) for the year</v>
      </c>
      <c r="B342" s="904">
        <v>2</v>
      </c>
      <c r="C342" s="689">
        <f t="shared" ref="C342:I342" si="53">C172-C340</f>
        <v>2945553</v>
      </c>
      <c r="D342" s="691">
        <f t="shared" si="53"/>
        <v>15350553</v>
      </c>
      <c r="E342" s="115">
        <f t="shared" si="53"/>
        <v>0</v>
      </c>
      <c r="F342" s="115">
        <f t="shared" si="53"/>
        <v>0</v>
      </c>
      <c r="G342" s="115">
        <f t="shared" si="53"/>
        <v>0</v>
      </c>
      <c r="H342" s="115">
        <f t="shared" si="53"/>
        <v>0</v>
      </c>
      <c r="I342" s="115">
        <f t="shared" si="53"/>
        <v>-21921477</v>
      </c>
      <c r="J342" s="764">
        <f>SUM(E342:I342)</f>
        <v>-21921477</v>
      </c>
      <c r="K342" s="764">
        <f>IF(D342=0,C342+J342,D342+J342)</f>
        <v>-6570924</v>
      </c>
      <c r="L342" s="115">
        <f>L172-L340</f>
        <v>5870299</v>
      </c>
      <c r="M342" s="116">
        <f>M172-M340</f>
        <v>5770023</v>
      </c>
    </row>
    <row r="343" spans="1:30" ht="13.5" x14ac:dyDescent="0.25">
      <c r="A343" s="216" t="str">
        <f>head27a</f>
        <v>References</v>
      </c>
      <c r="B343" s="750"/>
      <c r="C343" s="751"/>
      <c r="D343" s="752"/>
      <c r="E343" s="752"/>
      <c r="F343" s="752"/>
      <c r="G343" s="752"/>
      <c r="H343" s="752"/>
      <c r="I343" s="752"/>
      <c r="J343" s="752"/>
      <c r="K343" s="752"/>
    </row>
    <row r="344" spans="1:30" ht="13.5" x14ac:dyDescent="0.25">
      <c r="A344" s="638" t="s">
        <v>1012</v>
      </c>
      <c r="B344" s="750"/>
      <c r="C344" s="753"/>
      <c r="D344" s="753"/>
      <c r="E344" s="754"/>
      <c r="F344" s="754"/>
      <c r="G344" s="754"/>
      <c r="H344" s="754"/>
      <c r="I344" s="754"/>
      <c r="J344" s="754"/>
      <c r="K344" s="754"/>
    </row>
    <row r="345" spans="1:30" ht="13.5" x14ac:dyDescent="0.25">
      <c r="A345" s="632" t="s">
        <v>1013</v>
      </c>
      <c r="B345" s="750"/>
      <c r="C345" s="753"/>
      <c r="D345" s="753"/>
      <c r="E345" s="754"/>
      <c r="F345" s="754"/>
      <c r="G345" s="754"/>
      <c r="H345" s="754"/>
      <c r="I345" s="754"/>
      <c r="J345" s="754"/>
      <c r="K345" s="754"/>
    </row>
    <row r="346" spans="1:30" ht="13.5" x14ac:dyDescent="0.25">
      <c r="A346" s="632" t="s">
        <v>1014</v>
      </c>
      <c r="B346" s="755"/>
      <c r="C346" s="756"/>
      <c r="D346" s="756"/>
      <c r="E346" s="757"/>
      <c r="F346" s="757"/>
      <c r="G346" s="757"/>
      <c r="H346" s="757"/>
      <c r="I346" s="757"/>
      <c r="J346" s="757"/>
      <c r="K346" s="757"/>
    </row>
  </sheetData>
  <mergeCells count="3">
    <mergeCell ref="A2:A3"/>
    <mergeCell ref="B2:B5"/>
    <mergeCell ref="C2:K2"/>
  </mergeCells>
  <phoneticPr fontId="4" type="noConversion"/>
  <dataValidations count="1">
    <dataValidation type="list" allowBlank="1" showInputMessage="1" showErrorMessage="1" promptTitle="Select Vote" prompt="Select Vote from list" sqref="A186" xr:uid="{00000000-0002-0000-0B00-000000000000}">
      <formula1>Vote</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2">
    <tabColor indexed="44"/>
    <pageSetUpPr fitToPage="1"/>
  </sheetPr>
  <dimension ref="A1:Z87"/>
  <sheetViews>
    <sheetView showGridLines="0" zoomScaleNormal="100" workbookViewId="0">
      <pane xSplit="2" ySplit="5" topLeftCell="C21" activePane="bottomRight" state="frozen"/>
      <selection activeCell="C6" sqref="C6"/>
      <selection pane="topRight" activeCell="C6" sqref="C6"/>
      <selection pane="bottomLeft" activeCell="C6" sqref="C6"/>
      <selection pane="bottomRight" activeCell="I41" sqref="I41"/>
    </sheetView>
  </sheetViews>
  <sheetFormatPr defaultColWidth="9.140625" defaultRowHeight="12.75" x14ac:dyDescent="0.25"/>
  <cols>
    <col min="1" max="1" width="34.140625" style="5" customWidth="1"/>
    <col min="2" max="2" width="3.140625" style="58" customWidth="1"/>
    <col min="3" max="13" width="8.5703125" style="5" customWidth="1"/>
    <col min="14" max="16384" width="9.140625" style="5"/>
  </cols>
  <sheetData>
    <row r="1" spans="1:26" ht="13.5" x14ac:dyDescent="0.25">
      <c r="A1" s="57" t="str">
        <f>muni&amp;" - "&amp;_ADJ2&amp;" - "&amp;Date</f>
        <v xml:space="preserve">KZN226 Mkhambathini - Table B3 Adjustments Budget Financial Performance (revenue and expenditure by municipal vote) - </v>
      </c>
      <c r="B1" s="5"/>
      <c r="C1" s="58"/>
    </row>
    <row r="2" spans="1:26" ht="38.25" x14ac:dyDescent="0.25">
      <c r="A2" s="1423" t="str">
        <f>Vdesc</f>
        <v>Vote Description</v>
      </c>
      <c r="B2" s="1420" t="str">
        <f>head27</f>
        <v>Ref</v>
      </c>
      <c r="C2" s="1417" t="str">
        <f>Head2</f>
        <v>Budget Year 2020/21</v>
      </c>
      <c r="D2" s="1418"/>
      <c r="E2" s="1418"/>
      <c r="F2" s="1418"/>
      <c r="G2" s="1418"/>
      <c r="H2" s="1418"/>
      <c r="I2" s="1418"/>
      <c r="J2" s="1418"/>
      <c r="K2" s="1418"/>
      <c r="L2" s="60" t="str">
        <f>Head10</f>
        <v>Budget Year +1 2021/22</v>
      </c>
      <c r="M2" s="61" t="str">
        <f>Head11</f>
        <v>Budget Year +2 2022/23</v>
      </c>
    </row>
    <row r="3" spans="1:26" ht="25.5" x14ac:dyDescent="0.25">
      <c r="A3" s="1424"/>
      <c r="B3" s="14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604</v>
      </c>
      <c r="B4" s="1421"/>
      <c r="C4" s="65"/>
      <c r="D4" s="15">
        <v>3</v>
      </c>
      <c r="E4" s="15">
        <v>4</v>
      </c>
      <c r="F4" s="15">
        <v>5</v>
      </c>
      <c r="G4" s="15">
        <v>6</v>
      </c>
      <c r="H4" s="15">
        <v>7</v>
      </c>
      <c r="I4" s="15">
        <v>8</v>
      </c>
      <c r="J4" s="15">
        <v>9</v>
      </c>
      <c r="K4" s="15">
        <v>10</v>
      </c>
      <c r="L4" s="15"/>
      <c r="M4" s="17"/>
    </row>
    <row r="5" spans="1:26" ht="13.5" customHeight="1" x14ac:dyDescent="0.25">
      <c r="A5" s="66" t="s">
        <v>605</v>
      </c>
      <c r="B5" s="1430"/>
      <c r="C5" s="67" t="s">
        <v>549</v>
      </c>
      <c r="D5" s="68" t="s">
        <v>550</v>
      </c>
      <c r="E5" s="68" t="s">
        <v>551</v>
      </c>
      <c r="F5" s="69" t="s">
        <v>552</v>
      </c>
      <c r="G5" s="69" t="s">
        <v>553</v>
      </c>
      <c r="H5" s="69" t="s">
        <v>554</v>
      </c>
      <c r="I5" s="70" t="s">
        <v>555</v>
      </c>
      <c r="J5" s="70" t="s">
        <v>556</v>
      </c>
      <c r="K5" s="70" t="s">
        <v>557</v>
      </c>
      <c r="L5" s="70"/>
      <c r="M5" s="71"/>
      <c r="N5" s="48"/>
      <c r="O5" s="48"/>
      <c r="P5" s="48"/>
      <c r="Q5" s="48"/>
      <c r="R5" s="48"/>
      <c r="S5" s="48"/>
      <c r="T5" s="48"/>
      <c r="U5" s="48"/>
      <c r="V5" s="48"/>
      <c r="W5" s="48"/>
      <c r="X5" s="48"/>
      <c r="Y5" s="48"/>
      <c r="Z5" s="48"/>
    </row>
    <row r="6" spans="1:26" ht="12.75" customHeight="1" x14ac:dyDescent="0.25">
      <c r="A6" s="72" t="s">
        <v>606</v>
      </c>
      <c r="B6" s="73">
        <v>1</v>
      </c>
      <c r="C6" s="74"/>
      <c r="D6" s="75"/>
      <c r="E6" s="75"/>
      <c r="F6" s="75"/>
      <c r="G6" s="75"/>
      <c r="H6" s="75"/>
      <c r="I6" s="75"/>
      <c r="J6" s="75"/>
      <c r="K6" s="75"/>
      <c r="L6" s="75"/>
      <c r="M6" s="76"/>
      <c r="N6" s="838"/>
      <c r="O6" s="77"/>
      <c r="P6" s="77"/>
      <c r="Q6" s="77"/>
      <c r="R6" s="77"/>
      <c r="S6" s="77"/>
      <c r="T6" s="77"/>
      <c r="U6" s="77"/>
      <c r="V6" s="77"/>
      <c r="W6" s="77"/>
      <c r="X6" s="77"/>
      <c r="Y6" s="77"/>
      <c r="Z6" s="48"/>
    </row>
    <row r="7" spans="1:26" ht="12.75" customHeight="1" x14ac:dyDescent="0.25">
      <c r="A7" s="920" t="str">
        <f>B3B!A7</f>
        <v>Vote 1 - Finance and Administration</v>
      </c>
      <c r="B7" s="73"/>
      <c r="C7" s="125">
        <f>B3B!C7</f>
        <v>113346009</v>
      </c>
      <c r="D7" s="169">
        <f>B3B!D7</f>
        <v>125751009</v>
      </c>
      <c r="E7" s="169">
        <f>B3B!E7</f>
        <v>0</v>
      </c>
      <c r="F7" s="169">
        <f>B3B!F7</f>
        <v>0</v>
      </c>
      <c r="G7" s="169">
        <f>B3B!G7</f>
        <v>0</v>
      </c>
      <c r="H7" s="169">
        <f>B3B!H7</f>
        <v>0</v>
      </c>
      <c r="I7" s="169">
        <f>B3B!I7</f>
        <v>-2079321</v>
      </c>
      <c r="J7" s="75">
        <f t="shared" ref="J7:J21" si="0">SUM(E7:I7)</f>
        <v>-2079321</v>
      </c>
      <c r="K7" s="75">
        <f t="shared" ref="K7:K21" si="1">IF(D7=0,C7+J7,D7+J7)</f>
        <v>123671688</v>
      </c>
      <c r="L7" s="169">
        <f>B3B!L7</f>
        <v>120122929</v>
      </c>
      <c r="M7" s="233">
        <f>B3B!M7</f>
        <v>127225032</v>
      </c>
      <c r="N7" s="839"/>
      <c r="O7" s="77"/>
      <c r="P7" s="77"/>
      <c r="Q7" s="77"/>
      <c r="R7" s="77"/>
      <c r="S7" s="77"/>
      <c r="T7" s="77"/>
      <c r="U7" s="77"/>
      <c r="V7" s="77"/>
      <c r="W7" s="77"/>
      <c r="X7" s="77"/>
      <c r="Y7" s="77"/>
      <c r="Z7" s="48"/>
    </row>
    <row r="8" spans="1:26" ht="12.75" customHeight="1" x14ac:dyDescent="0.25">
      <c r="A8" s="920" t="str">
        <f>B3B!A18</f>
        <v>Vote 2 - Finance and Administration2</v>
      </c>
      <c r="B8" s="73"/>
      <c r="C8" s="125">
        <f>B3B!C18</f>
        <v>0</v>
      </c>
      <c r="D8" s="169">
        <f>B3B!D18</f>
        <v>0</v>
      </c>
      <c r="E8" s="169">
        <f>B3B!E18</f>
        <v>0</v>
      </c>
      <c r="F8" s="169">
        <f>B3B!F18</f>
        <v>0</v>
      </c>
      <c r="G8" s="169">
        <f>B3B!G18</f>
        <v>0</v>
      </c>
      <c r="H8" s="169">
        <f>B3B!H18</f>
        <v>0</v>
      </c>
      <c r="I8" s="169">
        <f>B3B!I18</f>
        <v>0</v>
      </c>
      <c r="J8" s="75">
        <f t="shared" si="0"/>
        <v>0</v>
      </c>
      <c r="K8" s="75">
        <f t="shared" si="1"/>
        <v>0</v>
      </c>
      <c r="L8" s="169">
        <f>B3B!L18</f>
        <v>0</v>
      </c>
      <c r="M8" s="233">
        <f>B3B!M18</f>
        <v>0</v>
      </c>
      <c r="N8" s="839"/>
      <c r="O8" s="77"/>
      <c r="P8" s="77"/>
      <c r="Q8" s="77"/>
      <c r="R8" s="77"/>
      <c r="S8" s="77"/>
      <c r="T8" s="77"/>
      <c r="U8" s="77"/>
      <c r="V8" s="77"/>
      <c r="W8" s="77"/>
      <c r="X8" s="77"/>
      <c r="Y8" s="77"/>
      <c r="Z8" s="48"/>
    </row>
    <row r="9" spans="1:26" ht="12.75" customHeight="1" x14ac:dyDescent="0.25">
      <c r="A9" s="920" t="str">
        <f>B3B!A29</f>
        <v>Vote 3 - Executive and Council</v>
      </c>
      <c r="B9" s="73"/>
      <c r="C9" s="125">
        <f>B3B!C29</f>
        <v>0</v>
      </c>
      <c r="D9" s="169">
        <f>B3B!D29</f>
        <v>0</v>
      </c>
      <c r="E9" s="169">
        <f>B3B!E29</f>
        <v>0</v>
      </c>
      <c r="F9" s="169">
        <f>B3B!F29</f>
        <v>0</v>
      </c>
      <c r="G9" s="169">
        <f>B3B!G29</f>
        <v>0</v>
      </c>
      <c r="H9" s="169">
        <f>B3B!H29</f>
        <v>0</v>
      </c>
      <c r="I9" s="169">
        <f>B3B!I29</f>
        <v>0</v>
      </c>
      <c r="J9" s="75">
        <f t="shared" si="0"/>
        <v>0</v>
      </c>
      <c r="K9" s="75">
        <f t="shared" si="1"/>
        <v>0</v>
      </c>
      <c r="L9" s="169">
        <f>B3B!L29</f>
        <v>0</v>
      </c>
      <c r="M9" s="233">
        <f>B3B!M29</f>
        <v>0</v>
      </c>
      <c r="N9" s="838"/>
      <c r="O9" s="77"/>
      <c r="P9" s="77"/>
      <c r="Q9" s="77"/>
      <c r="R9" s="77"/>
      <c r="S9" s="77"/>
      <c r="T9" s="77"/>
      <c r="U9" s="77"/>
      <c r="V9" s="77"/>
      <c r="W9" s="77"/>
      <c r="X9" s="77"/>
      <c r="Y9" s="77"/>
      <c r="Z9" s="48"/>
    </row>
    <row r="10" spans="1:26" ht="12.75" customHeight="1" x14ac:dyDescent="0.25">
      <c r="A10" s="920" t="str">
        <f>B3B!A40</f>
        <v>Vote 4 - Community and Social Services</v>
      </c>
      <c r="B10" s="73"/>
      <c r="C10" s="125">
        <f>B3B!C40</f>
        <v>2212094</v>
      </c>
      <c r="D10" s="169">
        <f>B3B!D40</f>
        <v>2212094</v>
      </c>
      <c r="E10" s="169">
        <f>B3B!E40</f>
        <v>0</v>
      </c>
      <c r="F10" s="169">
        <f>B3B!F40</f>
        <v>0</v>
      </c>
      <c r="G10" s="169">
        <f>B3B!G40</f>
        <v>0</v>
      </c>
      <c r="H10" s="169">
        <f>B3B!H40</f>
        <v>0</v>
      </c>
      <c r="I10" s="169">
        <f>B3B!I40</f>
        <v>-372500</v>
      </c>
      <c r="J10" s="75">
        <f t="shared" si="0"/>
        <v>-372500</v>
      </c>
      <c r="K10" s="75">
        <f t="shared" si="1"/>
        <v>1839594</v>
      </c>
      <c r="L10" s="169">
        <f>B3B!L40</f>
        <v>1840950</v>
      </c>
      <c r="M10" s="233">
        <f>B3B!M40</f>
        <v>1842387</v>
      </c>
      <c r="N10" s="838"/>
      <c r="O10" s="77"/>
      <c r="P10" s="77"/>
      <c r="Q10" s="77"/>
      <c r="R10" s="77"/>
      <c r="S10" s="77"/>
      <c r="T10" s="77"/>
      <c r="U10" s="77"/>
      <c r="V10" s="77"/>
      <c r="W10" s="77"/>
      <c r="X10" s="77"/>
      <c r="Y10" s="77"/>
      <c r="Z10" s="48"/>
    </row>
    <row r="11" spans="1:26" ht="12.75" customHeight="1" x14ac:dyDescent="0.25">
      <c r="A11" s="920" t="str">
        <f>B3B!A51</f>
        <v>Vote 5 - Community and Social Services2</v>
      </c>
      <c r="B11" s="73"/>
      <c r="C11" s="125">
        <f>B3B!C51</f>
        <v>0</v>
      </c>
      <c r="D11" s="169">
        <f>B3B!D51</f>
        <v>0</v>
      </c>
      <c r="E11" s="169">
        <f>B3B!E51</f>
        <v>0</v>
      </c>
      <c r="F11" s="169">
        <f>B3B!F51</f>
        <v>0</v>
      </c>
      <c r="G11" s="169">
        <f>B3B!G51</f>
        <v>0</v>
      </c>
      <c r="H11" s="169">
        <f>B3B!H51</f>
        <v>0</v>
      </c>
      <c r="I11" s="169">
        <f>B3B!I51</f>
        <v>0</v>
      </c>
      <c r="J11" s="75">
        <f t="shared" si="0"/>
        <v>0</v>
      </c>
      <c r="K11" s="75">
        <f t="shared" si="1"/>
        <v>0</v>
      </c>
      <c r="L11" s="169">
        <f>B3B!L51</f>
        <v>0</v>
      </c>
      <c r="M11" s="233">
        <f>B3B!M51</f>
        <v>0</v>
      </c>
      <c r="N11" s="838"/>
      <c r="O11" s="77"/>
      <c r="P11" s="77"/>
      <c r="Q11" s="77"/>
      <c r="R11" s="77"/>
      <c r="S11" s="77"/>
      <c r="T11" s="77"/>
      <c r="U11" s="77"/>
      <c r="V11" s="77"/>
      <c r="W11" s="77"/>
      <c r="X11" s="77"/>
      <c r="Y11" s="77"/>
      <c r="Z11" s="48"/>
    </row>
    <row r="12" spans="1:26" ht="12.75" customHeight="1" x14ac:dyDescent="0.25">
      <c r="A12" s="920" t="str">
        <f>B3B!A62</f>
        <v>Vote 6 - Energy Sources</v>
      </c>
      <c r="B12" s="73"/>
      <c r="C12" s="125">
        <f>B3B!C62</f>
        <v>0</v>
      </c>
      <c r="D12" s="169">
        <f>B3B!D62</f>
        <v>0</v>
      </c>
      <c r="E12" s="169">
        <f>B3B!E62</f>
        <v>0</v>
      </c>
      <c r="F12" s="169">
        <f>B3B!F62</f>
        <v>0</v>
      </c>
      <c r="G12" s="169">
        <f>B3B!G62</f>
        <v>0</v>
      </c>
      <c r="H12" s="169">
        <f>B3B!H62</f>
        <v>0</v>
      </c>
      <c r="I12" s="169">
        <f>B3B!I62</f>
        <v>0</v>
      </c>
      <c r="J12" s="75">
        <f t="shared" si="0"/>
        <v>0</v>
      </c>
      <c r="K12" s="75">
        <f t="shared" si="1"/>
        <v>0</v>
      </c>
      <c r="L12" s="169">
        <f>B3B!L62</f>
        <v>0</v>
      </c>
      <c r="M12" s="233">
        <f>B3B!M62</f>
        <v>0</v>
      </c>
      <c r="N12" s="838"/>
      <c r="O12" s="77"/>
      <c r="P12" s="77"/>
      <c r="Q12" s="77"/>
      <c r="R12" s="77"/>
      <c r="S12" s="77"/>
      <c r="T12" s="77"/>
      <c r="U12" s="77"/>
      <c r="V12" s="77"/>
      <c r="W12" s="77"/>
      <c r="X12" s="77"/>
      <c r="Y12" s="77"/>
      <c r="Z12" s="48"/>
    </row>
    <row r="13" spans="1:26" ht="12.75" customHeight="1" x14ac:dyDescent="0.25">
      <c r="A13" s="920" t="str">
        <f>B3B!A73</f>
        <v>Vote 7 - Road Transport</v>
      </c>
      <c r="B13" s="73"/>
      <c r="C13" s="125">
        <f>B3B!C73</f>
        <v>30000</v>
      </c>
      <c r="D13" s="169">
        <f>B3B!D73</f>
        <v>30000</v>
      </c>
      <c r="E13" s="169">
        <f>B3B!E73</f>
        <v>0</v>
      </c>
      <c r="F13" s="169">
        <f>B3B!F73</f>
        <v>0</v>
      </c>
      <c r="G13" s="169">
        <f>B3B!G73</f>
        <v>0</v>
      </c>
      <c r="H13" s="169">
        <f>B3B!H73</f>
        <v>0</v>
      </c>
      <c r="I13" s="169">
        <f>B3B!I73</f>
        <v>0</v>
      </c>
      <c r="J13" s="75">
        <f t="shared" si="0"/>
        <v>0</v>
      </c>
      <c r="K13" s="75">
        <f t="shared" si="1"/>
        <v>30000</v>
      </c>
      <c r="L13" s="169">
        <f>B3B!L73</f>
        <v>31800</v>
      </c>
      <c r="M13" s="233">
        <f>B3B!M73</f>
        <v>33708</v>
      </c>
      <c r="N13" s="838"/>
      <c r="O13" s="77"/>
      <c r="P13" s="77"/>
      <c r="Q13" s="77"/>
      <c r="R13" s="77"/>
      <c r="S13" s="77"/>
      <c r="T13" s="77"/>
      <c r="U13" s="77"/>
      <c r="V13" s="77"/>
      <c r="W13" s="77"/>
      <c r="X13" s="77"/>
      <c r="Y13" s="77"/>
      <c r="Z13" s="48"/>
    </row>
    <row r="14" spans="1:26" ht="12.75" customHeight="1" x14ac:dyDescent="0.25">
      <c r="A14" s="920" t="str">
        <f>B3B!A84</f>
        <v>Vote 8 - Planning and Development</v>
      </c>
      <c r="B14" s="73"/>
      <c r="C14" s="125">
        <f>B3B!C84</f>
        <v>938955</v>
      </c>
      <c r="D14" s="169">
        <f>B3B!D84</f>
        <v>938955</v>
      </c>
      <c r="E14" s="169">
        <f>B3B!E84</f>
        <v>0</v>
      </c>
      <c r="F14" s="169">
        <f>B3B!F84</f>
        <v>0</v>
      </c>
      <c r="G14" s="169">
        <f>B3B!G84</f>
        <v>0</v>
      </c>
      <c r="H14" s="169">
        <f>B3B!H84</f>
        <v>0</v>
      </c>
      <c r="I14" s="169">
        <f>B3B!I84</f>
        <v>1526211</v>
      </c>
      <c r="J14" s="75">
        <f t="shared" si="0"/>
        <v>1526211</v>
      </c>
      <c r="K14" s="75">
        <f t="shared" si="1"/>
        <v>2465166</v>
      </c>
      <c r="L14" s="169">
        <f>B3B!L84</f>
        <v>985903</v>
      </c>
      <c r="M14" s="233">
        <f>B3B!M84</f>
        <v>1035198</v>
      </c>
      <c r="N14" s="838"/>
      <c r="O14" s="77"/>
      <c r="P14" s="77"/>
      <c r="Q14" s="77"/>
      <c r="R14" s="77"/>
      <c r="S14" s="77"/>
      <c r="T14" s="77"/>
      <c r="U14" s="77"/>
      <c r="V14" s="77"/>
      <c r="W14" s="77"/>
      <c r="X14" s="77"/>
      <c r="Y14" s="77"/>
      <c r="Z14" s="48"/>
    </row>
    <row r="15" spans="1:26" ht="12.75" customHeight="1" x14ac:dyDescent="0.25">
      <c r="A15" s="920" t="str">
        <f>B3B!A95</f>
        <v>Vote 9 - Sport and Recreation</v>
      </c>
      <c r="B15" s="73"/>
      <c r="C15" s="125">
        <f>B3B!C95</f>
        <v>0</v>
      </c>
      <c r="D15" s="169">
        <f>B3B!D95</f>
        <v>0</v>
      </c>
      <c r="E15" s="169">
        <f>B3B!E95</f>
        <v>0</v>
      </c>
      <c r="F15" s="169">
        <f>B3B!F95</f>
        <v>0</v>
      </c>
      <c r="G15" s="169">
        <f>B3B!G95</f>
        <v>0</v>
      </c>
      <c r="H15" s="169">
        <f>B3B!H95</f>
        <v>0</v>
      </c>
      <c r="I15" s="169">
        <f>B3B!I95</f>
        <v>0</v>
      </c>
      <c r="J15" s="75">
        <f t="shared" si="0"/>
        <v>0</v>
      </c>
      <c r="K15" s="75">
        <f t="shared" si="1"/>
        <v>0</v>
      </c>
      <c r="L15" s="169">
        <f>B3B!L95</f>
        <v>0</v>
      </c>
      <c r="M15" s="233">
        <f>B3B!M95</f>
        <v>0</v>
      </c>
      <c r="N15" s="838"/>
      <c r="O15" s="77"/>
      <c r="P15" s="77"/>
      <c r="Q15" s="77"/>
      <c r="R15" s="77"/>
      <c r="S15" s="77"/>
      <c r="T15" s="77"/>
      <c r="U15" s="77"/>
      <c r="V15" s="77"/>
      <c r="W15" s="77"/>
      <c r="X15" s="77"/>
      <c r="Y15" s="77"/>
      <c r="Z15" s="48"/>
    </row>
    <row r="16" spans="1:26" ht="12.75" customHeight="1" x14ac:dyDescent="0.25">
      <c r="A16" s="920" t="str">
        <f>B3B!A106</f>
        <v>Vote 10 - Public Safety</v>
      </c>
      <c r="B16" s="73"/>
      <c r="C16" s="125">
        <f>B3B!C106</f>
        <v>0</v>
      </c>
      <c r="D16" s="169">
        <f>B3B!D106</f>
        <v>0</v>
      </c>
      <c r="E16" s="169">
        <f>B3B!E106</f>
        <v>0</v>
      </c>
      <c r="F16" s="169">
        <f>B3B!F106</f>
        <v>0</v>
      </c>
      <c r="G16" s="169">
        <f>B3B!G106</f>
        <v>0</v>
      </c>
      <c r="H16" s="169">
        <f>B3B!H106</f>
        <v>0</v>
      </c>
      <c r="I16" s="169">
        <f>B3B!I106</f>
        <v>0</v>
      </c>
      <c r="J16" s="75">
        <f t="shared" si="0"/>
        <v>0</v>
      </c>
      <c r="K16" s="75">
        <f t="shared" si="1"/>
        <v>0</v>
      </c>
      <c r="L16" s="169">
        <f>B3B!L106</f>
        <v>0</v>
      </c>
      <c r="M16" s="233">
        <f>B3B!M106</f>
        <v>0</v>
      </c>
      <c r="N16" s="838"/>
      <c r="O16" s="77"/>
      <c r="P16" s="77"/>
      <c r="Q16" s="77"/>
      <c r="R16" s="77"/>
      <c r="S16" s="77"/>
      <c r="T16" s="77"/>
      <c r="U16" s="77"/>
      <c r="V16" s="77"/>
      <c r="W16" s="77"/>
      <c r="X16" s="77"/>
      <c r="Y16" s="77"/>
      <c r="Z16" s="48"/>
    </row>
    <row r="17" spans="1:26" ht="12.75" customHeight="1" x14ac:dyDescent="0.25">
      <c r="A17" s="920" t="str">
        <f>B3B!A117</f>
        <v>Vote 11 - Other</v>
      </c>
      <c r="B17" s="73"/>
      <c r="C17" s="125">
        <f>B3B!C117</f>
        <v>7121110</v>
      </c>
      <c r="D17" s="169">
        <f>B3B!D117</f>
        <v>7121110</v>
      </c>
      <c r="E17" s="169">
        <f>B3B!E117</f>
        <v>0</v>
      </c>
      <c r="F17" s="169">
        <f>B3B!F117</f>
        <v>0</v>
      </c>
      <c r="G17" s="169">
        <f>B3B!G117</f>
        <v>0</v>
      </c>
      <c r="H17" s="169">
        <f>B3B!H117</f>
        <v>0</v>
      </c>
      <c r="I17" s="169">
        <f>B3B!I117</f>
        <v>1200</v>
      </c>
      <c r="J17" s="75">
        <f t="shared" si="0"/>
        <v>1200</v>
      </c>
      <c r="K17" s="75">
        <f t="shared" si="1"/>
        <v>7122310</v>
      </c>
      <c r="L17" s="169">
        <f>B3B!L117</f>
        <v>7548377</v>
      </c>
      <c r="M17" s="233">
        <f>B3B!M117</f>
        <v>8001279</v>
      </c>
      <c r="N17" s="838"/>
      <c r="O17" s="77"/>
      <c r="P17" s="77"/>
      <c r="Q17" s="77"/>
      <c r="R17" s="77"/>
      <c r="S17" s="77"/>
      <c r="T17" s="77"/>
      <c r="U17" s="77"/>
      <c r="V17" s="77"/>
      <c r="W17" s="77"/>
      <c r="X17" s="77"/>
      <c r="Y17" s="77"/>
      <c r="Z17" s="48"/>
    </row>
    <row r="18" spans="1:26" ht="12.75" customHeight="1" x14ac:dyDescent="0.25">
      <c r="A18" s="920" t="str">
        <f>B3B!A128</f>
        <v>Vote 12 - Waste Management</v>
      </c>
      <c r="B18" s="73"/>
      <c r="C18" s="125">
        <f>B3B!C128</f>
        <v>574287</v>
      </c>
      <c r="D18" s="169">
        <f>B3B!D128</f>
        <v>574287</v>
      </c>
      <c r="E18" s="169">
        <f>B3B!E128</f>
        <v>0</v>
      </c>
      <c r="F18" s="169">
        <f>B3B!F128</f>
        <v>0</v>
      </c>
      <c r="G18" s="169">
        <f>B3B!G128</f>
        <v>0</v>
      </c>
      <c r="H18" s="169">
        <f>B3B!H128</f>
        <v>0</v>
      </c>
      <c r="I18" s="169">
        <f>B3B!I128</f>
        <v>0</v>
      </c>
      <c r="J18" s="75">
        <f t="shared" si="0"/>
        <v>0</v>
      </c>
      <c r="K18" s="75">
        <f t="shared" si="1"/>
        <v>574287</v>
      </c>
      <c r="L18" s="169">
        <f>B3B!L128</f>
        <v>608744</v>
      </c>
      <c r="M18" s="233">
        <f>B3B!M128</f>
        <v>645269</v>
      </c>
      <c r="N18" s="838"/>
      <c r="O18" s="77"/>
      <c r="P18" s="77"/>
      <c r="Q18" s="77"/>
      <c r="R18" s="77"/>
      <c r="S18" s="77"/>
      <c r="T18" s="77"/>
      <c r="U18" s="77"/>
      <c r="V18" s="77"/>
      <c r="W18" s="77"/>
      <c r="X18" s="77"/>
      <c r="Y18" s="77"/>
      <c r="Z18" s="48"/>
    </row>
    <row r="19" spans="1:26" ht="12.75" customHeight="1" x14ac:dyDescent="0.25">
      <c r="A19" s="920" t="str">
        <f>B3B!A139</f>
        <v>Vote 13 - Housing</v>
      </c>
      <c r="B19" s="73"/>
      <c r="C19" s="125">
        <f>B3B!C139</f>
        <v>0</v>
      </c>
      <c r="D19" s="169">
        <f>B3B!D139</f>
        <v>0</v>
      </c>
      <c r="E19" s="169">
        <f>B3B!E139</f>
        <v>0</v>
      </c>
      <c r="F19" s="169">
        <f>B3B!F139</f>
        <v>0</v>
      </c>
      <c r="G19" s="169">
        <f>B3B!G139</f>
        <v>0</v>
      </c>
      <c r="H19" s="169">
        <f>B3B!H139</f>
        <v>0</v>
      </c>
      <c r="I19" s="169">
        <f>B3B!I139</f>
        <v>0</v>
      </c>
      <c r="J19" s="75">
        <f t="shared" si="0"/>
        <v>0</v>
      </c>
      <c r="K19" s="75">
        <f t="shared" si="1"/>
        <v>0</v>
      </c>
      <c r="L19" s="169">
        <f>B3B!L139</f>
        <v>0</v>
      </c>
      <c r="M19" s="233">
        <f>B3B!M139</f>
        <v>0</v>
      </c>
      <c r="N19" s="838"/>
      <c r="O19" s="77"/>
      <c r="P19" s="77"/>
      <c r="Q19" s="77"/>
      <c r="R19" s="77"/>
      <c r="S19" s="77"/>
      <c r="T19" s="77"/>
      <c r="U19" s="77"/>
      <c r="V19" s="77"/>
      <c r="W19" s="77"/>
      <c r="X19" s="77"/>
      <c r="Y19" s="77"/>
      <c r="Z19" s="48"/>
    </row>
    <row r="20" spans="1:26" ht="12.75" customHeight="1" x14ac:dyDescent="0.25">
      <c r="A20" s="920" t="str">
        <f>B3B!A150</f>
        <v>Vote 14 - Waste Water Management</v>
      </c>
      <c r="B20" s="73"/>
      <c r="C20" s="125">
        <f>B3B!C150</f>
        <v>0</v>
      </c>
      <c r="D20" s="169">
        <f>B3B!D150</f>
        <v>0</v>
      </c>
      <c r="E20" s="169">
        <f>B3B!E150</f>
        <v>0</v>
      </c>
      <c r="F20" s="169">
        <f>B3B!F150</f>
        <v>0</v>
      </c>
      <c r="G20" s="169">
        <f>B3B!G150</f>
        <v>0</v>
      </c>
      <c r="H20" s="169">
        <f>B3B!H150</f>
        <v>0</v>
      </c>
      <c r="I20" s="169">
        <f>B3B!I150</f>
        <v>0</v>
      </c>
      <c r="J20" s="75">
        <f t="shared" si="0"/>
        <v>0</v>
      </c>
      <c r="K20" s="75">
        <f t="shared" si="1"/>
        <v>0</v>
      </c>
      <c r="L20" s="169">
        <f>B3B!L150</f>
        <v>0</v>
      </c>
      <c r="M20" s="233">
        <f>B3B!M150</f>
        <v>0</v>
      </c>
      <c r="N20" s="838"/>
      <c r="O20" s="77"/>
      <c r="P20" s="77"/>
      <c r="Q20" s="77"/>
      <c r="R20" s="77"/>
      <c r="S20" s="77"/>
      <c r="T20" s="77"/>
      <c r="U20" s="77"/>
      <c r="V20" s="77"/>
      <c r="W20" s="77"/>
      <c r="X20" s="77"/>
      <c r="Y20" s="77"/>
      <c r="Z20" s="48"/>
    </row>
    <row r="21" spans="1:26" ht="12.75" customHeight="1" x14ac:dyDescent="0.25">
      <c r="A21" s="920" t="str">
        <f>B3B!A161</f>
        <v>Vote 15 - Health</v>
      </c>
      <c r="B21" s="73"/>
      <c r="C21" s="125">
        <f>B3B!C161</f>
        <v>0</v>
      </c>
      <c r="D21" s="169">
        <f>B3B!D161</f>
        <v>0</v>
      </c>
      <c r="E21" s="169">
        <f>B3B!E161</f>
        <v>0</v>
      </c>
      <c r="F21" s="169">
        <f>B3B!F161</f>
        <v>0</v>
      </c>
      <c r="G21" s="169">
        <f>B3B!G161</f>
        <v>0</v>
      </c>
      <c r="H21" s="169">
        <f>B3B!H161</f>
        <v>0</v>
      </c>
      <c r="I21" s="169">
        <f>B3B!I161</f>
        <v>0</v>
      </c>
      <c r="J21" s="75">
        <f t="shared" si="0"/>
        <v>0</v>
      </c>
      <c r="K21" s="75">
        <f t="shared" si="1"/>
        <v>0</v>
      </c>
      <c r="L21" s="169">
        <f>B3B!L161</f>
        <v>0</v>
      </c>
      <c r="M21" s="233">
        <f>B3B!M161</f>
        <v>0</v>
      </c>
      <c r="N21" s="838"/>
      <c r="O21" s="77"/>
      <c r="P21" s="77"/>
      <c r="Q21" s="77"/>
      <c r="R21" s="77"/>
      <c r="S21" s="77"/>
      <c r="T21" s="77"/>
      <c r="U21" s="77"/>
      <c r="V21" s="77"/>
      <c r="W21" s="77"/>
      <c r="X21" s="77"/>
      <c r="Y21" s="77"/>
      <c r="Z21" s="48"/>
    </row>
    <row r="22" spans="1:26" ht="12.75" customHeight="1" x14ac:dyDescent="0.25">
      <c r="A22" s="78" t="s">
        <v>607</v>
      </c>
      <c r="B22" s="79">
        <v>2</v>
      </c>
      <c r="C22" s="80">
        <f>SUM(C7:C21)</f>
        <v>124222455</v>
      </c>
      <c r="D22" s="81">
        <f t="shared" ref="D22:K22" si="2">SUM(D7:D21)</f>
        <v>136627455</v>
      </c>
      <c r="E22" s="81">
        <f t="shared" si="2"/>
        <v>0</v>
      </c>
      <c r="F22" s="81">
        <f t="shared" si="2"/>
        <v>0</v>
      </c>
      <c r="G22" s="81">
        <f t="shared" si="2"/>
        <v>0</v>
      </c>
      <c r="H22" s="81">
        <f t="shared" si="2"/>
        <v>0</v>
      </c>
      <c r="I22" s="81">
        <f t="shared" si="2"/>
        <v>-924410</v>
      </c>
      <c r="J22" s="81">
        <f>SUM(J7:J21)</f>
        <v>-924410</v>
      </c>
      <c r="K22" s="81">
        <f t="shared" si="2"/>
        <v>135703045</v>
      </c>
      <c r="L22" s="81">
        <f>SUM(L7:L21)</f>
        <v>131138703</v>
      </c>
      <c r="M22" s="82">
        <f>SUM(M7:M21)</f>
        <v>138782873</v>
      </c>
      <c r="N22" s="543"/>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608</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Finance and Administration</v>
      </c>
      <c r="B25" s="73"/>
      <c r="C25" s="125">
        <f>B3B!C175</f>
        <v>49641785</v>
      </c>
      <c r="D25" s="169">
        <f>B3B!D175</f>
        <v>49641785</v>
      </c>
      <c r="E25" s="169">
        <f>B3B!E175</f>
        <v>0</v>
      </c>
      <c r="F25" s="169">
        <f>B3B!F175</f>
        <v>0</v>
      </c>
      <c r="G25" s="169">
        <f>B3B!G175</f>
        <v>0</v>
      </c>
      <c r="H25" s="169">
        <f>B3B!H175</f>
        <v>0</v>
      </c>
      <c r="I25" s="169">
        <f>B3B!I175</f>
        <v>7065000</v>
      </c>
      <c r="J25" s="75">
        <f t="shared" ref="J25:J39" si="3">SUM(E25:I25)</f>
        <v>7065000</v>
      </c>
      <c r="K25" s="75">
        <f t="shared" ref="K25:K39" si="4">IF(D25=0,C25+J25,D25+J25)</f>
        <v>56706785</v>
      </c>
      <c r="L25" s="169">
        <f>B3B!L175</f>
        <v>53854110</v>
      </c>
      <c r="M25" s="233">
        <f>B3B!M175</f>
        <v>57753498</v>
      </c>
      <c r="N25" s="839"/>
      <c r="O25" s="84"/>
      <c r="P25" s="84"/>
      <c r="Q25" s="84"/>
      <c r="R25" s="84"/>
      <c r="S25" s="84"/>
      <c r="T25" s="84"/>
      <c r="U25" s="84"/>
      <c r="V25" s="84"/>
      <c r="W25" s="84"/>
      <c r="X25" s="84"/>
      <c r="Y25" s="84"/>
      <c r="Z25" s="48"/>
    </row>
    <row r="26" spans="1:26" ht="12.75" customHeight="1" x14ac:dyDescent="0.25">
      <c r="A26" s="85" t="str">
        <f>B3B!A186</f>
        <v>Vote 2 - Finance and Administration2</v>
      </c>
      <c r="B26" s="73"/>
      <c r="C26" s="125">
        <f>B3B!C186</f>
        <v>650000</v>
      </c>
      <c r="D26" s="169">
        <f>B3B!D186</f>
        <v>650000</v>
      </c>
      <c r="E26" s="169">
        <f>B3B!E186</f>
        <v>0</v>
      </c>
      <c r="F26" s="169">
        <f>B3B!F186</f>
        <v>0</v>
      </c>
      <c r="G26" s="169">
        <f>B3B!G186</f>
        <v>0</v>
      </c>
      <c r="H26" s="169">
        <f>B3B!H186</f>
        <v>0</v>
      </c>
      <c r="I26" s="169">
        <f>B3B!I186</f>
        <v>-500000</v>
      </c>
      <c r="J26" s="75">
        <f t="shared" si="3"/>
        <v>-500000</v>
      </c>
      <c r="K26" s="75">
        <f t="shared" si="4"/>
        <v>150000</v>
      </c>
      <c r="L26" s="169">
        <f>B3B!L186</f>
        <v>275000</v>
      </c>
      <c r="M26" s="233">
        <f>B3B!M186</f>
        <v>302500</v>
      </c>
      <c r="N26" s="839"/>
      <c r="O26" s="86"/>
      <c r="P26" s="86"/>
      <c r="Q26" s="86"/>
      <c r="R26" s="86"/>
      <c r="S26" s="86"/>
      <c r="T26" s="86"/>
      <c r="U26" s="86"/>
      <c r="V26" s="86"/>
      <c r="W26" s="86"/>
      <c r="X26" s="86"/>
      <c r="Y26" s="86"/>
      <c r="Z26" s="48"/>
    </row>
    <row r="27" spans="1:26" ht="12.75" customHeight="1" x14ac:dyDescent="0.25">
      <c r="A27" s="85" t="str">
        <f>B3B!A197</f>
        <v>Vote 3 - Executive and Council</v>
      </c>
      <c r="B27" s="73"/>
      <c r="C27" s="125">
        <f>B3B!C197</f>
        <v>19001756</v>
      </c>
      <c r="D27" s="169">
        <f>B3B!D197</f>
        <v>19001756</v>
      </c>
      <c r="E27" s="169">
        <f>B3B!E197</f>
        <v>0</v>
      </c>
      <c r="F27" s="169">
        <f>B3B!F197</f>
        <v>0</v>
      </c>
      <c r="G27" s="169">
        <f>B3B!G197</f>
        <v>0</v>
      </c>
      <c r="H27" s="169">
        <f>B3B!H197</f>
        <v>0</v>
      </c>
      <c r="I27" s="169">
        <f>B3B!I197</f>
        <v>2400000</v>
      </c>
      <c r="J27" s="75">
        <f t="shared" si="3"/>
        <v>2400000</v>
      </c>
      <c r="K27" s="75">
        <f t="shared" si="4"/>
        <v>21401756</v>
      </c>
      <c r="L27" s="169">
        <f>B3B!L197</f>
        <v>20458851</v>
      </c>
      <c r="M27" s="233">
        <f>B3B!M197</f>
        <v>21284098</v>
      </c>
      <c r="N27" s="838"/>
      <c r="O27" s="86"/>
      <c r="P27" s="86"/>
      <c r="Q27" s="86"/>
      <c r="R27" s="86"/>
      <c r="S27" s="86"/>
      <c r="T27" s="86"/>
      <c r="U27" s="86"/>
      <c r="V27" s="86"/>
      <c r="W27" s="86"/>
      <c r="X27" s="86"/>
      <c r="Y27" s="86"/>
      <c r="Z27" s="48"/>
    </row>
    <row r="28" spans="1:26" ht="12.75" customHeight="1" x14ac:dyDescent="0.25">
      <c r="A28" s="85" t="str">
        <f>B3B!A208</f>
        <v>Vote 4 - Community and Social Services</v>
      </c>
      <c r="B28" s="73"/>
      <c r="C28" s="125">
        <f>B3B!C208</f>
        <v>9157704</v>
      </c>
      <c r="D28" s="169">
        <f>B3B!D208</f>
        <v>9157704</v>
      </c>
      <c r="E28" s="169">
        <f>B3B!E208</f>
        <v>0</v>
      </c>
      <c r="F28" s="169">
        <f>B3B!F208</f>
        <v>0</v>
      </c>
      <c r="G28" s="169">
        <f>B3B!G208</f>
        <v>0</v>
      </c>
      <c r="H28" s="169">
        <f>B3B!H208</f>
        <v>0</v>
      </c>
      <c r="I28" s="169">
        <f>B3B!I208</f>
        <v>-301164</v>
      </c>
      <c r="J28" s="75">
        <f t="shared" si="3"/>
        <v>-301164</v>
      </c>
      <c r="K28" s="75">
        <f t="shared" si="4"/>
        <v>8856540</v>
      </c>
      <c r="L28" s="169">
        <f>B3B!L208</f>
        <v>9732364</v>
      </c>
      <c r="M28" s="233">
        <f>B3B!M208</f>
        <v>10343265</v>
      </c>
      <c r="N28" s="838"/>
      <c r="O28" s="86"/>
      <c r="P28" s="86"/>
      <c r="Q28" s="86"/>
      <c r="R28" s="86"/>
      <c r="S28" s="86"/>
      <c r="T28" s="86"/>
      <c r="U28" s="86"/>
      <c r="V28" s="86"/>
      <c r="W28" s="86"/>
      <c r="X28" s="86"/>
      <c r="Y28" s="86"/>
      <c r="Z28" s="48"/>
    </row>
    <row r="29" spans="1:26" ht="12.75" customHeight="1" x14ac:dyDescent="0.25">
      <c r="A29" s="85" t="str">
        <f>B3B!A219</f>
        <v>Vote 5 - Community and Social Services2</v>
      </c>
      <c r="B29" s="73"/>
      <c r="C29" s="125">
        <f>B3B!C219</f>
        <v>12212528</v>
      </c>
      <c r="D29" s="169">
        <f>B3B!D219</f>
        <v>12212528</v>
      </c>
      <c r="E29" s="169">
        <f>B3B!E219</f>
        <v>0</v>
      </c>
      <c r="F29" s="169">
        <f>B3B!F219</f>
        <v>0</v>
      </c>
      <c r="G29" s="169">
        <f>B3B!G219</f>
        <v>0</v>
      </c>
      <c r="H29" s="169">
        <f>B3B!H219</f>
        <v>0</v>
      </c>
      <c r="I29" s="169">
        <f>B3B!I219</f>
        <v>2959775</v>
      </c>
      <c r="J29" s="75">
        <f t="shared" si="3"/>
        <v>2959775</v>
      </c>
      <c r="K29" s="75">
        <f t="shared" si="4"/>
        <v>15172303</v>
      </c>
      <c r="L29" s="169">
        <f>B3B!L219</f>
        <v>12871228</v>
      </c>
      <c r="M29" s="233">
        <f>B3B!M219</f>
        <v>13571291</v>
      </c>
      <c r="N29" s="838"/>
      <c r="O29" s="86"/>
      <c r="P29" s="86"/>
      <c r="Q29" s="86"/>
      <c r="R29" s="86"/>
      <c r="S29" s="86"/>
      <c r="T29" s="86"/>
      <c r="U29" s="86"/>
      <c r="V29" s="86"/>
      <c r="W29" s="86"/>
      <c r="X29" s="86"/>
      <c r="Y29" s="86"/>
      <c r="Z29" s="48"/>
    </row>
    <row r="30" spans="1:26" ht="10.5" customHeight="1" x14ac:dyDescent="0.25">
      <c r="A30" s="85" t="str">
        <f>B3B!A230</f>
        <v>Vote 6 - Energy Sources</v>
      </c>
      <c r="B30" s="73"/>
      <c r="C30" s="125">
        <f>B3B!C230</f>
        <v>0</v>
      </c>
      <c r="D30" s="169">
        <f>B3B!D230</f>
        <v>0</v>
      </c>
      <c r="E30" s="169">
        <f>B3B!E230</f>
        <v>0</v>
      </c>
      <c r="F30" s="169">
        <f>B3B!F230</f>
        <v>0</v>
      </c>
      <c r="G30" s="169">
        <f>B3B!G230</f>
        <v>0</v>
      </c>
      <c r="H30" s="169">
        <f>B3B!H230</f>
        <v>0</v>
      </c>
      <c r="I30" s="169">
        <f>B3B!I230</f>
        <v>6381606</v>
      </c>
      <c r="J30" s="75">
        <f t="shared" si="3"/>
        <v>6381606</v>
      </c>
      <c r="K30" s="75">
        <f t="shared" si="4"/>
        <v>6381606</v>
      </c>
      <c r="L30" s="169">
        <f>B3B!L230</f>
        <v>0</v>
      </c>
      <c r="M30" s="233">
        <f>B3B!M230</f>
        <v>0</v>
      </c>
      <c r="N30" s="838"/>
      <c r="O30" s="86"/>
      <c r="P30" s="86"/>
      <c r="Q30" s="86"/>
      <c r="R30" s="86"/>
      <c r="S30" s="86"/>
      <c r="T30" s="86"/>
      <c r="U30" s="86"/>
      <c r="V30" s="86"/>
      <c r="W30" s="86"/>
      <c r="X30" s="86"/>
      <c r="Y30" s="86"/>
      <c r="Z30" s="48"/>
    </row>
    <row r="31" spans="1:26" ht="12.75" customHeight="1" x14ac:dyDescent="0.25">
      <c r="A31" s="85" t="str">
        <f>B3B!A241</f>
        <v>Vote 7 - Road Transport</v>
      </c>
      <c r="B31" s="73"/>
      <c r="C31" s="125">
        <f>B3B!C241</f>
        <v>17376674</v>
      </c>
      <c r="D31" s="169">
        <f>B3B!D241</f>
        <v>17376674</v>
      </c>
      <c r="E31" s="169">
        <f>B3B!E241</f>
        <v>0</v>
      </c>
      <c r="F31" s="169">
        <f>B3B!F241</f>
        <v>0</v>
      </c>
      <c r="G31" s="169">
        <f>B3B!G241</f>
        <v>0</v>
      </c>
      <c r="H31" s="169">
        <f>B3B!H241</f>
        <v>0</v>
      </c>
      <c r="I31" s="169">
        <f>B3B!I241</f>
        <v>4679245</v>
      </c>
      <c r="J31" s="75">
        <f t="shared" si="3"/>
        <v>4679245</v>
      </c>
      <c r="K31" s="75">
        <f t="shared" si="4"/>
        <v>22055919</v>
      </c>
      <c r="L31" s="169">
        <f>B3B!L241</f>
        <v>13966341</v>
      </c>
      <c r="M31" s="233">
        <f>B3B!M241</f>
        <v>14711815</v>
      </c>
      <c r="N31" s="838"/>
      <c r="O31" s="86"/>
      <c r="P31" s="86"/>
      <c r="Q31" s="86"/>
      <c r="R31" s="86"/>
      <c r="S31" s="86"/>
      <c r="T31" s="86"/>
      <c r="U31" s="86"/>
      <c r="V31" s="86"/>
      <c r="W31" s="86"/>
      <c r="X31" s="86"/>
      <c r="Y31" s="86"/>
      <c r="Z31" s="48"/>
    </row>
    <row r="32" spans="1:26" ht="12.75" customHeight="1" x14ac:dyDescent="0.25">
      <c r="A32" s="85" t="str">
        <f>B3B!A252</f>
        <v>Vote 8 - Planning and Development</v>
      </c>
      <c r="B32" s="73"/>
      <c r="C32" s="125">
        <f>B3B!C252</f>
        <v>580000</v>
      </c>
      <c r="D32" s="169">
        <f>B3B!D252</f>
        <v>580000</v>
      </c>
      <c r="E32" s="169">
        <f>B3B!E252</f>
        <v>0</v>
      </c>
      <c r="F32" s="169">
        <f>B3B!F252</f>
        <v>0</v>
      </c>
      <c r="G32" s="169">
        <f>B3B!G252</f>
        <v>0</v>
      </c>
      <c r="H32" s="169">
        <f>B3B!H252</f>
        <v>0</v>
      </c>
      <c r="I32" s="169">
        <f>B3B!I252</f>
        <v>-149780</v>
      </c>
      <c r="J32" s="75">
        <f t="shared" si="3"/>
        <v>-149780</v>
      </c>
      <c r="K32" s="75">
        <f t="shared" si="4"/>
        <v>430220</v>
      </c>
      <c r="L32" s="169">
        <f>B3B!L252</f>
        <v>632400</v>
      </c>
      <c r="M32" s="233">
        <f>B3B!M252</f>
        <v>689704</v>
      </c>
      <c r="N32" s="838"/>
      <c r="O32" s="86"/>
      <c r="P32" s="86"/>
      <c r="Q32" s="86"/>
      <c r="R32" s="86"/>
      <c r="S32" s="86"/>
      <c r="T32" s="86"/>
      <c r="U32" s="86"/>
      <c r="V32" s="86"/>
      <c r="W32" s="86"/>
      <c r="X32" s="86"/>
      <c r="Y32" s="86"/>
      <c r="Z32" s="48"/>
    </row>
    <row r="33" spans="1:26" ht="12.75" customHeight="1" x14ac:dyDescent="0.25">
      <c r="A33" s="85" t="str">
        <f>B3B!A263</f>
        <v>Vote 9 - Sport and Recreation</v>
      </c>
      <c r="B33" s="73"/>
      <c r="C33" s="125">
        <f>B3B!C263</f>
        <v>3300000</v>
      </c>
      <c r="D33" s="169">
        <f>B3B!D263</f>
        <v>3300000</v>
      </c>
      <c r="E33" s="169">
        <f>B3B!E263</f>
        <v>0</v>
      </c>
      <c r="F33" s="169">
        <f>B3B!F263</f>
        <v>0</v>
      </c>
      <c r="G33" s="169">
        <f>B3B!G263</f>
        <v>0</v>
      </c>
      <c r="H33" s="169">
        <f>B3B!H263</f>
        <v>0</v>
      </c>
      <c r="I33" s="169">
        <f>B3B!I263</f>
        <v>-942500</v>
      </c>
      <c r="J33" s="75">
        <f t="shared" si="3"/>
        <v>-942500</v>
      </c>
      <c r="K33" s="75">
        <f t="shared" si="4"/>
        <v>2357500</v>
      </c>
      <c r="L33" s="169">
        <f>B3B!L263</f>
        <v>3558000</v>
      </c>
      <c r="M33" s="233">
        <f>B3B!M263</f>
        <v>3837480</v>
      </c>
      <c r="N33" s="838"/>
      <c r="O33" s="86"/>
      <c r="P33" s="86"/>
      <c r="Q33" s="86"/>
      <c r="R33" s="86"/>
      <c r="S33" s="86"/>
      <c r="T33" s="86"/>
      <c r="U33" s="86"/>
      <c r="V33" s="86"/>
      <c r="W33" s="86"/>
      <c r="X33" s="86"/>
      <c r="Y33" s="86"/>
      <c r="Z33" s="48"/>
    </row>
    <row r="34" spans="1:26" ht="12.75" customHeight="1" x14ac:dyDescent="0.25">
      <c r="A34" s="85" t="str">
        <f>B3B!A274</f>
        <v>Vote 10 - Public Safety</v>
      </c>
      <c r="B34" s="73"/>
      <c r="C34" s="125">
        <f>B3B!C274</f>
        <v>15000</v>
      </c>
      <c r="D34" s="169">
        <f>B3B!D274</f>
        <v>15000</v>
      </c>
      <c r="E34" s="169">
        <f>B3B!E274</f>
        <v>0</v>
      </c>
      <c r="F34" s="169">
        <f>B3B!F274</f>
        <v>0</v>
      </c>
      <c r="G34" s="169">
        <f>B3B!G274</f>
        <v>0</v>
      </c>
      <c r="H34" s="169">
        <f>B3B!H274</f>
        <v>0</v>
      </c>
      <c r="I34" s="169">
        <f>B3B!I274</f>
        <v>-15000</v>
      </c>
      <c r="J34" s="75">
        <f t="shared" si="3"/>
        <v>-15000</v>
      </c>
      <c r="K34" s="75">
        <f t="shared" si="4"/>
        <v>0</v>
      </c>
      <c r="L34" s="169">
        <f>B3B!L274</f>
        <v>15900</v>
      </c>
      <c r="M34" s="233">
        <f>B3B!M274</f>
        <v>16854</v>
      </c>
      <c r="N34" s="838"/>
      <c r="O34" s="86"/>
      <c r="P34" s="86"/>
      <c r="Q34" s="86"/>
      <c r="R34" s="86"/>
      <c r="S34" s="86"/>
      <c r="T34" s="86"/>
      <c r="U34" s="86"/>
      <c r="V34" s="86"/>
      <c r="W34" s="86"/>
      <c r="X34" s="86"/>
      <c r="Y34" s="86"/>
      <c r="Z34" s="48"/>
    </row>
    <row r="35" spans="1:26" ht="12.75" customHeight="1" x14ac:dyDescent="0.25">
      <c r="A35" s="85" t="str">
        <f>B3B!A285</f>
        <v>Vote 11 - Other</v>
      </c>
      <c r="B35" s="73"/>
      <c r="C35" s="125">
        <f>B3B!C285</f>
        <v>6513455</v>
      </c>
      <c r="D35" s="169">
        <f>B3B!D285</f>
        <v>6513455</v>
      </c>
      <c r="E35" s="169">
        <f>B3B!E285</f>
        <v>0</v>
      </c>
      <c r="F35" s="169">
        <f>B3B!F285</f>
        <v>0</v>
      </c>
      <c r="G35" s="169">
        <f>B3B!G285</f>
        <v>0</v>
      </c>
      <c r="H35" s="169">
        <f>B3B!H285</f>
        <v>0</v>
      </c>
      <c r="I35" s="169">
        <f>B3B!I285</f>
        <v>0</v>
      </c>
      <c r="J35" s="75">
        <f t="shared" si="3"/>
        <v>0</v>
      </c>
      <c r="K35" s="75">
        <f t="shared" si="4"/>
        <v>6513455</v>
      </c>
      <c r="L35" s="169">
        <f>B3B!L285</f>
        <v>6926530</v>
      </c>
      <c r="M35" s="233">
        <f>B3B!M285</f>
        <v>7366804</v>
      </c>
      <c r="N35" s="838"/>
      <c r="O35" s="86"/>
      <c r="P35" s="86"/>
      <c r="Q35" s="86"/>
      <c r="R35" s="86"/>
      <c r="S35" s="86"/>
      <c r="T35" s="86"/>
      <c r="U35" s="86"/>
      <c r="V35" s="86"/>
      <c r="W35" s="86"/>
      <c r="X35" s="86"/>
      <c r="Y35" s="86"/>
      <c r="Z35" s="48"/>
    </row>
    <row r="36" spans="1:26" ht="12.75" customHeight="1" x14ac:dyDescent="0.25">
      <c r="A36" s="85" t="str">
        <f>B3B!A296</f>
        <v>Vote 12 - Waste Management</v>
      </c>
      <c r="B36" s="73"/>
      <c r="C36" s="125">
        <f>B3B!C296</f>
        <v>2558000</v>
      </c>
      <c r="D36" s="169">
        <f>B3B!D296</f>
        <v>2558000</v>
      </c>
      <c r="E36" s="169">
        <f>B3B!E296</f>
        <v>0</v>
      </c>
      <c r="F36" s="169">
        <f>B3B!F296</f>
        <v>0</v>
      </c>
      <c r="G36" s="169">
        <f>B3B!G296</f>
        <v>0</v>
      </c>
      <c r="H36" s="169">
        <f>B3B!H296</f>
        <v>0</v>
      </c>
      <c r="I36" s="169">
        <f>B3B!I296</f>
        <v>-500000</v>
      </c>
      <c r="J36" s="75">
        <f t="shared" si="3"/>
        <v>-500000</v>
      </c>
      <c r="K36" s="75">
        <f t="shared" si="4"/>
        <v>2058000</v>
      </c>
      <c r="L36" s="169">
        <f>B3B!L296</f>
        <v>2691480</v>
      </c>
      <c r="M36" s="233">
        <f>B3B!M296</f>
        <v>2832169</v>
      </c>
      <c r="N36" s="838"/>
      <c r="O36" s="86"/>
      <c r="P36" s="86"/>
      <c r="Q36" s="86"/>
      <c r="R36" s="86"/>
      <c r="S36" s="86"/>
      <c r="T36" s="86"/>
      <c r="U36" s="86"/>
      <c r="V36" s="86"/>
      <c r="W36" s="86"/>
      <c r="X36" s="86"/>
      <c r="Y36" s="86"/>
      <c r="Z36" s="48"/>
    </row>
    <row r="37" spans="1:26" ht="12.75" customHeight="1" x14ac:dyDescent="0.25">
      <c r="A37" s="85" t="str">
        <f>B3B!A307</f>
        <v>Vote 13 - Housing</v>
      </c>
      <c r="B37" s="73"/>
      <c r="C37" s="125">
        <f>B3B!C307</f>
        <v>0</v>
      </c>
      <c r="D37" s="169">
        <f>B3B!D307</f>
        <v>0</v>
      </c>
      <c r="E37" s="169">
        <f>B3B!E307</f>
        <v>0</v>
      </c>
      <c r="F37" s="169">
        <f>B3B!F307</f>
        <v>0</v>
      </c>
      <c r="G37" s="169">
        <f>B3B!G307</f>
        <v>0</v>
      </c>
      <c r="H37" s="169">
        <f>B3B!H307</f>
        <v>0</v>
      </c>
      <c r="I37" s="169">
        <f>B3B!I307</f>
        <v>0</v>
      </c>
      <c r="J37" s="75">
        <f t="shared" si="3"/>
        <v>0</v>
      </c>
      <c r="K37" s="75">
        <f t="shared" si="4"/>
        <v>0</v>
      </c>
      <c r="L37" s="169">
        <f>B3B!L307</f>
        <v>0</v>
      </c>
      <c r="M37" s="233">
        <f>B3B!M307</f>
        <v>0</v>
      </c>
      <c r="N37" s="838"/>
      <c r="O37" s="86"/>
      <c r="P37" s="86"/>
      <c r="Q37" s="86"/>
      <c r="R37" s="86"/>
      <c r="S37" s="86"/>
      <c r="T37" s="86"/>
      <c r="U37" s="86"/>
      <c r="V37" s="86"/>
      <c r="W37" s="86"/>
      <c r="X37" s="86"/>
      <c r="Y37" s="86"/>
      <c r="Z37" s="48"/>
    </row>
    <row r="38" spans="1:26" ht="12.75" customHeight="1" x14ac:dyDescent="0.25">
      <c r="A38" s="85" t="str">
        <f>B3B!A318</f>
        <v>Vote 14 - Waste Water Management</v>
      </c>
      <c r="B38" s="73"/>
      <c r="C38" s="125">
        <f>B3B!C318</f>
        <v>0</v>
      </c>
      <c r="D38" s="169">
        <f>B3B!D318</f>
        <v>0</v>
      </c>
      <c r="E38" s="169">
        <f>B3B!E318</f>
        <v>0</v>
      </c>
      <c r="F38" s="169">
        <f>B3B!F318</f>
        <v>0</v>
      </c>
      <c r="G38" s="169">
        <f>B3B!G318</f>
        <v>0</v>
      </c>
      <c r="H38" s="169">
        <f>B3B!H318</f>
        <v>0</v>
      </c>
      <c r="I38" s="169">
        <f>B3B!I318</f>
        <v>0</v>
      </c>
      <c r="J38" s="75">
        <f t="shared" si="3"/>
        <v>0</v>
      </c>
      <c r="K38" s="75">
        <f t="shared" si="4"/>
        <v>0</v>
      </c>
      <c r="L38" s="169">
        <f>B3B!L318</f>
        <v>0</v>
      </c>
      <c r="M38" s="233">
        <f>B3B!M318</f>
        <v>0</v>
      </c>
      <c r="N38" s="838"/>
      <c r="O38" s="86"/>
      <c r="P38" s="86"/>
      <c r="Q38" s="86"/>
      <c r="R38" s="86"/>
      <c r="S38" s="86"/>
      <c r="T38" s="86"/>
      <c r="U38" s="86"/>
      <c r="V38" s="86"/>
      <c r="W38" s="86"/>
      <c r="X38" s="86"/>
      <c r="Y38" s="86"/>
      <c r="Z38" s="48"/>
    </row>
    <row r="39" spans="1:26" ht="12.75" customHeight="1" x14ac:dyDescent="0.25">
      <c r="A39" s="85" t="str">
        <f>B3B!A329</f>
        <v>Vote 15 - Health</v>
      </c>
      <c r="B39" s="73"/>
      <c r="C39" s="125">
        <f>B3B!C329</f>
        <v>270000</v>
      </c>
      <c r="D39" s="169">
        <f>B3B!D329</f>
        <v>270000</v>
      </c>
      <c r="E39" s="169">
        <f>B3B!E329</f>
        <v>0</v>
      </c>
      <c r="F39" s="169">
        <f>B3B!F329</f>
        <v>0</v>
      </c>
      <c r="G39" s="169">
        <f>B3B!G329</f>
        <v>0</v>
      </c>
      <c r="H39" s="169">
        <f>B3B!H329</f>
        <v>0</v>
      </c>
      <c r="I39" s="169">
        <f>B3B!I329</f>
        <v>-80115</v>
      </c>
      <c r="J39" s="75">
        <f t="shared" si="3"/>
        <v>-80115</v>
      </c>
      <c r="K39" s="75">
        <f t="shared" si="4"/>
        <v>189885</v>
      </c>
      <c r="L39" s="169">
        <f>B3B!L329</f>
        <v>286200</v>
      </c>
      <c r="M39" s="233">
        <f>B3B!M329</f>
        <v>303372</v>
      </c>
      <c r="N39" s="838"/>
      <c r="O39" s="86"/>
      <c r="P39" s="86"/>
      <c r="Q39" s="86"/>
      <c r="R39" s="86"/>
      <c r="S39" s="86"/>
      <c r="T39" s="86"/>
      <c r="U39" s="86"/>
      <c r="V39" s="86"/>
      <c r="W39" s="86"/>
      <c r="X39" s="86"/>
      <c r="Y39" s="86"/>
      <c r="Z39" s="48"/>
    </row>
    <row r="40" spans="1:26" ht="12.75" customHeight="1" x14ac:dyDescent="0.25">
      <c r="A40" s="78" t="s">
        <v>609</v>
      </c>
      <c r="B40" s="79">
        <v>2</v>
      </c>
      <c r="C40" s="80">
        <f>SUM(C25:C39)</f>
        <v>121276902</v>
      </c>
      <c r="D40" s="81">
        <f t="shared" ref="D40:I40" si="5">SUM(D25:D39)</f>
        <v>121276902</v>
      </c>
      <c r="E40" s="81">
        <f t="shared" si="5"/>
        <v>0</v>
      </c>
      <c r="F40" s="81">
        <f t="shared" si="5"/>
        <v>0</v>
      </c>
      <c r="G40" s="81">
        <f t="shared" si="5"/>
        <v>0</v>
      </c>
      <c r="H40" s="81">
        <f t="shared" si="5"/>
        <v>0</v>
      </c>
      <c r="I40" s="81">
        <f t="shared" si="5"/>
        <v>20997067</v>
      </c>
      <c r="J40" s="81">
        <f>SUM(J25:J39)</f>
        <v>20997067</v>
      </c>
      <c r="K40" s="81">
        <f>SUM(K25:K39)</f>
        <v>142273969</v>
      </c>
      <c r="L40" s="81">
        <f>SUM(L25:L39)</f>
        <v>125268404</v>
      </c>
      <c r="M40" s="82">
        <f>SUM(M25:M39)</f>
        <v>133012850</v>
      </c>
      <c r="N40" s="543"/>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2945553</v>
      </c>
      <c r="D41" s="90">
        <f t="shared" ref="D41:M41" si="6">D22-D40</f>
        <v>15350553</v>
      </c>
      <c r="E41" s="90">
        <f t="shared" si="6"/>
        <v>0</v>
      </c>
      <c r="F41" s="90">
        <f t="shared" si="6"/>
        <v>0</v>
      </c>
      <c r="G41" s="90">
        <f t="shared" si="6"/>
        <v>0</v>
      </c>
      <c r="H41" s="90">
        <f t="shared" si="6"/>
        <v>0</v>
      </c>
      <c r="I41" s="90">
        <f t="shared" si="6"/>
        <v>-21921477</v>
      </c>
      <c r="J41" s="90">
        <f t="shared" si="6"/>
        <v>-21921477</v>
      </c>
      <c r="K41" s="90">
        <f t="shared" si="6"/>
        <v>-6570924</v>
      </c>
      <c r="L41" s="90">
        <f t="shared" si="6"/>
        <v>5870299</v>
      </c>
      <c r="M41" s="91">
        <f t="shared" si="6"/>
        <v>5770023</v>
      </c>
      <c r="N41" s="543"/>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1037</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32" t="s">
        <v>1038</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422" t="s">
        <v>988</v>
      </c>
      <c r="B45" s="1422"/>
      <c r="C45" s="1422"/>
      <c r="D45" s="1422"/>
      <c r="E45" s="1422"/>
      <c r="F45" s="1422"/>
      <c r="G45" s="1422"/>
      <c r="H45" s="1422"/>
      <c r="I45" s="1422"/>
      <c r="J45" s="1422"/>
      <c r="K45" s="1422"/>
      <c r="L45" s="1422"/>
      <c r="M45" s="1422"/>
    </row>
    <row r="46" spans="1:26" ht="25.5" customHeight="1" x14ac:dyDescent="0.25">
      <c r="A46" s="1422" t="s">
        <v>1032</v>
      </c>
      <c r="B46" s="1422"/>
      <c r="C46" s="1422"/>
      <c r="D46" s="1422"/>
      <c r="E46" s="1422"/>
      <c r="F46" s="1422"/>
      <c r="G46" s="1422"/>
      <c r="H46" s="1422"/>
      <c r="I46" s="1422"/>
      <c r="J46" s="1422"/>
      <c r="K46" s="1422"/>
      <c r="L46" s="1422"/>
      <c r="M46" s="1422"/>
    </row>
    <row r="47" spans="1:26" ht="12.75" customHeight="1" x14ac:dyDescent="0.25">
      <c r="A47" s="1416" t="s">
        <v>1033</v>
      </c>
      <c r="B47" s="1416"/>
      <c r="C47" s="1416"/>
      <c r="D47" s="1416"/>
      <c r="E47" s="1416"/>
      <c r="F47" s="1416"/>
      <c r="G47" s="1416"/>
      <c r="H47" s="1416"/>
      <c r="I47" s="1416"/>
      <c r="J47" s="1416"/>
      <c r="K47" s="1416"/>
      <c r="L47" s="1416"/>
      <c r="M47" s="1416"/>
    </row>
    <row r="48" spans="1:26" ht="12.75" customHeight="1" x14ac:dyDescent="0.25">
      <c r="A48" s="1416" t="s">
        <v>1034</v>
      </c>
      <c r="B48" s="1416"/>
      <c r="C48" s="1416"/>
      <c r="D48" s="1416"/>
      <c r="E48" s="1416"/>
      <c r="F48" s="1416"/>
      <c r="G48" s="1416"/>
      <c r="H48" s="1416"/>
      <c r="I48" s="1416"/>
      <c r="J48" s="1416"/>
      <c r="K48" s="1416"/>
      <c r="L48" s="1416"/>
      <c r="M48" s="1416"/>
    </row>
    <row r="49" spans="1:13" ht="12.75" customHeight="1" x14ac:dyDescent="0.25">
      <c r="A49" s="99" t="s">
        <v>1035</v>
      </c>
      <c r="B49" s="93"/>
      <c r="C49" s="96"/>
      <c r="D49" s="96"/>
      <c r="E49" s="96"/>
      <c r="F49" s="96"/>
      <c r="G49" s="96"/>
      <c r="H49" s="96"/>
      <c r="I49" s="96"/>
      <c r="J49" s="96"/>
      <c r="K49" s="96"/>
      <c r="L49" s="96"/>
      <c r="M49" s="96"/>
    </row>
    <row r="50" spans="1:13" ht="27.75" customHeight="1" x14ac:dyDescent="0.25">
      <c r="A50" s="1416" t="s">
        <v>1036</v>
      </c>
      <c r="B50" s="1416"/>
      <c r="C50" s="1416"/>
      <c r="D50" s="1416"/>
      <c r="E50" s="1416"/>
      <c r="F50" s="1416"/>
      <c r="G50" s="1416"/>
      <c r="H50" s="1416"/>
      <c r="I50" s="1416"/>
      <c r="J50" s="1416"/>
      <c r="K50" s="1416"/>
      <c r="L50" s="1416"/>
      <c r="M50" s="1416"/>
    </row>
    <row r="51" spans="1:13" ht="12.75" customHeight="1" x14ac:dyDescent="0.25">
      <c r="A51" s="99" t="s">
        <v>610</v>
      </c>
      <c r="B51" s="93"/>
      <c r="C51" s="96"/>
      <c r="D51" s="96"/>
      <c r="E51" s="96"/>
      <c r="F51" s="96"/>
      <c r="G51" s="96"/>
      <c r="H51" s="96"/>
      <c r="I51" s="96"/>
      <c r="J51" s="96"/>
      <c r="K51" s="96"/>
      <c r="L51" s="96"/>
      <c r="M51" s="96"/>
    </row>
    <row r="52" spans="1:13" ht="12.75" customHeight="1" x14ac:dyDescent="0.25">
      <c r="A52" s="1416" t="s">
        <v>611</v>
      </c>
      <c r="B52" s="1416"/>
      <c r="C52" s="1416"/>
      <c r="D52" s="1416"/>
      <c r="E52" s="1416"/>
      <c r="F52" s="1416"/>
      <c r="G52" s="1416"/>
      <c r="H52" s="1416"/>
      <c r="I52" s="1416"/>
      <c r="J52" s="1416"/>
      <c r="K52" s="1416"/>
      <c r="L52" s="1416"/>
      <c r="M52" s="1416"/>
    </row>
    <row r="53" spans="1:13" ht="12.75" customHeight="1" x14ac:dyDescent="0.25">
      <c r="A53" s="48"/>
    </row>
    <row r="54" spans="1:13" ht="12.75" customHeight="1" x14ac:dyDescent="0.25">
      <c r="A54" s="101" t="s">
        <v>612</v>
      </c>
      <c r="C54" s="338">
        <f>C22-'B4-FinPerf RE'!C62</f>
        <v>0</v>
      </c>
      <c r="D54" s="338">
        <f>D22-'B4-FinPerf RE'!D62</f>
        <v>0</v>
      </c>
      <c r="E54" s="338">
        <f>E22-'B4-FinPerf RE'!E62</f>
        <v>0</v>
      </c>
      <c r="F54" s="338">
        <f>F22-'B4-FinPerf RE'!F62</f>
        <v>0</v>
      </c>
      <c r="G54" s="338">
        <f>G22-'B4-FinPerf RE'!G62</f>
        <v>0</v>
      </c>
      <c r="H54" s="338">
        <f>H22-'B4-FinPerf RE'!H62</f>
        <v>0</v>
      </c>
      <c r="I54" s="338">
        <f>I22-'B4-FinPerf RE'!I62</f>
        <v>-924410</v>
      </c>
      <c r="J54" s="338">
        <f>J22-'B4-FinPerf RE'!J62</f>
        <v>0</v>
      </c>
      <c r="K54" s="338">
        <f>K22-'B4-FinPerf RE'!K62</f>
        <v>0</v>
      </c>
      <c r="L54" s="338">
        <f>L22-'B4-FinPerf RE'!L62</f>
        <v>0</v>
      </c>
      <c r="M54" s="338">
        <f>M22-'B4-FinPerf RE'!M62</f>
        <v>0</v>
      </c>
    </row>
    <row r="55" spans="1:13" ht="12.75" customHeight="1" x14ac:dyDescent="0.25">
      <c r="A55" s="101" t="s">
        <v>613</v>
      </c>
      <c r="C55" s="338">
        <f>C40-'B4-FinPerf RE'!C37</f>
        <v>-260000</v>
      </c>
      <c r="D55" s="338">
        <f>D40-'B4-FinPerf RE'!D37</f>
        <v>-260000</v>
      </c>
      <c r="E55" s="338">
        <f>E40-'B4-FinPerf RE'!E37</f>
        <v>0</v>
      </c>
      <c r="F55" s="338">
        <f>F40-'B4-FinPerf RE'!F37</f>
        <v>0</v>
      </c>
      <c r="G55" s="338">
        <f>G40-'B4-FinPerf RE'!G37</f>
        <v>0</v>
      </c>
      <c r="H55" s="338">
        <f>H40-'B4-FinPerf RE'!H37</f>
        <v>0</v>
      </c>
      <c r="I55" s="338">
        <f>I40-'B4-FinPerf RE'!I37</f>
        <v>-85700</v>
      </c>
      <c r="J55" s="338">
        <f>J40-'B4-FinPerf RE'!J37</f>
        <v>-85700</v>
      </c>
      <c r="K55" s="338">
        <f>K40-'B4-FinPerf RE'!K37</f>
        <v>-345700</v>
      </c>
      <c r="L55" s="338">
        <f>L40-'B4-FinPerf RE'!L37</f>
        <v>-286000</v>
      </c>
      <c r="M55" s="338">
        <f>M40-'B4-FinPerf RE'!M37</f>
        <v>-314600</v>
      </c>
    </row>
    <row r="56" spans="1:13" ht="11.25" customHeight="1" x14ac:dyDescent="0.25">
      <c r="A56" s="48"/>
      <c r="B56" s="833"/>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algorithmName="SHA-512" hashValue="c/8wilk6N8whcZbmJIovaaVZ94/1uK6EuXexCZKAtJeKk/dP6nhnV3+fZzkh6ixCDfIEgsGuYbedLcuXoSGOfg==" saltValue="a4C3meFPjCMKtgDARC1Q5w==" spinCount="100000" sheet="1" objects="1" scenarios="1"/>
  <mergeCells count="9">
    <mergeCell ref="A52:M52"/>
    <mergeCell ref="A48:M48"/>
    <mergeCell ref="A50:M50"/>
    <mergeCell ref="A2:A3"/>
    <mergeCell ref="B2:B5"/>
    <mergeCell ref="C2:K2"/>
    <mergeCell ref="A45:M45"/>
    <mergeCell ref="A46:M46"/>
    <mergeCell ref="A47:M47"/>
  </mergeCells>
  <phoneticPr fontId="4" type="noConversion"/>
  <printOptions horizontalCentered="1"/>
  <pageMargins left="0.36" right="0.17" top="0.79" bottom="0.6" header="0.51181102362204722" footer="0.44"/>
  <pageSetup paperSize="9" scale="7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4">
    <tabColor indexed="44"/>
    <pageSetUpPr fitToPage="1"/>
  </sheetPr>
  <dimension ref="A1:BU341"/>
  <sheetViews>
    <sheetView showGridLines="0" zoomScale="115" zoomScaleNormal="115" workbookViewId="0">
      <pane xSplit="2" ySplit="5" topLeftCell="C6" activePane="bottomRight" state="frozen"/>
      <selection activeCell="C6" sqref="C6"/>
      <selection pane="topRight" activeCell="C6" sqref="C6"/>
      <selection pane="bottomLeft" activeCell="C6" sqref="C6"/>
      <selection pane="bottomRight" activeCell="I28" sqref="I28"/>
    </sheetView>
  </sheetViews>
  <sheetFormatPr defaultColWidth="9.140625" defaultRowHeight="12.75" x14ac:dyDescent="0.25"/>
  <cols>
    <col min="1" max="1" width="32.5703125" style="5" customWidth="1"/>
    <col min="2" max="2" width="3.140625" style="58" customWidth="1"/>
    <col min="3" max="14" width="8.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27" width="9.140625" style="5" customWidth="1"/>
    <col min="28" max="28" width="9.140625" style="5"/>
    <col min="29" max="29" width="9.140625" style="1336"/>
    <col min="30" max="16384" width="9.140625" style="5"/>
  </cols>
  <sheetData>
    <row r="1" spans="1:73" ht="13.5" x14ac:dyDescent="0.25">
      <c r="A1" s="57" t="str">
        <f>muni&amp;" - "&amp;_ADJ4&amp;" - "&amp;Date</f>
        <v xml:space="preserve">KZN226 Mkhambathini - Table B4 Adjustments Budget Financial Performance (revenue and expenditure) - </v>
      </c>
      <c r="B1" s="5"/>
      <c r="C1" s="58"/>
      <c r="BU1" s="5" t="s">
        <v>1880</v>
      </c>
    </row>
    <row r="2" spans="1:73" ht="38.25" x14ac:dyDescent="0.25">
      <c r="A2" s="1420" t="str">
        <f>desc</f>
        <v>Description</v>
      </c>
      <c r="B2" s="1420" t="str">
        <f>head27</f>
        <v>Ref</v>
      </c>
      <c r="C2" s="1417" t="str">
        <f>Head2</f>
        <v>Budget Year 2020/21</v>
      </c>
      <c r="D2" s="1418"/>
      <c r="E2" s="1418"/>
      <c r="F2" s="1418"/>
      <c r="G2" s="1418"/>
      <c r="H2" s="1418"/>
      <c r="I2" s="1418"/>
      <c r="J2" s="1418"/>
      <c r="K2" s="1418"/>
      <c r="L2" s="103" t="str">
        <f>Head10</f>
        <v>Budget Year +1 2021/22</v>
      </c>
      <c r="M2" s="61" t="str">
        <f>Head11</f>
        <v>Budget Year +2 2022/23</v>
      </c>
      <c r="AC2" s="1336" t="s">
        <v>1813</v>
      </c>
    </row>
    <row r="3" spans="1:73" ht="25.5" x14ac:dyDescent="0.25">
      <c r="A3" s="1421"/>
      <c r="B3" s="14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73" x14ac:dyDescent="0.25">
      <c r="A4" s="1421"/>
      <c r="B4" s="1421"/>
      <c r="C4" s="65"/>
      <c r="D4" s="15">
        <v>3</v>
      </c>
      <c r="E4" s="15">
        <v>4</v>
      </c>
      <c r="F4" s="15">
        <v>5</v>
      </c>
      <c r="G4" s="15">
        <v>6</v>
      </c>
      <c r="H4" s="15">
        <v>7</v>
      </c>
      <c r="I4" s="15">
        <v>8</v>
      </c>
      <c r="J4" s="15">
        <v>9</v>
      </c>
      <c r="K4" s="15">
        <v>10</v>
      </c>
      <c r="L4" s="15"/>
      <c r="M4" s="17"/>
    </row>
    <row r="5" spans="1:73" x14ac:dyDescent="0.25">
      <c r="A5" s="18" t="s">
        <v>605</v>
      </c>
      <c r="B5" s="122">
        <v>1</v>
      </c>
      <c r="C5" s="123" t="s">
        <v>549</v>
      </c>
      <c r="D5" s="20" t="s">
        <v>550</v>
      </c>
      <c r="E5" s="20" t="s">
        <v>551</v>
      </c>
      <c r="F5" s="21" t="s">
        <v>552</v>
      </c>
      <c r="G5" s="21" t="s">
        <v>553</v>
      </c>
      <c r="H5" s="21" t="s">
        <v>554</v>
      </c>
      <c r="I5" s="22" t="s">
        <v>555</v>
      </c>
      <c r="J5" s="22" t="s">
        <v>556</v>
      </c>
      <c r="K5" s="22" t="s">
        <v>557</v>
      </c>
      <c r="L5" s="22"/>
      <c r="M5" s="24"/>
    </row>
    <row r="6" spans="1:73" ht="12.75" customHeight="1" x14ac:dyDescent="0.25">
      <c r="A6" s="124" t="s">
        <v>640</v>
      </c>
      <c r="B6" s="73"/>
      <c r="C6" s="125"/>
      <c r="D6" s="75"/>
      <c r="E6" s="75"/>
      <c r="F6" s="75"/>
      <c r="G6" s="75"/>
      <c r="H6" s="75"/>
      <c r="I6" s="75"/>
      <c r="J6" s="75"/>
      <c r="K6" s="75"/>
      <c r="L6" s="75"/>
      <c r="M6" s="76"/>
      <c r="N6" s="126"/>
      <c r="O6" s="126"/>
      <c r="P6" s="126"/>
      <c r="Q6" s="126"/>
      <c r="R6" s="126"/>
      <c r="S6" s="126"/>
      <c r="T6" s="126"/>
      <c r="U6" s="126"/>
      <c r="V6" s="126"/>
    </row>
    <row r="7" spans="1:73" ht="12.75" customHeight="1" x14ac:dyDescent="0.25">
      <c r="A7" s="127" t="s">
        <v>559</v>
      </c>
      <c r="B7" s="73">
        <v>2</v>
      </c>
      <c r="C7" s="129">
        <f>'SB1'!C10</f>
        <v>19781622</v>
      </c>
      <c r="D7" s="129">
        <f>'SB1'!D10</f>
        <v>19781622</v>
      </c>
      <c r="E7" s="129">
        <f>'SB1'!E10</f>
        <v>0</v>
      </c>
      <c r="F7" s="129">
        <f>'SB1'!F10</f>
        <v>0</v>
      </c>
      <c r="G7" s="129">
        <f>'SB1'!G10</f>
        <v>0</v>
      </c>
      <c r="H7" s="129">
        <f>'SB1'!H10</f>
        <v>0</v>
      </c>
      <c r="I7" s="129">
        <f>'SB1'!I10</f>
        <v>0</v>
      </c>
      <c r="J7" s="169">
        <f>SUM(E7:I7)</f>
        <v>0</v>
      </c>
      <c r="K7" s="169">
        <f>IF(D7=0,C7+J7,D7+J7)</f>
        <v>19781622</v>
      </c>
      <c r="L7" s="129">
        <f>'SB1'!L10</f>
        <v>21042556</v>
      </c>
      <c r="M7" s="131">
        <f>'SB1'!M10</f>
        <v>22379146</v>
      </c>
      <c r="N7" s="126"/>
      <c r="O7" s="126"/>
      <c r="P7" s="126"/>
      <c r="Q7" s="126"/>
      <c r="R7" s="126"/>
      <c r="S7" s="126"/>
      <c r="T7" s="126"/>
      <c r="U7" s="126"/>
      <c r="V7" s="126"/>
      <c r="AC7" s="1336" t="s">
        <v>1814</v>
      </c>
    </row>
    <row r="8" spans="1:73" ht="12.75" customHeight="1" x14ac:dyDescent="0.25">
      <c r="A8" s="127" t="s">
        <v>641</v>
      </c>
      <c r="B8" s="73">
        <v>2</v>
      </c>
      <c r="C8" s="129">
        <f>'SB1'!C16</f>
        <v>0</v>
      </c>
      <c r="D8" s="129">
        <f>'SB1'!D16</f>
        <v>0</v>
      </c>
      <c r="E8" s="129">
        <f>'SB1'!E16</f>
        <v>0</v>
      </c>
      <c r="F8" s="129">
        <f>'SB1'!F16</f>
        <v>0</v>
      </c>
      <c r="G8" s="129">
        <f>'SB1'!G16</f>
        <v>0</v>
      </c>
      <c r="H8" s="129">
        <f>'SB1'!H16</f>
        <v>0</v>
      </c>
      <c r="I8" s="129">
        <f>'SB1'!I16</f>
        <v>0</v>
      </c>
      <c r="J8" s="169">
        <f>SUM(E8:I8)</f>
        <v>0</v>
      </c>
      <c r="K8" s="169">
        <f t="shared" ref="K8:K22" si="0">IF(D8=0,C8+J8,D8+J8)</f>
        <v>0</v>
      </c>
      <c r="L8" s="129">
        <f>'SB1'!L16</f>
        <v>0</v>
      </c>
      <c r="M8" s="131">
        <f>'SB1'!M16</f>
        <v>0</v>
      </c>
      <c r="N8" s="126"/>
      <c r="O8" s="126"/>
      <c r="P8" s="126"/>
      <c r="Q8" s="126"/>
      <c r="R8" s="126"/>
      <c r="S8" s="126"/>
      <c r="T8" s="126"/>
      <c r="U8" s="126"/>
      <c r="V8" s="126"/>
      <c r="AC8" s="1336" t="s">
        <v>1815</v>
      </c>
    </row>
    <row r="9" spans="1:73" ht="12.75" customHeight="1" x14ac:dyDescent="0.25">
      <c r="A9" s="127" t="s">
        <v>642</v>
      </c>
      <c r="B9" s="73">
        <v>2</v>
      </c>
      <c r="C9" s="129">
        <f>'SB1'!C22</f>
        <v>0</v>
      </c>
      <c r="D9" s="129">
        <f>'SB1'!D22</f>
        <v>0</v>
      </c>
      <c r="E9" s="129">
        <f>'SB1'!E22</f>
        <v>0</v>
      </c>
      <c r="F9" s="129">
        <f>'SB1'!F22</f>
        <v>0</v>
      </c>
      <c r="G9" s="129">
        <f>'SB1'!G22</f>
        <v>0</v>
      </c>
      <c r="H9" s="129">
        <f>'SB1'!H22</f>
        <v>0</v>
      </c>
      <c r="I9" s="129">
        <f>'SB1'!I22</f>
        <v>0</v>
      </c>
      <c r="J9" s="169">
        <f>SUM(E9:I9)</f>
        <v>0</v>
      </c>
      <c r="K9" s="169">
        <f t="shared" si="0"/>
        <v>0</v>
      </c>
      <c r="L9" s="129">
        <f>'SB1'!L22</f>
        <v>0</v>
      </c>
      <c r="M9" s="131">
        <f>'SB1'!M22</f>
        <v>0</v>
      </c>
      <c r="N9" s="126"/>
      <c r="O9" s="126"/>
      <c r="P9" s="126"/>
      <c r="Q9" s="126"/>
      <c r="R9" s="126"/>
      <c r="S9" s="126"/>
      <c r="T9" s="126"/>
      <c r="U9" s="126"/>
      <c r="V9" s="126"/>
      <c r="AC9" s="1336" t="s">
        <v>1816</v>
      </c>
    </row>
    <row r="10" spans="1:73" ht="12.75" customHeight="1" x14ac:dyDescent="0.25">
      <c r="A10" s="127" t="s">
        <v>643</v>
      </c>
      <c r="B10" s="73">
        <v>2</v>
      </c>
      <c r="C10" s="129">
        <f>'SB1'!C28</f>
        <v>0</v>
      </c>
      <c r="D10" s="129">
        <f>'SB1'!D28</f>
        <v>0</v>
      </c>
      <c r="E10" s="129">
        <f>'SB1'!E28</f>
        <v>0</v>
      </c>
      <c r="F10" s="129">
        <f>'SB1'!F28</f>
        <v>0</v>
      </c>
      <c r="G10" s="129">
        <f>'SB1'!G28</f>
        <v>0</v>
      </c>
      <c r="H10" s="129">
        <f>'SB1'!H28</f>
        <v>0</v>
      </c>
      <c r="I10" s="129">
        <f>'SB1'!I28</f>
        <v>0</v>
      </c>
      <c r="J10" s="169">
        <f>SUM(E10:I10)</f>
        <v>0</v>
      </c>
      <c r="K10" s="169">
        <f t="shared" si="0"/>
        <v>0</v>
      </c>
      <c r="L10" s="129">
        <f>'SB1'!L28</f>
        <v>0</v>
      </c>
      <c r="M10" s="131">
        <f>'SB1'!M28</f>
        <v>0</v>
      </c>
      <c r="N10" s="126"/>
      <c r="O10" s="126"/>
      <c r="P10" s="126"/>
      <c r="Q10" s="126"/>
      <c r="R10" s="126"/>
      <c r="S10" s="126"/>
      <c r="T10" s="126"/>
      <c r="U10" s="126"/>
      <c r="V10" s="126"/>
      <c r="AC10" s="1336" t="s">
        <v>1817</v>
      </c>
    </row>
    <row r="11" spans="1:73" ht="12.75" customHeight="1" x14ac:dyDescent="0.25">
      <c r="A11" s="127" t="s">
        <v>1152</v>
      </c>
      <c r="B11" s="73">
        <v>2</v>
      </c>
      <c r="C11" s="129">
        <f>'SB1'!C35</f>
        <v>574287</v>
      </c>
      <c r="D11" s="130">
        <f>'SB1'!D35</f>
        <v>574287</v>
      </c>
      <c r="E11" s="130">
        <f>'SB1'!E35</f>
        <v>0</v>
      </c>
      <c r="F11" s="130">
        <f>'SB1'!F35</f>
        <v>0</v>
      </c>
      <c r="G11" s="130">
        <f>'SB1'!G35</f>
        <v>0</v>
      </c>
      <c r="H11" s="130">
        <f>'SB1'!H35</f>
        <v>0</v>
      </c>
      <c r="I11" s="130">
        <f>'SB1'!I35</f>
        <v>0</v>
      </c>
      <c r="J11" s="75">
        <f>SUM(E11:I11)</f>
        <v>0</v>
      </c>
      <c r="K11" s="75">
        <f t="shared" si="0"/>
        <v>574287</v>
      </c>
      <c r="L11" s="130">
        <f>'SB1'!L35</f>
        <v>608744</v>
      </c>
      <c r="M11" s="131">
        <f>'SB1'!M35</f>
        <v>645269</v>
      </c>
      <c r="N11" s="126"/>
      <c r="O11" s="126"/>
      <c r="P11" s="126"/>
      <c r="Q11" s="126"/>
      <c r="R11" s="126"/>
      <c r="S11" s="126"/>
      <c r="T11" s="126"/>
      <c r="U11" s="126"/>
      <c r="V11" s="126"/>
      <c r="AC11" s="1336" t="s">
        <v>1818</v>
      </c>
    </row>
    <row r="12" spans="1:73" ht="0.95" customHeight="1" x14ac:dyDescent="0.25">
      <c r="A12" s="127"/>
      <c r="B12" s="73"/>
      <c r="C12" s="129"/>
      <c r="D12" s="130"/>
      <c r="E12" s="130"/>
      <c r="F12" s="130"/>
      <c r="G12" s="130"/>
      <c r="H12" s="130"/>
      <c r="I12" s="130">
        <f>SUMIFS(Sheet1!S71_AdjustmentAmount,Sheet1!S71_SA34eCode,$AC:$AC,Sheet1!S71_A5CapexCode,$AD:$AD)</f>
        <v>0</v>
      </c>
      <c r="J12" s="130"/>
      <c r="K12" s="130"/>
      <c r="L12" s="130"/>
      <c r="M12" s="131"/>
      <c r="N12" s="126"/>
      <c r="O12" s="126"/>
      <c r="P12" s="126"/>
      <c r="Q12" s="126"/>
      <c r="R12" s="126"/>
      <c r="S12" s="126"/>
      <c r="T12" s="126"/>
      <c r="U12" s="132"/>
      <c r="V12" s="126"/>
    </row>
    <row r="13" spans="1:73" ht="12.75" customHeight="1" x14ac:dyDescent="0.25">
      <c r="A13" s="127" t="s">
        <v>644</v>
      </c>
      <c r="B13" s="73"/>
      <c r="C13" s="1355">
        <f>-SUMIFS(Sheet1!S71_OriginalBudget,Sheet1!S71_A4Code,$AC:$AC)</f>
        <v>345181</v>
      </c>
      <c r="D13" s="1356">
        <f>-SUMIFS(Sheet1!S71_SpecialAdjustedBudget,Sheet1!S71_A4Code,$AC:$AC)</f>
        <v>345181</v>
      </c>
      <c r="E13" s="1356"/>
      <c r="F13" s="1356"/>
      <c r="G13" s="1356"/>
      <c r="H13" s="1356"/>
      <c r="I13" s="1356">
        <f>SUMIFS(Sheet1!S71_AdjustmentAmount,Sheet1!S71_A4Code,$AC:$AC)</f>
        <v>0</v>
      </c>
      <c r="J13" s="75">
        <f t="shared" ref="J13:J22" si="1">SUM(E13:I13)</f>
        <v>0</v>
      </c>
      <c r="K13" s="75">
        <f>IF(D13=0,C13+J13,D13+J13)</f>
        <v>345181</v>
      </c>
      <c r="L13" s="1356">
        <f>-SUMIFS(Sheet1!S71_OY1AdjustedBudget,Sheet1!S71_A4Code,$AC:$AC)</f>
        <v>365892</v>
      </c>
      <c r="M13" s="1357">
        <f>-SUMIFS(Sheet1!S71_OY2AdjustedBudget,Sheet1!S71_A4Code,$AC:$AC)</f>
        <v>387846</v>
      </c>
      <c r="N13" s="126"/>
      <c r="O13" s="126"/>
      <c r="P13" s="126"/>
      <c r="Q13" s="126"/>
      <c r="R13" s="126"/>
      <c r="S13" s="126"/>
      <c r="T13" s="126"/>
      <c r="U13" s="126"/>
      <c r="V13" s="126"/>
      <c r="AC13" s="1336" t="s">
        <v>1819</v>
      </c>
    </row>
    <row r="14" spans="1:73" ht="12.75" customHeight="1" x14ac:dyDescent="0.25">
      <c r="A14" s="127" t="s">
        <v>645</v>
      </c>
      <c r="B14" s="73"/>
      <c r="C14" s="1355">
        <f>-SUMIFS(Sheet1!S71_OriginalBudget,Sheet1!S71_A4Code,$AC:$AC)</f>
        <v>3850000</v>
      </c>
      <c r="D14" s="1356">
        <f>-SUMIFS(Sheet1!S71_SpecialAdjustedBudget,Sheet1!S71_A4Code,$AC:$AC)</f>
        <v>3850000</v>
      </c>
      <c r="E14" s="1356"/>
      <c r="F14" s="1356"/>
      <c r="G14" s="1356"/>
      <c r="H14" s="1356"/>
      <c r="I14" s="1356">
        <f>SUMIFS(Sheet1!S71_AdjustmentAmount,Sheet1!S71_A4Code,$AC:$AC)</f>
        <v>0</v>
      </c>
      <c r="J14" s="75">
        <f t="shared" si="1"/>
        <v>0</v>
      </c>
      <c r="K14" s="75">
        <f t="shared" si="0"/>
        <v>3850000</v>
      </c>
      <c r="L14" s="1356">
        <f>-SUMIFS(Sheet1!S71_OY1AdjustedBudget,Sheet1!S71_A4Code,$AC:$AC)</f>
        <v>4081000</v>
      </c>
      <c r="M14" s="1357">
        <f>-SUMIFS(Sheet1!S71_OY2AdjustedBudget,Sheet1!S71_A4Code,$AC:$AC)</f>
        <v>4325860</v>
      </c>
      <c r="N14" s="126"/>
      <c r="O14" s="126"/>
      <c r="P14" s="126"/>
      <c r="Q14" s="126"/>
      <c r="R14" s="126"/>
      <c r="S14" s="126"/>
      <c r="T14" s="126"/>
      <c r="U14" s="126"/>
      <c r="V14" s="126"/>
      <c r="AC14" s="1336" t="s">
        <v>1820</v>
      </c>
    </row>
    <row r="15" spans="1:73" ht="12.75" customHeight="1" x14ac:dyDescent="0.25">
      <c r="A15" s="127" t="s">
        <v>646</v>
      </c>
      <c r="B15" s="73"/>
      <c r="C15" s="1355">
        <f>-SUMIFS(Sheet1!S71_OriginalBudget,Sheet1!S71_A4Code,$AC:$AC)</f>
        <v>1883321</v>
      </c>
      <c r="D15" s="1356">
        <f>-SUMIFS(Sheet1!S71_SpecialAdjustedBudget,Sheet1!S71_A4Code,$AC:$AC)</f>
        <v>1883321</v>
      </c>
      <c r="E15" s="1356"/>
      <c r="F15" s="1356"/>
      <c r="G15" s="1356"/>
      <c r="H15" s="1356"/>
      <c r="I15" s="1356">
        <f>SUMIFS(Sheet1!S71_AdjustmentAmount,Sheet1!S71_A4Code,$AC:$AC)</f>
        <v>-1883321</v>
      </c>
      <c r="J15" s="75">
        <f t="shared" si="1"/>
        <v>-1883321</v>
      </c>
      <c r="K15" s="75">
        <f t="shared" si="0"/>
        <v>0</v>
      </c>
      <c r="L15" s="1356">
        <f>-SUMIFS(Sheet1!S71_OY1AdjustedBudget,Sheet1!S71_A4Code,$AC:$AC)</f>
        <v>1958654</v>
      </c>
      <c r="M15" s="1357">
        <f>-SUMIFS(Sheet1!S71_OY2AdjustedBudget,Sheet1!S71_A4Code,$AC:$AC)</f>
        <v>2037000</v>
      </c>
      <c r="N15" s="126"/>
      <c r="O15" s="126"/>
      <c r="P15" s="126"/>
      <c r="Q15" s="126"/>
      <c r="R15" s="126"/>
      <c r="S15" s="126"/>
      <c r="T15" s="126"/>
      <c r="U15" s="126"/>
      <c r="V15" s="126"/>
      <c r="AC15" s="1336" t="s">
        <v>1821</v>
      </c>
    </row>
    <row r="16" spans="1:73" ht="12.75" customHeight="1" x14ac:dyDescent="0.25">
      <c r="A16" s="127" t="s">
        <v>647</v>
      </c>
      <c r="B16" s="73"/>
      <c r="C16" s="1355">
        <f>-SUMIFS(Sheet1!S71_OriginalBudget,Sheet1!S71_A4Code,$AC:$AC)</f>
        <v>0</v>
      </c>
      <c r="D16" s="1356">
        <f>-SUMIFS(Sheet1!S71_SpecialAdjustedBudget,Sheet1!S71_A4Code,$AC:$AC)</f>
        <v>0</v>
      </c>
      <c r="E16" s="1356"/>
      <c r="F16" s="1356"/>
      <c r="G16" s="1356"/>
      <c r="H16" s="1356"/>
      <c r="I16" s="1356">
        <f>SUMIFS(Sheet1!S71_AdjustmentAmount,Sheet1!S71_A4Code,$AC:$AC)</f>
        <v>0</v>
      </c>
      <c r="J16" s="75">
        <f t="shared" si="1"/>
        <v>0</v>
      </c>
      <c r="K16" s="75">
        <f t="shared" si="0"/>
        <v>0</v>
      </c>
      <c r="L16" s="1356">
        <f>-SUMIFS(Sheet1!S71_OY1AdjustedBudget,Sheet1!S71_A4Code,$AC:$AC)</f>
        <v>0</v>
      </c>
      <c r="M16" s="1357">
        <f>-SUMIFS(Sheet1!S71_OY2AdjustedBudget,Sheet1!S71_A4Code,$AC:$AC)</f>
        <v>0</v>
      </c>
      <c r="N16" s="126"/>
      <c r="O16" s="126"/>
      <c r="P16" s="126"/>
      <c r="Q16" s="126"/>
      <c r="R16" s="126"/>
      <c r="S16" s="126"/>
      <c r="T16" s="126"/>
      <c r="U16" s="126"/>
      <c r="V16" s="126"/>
      <c r="AC16" s="1336" t="s">
        <v>1822</v>
      </c>
    </row>
    <row r="17" spans="1:29" ht="12.75" customHeight="1" x14ac:dyDescent="0.25">
      <c r="A17" s="584" t="s">
        <v>1478</v>
      </c>
      <c r="B17" s="73"/>
      <c r="C17" s="1355">
        <f>-SUMIFS(Sheet1!S71_OriginalBudget,Sheet1!S71_A4Code,$AC:$AC)</f>
        <v>34200</v>
      </c>
      <c r="D17" s="1356">
        <f>-SUMIFS(Sheet1!S71_SpecialAdjustedBudget,Sheet1!S71_A4Code,$AC:$AC)</f>
        <v>34200</v>
      </c>
      <c r="E17" s="1356"/>
      <c r="F17" s="1356"/>
      <c r="G17" s="1356"/>
      <c r="H17" s="1356"/>
      <c r="I17" s="1356">
        <f>SUMIFS(Sheet1!S71_AdjustmentAmount,Sheet1!S71_A4Code,$AC:$AC)</f>
        <v>0</v>
      </c>
      <c r="J17" s="75">
        <f t="shared" si="1"/>
        <v>0</v>
      </c>
      <c r="K17" s="75">
        <f t="shared" si="0"/>
        <v>34200</v>
      </c>
      <c r="L17" s="1356">
        <f>-SUMIFS(Sheet1!S71_OY1AdjustedBudget,Sheet1!S71_A4Code,$AC:$AC)</f>
        <v>36252</v>
      </c>
      <c r="M17" s="1357">
        <f>-SUMIFS(Sheet1!S71_OY2AdjustedBudget,Sheet1!S71_A4Code,$AC:$AC)</f>
        <v>38427</v>
      </c>
      <c r="N17" s="126"/>
      <c r="O17" s="126"/>
      <c r="P17" s="126"/>
      <c r="Q17" s="126"/>
      <c r="R17" s="126"/>
      <c r="S17" s="126"/>
      <c r="T17" s="126"/>
      <c r="U17" s="126"/>
      <c r="V17" s="126"/>
      <c r="AC17" s="1336" t="s">
        <v>1823</v>
      </c>
    </row>
    <row r="18" spans="1:29" ht="12.75" customHeight="1" x14ac:dyDescent="0.25">
      <c r="A18" s="127" t="s">
        <v>648</v>
      </c>
      <c r="B18" s="73"/>
      <c r="C18" s="1355">
        <f>-SUMIFS(Sheet1!S71_OriginalBudget,Sheet1!S71_A4Code,$AC:$AC)</f>
        <v>7121110</v>
      </c>
      <c r="D18" s="1356">
        <f>-SUMIFS(Sheet1!S71_SpecialAdjustedBudget,Sheet1!S71_A4Code,$AC:$AC)</f>
        <v>7121110</v>
      </c>
      <c r="E18" s="1356"/>
      <c r="F18" s="1356"/>
      <c r="G18" s="1356"/>
      <c r="H18" s="1356"/>
      <c r="I18" s="1356">
        <f>SUMIFS(Sheet1!S71_AdjustmentAmount,Sheet1!S71_A4Code,$AC:$AC)</f>
        <v>1200</v>
      </c>
      <c r="J18" s="75">
        <f t="shared" si="1"/>
        <v>1200</v>
      </c>
      <c r="K18" s="75">
        <f t="shared" si="0"/>
        <v>7122310</v>
      </c>
      <c r="L18" s="1356">
        <f>-SUMIFS(Sheet1!S71_OY1AdjustedBudget,Sheet1!S71_A4Code,$AC:$AC)</f>
        <v>7548377</v>
      </c>
      <c r="M18" s="1357">
        <f>-SUMIFS(Sheet1!S71_OY2AdjustedBudget,Sheet1!S71_A4Code,$AC:$AC)</f>
        <v>8001279</v>
      </c>
      <c r="N18" s="126"/>
      <c r="O18" s="126"/>
      <c r="P18" s="126"/>
      <c r="Q18" s="126"/>
      <c r="R18" s="126"/>
      <c r="S18" s="126"/>
      <c r="T18" s="126"/>
      <c r="U18" s="126"/>
      <c r="V18" s="126"/>
      <c r="AC18" s="1336" t="s">
        <v>1824</v>
      </c>
    </row>
    <row r="19" spans="1:29" ht="12.75" customHeight="1" x14ac:dyDescent="0.25">
      <c r="A19" s="30" t="s">
        <v>649</v>
      </c>
      <c r="B19" s="73"/>
      <c r="C19" s="1355">
        <f>-SUMIFS(Sheet1!S71_OriginalBudget,Sheet1!S71_A4Code,$AC:$AC)</f>
        <v>0</v>
      </c>
      <c r="D19" s="1356">
        <f>-SUMIFS(Sheet1!S71_SpecialAdjustedBudget,Sheet1!S71_A4Code,$AC:$AC)</f>
        <v>0</v>
      </c>
      <c r="E19" s="1356"/>
      <c r="F19" s="1356"/>
      <c r="G19" s="1356"/>
      <c r="H19" s="1356"/>
      <c r="I19" s="1356">
        <f>SUMIFS(Sheet1!S71_AdjustmentAmount,Sheet1!S71_A4Code,$AC:$AC)</f>
        <v>0</v>
      </c>
      <c r="J19" s="75">
        <f t="shared" si="1"/>
        <v>0</v>
      </c>
      <c r="K19" s="75">
        <f t="shared" si="0"/>
        <v>0</v>
      </c>
      <c r="L19" s="1356">
        <f>-SUMIFS(Sheet1!S71_OY1AdjustedBudget,Sheet1!S71_A4Code,$AC:$AC)</f>
        <v>0</v>
      </c>
      <c r="M19" s="1357">
        <f>-SUMIFS(Sheet1!S71_OY2AdjustedBudget,Sheet1!S71_A4Code,$AC:$AC)</f>
        <v>0</v>
      </c>
      <c r="N19" s="126"/>
      <c r="O19" s="126"/>
      <c r="P19" s="126"/>
      <c r="Q19" s="126"/>
      <c r="R19" s="126"/>
      <c r="S19" s="126"/>
      <c r="T19" s="126"/>
      <c r="U19" s="126"/>
      <c r="V19" s="126"/>
      <c r="AC19" s="1336" t="s">
        <v>1825</v>
      </c>
    </row>
    <row r="20" spans="1:29" ht="12.75" customHeight="1" x14ac:dyDescent="0.25">
      <c r="A20" s="30" t="s">
        <v>1477</v>
      </c>
      <c r="B20" s="73"/>
      <c r="C20" s="1355">
        <f>-SUMIFS(Sheet1!S71_OriginalBudget,Sheet1!S71_A4Code,$AC:$AC)</f>
        <v>73462500</v>
      </c>
      <c r="D20" s="1356">
        <f>-SUMIFS(Sheet1!S71_SpecialAdjustedBudget,Sheet1!S71_A4Code,$AC:$AC)</f>
        <v>85867500</v>
      </c>
      <c r="E20" s="1356"/>
      <c r="F20" s="1356"/>
      <c r="G20" s="1356"/>
      <c r="H20" s="1356"/>
      <c r="I20" s="1356">
        <f>SUMIFS(Sheet1!S71_AdjustmentAmount,Sheet1!S71_A4Code,$AC:$AC)</f>
        <v>-372500</v>
      </c>
      <c r="J20" s="75">
        <f t="shared" si="1"/>
        <v>-372500</v>
      </c>
      <c r="K20" s="75">
        <f t="shared" si="0"/>
        <v>85495000</v>
      </c>
      <c r="L20" s="1356">
        <f>-SUMIFS(Sheet1!S71_OY1AdjustedBudget,Sheet1!S71_A4Code,$AC:$AC)</f>
        <v>77240000</v>
      </c>
      <c r="M20" s="1357">
        <f>-SUMIFS(Sheet1!S71_OY2AdjustedBudget,Sheet1!S71_A4Code,$AC:$AC)</f>
        <v>81898000</v>
      </c>
      <c r="N20" s="126"/>
      <c r="O20" s="126"/>
      <c r="P20" s="126"/>
      <c r="Q20" s="126"/>
      <c r="R20" s="126"/>
      <c r="S20" s="126"/>
      <c r="T20" s="126"/>
      <c r="U20" s="126"/>
      <c r="V20" s="126"/>
      <c r="AC20" s="1336" t="s">
        <v>1826</v>
      </c>
    </row>
    <row r="21" spans="1:29" ht="12.75" customHeight="1" x14ac:dyDescent="0.25">
      <c r="A21" s="30" t="s">
        <v>650</v>
      </c>
      <c r="B21" s="73">
        <v>2</v>
      </c>
      <c r="C21" s="129">
        <f>'SB1'!C67</f>
        <v>1174234</v>
      </c>
      <c r="D21" s="130">
        <f>'SB1'!D67</f>
        <v>1174234</v>
      </c>
      <c r="E21" s="130">
        <f>'SB1'!E67</f>
        <v>0</v>
      </c>
      <c r="F21" s="130">
        <f>'SB1'!F67</f>
        <v>0</v>
      </c>
      <c r="G21" s="130">
        <f>'SB1'!G67</f>
        <v>0</v>
      </c>
      <c r="H21" s="130">
        <f>'SB1'!H67</f>
        <v>0</v>
      </c>
      <c r="I21" s="130">
        <f>'SB1'!I67</f>
        <v>1526211</v>
      </c>
      <c r="J21" s="130">
        <f t="shared" si="1"/>
        <v>1526211</v>
      </c>
      <c r="K21" s="130">
        <f t="shared" si="0"/>
        <v>2700445</v>
      </c>
      <c r="L21" s="130">
        <f>'SB1'!L67</f>
        <v>1230228</v>
      </c>
      <c r="M21" s="131">
        <f>'SB1'!M67</f>
        <v>1289046</v>
      </c>
      <c r="N21" s="126"/>
      <c r="O21" s="126"/>
      <c r="P21" s="126"/>
      <c r="Q21" s="126"/>
      <c r="R21" s="126"/>
      <c r="S21" s="126"/>
      <c r="T21" s="126"/>
      <c r="U21" s="126"/>
      <c r="V21" s="126"/>
      <c r="AC21" s="1336" t="s">
        <v>1827</v>
      </c>
    </row>
    <row r="22" spans="1:29" ht="12.75" customHeight="1" x14ac:dyDescent="0.25">
      <c r="A22" s="1313" t="s">
        <v>1794</v>
      </c>
      <c r="B22" s="73"/>
      <c r="C22" s="1355">
        <f>-SUMIFS(Sheet1!S71_OriginalBudget,Sheet1!S71_A4Code,$AC:$AC)</f>
        <v>0</v>
      </c>
      <c r="D22" s="1356">
        <f>-SUMIFS(Sheet1!S71_SpecialAdjustedBudget,Sheet1!S71_A4Code,$AC:$AC)</f>
        <v>0</v>
      </c>
      <c r="E22" s="1356"/>
      <c r="F22" s="1356"/>
      <c r="G22" s="1356"/>
      <c r="H22" s="1356"/>
      <c r="I22" s="1356">
        <f>SUMIFS(Sheet1!S71_AdjustmentAmount,Sheet1!S71_A4Code,$AC:$AC)</f>
        <v>0</v>
      </c>
      <c r="J22" s="75">
        <f t="shared" si="1"/>
        <v>0</v>
      </c>
      <c r="K22" s="75">
        <f t="shared" si="0"/>
        <v>0</v>
      </c>
      <c r="L22" s="1356">
        <f>-SUMIFS(Sheet1!S71_OY1AdjustedBudget,Sheet1!S71_A4Code,$AC:$AC)</f>
        <v>0</v>
      </c>
      <c r="M22" s="1357">
        <f>-SUMIFS(Sheet1!S71_OY2AdjustedBudget,Sheet1!S71_A4Code,$AC:$AC)</f>
        <v>0</v>
      </c>
      <c r="N22" s="126"/>
      <c r="O22" s="126"/>
      <c r="P22" s="126"/>
      <c r="Q22" s="126"/>
      <c r="R22" s="126"/>
      <c r="S22" s="126"/>
      <c r="T22" s="126"/>
      <c r="U22" s="126"/>
      <c r="V22" s="126"/>
      <c r="AC22" s="1336" t="s">
        <v>1828</v>
      </c>
    </row>
    <row r="23" spans="1:29" ht="24" customHeight="1" x14ac:dyDescent="0.25">
      <c r="A23" s="636" t="s">
        <v>563</v>
      </c>
      <c r="B23" s="637"/>
      <c r="C23" s="633">
        <f>SUM(C7:C11)+SUM(C13:C22)</f>
        <v>108226455</v>
      </c>
      <c r="D23" s="634">
        <f t="shared" ref="D23:I23" si="2">SUM(D7:D11)+SUM(D13:D22)</f>
        <v>120631455</v>
      </c>
      <c r="E23" s="634">
        <f t="shared" si="2"/>
        <v>0</v>
      </c>
      <c r="F23" s="634">
        <f t="shared" si="2"/>
        <v>0</v>
      </c>
      <c r="G23" s="634">
        <f t="shared" si="2"/>
        <v>0</v>
      </c>
      <c r="H23" s="634">
        <f t="shared" si="2"/>
        <v>0</v>
      </c>
      <c r="I23" s="634">
        <f t="shared" si="2"/>
        <v>-728410</v>
      </c>
      <c r="J23" s="634">
        <f>SUM(J7:J11)+SUM(J13:J22)</f>
        <v>-728410</v>
      </c>
      <c r="K23" s="634">
        <f>SUM(K7:K11)+SUM(K13:K22)</f>
        <v>119903045</v>
      </c>
      <c r="L23" s="634">
        <f>SUM(L7:L11)+SUM(L13:L22)</f>
        <v>114111703</v>
      </c>
      <c r="M23" s="635">
        <f>SUM(M7:M11)+SUM(M13:M22)</f>
        <v>121001873</v>
      </c>
      <c r="N23" s="126"/>
      <c r="O23" s="126"/>
      <c r="P23" s="126"/>
      <c r="Q23" s="126"/>
      <c r="R23" s="126"/>
      <c r="S23" s="126"/>
      <c r="T23" s="126"/>
      <c r="U23" s="126"/>
      <c r="V23" s="126"/>
    </row>
    <row r="24" spans="1:29" ht="5.0999999999999996" customHeight="1" x14ac:dyDescent="0.25">
      <c r="A24" s="134"/>
      <c r="B24" s="73"/>
      <c r="C24" s="74"/>
      <c r="D24" s="75"/>
      <c r="E24" s="75"/>
      <c r="F24" s="75"/>
      <c r="G24" s="75"/>
      <c r="H24" s="75"/>
      <c r="I24" s="75">
        <f>SUMIFS(Sheet1!S71_AdjustmentAmount,Sheet1!S71_SA34eCode,$AC:$AC,Sheet1!S71_A5CapexCode,$AD:$AD)</f>
        <v>0</v>
      </c>
      <c r="J24" s="75"/>
      <c r="K24" s="75"/>
      <c r="L24" s="75"/>
      <c r="M24" s="76"/>
      <c r="N24" s="126"/>
      <c r="O24" s="126"/>
      <c r="P24" s="126"/>
      <c r="Q24" s="126"/>
      <c r="R24" s="126"/>
      <c r="S24" s="126"/>
      <c r="T24" s="126"/>
      <c r="U24" s="126"/>
      <c r="V24" s="126"/>
    </row>
    <row r="25" spans="1:29" ht="12.75" customHeight="1" x14ac:dyDescent="0.25">
      <c r="A25" s="124" t="s">
        <v>651</v>
      </c>
      <c r="B25" s="113"/>
      <c r="C25" s="74"/>
      <c r="D25" s="75"/>
      <c r="E25" s="75"/>
      <c r="F25" s="75"/>
      <c r="G25" s="75"/>
      <c r="H25" s="75"/>
      <c r="I25" s="75">
        <f>SUMIFS(Sheet1!S71_AdjustmentAmount,Sheet1!S71_SA34eCode,$AC:$AC,Sheet1!S71_A5CapexCode,$AD:$AD)</f>
        <v>0</v>
      </c>
      <c r="J25" s="75"/>
      <c r="K25" s="75"/>
      <c r="L25" s="75"/>
      <c r="M25" s="76"/>
      <c r="N25" s="126"/>
      <c r="O25" s="126"/>
      <c r="P25" s="126"/>
      <c r="Q25" s="126"/>
      <c r="R25" s="126"/>
      <c r="S25" s="126"/>
      <c r="T25" s="126"/>
      <c r="U25" s="126"/>
      <c r="V25" s="126"/>
    </row>
    <row r="26" spans="1:29" ht="12.75" customHeight="1" x14ac:dyDescent="0.25">
      <c r="A26" s="30" t="s">
        <v>652</v>
      </c>
      <c r="B26" s="135"/>
      <c r="C26" s="129">
        <f>'SB1'!C85</f>
        <v>44691585</v>
      </c>
      <c r="D26" s="130">
        <f>'SB1'!D85</f>
        <v>44691585</v>
      </c>
      <c r="E26" s="130">
        <f>'SB1'!E85</f>
        <v>0</v>
      </c>
      <c r="F26" s="130">
        <f>'SB1'!F85</f>
        <v>0</v>
      </c>
      <c r="G26" s="130">
        <f>'SB1'!G85</f>
        <v>0</v>
      </c>
      <c r="H26" s="130">
        <f>'SB1'!H85</f>
        <v>0</v>
      </c>
      <c r="I26" s="130">
        <f>'SB1'!I85</f>
        <v>0</v>
      </c>
      <c r="J26" s="130">
        <f t="shared" ref="J26:J36" si="3">SUM(E26:I26)</f>
        <v>0</v>
      </c>
      <c r="K26" s="130">
        <f t="shared" ref="K26:K36" si="4">IF(D26=0,C26+J26,D26+J26)</f>
        <v>44691585</v>
      </c>
      <c r="L26" s="130">
        <f>'SB1'!L85</f>
        <v>50763599</v>
      </c>
      <c r="M26" s="131">
        <f>'SB1'!M85</f>
        <v>53761056</v>
      </c>
      <c r="N26" s="126"/>
      <c r="O26" s="126"/>
      <c r="P26" s="126"/>
      <c r="Q26" s="126"/>
      <c r="R26" s="126"/>
      <c r="S26" s="126"/>
      <c r="T26" s="126"/>
      <c r="U26" s="126"/>
      <c r="V26" s="126"/>
      <c r="AC26" s="1336" t="s">
        <v>1829</v>
      </c>
    </row>
    <row r="27" spans="1:29" ht="12.75" customHeight="1" x14ac:dyDescent="0.25">
      <c r="A27" s="30" t="s">
        <v>565</v>
      </c>
      <c r="B27" s="135"/>
      <c r="C27" s="1355">
        <f>SUMIFS(Sheet1!S71_OriginalBudget,Sheet1!S71_A4Code,$AC:$AC)</f>
        <v>6373921</v>
      </c>
      <c r="D27" s="1356">
        <f>SUMIFS(Sheet1!S71_SpecialAdjustedBudget,Sheet1!S71_A4Code,$AC:$AC)</f>
        <v>6373921</v>
      </c>
      <c r="E27" s="1356"/>
      <c r="F27" s="1356"/>
      <c r="G27" s="1356"/>
      <c r="H27" s="1356"/>
      <c r="I27" s="1356">
        <v>0</v>
      </c>
      <c r="J27" s="75">
        <f t="shared" si="3"/>
        <v>0</v>
      </c>
      <c r="K27" s="75">
        <f t="shared" si="4"/>
        <v>6373921</v>
      </c>
      <c r="L27" s="1356">
        <f>SUMIFS(Sheet1!S71_OY1AdjustedBudget,Sheet1!S71_A4Code,$AC:$AC)</f>
        <v>3384275</v>
      </c>
      <c r="M27" s="1357">
        <f>SUMIFS(Sheet1!S71_OY2AdjustedBudget,Sheet1!S71_A4Code,$AC:$AC)</f>
        <v>3405956</v>
      </c>
      <c r="N27" s="126"/>
      <c r="O27" s="126"/>
      <c r="P27" s="126"/>
      <c r="Q27" s="126"/>
      <c r="R27" s="126"/>
      <c r="S27" s="126"/>
      <c r="T27" s="126"/>
      <c r="U27" s="126"/>
      <c r="V27" s="126"/>
      <c r="AC27" s="1336" t="s">
        <v>1830</v>
      </c>
    </row>
    <row r="28" spans="1:29" ht="12.75" customHeight="1" x14ac:dyDescent="0.25">
      <c r="A28" s="30" t="s">
        <v>653</v>
      </c>
      <c r="B28" s="135"/>
      <c r="C28" s="1355">
        <f>SUMIFS(Sheet1!S71_OriginalBudget,Sheet1!S71_A4Code,$AC:$AC)</f>
        <v>3140135</v>
      </c>
      <c r="D28" s="1356">
        <f>SUMIFS(Sheet1!S71_SpecialAdjustedBudget,Sheet1!S71_A4Code,$AC:$AC)</f>
        <v>3140135</v>
      </c>
      <c r="E28" s="1356"/>
      <c r="F28" s="1356"/>
      <c r="G28" s="1356"/>
      <c r="H28" s="1356"/>
      <c r="I28" s="1356">
        <f>SUMIFS(Sheet1!S71_AdjustmentAmount,Sheet1!S71_A4Code,$AC:$AC)</f>
        <v>0</v>
      </c>
      <c r="J28" s="75">
        <f t="shared" si="3"/>
        <v>0</v>
      </c>
      <c r="K28" s="75">
        <f t="shared" si="4"/>
        <v>3140135</v>
      </c>
      <c r="L28" s="1356">
        <f>SUMIFS(Sheet1!S71_OY1AdjustedBudget,Sheet1!S71_A4Code,$AC:$AC)</f>
        <v>3579753</v>
      </c>
      <c r="M28" s="1357">
        <f>SUMIFS(Sheet1!S71_OY2AdjustedBudget,Sheet1!S71_A4Code,$AC:$AC)</f>
        <v>4080919</v>
      </c>
      <c r="N28" s="126"/>
      <c r="O28" s="126"/>
      <c r="P28" s="126"/>
      <c r="Q28" s="126"/>
      <c r="R28" s="126"/>
      <c r="S28" s="126"/>
      <c r="T28" s="126"/>
      <c r="U28" s="126"/>
      <c r="V28" s="126"/>
      <c r="AC28" s="1336" t="s">
        <v>1831</v>
      </c>
    </row>
    <row r="29" spans="1:29" ht="12.75" customHeight="1" x14ac:dyDescent="0.25">
      <c r="A29" s="30" t="s">
        <v>566</v>
      </c>
      <c r="B29" s="135"/>
      <c r="C29" s="129">
        <f>'SB1'!C101</f>
        <v>11173339</v>
      </c>
      <c r="D29" s="130">
        <f>'SB1'!D101</f>
        <v>11173339</v>
      </c>
      <c r="E29" s="130">
        <f>'SB1'!E101</f>
        <v>0</v>
      </c>
      <c r="F29" s="130">
        <f>'SB1'!F101</f>
        <v>0</v>
      </c>
      <c r="G29" s="130">
        <f>'SB1'!G101</f>
        <v>0</v>
      </c>
      <c r="H29" s="130">
        <f>'SB1'!H101</f>
        <v>0</v>
      </c>
      <c r="I29" s="130">
        <f>'SB1'!I101</f>
        <v>0</v>
      </c>
      <c r="J29" s="130">
        <f t="shared" si="3"/>
        <v>0</v>
      </c>
      <c r="K29" s="130">
        <f t="shared" si="4"/>
        <v>11173339</v>
      </c>
      <c r="L29" s="130">
        <f>'SB1'!L101</f>
        <v>12290674</v>
      </c>
      <c r="M29" s="131">
        <f>'SB1'!M101</f>
        <v>13519740</v>
      </c>
      <c r="N29" s="126"/>
      <c r="O29" s="126"/>
      <c r="P29" s="126"/>
      <c r="Q29" s="126"/>
      <c r="R29" s="126"/>
      <c r="S29" s="126"/>
      <c r="T29" s="126"/>
      <c r="U29" s="126"/>
      <c r="V29" s="126"/>
      <c r="AC29" s="1336" t="s">
        <v>1832</v>
      </c>
    </row>
    <row r="30" spans="1:29" ht="12.75" customHeight="1" x14ac:dyDescent="0.25">
      <c r="A30" s="30" t="s">
        <v>567</v>
      </c>
      <c r="B30" s="135"/>
      <c r="C30" s="1355">
        <f>SUMIFS(Sheet1!S71_OriginalBudget,Sheet1!S71_A4Code,$AC:$AC)</f>
        <v>0</v>
      </c>
      <c r="D30" s="1356">
        <f>SUMIFS(Sheet1!S71_SpecialAdjustedBudget,Sheet1!S71_A4Code,$AC:$AC)</f>
        <v>0</v>
      </c>
      <c r="E30" s="1356"/>
      <c r="F30" s="1356"/>
      <c r="G30" s="1356"/>
      <c r="H30" s="1356"/>
      <c r="I30" s="1356">
        <f>SUMIFS(Sheet1!S71_AdjustmentAmount,Sheet1!S71_A4Code,$AC:$AC)</f>
        <v>0</v>
      </c>
      <c r="J30" s="75">
        <f t="shared" si="3"/>
        <v>0</v>
      </c>
      <c r="K30" s="75">
        <f t="shared" si="4"/>
        <v>0</v>
      </c>
      <c r="L30" s="1356">
        <f>SUMIFS(Sheet1!S71_OY1AdjustedBudget,Sheet1!S71_A4Code,$AC:$AC)</f>
        <v>0</v>
      </c>
      <c r="M30" s="1357">
        <f>SUMIFS(Sheet1!S71_OY2AdjustedBudget,Sheet1!S71_A4Code,$AC:$AC)</f>
        <v>0</v>
      </c>
      <c r="N30" s="126"/>
      <c r="O30" s="126"/>
      <c r="P30" s="126"/>
      <c r="Q30" s="126"/>
      <c r="R30" s="126"/>
      <c r="S30" s="126"/>
      <c r="T30" s="126"/>
      <c r="U30" s="126"/>
      <c r="V30" s="126"/>
      <c r="AC30" s="1336" t="s">
        <v>1833</v>
      </c>
    </row>
    <row r="31" spans="1:29" ht="12.75" customHeight="1" x14ac:dyDescent="0.25">
      <c r="A31" s="30" t="s">
        <v>654</v>
      </c>
      <c r="B31" s="135"/>
      <c r="C31" s="129">
        <f>'SB1'!C106</f>
        <v>0</v>
      </c>
      <c r="D31" s="130">
        <f>'SB1'!D106</f>
        <v>0</v>
      </c>
      <c r="E31" s="130">
        <f>'SB1'!E106</f>
        <v>0</v>
      </c>
      <c r="F31" s="130">
        <f>'SB1'!F106</f>
        <v>0</v>
      </c>
      <c r="G31" s="130">
        <f>'SB1'!G106</f>
        <v>0</v>
      </c>
      <c r="H31" s="130">
        <f>'SB1'!H106</f>
        <v>0</v>
      </c>
      <c r="I31" s="130">
        <f>'SB1'!I106</f>
        <v>0</v>
      </c>
      <c r="J31" s="136">
        <f t="shared" si="3"/>
        <v>0</v>
      </c>
      <c r="K31" s="136">
        <f t="shared" si="4"/>
        <v>0</v>
      </c>
      <c r="L31" s="130">
        <f>'SB1'!L106</f>
        <v>0</v>
      </c>
      <c r="M31" s="131">
        <f>'SB1'!M106</f>
        <v>0</v>
      </c>
      <c r="N31" s="126"/>
      <c r="O31" s="126"/>
      <c r="P31" s="126"/>
      <c r="Q31" s="126"/>
      <c r="R31" s="126"/>
      <c r="S31" s="126"/>
      <c r="T31" s="126"/>
      <c r="U31" s="126"/>
      <c r="V31" s="126"/>
      <c r="AC31" s="1336" t="s">
        <v>1834</v>
      </c>
    </row>
    <row r="32" spans="1:29" ht="12.75" customHeight="1" x14ac:dyDescent="0.25">
      <c r="A32" s="30" t="s">
        <v>655</v>
      </c>
      <c r="B32" s="135"/>
      <c r="C32" s="1355">
        <f>SUMIFS(Sheet1!S71_OriginalBudget,Sheet1!S71_A4Code,$AC:$AC)</f>
        <v>6366500</v>
      </c>
      <c r="D32" s="1356">
        <f>SUMIFS(Sheet1!S71_SpecialAdjustedBudget,Sheet1!S71_A4Code,$AC:$AC)</f>
        <v>6366500</v>
      </c>
      <c r="E32" s="1356"/>
      <c r="F32" s="1356"/>
      <c r="G32" s="1356"/>
      <c r="H32" s="1356"/>
      <c r="I32" s="1356">
        <f>SUMIFS(Sheet1!S71_AdjustmentAmount,Sheet1!S71_A4Code,$AC:$AC)</f>
        <v>92000</v>
      </c>
      <c r="J32" s="75">
        <f t="shared" si="3"/>
        <v>92000</v>
      </c>
      <c r="K32" s="75">
        <f t="shared" si="4"/>
        <v>6458500</v>
      </c>
      <c r="L32" s="1356">
        <f>SUMIFS(Sheet1!S71_OY1AdjustedBudget,Sheet1!S71_A4Code,$AC:$AC)</f>
        <v>5710490</v>
      </c>
      <c r="M32" s="1357">
        <f>SUMIFS(Sheet1!S71_OY2AdjustedBudget,Sheet1!S71_A4Code,$AC:$AC)</f>
        <v>6109959</v>
      </c>
      <c r="N32" s="126"/>
      <c r="O32" s="126"/>
      <c r="P32" s="126"/>
      <c r="Q32" s="126"/>
      <c r="R32" s="126"/>
      <c r="S32" s="126"/>
      <c r="T32" s="126"/>
      <c r="U32" s="126"/>
      <c r="V32" s="126"/>
      <c r="AC32" s="1336" t="s">
        <v>1835</v>
      </c>
    </row>
    <row r="33" spans="1:29" ht="12.75" customHeight="1" x14ac:dyDescent="0.25">
      <c r="A33" s="30" t="s">
        <v>656</v>
      </c>
      <c r="B33" s="135"/>
      <c r="C33" s="129">
        <f>'SB1'!C145</f>
        <v>30419837</v>
      </c>
      <c r="D33" s="129">
        <f>'SB1'!D145</f>
        <v>30419837</v>
      </c>
      <c r="E33" s="129">
        <f>'SB1'!E145</f>
        <v>0</v>
      </c>
      <c r="F33" s="129">
        <f>'SB1'!F145</f>
        <v>0</v>
      </c>
      <c r="G33" s="129">
        <f>'SB1'!G145</f>
        <v>0</v>
      </c>
      <c r="H33" s="129">
        <f>'SB1'!H145</f>
        <v>0</v>
      </c>
      <c r="I33" s="129">
        <f>'SB1'!I145</f>
        <v>13503155</v>
      </c>
      <c r="J33" s="130">
        <f t="shared" si="3"/>
        <v>13503155</v>
      </c>
      <c r="K33" s="130">
        <f t="shared" si="4"/>
        <v>43922992</v>
      </c>
      <c r="L33" s="130">
        <f>'SB1'!L145</f>
        <v>28336361</v>
      </c>
      <c r="M33" s="131">
        <f>'SB1'!M145</f>
        <v>30244169</v>
      </c>
      <c r="N33" s="126"/>
      <c r="O33" s="126"/>
      <c r="P33" s="126"/>
      <c r="Q33" s="126"/>
      <c r="R33" s="126"/>
      <c r="S33" s="126"/>
      <c r="T33" s="126"/>
      <c r="U33" s="126"/>
      <c r="V33" s="126"/>
      <c r="AC33" s="1336" t="s">
        <v>1836</v>
      </c>
    </row>
    <row r="34" spans="1:29" ht="12.75" customHeight="1" x14ac:dyDescent="0.25">
      <c r="A34" s="30" t="s">
        <v>1477</v>
      </c>
      <c r="B34" s="135"/>
      <c r="C34" s="1355">
        <f>SUMIFS(Sheet1!S71_OriginalBudget,Sheet1!S71_A4Code,$AC:$AC)</f>
        <v>309425</v>
      </c>
      <c r="D34" s="1356">
        <f>SUMIFS(Sheet1!S71_SpecialAdjustedBudget,Sheet1!S71_A4Code,$AC:$AC)</f>
        <v>309425</v>
      </c>
      <c r="E34" s="1356"/>
      <c r="F34" s="1356"/>
      <c r="G34" s="1356"/>
      <c r="H34" s="1356"/>
      <c r="I34" s="1356">
        <f>SUMIFS(Sheet1!S71_AdjustmentAmount,Sheet1!S71_A4Code,$AC:$AC)</f>
        <v>0</v>
      </c>
      <c r="J34" s="75">
        <f t="shared" si="3"/>
        <v>0</v>
      </c>
      <c r="K34" s="75">
        <f t="shared" si="4"/>
        <v>309425</v>
      </c>
      <c r="L34" s="1356">
        <f>SUMIFS(Sheet1!S71_OY1AdjustedBudget,Sheet1!S71_A4Code,$AC:$AC)</f>
        <v>340367</v>
      </c>
      <c r="M34" s="1357">
        <f>SUMIFS(Sheet1!S71_OY2AdjustedBudget,Sheet1!S71_A4Code,$AC:$AC)</f>
        <v>374404</v>
      </c>
      <c r="N34" s="126"/>
      <c r="O34" s="126"/>
      <c r="P34" s="126"/>
      <c r="Q34" s="126"/>
      <c r="R34" s="126"/>
      <c r="S34" s="126"/>
      <c r="T34" s="126"/>
      <c r="U34" s="126"/>
      <c r="V34" s="126"/>
      <c r="AC34" s="1336" t="s">
        <v>1837</v>
      </c>
    </row>
    <row r="35" spans="1:29" ht="12.75" customHeight="1" x14ac:dyDescent="0.25">
      <c r="A35" s="30" t="s">
        <v>569</v>
      </c>
      <c r="B35" s="135"/>
      <c r="C35" s="129">
        <f>'SB1'!C174</f>
        <v>19062160</v>
      </c>
      <c r="D35" s="130">
        <f>'SB1'!D174</f>
        <v>19062160</v>
      </c>
      <c r="E35" s="130">
        <f>'SB1'!E174</f>
        <v>0</v>
      </c>
      <c r="F35" s="130">
        <f>'SB1'!F174</f>
        <v>0</v>
      </c>
      <c r="G35" s="130">
        <f>'SB1'!G174</f>
        <v>0</v>
      </c>
      <c r="H35" s="130">
        <f>'SB1'!H174</f>
        <v>0</v>
      </c>
      <c r="I35" s="130">
        <f>'SB1'!I174</f>
        <v>7487612</v>
      </c>
      <c r="J35" s="75">
        <f t="shared" si="3"/>
        <v>7487612</v>
      </c>
      <c r="K35" s="75">
        <f t="shared" si="4"/>
        <v>26549772</v>
      </c>
      <c r="L35" s="130">
        <f>'SB1'!L174</f>
        <v>21148885</v>
      </c>
      <c r="M35" s="131">
        <f>'SB1'!M174</f>
        <v>21831247</v>
      </c>
      <c r="N35" s="126"/>
      <c r="O35" s="126"/>
      <c r="P35" s="126"/>
      <c r="Q35" s="126"/>
      <c r="R35" s="126"/>
      <c r="S35" s="126"/>
      <c r="T35" s="126"/>
      <c r="U35" s="126"/>
      <c r="V35" s="126"/>
      <c r="AC35" s="1336" t="s">
        <v>1838</v>
      </c>
    </row>
    <row r="36" spans="1:29" ht="12.75" customHeight="1" x14ac:dyDescent="0.25">
      <c r="A36" s="1313" t="s">
        <v>1795</v>
      </c>
      <c r="B36" s="135"/>
      <c r="C36" s="1355">
        <f>SUMIFS(Sheet1!S71_OriginalBudget,Sheet1!S71_A4Code,$AC:$AC)</f>
        <v>0</v>
      </c>
      <c r="D36" s="1356">
        <f>SUMIFS(Sheet1!S71_SpecialAdjustedBudget,Sheet1!S71_A4Code,$AC:$AC)</f>
        <v>0</v>
      </c>
      <c r="E36" s="1356"/>
      <c r="F36" s="1356"/>
      <c r="G36" s="1356"/>
      <c r="H36" s="1356"/>
      <c r="I36" s="1356">
        <f>SUMIFS(Sheet1!S71_AdjustmentAmount,Sheet1!S71_A4Code,$AC:$AC)</f>
        <v>0</v>
      </c>
      <c r="J36" s="75">
        <f t="shared" si="3"/>
        <v>0</v>
      </c>
      <c r="K36" s="75">
        <f t="shared" si="4"/>
        <v>0</v>
      </c>
      <c r="L36" s="1356">
        <f>SUMIFS(Sheet1!S71_OY1AdjustedBudget,Sheet1!S71_A4Code,$AC:$AC)</f>
        <v>0</v>
      </c>
      <c r="M36" s="1357">
        <f>SUMIFS(Sheet1!S71_OY2AdjustedBudget,Sheet1!S71_A4Code,$AC:$AC)</f>
        <v>0</v>
      </c>
      <c r="N36" s="126"/>
      <c r="O36" s="126"/>
      <c r="P36" s="126"/>
      <c r="Q36" s="126"/>
      <c r="R36" s="126"/>
      <c r="S36" s="126"/>
      <c r="T36" s="126"/>
      <c r="U36" s="126"/>
      <c r="V36" s="126"/>
      <c r="AC36" s="1336" t="s">
        <v>1839</v>
      </c>
    </row>
    <row r="37" spans="1:29" ht="12.75" customHeight="1" x14ac:dyDescent="0.25">
      <c r="A37" s="160" t="s">
        <v>570</v>
      </c>
      <c r="B37" s="79"/>
      <c r="C37" s="80">
        <f t="shared" ref="C37:M37" si="5">SUM(C26:C36)</f>
        <v>121536902</v>
      </c>
      <c r="D37" s="81">
        <f t="shared" si="5"/>
        <v>121536902</v>
      </c>
      <c r="E37" s="81">
        <f t="shared" si="5"/>
        <v>0</v>
      </c>
      <c r="F37" s="81">
        <f t="shared" si="5"/>
        <v>0</v>
      </c>
      <c r="G37" s="81">
        <f t="shared" si="5"/>
        <v>0</v>
      </c>
      <c r="H37" s="81">
        <f t="shared" si="5"/>
        <v>0</v>
      </c>
      <c r="I37" s="81">
        <f>SUM(I26:I36)</f>
        <v>21082767</v>
      </c>
      <c r="J37" s="81">
        <f t="shared" si="5"/>
        <v>21082767</v>
      </c>
      <c r="K37" s="81">
        <f>SUM(K26:K36)</f>
        <v>142619669</v>
      </c>
      <c r="L37" s="81">
        <f t="shared" si="5"/>
        <v>125554404</v>
      </c>
      <c r="M37" s="82">
        <f t="shared" si="5"/>
        <v>133327450</v>
      </c>
      <c r="N37" s="126"/>
      <c r="O37" s="126"/>
      <c r="P37" s="126"/>
      <c r="Q37" s="126"/>
      <c r="R37" s="126"/>
      <c r="S37" s="126"/>
      <c r="T37" s="126"/>
      <c r="U37" s="126"/>
      <c r="V37" s="126"/>
    </row>
    <row r="38" spans="1:29" ht="5.0999999999999996" customHeight="1" x14ac:dyDescent="0.25">
      <c r="A38" s="134"/>
      <c r="B38" s="73"/>
      <c r="C38" s="74"/>
      <c r="D38" s="75"/>
      <c r="E38" s="75"/>
      <c r="F38" s="75"/>
      <c r="G38" s="75"/>
      <c r="H38" s="75"/>
      <c r="I38" s="75">
        <f>SUMIFS(Sheet1!S71_AdjustmentAmount,Sheet1!S71_SA34eCode,$AC:$AC,Sheet1!S71_A5CapexCode,$AD:$AD)</f>
        <v>0</v>
      </c>
      <c r="J38" s="75"/>
      <c r="K38" s="75"/>
      <c r="L38" s="75"/>
      <c r="M38" s="76"/>
      <c r="N38" s="126"/>
      <c r="O38" s="126"/>
      <c r="P38" s="126"/>
      <c r="Q38" s="126"/>
      <c r="R38" s="126"/>
      <c r="S38" s="126"/>
      <c r="T38" s="126"/>
      <c r="U38" s="126"/>
      <c r="V38" s="126"/>
    </row>
    <row r="39" spans="1:29" ht="12.75" customHeight="1" x14ac:dyDescent="0.25">
      <c r="A39" s="137" t="s">
        <v>571</v>
      </c>
      <c r="B39" s="73"/>
      <c r="C39" s="138">
        <f>C23-C37</f>
        <v>-13310447</v>
      </c>
      <c r="D39" s="139">
        <f t="shared" ref="D39:M39" si="6">D23-D37</f>
        <v>-905447</v>
      </c>
      <c r="E39" s="139">
        <f t="shared" si="6"/>
        <v>0</v>
      </c>
      <c r="F39" s="139">
        <f t="shared" si="6"/>
        <v>0</v>
      </c>
      <c r="G39" s="139">
        <f t="shared" si="6"/>
        <v>0</v>
      </c>
      <c r="H39" s="139">
        <f t="shared" si="6"/>
        <v>0</v>
      </c>
      <c r="I39" s="139">
        <f t="shared" si="6"/>
        <v>-21811177</v>
      </c>
      <c r="J39" s="139">
        <f t="shared" si="6"/>
        <v>-21811177</v>
      </c>
      <c r="K39" s="139">
        <f t="shared" si="6"/>
        <v>-22716624</v>
      </c>
      <c r="L39" s="139">
        <f t="shared" si="6"/>
        <v>-11442701</v>
      </c>
      <c r="M39" s="140">
        <f t="shared" si="6"/>
        <v>-12325577</v>
      </c>
      <c r="N39" s="126"/>
      <c r="O39" s="126"/>
      <c r="P39" s="126"/>
      <c r="Q39" s="126"/>
      <c r="R39" s="126"/>
      <c r="S39" s="126"/>
      <c r="T39" s="126"/>
      <c r="U39" s="126"/>
      <c r="V39" s="126"/>
    </row>
    <row r="40" spans="1:29" ht="23.45" customHeight="1" x14ac:dyDescent="0.25">
      <c r="A40" s="1208" t="s">
        <v>1474</v>
      </c>
      <c r="B40" s="73"/>
      <c r="C40" s="1355">
        <f>-SUMIFS(Sheet1!S71_OriginalBudget,Sheet1!S71_A4Code,$AC:$AC)</f>
        <v>15996000</v>
      </c>
      <c r="D40" s="1356">
        <f>-SUMIFS(Sheet1!S71_SpecialAdjustedBudget,Sheet1!S71_A4Code,$AC:$AC)</f>
        <v>15996000</v>
      </c>
      <c r="E40" s="1356"/>
      <c r="F40" s="1356"/>
      <c r="G40" s="1356"/>
      <c r="H40" s="1356"/>
      <c r="I40" s="1356">
        <f>SUMIFS(Sheet1!S71_AdjustmentAmount,Sheet1!S71_A4Code,$AC:$AC)</f>
        <v>-196000</v>
      </c>
      <c r="J40" s="75">
        <f>SUM(E40:I40)</f>
        <v>-196000</v>
      </c>
      <c r="K40" s="75">
        <f>IF(D40=0,C40+J40,D40+J40)</f>
        <v>15800000</v>
      </c>
      <c r="L40" s="1356">
        <f>-SUMIFS(Sheet1!S71_OY1AdjustedBudget,Sheet1!S71_A4Code,$AC:$AC)</f>
        <v>17027000</v>
      </c>
      <c r="M40" s="1357">
        <f>-SUMIFS(Sheet1!S71_OY2AdjustedBudget,Sheet1!S71_A4Code,$AC:$AC)</f>
        <v>17781000</v>
      </c>
      <c r="N40" s="126"/>
      <c r="O40" s="126"/>
      <c r="P40" s="126"/>
      <c r="Q40" s="126"/>
      <c r="R40" s="126"/>
      <c r="S40" s="126"/>
      <c r="T40" s="126"/>
      <c r="U40" s="126"/>
      <c r="V40" s="126"/>
      <c r="AC40" s="1336" t="s">
        <v>1840</v>
      </c>
    </row>
    <row r="41" spans="1:29" ht="43.35" customHeight="1" x14ac:dyDescent="0.25">
      <c r="A41" s="1208" t="s">
        <v>1475</v>
      </c>
      <c r="B41" s="73"/>
      <c r="C41" s="1355">
        <f>-SUMIFS(Sheet1!S71_OriginalBudget,Sheet1!S71_A4Code,$AC:$AC)</f>
        <v>0</v>
      </c>
      <c r="D41" s="1356">
        <f>-SUMIFS(Sheet1!S71_SpecialAdjustedBudget,Sheet1!S71_A4Code,$AC:$AC)</f>
        <v>0</v>
      </c>
      <c r="E41" s="1356"/>
      <c r="F41" s="1356"/>
      <c r="G41" s="1356"/>
      <c r="H41" s="1356"/>
      <c r="I41" s="1356">
        <f>SUMIFS(Sheet1!S71_AdjustmentAmount,Sheet1!S71_A4Code,$AC:$AC)</f>
        <v>0</v>
      </c>
      <c r="J41" s="75">
        <f>SUM(E41:I41)</f>
        <v>0</v>
      </c>
      <c r="K41" s="75">
        <f>IF(D41=0,C41+J41,D41+J41)</f>
        <v>0</v>
      </c>
      <c r="L41" s="1356">
        <f>-SUMIFS(Sheet1!S71_OY1AdjustedBudget,Sheet1!S71_A4Code,$AC:$AC)</f>
        <v>0</v>
      </c>
      <c r="M41" s="1357">
        <f>-SUMIFS(Sheet1!S71_OY2AdjustedBudget,Sheet1!S71_A4Code,$AC:$AC)</f>
        <v>0</v>
      </c>
      <c r="N41" s="126"/>
      <c r="O41" s="126"/>
      <c r="P41" s="126"/>
      <c r="Q41" s="126"/>
      <c r="R41" s="126"/>
      <c r="S41" s="126"/>
      <c r="T41" s="126"/>
      <c r="U41" s="126"/>
      <c r="V41" s="126"/>
      <c r="AC41" s="1336" t="s">
        <v>1841</v>
      </c>
    </row>
    <row r="42" spans="1:29" ht="12.75" customHeight="1" x14ac:dyDescent="0.25">
      <c r="A42" s="584" t="s">
        <v>1476</v>
      </c>
      <c r="B42" s="73"/>
      <c r="C42" s="1355">
        <f>-SUMIFS(Sheet1!S71_OriginalBudget,Sheet1!S71_A4Code,$AC:$AC)</f>
        <v>0</v>
      </c>
      <c r="D42" s="1356">
        <f>-SUMIFS(Sheet1!S71_SpecialAdjustedBudget,Sheet1!S71_A4Code,$AC:$AC)</f>
        <v>0</v>
      </c>
      <c r="E42" s="1356"/>
      <c r="F42" s="1356"/>
      <c r="G42" s="1356"/>
      <c r="H42" s="1356"/>
      <c r="I42" s="1356">
        <f>SUMIFS(Sheet1!S71_AdjustmentAmount,Sheet1!S71_A4Code,$AC:$AC)</f>
        <v>0</v>
      </c>
      <c r="J42" s="143">
        <f>SUM(E42:I42)</f>
        <v>0</v>
      </c>
      <c r="K42" s="143">
        <f>IF(D42=0,C42+J42,D42+J42)</f>
        <v>0</v>
      </c>
      <c r="L42" s="1356">
        <f>-SUMIFS(Sheet1!S71_OY1AdjustedBudget,Sheet1!S71_A4Code,$AC:$AC)</f>
        <v>0</v>
      </c>
      <c r="M42" s="1357">
        <f>-SUMIFS(Sheet1!S71_OY2AdjustedBudget,Sheet1!S71_A4Code,$AC:$AC)</f>
        <v>0</v>
      </c>
      <c r="N42" s="126"/>
      <c r="O42" s="126"/>
      <c r="P42" s="126"/>
      <c r="Q42" s="126"/>
      <c r="R42" s="126"/>
      <c r="S42" s="126"/>
      <c r="T42" s="126"/>
      <c r="U42" s="126"/>
      <c r="V42" s="126"/>
      <c r="AC42" s="1336" t="s">
        <v>1842</v>
      </c>
    </row>
    <row r="43" spans="1:29" x14ac:dyDescent="0.25">
      <c r="A43" s="133" t="s">
        <v>658</v>
      </c>
      <c r="B43" s="73"/>
      <c r="C43" s="144">
        <f>SUM(C39:C42)</f>
        <v>2685553</v>
      </c>
      <c r="D43" s="145">
        <f t="shared" ref="D43:M43" si="7">SUM(D39:D42)</f>
        <v>15090553</v>
      </c>
      <c r="E43" s="145">
        <f t="shared" si="7"/>
        <v>0</v>
      </c>
      <c r="F43" s="145">
        <f t="shared" si="7"/>
        <v>0</v>
      </c>
      <c r="G43" s="145">
        <f t="shared" si="7"/>
        <v>0</v>
      </c>
      <c r="H43" s="145">
        <f t="shared" si="7"/>
        <v>0</v>
      </c>
      <c r="I43" s="145">
        <f>SUM(I39:I42)</f>
        <v>-22007177</v>
      </c>
      <c r="J43" s="145">
        <f t="shared" si="7"/>
        <v>-22007177</v>
      </c>
      <c r="K43" s="145">
        <f>SUM(K39:K42)</f>
        <v>-6916624</v>
      </c>
      <c r="L43" s="145">
        <f t="shared" si="7"/>
        <v>5584299</v>
      </c>
      <c r="M43" s="146">
        <f t="shared" si="7"/>
        <v>5455423</v>
      </c>
      <c r="N43" s="126"/>
      <c r="O43" s="126"/>
      <c r="P43" s="126"/>
      <c r="Q43" s="126"/>
      <c r="R43" s="126"/>
      <c r="S43" s="126"/>
      <c r="T43" s="126"/>
      <c r="U43" s="126"/>
      <c r="V43" s="126"/>
    </row>
    <row r="44" spans="1:29" ht="12.75" customHeight="1" x14ac:dyDescent="0.25">
      <c r="A44" s="127" t="s">
        <v>659</v>
      </c>
      <c r="B44" s="73"/>
      <c r="C44" s="1355">
        <f>SUMIFS(Sheet1!S71_OriginalBudget,Sheet1!S71_A4Code,$AC:$AC)</f>
        <v>0</v>
      </c>
      <c r="D44" s="1356">
        <f>-SUMIFS(Sheet1!S71_SpecialAdjustedBudget,Sheet1!S71_A4Code,$AC:$AC)</f>
        <v>0</v>
      </c>
      <c r="E44" s="1356"/>
      <c r="F44" s="1356"/>
      <c r="G44" s="1356"/>
      <c r="H44" s="1356"/>
      <c r="I44" s="1356">
        <f>SUMIFS(Sheet1!S71_AdjustmentAmount,Sheet1!S71_A4Code,$AC:$AC)</f>
        <v>0</v>
      </c>
      <c r="J44" s="75">
        <f>SUM(E44:I44)</f>
        <v>0</v>
      </c>
      <c r="K44" s="75">
        <f>IF(D44=0,C44+J44,D44+J44)</f>
        <v>0</v>
      </c>
      <c r="L44" s="1356">
        <f>SUMIFS(Sheet1!S71_OY1AdjustedBudget,Sheet1!S71_A4Code,$AC:$AC)</f>
        <v>0</v>
      </c>
      <c r="M44" s="1357">
        <f>SUMIFS(Sheet1!S71_OY2AdjustedBudget,Sheet1!S71_A4Code,$AC:$AC)</f>
        <v>0</v>
      </c>
      <c r="N44" s="126"/>
      <c r="O44" s="126"/>
      <c r="P44" s="126"/>
      <c r="Q44" s="126"/>
      <c r="R44" s="126"/>
      <c r="S44" s="126"/>
      <c r="T44" s="126"/>
      <c r="U44" s="126"/>
      <c r="V44" s="126"/>
      <c r="AC44" s="1336" t="s">
        <v>1843</v>
      </c>
    </row>
    <row r="45" spans="1:29" ht="12.75" customHeight="1" x14ac:dyDescent="0.25">
      <c r="A45" s="137" t="s">
        <v>660</v>
      </c>
      <c r="B45" s="147"/>
      <c r="C45" s="148">
        <f t="shared" ref="C45:M45" si="8">C43-C44</f>
        <v>2685553</v>
      </c>
      <c r="D45" s="149">
        <f t="shared" si="8"/>
        <v>15090553</v>
      </c>
      <c r="E45" s="149">
        <f t="shared" si="8"/>
        <v>0</v>
      </c>
      <c r="F45" s="149">
        <f t="shared" si="8"/>
        <v>0</v>
      </c>
      <c r="G45" s="149">
        <f t="shared" si="8"/>
        <v>0</v>
      </c>
      <c r="H45" s="149">
        <f t="shared" si="8"/>
        <v>0</v>
      </c>
      <c r="I45" s="149">
        <f t="shared" si="8"/>
        <v>-22007177</v>
      </c>
      <c r="J45" s="149">
        <f t="shared" si="8"/>
        <v>-22007177</v>
      </c>
      <c r="K45" s="149">
        <f t="shared" si="8"/>
        <v>-6916624</v>
      </c>
      <c r="L45" s="149">
        <f t="shared" si="8"/>
        <v>5584299</v>
      </c>
      <c r="M45" s="150">
        <f t="shared" si="8"/>
        <v>5455423</v>
      </c>
      <c r="N45" s="126"/>
      <c r="O45" s="126"/>
      <c r="P45" s="126"/>
      <c r="Q45" s="126"/>
      <c r="R45" s="126"/>
      <c r="S45" s="126"/>
      <c r="T45" s="126"/>
      <c r="U45" s="126"/>
      <c r="V45" s="126"/>
    </row>
    <row r="46" spans="1:29" ht="12.75" customHeight="1" x14ac:dyDescent="0.25">
      <c r="A46" s="127" t="s">
        <v>661</v>
      </c>
      <c r="B46" s="73"/>
      <c r="C46" s="1355">
        <f>SUMIFS(Sheet1!S71_OriginalBudget,Sheet1!S71_A4Code,$AC:$AC)</f>
        <v>0</v>
      </c>
      <c r="D46" s="1356">
        <f>-SUMIFS(Sheet1!S71_SpecialAdjustedBudget,Sheet1!S71_A4Code,$AC:$AC)</f>
        <v>0</v>
      </c>
      <c r="E46" s="1356"/>
      <c r="F46" s="1356"/>
      <c r="G46" s="1356"/>
      <c r="H46" s="1356"/>
      <c r="I46" s="1356">
        <f>SUMIFS(Sheet1!S71_AdjustmentAmount,Sheet1!S71_A4Code,$AC:$AC)</f>
        <v>0</v>
      </c>
      <c r="J46" s="143">
        <f>SUM(E46:I46)</f>
        <v>0</v>
      </c>
      <c r="K46" s="143">
        <f>IF(D46=0,C46+J46,D46+J46)</f>
        <v>0</v>
      </c>
      <c r="L46" s="1356">
        <f>SUMIFS(Sheet1!S71_OY1AdjustedBudget,Sheet1!S71_A4Code,$AC:$AC)</f>
        <v>0</v>
      </c>
      <c r="M46" s="1357">
        <f>SUMIFS(Sheet1!S71_OY2AdjustedBudget,Sheet1!S71_A4Code,$AC:$AC)</f>
        <v>0</v>
      </c>
      <c r="N46" s="126"/>
      <c r="O46" s="126"/>
      <c r="P46" s="126"/>
      <c r="Q46" s="126"/>
      <c r="R46" s="126"/>
      <c r="S46" s="126"/>
      <c r="T46" s="126"/>
      <c r="U46" s="126"/>
      <c r="V46" s="126"/>
      <c r="AC46" s="1336" t="s">
        <v>1844</v>
      </c>
    </row>
    <row r="47" spans="1:29" x14ac:dyDescent="0.25">
      <c r="A47" s="133" t="s">
        <v>1039</v>
      </c>
      <c r="B47" s="73"/>
      <c r="C47" s="144">
        <f t="shared" ref="C47:M47" si="9">SUM(C45:C46)</f>
        <v>2685553</v>
      </c>
      <c r="D47" s="145">
        <f t="shared" si="9"/>
        <v>15090553</v>
      </c>
      <c r="E47" s="145">
        <f t="shared" si="9"/>
        <v>0</v>
      </c>
      <c r="F47" s="145">
        <f t="shared" si="9"/>
        <v>0</v>
      </c>
      <c r="G47" s="145">
        <f t="shared" si="9"/>
        <v>0</v>
      </c>
      <c r="H47" s="145">
        <f t="shared" si="9"/>
        <v>0</v>
      </c>
      <c r="I47" s="145">
        <f t="shared" si="9"/>
        <v>-22007177</v>
      </c>
      <c r="J47" s="145">
        <f t="shared" si="9"/>
        <v>-22007177</v>
      </c>
      <c r="K47" s="145">
        <f t="shared" si="9"/>
        <v>-6916624</v>
      </c>
      <c r="L47" s="145">
        <f t="shared" si="9"/>
        <v>5584299</v>
      </c>
      <c r="M47" s="146">
        <f t="shared" si="9"/>
        <v>5455423</v>
      </c>
      <c r="N47" s="126"/>
      <c r="O47" s="126"/>
      <c r="P47" s="126"/>
      <c r="Q47" s="126"/>
      <c r="R47" s="126"/>
      <c r="S47" s="126"/>
      <c r="T47" s="126"/>
      <c r="U47" s="126"/>
      <c r="V47" s="126"/>
    </row>
    <row r="48" spans="1:29" ht="12.75" customHeight="1" x14ac:dyDescent="0.25">
      <c r="A48" s="151" t="s">
        <v>574</v>
      </c>
      <c r="B48" s="152"/>
      <c r="C48" s="1355">
        <f>SUMIFS(Sheet1!S71_OriginalBudget,Sheet1!S71_A4Code,$AC:$AC)</f>
        <v>0</v>
      </c>
      <c r="D48" s="1356">
        <f>-SUMIFS(Sheet1!S71_SpecialAdjustedBudget,Sheet1!S71_A4Code,$AC:$AC)</f>
        <v>0</v>
      </c>
      <c r="E48" s="1356"/>
      <c r="F48" s="1356"/>
      <c r="G48" s="1356"/>
      <c r="H48" s="1356"/>
      <c r="I48" s="1356">
        <f>SUMIFS(Sheet1!S71_AdjustmentAmount,Sheet1!S71_A4Code,$AC:$AC)</f>
        <v>0</v>
      </c>
      <c r="J48" s="75">
        <f>SUM(E48:I48)</f>
        <v>0</v>
      </c>
      <c r="K48" s="75">
        <f>IF(D48=0,C48+J48,D48+J48)</f>
        <v>0</v>
      </c>
      <c r="L48" s="1356">
        <f>SUMIFS(Sheet1!S71_OY1AdjustedBudget,Sheet1!S71_A4Code,$AC:$AC)</f>
        <v>0</v>
      </c>
      <c r="M48" s="1357">
        <f>SUMIFS(Sheet1!S71_OY2AdjustedBudget,Sheet1!S71_A4Code,$AC:$AC)</f>
        <v>0</v>
      </c>
      <c r="N48" s="126"/>
      <c r="O48" s="126"/>
      <c r="P48" s="126"/>
      <c r="Q48" s="126"/>
      <c r="R48" s="126"/>
      <c r="S48" s="126"/>
      <c r="T48" s="126"/>
      <c r="U48" s="126"/>
      <c r="V48" s="126"/>
      <c r="AC48" s="1336" t="s">
        <v>1845</v>
      </c>
    </row>
    <row r="49" spans="1:22" ht="12.75" customHeight="1" x14ac:dyDescent="0.25">
      <c r="A49" s="153" t="s">
        <v>575</v>
      </c>
      <c r="B49" s="154"/>
      <c r="C49" s="155">
        <f t="shared" ref="C49:M49" si="10">C47+C48</f>
        <v>2685553</v>
      </c>
      <c r="D49" s="115">
        <f t="shared" si="10"/>
        <v>15090553</v>
      </c>
      <c r="E49" s="115">
        <f t="shared" si="10"/>
        <v>0</v>
      </c>
      <c r="F49" s="115">
        <f t="shared" si="10"/>
        <v>0</v>
      </c>
      <c r="G49" s="115">
        <f t="shared" si="10"/>
        <v>0</v>
      </c>
      <c r="H49" s="115">
        <f t="shared" si="10"/>
        <v>0</v>
      </c>
      <c r="I49" s="115">
        <f>I47+I48</f>
        <v>-22007177</v>
      </c>
      <c r="J49" s="115">
        <f t="shared" si="10"/>
        <v>-22007177</v>
      </c>
      <c r="K49" s="115">
        <f t="shared" si="10"/>
        <v>-6916624</v>
      </c>
      <c r="L49" s="115">
        <f t="shared" si="10"/>
        <v>5584299</v>
      </c>
      <c r="M49" s="116">
        <f t="shared" si="10"/>
        <v>5455423</v>
      </c>
      <c r="N49" s="126"/>
      <c r="O49" s="126"/>
      <c r="P49" s="126"/>
      <c r="Q49" s="126"/>
      <c r="R49" s="126"/>
      <c r="S49" s="126"/>
      <c r="T49" s="126"/>
      <c r="U49" s="126"/>
      <c r="V49" s="126"/>
    </row>
    <row r="50" spans="1:22" ht="12.75" customHeight="1" x14ac:dyDescent="0.25">
      <c r="A50" s="156" t="str">
        <f>head27a</f>
        <v>References</v>
      </c>
      <c r="B50" s="93"/>
      <c r="C50" s="96"/>
      <c r="D50" s="96"/>
      <c r="E50" s="96"/>
      <c r="F50" s="96"/>
      <c r="G50" s="96"/>
      <c r="H50" s="96"/>
      <c r="I50" s="96">
        <f>SUMIFS(Sheet1!S71_AdjustmentAmount,Sheet1!S71_SA34eCode,$AC:$AC,Sheet1!S71_A5CapexCode,$AD:$AD)</f>
        <v>0</v>
      </c>
      <c r="J50" s="96"/>
      <c r="K50" s="96"/>
      <c r="L50" s="96"/>
      <c r="M50" s="96"/>
      <c r="N50" s="126"/>
      <c r="O50" s="126"/>
      <c r="P50" s="126"/>
      <c r="Q50" s="126"/>
      <c r="R50" s="126"/>
      <c r="S50" s="126"/>
      <c r="T50" s="126"/>
      <c r="U50" s="126"/>
      <c r="V50" s="126"/>
    </row>
    <row r="51" spans="1:22" ht="12.75" customHeight="1" x14ac:dyDescent="0.25">
      <c r="A51" s="99" t="s">
        <v>662</v>
      </c>
      <c r="B51" s="93"/>
      <c r="C51" s="96"/>
      <c r="D51" s="96"/>
      <c r="E51" s="96"/>
      <c r="F51" s="96"/>
      <c r="G51" s="96"/>
      <c r="H51" s="96"/>
      <c r="I51" s="96">
        <f>SUMIFS(Sheet1!S71_AdjustmentAmount,Sheet1!S71_SA34eCode,$AC:$AC,Sheet1!S71_A5CapexCode,$AD:$AD)</f>
        <v>0</v>
      </c>
      <c r="J51" s="96"/>
      <c r="K51" s="96"/>
      <c r="L51" s="96"/>
      <c r="M51" s="96"/>
      <c r="N51" s="126"/>
      <c r="O51" s="126"/>
      <c r="P51" s="126"/>
      <c r="Q51" s="126"/>
      <c r="R51" s="126"/>
      <c r="S51" s="126"/>
      <c r="T51" s="126"/>
      <c r="U51" s="126"/>
      <c r="V51" s="126"/>
    </row>
    <row r="52" spans="1:22" ht="12.75" customHeight="1" x14ac:dyDescent="0.25">
      <c r="A52" s="157" t="s">
        <v>1040</v>
      </c>
      <c r="B52" s="158"/>
      <c r="C52" s="94"/>
      <c r="D52" s="96"/>
      <c r="E52" s="96"/>
      <c r="F52" s="96"/>
      <c r="G52" s="96"/>
      <c r="H52" s="96"/>
      <c r="I52" s="96">
        <f>SUMIFS(Sheet1!S71_AdjustmentAmount,Sheet1!S71_SA34eCode,$AC:$AC,Sheet1!S71_A5CapexCode,$AD:$AD)</f>
        <v>0</v>
      </c>
      <c r="J52" s="96"/>
      <c r="K52" s="96"/>
      <c r="L52" s="96"/>
      <c r="M52" s="96"/>
      <c r="N52" s="126"/>
      <c r="O52" s="126"/>
      <c r="P52" s="126"/>
      <c r="Q52" s="126"/>
      <c r="R52" s="126"/>
      <c r="S52" s="126"/>
      <c r="T52" s="126"/>
      <c r="U52" s="126"/>
      <c r="V52" s="126"/>
    </row>
    <row r="53" spans="1:22" ht="12.75" customHeight="1" x14ac:dyDescent="0.25">
      <c r="A53" s="1422" t="s">
        <v>988</v>
      </c>
      <c r="B53" s="1422"/>
      <c r="C53" s="1422"/>
      <c r="D53" s="1422"/>
      <c r="E53" s="1422"/>
      <c r="F53" s="1422"/>
      <c r="G53" s="1422"/>
      <c r="H53" s="1422"/>
      <c r="I53" s="1422"/>
      <c r="J53" s="1422"/>
      <c r="K53" s="1422"/>
      <c r="L53" s="1422"/>
      <c r="M53" s="1422"/>
      <c r="N53" s="126"/>
      <c r="O53" s="126"/>
      <c r="P53" s="126"/>
      <c r="Q53" s="126"/>
      <c r="R53" s="126"/>
      <c r="S53" s="126"/>
      <c r="T53" s="126"/>
      <c r="U53" s="126"/>
      <c r="V53" s="126"/>
    </row>
    <row r="54" spans="1:22" ht="27.75" customHeight="1" x14ac:dyDescent="0.25">
      <c r="A54" s="1422" t="s">
        <v>1032</v>
      </c>
      <c r="B54" s="1422"/>
      <c r="C54" s="1422"/>
      <c r="D54" s="1422"/>
      <c r="E54" s="1422"/>
      <c r="F54" s="1422"/>
      <c r="G54" s="1422"/>
      <c r="H54" s="1422"/>
      <c r="I54" s="1422"/>
      <c r="J54" s="1422"/>
      <c r="K54" s="1422"/>
      <c r="L54" s="1422"/>
      <c r="M54" s="1422"/>
      <c r="N54" s="126"/>
      <c r="O54" s="126"/>
      <c r="P54" s="126"/>
      <c r="Q54" s="126"/>
      <c r="R54" s="126"/>
      <c r="S54" s="126"/>
      <c r="T54" s="126"/>
      <c r="U54" s="126"/>
      <c r="V54" s="126"/>
    </row>
    <row r="55" spans="1:22" ht="12.75" customHeight="1" x14ac:dyDescent="0.25">
      <c r="A55" s="1416" t="s">
        <v>1033</v>
      </c>
      <c r="B55" s="1422"/>
      <c r="C55" s="1416"/>
      <c r="D55" s="1416"/>
      <c r="E55" s="1416"/>
      <c r="F55" s="1416"/>
      <c r="G55" s="1416"/>
      <c r="H55" s="1416"/>
      <c r="I55" s="1416"/>
      <c r="J55" s="1416"/>
      <c r="K55" s="1416"/>
      <c r="L55" s="1416"/>
      <c r="M55" s="1416"/>
      <c r="N55" s="126"/>
      <c r="O55" s="126"/>
      <c r="P55" s="126"/>
      <c r="Q55" s="126"/>
      <c r="R55" s="126"/>
      <c r="S55" s="126"/>
      <c r="T55" s="126"/>
      <c r="U55" s="126"/>
      <c r="V55" s="126"/>
    </row>
    <row r="56" spans="1:22" ht="12.75" customHeight="1" x14ac:dyDescent="0.25">
      <c r="A56" s="1416" t="s">
        <v>1034</v>
      </c>
      <c r="B56" s="1416"/>
      <c r="C56" s="1416"/>
      <c r="D56" s="1416"/>
      <c r="E56" s="1416"/>
      <c r="F56" s="1416"/>
      <c r="G56" s="1416"/>
      <c r="H56" s="1416"/>
      <c r="I56" s="1416"/>
      <c r="J56" s="1416"/>
      <c r="K56" s="1416"/>
      <c r="L56" s="1416"/>
      <c r="M56" s="1416"/>
      <c r="N56" s="126"/>
      <c r="O56" s="126"/>
      <c r="P56" s="126"/>
      <c r="Q56" s="126"/>
      <c r="R56" s="126"/>
      <c r="S56" s="126"/>
      <c r="T56" s="126"/>
      <c r="U56" s="126"/>
      <c r="V56" s="126"/>
    </row>
    <row r="57" spans="1:22" ht="12.75" customHeight="1" x14ac:dyDescent="0.25">
      <c r="A57" s="99" t="s">
        <v>1035</v>
      </c>
      <c r="B57" s="93"/>
      <c r="C57" s="96"/>
      <c r="D57" s="96"/>
      <c r="E57" s="96"/>
      <c r="F57" s="96"/>
      <c r="G57" s="96"/>
      <c r="H57" s="96"/>
      <c r="I57" s="96">
        <f>SUMIFS(Sheet1!S71_AdjustmentAmount,Sheet1!S71_SA34eCode,$AC:$AC,Sheet1!S71_A5CapexCode,$AD:$AD)</f>
        <v>0</v>
      </c>
      <c r="J57" s="96"/>
      <c r="K57" s="96"/>
      <c r="L57" s="96"/>
      <c r="M57" s="96"/>
      <c r="N57" s="126"/>
      <c r="O57" s="126"/>
      <c r="P57" s="126"/>
      <c r="Q57" s="126"/>
      <c r="R57" s="126"/>
      <c r="S57" s="126"/>
      <c r="T57" s="126"/>
      <c r="U57" s="126"/>
      <c r="V57" s="126"/>
    </row>
    <row r="58" spans="1:22" ht="27" customHeight="1" x14ac:dyDescent="0.25">
      <c r="A58" s="1416" t="s">
        <v>1036</v>
      </c>
      <c r="B58" s="1416"/>
      <c r="C58" s="1416"/>
      <c r="D58" s="1416"/>
      <c r="E58" s="1416"/>
      <c r="F58" s="1416"/>
      <c r="G58" s="1416"/>
      <c r="H58" s="1416"/>
      <c r="I58" s="1416"/>
      <c r="J58" s="1416"/>
      <c r="K58" s="1416"/>
      <c r="L58" s="1416"/>
      <c r="M58" s="1416"/>
      <c r="N58" s="126"/>
      <c r="O58" s="126"/>
      <c r="P58" s="126"/>
      <c r="Q58" s="126"/>
      <c r="R58" s="126"/>
      <c r="S58" s="126"/>
      <c r="T58" s="126"/>
      <c r="U58" s="126"/>
      <c r="V58" s="126"/>
    </row>
    <row r="59" spans="1:22" ht="12.75" customHeight="1" x14ac:dyDescent="0.25">
      <c r="A59" s="99" t="s">
        <v>610</v>
      </c>
      <c r="B59" s="93"/>
      <c r="C59" s="96"/>
      <c r="D59" s="96"/>
      <c r="E59" s="96"/>
      <c r="F59" s="96"/>
      <c r="G59" s="96"/>
      <c r="H59" s="96"/>
      <c r="I59" s="96">
        <f>SUMIFS(Sheet1!S71_AdjustmentAmount,Sheet1!S71_SA34eCode,$AC:$AC,Sheet1!S71_A5CapexCode,$AD:$AD)</f>
        <v>0</v>
      </c>
      <c r="J59" s="96"/>
      <c r="K59" s="96"/>
      <c r="L59" s="96"/>
      <c r="M59" s="96"/>
      <c r="N59" s="126"/>
      <c r="O59" s="126"/>
      <c r="P59" s="126"/>
      <c r="Q59" s="126"/>
      <c r="R59" s="126"/>
      <c r="S59" s="126"/>
      <c r="T59" s="126"/>
      <c r="U59" s="126"/>
      <c r="V59" s="126"/>
    </row>
    <row r="60" spans="1:22" ht="12.75" customHeight="1" x14ac:dyDescent="0.25">
      <c r="A60" s="1416" t="s">
        <v>611</v>
      </c>
      <c r="B60" s="1431"/>
      <c r="C60" s="1431"/>
      <c r="D60" s="1431"/>
      <c r="E60" s="1431"/>
      <c r="F60" s="1431"/>
      <c r="G60" s="1431"/>
      <c r="H60" s="1431"/>
      <c r="I60" s="1431"/>
      <c r="J60" s="1431"/>
      <c r="K60" s="1431"/>
      <c r="L60" s="1431"/>
      <c r="M60" s="1416"/>
      <c r="N60" s="126"/>
      <c r="O60" s="126"/>
      <c r="P60" s="126"/>
      <c r="Q60" s="126"/>
      <c r="R60" s="126"/>
      <c r="S60" s="126"/>
      <c r="T60" s="126"/>
      <c r="U60" s="126"/>
      <c r="V60" s="126"/>
    </row>
    <row r="61" spans="1:22" ht="11.25" customHeight="1" x14ac:dyDescent="0.25">
      <c r="A61" s="1432"/>
      <c r="B61" s="1432"/>
      <c r="C61" s="1432"/>
      <c r="D61" s="1432"/>
      <c r="E61" s="1432"/>
      <c r="F61" s="1432"/>
      <c r="G61" s="1432"/>
      <c r="H61" s="1432"/>
      <c r="I61" s="1432"/>
      <c r="J61" s="1432"/>
      <c r="K61" s="1432"/>
      <c r="L61" s="1432"/>
      <c r="M61" s="1432"/>
      <c r="N61" s="126"/>
      <c r="O61" s="126"/>
      <c r="P61" s="126"/>
      <c r="Q61" s="126"/>
      <c r="R61" s="126"/>
      <c r="S61" s="126"/>
      <c r="T61" s="126"/>
      <c r="U61" s="126"/>
      <c r="V61" s="126"/>
    </row>
    <row r="62" spans="1:22" ht="11.25" customHeight="1" x14ac:dyDescent="0.25">
      <c r="A62" s="120" t="s">
        <v>663</v>
      </c>
      <c r="B62" s="93"/>
      <c r="C62" s="102">
        <f t="shared" ref="C62:M62" si="11">C23+C40+C41+C42</f>
        <v>124222455</v>
      </c>
      <c r="D62" s="102">
        <f t="shared" si="11"/>
        <v>136627455</v>
      </c>
      <c r="E62" s="102">
        <f t="shared" si="11"/>
        <v>0</v>
      </c>
      <c r="F62" s="102">
        <f t="shared" si="11"/>
        <v>0</v>
      </c>
      <c r="G62" s="102">
        <f t="shared" si="11"/>
        <v>0</v>
      </c>
      <c r="H62" s="102">
        <f t="shared" si="11"/>
        <v>0</v>
      </c>
      <c r="I62" s="102">
        <f>SUMIFS(Sheet1!S71_AdjustmentAmount,Sheet1!S71_SA34eCode,$AC:$AC,Sheet1!S71_A5CapexCode,$AD:$AD)</f>
        <v>0</v>
      </c>
      <c r="J62" s="102">
        <f t="shared" si="11"/>
        <v>-924410</v>
      </c>
      <c r="K62" s="102">
        <f t="shared" si="11"/>
        <v>135703045</v>
      </c>
      <c r="L62" s="102">
        <f t="shared" si="11"/>
        <v>131138703</v>
      </c>
      <c r="M62" s="102">
        <f t="shared" si="11"/>
        <v>138782873</v>
      </c>
      <c r="N62" s="126"/>
      <c r="O62" s="126"/>
      <c r="P62" s="126"/>
      <c r="Q62" s="126"/>
      <c r="R62" s="126"/>
      <c r="S62" s="126"/>
      <c r="T62" s="126"/>
      <c r="U62" s="126"/>
      <c r="V62" s="126"/>
    </row>
    <row r="63" spans="1:22" ht="11.25" customHeight="1" x14ac:dyDescent="0.25">
      <c r="A63" s="101"/>
      <c r="B63" s="93"/>
      <c r="C63" s="84"/>
      <c r="D63" s="84"/>
      <c r="E63" s="84"/>
      <c r="F63" s="84"/>
      <c r="G63" s="84"/>
      <c r="H63" s="84"/>
      <c r="I63" s="84">
        <f>SUMIFS(Sheet1!S71_AdjustmentAmount,Sheet1!S71_SA34eCode,$AC:$AC,Sheet1!S71_A5CapexCode,$AD:$AD)</f>
        <v>0</v>
      </c>
      <c r="J63" s="84"/>
      <c r="K63" s="84"/>
      <c r="L63" s="84"/>
      <c r="M63" s="84"/>
      <c r="N63" s="126"/>
      <c r="O63" s="126"/>
      <c r="P63" s="126"/>
      <c r="Q63" s="126"/>
      <c r="R63" s="126"/>
      <c r="S63" s="126"/>
      <c r="T63" s="126"/>
      <c r="U63" s="126"/>
      <c r="V63" s="126"/>
    </row>
    <row r="64" spans="1:22" ht="11.25" customHeight="1" x14ac:dyDescent="0.25">
      <c r="A64" s="101"/>
      <c r="B64" s="93"/>
      <c r="C64" s="102"/>
      <c r="D64" s="102"/>
      <c r="E64" s="102"/>
      <c r="F64" s="102"/>
      <c r="G64" s="102"/>
      <c r="H64" s="102"/>
      <c r="I64" s="102">
        <f>SUMIFS(Sheet1!S71_AdjustmentAmount,Sheet1!S71_SubMunicipalVoteNo,$AC:$AC,Sheet1!S71_A5CapexCode,$AD:$AD)</f>
        <v>0</v>
      </c>
      <c r="J64" s="102"/>
      <c r="K64" s="102"/>
      <c r="L64" s="102"/>
      <c r="M64" s="102"/>
      <c r="N64" s="126"/>
      <c r="O64" s="126"/>
      <c r="P64" s="126"/>
      <c r="Q64" s="126"/>
      <c r="R64" s="126"/>
      <c r="S64" s="126"/>
      <c r="T64" s="126"/>
      <c r="U64" s="126"/>
      <c r="V64" s="126"/>
    </row>
    <row r="65" spans="1:22" ht="11.25" customHeight="1" x14ac:dyDescent="0.25">
      <c r="A65" s="101"/>
      <c r="B65" s="93"/>
      <c r="C65" s="102"/>
      <c r="D65" s="102"/>
      <c r="E65" s="102"/>
      <c r="F65" s="102"/>
      <c r="G65" s="102"/>
      <c r="H65" s="102"/>
      <c r="I65" s="102">
        <f>SUMIFS(Sheet1!S71_AdjustmentAmount,Sheet1!S71_SA34eCode,$AC:$AC,Sheet1!S71_A5CapexCode,$AD:$AD)</f>
        <v>0</v>
      </c>
      <c r="J65" s="102"/>
      <c r="K65" s="102"/>
      <c r="L65" s="102"/>
      <c r="M65" s="102"/>
      <c r="N65" s="126"/>
      <c r="O65" s="126"/>
      <c r="P65" s="126"/>
      <c r="Q65" s="126"/>
      <c r="R65" s="126"/>
      <c r="S65" s="126"/>
      <c r="T65" s="126"/>
      <c r="U65" s="126"/>
      <c r="V65" s="126"/>
    </row>
    <row r="66" spans="1:22" ht="11.25" customHeight="1" x14ac:dyDescent="0.25">
      <c r="A66" s="101"/>
      <c r="B66" s="93"/>
      <c r="C66" s="102"/>
      <c r="D66" s="102"/>
      <c r="E66" s="102"/>
      <c r="F66" s="102"/>
      <c r="G66" s="102"/>
      <c r="H66" s="102"/>
      <c r="I66" s="102">
        <f>SUMIFS(Sheet1!S71_AdjustmentAmount,Sheet1!S71_SA34eCode,$AC:$AC,Sheet1!S71_A5CapexCode,$AD:$AD)</f>
        <v>0</v>
      </c>
      <c r="J66" s="102"/>
      <c r="K66" s="102"/>
      <c r="L66" s="102"/>
      <c r="M66" s="102"/>
      <c r="N66" s="126"/>
      <c r="O66" s="126"/>
      <c r="P66" s="126"/>
      <c r="Q66" s="126"/>
      <c r="R66" s="126"/>
      <c r="S66" s="126"/>
      <c r="T66" s="126"/>
      <c r="U66" s="126"/>
      <c r="V66" s="126"/>
    </row>
    <row r="67" spans="1:22" ht="11.25" customHeight="1" x14ac:dyDescent="0.25">
      <c r="B67" s="5"/>
      <c r="I67" s="5">
        <f>SUMIFS(Sheet1!S71_AdjustmentAmount,Sheet1!S71_SA34eCode,$AC:$AC,Sheet1!S71_A5CapexCode,$AD:$AD)</f>
        <v>0</v>
      </c>
      <c r="N67" s="126"/>
      <c r="O67" s="126"/>
      <c r="P67" s="126"/>
      <c r="Q67" s="126"/>
      <c r="R67" s="126"/>
      <c r="S67" s="126"/>
      <c r="T67" s="126"/>
      <c r="U67" s="126"/>
      <c r="V67" s="126"/>
    </row>
    <row r="68" spans="1:22" ht="11.25" customHeight="1" x14ac:dyDescent="0.25">
      <c r="B68" s="5"/>
      <c r="I68" s="5">
        <f>SUMIFS(Sheet1!S71_AdjustmentAmount,Sheet1!S71_SA34eCode,$AC:$AC,Sheet1!S71_A5CapexCode,$AD:$AD)</f>
        <v>0</v>
      </c>
      <c r="N68" s="126"/>
      <c r="O68" s="126"/>
      <c r="P68" s="126"/>
      <c r="Q68" s="126"/>
      <c r="R68" s="126"/>
      <c r="S68" s="126"/>
      <c r="T68" s="126"/>
      <c r="U68" s="126"/>
      <c r="V68" s="126"/>
    </row>
    <row r="69" spans="1:22" ht="11.25" customHeight="1" x14ac:dyDescent="0.25">
      <c r="B69" s="5"/>
      <c r="I69" s="5">
        <f>SUMIFS(Sheet1!S71_AdjustmentAmount,Sheet1!S71_SA34eCode,$AC:$AC,Sheet1!S71_A5CapexCode,$AD:$AD)</f>
        <v>0</v>
      </c>
      <c r="N69" s="126"/>
      <c r="O69" s="126"/>
      <c r="P69" s="126"/>
      <c r="Q69" s="126"/>
      <c r="R69" s="126"/>
      <c r="S69" s="126"/>
      <c r="T69" s="126"/>
      <c r="U69" s="126"/>
      <c r="V69" s="126"/>
    </row>
    <row r="70" spans="1:22" ht="11.25" customHeight="1" x14ac:dyDescent="0.25">
      <c r="B70" s="5"/>
      <c r="I70" s="5">
        <f>SUMIFS(Sheet1!S71_AdjustmentAmount,Sheet1!S71_SubMunicipalVoteNo,$AC:$AC,Sheet1!S71_A5CapexCode,$AD:$AD)</f>
        <v>0</v>
      </c>
      <c r="N70" s="126"/>
      <c r="O70" s="126"/>
      <c r="P70" s="126"/>
      <c r="Q70" s="126"/>
      <c r="R70" s="126"/>
      <c r="S70" s="126"/>
      <c r="T70" s="126"/>
      <c r="U70" s="126"/>
      <c r="V70" s="126"/>
    </row>
    <row r="71" spans="1:22" ht="11.25" customHeight="1" x14ac:dyDescent="0.25">
      <c r="B71" s="5"/>
      <c r="I71" s="5">
        <f>SUMIFS(Sheet1!S71_AdjustmentAmount,Sheet1!S71_SA34eCode,$AC:$AC,Sheet1!S71_A5CapexCode,$AD:$AD)</f>
        <v>0</v>
      </c>
      <c r="N71" s="126"/>
      <c r="O71" s="126"/>
      <c r="P71" s="126"/>
      <c r="Q71" s="126"/>
      <c r="R71" s="126"/>
      <c r="S71" s="126"/>
      <c r="T71" s="126"/>
      <c r="U71" s="126"/>
      <c r="V71" s="126"/>
    </row>
    <row r="72" spans="1:22" ht="11.25" customHeight="1" x14ac:dyDescent="0.25">
      <c r="B72" s="5"/>
      <c r="I72" s="5">
        <f>SUMIFS(Sheet1!S71_AdjustmentAmount,Sheet1!S71_SA34eCode,$AC:$AC,Sheet1!S71_A5CapexCode,$AD:$AD)</f>
        <v>0</v>
      </c>
    </row>
    <row r="73" spans="1:22" ht="11.25" customHeight="1" x14ac:dyDescent="0.25">
      <c r="B73" s="5"/>
      <c r="I73" s="5">
        <f>SUMIFS(Sheet1!S71_AdjustmentAmount,Sheet1!S71_SA34eCode,$AC:$AC,Sheet1!S71_A5CapexCode,$AD:$AD)</f>
        <v>0</v>
      </c>
    </row>
    <row r="74" spans="1:22" ht="11.25" customHeight="1" x14ac:dyDescent="0.25">
      <c r="B74" s="5"/>
      <c r="I74" s="5">
        <f>SUMIFS(Sheet1!S71_AdjustmentAmount,Sheet1!S71_SA34eCode,$AC:$AC,Sheet1!S71_A5CapexCode,$AD:$AD)</f>
        <v>0</v>
      </c>
    </row>
    <row r="75" spans="1:22" ht="11.25" customHeight="1" x14ac:dyDescent="0.25">
      <c r="B75" s="5"/>
      <c r="I75" s="5">
        <f>SUMIFS(Sheet1!S71_AdjustmentAmount,Sheet1!S71_SA1SubCode,$AC:$AC)</f>
        <v>0</v>
      </c>
    </row>
    <row r="76" spans="1:22" ht="11.25" customHeight="1" x14ac:dyDescent="0.25">
      <c r="B76" s="5"/>
      <c r="I76" s="5">
        <f>SUMIFS(Sheet1!S71_AdjustmentAmount,Sheet1!S71_SA1SubCode,$AC:$AC)</f>
        <v>0</v>
      </c>
    </row>
    <row r="77" spans="1:22" ht="11.25" customHeight="1" x14ac:dyDescent="0.25">
      <c r="B77" s="5"/>
      <c r="I77" s="5">
        <f>SUMIFS(Sheet1!S71_AdjustmentAmount,Sheet1!S71_SA1SubCode,$AC:$AC)</f>
        <v>0</v>
      </c>
    </row>
    <row r="78" spans="1:22" ht="11.25" customHeight="1" x14ac:dyDescent="0.25">
      <c r="B78" s="5"/>
      <c r="I78" s="5">
        <f>SUMIFS(Sheet1!S71_AdjustmentAmount,Sheet1!S71_SA34eCode,$AC:$AC,Sheet1!S71_A5CapexCode,$AD:$AD)</f>
        <v>0</v>
      </c>
    </row>
    <row r="79" spans="1:22" ht="11.25" customHeight="1" x14ac:dyDescent="0.25">
      <c r="B79" s="5"/>
      <c r="I79" s="5">
        <f>SUMIFS(Sheet1!S71_AdjustmentAmount,Sheet1!S71_SA34eCode,$AC:$AC,Sheet1!S71_A5CapexCode,$AD:$AD)</f>
        <v>0</v>
      </c>
    </row>
    <row r="80" spans="1:22" ht="11.25" customHeight="1" x14ac:dyDescent="0.25">
      <c r="B80" s="5"/>
      <c r="I80" s="5">
        <f>SUMIFS(Sheet1!S71_AdjustmentAmount,Sheet1!S71_SA34eCode,$AC:$AC,Sheet1!S71_A5CapexCode,$AD:$AD)</f>
        <v>0</v>
      </c>
    </row>
    <row r="81" spans="2:9" ht="11.25" customHeight="1" x14ac:dyDescent="0.25">
      <c r="B81" s="5"/>
      <c r="I81" s="5">
        <f>SUMIFS(Sheet1!S71_AdjustmentAmount,Sheet1!S71_SA34eCode,$AC:$AC,Sheet1!S71_A5CapexCode,$AD:$AD)</f>
        <v>0</v>
      </c>
    </row>
    <row r="82" spans="2:9" ht="11.25" customHeight="1" x14ac:dyDescent="0.25">
      <c r="I82" s="5">
        <f>SUMIFS(Sheet1!S71_AdjustmentAmount,Sheet1!S71_SA34eCode,$AC:$AC,Sheet1!S71_A5CapexCode,$AD:$AD)</f>
        <v>0</v>
      </c>
    </row>
    <row r="83" spans="2:9" ht="11.25" customHeight="1" x14ac:dyDescent="0.25">
      <c r="I83" s="5">
        <f>SUMIFS(Sheet1!S71_AdjustmentAmount,Sheet1!S71_SA34eCode,$AC:$AC,Sheet1!S71_A5CapexCode,$AD:$AD)</f>
        <v>0</v>
      </c>
    </row>
    <row r="84" spans="2:9" ht="11.25" customHeight="1" x14ac:dyDescent="0.25">
      <c r="I84" s="5">
        <f>SUMIFS(Sheet1!S71_AdjustmentAmount,Sheet1!S71_SA34eCode,$AC:$AC,Sheet1!S71_A5CapexCode,$AD:$AD)</f>
        <v>0</v>
      </c>
    </row>
    <row r="85" spans="2:9" ht="11.25" customHeight="1" x14ac:dyDescent="0.25">
      <c r="I85" s="5">
        <f>SUMIFS(Sheet1!S71_AdjustmentAmount,Sheet1!S71_SA34eCode,$AC:$AC,Sheet1!S71_A5CapexCode,$AD:$AD)</f>
        <v>0</v>
      </c>
    </row>
    <row r="86" spans="2:9" ht="11.25" customHeight="1" x14ac:dyDescent="0.25">
      <c r="I86" s="5">
        <f>SUMIFS(Sheet1!S71_AdjustmentAmount,Sheet1!S71_SA34eCode,$AC:$AC,Sheet1!S71_A5CapexCode,$AD:$AD)</f>
        <v>0</v>
      </c>
    </row>
    <row r="87" spans="2:9" ht="11.25" customHeight="1" x14ac:dyDescent="0.25">
      <c r="I87" s="5">
        <f>SUMIFS(Sheet1!S71_AdjustmentAmount,Sheet1!S71_SA34eCode,$AC:$AC,Sheet1!S71_A5CapexCode,$AD:$AD)</f>
        <v>0</v>
      </c>
    </row>
    <row r="88" spans="2:9" ht="11.25" customHeight="1" x14ac:dyDescent="0.25">
      <c r="I88" s="5">
        <f>SUMIFS(Sheet1!S71_AdjustmentAmount,Sheet1!S71_SA34eCode,$AC:$AC,Sheet1!S71_A5CapexCode,$AD:$AD)</f>
        <v>0</v>
      </c>
    </row>
    <row r="89" spans="2:9" ht="11.25" customHeight="1" x14ac:dyDescent="0.25">
      <c r="I89" s="5">
        <f>SUMIFS(Sheet1!S71_AdjustmentAmount,Sheet1!S71_SA34eCode,$AC:$AC,Sheet1!S71_A5CapexCode,$AD:$AD)</f>
        <v>0</v>
      </c>
    </row>
    <row r="90" spans="2:9" ht="11.25" customHeight="1" x14ac:dyDescent="0.25">
      <c r="I90" s="5">
        <f>SUMIFS(Sheet1!S71_AdjustmentAmount,Sheet1!S71_SA34eCode,$AC:$AC,Sheet1!S71_A5CapexCode,$AD:$AD)</f>
        <v>0</v>
      </c>
    </row>
    <row r="91" spans="2:9" ht="11.25" customHeight="1" x14ac:dyDescent="0.25">
      <c r="I91" s="5">
        <f>SUMIFS(Sheet1!S71_AdjustmentAmount,Sheet1!S71_SA34eCode,$AC:$AC,Sheet1!S71_A5CapexCode,$AD:$AD)</f>
        <v>0</v>
      </c>
    </row>
    <row r="92" spans="2:9" ht="11.25" customHeight="1" x14ac:dyDescent="0.25">
      <c r="I92" s="5">
        <f>SUMIFS(Sheet1!S71_AdjustmentAmount,Sheet1!S71_SA34eCode,$AC:$AC,Sheet1!S71_A5CapexCode,$AD:$AD)</f>
        <v>0</v>
      </c>
    </row>
    <row r="93" spans="2:9" ht="11.25" customHeight="1" x14ac:dyDescent="0.25">
      <c r="I93" s="5">
        <f>SUMIFS(Sheet1!S71_AdjustmentAmount,Sheet1!S71_SA34eCode,$AC:$AC,Sheet1!S71_A5CapexCode,$AD:$AD)</f>
        <v>0</v>
      </c>
    </row>
    <row r="94" spans="2:9" ht="11.25" customHeight="1" x14ac:dyDescent="0.25">
      <c r="I94" s="5">
        <f>SUMIFS(Sheet1!S71_AdjustmentAmount,Sheet1!S71_SA34eCode,$AC:$AC,Sheet1!S71_A5CapexCode,$AD:$AD)</f>
        <v>0</v>
      </c>
    </row>
    <row r="95" spans="2:9" ht="11.25" customHeight="1" x14ac:dyDescent="0.25">
      <c r="I95" s="5">
        <f>SUMIFS(Sheet1!S71_AdjustmentAmount,Sheet1!S71_SA34eCode,$AC:$AC,Sheet1!S71_A5CapexCode,$AD:$AD)</f>
        <v>0</v>
      </c>
    </row>
    <row r="96" spans="2:9" ht="11.25" customHeight="1" x14ac:dyDescent="0.25">
      <c r="I96" s="5">
        <f>SUMIFS(Sheet1!S71_AdjustmentAmount,Sheet1!S71_SA34eCode,$AC:$AC,Sheet1!S71_A5CapexCode,$AD:$AD)</f>
        <v>0</v>
      </c>
    </row>
    <row r="97" spans="9:9" ht="11.25" customHeight="1" x14ac:dyDescent="0.25">
      <c r="I97" s="5">
        <f>SUMIFS(Sheet1!S71_AdjustmentAmount,Sheet1!S71_SA34eCode,$AC:$AC,Sheet1!S71_A5CapexCode,$AD:$AD)</f>
        <v>0</v>
      </c>
    </row>
    <row r="98" spans="9:9" ht="11.25" customHeight="1" x14ac:dyDescent="0.25">
      <c r="I98" s="5">
        <f>SUMIFS(Sheet1!S71_AdjustmentAmount,Sheet1!S71_SA34eCode,$AC:$AC,Sheet1!S71_A5CapexCode,$AD:$AD)</f>
        <v>0</v>
      </c>
    </row>
    <row r="99" spans="9:9" ht="11.25" customHeight="1" x14ac:dyDescent="0.25">
      <c r="I99" s="5">
        <f>SUMIFS(Sheet1!S71_AdjustmentAmount,Sheet1!S71_SA34eCode,$AC:$AC,Sheet1!S71_A5CapexCode,$AD:$AD)</f>
        <v>0</v>
      </c>
    </row>
    <row r="100" spans="9:9" ht="11.25" customHeight="1" x14ac:dyDescent="0.25">
      <c r="I100" s="5">
        <f>SUMIFS(Sheet1!S71_AdjustmentAmount,Sheet1!S71_SubMunicipalVoteNo,$AC:$AC,Sheet1!S71_A5CapexCode,$AD:$AD)</f>
        <v>0</v>
      </c>
    </row>
    <row r="101" spans="9:9" ht="11.25" customHeight="1" x14ac:dyDescent="0.25">
      <c r="I101" s="5">
        <f>SUMIFS(Sheet1!S71_AdjustmentAmount,Sheet1!S71_SA34eCode,$AC:$AC,Sheet1!S71_A5CapexCode,$AD:$AD)</f>
        <v>0</v>
      </c>
    </row>
    <row r="102" spans="9:9" x14ac:dyDescent="0.25">
      <c r="I102" s="5">
        <f>SUMIFS(Sheet1!S71_AdjustmentAmount,Sheet1!S71_SA34eCode,$AC:$AC,Sheet1!S71_A5CapexCode,$AD:$AD)</f>
        <v>0</v>
      </c>
    </row>
    <row r="103" spans="9:9" x14ac:dyDescent="0.25">
      <c r="I103" s="5">
        <f>SUMIFS(Sheet1!S71_AdjustmentAmount,Sheet1!S71_SA34eCode,$AC:$AC,Sheet1!S71_A5CapexCode,$AD:$AD)</f>
        <v>0</v>
      </c>
    </row>
    <row r="104" spans="9:9" x14ac:dyDescent="0.25">
      <c r="I104" s="5">
        <f>SUMIFS(Sheet1!S71_AdjustmentAmount,Sheet1!S71_SA1SubCode,$AC:$AC)</f>
        <v>0</v>
      </c>
    </row>
    <row r="105" spans="9:9" x14ac:dyDescent="0.25">
      <c r="I105" s="5">
        <f>SUMIFS(Sheet1!S71_AdjustmentAmount,Sheet1!S71_SA1SubCode,$AC:$AC)</f>
        <v>0</v>
      </c>
    </row>
    <row r="106" spans="9:9" x14ac:dyDescent="0.25">
      <c r="I106" s="5">
        <f>SUMIFS(Sheet1!S71_AdjustmentAmount,Sheet1!S71_SA34eCode,$AC:$AC,Sheet1!S71_A5CapexCode,$AD:$AD)</f>
        <v>0</v>
      </c>
    </row>
    <row r="107" spans="9:9" x14ac:dyDescent="0.25">
      <c r="I107" s="5">
        <f>SUMIFS(Sheet1!S71_AdjustmentAmount,Sheet1!S71_SA34eCode,$AC:$AC,Sheet1!S71_A5CapexCode,$AD:$AD)</f>
        <v>0</v>
      </c>
    </row>
    <row r="108" spans="9:9" x14ac:dyDescent="0.25">
      <c r="I108" s="5">
        <f>SUMIFS(Sheet1!S71_AdjustmentAmount,Sheet1!S71_SA34eCode,$AC:$AC,Sheet1!S71_A5CapexCode,$AD:$AD)</f>
        <v>0</v>
      </c>
    </row>
    <row r="109" spans="9:9" x14ac:dyDescent="0.25">
      <c r="I109" s="5">
        <f>SUMIFS(Sheet1!S71_AdjustmentAmount,Sheet1!S71_SA34eCode,$AC:$AC,Sheet1!S71_A5CapexCode,$AD:$AD)</f>
        <v>0</v>
      </c>
    </row>
    <row r="110" spans="9:9" x14ac:dyDescent="0.25">
      <c r="I110" s="5">
        <f>SUMIFS(Sheet1!S71_AdjustmentAmount,Sheet1!S71_SA34eCode,$AC:$AC,Sheet1!S71_A5CapexCode,$AD:$AD)</f>
        <v>0</v>
      </c>
    </row>
    <row r="111" spans="9:9" x14ac:dyDescent="0.25">
      <c r="I111" s="5">
        <f>SUMIFS(Sheet1!S71_AdjustmentAmount,Sheet1!S71_SubMunicipalVoteNo,$AC:$AC,Sheet1!S71_A5CapexCode,$AD:$AD)</f>
        <v>0</v>
      </c>
    </row>
    <row r="112" spans="9:9" x14ac:dyDescent="0.25">
      <c r="I112" s="5">
        <f>SUMIFS(Sheet1!S71_AdjustmentAmount,Sheet1!S71_SubMunicipalVoteNo,$AC:$AC,Sheet1!S71_A5CapexCode,$AD:$AD)</f>
        <v>0</v>
      </c>
    </row>
    <row r="113" spans="9:9" x14ac:dyDescent="0.25">
      <c r="I113" s="5">
        <f>SUMIFS(Sheet1!S71_AdjustmentAmount,Sheet1!S71_SubMunicipalVoteNo,$AC:$AC,Sheet1!S71_A5CapexCode,$AD:$AD)</f>
        <v>0</v>
      </c>
    </row>
    <row r="114" spans="9:9" x14ac:dyDescent="0.25">
      <c r="I114" s="5">
        <f>SUMIFS(Sheet1!S71_AdjustmentAmount,Sheet1!S71_SA34eCode,$AC:$AC,Sheet1!S71_A5CapexCode,$AD:$AD)</f>
        <v>0</v>
      </c>
    </row>
    <row r="115" spans="9:9" x14ac:dyDescent="0.25">
      <c r="I115" s="5">
        <f>SUMIFS(Sheet1!S71_AdjustmentAmount,Sheet1!S71_SA34eCode,$AC:$AC,Sheet1!S71_A5CapexCode,$AD:$AD)</f>
        <v>0</v>
      </c>
    </row>
    <row r="116" spans="9:9" x14ac:dyDescent="0.25">
      <c r="I116" s="5">
        <f>SUMIFS(Sheet1!S71_AdjustmentAmount,Sheet1!S71_SA1SubCode,$AC:$AC)</f>
        <v>0</v>
      </c>
    </row>
    <row r="117" spans="9:9" x14ac:dyDescent="0.25">
      <c r="I117" s="5">
        <f>SUMIFS(Sheet1!S71_AdjustmentAmount,Sheet1!S71_SA34eCode,$AC:$AC,Sheet1!S71_A5CapexCode,$AD:$AD)</f>
        <v>0</v>
      </c>
    </row>
    <row r="118" spans="9:9" x14ac:dyDescent="0.25">
      <c r="I118" s="5">
        <f>SUMIFS(Sheet1!S71_AdjustmentAmount,Sheet1!S71_SA34eCode,$AC:$AC,Sheet1!S71_A5CapexCode,$AD:$AD)</f>
        <v>0</v>
      </c>
    </row>
    <row r="119" spans="9:9" x14ac:dyDescent="0.25">
      <c r="I119" s="5">
        <f>SUMIFS(Sheet1!S71_AdjustmentAmount,Sheet1!S71_SubMunicipalVoteNo,$AC:$AC,Sheet1!S71_A5CapexCode,$AD:$AD)</f>
        <v>0</v>
      </c>
    </row>
    <row r="120" spans="9:9" x14ac:dyDescent="0.25">
      <c r="I120" s="5">
        <f>SUMIFS(Sheet1!S71_AdjustmentAmount,Sheet1!S71_SubMunicipalVoteNo,$AC:$AC,Sheet1!S71_A5CapexCode,$AD:$AD)</f>
        <v>0</v>
      </c>
    </row>
    <row r="121" spans="9:9" x14ac:dyDescent="0.25">
      <c r="I121" s="5">
        <f>SUMIFS(Sheet1!S71_AdjustmentAmount,Sheet1!S71_SubMunicipalVoteNo,$AC:$AC,Sheet1!S71_A5CapexCode,$AD:$AD)</f>
        <v>0</v>
      </c>
    </row>
    <row r="122" spans="9:9" x14ac:dyDescent="0.25">
      <c r="I122" s="5">
        <f>SUMIFS(Sheet1!S71_AdjustmentAmount,Sheet1!S71_SA34eCode,$AC:$AC,Sheet1!S71_A5CapexCode,$AD:$AD)</f>
        <v>0</v>
      </c>
    </row>
    <row r="123" spans="9:9" x14ac:dyDescent="0.25">
      <c r="I123" s="5">
        <f>SUMIFS(Sheet1!S71_AdjustmentAmount,Sheet1!S71_SA34eCode,$AC:$AC,Sheet1!S71_A5CapexCode,$AD:$AD)</f>
        <v>0</v>
      </c>
    </row>
    <row r="124" spans="9:9" x14ac:dyDescent="0.25">
      <c r="I124" s="5">
        <f>SUMIFS(Sheet1!S71_AdjustmentAmount,Sheet1!S71_SA34eCode,$AC:$AC,Sheet1!S71_A5CapexCode,$AD:$AD)</f>
        <v>0</v>
      </c>
    </row>
    <row r="125" spans="9:9" x14ac:dyDescent="0.25">
      <c r="I125" s="5">
        <f>SUMIFS(Sheet1!S71_AdjustmentAmount,Sheet1!S71_SA34eCode,$AC:$AC,Sheet1!S71_A5CapexCode,$AD:$AD)</f>
        <v>0</v>
      </c>
    </row>
    <row r="126" spans="9:9" x14ac:dyDescent="0.25">
      <c r="I126" s="5">
        <f>SUMIFS(Sheet1!S71_AdjustmentAmount,Sheet1!S71_SA34eCode,$AC:$AC,Sheet1!S71_A5CapexCode,$AD:$AD)</f>
        <v>0</v>
      </c>
    </row>
    <row r="127" spans="9:9" x14ac:dyDescent="0.25">
      <c r="I127" s="5">
        <f>SUMIFS(Sheet1!S71_AdjustmentAmount,Sheet1!S71_SA34eCode,$AC:$AC,Sheet1!S71_A5CapexCode,$AD:$AD)</f>
        <v>0</v>
      </c>
    </row>
    <row r="128" spans="9:9" x14ac:dyDescent="0.25">
      <c r="I128" s="5">
        <f>SUMIFS(Sheet1!S71_AdjustmentAmount,Sheet1!S71_SA34eCode,$AC:$AC,Sheet1!S71_A5CapexCode,$AD:$AD)</f>
        <v>0</v>
      </c>
    </row>
    <row r="129" spans="9:9" x14ac:dyDescent="0.25">
      <c r="I129" s="5">
        <f>SUMIFS(Sheet1!S71_AdjustmentAmount,Sheet1!S71_SA34eCode,$AC:$AC,Sheet1!S71_A5CapexCode,$AD:$AD)</f>
        <v>0</v>
      </c>
    </row>
    <row r="130" spans="9:9" x14ac:dyDescent="0.25">
      <c r="I130" s="5">
        <f>SUMIFS(Sheet1!S71_AdjustmentAmount,Sheet1!S71_SA34eCode,$AC:$AC,Sheet1!S71_A5CapexCode,$AD:$AD)</f>
        <v>0</v>
      </c>
    </row>
    <row r="131" spans="9:9" x14ac:dyDescent="0.25">
      <c r="I131" s="5">
        <f>SUMIFS(Sheet1!S71_AdjustmentAmount,Sheet1!S71_SA34eCode,$AC:$AC,Sheet1!S71_A5CapexCode,$AD:$AD)</f>
        <v>0</v>
      </c>
    </row>
    <row r="132" spans="9:9" x14ac:dyDescent="0.25">
      <c r="I132" s="5">
        <f>SUMIFS(Sheet1!S71_AdjustmentAmount,Sheet1!S71_SA34eCode,$AC:$AC,Sheet1!S71_A5CapexCode,$AD:$AD)</f>
        <v>0</v>
      </c>
    </row>
    <row r="133" spans="9:9" x14ac:dyDescent="0.25">
      <c r="I133" s="5">
        <f>SUMIFS(Sheet1!S71_AdjustmentAmount,Sheet1!S71_SubMunicipalVoteNo,$AC:$AC,Sheet1!S71_A5CapexCode,$AD:$AD)</f>
        <v>0</v>
      </c>
    </row>
    <row r="134" spans="9:9" x14ac:dyDescent="0.25">
      <c r="I134" s="5">
        <f>SUMIFS(Sheet1!S71_AdjustmentAmount,Sheet1!S71_SA34eCode,$AC:$AC,Sheet1!S71_A5CapexCode,$AD:$AD)</f>
        <v>0</v>
      </c>
    </row>
    <row r="135" spans="9:9" x14ac:dyDescent="0.25">
      <c r="I135" s="5">
        <f>SUMIFS(Sheet1!S71_AdjustmentAmount,Sheet1!S71_SA34eCode,$AC:$AC,Sheet1!S71_A5CapexCode,$AD:$AD)</f>
        <v>0</v>
      </c>
    </row>
    <row r="136" spans="9:9" x14ac:dyDescent="0.25">
      <c r="I136" s="5">
        <f>SUMIFS(Sheet1!S71_AdjustmentAmount,Sheet1!S71_SA34eCode,$AC:$AC,Sheet1!S71_A5CapexCode,$AD:$AD)</f>
        <v>0</v>
      </c>
    </row>
    <row r="137" spans="9:9" x14ac:dyDescent="0.25">
      <c r="I137" s="5">
        <f>SUMIFS(Sheet1!S71_AdjustmentAmount,Sheet1!S71_A9Code,$AC:$AC)</f>
        <v>0</v>
      </c>
    </row>
    <row r="138" spans="9:9" x14ac:dyDescent="0.25">
      <c r="I138" s="5">
        <f>SUMIFS(Sheet1!S71_AdjustmentAmount,Sheet1!S71_A9Code,$AC:$AC)</f>
        <v>0</v>
      </c>
    </row>
    <row r="139" spans="9:9" x14ac:dyDescent="0.25">
      <c r="I139" s="5">
        <f>SUMIFS(Sheet1!S71_AdjustmentAmount,Sheet1!S71_SA34eCode,$AC:$AC,Sheet1!S71_A5CapexCode,$AD:$AD)</f>
        <v>0</v>
      </c>
    </row>
    <row r="140" spans="9:9" x14ac:dyDescent="0.25">
      <c r="I140" s="5">
        <f>SUMIFS(Sheet1!S71_AdjustmentAmount,Sheet1!S71_A9Code,$AC:$AC)</f>
        <v>0</v>
      </c>
    </row>
    <row r="141" spans="9:9" x14ac:dyDescent="0.25">
      <c r="I141" s="5">
        <f>SUMIFS(Sheet1!S71_AdjustmentAmount,Sheet1!S71_A9Code,$AC:$AC)</f>
        <v>0</v>
      </c>
    </row>
    <row r="142" spans="9:9" x14ac:dyDescent="0.25">
      <c r="I142" s="5">
        <f>SUMIFS(Sheet1!S71_AdjustmentAmount,Sheet1!S71_SA34eCode,$AC:$AC,Sheet1!S71_A5CapexCode,$AD:$AD)</f>
        <v>0</v>
      </c>
    </row>
    <row r="143" spans="9:9" x14ac:dyDescent="0.25">
      <c r="I143" s="5">
        <f>SUMIFS(Sheet1!S71_AdjustmentAmount,Sheet1!S71_A9Code,$AC:$AC)</f>
        <v>0</v>
      </c>
    </row>
    <row r="144" spans="9:9" x14ac:dyDescent="0.25">
      <c r="I144" s="5">
        <f>SUMIFS(Sheet1!S71_AdjustmentAmount,Sheet1!S71_SA34eCode,$AC:$AC,Sheet1!S71_A5CapexCode,$AD:$AD)</f>
        <v>0</v>
      </c>
    </row>
    <row r="145" spans="9:9" x14ac:dyDescent="0.25">
      <c r="I145" s="5">
        <f>SUMIFS(Sheet1!S71_AdjustmentAmount,Sheet1!S71_SA34eCode,$AC:$AC,Sheet1!S71_A5CapexCode,$AD:$AD)</f>
        <v>0</v>
      </c>
    </row>
    <row r="146" spans="9:9" x14ac:dyDescent="0.25">
      <c r="I146" s="5">
        <f>SUMIFS(Sheet1!S71_AdjustmentAmount,Sheet1!S71_SA34eCode,$AC:$AC,Sheet1!S71_A5CapexCode,$AD:$AD)</f>
        <v>0</v>
      </c>
    </row>
    <row r="147" spans="9:9" x14ac:dyDescent="0.25">
      <c r="I147" s="5">
        <f>SUMIFS(Sheet1!S71_AdjustmentAmount,Sheet1!S71_SA34eCode,$AC:$AC,Sheet1!S71_A5CapexCode,$AD:$AD)</f>
        <v>0</v>
      </c>
    </row>
    <row r="148" spans="9:9" x14ac:dyDescent="0.25">
      <c r="I148" s="5">
        <f>SUMIFS(Sheet1!S71_AdjustmentAmount,Sheet1!S71_SA34eCode,$AC:$AC,Sheet1!S71_A5CapexCode,$AD:$AD)</f>
        <v>0</v>
      </c>
    </row>
    <row r="149" spans="9:9" x14ac:dyDescent="0.25">
      <c r="I149" s="5">
        <f>SUMIFS(Sheet1!S71_AdjustmentAmount,Sheet1!S71_SA34eCode,$AC:$AC,Sheet1!S71_A5CapexCode,$AD:$AD)</f>
        <v>0</v>
      </c>
    </row>
    <row r="150" spans="9:9" x14ac:dyDescent="0.25">
      <c r="I150" s="5">
        <f>SUMIFS(Sheet1!S71_AdjustmentAmount,Sheet1!S71_SA1SubCode,$AC:$AC)</f>
        <v>0</v>
      </c>
    </row>
    <row r="151" spans="9:9" x14ac:dyDescent="0.25">
      <c r="I151" s="5">
        <f>SUMIFS(Sheet1!S71_AdjustmentAmount,Sheet1!S71_SA1SubCode,$AC:$AC)</f>
        <v>0</v>
      </c>
    </row>
    <row r="152" spans="9:9" x14ac:dyDescent="0.25">
      <c r="I152" s="5">
        <f>SUMIFS(Sheet1!S71_AdjustmentAmount,Sheet1!S71_SA34eCode,$AC:$AC,Sheet1!S71_A5CapexCode,$AD:$AD)</f>
        <v>0</v>
      </c>
    </row>
    <row r="153" spans="9:9" x14ac:dyDescent="0.25">
      <c r="I153" s="5">
        <f>SUMIFS(Sheet1!S71_AdjustmentAmount,Sheet1!S71_SA1SubCode,$AC:$AC)</f>
        <v>0</v>
      </c>
    </row>
    <row r="154" spans="9:9" x14ac:dyDescent="0.25">
      <c r="I154" s="5">
        <f>SUMIFS(Sheet1!S71_AdjustmentAmount,Sheet1!S71_A9Code,$AC:$AC)</f>
        <v>0</v>
      </c>
    </row>
    <row r="155" spans="9:9" x14ac:dyDescent="0.25">
      <c r="I155" s="5">
        <f>SUMIFS(Sheet1!S71_AdjustmentAmount,Sheet1!S71_SA34eCode,$AC:$AC,Sheet1!S71_A5CapexCode,$AD:$AD)</f>
        <v>0</v>
      </c>
    </row>
    <row r="156" spans="9:9" x14ac:dyDescent="0.25">
      <c r="I156" s="5">
        <f>SUMIFS(Sheet1!S71_AdjustmentAmount,Sheet1!S71_A9Code,$AC:$AC)</f>
        <v>0</v>
      </c>
    </row>
    <row r="157" spans="9:9" x14ac:dyDescent="0.25">
      <c r="I157" s="5">
        <f>SUMIFS(Sheet1!S71_AdjustmentAmount,Sheet1!S71_A9Code,$AC:$AC)</f>
        <v>0</v>
      </c>
    </row>
    <row r="158" spans="9:9" x14ac:dyDescent="0.25">
      <c r="I158" s="5">
        <f>SUMIFS(Sheet1!S71_AdjustmentAmount,Sheet1!S71_SA34eCode,$AC:$AC,Sheet1!S71_A5CapexCode,$AD:$AD)</f>
        <v>0</v>
      </c>
    </row>
    <row r="159" spans="9:9" x14ac:dyDescent="0.25">
      <c r="I159" s="5">
        <f>SUMIFS(Sheet1!S71_AdjustmentAmount,Sheet1!S71_A9Code,$AC:$AC)</f>
        <v>0</v>
      </c>
    </row>
    <row r="160" spans="9:9" x14ac:dyDescent="0.25">
      <c r="I160" s="5">
        <f>SUMIFS(Sheet1!S71_AdjustmentAmount,Sheet1!S71_A9Code,$AC:$AC)</f>
        <v>0</v>
      </c>
    </row>
    <row r="161" spans="9:9" x14ac:dyDescent="0.25">
      <c r="I161" s="5">
        <f>SUMIFS(Sheet1!S71_AdjustmentAmount,Sheet1!S71_SA34eCode,$AC:$AC,Sheet1!S71_A5CapexCode,$AD:$AD)</f>
        <v>0</v>
      </c>
    </row>
    <row r="162" spans="9:9" x14ac:dyDescent="0.25">
      <c r="I162" s="5">
        <f>SUMIFS(Sheet1!S71_AdjustmentAmount,Sheet1!S71_A9Code,$AC:$AC)</f>
        <v>0</v>
      </c>
    </row>
    <row r="163" spans="9:9" x14ac:dyDescent="0.25">
      <c r="I163" s="5">
        <f>SUMIFS(Sheet1!S71_AdjustmentAmount,Sheet1!S71_A9Code,$AC:$AC)</f>
        <v>0</v>
      </c>
    </row>
    <row r="164" spans="9:9" x14ac:dyDescent="0.25">
      <c r="I164" s="5">
        <f>SUMIFS(Sheet1!S71_AdjustmentAmount,Sheet1!S71_SA34eCode,$AC:$AC,Sheet1!S71_A5CapexCode,$AD:$AD)</f>
        <v>0</v>
      </c>
    </row>
    <row r="165" spans="9:9" x14ac:dyDescent="0.25">
      <c r="I165" s="5">
        <f>SUMIFS(Sheet1!S71_AdjustmentAmount,Sheet1!S71_A9Code,$AC:$AC)</f>
        <v>0</v>
      </c>
    </row>
    <row r="166" spans="9:9" x14ac:dyDescent="0.25">
      <c r="I166" s="5">
        <f>SUMIFS(Sheet1!S71_AdjustmentAmount,Sheet1!S71_A9Code,$AC:$AC)</f>
        <v>0</v>
      </c>
    </row>
    <row r="167" spans="9:9" x14ac:dyDescent="0.25">
      <c r="I167" s="5">
        <f>SUMIFS(Sheet1!S71_AdjustmentAmount,Sheet1!S71_SA34eCode,$AC:$AC,Sheet1!S71_A5CapexCode,$AD:$AD)</f>
        <v>0</v>
      </c>
    </row>
    <row r="168" spans="9:9" x14ac:dyDescent="0.25">
      <c r="I168" s="5">
        <f>SUMIFS(Sheet1!S71_AdjustmentAmount,Sheet1!S71_SubMunicipalVoteNo,$AC:$AC,Sheet1!S71_A5CapexCode,$AD:$AD)</f>
        <v>0</v>
      </c>
    </row>
    <row r="169" spans="9:9" x14ac:dyDescent="0.25">
      <c r="I169" s="5">
        <f>SUMIFS(Sheet1!S71_AdjustmentAmount,Sheet1!S71_SubMunicipalVoteNo,$AC:$AC,Sheet1!S71_A5CapexCode,$AD:$AD)</f>
        <v>0</v>
      </c>
    </row>
    <row r="170" spans="9:9" x14ac:dyDescent="0.25">
      <c r="I170" s="5">
        <f>SUMIFS(Sheet1!S71_AdjustmentAmount,Sheet1!S71_SubMunicipalVoteNo,$AC:$AC,Sheet1!S71_A5CapexCode,$AD:$AD)</f>
        <v>0</v>
      </c>
    </row>
    <row r="171" spans="9:9" x14ac:dyDescent="0.25">
      <c r="I171" s="5">
        <f>SUMIFS(Sheet1!S71_AdjustmentAmount,Sheet1!S71_SubMunicipalVoteNo,$AC:$AC,Sheet1!S71_A5CapexCode,$AD:$AD)</f>
        <v>0</v>
      </c>
    </row>
    <row r="172" spans="9:9" x14ac:dyDescent="0.25">
      <c r="I172" s="5">
        <f>SUMIFS(Sheet1!S71_AdjustmentAmount,Sheet1!S71_SubMunicipalVoteNo,$AC:$AC,Sheet1!S71_A5CapexCode,$AD:$AD)</f>
        <v>0</v>
      </c>
    </row>
    <row r="173" spans="9:9" x14ac:dyDescent="0.25">
      <c r="I173" s="5">
        <f>SUMIFS(Sheet1!S71_AdjustmentAmount,Sheet1!S71_A2SubCode,$AC:$AC,Sheet1!S71_ItemType,$AD:$AD)</f>
        <v>0</v>
      </c>
    </row>
    <row r="174" spans="9:9" x14ac:dyDescent="0.25">
      <c r="I174" s="5">
        <f>SUMIFS(Sheet1!S71_AdjustmentAmount,Sheet1!S71_A2SubCode,$AC:$AC,Sheet1!S71_ItemType,$AD:$AD)</f>
        <v>0</v>
      </c>
    </row>
    <row r="175" spans="9:9" x14ac:dyDescent="0.25">
      <c r="I175" s="5">
        <f>SUMIFS(Sheet1!S71_AdjustmentAmount,Sheet1!S71_A2SubCode,$AC:$AC,Sheet1!S71_ItemType,$AD:$AD)</f>
        <v>0</v>
      </c>
    </row>
    <row r="176" spans="9:9" x14ac:dyDescent="0.25">
      <c r="I176" s="5">
        <f>SUMIFS(Sheet1!S71_AdjustmentAmount,Sheet1!S71_SubMunicipalVoteNo,$AC:$AC,Sheet1!S71_ItemType,$AD:$AD)</f>
        <v>0</v>
      </c>
    </row>
    <row r="177" spans="9:9" x14ac:dyDescent="0.25">
      <c r="I177" s="5">
        <f>SUMIFS(Sheet1!S71_AdjustmentAmount,Sheet1!S71_SubMunicipalVoteNo,$AC:$AC,Sheet1!S71_ItemType,$AD:$AD)</f>
        <v>0</v>
      </c>
    </row>
    <row r="178" spans="9:9" x14ac:dyDescent="0.25">
      <c r="I178" s="5">
        <f>SUMIFS(Sheet1!S71_AdjustmentAmount,Sheet1!S71_SubMunicipalVoteNo,$AC:$AC,Sheet1!S71_A5CapexCode,$AD:$AD)</f>
        <v>0</v>
      </c>
    </row>
    <row r="179" spans="9:9" x14ac:dyDescent="0.25">
      <c r="I179" s="5">
        <f>SUMIFS(Sheet1!S71_AdjustmentAmount,Sheet1!S71_SubMunicipalVoteNo,$AC:$AC,Sheet1!S71_A5CapexCode,$AD:$AD)</f>
        <v>0</v>
      </c>
    </row>
    <row r="180" spans="9:9" x14ac:dyDescent="0.25">
      <c r="I180" s="5">
        <f>SUMIFS(Sheet1!S71_AdjustmentAmount,Sheet1!S71_SubMunicipalVoteNo,$AC:$AC,Sheet1!S71_A5CapexCode,$AD:$AD)</f>
        <v>0</v>
      </c>
    </row>
    <row r="181" spans="9:9" x14ac:dyDescent="0.25">
      <c r="I181" s="5">
        <f>SUMIFS(Sheet1!S71_AdjustmentAmount,Sheet1!S71_SubMunicipalVoteNo,$AC:$AC,Sheet1!S71_A5CapexCode,$AD:$AD)</f>
        <v>0</v>
      </c>
    </row>
    <row r="182" spans="9:9" x14ac:dyDescent="0.25">
      <c r="I182" s="5">
        <f>SUMIFS(Sheet1!S71_AdjustmentAmount,Sheet1!S71_SubMunicipalVoteNo,$AC:$AC,Sheet1!S71_A5CapexCode,$AD:$AD)</f>
        <v>0</v>
      </c>
    </row>
    <row r="183" spans="9:9" x14ac:dyDescent="0.25">
      <c r="I183" s="5">
        <f>SUMIFS(Sheet1!S71_AdjustmentAmount,Sheet1!S71_SubMunicipalVoteNo,$AC:$AC,Sheet1!S71_A5CapexCode,$AD:$AD)</f>
        <v>0</v>
      </c>
    </row>
    <row r="184" spans="9:9" x14ac:dyDescent="0.25">
      <c r="I184" s="5">
        <f>SUMIFS(Sheet1!S71_AdjustmentAmount,Sheet1!S71_SubMunicipalVoteNo,$AC:$AC,Sheet1!S71_A5CapexCode,$AD:$AD)</f>
        <v>0</v>
      </c>
    </row>
    <row r="185" spans="9:9" x14ac:dyDescent="0.25">
      <c r="I185" s="5">
        <f>SUMIFS(Sheet1!S71_AdjustmentAmount,Sheet1!S71_SubMunicipalVoteNo,$AC:$AC,Sheet1!S71_A5CapexCode,$AD:$AD)</f>
        <v>0</v>
      </c>
    </row>
    <row r="186" spans="9:9" x14ac:dyDescent="0.25">
      <c r="I186" s="5">
        <f>SUMIFS(Sheet1!S71_AdjustmentAmount,Sheet1!S71_SubMunicipalVoteNo,$AC:$AC,Sheet1!S71_A5CapexCode,$AD:$AD)</f>
        <v>0</v>
      </c>
    </row>
    <row r="187" spans="9:9" x14ac:dyDescent="0.25">
      <c r="I187" s="5">
        <f>SUMIFS(Sheet1!S71_AdjustmentAmount,Sheet1!S71_SubMunicipalVoteNo,$AC:$AC,Sheet1!S71_A5CapexCode,$AD:$AD)</f>
        <v>0</v>
      </c>
    </row>
    <row r="188" spans="9:9" x14ac:dyDescent="0.25">
      <c r="I188" s="5">
        <f>SUMIFS(Sheet1!S71_AdjustmentAmount,Sheet1!S71_SubMunicipalVoteNo,$AC:$AC,Sheet1!S71_ItemType,$AD:$AD)</f>
        <v>0</v>
      </c>
    </row>
    <row r="189" spans="9:9" x14ac:dyDescent="0.25">
      <c r="I189" s="5">
        <f>SUMIFS(Sheet1!S71_AdjustmentAmount,Sheet1!S71_SubMunicipalVoteNo,$AC:$AC,Sheet1!S71_A5CapexCode,$AD:$AD)</f>
        <v>0</v>
      </c>
    </row>
    <row r="190" spans="9:9" x14ac:dyDescent="0.25">
      <c r="I190" s="5">
        <f>SUMIFS(Sheet1!S71_AdjustmentAmount,Sheet1!S71_SubMunicipalVoteNo,$AC:$AC,Sheet1!S71_A5CapexCode,$AD:$AD)</f>
        <v>0</v>
      </c>
    </row>
    <row r="191" spans="9:9" x14ac:dyDescent="0.25">
      <c r="I191" s="5">
        <f>SUMIFS(Sheet1!S71_AdjustmentAmount,Sheet1!S71_SubMunicipalVoteNo,$AC:$AC,Sheet1!S71_A5CapexCode,$AD:$AD)</f>
        <v>0</v>
      </c>
    </row>
    <row r="192" spans="9:9" x14ac:dyDescent="0.25">
      <c r="I192" s="5">
        <f>SUMIFS(Sheet1!S71_AdjustmentAmount,Sheet1!S71_SubMunicipalVoteNo,$AC:$AC,Sheet1!S71_A5CapexCode,$AD:$AD)</f>
        <v>0</v>
      </c>
    </row>
    <row r="193" spans="9:9" x14ac:dyDescent="0.25">
      <c r="I193" s="5">
        <f>SUMIFS(Sheet1!S71_AdjustmentAmount,Sheet1!S71_SubMunicipalVoteNo,$AC:$AC,Sheet1!S71_A5CapexCode,$AD:$AD)</f>
        <v>0</v>
      </c>
    </row>
    <row r="194" spans="9:9" x14ac:dyDescent="0.25">
      <c r="I194" s="5">
        <f>SUMIFS(Sheet1!S71_AdjustmentAmount,Sheet1!S71_SubMunicipalVoteNo,$AC:$AC,Sheet1!S71_A5CapexCode,$AD:$AD)</f>
        <v>0</v>
      </c>
    </row>
    <row r="195" spans="9:9" x14ac:dyDescent="0.25">
      <c r="I195" s="5">
        <f>SUMIFS(Sheet1!S71_AdjustmentAmount,Sheet1!S71_SubMunicipalVoteNo,$AC:$AC,Sheet1!S71_A5CapexCode,$AD:$AD)</f>
        <v>0</v>
      </c>
    </row>
    <row r="196" spans="9:9" x14ac:dyDescent="0.25">
      <c r="I196" s="5">
        <f>SUMIFS(Sheet1!S71_AdjustmentAmount,Sheet1!S71_SubMunicipalVoteNo,$AC:$AC,Sheet1!S71_A5CapexCode,$AD:$AD)</f>
        <v>0</v>
      </c>
    </row>
    <row r="197" spans="9:9" x14ac:dyDescent="0.25">
      <c r="I197" s="5">
        <f>SUMIFS(Sheet1!S71_AdjustmentAmount,Sheet1!S71_SubMunicipalVoteNo,$AC:$AC,Sheet1!S71_A5CapexCode,$AD:$AD)</f>
        <v>0</v>
      </c>
    </row>
    <row r="198" spans="9:9" x14ac:dyDescent="0.25">
      <c r="I198" s="5">
        <f>SUMIFS(Sheet1!S71_AdjustmentAmount,Sheet1!S71_SubMunicipalVoteNo,$AC:$AC,Sheet1!S71_A5CapexCode,$AD:$AD)</f>
        <v>0</v>
      </c>
    </row>
    <row r="199" spans="9:9" x14ac:dyDescent="0.25">
      <c r="I199" s="5">
        <f>SUMIFS(Sheet1!S71_AdjustmentAmount,Sheet1!S71_SubMunicipalVoteNo,$AC:$AC,Sheet1!S71_ItemType,$AD:$AD)</f>
        <v>0</v>
      </c>
    </row>
    <row r="200" spans="9:9" x14ac:dyDescent="0.25">
      <c r="I200" s="5">
        <f>SUMIFS(Sheet1!S71_AdjustmentAmount,Sheet1!S71_SubMunicipalVoteNo,$AC:$AC,Sheet1!S71_A5CapexCode,$AD:$AD)</f>
        <v>0</v>
      </c>
    </row>
    <row r="201" spans="9:9" x14ac:dyDescent="0.25">
      <c r="I201" s="5">
        <f>SUMIFS(Sheet1!S71_AdjustmentAmount,Sheet1!S71_SubMunicipalVoteNo,$AC:$AC,Sheet1!S71_A5CapexCode,$AD:$AD)</f>
        <v>0</v>
      </c>
    </row>
    <row r="202" spans="9:9" x14ac:dyDescent="0.25">
      <c r="I202" s="5">
        <f>SUMIFS(Sheet1!S71_AdjustmentAmount,Sheet1!S71_SubMunicipalVoteNo,$AC:$AC,Sheet1!S71_A5CapexCode,$AD:$AD)</f>
        <v>0</v>
      </c>
    </row>
    <row r="203" spans="9:9" x14ac:dyDescent="0.25">
      <c r="I203" s="5">
        <f>SUMIFS(Sheet1!S71_AdjustmentAmount,Sheet1!S71_SubMunicipalVoteNo,$AC:$AC,Sheet1!S71_A5CapexCode,$AD:$AD)</f>
        <v>0</v>
      </c>
    </row>
    <row r="204" spans="9:9" x14ac:dyDescent="0.25">
      <c r="I204" s="5">
        <f>SUMIFS(Sheet1!S71_AdjustmentAmount,Sheet1!S71_SubMunicipalVoteNo,$AC:$AC,Sheet1!S71_A5CapexCode,$AD:$AD)</f>
        <v>0</v>
      </c>
    </row>
    <row r="205" spans="9:9" x14ac:dyDescent="0.25">
      <c r="I205" s="5">
        <f>SUMIFS(Sheet1!S71_AdjustmentAmount,Sheet1!S71_SubMunicipalVoteNo,$AC:$AC,Sheet1!S71_A5CapexCode,$AD:$AD)</f>
        <v>0</v>
      </c>
    </row>
    <row r="206" spans="9:9" x14ac:dyDescent="0.25">
      <c r="I206" s="5">
        <f>SUMIFS(Sheet1!S71_AdjustmentAmount,Sheet1!S71_SubMunicipalVoteNo,$AC:$AC,Sheet1!S71_A5CapexCode,$AD:$AD)</f>
        <v>0</v>
      </c>
    </row>
    <row r="207" spans="9:9" x14ac:dyDescent="0.25">
      <c r="I207" s="5">
        <f>SUMIFS(Sheet1!S71_AdjustmentAmount,Sheet1!S71_SubMunicipalVoteNo,$AC:$AC,Sheet1!S71_A5CapexCode,$AD:$AD)</f>
        <v>0</v>
      </c>
    </row>
    <row r="208" spans="9:9" x14ac:dyDescent="0.25">
      <c r="I208" s="5">
        <f>SUMIFS(Sheet1!S71_AdjustmentAmount,Sheet1!S71_SubMunicipalVoteNo,$AC:$AC,Sheet1!S71_A5CapexCode,$AD:$AD)</f>
        <v>0</v>
      </c>
    </row>
    <row r="209" spans="9:9" x14ac:dyDescent="0.25">
      <c r="I209" s="5">
        <f>SUMIFS(Sheet1!S71_AdjustmentAmount,Sheet1!S71_SubMunicipalVoteNo,$AC:$AC,Sheet1!S71_A5CapexCode,$AD:$AD)</f>
        <v>0</v>
      </c>
    </row>
    <row r="210" spans="9:9" x14ac:dyDescent="0.25">
      <c r="I210" s="5">
        <f>SUMIFS(Sheet1!S71_AdjustmentAmount,Sheet1!S71_SubMunicipalVoteNo,$AC:$AC,Sheet1!S71_ItemType,$AD:$AD)</f>
        <v>0</v>
      </c>
    </row>
    <row r="211" spans="9:9" x14ac:dyDescent="0.25">
      <c r="I211" s="5">
        <f>SUMIFS(Sheet1!S71_AdjustmentAmount,Sheet1!S71_SubMunicipalVoteNo,$AC:$AC,Sheet1!S71_A5CapexCode,$AD:$AD)</f>
        <v>0</v>
      </c>
    </row>
    <row r="212" spans="9:9" x14ac:dyDescent="0.25">
      <c r="I212" s="5">
        <f>SUMIFS(Sheet1!S71_AdjustmentAmount,Sheet1!S71_SubMunicipalVoteNo,$AC:$AC,Sheet1!S71_A5CapexCode,$AD:$AD)</f>
        <v>0</v>
      </c>
    </row>
    <row r="213" spans="9:9" x14ac:dyDescent="0.25">
      <c r="I213" s="5">
        <f>SUMIFS(Sheet1!S71_AdjustmentAmount,Sheet1!S71_SubMunicipalVoteNo,$AC:$AC,Sheet1!S71_A5CapexCode,$AD:$AD)</f>
        <v>0</v>
      </c>
    </row>
    <row r="214" spans="9:9" x14ac:dyDescent="0.25">
      <c r="I214" s="5">
        <f>SUMIFS(Sheet1!S71_AdjustmentAmount,Sheet1!S71_SubMunicipalVoteNo,$AC:$AC,Sheet1!S71_A5CapexCode,$AD:$AD)</f>
        <v>0</v>
      </c>
    </row>
    <row r="215" spans="9:9" x14ac:dyDescent="0.25">
      <c r="I215" s="5">
        <f>SUMIFS(Sheet1!S71_AdjustmentAmount,Sheet1!S71_SubMunicipalVoteNo,$AC:$AC,Sheet1!S71_A5CapexCode,$AD:$AD)</f>
        <v>0</v>
      </c>
    </row>
    <row r="216" spans="9:9" x14ac:dyDescent="0.25">
      <c r="I216" s="5">
        <f>SUMIFS(Sheet1!S71_AdjustmentAmount,Sheet1!S71_SubMunicipalVoteNo,$AC:$AC,Sheet1!S71_A5CapexCode,$AD:$AD)</f>
        <v>0</v>
      </c>
    </row>
    <row r="217" spans="9:9" x14ac:dyDescent="0.25">
      <c r="I217" s="5">
        <f>SUMIFS(Sheet1!S71_AdjustmentAmount,Sheet1!S71_SubMunicipalVoteNo,$AC:$AC,Sheet1!S71_A5CapexCode,$AD:$AD)</f>
        <v>0</v>
      </c>
    </row>
    <row r="218" spans="9:9" x14ac:dyDescent="0.25">
      <c r="I218" s="5">
        <f>SUMIFS(Sheet1!S71_AdjustmentAmount,Sheet1!S71_SubMunicipalVoteNo,$AC:$AC,Sheet1!S71_A5CapexCode,$AD:$AD)</f>
        <v>0</v>
      </c>
    </row>
    <row r="219" spans="9:9" x14ac:dyDescent="0.25">
      <c r="I219" s="5">
        <f>SUMIFS(Sheet1!S71_AdjustmentAmount,Sheet1!S71_SubMunicipalVoteNo,$AC:$AC,Sheet1!S71_A5CapexCode,$AD:$AD)</f>
        <v>0</v>
      </c>
    </row>
    <row r="220" spans="9:9" x14ac:dyDescent="0.25">
      <c r="I220" s="5">
        <f>SUMIFS(Sheet1!S71_AdjustmentAmount,Sheet1!S71_SubMunicipalVoteNo,$AC:$AC,Sheet1!S71_A5CapexCode,$AD:$AD)</f>
        <v>0</v>
      </c>
    </row>
    <row r="221" spans="9:9" x14ac:dyDescent="0.25">
      <c r="I221" s="5">
        <f>SUMIFS(Sheet1!S71_AdjustmentAmount,Sheet1!S71_SubMunicipalVoteNo,$AC:$AC,Sheet1!S71_ItemType,$AD:$AD)</f>
        <v>0</v>
      </c>
    </row>
    <row r="222" spans="9:9" x14ac:dyDescent="0.25">
      <c r="I222" s="5">
        <f>SUMIFS(Sheet1!S71_AdjustmentAmount,Sheet1!S71_SubMunicipalVoteNo,$AC:$AC,Sheet1!S71_A5CapexCode,$AD:$AD)</f>
        <v>0</v>
      </c>
    </row>
    <row r="223" spans="9:9" x14ac:dyDescent="0.25">
      <c r="I223" s="5">
        <f>SUMIFS(Sheet1!S71_AdjustmentAmount,Sheet1!S71_SubMunicipalVoteNo,$AC:$AC,Sheet1!S71_A5CapexCode,$AD:$AD)</f>
        <v>0</v>
      </c>
    </row>
    <row r="224" spans="9:9" x14ac:dyDescent="0.25">
      <c r="I224" s="5">
        <f>SUMIFS(Sheet1!S71_AdjustmentAmount,Sheet1!S71_SubMunicipalVoteNo,$AC:$AC,Sheet1!S71_A5CapexCode,$AD:$AD)</f>
        <v>0</v>
      </c>
    </row>
    <row r="225" spans="9:9" x14ac:dyDescent="0.25">
      <c r="I225" s="5">
        <f>SUMIFS(Sheet1!S71_AdjustmentAmount,Sheet1!S71_SubMunicipalVoteNo,$AC:$AC,Sheet1!S71_A5CapexCode,$AD:$AD)</f>
        <v>0</v>
      </c>
    </row>
    <row r="226" spans="9:9" x14ac:dyDescent="0.25">
      <c r="I226" s="5">
        <f>SUMIFS(Sheet1!S71_AdjustmentAmount,Sheet1!S71_SubMunicipalVoteNo,$AC:$AC,Sheet1!S71_A5CapexCode,$AD:$AD)</f>
        <v>0</v>
      </c>
    </row>
    <row r="227" spans="9:9" x14ac:dyDescent="0.25">
      <c r="I227" s="5">
        <f>SUMIFS(Sheet1!S71_AdjustmentAmount,Sheet1!S71_SubMunicipalVoteNo,$AC:$AC,Sheet1!S71_A5CapexCode,$AD:$AD)</f>
        <v>0</v>
      </c>
    </row>
    <row r="228" spans="9:9" x14ac:dyDescent="0.25">
      <c r="I228" s="5">
        <f>SUMIFS(Sheet1!S71_AdjustmentAmount,Sheet1!S71_SubMunicipalVoteNo,$AC:$AC,Sheet1!S71_A5CapexCode,$AD:$AD)</f>
        <v>0</v>
      </c>
    </row>
    <row r="229" spans="9:9" x14ac:dyDescent="0.25">
      <c r="I229" s="5">
        <f>SUMIFS(Sheet1!S71_AdjustmentAmount,Sheet1!S71_SubMunicipalVoteNo,$AC:$AC,Sheet1!S71_A5CapexCode,$AD:$AD)</f>
        <v>0</v>
      </c>
    </row>
    <row r="230" spans="9:9" x14ac:dyDescent="0.25">
      <c r="I230" s="5">
        <f>SUMIFS(Sheet1!S71_AdjustmentAmount,Sheet1!S71_SubMunicipalVoteNo,$AC:$AC,Sheet1!S71_A5CapexCode,$AD:$AD)</f>
        <v>0</v>
      </c>
    </row>
    <row r="231" spans="9:9" x14ac:dyDescent="0.25">
      <c r="I231" s="5">
        <f>SUMIFS(Sheet1!S71_AdjustmentAmount,Sheet1!S71_SubMunicipalVoteNo,$AC:$AC,Sheet1!S71_A5CapexCode,$AD:$AD)</f>
        <v>0</v>
      </c>
    </row>
    <row r="232" spans="9:9" x14ac:dyDescent="0.25">
      <c r="I232" s="5">
        <f>SUMIFS(Sheet1!S71_AdjustmentAmount,Sheet1!S71_SubMunicipalVoteNo,$AC:$AC,Sheet1!S71_ItemType,$AD:$AD)</f>
        <v>0</v>
      </c>
    </row>
    <row r="233" spans="9:9" x14ac:dyDescent="0.25">
      <c r="I233" s="5">
        <f>SUMIFS(Sheet1!S71_AdjustmentAmount,Sheet1!S71_SubMunicipalVoteNo,$AC:$AC,Sheet1!S71_A5CapexCode,$AD:$AD)</f>
        <v>0</v>
      </c>
    </row>
    <row r="234" spans="9:9" x14ac:dyDescent="0.25">
      <c r="I234" s="5">
        <f>SUMIFS(Sheet1!S71_AdjustmentAmount,Sheet1!S71_SubMunicipalVoteNo,$AC:$AC,Sheet1!S71_A5CapexCode,$AD:$AD)</f>
        <v>0</v>
      </c>
    </row>
    <row r="235" spans="9:9" x14ac:dyDescent="0.25">
      <c r="I235" s="5">
        <f>SUMIFS(Sheet1!S71_AdjustmentAmount,Sheet1!S71_SubMunicipalVoteNo,$AC:$AC,Sheet1!S71_A5CapexCode,$AD:$AD)</f>
        <v>0</v>
      </c>
    </row>
    <row r="236" spans="9:9" x14ac:dyDescent="0.25">
      <c r="I236" s="5">
        <f>SUMIFS(Sheet1!S71_AdjustmentAmount,Sheet1!S71_SubMunicipalVoteNo,$AC:$AC,Sheet1!S71_A5CapexCode,$AD:$AD)</f>
        <v>0</v>
      </c>
    </row>
    <row r="237" spans="9:9" x14ac:dyDescent="0.25">
      <c r="I237" s="5">
        <f>SUMIFS(Sheet1!S71_AdjustmentAmount,Sheet1!S71_SubMunicipalVoteNo,$AC:$AC,Sheet1!S71_A5CapexCode,$AD:$AD)</f>
        <v>0</v>
      </c>
    </row>
    <row r="238" spans="9:9" x14ac:dyDescent="0.25">
      <c r="I238" s="5">
        <f>SUMIFS(Sheet1!S71_AdjustmentAmount,Sheet1!S71_SubMunicipalVoteNo,$AC:$AC,Sheet1!S71_A5CapexCode,$AD:$AD)</f>
        <v>0</v>
      </c>
    </row>
    <row r="239" spans="9:9" x14ac:dyDescent="0.25">
      <c r="I239" s="5">
        <f>SUMIFS(Sheet1!S71_AdjustmentAmount,Sheet1!S71_SubMunicipalVoteNo,$AC:$AC,Sheet1!S71_A5CapexCode,$AD:$AD)</f>
        <v>0</v>
      </c>
    </row>
    <row r="240" spans="9:9" x14ac:dyDescent="0.25">
      <c r="I240" s="5">
        <f>SUMIFS(Sheet1!S71_AdjustmentAmount,Sheet1!S71_SubMunicipalVoteNo,$AC:$AC,Sheet1!S71_A5CapexCode,$AD:$AD)</f>
        <v>0</v>
      </c>
    </row>
    <row r="241" spans="9:9" x14ac:dyDescent="0.25">
      <c r="I241" s="5">
        <f>SUMIFS(Sheet1!S71_AdjustmentAmount,Sheet1!S71_SubMunicipalVoteNo,$AC:$AC,Sheet1!S71_A5CapexCode,$AD:$AD)</f>
        <v>0</v>
      </c>
    </row>
    <row r="242" spans="9:9" x14ac:dyDescent="0.25">
      <c r="I242" s="5">
        <f>SUMIFS(Sheet1!S71_AdjustmentAmount,Sheet1!S71_SubMunicipalVoteNo,$AC:$AC,Sheet1!S71_A5CapexCode,$AD:$AD)</f>
        <v>0</v>
      </c>
    </row>
    <row r="243" spans="9:9" x14ac:dyDescent="0.25">
      <c r="I243" s="5">
        <f>SUMIFS(Sheet1!S71_AdjustmentAmount,Sheet1!S71_SubMunicipalVoteNo,$AC:$AC,Sheet1!S71_ItemType,$AD:$AD)</f>
        <v>0</v>
      </c>
    </row>
    <row r="244" spans="9:9" x14ac:dyDescent="0.25">
      <c r="I244" s="5">
        <f>SUMIFS(Sheet1!S71_AdjustmentAmount,Sheet1!S71_SubMunicipalVoteNo,$AC:$AC,Sheet1!S71_A5CapexCode,$AD:$AD)</f>
        <v>0</v>
      </c>
    </row>
    <row r="245" spans="9:9" x14ac:dyDescent="0.25">
      <c r="I245" s="5">
        <f>SUMIFS(Sheet1!S71_AdjustmentAmount,Sheet1!S71_SubMunicipalVoteNo,$AC:$AC,Sheet1!S71_A5CapexCode,$AD:$AD)</f>
        <v>0</v>
      </c>
    </row>
    <row r="246" spans="9:9" x14ac:dyDescent="0.25">
      <c r="I246" s="5">
        <f>SUMIFS(Sheet1!S71_AdjustmentAmount,Sheet1!S71_SubMunicipalVoteNo,$AC:$AC,Sheet1!S71_A5CapexCode,$AD:$AD)</f>
        <v>0</v>
      </c>
    </row>
    <row r="247" spans="9:9" x14ac:dyDescent="0.25">
      <c r="I247" s="5">
        <f>SUMIFS(Sheet1!S71_AdjustmentAmount,Sheet1!S71_SubMunicipalVoteNo,$AC:$AC,Sheet1!S71_A5CapexCode,$AD:$AD)</f>
        <v>0</v>
      </c>
    </row>
    <row r="248" spans="9:9" x14ac:dyDescent="0.25">
      <c r="I248" s="5">
        <f>SUMIFS(Sheet1!S71_AdjustmentAmount,Sheet1!S71_SubMunicipalVoteNo,$AC:$AC,Sheet1!S71_A5CapexCode,$AD:$AD)</f>
        <v>0</v>
      </c>
    </row>
    <row r="249" spans="9:9" x14ac:dyDescent="0.25">
      <c r="I249" s="5">
        <f>SUMIFS(Sheet1!S71_AdjustmentAmount,Sheet1!S71_SubMunicipalVoteNo,$AC:$AC,Sheet1!S71_A5CapexCode,$AD:$AD)</f>
        <v>0</v>
      </c>
    </row>
    <row r="250" spans="9:9" x14ac:dyDescent="0.25">
      <c r="I250" s="5">
        <f>SUMIFS(Sheet1!S71_AdjustmentAmount,Sheet1!S71_SubMunicipalVoteNo,$AC:$AC,Sheet1!S71_A5CapexCode,$AD:$AD)</f>
        <v>0</v>
      </c>
    </row>
    <row r="251" spans="9:9" x14ac:dyDescent="0.25">
      <c r="I251" s="5">
        <f>SUMIFS(Sheet1!S71_AdjustmentAmount,Sheet1!S71_SubMunicipalVoteNo,$AC:$AC,Sheet1!S71_A5CapexCode,$AD:$AD)</f>
        <v>0</v>
      </c>
    </row>
    <row r="252" spans="9:9" x14ac:dyDescent="0.25">
      <c r="I252" s="5">
        <f>SUMIFS(Sheet1!S71_AdjustmentAmount,Sheet1!S71_SubMunicipalVoteNo,$AC:$AC,Sheet1!S71_A5CapexCode,$AD:$AD)</f>
        <v>0</v>
      </c>
    </row>
    <row r="253" spans="9:9" x14ac:dyDescent="0.25">
      <c r="I253" s="5">
        <f>SUMIFS(Sheet1!S71_AdjustmentAmount,Sheet1!S71_SubMunicipalVoteNo,$AC:$AC,Sheet1!S71_A5CapexCode,$AD:$AD)</f>
        <v>0</v>
      </c>
    </row>
    <row r="254" spans="9:9" x14ac:dyDescent="0.25">
      <c r="I254" s="5">
        <f>SUMIFS(Sheet1!S71_AdjustmentAmount,Sheet1!S71_SubMunicipalVoteNo,$AC:$AC,Sheet1!S71_ItemType,$AD:$AD)</f>
        <v>0</v>
      </c>
    </row>
    <row r="255" spans="9:9" x14ac:dyDescent="0.25">
      <c r="I255" s="5">
        <f>SUMIFS(Sheet1!S71_AdjustmentAmount,Sheet1!S71_SubMunicipalVoteNo,$AC:$AC,Sheet1!S71_A5CapexCode,$AD:$AD)</f>
        <v>0</v>
      </c>
    </row>
    <row r="256" spans="9:9" x14ac:dyDescent="0.25">
      <c r="I256" s="5">
        <f>SUMIFS(Sheet1!S71_AdjustmentAmount,Sheet1!S71_SubMunicipalVoteNo,$AC:$AC,Sheet1!S71_A5CapexCode,$AD:$AD)</f>
        <v>0</v>
      </c>
    </row>
    <row r="257" spans="9:9" x14ac:dyDescent="0.25">
      <c r="I257" s="5">
        <f>SUMIFS(Sheet1!S71_AdjustmentAmount,Sheet1!S71_SubMunicipalVoteNo,$AC:$AC,Sheet1!S71_A5CapexCode,$AD:$AD)</f>
        <v>0</v>
      </c>
    </row>
    <row r="258" spans="9:9" x14ac:dyDescent="0.25">
      <c r="I258" s="5">
        <f>SUMIFS(Sheet1!S71_AdjustmentAmount,Sheet1!S71_SubMunicipalVoteNo,$AC:$AC,Sheet1!S71_A5CapexCode,$AD:$AD)</f>
        <v>0</v>
      </c>
    </row>
    <row r="259" spans="9:9" x14ac:dyDescent="0.25">
      <c r="I259" s="5">
        <f>SUMIFS(Sheet1!S71_AdjustmentAmount,Sheet1!S71_SubMunicipalVoteNo,$AC:$AC,Sheet1!S71_A5CapexCode,$AD:$AD)</f>
        <v>0</v>
      </c>
    </row>
    <row r="260" spans="9:9" x14ac:dyDescent="0.25">
      <c r="I260" s="5">
        <f>SUMIFS(Sheet1!S71_AdjustmentAmount,Sheet1!S71_SubMunicipalVoteNo,$AC:$AC,Sheet1!S71_A5CapexCode,$AD:$AD)</f>
        <v>0</v>
      </c>
    </row>
    <row r="261" spans="9:9" x14ac:dyDescent="0.25">
      <c r="I261" s="5">
        <f>SUMIFS(Sheet1!S71_AdjustmentAmount,Sheet1!S71_SubMunicipalVoteNo,$AC:$AC,Sheet1!S71_A5CapexCode,$AD:$AD)</f>
        <v>0</v>
      </c>
    </row>
    <row r="262" spans="9:9" x14ac:dyDescent="0.25">
      <c r="I262" s="5">
        <f>SUMIFS(Sheet1!S71_AdjustmentAmount,Sheet1!S71_SubMunicipalVoteNo,$AC:$AC,Sheet1!S71_A5CapexCode,$AD:$AD)</f>
        <v>0</v>
      </c>
    </row>
    <row r="263" spans="9:9" x14ac:dyDescent="0.25">
      <c r="I263" s="5">
        <f>SUMIFS(Sheet1!S71_AdjustmentAmount,Sheet1!S71_SubMunicipalVoteNo,$AC:$AC,Sheet1!S71_A5CapexCode,$AD:$AD)</f>
        <v>0</v>
      </c>
    </row>
    <row r="264" spans="9:9" x14ac:dyDescent="0.25">
      <c r="I264" s="5">
        <f>SUMIFS(Sheet1!S71_AdjustmentAmount,Sheet1!S71_SubMunicipalVoteNo,$AC:$AC,Sheet1!S71_A5CapexCode,$AD:$AD)</f>
        <v>0</v>
      </c>
    </row>
    <row r="265" spans="9:9" x14ac:dyDescent="0.25">
      <c r="I265" s="5">
        <f>SUMIFS(Sheet1!S71_AdjustmentAmount,Sheet1!S71_SubMunicipalVoteNo,$AC:$AC,Sheet1!S71_ItemType,$AD:$AD)</f>
        <v>0</v>
      </c>
    </row>
    <row r="266" spans="9:9" x14ac:dyDescent="0.25">
      <c r="I266" s="5">
        <f>SUMIFS(Sheet1!S71_AdjustmentAmount,Sheet1!S71_SubMunicipalVoteNo,$AC:$AC,Sheet1!S71_A5CapexCode,$AD:$AD)</f>
        <v>0</v>
      </c>
    </row>
    <row r="267" spans="9:9" x14ac:dyDescent="0.25">
      <c r="I267" s="5">
        <f>SUMIFS(Sheet1!S71_AdjustmentAmount,Sheet1!S71_SubMunicipalVoteNo,$AC:$AC,Sheet1!S71_A5CapexCode,$AD:$AD)</f>
        <v>0</v>
      </c>
    </row>
    <row r="268" spans="9:9" x14ac:dyDescent="0.25">
      <c r="I268" s="5">
        <f>SUMIFS(Sheet1!S71_AdjustmentAmount,Sheet1!S71_SubMunicipalVoteNo,$AC:$AC,Sheet1!S71_A5CapexCode,$AD:$AD)</f>
        <v>0</v>
      </c>
    </row>
    <row r="269" spans="9:9" x14ac:dyDescent="0.25">
      <c r="I269" s="5">
        <f>SUMIFS(Sheet1!S71_AdjustmentAmount,Sheet1!S71_SubMunicipalVoteNo,$AC:$AC,Sheet1!S71_A5CapexCode,$AD:$AD)</f>
        <v>0</v>
      </c>
    </row>
    <row r="270" spans="9:9" x14ac:dyDescent="0.25">
      <c r="I270" s="5">
        <f>SUMIFS(Sheet1!S71_AdjustmentAmount,Sheet1!S71_SubMunicipalVoteNo,$AC:$AC,Sheet1!S71_A5CapexCode,$AD:$AD)</f>
        <v>0</v>
      </c>
    </row>
    <row r="271" spans="9:9" x14ac:dyDescent="0.25">
      <c r="I271" s="5">
        <f>SUMIFS(Sheet1!S71_AdjustmentAmount,Sheet1!S71_SubMunicipalVoteNo,$AC:$AC,Sheet1!S71_A5CapexCode,$AD:$AD)</f>
        <v>0</v>
      </c>
    </row>
    <row r="272" spans="9:9" x14ac:dyDescent="0.25">
      <c r="I272" s="5">
        <f>SUMIFS(Sheet1!S71_AdjustmentAmount,Sheet1!S71_SubMunicipalVoteNo,$AC:$AC,Sheet1!S71_A5CapexCode,$AD:$AD)</f>
        <v>0</v>
      </c>
    </row>
    <row r="273" spans="9:9" x14ac:dyDescent="0.25">
      <c r="I273" s="5">
        <f>SUMIFS(Sheet1!S71_AdjustmentAmount,Sheet1!S71_SubMunicipalVoteNo,$AC:$AC,Sheet1!S71_A5CapexCode,$AD:$AD)</f>
        <v>0</v>
      </c>
    </row>
    <row r="274" spans="9:9" x14ac:dyDescent="0.25">
      <c r="I274" s="5">
        <f>SUMIFS(Sheet1!S71_AdjustmentAmount,Sheet1!S71_SubMunicipalVoteNo,$AC:$AC,Sheet1!S71_A5CapexCode,$AD:$AD)</f>
        <v>0</v>
      </c>
    </row>
    <row r="275" spans="9:9" x14ac:dyDescent="0.25">
      <c r="I275" s="5">
        <f>SUMIFS(Sheet1!S71_AdjustmentAmount,Sheet1!S71_SubMunicipalVoteNo,$AC:$AC,Sheet1!S71_A5CapexCode,$AD:$AD)</f>
        <v>0</v>
      </c>
    </row>
    <row r="276" spans="9:9" x14ac:dyDescent="0.25">
      <c r="I276" s="5">
        <f>SUMIFS(Sheet1!S71_AdjustmentAmount,Sheet1!S71_SubMunicipalVoteNo,$AC:$AC,Sheet1!S71_ItemType,$AD:$AD)</f>
        <v>0</v>
      </c>
    </row>
    <row r="277" spans="9:9" x14ac:dyDescent="0.25">
      <c r="I277" s="5">
        <f>SUMIFS(Sheet1!S71_AdjustmentAmount,Sheet1!S71_SubMunicipalVoteNo,$AC:$AC,Sheet1!S71_A5CapexCode,$AD:$AD)</f>
        <v>0</v>
      </c>
    </row>
    <row r="278" spans="9:9" x14ac:dyDescent="0.25">
      <c r="I278" s="5">
        <f>SUMIFS(Sheet1!S71_AdjustmentAmount,Sheet1!S71_SubMunicipalVoteNo,$AC:$AC,Sheet1!S71_A5CapexCode,$AD:$AD)</f>
        <v>0</v>
      </c>
    </row>
    <row r="279" spans="9:9" x14ac:dyDescent="0.25">
      <c r="I279" s="5">
        <f>SUMIFS(Sheet1!S71_AdjustmentAmount,Sheet1!S71_SubMunicipalVoteNo,$AC:$AC,Sheet1!S71_A5CapexCode,$AD:$AD)</f>
        <v>0</v>
      </c>
    </row>
    <row r="280" spans="9:9" x14ac:dyDescent="0.25">
      <c r="I280" s="5">
        <f>SUMIFS(Sheet1!S71_AdjustmentAmount,Sheet1!S71_SubMunicipalVoteNo,$AC:$AC,Sheet1!S71_A5CapexCode,$AD:$AD)</f>
        <v>0</v>
      </c>
    </row>
    <row r="281" spans="9:9" x14ac:dyDescent="0.25">
      <c r="I281" s="5">
        <f>SUMIFS(Sheet1!S71_AdjustmentAmount,Sheet1!S71_SubMunicipalVoteNo,$AC:$AC,Sheet1!S71_A5CapexCode,$AD:$AD)</f>
        <v>0</v>
      </c>
    </row>
    <row r="282" spans="9:9" x14ac:dyDescent="0.25">
      <c r="I282" s="5">
        <f>SUMIFS(Sheet1!S71_AdjustmentAmount,Sheet1!S71_SubMunicipalVoteNo,$AC:$AC,Sheet1!S71_A5CapexCode,$AD:$AD)</f>
        <v>0</v>
      </c>
    </row>
    <row r="283" spans="9:9" x14ac:dyDescent="0.25">
      <c r="I283" s="5">
        <f>SUMIFS(Sheet1!S71_AdjustmentAmount,Sheet1!S71_SubMunicipalVoteNo,$AC:$AC,Sheet1!S71_A5CapexCode,$AD:$AD)</f>
        <v>0</v>
      </c>
    </row>
    <row r="284" spans="9:9" x14ac:dyDescent="0.25">
      <c r="I284" s="5">
        <f>SUMIFS(Sheet1!S71_AdjustmentAmount,Sheet1!S71_SubMunicipalVoteNo,$AC:$AC,Sheet1!S71_A5CapexCode,$AD:$AD)</f>
        <v>0</v>
      </c>
    </row>
    <row r="285" spans="9:9" x14ac:dyDescent="0.25">
      <c r="I285" s="5">
        <f>SUMIFS(Sheet1!S71_AdjustmentAmount,Sheet1!S71_SubMunicipalVoteNo,$AC:$AC,Sheet1!S71_A5CapexCode,$AD:$AD)</f>
        <v>0</v>
      </c>
    </row>
    <row r="286" spans="9:9" x14ac:dyDescent="0.25">
      <c r="I286" s="5">
        <f>SUMIFS(Sheet1!S71_AdjustmentAmount,Sheet1!S71_SubMunicipalVoteNo,$AC:$AC,Sheet1!S71_A5CapexCode,$AD:$AD)</f>
        <v>0</v>
      </c>
    </row>
    <row r="287" spans="9:9" x14ac:dyDescent="0.25">
      <c r="I287" s="5">
        <f>SUMIFS(Sheet1!S71_AdjustmentAmount,Sheet1!S71_SubMunicipalVoteNo,$AC:$AC,Sheet1!S71_ItemType,$AD:$AD)</f>
        <v>0</v>
      </c>
    </row>
    <row r="288" spans="9:9" x14ac:dyDescent="0.25">
      <c r="I288" s="5">
        <f>SUMIFS(Sheet1!S71_AdjustmentAmount,Sheet1!S71_SubMunicipalVoteNo,$AC:$AC,Sheet1!S71_A5CapexCode,$AD:$AD)</f>
        <v>0</v>
      </c>
    </row>
    <row r="289" spans="9:9" x14ac:dyDescent="0.25">
      <c r="I289" s="5">
        <f>SUMIFS(Sheet1!S71_AdjustmentAmount,Sheet1!S71_SubMunicipalVoteNo,$AC:$AC,Sheet1!S71_A5CapexCode,$AD:$AD)</f>
        <v>0</v>
      </c>
    </row>
    <row r="290" spans="9:9" x14ac:dyDescent="0.25">
      <c r="I290" s="5">
        <f>SUMIFS(Sheet1!S71_AdjustmentAmount,Sheet1!S71_SubMunicipalVoteNo,$AC:$AC,Sheet1!S71_A5CapexCode,$AD:$AD)</f>
        <v>0</v>
      </c>
    </row>
    <row r="291" spans="9:9" x14ac:dyDescent="0.25">
      <c r="I291" s="5">
        <f>SUMIFS(Sheet1!S71_AdjustmentAmount,Sheet1!S71_SubMunicipalVoteNo,$AC:$AC,Sheet1!S71_A5CapexCode,$AD:$AD)</f>
        <v>0</v>
      </c>
    </row>
    <row r="292" spans="9:9" x14ac:dyDescent="0.25">
      <c r="I292" s="5">
        <f>SUMIFS(Sheet1!S71_AdjustmentAmount,Sheet1!S71_SubMunicipalVoteNo,$AC:$AC,Sheet1!S71_A5CapexCode,$AD:$AD)</f>
        <v>0</v>
      </c>
    </row>
    <row r="293" spans="9:9" x14ac:dyDescent="0.25">
      <c r="I293" s="5">
        <f>SUMIFS(Sheet1!S71_AdjustmentAmount,Sheet1!S71_SubMunicipalVoteNo,$AC:$AC,Sheet1!S71_A5CapexCode,$AD:$AD)</f>
        <v>0</v>
      </c>
    </row>
    <row r="294" spans="9:9" x14ac:dyDescent="0.25">
      <c r="I294" s="5">
        <f>SUMIFS(Sheet1!S71_AdjustmentAmount,Sheet1!S71_SubMunicipalVoteNo,$AC:$AC,Sheet1!S71_A5CapexCode,$AD:$AD)</f>
        <v>0</v>
      </c>
    </row>
    <row r="295" spans="9:9" x14ac:dyDescent="0.25">
      <c r="I295" s="5">
        <f>SUMIFS(Sheet1!S71_AdjustmentAmount,Sheet1!S71_SubMunicipalVoteNo,$AC:$AC,Sheet1!S71_A5CapexCode,$AD:$AD)</f>
        <v>0</v>
      </c>
    </row>
    <row r="296" spans="9:9" x14ac:dyDescent="0.25">
      <c r="I296" s="5">
        <f>SUMIFS(Sheet1!S71_AdjustmentAmount,Sheet1!S71_SubMunicipalVoteNo,$AC:$AC,Sheet1!S71_A5CapexCode,$AD:$AD)</f>
        <v>0</v>
      </c>
    </row>
    <row r="297" spans="9:9" x14ac:dyDescent="0.25">
      <c r="I297" s="5">
        <f>SUMIFS(Sheet1!S71_AdjustmentAmount,Sheet1!S71_SubMunicipalVoteNo,$AC:$AC,Sheet1!S71_A5CapexCode,$AD:$AD)</f>
        <v>0</v>
      </c>
    </row>
    <row r="298" spans="9:9" x14ac:dyDescent="0.25">
      <c r="I298" s="5">
        <f>SUMIFS(Sheet1!S71_AdjustmentAmount,Sheet1!S71_SubMunicipalVoteNo,$AC:$AC,Sheet1!S71_ItemType,$AD:$AD)</f>
        <v>0</v>
      </c>
    </row>
    <row r="299" spans="9:9" x14ac:dyDescent="0.25">
      <c r="I299" s="5">
        <f>SUMIFS(Sheet1!S71_AdjustmentAmount,Sheet1!S71_SubMunicipalVoteNo,$AC:$AC,Sheet1!S71_A5CapexCode,$AD:$AD)</f>
        <v>0</v>
      </c>
    </row>
    <row r="300" spans="9:9" x14ac:dyDescent="0.25">
      <c r="I300" s="5">
        <f>SUMIFS(Sheet1!S71_AdjustmentAmount,Sheet1!S71_SubMunicipalVoteNo,$AC:$AC,Sheet1!S71_A5CapexCode,$AD:$AD)</f>
        <v>0</v>
      </c>
    </row>
    <row r="301" spans="9:9" x14ac:dyDescent="0.25">
      <c r="I301" s="5">
        <f>SUMIFS(Sheet1!S71_AdjustmentAmount,Sheet1!S71_SubMunicipalVoteNo,$AC:$AC,Sheet1!S71_A5CapexCode,$AD:$AD)</f>
        <v>0</v>
      </c>
    </row>
    <row r="302" spans="9:9" x14ac:dyDescent="0.25">
      <c r="I302" s="5">
        <f>SUMIFS(Sheet1!S71_AdjustmentAmount,Sheet1!S71_SubMunicipalVoteNo,$AC:$AC,Sheet1!S71_A5CapexCode,$AD:$AD)</f>
        <v>0</v>
      </c>
    </row>
    <row r="303" spans="9:9" x14ac:dyDescent="0.25">
      <c r="I303" s="5">
        <f>SUMIFS(Sheet1!S71_AdjustmentAmount,Sheet1!S71_SubMunicipalVoteNo,$AC:$AC,Sheet1!S71_A5CapexCode,$AD:$AD)</f>
        <v>0</v>
      </c>
    </row>
    <row r="304" spans="9:9" x14ac:dyDescent="0.25">
      <c r="I304" s="5">
        <f>SUMIFS(Sheet1!S71_AdjustmentAmount,Sheet1!S71_SubMunicipalVoteNo,$AC:$AC,Sheet1!S71_A5CapexCode,$AD:$AD)</f>
        <v>0</v>
      </c>
    </row>
    <row r="305" spans="9:9" x14ac:dyDescent="0.25">
      <c r="I305" s="5">
        <f>SUMIFS(Sheet1!S71_AdjustmentAmount,Sheet1!S71_SubMunicipalVoteNo,$AC:$AC,Sheet1!S71_A5CapexCode,$AD:$AD)</f>
        <v>0</v>
      </c>
    </row>
    <row r="306" spans="9:9" x14ac:dyDescent="0.25">
      <c r="I306" s="5">
        <f>SUMIFS(Sheet1!S71_AdjustmentAmount,Sheet1!S71_SubMunicipalVoteNo,$AC:$AC,Sheet1!S71_A5CapexCode,$AD:$AD)</f>
        <v>0</v>
      </c>
    </row>
    <row r="307" spans="9:9" x14ac:dyDescent="0.25">
      <c r="I307" s="5">
        <f>SUMIFS(Sheet1!S71_AdjustmentAmount,Sheet1!S71_SubMunicipalVoteNo,$AC:$AC,Sheet1!S71_A5CapexCode,$AD:$AD)</f>
        <v>0</v>
      </c>
    </row>
    <row r="308" spans="9:9" x14ac:dyDescent="0.25">
      <c r="I308" s="5">
        <f>SUMIFS(Sheet1!S71_AdjustmentAmount,Sheet1!S71_SubMunicipalVoteNo,$AC:$AC,Sheet1!S71_A5CapexCode,$AD:$AD)</f>
        <v>0</v>
      </c>
    </row>
    <row r="309" spans="9:9" x14ac:dyDescent="0.25">
      <c r="I309" s="5">
        <f>SUMIFS(Sheet1!S71_AdjustmentAmount,Sheet1!S71_SubMunicipalVoteNo,$AC:$AC,Sheet1!S71_ItemType,$AD:$AD)</f>
        <v>0</v>
      </c>
    </row>
    <row r="310" spans="9:9" x14ac:dyDescent="0.25">
      <c r="I310" s="5">
        <f>SUMIFS(Sheet1!S71_AdjustmentAmount,Sheet1!S71_SubMunicipalVoteNo,$AC:$AC,Sheet1!S71_A5CapexCode,$AD:$AD)</f>
        <v>0</v>
      </c>
    </row>
    <row r="311" spans="9:9" x14ac:dyDescent="0.25">
      <c r="I311" s="5">
        <f>SUMIFS(Sheet1!S71_AdjustmentAmount,Sheet1!S71_SubMunicipalVoteNo,$AC:$AC,Sheet1!S71_A5CapexCode,$AD:$AD)</f>
        <v>0</v>
      </c>
    </row>
    <row r="312" spans="9:9" x14ac:dyDescent="0.25">
      <c r="I312" s="5">
        <f>SUMIFS(Sheet1!S71_AdjustmentAmount,Sheet1!S71_SubMunicipalVoteNo,$AC:$AC,Sheet1!S71_A5CapexCode,$AD:$AD)</f>
        <v>0</v>
      </c>
    </row>
    <row r="313" spans="9:9" x14ac:dyDescent="0.25">
      <c r="I313" s="5">
        <f>SUMIFS(Sheet1!S71_AdjustmentAmount,Sheet1!S71_SubMunicipalVoteNo,$AC:$AC,Sheet1!S71_A5CapexCode,$AD:$AD)</f>
        <v>0</v>
      </c>
    </row>
    <row r="314" spans="9:9" x14ac:dyDescent="0.25">
      <c r="I314" s="5">
        <f>SUMIFS(Sheet1!S71_AdjustmentAmount,Sheet1!S71_SubMunicipalVoteNo,$AC:$AC,Sheet1!S71_A5CapexCode,$AD:$AD)</f>
        <v>0</v>
      </c>
    </row>
    <row r="315" spans="9:9" x14ac:dyDescent="0.25">
      <c r="I315" s="5">
        <f>SUMIFS(Sheet1!S71_AdjustmentAmount,Sheet1!S71_SubMunicipalVoteNo,$AC:$AC,Sheet1!S71_A5CapexCode,$AD:$AD)</f>
        <v>0</v>
      </c>
    </row>
    <row r="316" spans="9:9" x14ac:dyDescent="0.25">
      <c r="I316" s="5">
        <f>SUMIFS(Sheet1!S71_AdjustmentAmount,Sheet1!S71_SubMunicipalVoteNo,$AC:$AC,Sheet1!S71_A5CapexCode,$AD:$AD)</f>
        <v>0</v>
      </c>
    </row>
    <row r="317" spans="9:9" x14ac:dyDescent="0.25">
      <c r="I317" s="5">
        <f>SUMIFS(Sheet1!S71_AdjustmentAmount,Sheet1!S71_SubMunicipalVoteNo,$AC:$AC,Sheet1!S71_A5CapexCode,$AD:$AD)</f>
        <v>0</v>
      </c>
    </row>
    <row r="318" spans="9:9" x14ac:dyDescent="0.25">
      <c r="I318" s="5">
        <f>SUMIFS(Sheet1!S71_AdjustmentAmount,Sheet1!S71_SubMunicipalVoteNo,$AC:$AC,Sheet1!S71_A5CapexCode,$AD:$AD)</f>
        <v>0</v>
      </c>
    </row>
    <row r="319" spans="9:9" x14ac:dyDescent="0.25">
      <c r="I319" s="5">
        <f>SUMIFS(Sheet1!S71_AdjustmentAmount,Sheet1!S71_SubMunicipalVoteNo,$AC:$AC,Sheet1!S71_A5CapexCode,$AD:$AD)</f>
        <v>0</v>
      </c>
    </row>
    <row r="320" spans="9:9" x14ac:dyDescent="0.25">
      <c r="I320" s="5">
        <f>SUMIFS(Sheet1!S71_AdjustmentAmount,Sheet1!S71_SubMunicipalVoteNo,$AC:$AC,Sheet1!S71_ItemType,$AD:$AD)</f>
        <v>0</v>
      </c>
    </row>
    <row r="321" spans="9:9" x14ac:dyDescent="0.25">
      <c r="I321" s="5">
        <f>SUMIFS(Sheet1!S71_AdjustmentAmount,Sheet1!S71_SubMunicipalVoteNo,$AC:$AC,Sheet1!S71_A5CapexCode,$AD:$AD)</f>
        <v>0</v>
      </c>
    </row>
    <row r="322" spans="9:9" x14ac:dyDescent="0.25">
      <c r="I322" s="5">
        <f>SUMIFS(Sheet1!S71_AdjustmentAmount,Sheet1!S71_SubMunicipalVoteNo,$AC:$AC,Sheet1!S71_A5CapexCode,$AD:$AD)</f>
        <v>0</v>
      </c>
    </row>
    <row r="323" spans="9:9" x14ac:dyDescent="0.25">
      <c r="I323" s="5">
        <f>SUMIFS(Sheet1!S71_AdjustmentAmount,Sheet1!S71_SubMunicipalVoteNo,$AC:$AC,Sheet1!S71_A5CapexCode,$AD:$AD)</f>
        <v>0</v>
      </c>
    </row>
    <row r="324" spans="9:9" x14ac:dyDescent="0.25">
      <c r="I324" s="5">
        <f>SUMIFS(Sheet1!S71_AdjustmentAmount,Sheet1!S71_SubMunicipalVoteNo,$AC:$AC,Sheet1!S71_A5CapexCode,$AD:$AD)</f>
        <v>0</v>
      </c>
    </row>
    <row r="325" spans="9:9" x14ac:dyDescent="0.25">
      <c r="I325" s="5">
        <f>SUMIFS(Sheet1!S71_AdjustmentAmount,Sheet1!S71_SubMunicipalVoteNo,$AC:$AC,Sheet1!S71_A5CapexCode,$AD:$AD)</f>
        <v>0</v>
      </c>
    </row>
    <row r="326" spans="9:9" x14ac:dyDescent="0.25">
      <c r="I326" s="5">
        <f>SUMIFS(Sheet1!S71_AdjustmentAmount,Sheet1!S71_SubMunicipalVoteNo,$AC:$AC,Sheet1!S71_A5CapexCode,$AD:$AD)</f>
        <v>0</v>
      </c>
    </row>
    <row r="327" spans="9:9" x14ac:dyDescent="0.25">
      <c r="I327" s="5">
        <f>SUMIFS(Sheet1!S71_AdjustmentAmount,Sheet1!S71_SubMunicipalVoteNo,$AC:$AC,Sheet1!S71_A5CapexCode,$AD:$AD)</f>
        <v>0</v>
      </c>
    </row>
    <row r="328" spans="9:9" x14ac:dyDescent="0.25">
      <c r="I328" s="5">
        <f>SUMIFS(Sheet1!S71_AdjustmentAmount,Sheet1!S71_SubMunicipalVoteNo,$AC:$AC,Sheet1!S71_A5CapexCode,$AD:$AD)</f>
        <v>0</v>
      </c>
    </row>
    <row r="329" spans="9:9" x14ac:dyDescent="0.25">
      <c r="I329" s="5">
        <f>SUMIFS(Sheet1!S71_AdjustmentAmount,Sheet1!S71_SubMunicipalVoteNo,$AC:$AC,Sheet1!S71_A5CapexCode,$AD:$AD)</f>
        <v>0</v>
      </c>
    </row>
    <row r="330" spans="9:9" x14ac:dyDescent="0.25">
      <c r="I330" s="5">
        <f>SUMIFS(Sheet1!S71_AdjustmentAmount,Sheet1!S71_SubMunicipalVoteNo,$AC:$AC,Sheet1!S71_A5CapexCode,$AD:$AD)</f>
        <v>0</v>
      </c>
    </row>
    <row r="331" spans="9:9" x14ac:dyDescent="0.25">
      <c r="I331" s="5">
        <f>SUMIFS(Sheet1!S71_AdjustmentAmount,Sheet1!S71_SubMunicipalVoteNo,$AC:$AC,Sheet1!S71_ItemType,$AD:$AD)</f>
        <v>0</v>
      </c>
    </row>
    <row r="332" spans="9:9" x14ac:dyDescent="0.25">
      <c r="I332" s="5">
        <f>SUMIFS(Sheet1!S71_AdjustmentAmount,Sheet1!S71_SubMunicipalVoteNo,$AC:$AC,Sheet1!S71_A5CapexCode,$AD:$AD)</f>
        <v>0</v>
      </c>
    </row>
    <row r="333" spans="9:9" x14ac:dyDescent="0.25">
      <c r="I333" s="5">
        <f>SUMIFS(Sheet1!S71_AdjustmentAmount,Sheet1!S71_SubMunicipalVoteNo,$AC:$AC,Sheet1!S71_A5CapexCode,$AD:$AD)</f>
        <v>0</v>
      </c>
    </row>
    <row r="334" spans="9:9" x14ac:dyDescent="0.25">
      <c r="I334" s="5">
        <f>SUMIFS(Sheet1!S71_AdjustmentAmount,Sheet1!S71_SubMunicipalVoteNo,$AC:$AC,Sheet1!S71_A5CapexCode,$AD:$AD)</f>
        <v>0</v>
      </c>
    </row>
    <row r="335" spans="9:9" x14ac:dyDescent="0.25">
      <c r="I335" s="5">
        <f>SUMIFS(Sheet1!S71_AdjustmentAmount,Sheet1!S71_SubMunicipalVoteNo,$AC:$AC,Sheet1!S71_A5CapexCode,$AD:$AD)</f>
        <v>0</v>
      </c>
    </row>
    <row r="336" spans="9:9" x14ac:dyDescent="0.25">
      <c r="I336" s="5">
        <f>SUMIFS(Sheet1!S71_AdjustmentAmount,Sheet1!S71_SubMunicipalVoteNo,$AC:$AC,Sheet1!S71_A5CapexCode,$AD:$AD)</f>
        <v>0</v>
      </c>
    </row>
    <row r="337" spans="9:9" x14ac:dyDescent="0.25">
      <c r="I337" s="5">
        <f>SUMIFS(Sheet1!S71_AdjustmentAmount,Sheet1!S71_SubMunicipalVoteNo,$AC:$AC,Sheet1!S71_A5CapexCode,$AD:$AD)</f>
        <v>0</v>
      </c>
    </row>
    <row r="338" spans="9:9" x14ac:dyDescent="0.25">
      <c r="I338" s="5">
        <f>SUMIFS(Sheet1!S71_AdjustmentAmount,Sheet1!S71_SubMunicipalVoteNo,$AC:$AC,Sheet1!S71_A5CapexCode,$AD:$AD)</f>
        <v>0</v>
      </c>
    </row>
    <row r="339" spans="9:9" x14ac:dyDescent="0.25">
      <c r="I339" s="5">
        <f>SUMIFS(Sheet1!S71_AdjustmentAmount,Sheet1!S71_SubMunicipalVoteNo,$AC:$AC,Sheet1!S71_A5CapexCode,$AD:$AD)</f>
        <v>0</v>
      </c>
    </row>
    <row r="340" spans="9:9" x14ac:dyDescent="0.25">
      <c r="I340" s="5">
        <f>SUMIFS(Sheet1!S71_AdjustmentAmount,Sheet1!S71_SubMunicipalVoteNo,$AC:$AC,Sheet1!S71_A5CapexCode,$AD:$AD)</f>
        <v>0</v>
      </c>
    </row>
    <row r="341" spans="9:9" x14ac:dyDescent="0.25">
      <c r="I341" s="5">
        <f>SUMIFS(Sheet1!S71_AdjustmentAmount,Sheet1!S71_SubMunicipalVoteNo,$AC:$AC,Sheet1!S71_A5CapexCode,$AD:$AD)</f>
        <v>0</v>
      </c>
    </row>
  </sheetData>
  <mergeCells count="10">
    <mergeCell ref="C2:K2"/>
    <mergeCell ref="B2:B4"/>
    <mergeCell ref="A60:M60"/>
    <mergeCell ref="A61:M61"/>
    <mergeCell ref="A53:M53"/>
    <mergeCell ref="A54:M54"/>
    <mergeCell ref="A55:M55"/>
    <mergeCell ref="A56:M56"/>
    <mergeCell ref="A58:M58"/>
    <mergeCell ref="A2:A4"/>
  </mergeCells>
  <phoneticPr fontId="4"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5:K45 J43 K44 J47:K47 K46 K4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5">
    <tabColor indexed="44"/>
    <pageSetUpPr fitToPage="1"/>
  </sheetPr>
  <dimension ref="A1:AD126"/>
  <sheetViews>
    <sheetView showGridLines="0" zoomScaleNormal="100" workbookViewId="0">
      <pane xSplit="2" ySplit="5" topLeftCell="C24" activePane="bottomRight" state="frozen"/>
      <selection activeCell="C6" sqref="C6"/>
      <selection pane="topRight" activeCell="C6" sqref="C6"/>
      <selection pane="bottomLeft" activeCell="C6" sqref="C6"/>
      <selection pane="bottomRight" activeCell="K41" sqref="K41"/>
    </sheetView>
  </sheetViews>
  <sheetFormatPr defaultColWidth="9.140625" defaultRowHeight="12.75" x14ac:dyDescent="0.25"/>
  <cols>
    <col min="1" max="1" width="35.140625" style="5" customWidth="1"/>
    <col min="2" max="2" width="3.140625" style="58" customWidth="1"/>
    <col min="3" max="14" width="8.5703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27" width="9.140625" style="5" customWidth="1"/>
    <col min="28" max="28" width="9.140625" style="5"/>
    <col min="29" max="30" width="9.140625" style="1336" customWidth="1"/>
    <col min="31" max="16384" width="9.140625" style="5"/>
  </cols>
  <sheetData>
    <row r="1" spans="1:14" ht="13.5" x14ac:dyDescent="0.25">
      <c r="A1" s="57" t="str">
        <f>muni&amp;" - "&amp;_ADJ5&amp;" - "&amp;Date</f>
        <v xml:space="preserve">KZN226 Mkhambathini - Table B5 Adjustments Capital Expenditure Budget by vote and funding - </v>
      </c>
      <c r="B1" s="5"/>
      <c r="C1" s="58"/>
    </row>
    <row r="2" spans="1:14" ht="38.25" x14ac:dyDescent="0.25">
      <c r="A2" s="1423" t="str">
        <f>desc</f>
        <v>Description</v>
      </c>
      <c r="B2" s="1420" t="str">
        <f>head27</f>
        <v>Ref</v>
      </c>
      <c r="C2" s="1417" t="str">
        <f>Head2</f>
        <v>Budget Year 2020/21</v>
      </c>
      <c r="D2" s="1418"/>
      <c r="E2" s="1418"/>
      <c r="F2" s="1418"/>
      <c r="G2" s="1418"/>
      <c r="H2" s="1418"/>
      <c r="I2" s="1418"/>
      <c r="J2" s="1418"/>
      <c r="K2" s="1418"/>
      <c r="L2" s="103" t="str">
        <f>Head10</f>
        <v>Budget Year +1 2021/22</v>
      </c>
      <c r="M2" s="61" t="str">
        <f>Head11</f>
        <v>Budget Year +2 2022/23</v>
      </c>
    </row>
    <row r="3" spans="1:14" ht="25.5" x14ac:dyDescent="0.25">
      <c r="A3" s="1424"/>
      <c r="B3" s="14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605</v>
      </c>
      <c r="B5" s="104"/>
      <c r="C5" s="67" t="s">
        <v>549</v>
      </c>
      <c r="D5" s="68" t="s">
        <v>550</v>
      </c>
      <c r="E5" s="68" t="s">
        <v>551</v>
      </c>
      <c r="F5" s="69" t="s">
        <v>552</v>
      </c>
      <c r="G5" s="69" t="s">
        <v>553</v>
      </c>
      <c r="H5" s="69" t="s">
        <v>554</v>
      </c>
      <c r="I5" s="70" t="s">
        <v>555</v>
      </c>
      <c r="J5" s="70" t="s">
        <v>556</v>
      </c>
      <c r="K5" s="70" t="s">
        <v>557</v>
      </c>
      <c r="L5" s="70"/>
      <c r="M5" s="71"/>
    </row>
    <row r="6" spans="1:14" ht="12.75" customHeight="1" x14ac:dyDescent="0.25">
      <c r="A6" s="52" t="s">
        <v>664</v>
      </c>
      <c r="B6" s="73"/>
      <c r="C6" s="74"/>
      <c r="D6" s="75"/>
      <c r="E6" s="75"/>
      <c r="F6" s="75"/>
      <c r="G6" s="75"/>
      <c r="H6" s="75"/>
      <c r="I6" s="75"/>
      <c r="J6" s="75"/>
      <c r="K6" s="75"/>
      <c r="L6" s="75"/>
      <c r="M6" s="76"/>
    </row>
    <row r="7" spans="1:14" ht="12.75" customHeight="1" x14ac:dyDescent="0.25">
      <c r="A7" s="124" t="s">
        <v>1135</v>
      </c>
      <c r="B7" s="73">
        <v>2</v>
      </c>
      <c r="C7" s="74"/>
      <c r="D7" s="169"/>
      <c r="E7" s="169"/>
      <c r="F7" s="169"/>
      <c r="G7" s="169"/>
      <c r="H7" s="169"/>
      <c r="I7" s="169"/>
      <c r="J7" s="169"/>
      <c r="K7" s="169"/>
      <c r="L7" s="169"/>
      <c r="M7" s="233"/>
      <c r="N7" s="126"/>
    </row>
    <row r="8" spans="1:14" ht="12.75" customHeight="1" x14ac:dyDescent="0.25">
      <c r="A8" s="921" t="str">
        <f>B5B!A8</f>
        <v>Vote 1 - Finance and Administration</v>
      </c>
      <c r="B8" s="73"/>
      <c r="C8" s="774">
        <f>B5B!C8</f>
        <v>0</v>
      </c>
      <c r="D8" s="169">
        <f>B5B!D8</f>
        <v>0</v>
      </c>
      <c r="E8" s="169">
        <f>B5B!E8</f>
        <v>0</v>
      </c>
      <c r="F8" s="169">
        <f>B5B!F8</f>
        <v>0</v>
      </c>
      <c r="G8" s="169">
        <f>B5B!G8</f>
        <v>0</v>
      </c>
      <c r="H8" s="169">
        <f>B5B!H8</f>
        <v>0</v>
      </c>
      <c r="I8" s="169">
        <f>B5B!I8</f>
        <v>0</v>
      </c>
      <c r="J8" s="169">
        <f t="shared" ref="J8:J22" si="0">SUM(E8:I8)</f>
        <v>0</v>
      </c>
      <c r="K8" s="169">
        <f t="shared" ref="K8:K22" si="1">IF(D8=0,C8+J8,D8+J8)</f>
        <v>0</v>
      </c>
      <c r="L8" s="169">
        <f>B5B!L8</f>
        <v>0</v>
      </c>
      <c r="M8" s="233">
        <f>B5B!M8</f>
        <v>0</v>
      </c>
      <c r="N8" s="840"/>
    </row>
    <row r="9" spans="1:14" ht="12.75" customHeight="1" x14ac:dyDescent="0.25">
      <c r="A9" s="921" t="str">
        <f>B5B!A19</f>
        <v>Vote 2 - Finance and Administration2</v>
      </c>
      <c r="B9" s="73"/>
      <c r="C9" s="774">
        <f>B5B!C19</f>
        <v>0</v>
      </c>
      <c r="D9" s="169">
        <f>B5B!D19</f>
        <v>0</v>
      </c>
      <c r="E9" s="169">
        <f>B5B!E19</f>
        <v>0</v>
      </c>
      <c r="F9" s="169">
        <f>B5B!F19</f>
        <v>0</v>
      </c>
      <c r="G9" s="169">
        <f>B5B!G19</f>
        <v>0</v>
      </c>
      <c r="H9" s="169">
        <f>B5B!H19</f>
        <v>0</v>
      </c>
      <c r="I9" s="169">
        <f>B5B!I19</f>
        <v>0</v>
      </c>
      <c r="J9" s="169">
        <f t="shared" si="0"/>
        <v>0</v>
      </c>
      <c r="K9" s="169">
        <f t="shared" si="1"/>
        <v>0</v>
      </c>
      <c r="L9" s="169">
        <f>B5B!L19</f>
        <v>0</v>
      </c>
      <c r="M9" s="233">
        <f>B5B!M19</f>
        <v>0</v>
      </c>
      <c r="N9" s="840"/>
    </row>
    <row r="10" spans="1:14" ht="12.75" customHeight="1" x14ac:dyDescent="0.25">
      <c r="A10" s="921" t="str">
        <f>B5B!A30</f>
        <v>Vote 3 - Executive and Council</v>
      </c>
      <c r="B10" s="73"/>
      <c r="C10" s="774">
        <f>B5B!C30</f>
        <v>0</v>
      </c>
      <c r="D10" s="169">
        <f>B5B!D30</f>
        <v>0</v>
      </c>
      <c r="E10" s="169">
        <f>B5B!E30</f>
        <v>0</v>
      </c>
      <c r="F10" s="169">
        <f>B5B!F30</f>
        <v>0</v>
      </c>
      <c r="G10" s="169">
        <f>B5B!G30</f>
        <v>0</v>
      </c>
      <c r="H10" s="169">
        <f>B5B!H30</f>
        <v>0</v>
      </c>
      <c r="I10" s="169">
        <f>B5B!I30</f>
        <v>0</v>
      </c>
      <c r="J10" s="169">
        <f t="shared" si="0"/>
        <v>0</v>
      </c>
      <c r="K10" s="169">
        <f t="shared" si="1"/>
        <v>0</v>
      </c>
      <c r="L10" s="169">
        <f>B5B!L30</f>
        <v>0</v>
      </c>
      <c r="M10" s="233">
        <f>B5B!M30</f>
        <v>0</v>
      </c>
      <c r="N10" s="838"/>
    </row>
    <row r="11" spans="1:14" ht="12.75" customHeight="1" x14ac:dyDescent="0.25">
      <c r="A11" s="921" t="str">
        <f>B5B!A41</f>
        <v>Vote 4 - Community and Social Services</v>
      </c>
      <c r="B11" s="73"/>
      <c r="C11" s="774">
        <f>B5B!C41</f>
        <v>0</v>
      </c>
      <c r="D11" s="169">
        <f>B5B!D41</f>
        <v>0</v>
      </c>
      <c r="E11" s="169">
        <f>B5B!E41</f>
        <v>0</v>
      </c>
      <c r="F11" s="169">
        <f>B5B!F41</f>
        <v>0</v>
      </c>
      <c r="G11" s="169">
        <f>B5B!G41</f>
        <v>0</v>
      </c>
      <c r="H11" s="169">
        <f>B5B!H41</f>
        <v>0</v>
      </c>
      <c r="I11" s="169">
        <f>B5B!I41</f>
        <v>0</v>
      </c>
      <c r="J11" s="169">
        <f t="shared" si="0"/>
        <v>0</v>
      </c>
      <c r="K11" s="169">
        <f t="shared" si="1"/>
        <v>0</v>
      </c>
      <c r="L11" s="169">
        <f>B5B!L41</f>
        <v>0</v>
      </c>
      <c r="M11" s="233">
        <f>B5B!M41</f>
        <v>0</v>
      </c>
      <c r="N11" s="838"/>
    </row>
    <row r="12" spans="1:14" ht="12.75" customHeight="1" x14ac:dyDescent="0.25">
      <c r="A12" s="921" t="str">
        <f>B5B!A52</f>
        <v>Vote 5 - Community and Social Services2</v>
      </c>
      <c r="B12" s="73"/>
      <c r="C12" s="774">
        <f>B5B!C52</f>
        <v>0</v>
      </c>
      <c r="D12" s="169">
        <f>B5B!D52</f>
        <v>0</v>
      </c>
      <c r="E12" s="169">
        <f>B5B!E52</f>
        <v>0</v>
      </c>
      <c r="F12" s="169">
        <f>B5B!F52</f>
        <v>0</v>
      </c>
      <c r="G12" s="169">
        <f>B5B!G52</f>
        <v>0</v>
      </c>
      <c r="H12" s="169">
        <f>B5B!H52</f>
        <v>0</v>
      </c>
      <c r="I12" s="169">
        <f>B5B!I52</f>
        <v>0</v>
      </c>
      <c r="J12" s="169">
        <f t="shared" si="0"/>
        <v>0</v>
      </c>
      <c r="K12" s="169">
        <f t="shared" si="1"/>
        <v>0</v>
      </c>
      <c r="L12" s="169">
        <f>B5B!L52</f>
        <v>0</v>
      </c>
      <c r="M12" s="233">
        <f>B5B!M52</f>
        <v>0</v>
      </c>
      <c r="N12" s="838"/>
    </row>
    <row r="13" spans="1:14" ht="12.75" customHeight="1" x14ac:dyDescent="0.25">
      <c r="A13" s="921" t="str">
        <f>B5B!A63</f>
        <v>Vote 6 - Energy Sources</v>
      </c>
      <c r="B13" s="73"/>
      <c r="C13" s="774">
        <f>B5B!C63</f>
        <v>0</v>
      </c>
      <c r="D13" s="169">
        <f>B5B!D63</f>
        <v>0</v>
      </c>
      <c r="E13" s="169">
        <f>B5B!E63</f>
        <v>0</v>
      </c>
      <c r="F13" s="169">
        <f>B5B!F63</f>
        <v>0</v>
      </c>
      <c r="G13" s="169">
        <f>B5B!G63</f>
        <v>0</v>
      </c>
      <c r="H13" s="169">
        <f>B5B!H63</f>
        <v>0</v>
      </c>
      <c r="I13" s="169">
        <f>B5B!I63</f>
        <v>0</v>
      </c>
      <c r="J13" s="169">
        <f t="shared" si="0"/>
        <v>0</v>
      </c>
      <c r="K13" s="169">
        <f t="shared" si="1"/>
        <v>0</v>
      </c>
      <c r="L13" s="169">
        <f>B5B!L63</f>
        <v>0</v>
      </c>
      <c r="M13" s="233">
        <f>B5B!M63</f>
        <v>0</v>
      </c>
      <c r="N13" s="838"/>
    </row>
    <row r="14" spans="1:14" ht="12.75" customHeight="1" x14ac:dyDescent="0.25">
      <c r="A14" s="921" t="str">
        <f>B5B!A74</f>
        <v>Vote 7 - Road Transport</v>
      </c>
      <c r="B14" s="73"/>
      <c r="C14" s="774">
        <f>B5B!C74</f>
        <v>0</v>
      </c>
      <c r="D14" s="169">
        <f>B5B!D74</f>
        <v>0</v>
      </c>
      <c r="E14" s="169">
        <f>B5B!E74</f>
        <v>0</v>
      </c>
      <c r="F14" s="169">
        <f>B5B!F74</f>
        <v>0</v>
      </c>
      <c r="G14" s="169">
        <f>B5B!G74</f>
        <v>0</v>
      </c>
      <c r="H14" s="169">
        <f>B5B!H74</f>
        <v>0</v>
      </c>
      <c r="I14" s="169">
        <f>B5B!I74</f>
        <v>0</v>
      </c>
      <c r="J14" s="169">
        <f t="shared" si="0"/>
        <v>0</v>
      </c>
      <c r="K14" s="169">
        <f t="shared" si="1"/>
        <v>0</v>
      </c>
      <c r="L14" s="169">
        <f>B5B!L74</f>
        <v>0</v>
      </c>
      <c r="M14" s="233">
        <f>B5B!M74</f>
        <v>0</v>
      </c>
      <c r="N14" s="838"/>
    </row>
    <row r="15" spans="1:14" ht="12.75" customHeight="1" x14ac:dyDescent="0.25">
      <c r="A15" s="921" t="str">
        <f>B5B!A85</f>
        <v>Vote 8 - Planning and Development</v>
      </c>
      <c r="B15" s="73"/>
      <c r="C15" s="774">
        <f>B5B!C85</f>
        <v>0</v>
      </c>
      <c r="D15" s="169">
        <f>B5B!D85</f>
        <v>0</v>
      </c>
      <c r="E15" s="169">
        <f>B5B!E85</f>
        <v>0</v>
      </c>
      <c r="F15" s="169">
        <f>B5B!F85</f>
        <v>0</v>
      </c>
      <c r="G15" s="169">
        <f>B5B!G85</f>
        <v>0</v>
      </c>
      <c r="H15" s="169">
        <f>B5B!H85</f>
        <v>0</v>
      </c>
      <c r="I15" s="169">
        <f>B5B!I85</f>
        <v>0</v>
      </c>
      <c r="J15" s="169">
        <f t="shared" si="0"/>
        <v>0</v>
      </c>
      <c r="K15" s="169">
        <f t="shared" si="1"/>
        <v>0</v>
      </c>
      <c r="L15" s="169">
        <f>B5B!L85</f>
        <v>0</v>
      </c>
      <c r="M15" s="233">
        <f>B5B!M85</f>
        <v>0</v>
      </c>
      <c r="N15" s="838"/>
    </row>
    <row r="16" spans="1:14" ht="12.75" customHeight="1" x14ac:dyDescent="0.25">
      <c r="A16" s="921" t="str">
        <f>B5B!A96</f>
        <v>Vote 9 - Sport and Recreation</v>
      </c>
      <c r="B16" s="73"/>
      <c r="C16" s="774">
        <f>B5B!C96</f>
        <v>0</v>
      </c>
      <c r="D16" s="169">
        <f>B5B!D96</f>
        <v>0</v>
      </c>
      <c r="E16" s="169">
        <f>B5B!E96</f>
        <v>0</v>
      </c>
      <c r="F16" s="169">
        <f>B5B!F96</f>
        <v>0</v>
      </c>
      <c r="G16" s="169">
        <f>B5B!G96</f>
        <v>0</v>
      </c>
      <c r="H16" s="169">
        <f>B5B!H96</f>
        <v>0</v>
      </c>
      <c r="I16" s="169">
        <f>B5B!I96</f>
        <v>0</v>
      </c>
      <c r="J16" s="169">
        <f t="shared" si="0"/>
        <v>0</v>
      </c>
      <c r="K16" s="169">
        <f t="shared" si="1"/>
        <v>0</v>
      </c>
      <c r="L16" s="169">
        <f>B5B!L96</f>
        <v>0</v>
      </c>
      <c r="M16" s="233">
        <f>B5B!M96</f>
        <v>0</v>
      </c>
      <c r="N16" s="838"/>
    </row>
    <row r="17" spans="1:14" ht="12.75" customHeight="1" x14ac:dyDescent="0.25">
      <c r="A17" s="921" t="str">
        <f>B5B!A107</f>
        <v>Vote 10 - Public Safety</v>
      </c>
      <c r="B17" s="73"/>
      <c r="C17" s="774">
        <f>B5B!C107</f>
        <v>0</v>
      </c>
      <c r="D17" s="169">
        <f>B5B!D107</f>
        <v>0</v>
      </c>
      <c r="E17" s="169">
        <f>B5B!E107</f>
        <v>0</v>
      </c>
      <c r="F17" s="169">
        <f>B5B!F107</f>
        <v>0</v>
      </c>
      <c r="G17" s="169">
        <f>B5B!G107</f>
        <v>0</v>
      </c>
      <c r="H17" s="169">
        <f>B5B!H107</f>
        <v>0</v>
      </c>
      <c r="I17" s="169">
        <f>B5B!I107</f>
        <v>0</v>
      </c>
      <c r="J17" s="169">
        <f t="shared" si="0"/>
        <v>0</v>
      </c>
      <c r="K17" s="169">
        <f t="shared" si="1"/>
        <v>0</v>
      </c>
      <c r="L17" s="169">
        <f>B5B!L107</f>
        <v>0</v>
      </c>
      <c r="M17" s="233">
        <f>B5B!M107</f>
        <v>0</v>
      </c>
      <c r="N17" s="838"/>
    </row>
    <row r="18" spans="1:14" ht="12.75" customHeight="1" x14ac:dyDescent="0.25">
      <c r="A18" s="921" t="str">
        <f>B5B!A118</f>
        <v>Vote 11 - Other</v>
      </c>
      <c r="B18" s="73"/>
      <c r="C18" s="774">
        <f>B5B!C118</f>
        <v>0</v>
      </c>
      <c r="D18" s="169">
        <f>B5B!D118</f>
        <v>0</v>
      </c>
      <c r="E18" s="169">
        <f>B5B!E118</f>
        <v>0</v>
      </c>
      <c r="F18" s="169">
        <f>B5B!F118</f>
        <v>0</v>
      </c>
      <c r="G18" s="169">
        <f>B5B!G118</f>
        <v>0</v>
      </c>
      <c r="H18" s="169">
        <f>B5B!H118</f>
        <v>0</v>
      </c>
      <c r="I18" s="169">
        <f>B5B!I118</f>
        <v>0</v>
      </c>
      <c r="J18" s="169">
        <f t="shared" si="0"/>
        <v>0</v>
      </c>
      <c r="K18" s="169">
        <f t="shared" si="1"/>
        <v>0</v>
      </c>
      <c r="L18" s="169">
        <f>B5B!L118</f>
        <v>0</v>
      </c>
      <c r="M18" s="233">
        <f>B5B!M118</f>
        <v>0</v>
      </c>
      <c r="N18" s="838"/>
    </row>
    <row r="19" spans="1:14" ht="12.75" customHeight="1" x14ac:dyDescent="0.25">
      <c r="A19" s="921" t="str">
        <f>B5B!A129</f>
        <v>Vote 12 - Waste Management</v>
      </c>
      <c r="B19" s="73"/>
      <c r="C19" s="774">
        <f>B5B!C129</f>
        <v>0</v>
      </c>
      <c r="D19" s="169">
        <f>B5B!D129</f>
        <v>0</v>
      </c>
      <c r="E19" s="169">
        <f>B5B!E129</f>
        <v>0</v>
      </c>
      <c r="F19" s="169">
        <f>B5B!F129</f>
        <v>0</v>
      </c>
      <c r="G19" s="169">
        <f>B5B!G129</f>
        <v>0</v>
      </c>
      <c r="H19" s="169">
        <f>B5B!H129</f>
        <v>0</v>
      </c>
      <c r="I19" s="169">
        <f>B5B!I129</f>
        <v>0</v>
      </c>
      <c r="J19" s="169">
        <f t="shared" si="0"/>
        <v>0</v>
      </c>
      <c r="K19" s="169">
        <f t="shared" si="1"/>
        <v>0</v>
      </c>
      <c r="L19" s="169">
        <f>B5B!L129</f>
        <v>0</v>
      </c>
      <c r="M19" s="233">
        <f>B5B!M129</f>
        <v>0</v>
      </c>
      <c r="N19" s="838"/>
    </row>
    <row r="20" spans="1:14" ht="12.75" customHeight="1" x14ac:dyDescent="0.25">
      <c r="A20" s="921" t="str">
        <f>B5B!A140</f>
        <v>Vote 13 - Housing</v>
      </c>
      <c r="B20" s="73"/>
      <c r="C20" s="774">
        <f>B5B!C140</f>
        <v>0</v>
      </c>
      <c r="D20" s="169">
        <f>B5B!D140</f>
        <v>0</v>
      </c>
      <c r="E20" s="169">
        <f>B5B!E140</f>
        <v>0</v>
      </c>
      <c r="F20" s="169">
        <f>B5B!F140</f>
        <v>0</v>
      </c>
      <c r="G20" s="169">
        <f>B5B!G140</f>
        <v>0</v>
      </c>
      <c r="H20" s="169">
        <f>B5B!H140</f>
        <v>0</v>
      </c>
      <c r="I20" s="169">
        <f>B5B!I140</f>
        <v>0</v>
      </c>
      <c r="J20" s="169">
        <f t="shared" si="0"/>
        <v>0</v>
      </c>
      <c r="K20" s="169">
        <f t="shared" si="1"/>
        <v>0</v>
      </c>
      <c r="L20" s="169">
        <f>B5B!L140</f>
        <v>0</v>
      </c>
      <c r="M20" s="233">
        <f>B5B!M140</f>
        <v>0</v>
      </c>
      <c r="N20" s="838"/>
    </row>
    <row r="21" spans="1:14" ht="12.75" customHeight="1" x14ac:dyDescent="0.25">
      <c r="A21" s="921" t="str">
        <f>B5B!A151</f>
        <v>Vote 14 - Waste Water Management</v>
      </c>
      <c r="B21" s="73"/>
      <c r="C21" s="774">
        <f>B5B!C151</f>
        <v>0</v>
      </c>
      <c r="D21" s="169">
        <f>B5B!D151</f>
        <v>0</v>
      </c>
      <c r="E21" s="169">
        <f>B5B!E151</f>
        <v>0</v>
      </c>
      <c r="F21" s="169">
        <f>B5B!F151</f>
        <v>0</v>
      </c>
      <c r="G21" s="169">
        <f>B5B!G151</f>
        <v>0</v>
      </c>
      <c r="H21" s="169">
        <f>B5B!H151</f>
        <v>0</v>
      </c>
      <c r="I21" s="169">
        <f>B5B!I151</f>
        <v>0</v>
      </c>
      <c r="J21" s="169">
        <f t="shared" si="0"/>
        <v>0</v>
      </c>
      <c r="K21" s="169">
        <f t="shared" si="1"/>
        <v>0</v>
      </c>
      <c r="L21" s="169">
        <f>B5B!L151</f>
        <v>0</v>
      </c>
      <c r="M21" s="233">
        <f>B5B!M151</f>
        <v>0</v>
      </c>
      <c r="N21" s="838"/>
    </row>
    <row r="22" spans="1:14" ht="12.75" customHeight="1" x14ac:dyDescent="0.25">
      <c r="A22" s="921" t="str">
        <f>B5B!A162</f>
        <v>Vote 15 - Health</v>
      </c>
      <c r="B22" s="73"/>
      <c r="C22" s="774">
        <f>B5B!C162</f>
        <v>0</v>
      </c>
      <c r="D22" s="169">
        <f>B5B!D162</f>
        <v>0</v>
      </c>
      <c r="E22" s="169">
        <f>B5B!E162</f>
        <v>0</v>
      </c>
      <c r="F22" s="169">
        <f>B5B!F162</f>
        <v>0</v>
      </c>
      <c r="G22" s="169">
        <f>B5B!G162</f>
        <v>0</v>
      </c>
      <c r="H22" s="169">
        <f>B5B!H162</f>
        <v>0</v>
      </c>
      <c r="I22" s="169">
        <f>B5B!I162</f>
        <v>0</v>
      </c>
      <c r="J22" s="169">
        <f t="shared" si="0"/>
        <v>0</v>
      </c>
      <c r="K22" s="169">
        <f t="shared" si="1"/>
        <v>0</v>
      </c>
      <c r="L22" s="169">
        <f>B5B!L162</f>
        <v>0</v>
      </c>
      <c r="M22" s="233">
        <f>B5B!M162</f>
        <v>0</v>
      </c>
      <c r="N22" s="838"/>
    </row>
    <row r="23" spans="1:14" ht="12.75" customHeight="1" x14ac:dyDescent="0.25">
      <c r="A23" s="749" t="s">
        <v>665</v>
      </c>
      <c r="B23" s="73">
        <v>3</v>
      </c>
      <c r="C23" s="775">
        <f>SUM(C8:C22)</f>
        <v>0</v>
      </c>
      <c r="D23" s="570">
        <f t="shared" ref="D23:I23" si="2">SUM(D8:D22)</f>
        <v>0</v>
      </c>
      <c r="E23" s="570">
        <f t="shared" si="2"/>
        <v>0</v>
      </c>
      <c r="F23" s="570">
        <f t="shared" si="2"/>
        <v>0</v>
      </c>
      <c r="G23" s="570">
        <f t="shared" si="2"/>
        <v>0</v>
      </c>
      <c r="H23" s="570">
        <f t="shared" si="2"/>
        <v>0</v>
      </c>
      <c r="I23" s="570">
        <f t="shared" si="2"/>
        <v>0</v>
      </c>
      <c r="J23" s="570">
        <f>SUM(J8:J22)</f>
        <v>0</v>
      </c>
      <c r="K23" s="570">
        <f>SUM(K8:K22)</f>
        <v>0</v>
      </c>
      <c r="L23" s="570">
        <f>SUM(L8:L22)</f>
        <v>0</v>
      </c>
      <c r="M23" s="712">
        <f>SUM(M8:M22)</f>
        <v>0</v>
      </c>
      <c r="N23" s="543"/>
    </row>
    <row r="24" spans="1:14" ht="5.0999999999999996" customHeight="1" x14ac:dyDescent="0.25">
      <c r="A24" s="134"/>
      <c r="B24" s="73"/>
      <c r="C24" s="75"/>
      <c r="D24" s="169"/>
      <c r="E24" s="169"/>
      <c r="F24" s="169"/>
      <c r="G24" s="169"/>
      <c r="H24" s="169"/>
      <c r="I24" s="169"/>
      <c r="J24" s="169"/>
      <c r="K24" s="169"/>
      <c r="L24" s="169"/>
      <c r="M24" s="233"/>
      <c r="N24" s="126"/>
    </row>
    <row r="25" spans="1:14" ht="12.75" customHeight="1" x14ac:dyDescent="0.25">
      <c r="A25" s="52" t="s">
        <v>1136</v>
      </c>
      <c r="B25" s="135">
        <v>2</v>
      </c>
      <c r="C25" s="776"/>
      <c r="D25" s="169"/>
      <c r="E25" s="169"/>
      <c r="F25" s="169"/>
      <c r="G25" s="169"/>
      <c r="H25" s="169"/>
      <c r="I25" s="169"/>
      <c r="J25" s="169"/>
      <c r="K25" s="169"/>
      <c r="L25" s="169"/>
      <c r="M25" s="233"/>
      <c r="N25" s="126"/>
    </row>
    <row r="26" spans="1:14" ht="12.75" customHeight="1" x14ac:dyDescent="0.25">
      <c r="A26" s="921" t="str">
        <f>B5B!A177</f>
        <v>Vote 1 - Finance and Administration</v>
      </c>
      <c r="B26" s="135"/>
      <c r="C26" s="776">
        <f>B5B!C177</f>
        <v>6700000</v>
      </c>
      <c r="D26" s="130">
        <f>B5B!D177</f>
        <v>6700000</v>
      </c>
      <c r="E26" s="130">
        <f>B5B!E177</f>
        <v>0</v>
      </c>
      <c r="F26" s="130">
        <f>B5B!F177</f>
        <v>0</v>
      </c>
      <c r="G26" s="130">
        <f>B5B!G177</f>
        <v>0</v>
      </c>
      <c r="H26" s="130">
        <f>B5B!H177</f>
        <v>0</v>
      </c>
      <c r="I26" s="130">
        <f>B5B!I177</f>
        <v>-3478049</v>
      </c>
      <c r="J26" s="169">
        <f t="shared" ref="J26:J40" si="3">SUM(E26:I26)</f>
        <v>-3478049</v>
      </c>
      <c r="K26" s="169">
        <f t="shared" ref="K26:K40" si="4">IF(D26=0,C26+J26,D26+J26)</f>
        <v>3221951</v>
      </c>
      <c r="L26" s="130">
        <f>B5B!L177</f>
        <v>14000000</v>
      </c>
      <c r="M26" s="131">
        <f>B5B!M177</f>
        <v>6600000</v>
      </c>
      <c r="N26" s="840"/>
    </row>
    <row r="27" spans="1:14" ht="12.75" customHeight="1" x14ac:dyDescent="0.25">
      <c r="A27" s="921" t="str">
        <f>B5B!A188</f>
        <v>Vote 2 - Finance and Administration2</v>
      </c>
      <c r="B27" s="135"/>
      <c r="C27" s="776">
        <f>B5B!C188</f>
        <v>0</v>
      </c>
      <c r="D27" s="130">
        <f>B5B!D188</f>
        <v>0</v>
      </c>
      <c r="E27" s="130">
        <f>B5B!E188</f>
        <v>0</v>
      </c>
      <c r="F27" s="130">
        <f>B5B!F188</f>
        <v>0</v>
      </c>
      <c r="G27" s="130">
        <f>B5B!G188</f>
        <v>0</v>
      </c>
      <c r="H27" s="130">
        <f>B5B!H188</f>
        <v>0</v>
      </c>
      <c r="I27" s="130">
        <f>B5B!I188</f>
        <v>0</v>
      </c>
      <c r="J27" s="169">
        <f t="shared" si="3"/>
        <v>0</v>
      </c>
      <c r="K27" s="169">
        <f t="shared" si="4"/>
        <v>0</v>
      </c>
      <c r="L27" s="130">
        <f>B5B!L188</f>
        <v>0</v>
      </c>
      <c r="M27" s="131">
        <f>B5B!M188</f>
        <v>0</v>
      </c>
      <c r="N27" s="840"/>
    </row>
    <row r="28" spans="1:14" ht="12.75" customHeight="1" x14ac:dyDescent="0.25">
      <c r="A28" s="921" t="str">
        <f>B5B!A199</f>
        <v>Vote 3 - Executive and Council</v>
      </c>
      <c r="B28" s="135"/>
      <c r="C28" s="776">
        <f>B5B!C199</f>
        <v>0</v>
      </c>
      <c r="D28" s="130">
        <f>B5B!D199</f>
        <v>0</v>
      </c>
      <c r="E28" s="130">
        <f>B5B!E199</f>
        <v>0</v>
      </c>
      <c r="F28" s="130">
        <f>B5B!F199</f>
        <v>0</v>
      </c>
      <c r="G28" s="130">
        <f>B5B!G199</f>
        <v>0</v>
      </c>
      <c r="H28" s="130">
        <f>B5B!H199</f>
        <v>0</v>
      </c>
      <c r="I28" s="130">
        <f>B5B!I199</f>
        <v>0</v>
      </c>
      <c r="J28" s="169">
        <f t="shared" si="3"/>
        <v>0</v>
      </c>
      <c r="K28" s="169">
        <f t="shared" si="4"/>
        <v>0</v>
      </c>
      <c r="L28" s="130">
        <f>B5B!L199</f>
        <v>0</v>
      </c>
      <c r="M28" s="131">
        <f>B5B!M199</f>
        <v>0</v>
      </c>
      <c r="N28" s="838"/>
    </row>
    <row r="29" spans="1:14" ht="12.75" customHeight="1" x14ac:dyDescent="0.25">
      <c r="A29" s="921" t="str">
        <f>B5B!A210</f>
        <v>Vote 4 - Community and Social Services</v>
      </c>
      <c r="B29" s="135"/>
      <c r="C29" s="776">
        <f>B5B!C210</f>
        <v>1538516</v>
      </c>
      <c r="D29" s="130">
        <f>B5B!D210</f>
        <v>1538516</v>
      </c>
      <c r="E29" s="130">
        <f>B5B!E210</f>
        <v>0</v>
      </c>
      <c r="F29" s="130">
        <f>B5B!F210</f>
        <v>0</v>
      </c>
      <c r="G29" s="130">
        <f>B5B!G210</f>
        <v>0</v>
      </c>
      <c r="H29" s="130">
        <f>B5B!H210</f>
        <v>0</v>
      </c>
      <c r="I29" s="130">
        <f>B5B!I210</f>
        <v>507082</v>
      </c>
      <c r="J29" s="169">
        <f t="shared" si="3"/>
        <v>507082</v>
      </c>
      <c r="K29" s="169">
        <f t="shared" si="4"/>
        <v>2045598</v>
      </c>
      <c r="L29" s="130">
        <f>B5B!L210</f>
        <v>0</v>
      </c>
      <c r="M29" s="131">
        <f>B5B!M210</f>
        <v>0</v>
      </c>
      <c r="N29" s="838"/>
    </row>
    <row r="30" spans="1:14" ht="12.75" customHeight="1" x14ac:dyDescent="0.25">
      <c r="A30" s="921" t="str">
        <f>B5B!A221</f>
        <v>Vote 5 - Community and Social Services2</v>
      </c>
      <c r="B30" s="135"/>
      <c r="C30" s="776">
        <f>B5B!C221</f>
        <v>7990468</v>
      </c>
      <c r="D30" s="130">
        <f>B5B!D221</f>
        <v>7990468</v>
      </c>
      <c r="E30" s="130">
        <f>B5B!E221</f>
        <v>0</v>
      </c>
      <c r="F30" s="130">
        <f>B5B!F221</f>
        <v>0</v>
      </c>
      <c r="G30" s="130">
        <f>B5B!G221</f>
        <v>0</v>
      </c>
      <c r="H30" s="130">
        <f>B5B!H221</f>
        <v>0</v>
      </c>
      <c r="I30" s="130">
        <f>B5B!I221</f>
        <v>1429503</v>
      </c>
      <c r="J30" s="169">
        <f t="shared" si="3"/>
        <v>1429503</v>
      </c>
      <c r="K30" s="169">
        <f t="shared" si="4"/>
        <v>9419971</v>
      </c>
      <c r="L30" s="130">
        <f>B5B!L221</f>
        <v>0</v>
      </c>
      <c r="M30" s="131">
        <f>B5B!M221</f>
        <v>0</v>
      </c>
      <c r="N30" s="838"/>
    </row>
    <row r="31" spans="1:14" ht="12.75" customHeight="1" x14ac:dyDescent="0.25">
      <c r="A31" s="921" t="str">
        <f>B5B!A232</f>
        <v>Vote 6 - Energy Sources</v>
      </c>
      <c r="B31" s="135"/>
      <c r="C31" s="776">
        <f>B5B!C232</f>
        <v>0</v>
      </c>
      <c r="D31" s="130">
        <f>B5B!D232</f>
        <v>0</v>
      </c>
      <c r="E31" s="130">
        <f>B5B!E232</f>
        <v>0</v>
      </c>
      <c r="F31" s="130">
        <f>B5B!F232</f>
        <v>0</v>
      </c>
      <c r="G31" s="130">
        <f>B5B!G232</f>
        <v>0</v>
      </c>
      <c r="H31" s="130">
        <f>B5B!H232</f>
        <v>0</v>
      </c>
      <c r="I31" s="130">
        <f>B5B!I232</f>
        <v>0</v>
      </c>
      <c r="J31" s="169">
        <f t="shared" si="3"/>
        <v>0</v>
      </c>
      <c r="K31" s="169">
        <f t="shared" si="4"/>
        <v>0</v>
      </c>
      <c r="L31" s="130">
        <f>B5B!L232</f>
        <v>0</v>
      </c>
      <c r="M31" s="131">
        <f>B5B!M232</f>
        <v>0</v>
      </c>
      <c r="N31" s="838"/>
    </row>
    <row r="32" spans="1:14" ht="12.75" customHeight="1" x14ac:dyDescent="0.25">
      <c r="A32" s="921" t="str">
        <f>B5B!A243</f>
        <v>Vote 7 - Road Transport</v>
      </c>
      <c r="B32" s="135"/>
      <c r="C32" s="776">
        <f>B5B!C243</f>
        <v>9467783</v>
      </c>
      <c r="D32" s="130">
        <f>B5B!D243</f>
        <v>17191768</v>
      </c>
      <c r="E32" s="130">
        <f>B5B!E243</f>
        <v>0</v>
      </c>
      <c r="F32" s="130">
        <f>B5B!F243</f>
        <v>0</v>
      </c>
      <c r="G32" s="130">
        <f>B5B!G243</f>
        <v>0</v>
      </c>
      <c r="H32" s="130">
        <f>B5B!H243</f>
        <v>0</v>
      </c>
      <c r="I32" s="130">
        <f>B5B!I243</f>
        <v>1883200</v>
      </c>
      <c r="J32" s="169">
        <f t="shared" si="3"/>
        <v>1883200</v>
      </c>
      <c r="K32" s="169">
        <f t="shared" si="4"/>
        <v>19074968</v>
      </c>
      <c r="L32" s="130">
        <f>B5B!L243</f>
        <v>18227000</v>
      </c>
      <c r="M32" s="131">
        <f>B5B!M243</f>
        <v>17781000</v>
      </c>
      <c r="N32" s="838"/>
    </row>
    <row r="33" spans="1:30" ht="12.75" customHeight="1" x14ac:dyDescent="0.25">
      <c r="A33" s="921" t="str">
        <f>B5B!A254</f>
        <v>Vote 8 - Planning and Development</v>
      </c>
      <c r="B33" s="135"/>
      <c r="C33" s="776">
        <f>B5B!C254</f>
        <v>0</v>
      </c>
      <c r="D33" s="130">
        <f>B5B!D254</f>
        <v>0</v>
      </c>
      <c r="E33" s="130">
        <f>B5B!E254</f>
        <v>0</v>
      </c>
      <c r="F33" s="130">
        <f>B5B!F254</f>
        <v>0</v>
      </c>
      <c r="G33" s="130">
        <f>B5B!G254</f>
        <v>0</v>
      </c>
      <c r="H33" s="130">
        <f>B5B!H254</f>
        <v>0</v>
      </c>
      <c r="I33" s="130">
        <f>B5B!I254</f>
        <v>0</v>
      </c>
      <c r="J33" s="169">
        <f t="shared" si="3"/>
        <v>0</v>
      </c>
      <c r="K33" s="169">
        <f t="shared" si="4"/>
        <v>0</v>
      </c>
      <c r="L33" s="130">
        <f>B5B!L254</f>
        <v>0</v>
      </c>
      <c r="M33" s="131">
        <f>B5B!M254</f>
        <v>0</v>
      </c>
      <c r="N33" s="838"/>
    </row>
    <row r="34" spans="1:30" ht="12.75" customHeight="1" x14ac:dyDescent="0.25">
      <c r="A34" s="921" t="str">
        <f>B5B!A265</f>
        <v>Vote 9 - Sport and Recreation</v>
      </c>
      <c r="B34" s="135"/>
      <c r="C34" s="776">
        <f>B5B!C265</f>
        <v>0</v>
      </c>
      <c r="D34" s="130">
        <f>B5B!D265</f>
        <v>0</v>
      </c>
      <c r="E34" s="130">
        <f>B5B!E265</f>
        <v>0</v>
      </c>
      <c r="F34" s="130">
        <f>B5B!F265</f>
        <v>0</v>
      </c>
      <c r="G34" s="130">
        <f>B5B!G265</f>
        <v>0</v>
      </c>
      <c r="H34" s="130">
        <f>B5B!H265</f>
        <v>0</v>
      </c>
      <c r="I34" s="130">
        <f>B5B!I265</f>
        <v>0</v>
      </c>
      <c r="J34" s="169">
        <f t="shared" si="3"/>
        <v>0</v>
      </c>
      <c r="K34" s="169">
        <f t="shared" si="4"/>
        <v>0</v>
      </c>
      <c r="L34" s="130">
        <f>B5B!L265</f>
        <v>0</v>
      </c>
      <c r="M34" s="131">
        <f>B5B!M265</f>
        <v>0</v>
      </c>
      <c r="N34" s="838"/>
    </row>
    <row r="35" spans="1:30" ht="12.75" customHeight="1" x14ac:dyDescent="0.25">
      <c r="A35" s="921" t="str">
        <f>B5B!A276</f>
        <v>Vote 10 - Public Safety</v>
      </c>
      <c r="B35" s="135"/>
      <c r="C35" s="776">
        <f>B5B!C276</f>
        <v>0</v>
      </c>
      <c r="D35" s="130">
        <f>B5B!D276</f>
        <v>0</v>
      </c>
      <c r="E35" s="130">
        <f>B5B!E276</f>
        <v>0</v>
      </c>
      <c r="F35" s="130">
        <f>B5B!F276</f>
        <v>0</v>
      </c>
      <c r="G35" s="130">
        <f>B5B!G276</f>
        <v>0</v>
      </c>
      <c r="H35" s="130">
        <f>B5B!H276</f>
        <v>0</v>
      </c>
      <c r="I35" s="130">
        <f>B5B!I276</f>
        <v>0</v>
      </c>
      <c r="J35" s="169">
        <f t="shared" si="3"/>
        <v>0</v>
      </c>
      <c r="K35" s="169">
        <f t="shared" si="4"/>
        <v>0</v>
      </c>
      <c r="L35" s="130">
        <f>B5B!L276</f>
        <v>0</v>
      </c>
      <c r="M35" s="131">
        <f>B5B!M276</f>
        <v>0</v>
      </c>
      <c r="N35" s="838"/>
    </row>
    <row r="36" spans="1:30" ht="12.75" customHeight="1" x14ac:dyDescent="0.25">
      <c r="A36" s="921" t="str">
        <f>B5B!A287</f>
        <v>Vote 11 - Other</v>
      </c>
      <c r="B36" s="135"/>
      <c r="C36" s="776">
        <f>B5B!C287</f>
        <v>0</v>
      </c>
      <c r="D36" s="130">
        <f>B5B!D287</f>
        <v>0</v>
      </c>
      <c r="E36" s="130">
        <f>B5B!E287</f>
        <v>0</v>
      </c>
      <c r="F36" s="130">
        <f>B5B!F287</f>
        <v>0</v>
      </c>
      <c r="G36" s="130">
        <f>B5B!G287</f>
        <v>0</v>
      </c>
      <c r="H36" s="130">
        <f>B5B!H287</f>
        <v>0</v>
      </c>
      <c r="I36" s="130">
        <f>B5B!I287</f>
        <v>0</v>
      </c>
      <c r="J36" s="169">
        <f t="shared" si="3"/>
        <v>0</v>
      </c>
      <c r="K36" s="169">
        <f t="shared" si="4"/>
        <v>0</v>
      </c>
      <c r="L36" s="130">
        <f>B5B!L287</f>
        <v>0</v>
      </c>
      <c r="M36" s="131">
        <f>B5B!M287</f>
        <v>0</v>
      </c>
      <c r="N36" s="838"/>
    </row>
    <row r="37" spans="1:30" ht="12.75" customHeight="1" x14ac:dyDescent="0.25">
      <c r="A37" s="921" t="str">
        <f>B5B!A298</f>
        <v>Vote 12 - Waste Management</v>
      </c>
      <c r="B37" s="135"/>
      <c r="C37" s="776">
        <f>B5B!C298</f>
        <v>0</v>
      </c>
      <c r="D37" s="130">
        <f>B5B!D298</f>
        <v>0</v>
      </c>
      <c r="E37" s="130">
        <f>B5B!E298</f>
        <v>0</v>
      </c>
      <c r="F37" s="130">
        <f>B5B!F298</f>
        <v>0</v>
      </c>
      <c r="G37" s="130">
        <f>B5B!G298</f>
        <v>0</v>
      </c>
      <c r="H37" s="130">
        <f>B5B!H298</f>
        <v>0</v>
      </c>
      <c r="I37" s="130">
        <f>B5B!I298</f>
        <v>0</v>
      </c>
      <c r="J37" s="169">
        <f t="shared" si="3"/>
        <v>0</v>
      </c>
      <c r="K37" s="169">
        <f>IF(D37=0,C37+J37,D37+J37)</f>
        <v>0</v>
      </c>
      <c r="L37" s="130">
        <f>B5B!L298</f>
        <v>0</v>
      </c>
      <c r="M37" s="131">
        <f>B5B!M298</f>
        <v>0</v>
      </c>
      <c r="N37" s="838"/>
    </row>
    <row r="38" spans="1:30" x14ac:dyDescent="0.25">
      <c r="A38" s="921" t="str">
        <f>B5B!A309</f>
        <v>Vote 13 - Housing</v>
      </c>
      <c r="B38" s="135"/>
      <c r="C38" s="777">
        <f>B5B!C309</f>
        <v>0</v>
      </c>
      <c r="D38" s="130">
        <f>B5B!D309</f>
        <v>0</v>
      </c>
      <c r="E38" s="130">
        <f>B5B!E309</f>
        <v>0</v>
      </c>
      <c r="F38" s="130">
        <f>B5B!F309</f>
        <v>0</v>
      </c>
      <c r="G38" s="130">
        <f>B5B!G309</f>
        <v>0</v>
      </c>
      <c r="H38" s="130">
        <f>B5B!H309</f>
        <v>0</v>
      </c>
      <c r="I38" s="130">
        <f>B5B!I309</f>
        <v>0</v>
      </c>
      <c r="J38" s="169">
        <f t="shared" si="3"/>
        <v>0</v>
      </c>
      <c r="K38" s="169">
        <f t="shared" si="4"/>
        <v>0</v>
      </c>
      <c r="L38" s="130">
        <f>B5B!L309</f>
        <v>0</v>
      </c>
      <c r="M38" s="131">
        <f>B5B!M309</f>
        <v>0</v>
      </c>
      <c r="N38" s="838"/>
    </row>
    <row r="39" spans="1:30" ht="12.75" customHeight="1" x14ac:dyDescent="0.25">
      <c r="A39" s="921" t="str">
        <f>B5B!A320</f>
        <v>Vote 14 - Waste Water Management</v>
      </c>
      <c r="B39" s="135"/>
      <c r="C39" s="777">
        <f>B5B!C320</f>
        <v>0</v>
      </c>
      <c r="D39" s="130">
        <f>B5B!D320</f>
        <v>0</v>
      </c>
      <c r="E39" s="130">
        <f>B5B!E320</f>
        <v>0</v>
      </c>
      <c r="F39" s="130">
        <f>B5B!F320</f>
        <v>0</v>
      </c>
      <c r="G39" s="130">
        <f>B5B!G320</f>
        <v>0</v>
      </c>
      <c r="H39" s="130">
        <f>B5B!H320</f>
        <v>0</v>
      </c>
      <c r="I39" s="130">
        <f>B5B!I320</f>
        <v>0</v>
      </c>
      <c r="J39" s="169">
        <f t="shared" si="3"/>
        <v>0</v>
      </c>
      <c r="K39" s="169">
        <f t="shared" si="4"/>
        <v>0</v>
      </c>
      <c r="L39" s="130">
        <f>B5B!L320</f>
        <v>0</v>
      </c>
      <c r="M39" s="131">
        <f>B5B!M320</f>
        <v>0</v>
      </c>
      <c r="N39" s="838"/>
    </row>
    <row r="40" spans="1:30" ht="12.75" customHeight="1" x14ac:dyDescent="0.25">
      <c r="A40" s="921" t="str">
        <f>B5B!A331</f>
        <v>Vote 15 - Health</v>
      </c>
      <c r="B40" s="135"/>
      <c r="C40" s="777">
        <f>B5B!C331</f>
        <v>0</v>
      </c>
      <c r="D40" s="130">
        <f>B5B!D331</f>
        <v>0</v>
      </c>
      <c r="E40" s="130">
        <f>B5B!E331</f>
        <v>0</v>
      </c>
      <c r="F40" s="130">
        <f>B5B!F331</f>
        <v>0</v>
      </c>
      <c r="G40" s="130">
        <f>B5B!G331</f>
        <v>0</v>
      </c>
      <c r="H40" s="130">
        <f>B5B!H331</f>
        <v>0</v>
      </c>
      <c r="I40" s="130">
        <f>B5B!I331</f>
        <v>0</v>
      </c>
      <c r="J40" s="169">
        <f t="shared" si="3"/>
        <v>0</v>
      </c>
      <c r="K40" s="169">
        <f t="shared" si="4"/>
        <v>0</v>
      </c>
      <c r="L40" s="130">
        <f>B5B!L331</f>
        <v>0</v>
      </c>
      <c r="M40" s="131">
        <f>B5B!M331</f>
        <v>0</v>
      </c>
      <c r="N40" s="838"/>
    </row>
    <row r="41" spans="1:30" ht="12.75" customHeight="1" x14ac:dyDescent="0.25">
      <c r="A41" s="159" t="s">
        <v>666</v>
      </c>
      <c r="B41" s="152"/>
      <c r="C41" s="778">
        <f>SUM(C26:C40)</f>
        <v>25696767</v>
      </c>
      <c r="D41" s="81">
        <f t="shared" ref="D41:I41" si="5">SUM(D26:D40)</f>
        <v>33420752</v>
      </c>
      <c r="E41" s="81">
        <f t="shared" si="5"/>
        <v>0</v>
      </c>
      <c r="F41" s="81">
        <f t="shared" si="5"/>
        <v>0</v>
      </c>
      <c r="G41" s="81">
        <f t="shared" si="5"/>
        <v>0</v>
      </c>
      <c r="H41" s="81">
        <f t="shared" si="5"/>
        <v>0</v>
      </c>
      <c r="I41" s="81">
        <f t="shared" si="5"/>
        <v>341736</v>
      </c>
      <c r="J41" s="81">
        <f>SUM(J26:J40)</f>
        <v>341736</v>
      </c>
      <c r="K41" s="81">
        <f>SUM(K26:K40)</f>
        <v>33762488</v>
      </c>
      <c r="L41" s="81">
        <f>SUM(L26:L40)</f>
        <v>32227000</v>
      </c>
      <c r="M41" s="82">
        <f>SUM(M26:M40)</f>
        <v>24381000</v>
      </c>
      <c r="N41" s="543"/>
    </row>
    <row r="42" spans="1:30" ht="12.75" customHeight="1" x14ac:dyDescent="0.25">
      <c r="A42" s="160" t="s">
        <v>1137</v>
      </c>
      <c r="B42" s="79"/>
      <c r="C42" s="848">
        <f>C41+C23</f>
        <v>25696767</v>
      </c>
      <c r="D42" s="81">
        <f t="shared" ref="D42:I42" si="6">D41+D23</f>
        <v>33420752</v>
      </c>
      <c r="E42" s="81">
        <f t="shared" si="6"/>
        <v>0</v>
      </c>
      <c r="F42" s="81">
        <f t="shared" si="6"/>
        <v>0</v>
      </c>
      <c r="G42" s="81">
        <f t="shared" si="6"/>
        <v>0</v>
      </c>
      <c r="H42" s="81">
        <f t="shared" si="6"/>
        <v>0</v>
      </c>
      <c r="I42" s="81">
        <f t="shared" si="6"/>
        <v>341736</v>
      </c>
      <c r="J42" s="81">
        <f>J23+J41</f>
        <v>341736</v>
      </c>
      <c r="K42" s="81">
        <f>K23+K41</f>
        <v>33762488</v>
      </c>
      <c r="L42" s="81">
        <f>L41+L23</f>
        <v>32227000</v>
      </c>
      <c r="M42" s="82">
        <f>M41+M23</f>
        <v>24381000</v>
      </c>
      <c r="N42" s="126"/>
    </row>
    <row r="43" spans="1:30" ht="5.0999999999999996" customHeight="1" x14ac:dyDescent="0.25">
      <c r="A43" s="134"/>
      <c r="B43" s="73"/>
      <c r="C43" s="74"/>
      <c r="D43" s="75"/>
      <c r="E43" s="75"/>
      <c r="F43" s="75"/>
      <c r="G43" s="75"/>
      <c r="H43" s="75"/>
      <c r="I43" s="75"/>
      <c r="J43" s="75"/>
      <c r="K43" s="75"/>
      <c r="L43" s="75"/>
      <c r="M43" s="76"/>
      <c r="N43" s="126"/>
    </row>
    <row r="44" spans="1:30" ht="12.75" customHeight="1" x14ac:dyDescent="0.25">
      <c r="A44" s="124" t="s">
        <v>1479</v>
      </c>
      <c r="B44" s="73"/>
      <c r="C44" s="74"/>
      <c r="D44" s="75"/>
      <c r="E44" s="75"/>
      <c r="F44" s="75"/>
      <c r="G44" s="75"/>
      <c r="H44" s="75"/>
      <c r="I44" s="75"/>
      <c r="J44" s="75"/>
      <c r="K44" s="75"/>
      <c r="L44" s="75"/>
      <c r="M44" s="76"/>
      <c r="N44" s="126"/>
    </row>
    <row r="45" spans="1:30" ht="12.75" customHeight="1" x14ac:dyDescent="0.25">
      <c r="A45" s="107" t="s">
        <v>615</v>
      </c>
      <c r="B45" s="73"/>
      <c r="C45" s="255">
        <f t="shared" ref="C45:M45" si="7">SUM(C46:C48)</f>
        <v>6700000</v>
      </c>
      <c r="D45" s="255">
        <f t="shared" si="7"/>
        <v>6700000</v>
      </c>
      <c r="E45" s="255">
        <f t="shared" si="7"/>
        <v>0</v>
      </c>
      <c r="F45" s="255">
        <f t="shared" si="7"/>
        <v>0</v>
      </c>
      <c r="G45" s="255">
        <f t="shared" si="7"/>
        <v>0</v>
      </c>
      <c r="H45" s="255">
        <f t="shared" si="7"/>
        <v>0</v>
      </c>
      <c r="I45" s="255">
        <f t="shared" si="7"/>
        <v>-3478049</v>
      </c>
      <c r="J45" s="255">
        <f>SUM(J46:J48)</f>
        <v>-3478049</v>
      </c>
      <c r="K45" s="255">
        <f t="shared" si="7"/>
        <v>3221951</v>
      </c>
      <c r="L45" s="255">
        <f t="shared" si="7"/>
        <v>14000000</v>
      </c>
      <c r="M45" s="699">
        <f t="shared" si="7"/>
        <v>6600000</v>
      </c>
      <c r="N45" s="126"/>
    </row>
    <row r="46" spans="1:30" ht="12.75" customHeight="1" x14ac:dyDescent="0.25">
      <c r="A46" s="108" t="s">
        <v>616</v>
      </c>
      <c r="B46" s="73"/>
      <c r="C46" s="1356">
        <f>SUMIFS(Sheet1!S71_OriginalBudget,Sheet1!S71_A2Code,$AC:$AC,Sheet1!S71_A5CapexCode,$AD:$AD)</f>
        <v>0</v>
      </c>
      <c r="D46" s="1356">
        <f>SUMIFS(Sheet1!S71_SpecialAdjustedBudget,Sheet1!S71_A2Code,$AC:$AC,Sheet1!S71_A5CapexCode,$AD:$AD)</f>
        <v>0</v>
      </c>
      <c r="E46" s="1356"/>
      <c r="F46" s="1356"/>
      <c r="G46" s="1356"/>
      <c r="H46" s="1356"/>
      <c r="I46" s="1356">
        <f>SUMIFS(Sheet1!S71_AdjustmentAmount,Sheet1!S71_A2Code,$AC:$AC,Sheet1!S71_A5CapexCode,$AD:$AD)</f>
        <v>0</v>
      </c>
      <c r="J46" s="169">
        <f>SUM(E46:I46)</f>
        <v>0</v>
      </c>
      <c r="K46" s="169">
        <f>IF(D46=0,C46+J46,D46+J46)</f>
        <v>0</v>
      </c>
      <c r="L46" s="1356">
        <f>SUMIFS(Sheet1!S71_OY1AdjustedBudget,Sheet1!S71_A2Code,$AC:$AC,Sheet1!S71_A5CapexCode,$AD:$AD)</f>
        <v>0</v>
      </c>
      <c r="M46" s="1357">
        <f>SUMIFS(Sheet1!S71_OY2AdjustedBudget,Sheet1!S71_A2Code,$AC:$AC,Sheet1!S71_A5CapexCode,$AD:$AD)</f>
        <v>0</v>
      </c>
      <c r="N46" s="126"/>
      <c r="AC46" s="1339" t="s">
        <v>1822</v>
      </c>
      <c r="AD46" s="1336" t="s">
        <v>1846</v>
      </c>
    </row>
    <row r="47" spans="1:30" ht="12.75" customHeight="1" x14ac:dyDescent="0.25">
      <c r="A47" s="108" t="s">
        <v>1480</v>
      </c>
      <c r="B47" s="73"/>
      <c r="C47" s="1356">
        <f>SUMIFS(Sheet1!S71_OriginalBudget,Sheet1!S71_A2Code,$AC:$AC,Sheet1!S71_A5CapexCode,$AD:$AD)</f>
        <v>6700000</v>
      </c>
      <c r="D47" s="1356">
        <f>SUMIFS(Sheet1!S71_SpecialAdjustedBudget,Sheet1!S71_A2Code,$AC:$AC,Sheet1!S71_A5CapexCode,$AD:$AD)</f>
        <v>6700000</v>
      </c>
      <c r="E47" s="1356"/>
      <c r="F47" s="1356"/>
      <c r="G47" s="1356"/>
      <c r="H47" s="1356"/>
      <c r="I47" s="1356">
        <f>SUMIFS(Sheet1!S71_AdjustmentAmount,Sheet1!S71_A2Code,$AC:$AC,Sheet1!S71_A5CapexCode,$AD:$AD)</f>
        <v>-3478049</v>
      </c>
      <c r="J47" s="169">
        <f>SUM(E47:I47)</f>
        <v>-3478049</v>
      </c>
      <c r="K47" s="169">
        <f>IF(D47=0,C47+J47,D47+J47)</f>
        <v>3221951</v>
      </c>
      <c r="L47" s="1356">
        <f>SUMIFS(Sheet1!S71_OY1AdjustedBudget,Sheet1!S71_A2Code,$AC:$AC,Sheet1!S71_A5CapexCode,$AD:$AD)</f>
        <v>14000000</v>
      </c>
      <c r="M47" s="1357">
        <f>SUMIFS(Sheet1!S71_OY2AdjustedBudget,Sheet1!S71_A2Code,$AC:$AC,Sheet1!S71_A5CapexCode,$AD:$AD)</f>
        <v>6600000</v>
      </c>
      <c r="N47" s="126"/>
      <c r="AC47" s="1339" t="s">
        <v>1823</v>
      </c>
      <c r="AD47" s="1336" t="s">
        <v>1846</v>
      </c>
    </row>
    <row r="48" spans="1:30" ht="12.75" customHeight="1" x14ac:dyDescent="0.25">
      <c r="A48" s="108" t="s">
        <v>1481</v>
      </c>
      <c r="B48" s="73"/>
      <c r="C48" s="1356">
        <f>SUMIFS(Sheet1!S71_OriginalBudget,Sheet1!S71_A2Code,$AC:$AC,Sheet1!S71_A5CapexCode,$AD:$AD)</f>
        <v>0</v>
      </c>
      <c r="D48" s="1356">
        <f>SUMIFS(Sheet1!S71_SpecialAdjustedBudget,Sheet1!S71_A2Code,$AC:$AC,Sheet1!S71_A5CapexCode,$AD:$AD)</f>
        <v>0</v>
      </c>
      <c r="E48" s="1356"/>
      <c r="F48" s="1356"/>
      <c r="G48" s="1356"/>
      <c r="H48" s="1356"/>
      <c r="I48" s="1356">
        <f>SUMIFS(Sheet1!S71_AdjustmentAmount,Sheet1!S71_A2Code,$AC:$AC,Sheet1!S71_A5CapexCode,$AD:$AD)</f>
        <v>0</v>
      </c>
      <c r="J48" s="169">
        <f>SUM(E48:I48)</f>
        <v>0</v>
      </c>
      <c r="K48" s="169">
        <f>IF(D48=0,C48+J48,D48+J48)</f>
        <v>0</v>
      </c>
      <c r="L48" s="1356">
        <f>SUMIFS(Sheet1!S71_OY1AdjustedBudget,Sheet1!S71_A2Code,$AC:$AC,Sheet1!S71_A5CapexCode,$AD:$AD)</f>
        <v>0</v>
      </c>
      <c r="M48" s="1357">
        <f>SUMIFS(Sheet1!S71_OY2AdjustedBudget,Sheet1!S71_A2Code,$AC:$AC,Sheet1!S71_A5CapexCode,$AD:$AD)</f>
        <v>0</v>
      </c>
      <c r="N48" s="126"/>
      <c r="AC48" s="1339" t="s">
        <v>1824</v>
      </c>
      <c r="AD48" s="1336" t="s">
        <v>1846</v>
      </c>
    </row>
    <row r="49" spans="1:30" ht="12.75" customHeight="1" x14ac:dyDescent="0.25">
      <c r="A49" s="107" t="s">
        <v>617</v>
      </c>
      <c r="B49" s="73"/>
      <c r="C49" s="255">
        <f t="shared" ref="C49:M49" si="8">SUM(C50:C54)</f>
        <v>9528984</v>
      </c>
      <c r="D49" s="255">
        <f t="shared" si="8"/>
        <v>9528984</v>
      </c>
      <c r="E49" s="255">
        <f t="shared" si="8"/>
        <v>0</v>
      </c>
      <c r="F49" s="255">
        <f t="shared" si="8"/>
        <v>0</v>
      </c>
      <c r="G49" s="255">
        <f t="shared" si="8"/>
        <v>0</v>
      </c>
      <c r="H49" s="255">
        <f t="shared" si="8"/>
        <v>0</v>
      </c>
      <c r="I49" s="255">
        <f t="shared" si="8"/>
        <v>1936585</v>
      </c>
      <c r="J49" s="255">
        <f>SUM(J50:J54)</f>
        <v>1936585</v>
      </c>
      <c r="K49" s="255">
        <f t="shared" si="8"/>
        <v>11465569</v>
      </c>
      <c r="L49" s="255">
        <f t="shared" si="8"/>
        <v>0</v>
      </c>
      <c r="M49" s="699">
        <f t="shared" si="8"/>
        <v>0</v>
      </c>
      <c r="N49" s="126"/>
      <c r="AC49" s="1339"/>
    </row>
    <row r="50" spans="1:30" ht="12.75" customHeight="1" x14ac:dyDescent="0.25">
      <c r="A50" s="108" t="s">
        <v>618</v>
      </c>
      <c r="B50" s="73"/>
      <c r="C50" s="1356">
        <f>SUMIFS(Sheet1!S71_OriginalBudget,Sheet1!S71_A2Code,$AC:$AC,Sheet1!S71_A5CapexCode,$AD:$AD)</f>
        <v>9528984</v>
      </c>
      <c r="D50" s="1356">
        <f>SUMIFS(Sheet1!S71_SpecialAdjustedBudget,Sheet1!S71_A2Code,$AC:$AC,Sheet1!S71_A5CapexCode,$AD:$AD)</f>
        <v>9528984</v>
      </c>
      <c r="E50" s="1356"/>
      <c r="F50" s="1356"/>
      <c r="G50" s="1356"/>
      <c r="H50" s="1356"/>
      <c r="I50" s="1356">
        <f>SUMIFS(Sheet1!S71_AdjustmentAmount,Sheet1!S71_A2Code,$AC:$AC,Sheet1!S71_A5CapexCode,$AD:$AD)</f>
        <v>1936585</v>
      </c>
      <c r="J50" s="169">
        <f>SUM(E50:I50)</f>
        <v>1936585</v>
      </c>
      <c r="K50" s="169">
        <f>IF(D50=0,C50+J50,D50+J50)</f>
        <v>11465569</v>
      </c>
      <c r="L50" s="1356">
        <f>SUMIFS(Sheet1!S71_OY1AdjustedBudget,Sheet1!S71_A2Code,$AC:$AC,Sheet1!S71_A5CapexCode,$AD:$AD)</f>
        <v>0</v>
      </c>
      <c r="M50" s="1357">
        <f>SUMIFS(Sheet1!S71_OY2AdjustedBudget,Sheet1!S71_A2Code,$AC:$AC,Sheet1!S71_A5CapexCode,$AD:$AD)</f>
        <v>0</v>
      </c>
      <c r="N50" s="126"/>
      <c r="AC50" s="1339" t="s">
        <v>1830</v>
      </c>
      <c r="AD50" s="1336" t="s">
        <v>1846</v>
      </c>
    </row>
    <row r="51" spans="1:30" ht="12.75" customHeight="1" x14ac:dyDescent="0.25">
      <c r="A51" s="108" t="s">
        <v>619</v>
      </c>
      <c r="B51" s="73"/>
      <c r="C51" s="1356">
        <f>SUMIFS(Sheet1!S71_OriginalBudget,Sheet1!S71_A2Code,$AC:$AC,Sheet1!S71_A5CapexCode,$AD:$AD)</f>
        <v>0</v>
      </c>
      <c r="D51" s="1356">
        <f>SUMIFS(Sheet1!S71_SpecialAdjustedBudget,Sheet1!S71_A2Code,$AC:$AC,Sheet1!S71_A5CapexCode,$AD:$AD)</f>
        <v>0</v>
      </c>
      <c r="E51" s="1356"/>
      <c r="F51" s="1356"/>
      <c r="G51" s="1356"/>
      <c r="H51" s="1356"/>
      <c r="I51" s="1356">
        <f>SUMIFS(Sheet1!S71_AdjustmentAmount,Sheet1!S71_A2Code,$AC:$AC,Sheet1!S71_A5CapexCode,$AD:$AD)</f>
        <v>0</v>
      </c>
      <c r="J51" s="169">
        <f>SUM(E51:I51)</f>
        <v>0</v>
      </c>
      <c r="K51" s="169">
        <f>IF(D51=0,C51+J51,D51+J51)</f>
        <v>0</v>
      </c>
      <c r="L51" s="1356">
        <f>SUMIFS(Sheet1!S71_OY1AdjustedBudget,Sheet1!S71_A2Code,$AC:$AC,Sheet1!S71_A5CapexCode,$AD:$AD)</f>
        <v>0</v>
      </c>
      <c r="M51" s="1357">
        <f>SUMIFS(Sheet1!S71_OY2AdjustedBudget,Sheet1!S71_A2Code,$AC:$AC,Sheet1!S71_A5CapexCode,$AD:$AD)</f>
        <v>0</v>
      </c>
      <c r="N51" s="126"/>
      <c r="AC51" s="1339" t="s">
        <v>1831</v>
      </c>
      <c r="AD51" s="1336" t="s">
        <v>1846</v>
      </c>
    </row>
    <row r="52" spans="1:30" ht="12.75" customHeight="1" x14ac:dyDescent="0.25">
      <c r="A52" s="108" t="s">
        <v>620</v>
      </c>
      <c r="B52" s="73"/>
      <c r="C52" s="1356">
        <f>SUMIFS(Sheet1!S71_OriginalBudget,Sheet1!S71_A2Code,$AC:$AC,Sheet1!S71_A5CapexCode,$AD:$AD)</f>
        <v>0</v>
      </c>
      <c r="D52" s="1356">
        <f>SUMIFS(Sheet1!S71_SpecialAdjustedBudget,Sheet1!S71_A2Code,$AC:$AC,Sheet1!S71_A5CapexCode,$AD:$AD)</f>
        <v>0</v>
      </c>
      <c r="E52" s="1356"/>
      <c r="F52" s="1356"/>
      <c r="G52" s="1356"/>
      <c r="H52" s="1356"/>
      <c r="I52" s="1356">
        <f>SUMIFS(Sheet1!S71_AdjustmentAmount,Sheet1!S71_A2Code,$AC:$AC,Sheet1!S71_A5CapexCode,$AD:$AD)</f>
        <v>0</v>
      </c>
      <c r="J52" s="169">
        <f>SUM(E52:I52)</f>
        <v>0</v>
      </c>
      <c r="K52" s="169">
        <f>IF(D52=0,C52+J52,D52+J52)</f>
        <v>0</v>
      </c>
      <c r="L52" s="1356">
        <f>SUMIFS(Sheet1!S71_OY1AdjustedBudget,Sheet1!S71_A2Code,$AC:$AC,Sheet1!S71_A5CapexCode,$AD:$AD)</f>
        <v>0</v>
      </c>
      <c r="M52" s="1357">
        <f>SUMIFS(Sheet1!S71_OY2AdjustedBudget,Sheet1!S71_A2Code,$AC:$AC,Sheet1!S71_A5CapexCode,$AD:$AD)</f>
        <v>0</v>
      </c>
      <c r="N52" s="126"/>
      <c r="AC52" s="1339" t="s">
        <v>1832</v>
      </c>
      <c r="AD52" s="1336" t="s">
        <v>1846</v>
      </c>
    </row>
    <row r="53" spans="1:30" ht="12.75" customHeight="1" x14ac:dyDescent="0.25">
      <c r="A53" s="108" t="s">
        <v>621</v>
      </c>
      <c r="B53" s="73"/>
      <c r="C53" s="1356">
        <f>SUMIFS(Sheet1!S71_OriginalBudget,Sheet1!S71_A2Code,$AC:$AC,Sheet1!S71_A5CapexCode,$AD:$AD)</f>
        <v>0</v>
      </c>
      <c r="D53" s="1356">
        <f>SUMIFS(Sheet1!S71_SpecialAdjustedBudget,Sheet1!S71_A2Code,$AC:$AC,Sheet1!S71_A5CapexCode,$AD:$AD)</f>
        <v>0</v>
      </c>
      <c r="E53" s="1356"/>
      <c r="F53" s="1356"/>
      <c r="G53" s="1356"/>
      <c r="H53" s="1356"/>
      <c r="I53" s="1356">
        <f>SUMIFS(Sheet1!S71_AdjustmentAmount,Sheet1!S71_A2Code,$AC:$AC,Sheet1!S71_A5CapexCode,$AD:$AD)</f>
        <v>0</v>
      </c>
      <c r="J53" s="169">
        <f>SUM(E53:I53)</f>
        <v>0</v>
      </c>
      <c r="K53" s="169">
        <f>IF(D53=0,C53+J53,D53+J53)</f>
        <v>0</v>
      </c>
      <c r="L53" s="1356">
        <f>SUMIFS(Sheet1!S71_OY1AdjustedBudget,Sheet1!S71_A2Code,$AC:$AC,Sheet1!S71_A5CapexCode,$AD:$AD)</f>
        <v>0</v>
      </c>
      <c r="M53" s="1357">
        <f>SUMIFS(Sheet1!S71_OY2AdjustedBudget,Sheet1!S71_A2Code,$AC:$AC,Sheet1!S71_A5CapexCode,$AD:$AD)</f>
        <v>0</v>
      </c>
      <c r="N53" s="126"/>
      <c r="AC53" s="1339" t="s">
        <v>1833</v>
      </c>
      <c r="AD53" s="1336" t="s">
        <v>1846</v>
      </c>
    </row>
    <row r="54" spans="1:30" ht="12.75" customHeight="1" x14ac:dyDescent="0.25">
      <c r="A54" s="108" t="s">
        <v>622</v>
      </c>
      <c r="B54" s="73"/>
      <c r="C54" s="1356">
        <f>SUMIFS(Sheet1!S71_OriginalBudget,Sheet1!S71_A2Code,$AC:$AC,Sheet1!S71_A5CapexCode,$AD:$AD)</f>
        <v>0</v>
      </c>
      <c r="D54" s="1356">
        <f>SUMIFS(Sheet1!S71_SpecialAdjustedBudget,Sheet1!S71_A2Code,$AC:$AC,Sheet1!S71_A5CapexCode,$AD:$AD)</f>
        <v>0</v>
      </c>
      <c r="E54" s="1356"/>
      <c r="F54" s="1356"/>
      <c r="G54" s="1356"/>
      <c r="H54" s="1356"/>
      <c r="I54" s="1356">
        <f>SUMIFS(Sheet1!S71_AdjustmentAmount,Sheet1!S71_A2Code,$AC:$AC,Sheet1!S71_A5CapexCode,$AD:$AD)</f>
        <v>0</v>
      </c>
      <c r="J54" s="169">
        <f>SUM(E54:I54)</f>
        <v>0</v>
      </c>
      <c r="K54" s="169">
        <f>IF(D54=0,C54+J54,D54+J54)</f>
        <v>0</v>
      </c>
      <c r="L54" s="1356">
        <f>SUMIFS(Sheet1!S71_OY1AdjustedBudget,Sheet1!S71_A2Code,$AC:$AC,Sheet1!S71_A5CapexCode,$AD:$AD)</f>
        <v>0</v>
      </c>
      <c r="M54" s="1357">
        <f>SUMIFS(Sheet1!S71_OY2AdjustedBudget,Sheet1!S71_A2Code,$AC:$AC,Sheet1!S71_A5CapexCode,$AD:$AD)</f>
        <v>0</v>
      </c>
      <c r="N54" s="126"/>
      <c r="AC54" s="1339" t="s">
        <v>1834</v>
      </c>
      <c r="AD54" s="1336" t="s">
        <v>1846</v>
      </c>
    </row>
    <row r="55" spans="1:30" ht="12.75" customHeight="1" x14ac:dyDescent="0.25">
      <c r="A55" s="107" t="s">
        <v>623</v>
      </c>
      <c r="B55" s="73"/>
      <c r="C55" s="255">
        <f t="shared" ref="C55:M55" si="9">SUM(C56:C58)</f>
        <v>9467783</v>
      </c>
      <c r="D55" s="255">
        <f t="shared" si="9"/>
        <v>17191768</v>
      </c>
      <c r="E55" s="255">
        <f t="shared" si="9"/>
        <v>0</v>
      </c>
      <c r="F55" s="255">
        <f t="shared" si="9"/>
        <v>0</v>
      </c>
      <c r="G55" s="255">
        <f t="shared" si="9"/>
        <v>0</v>
      </c>
      <c r="H55" s="255">
        <f t="shared" si="9"/>
        <v>0</v>
      </c>
      <c r="I55" s="255">
        <f t="shared" si="9"/>
        <v>1883200</v>
      </c>
      <c r="J55" s="255">
        <f t="shared" si="9"/>
        <v>1883200</v>
      </c>
      <c r="K55" s="255">
        <f t="shared" si="9"/>
        <v>19074968</v>
      </c>
      <c r="L55" s="255">
        <f t="shared" si="9"/>
        <v>18227000</v>
      </c>
      <c r="M55" s="699">
        <f t="shared" si="9"/>
        <v>17781000</v>
      </c>
      <c r="N55" s="126"/>
      <c r="AC55" s="1339"/>
    </row>
    <row r="56" spans="1:30" ht="12.75" customHeight="1" x14ac:dyDescent="0.25">
      <c r="A56" s="108" t="s">
        <v>624</v>
      </c>
      <c r="B56" s="135"/>
      <c r="C56" s="1356">
        <f>SUMIFS(Sheet1!S71_OriginalBudget,Sheet1!S71_A2Code,$AC:$AC,Sheet1!S71_A5CapexCode,$AD:$AD)</f>
        <v>0</v>
      </c>
      <c r="D56" s="1356">
        <f>SUMIFS(Sheet1!S71_SpecialAdjustedBudget,Sheet1!S71_A2Code,$AC:$AC,Sheet1!S71_A5CapexCode,$AD:$AD)</f>
        <v>0</v>
      </c>
      <c r="E56" s="1356"/>
      <c r="F56" s="1356"/>
      <c r="G56" s="1356"/>
      <c r="H56" s="1356"/>
      <c r="I56" s="1356">
        <f>SUMIFS(Sheet1!S71_AdjustmentAmount,Sheet1!S71_A2Code,$AC:$AC,Sheet1!S71_A5CapexCode,$AD:$AD)</f>
        <v>0</v>
      </c>
      <c r="J56" s="169">
        <f>SUM(E56:I56)</f>
        <v>0</v>
      </c>
      <c r="K56" s="169">
        <f>IF(D56=0,C56+J56,D56+J56)</f>
        <v>0</v>
      </c>
      <c r="L56" s="1356">
        <f>SUMIFS(Sheet1!S71_OY1AdjustedBudget,Sheet1!S71_A2Code,$AC:$AC,Sheet1!S71_A5CapexCode,$AD:$AD)</f>
        <v>0</v>
      </c>
      <c r="M56" s="1357">
        <f>SUMIFS(Sheet1!S71_OY2AdjustedBudget,Sheet1!S71_A2Code,$AC:$AC,Sheet1!S71_A5CapexCode,$AD:$AD)</f>
        <v>0</v>
      </c>
      <c r="N56" s="126"/>
      <c r="AC56" s="1339" t="s">
        <v>1847</v>
      </c>
      <c r="AD56" s="1336" t="s">
        <v>1846</v>
      </c>
    </row>
    <row r="57" spans="1:30" ht="12.75" customHeight="1" x14ac:dyDescent="0.25">
      <c r="A57" s="108" t="s">
        <v>625</v>
      </c>
      <c r="B57" s="73"/>
      <c r="C57" s="1356">
        <f>SUMIFS(Sheet1!S71_OriginalBudget,Sheet1!S71_A2Code,$AC:$AC,Sheet1!S71_A5CapexCode,$AD:$AD)</f>
        <v>9467783</v>
      </c>
      <c r="D57" s="1356">
        <f>SUMIFS(Sheet1!S71_SpecialAdjustedBudget,Sheet1!S71_A2Code,$AC:$AC,Sheet1!S71_A5CapexCode,$AD:$AD)</f>
        <v>17191768</v>
      </c>
      <c r="E57" s="1356"/>
      <c r="F57" s="1356"/>
      <c r="G57" s="1356"/>
      <c r="H57" s="1356"/>
      <c r="I57" s="1356">
        <f>SUMIFS(Sheet1!S71_AdjustmentAmount,Sheet1!S71_A2Code,$AC:$AC,Sheet1!S71_A5CapexCode,$AD:$AD)</f>
        <v>1883200</v>
      </c>
      <c r="J57" s="169">
        <f>SUM(E57:I57)</f>
        <v>1883200</v>
      </c>
      <c r="K57" s="169">
        <f>IF(D57=0,C57+J57,D57+J57)</f>
        <v>19074968</v>
      </c>
      <c r="L57" s="1356">
        <f>SUMIFS(Sheet1!S71_OY1AdjustedBudget,Sheet1!S71_A2Code,$AC:$AC,Sheet1!S71_A5CapexCode,$AD:$AD)</f>
        <v>18227000</v>
      </c>
      <c r="M57" s="1357">
        <f>SUMIFS(Sheet1!S71_OY2AdjustedBudget,Sheet1!S71_A2Code,$AC:$AC,Sheet1!S71_A5CapexCode,$AD:$AD)</f>
        <v>17781000</v>
      </c>
      <c r="N57" s="126"/>
      <c r="AC57" s="1339" t="s">
        <v>1848</v>
      </c>
      <c r="AD57" s="1336" t="s">
        <v>1846</v>
      </c>
    </row>
    <row r="58" spans="1:30" ht="12.75" customHeight="1" x14ac:dyDescent="0.25">
      <c r="A58" s="108" t="s">
        <v>626</v>
      </c>
      <c r="B58" s="73"/>
      <c r="C58" s="1356">
        <f>SUMIFS(Sheet1!S71_OriginalBudget,Sheet1!S71_A2Code,$AC:$AC,Sheet1!S71_A5CapexCode,$AD:$AD)</f>
        <v>0</v>
      </c>
      <c r="D58" s="1356">
        <f>SUMIFS(Sheet1!S71_SpecialAdjustedBudget,Sheet1!S71_A2Code,$AC:$AC,Sheet1!S71_A5CapexCode,$AD:$AD)</f>
        <v>0</v>
      </c>
      <c r="E58" s="1356"/>
      <c r="F58" s="1356"/>
      <c r="G58" s="1356"/>
      <c r="H58" s="1356"/>
      <c r="I58" s="1356">
        <f>SUMIFS(Sheet1!S71_AdjustmentAmount,Sheet1!S71_A2Code,$AC:$AC,Sheet1!S71_A5CapexCode,$AD:$AD)</f>
        <v>0</v>
      </c>
      <c r="J58" s="169">
        <f>SUM(E58:I58)</f>
        <v>0</v>
      </c>
      <c r="K58" s="169">
        <f>IF(D58=0,C58+J58,D58+J58)</f>
        <v>0</v>
      </c>
      <c r="L58" s="1356">
        <f>SUMIFS(Sheet1!S71_OY1AdjustedBudget,Sheet1!S71_A2Code,$AC:$AC,Sheet1!S71_A5CapexCode,$AD:$AD)</f>
        <v>0</v>
      </c>
      <c r="M58" s="1357">
        <f>SUMIFS(Sheet1!S71_OY2AdjustedBudget,Sheet1!S71_A2Code,$AC:$AC,Sheet1!S71_A5CapexCode,$AD:$AD)</f>
        <v>0</v>
      </c>
      <c r="N58" s="126"/>
      <c r="AC58" s="1339" t="s">
        <v>1840</v>
      </c>
      <c r="AD58" s="1336" t="s">
        <v>1846</v>
      </c>
    </row>
    <row r="59" spans="1:30" ht="12.75" customHeight="1" x14ac:dyDescent="0.25">
      <c r="A59" s="107" t="s">
        <v>627</v>
      </c>
      <c r="B59" s="73"/>
      <c r="C59" s="255">
        <f>SUM(C60:C63)</f>
        <v>0</v>
      </c>
      <c r="D59" s="255">
        <f t="shared" ref="D59:M59" si="10">SUM(D60:D63)</f>
        <v>0</v>
      </c>
      <c r="E59" s="255">
        <f t="shared" si="10"/>
        <v>0</v>
      </c>
      <c r="F59" s="255">
        <f t="shared" si="10"/>
        <v>0</v>
      </c>
      <c r="G59" s="255">
        <f t="shared" si="10"/>
        <v>0</v>
      </c>
      <c r="H59" s="255">
        <f t="shared" si="10"/>
        <v>0</v>
      </c>
      <c r="I59" s="255">
        <f>SUM(I60:I63)</f>
        <v>0</v>
      </c>
      <c r="J59" s="255">
        <f>SUM(J60:J63)</f>
        <v>0</v>
      </c>
      <c r="K59" s="255">
        <f t="shared" si="10"/>
        <v>0</v>
      </c>
      <c r="L59" s="255">
        <f t="shared" si="10"/>
        <v>0</v>
      </c>
      <c r="M59" s="699">
        <f t="shared" si="10"/>
        <v>0</v>
      </c>
      <c r="N59" s="126"/>
      <c r="AC59" s="1339"/>
      <c r="AD59" s="1336" t="s">
        <v>1846</v>
      </c>
    </row>
    <row r="60" spans="1:30" ht="12.75" customHeight="1" x14ac:dyDescent="0.25">
      <c r="A60" s="108" t="s">
        <v>1482</v>
      </c>
      <c r="B60" s="73"/>
      <c r="C60" s="1356">
        <f>SUMIFS(Sheet1!S71_OriginalBudget,Sheet1!S71_A2Code,$AC:$AC,Sheet1!S71_A5CapexCode,$AD:$AD)</f>
        <v>0</v>
      </c>
      <c r="D60" s="1356">
        <f>SUMIFS(Sheet1!S71_SpecialAdjustedBudget,Sheet1!S71_A2Code,$AC:$AC,Sheet1!S71_A5CapexCode,$AD:$AD)</f>
        <v>0</v>
      </c>
      <c r="E60" s="1356"/>
      <c r="F60" s="1356"/>
      <c r="G60" s="1356"/>
      <c r="H60" s="1356"/>
      <c r="I60" s="1356">
        <f>SUMIFS(Sheet1!S71_AdjustmentAmount,Sheet1!S71_A2Code,$AC:$AC,Sheet1!S71_A5CapexCode,$AD:$AD)</f>
        <v>0</v>
      </c>
      <c r="J60" s="169">
        <f>SUM(E60:I60)</f>
        <v>0</v>
      </c>
      <c r="K60" s="75">
        <f>IF(D60=0,C60+J60,D60+J60)</f>
        <v>0</v>
      </c>
      <c r="L60" s="1356">
        <f>SUMIFS(Sheet1!S71_OY1AdjustedBudget,Sheet1!S71_A2Code,$AC:$AC,Sheet1!S71_A5CapexCode,$AD:$AD)</f>
        <v>0</v>
      </c>
      <c r="M60" s="1357">
        <f>SUMIFS(Sheet1!S71_OY2AdjustedBudget,Sheet1!S71_A2Code,$AC:$AC,Sheet1!S71_A5CapexCode,$AD:$AD)</f>
        <v>0</v>
      </c>
      <c r="N60" s="126"/>
      <c r="AC60" s="1339" t="s">
        <v>1845</v>
      </c>
      <c r="AD60" s="1336" t="s">
        <v>1846</v>
      </c>
    </row>
    <row r="61" spans="1:30" ht="12.75" customHeight="1" x14ac:dyDescent="0.25">
      <c r="A61" s="108" t="s">
        <v>1483</v>
      </c>
      <c r="B61" s="73"/>
      <c r="C61" s="1356">
        <f>SUMIFS(Sheet1!S71_OriginalBudget,Sheet1!S71_A2Code,$AC:$AC,Sheet1!S71_A5CapexCode,$AD:$AD)</f>
        <v>0</v>
      </c>
      <c r="D61" s="1356">
        <f>SUMIFS(Sheet1!S71_SpecialAdjustedBudget,Sheet1!S71_A2Code,$AC:$AC,Sheet1!S71_A5CapexCode,$AD:$AD)</f>
        <v>0</v>
      </c>
      <c r="E61" s="1356"/>
      <c r="F61" s="1356"/>
      <c r="G61" s="1356"/>
      <c r="H61" s="1356"/>
      <c r="I61" s="1356">
        <f>SUMIFS(Sheet1!S71_AdjustmentAmount,Sheet1!S71_A2Code,$AC:$AC,Sheet1!S71_A5CapexCode,$AD:$AD)</f>
        <v>0</v>
      </c>
      <c r="J61" s="169">
        <f>SUM(E61:I61)</f>
        <v>0</v>
      </c>
      <c r="K61" s="75">
        <f>IF(D61=0,C61+J61,D61+J61)</f>
        <v>0</v>
      </c>
      <c r="L61" s="1356">
        <f>SUMIFS(Sheet1!S71_OY1AdjustedBudget,Sheet1!S71_A2Code,$AC:$AC,Sheet1!S71_A5CapexCode,$AD:$AD)</f>
        <v>0</v>
      </c>
      <c r="M61" s="1357">
        <f>SUMIFS(Sheet1!S71_OY2AdjustedBudget,Sheet1!S71_A2Code,$AC:$AC,Sheet1!S71_A5CapexCode,$AD:$AD)</f>
        <v>0</v>
      </c>
      <c r="N61" s="126"/>
      <c r="AC61" s="1339" t="s">
        <v>1849</v>
      </c>
      <c r="AD61" s="1336" t="s">
        <v>1846</v>
      </c>
    </row>
    <row r="62" spans="1:30" ht="12.75" customHeight="1" x14ac:dyDescent="0.25">
      <c r="A62" s="108" t="s">
        <v>630</v>
      </c>
      <c r="B62" s="73"/>
      <c r="C62" s="1356">
        <f>SUMIFS(Sheet1!S71_OriginalBudget,Sheet1!S71_A2Code,$AC:$AC,Sheet1!S71_A5CapexCode,$AD:$AD)</f>
        <v>0</v>
      </c>
      <c r="D62" s="1356">
        <f>SUMIFS(Sheet1!S71_SpecialAdjustedBudget,Sheet1!S71_A2Code,$AC:$AC,Sheet1!S71_A5CapexCode,$AD:$AD)</f>
        <v>0</v>
      </c>
      <c r="E62" s="1356"/>
      <c r="F62" s="1356"/>
      <c r="G62" s="1356"/>
      <c r="H62" s="1356"/>
      <c r="I62" s="1356">
        <f>SUMIFS(Sheet1!S71_AdjustmentAmount,Sheet1!S71_A2Code,$AC:$AC,Sheet1!S71_A5CapexCode,$AD:$AD)</f>
        <v>0</v>
      </c>
      <c r="J62" s="169">
        <f>SUM(E62:I62)</f>
        <v>0</v>
      </c>
      <c r="K62" s="75">
        <f>IF(D62=0,C62+J62,D62+J62)</f>
        <v>0</v>
      </c>
      <c r="L62" s="1356">
        <f>SUMIFS(Sheet1!S71_OY1AdjustedBudget,Sheet1!S71_A2Code,$AC:$AC,Sheet1!S71_A5CapexCode,$AD:$AD)</f>
        <v>0</v>
      </c>
      <c r="M62" s="1357">
        <f>SUMIFS(Sheet1!S71_OY2AdjustedBudget,Sheet1!S71_A2Code,$AC:$AC,Sheet1!S71_A5CapexCode,$AD:$AD)</f>
        <v>0</v>
      </c>
      <c r="N62" s="126"/>
      <c r="AC62" s="1339" t="s">
        <v>1850</v>
      </c>
      <c r="AD62" s="1336" t="s">
        <v>1846</v>
      </c>
    </row>
    <row r="63" spans="1:30" ht="12.75" customHeight="1" x14ac:dyDescent="0.25">
      <c r="A63" s="108" t="s">
        <v>631</v>
      </c>
      <c r="B63" s="73"/>
      <c r="C63" s="1356">
        <f>SUMIFS(Sheet1!S71_OriginalBudget,Sheet1!S71_A2Code,$AC:$AC,Sheet1!S71_A5CapexCode,$AD:$AD)</f>
        <v>0</v>
      </c>
      <c r="D63" s="1356">
        <f>SUMIFS(Sheet1!S71_SpecialAdjustedBudget,Sheet1!S71_A2Code,$AC:$AC,Sheet1!S71_A5CapexCode,$AD:$AD)</f>
        <v>0</v>
      </c>
      <c r="E63" s="1356"/>
      <c r="F63" s="1356"/>
      <c r="G63" s="1356"/>
      <c r="H63" s="1356"/>
      <c r="I63" s="1356">
        <f>SUMIFS(Sheet1!S71_AdjustmentAmount,Sheet1!S71_A2Code,$AC:$AC,Sheet1!S71_A5CapexCode,$AD:$AD)</f>
        <v>0</v>
      </c>
      <c r="J63" s="169">
        <f>SUM(E63:I63)</f>
        <v>0</v>
      </c>
      <c r="K63" s="75">
        <f>IF(D63=0,C63+J63,D63+J63)</f>
        <v>0</v>
      </c>
      <c r="L63" s="1356">
        <f>SUMIFS(Sheet1!S71_OY1AdjustedBudget,Sheet1!S71_A2Code,$AC:$AC,Sheet1!S71_A5CapexCode,$AD:$AD)</f>
        <v>0</v>
      </c>
      <c r="M63" s="1357">
        <f>SUMIFS(Sheet1!S71_OY2AdjustedBudget,Sheet1!S71_A2Code,$AC:$AC,Sheet1!S71_A5CapexCode,$AD:$AD)</f>
        <v>0</v>
      </c>
      <c r="N63" s="126"/>
      <c r="AC63" s="1339" t="s">
        <v>1851</v>
      </c>
      <c r="AD63" s="1336" t="s">
        <v>1846</v>
      </c>
    </row>
    <row r="64" spans="1:30" ht="12.75" customHeight="1" x14ac:dyDescent="0.25">
      <c r="A64" s="107" t="s">
        <v>632</v>
      </c>
      <c r="B64" s="73"/>
      <c r="C64" s="1356">
        <f>SUMIFS(Sheet1!S71_OriginalBudget,Sheet1!S71_A2Code,$AC:$AC,Sheet1!S71_A5CapexCode,$AD:$AD)</f>
        <v>0</v>
      </c>
      <c r="D64" s="1356">
        <f>SUMIFS(Sheet1!S71_SpecialAdjustedBudget,Sheet1!S71_A2Code,$AC:$AC,Sheet1!S71_A5CapexCode,$AD:$AD)</f>
        <v>0</v>
      </c>
      <c r="E64" s="1356"/>
      <c r="F64" s="1356"/>
      <c r="G64" s="1356"/>
      <c r="H64" s="1356"/>
      <c r="I64" s="1356">
        <f>SUMIFS(Sheet1!S71_AdjustmentAmount,Sheet1!S71_A2Code,$AC:$AC,Sheet1!S71_A5CapexCode,$AD:$AD)</f>
        <v>0</v>
      </c>
      <c r="J64" s="169">
        <f>SUM(E64:I64)</f>
        <v>0</v>
      </c>
      <c r="K64" s="75">
        <f>IF(D64=0,C64+J64,D64+J64)</f>
        <v>0</v>
      </c>
      <c r="L64" s="1356">
        <f>SUMIFS(Sheet1!S71_OY1AdjustedBudget,Sheet1!S71_A2Code,$AC:$AC,Sheet1!S71_A5CapexCode,$AD:$AD)</f>
        <v>0</v>
      </c>
      <c r="M64" s="1357">
        <f>SUMIFS(Sheet1!S71_OY2AdjustedBudget,Sheet1!S71_A2Code,$AC:$AC,Sheet1!S71_A5CapexCode,$AD:$AD)</f>
        <v>0</v>
      </c>
      <c r="N64" s="126"/>
      <c r="AC64" s="1339" t="s">
        <v>1852</v>
      </c>
      <c r="AD64" s="1336" t="s">
        <v>1846</v>
      </c>
    </row>
    <row r="65" spans="1:30" ht="12.75" customHeight="1" x14ac:dyDescent="0.25">
      <c r="A65" s="1209" t="s">
        <v>1484</v>
      </c>
      <c r="B65" s="79">
        <v>3</v>
      </c>
      <c r="C65" s="680">
        <f>C45+C49+C55+C59+C64</f>
        <v>25696767</v>
      </c>
      <c r="D65" s="678">
        <f t="shared" ref="D65:M65" si="11">D45+D49+D55+D59+D64</f>
        <v>33420752</v>
      </c>
      <c r="E65" s="678">
        <f t="shared" si="11"/>
        <v>0</v>
      </c>
      <c r="F65" s="678">
        <f t="shared" si="11"/>
        <v>0</v>
      </c>
      <c r="G65" s="678">
        <f t="shared" si="11"/>
        <v>0</v>
      </c>
      <c r="H65" s="678">
        <f t="shared" si="11"/>
        <v>0</v>
      </c>
      <c r="I65" s="678">
        <f>I45+I49+I55+I59+I64</f>
        <v>341736</v>
      </c>
      <c r="J65" s="678">
        <f t="shared" si="11"/>
        <v>341736</v>
      </c>
      <c r="K65" s="678">
        <f t="shared" si="11"/>
        <v>33762488</v>
      </c>
      <c r="L65" s="678">
        <f t="shared" si="11"/>
        <v>32227000</v>
      </c>
      <c r="M65" s="679">
        <f t="shared" si="11"/>
        <v>24381000</v>
      </c>
      <c r="N65" s="126"/>
      <c r="AC65" s="1339"/>
    </row>
    <row r="66" spans="1:30" ht="5.0999999999999996" customHeight="1" x14ac:dyDescent="0.25">
      <c r="A66" s="749"/>
      <c r="B66" s="73"/>
      <c r="C66" s="74"/>
      <c r="D66" s="75"/>
      <c r="E66" s="75"/>
      <c r="F66" s="75"/>
      <c r="G66" s="75"/>
      <c r="H66" s="75"/>
      <c r="I66" s="75"/>
      <c r="J66" s="75"/>
      <c r="K66" s="75"/>
      <c r="L66" s="75"/>
      <c r="M66" s="76"/>
      <c r="N66" s="126"/>
      <c r="AC66" s="1339"/>
    </row>
    <row r="67" spans="1:30" ht="12.75" customHeight="1" x14ac:dyDescent="0.25">
      <c r="A67" s="124" t="s">
        <v>667</v>
      </c>
      <c r="B67" s="73"/>
      <c r="C67" s="74"/>
      <c r="D67" s="75"/>
      <c r="E67" s="75"/>
      <c r="F67" s="75"/>
      <c r="G67" s="75"/>
      <c r="H67" s="75"/>
      <c r="I67" s="75"/>
      <c r="J67" s="75"/>
      <c r="K67" s="75"/>
      <c r="L67" s="75"/>
      <c r="M67" s="76"/>
      <c r="N67" s="126"/>
      <c r="AC67" s="1339"/>
    </row>
    <row r="68" spans="1:30" ht="12.75" customHeight="1" x14ac:dyDescent="0.25">
      <c r="A68" s="161" t="s">
        <v>668</v>
      </c>
      <c r="B68" s="73"/>
      <c r="C68" s="1356">
        <f>SUMIFS(Sheet1!S71_OriginalBudget,Sheet1!S71_A5GCode,$AC:$AC,Sheet1!S71_A5CapexCode,$AD:$AD)</f>
        <v>15996767</v>
      </c>
      <c r="D68" s="1356">
        <f>SUMIFS(Sheet1!S71_SpecialAdjustedBudget,Sheet1!S71_A5GCode,$AC:$AC,Sheet1!S71_A5CapexCode,$AD:$AD)</f>
        <v>15996002</v>
      </c>
      <c r="E68" s="1356"/>
      <c r="F68" s="1356"/>
      <c r="G68" s="1356"/>
      <c r="H68" s="1356"/>
      <c r="I68" s="1356">
        <f>SUMIFS(Sheet1!S71_AdjustmentAmount,Sheet1!S71_A5GCode,$AC:$AC,Sheet1!S71_A5CapexCode,$AD:$AD)</f>
        <v>-196000</v>
      </c>
      <c r="J68" s="169">
        <f>SUM(E68:I68)</f>
        <v>-196000</v>
      </c>
      <c r="K68" s="75">
        <f>IF(D68=0,C68+J68,D68+J68)</f>
        <v>15800002</v>
      </c>
      <c r="L68" s="1356">
        <f>SUMIFS(Sheet1!S71_OY1AdjustedBudget,Sheet1!S71_A5GCode,$AC:$AC,Sheet1!S71_A5CapexCode,$AD:$AD)</f>
        <v>17027000</v>
      </c>
      <c r="M68" s="1357">
        <f>SUMIFS(Sheet1!S71_OY2AdjustedBudget,Sheet1!S71_A5GCode,$AC:$AC,Sheet1!S71_A5CapexCode,$AD:$AD)</f>
        <v>17781000</v>
      </c>
      <c r="N68" s="126"/>
      <c r="AC68" s="1339" t="s">
        <v>1853</v>
      </c>
      <c r="AD68" s="1336" t="s">
        <v>1846</v>
      </c>
    </row>
    <row r="69" spans="1:30" ht="12.75" customHeight="1" x14ac:dyDescent="0.25">
      <c r="A69" s="161" t="s">
        <v>669</v>
      </c>
      <c r="B69" s="73"/>
      <c r="C69" s="1356">
        <f>SUMIFS(Sheet1!S71_OriginalBudget,Sheet1!S71_A5GCode,$AC:$AC,Sheet1!S71_A5CapexCode,$AD:$AD)</f>
        <v>0</v>
      </c>
      <c r="D69" s="1356">
        <f>SUMIFS(Sheet1!S71_SpecialAdjustedBudget,Sheet1!S71_A5GCode,$AC:$AC,Sheet1!S71_A5CapexCode,$AD:$AD)</f>
        <v>0</v>
      </c>
      <c r="E69" s="1356"/>
      <c r="F69" s="1356"/>
      <c r="G69" s="1356"/>
      <c r="H69" s="1356"/>
      <c r="I69" s="1356">
        <f>SUMIFS(Sheet1!S71_AdjustmentAmount,Sheet1!S71_A5GCode,$AC:$AC,Sheet1!S71_A5CapexCode,$AD:$AD)</f>
        <v>0</v>
      </c>
      <c r="J69" s="169">
        <f>SUM(E69:I69)</f>
        <v>0</v>
      </c>
      <c r="K69" s="75">
        <f>IF(D69=0,C69+J69,D69+J69)</f>
        <v>0</v>
      </c>
      <c r="L69" s="1356">
        <f>SUMIFS(Sheet1!S71_OY1AdjustedBudget,Sheet1!S71_A5GCode,$AC:$AC,Sheet1!S71_A5CapexCode,$AD:$AD)</f>
        <v>0</v>
      </c>
      <c r="M69" s="1357">
        <f>SUMIFS(Sheet1!S71_OY2AdjustedBudget,Sheet1!S71_A5GCode,$AC:$AC,Sheet1!S71_A5CapexCode,$AD:$AD)</f>
        <v>0</v>
      </c>
      <c r="N69" s="126"/>
      <c r="AC69" s="1339" t="s">
        <v>1854</v>
      </c>
      <c r="AD69" s="1336" t="s">
        <v>1846</v>
      </c>
    </row>
    <row r="70" spans="1:30" ht="12.75" customHeight="1" x14ac:dyDescent="0.25">
      <c r="A70" s="161" t="s">
        <v>670</v>
      </c>
      <c r="B70" s="73"/>
      <c r="C70" s="1356">
        <f>SUMIFS(Sheet1!S71_OriginalBudget,Sheet1!S71_A5GCode,$AC:$AC,Sheet1!S71_A5CapexCode,$AD:$AD)</f>
        <v>0</v>
      </c>
      <c r="D70" s="1356">
        <f>SUMIFS(Sheet1!S71_SpecialAdjustedBudget,Sheet1!S71_A5GCode,$AC:$AC,Sheet1!S71_A5CapexCode,$AD:$AD)</f>
        <v>0</v>
      </c>
      <c r="E70" s="1356"/>
      <c r="F70" s="1356"/>
      <c r="G70" s="1356"/>
      <c r="H70" s="1356"/>
      <c r="I70" s="1356">
        <f>SUMIFS(Sheet1!S71_AdjustmentAmount,Sheet1!S71_A5GCode,$AC:$AC,Sheet1!S71_A5CapexCode,$AD:$AD)</f>
        <v>0</v>
      </c>
      <c r="J70" s="169">
        <f>SUM(E70:I70)</f>
        <v>0</v>
      </c>
      <c r="K70" s="75">
        <f>IF(D70=0,C70+J70,D70+J70)</f>
        <v>0</v>
      </c>
      <c r="L70" s="1356">
        <f>SUMIFS(Sheet1!S71_OY1AdjustedBudget,Sheet1!S71_A5GCode,$AC:$AC,Sheet1!S71_A5CapexCode,$AD:$AD)</f>
        <v>0</v>
      </c>
      <c r="M70" s="1357">
        <f>SUMIFS(Sheet1!S71_OY2AdjustedBudget,Sheet1!S71_A5GCode,$AC:$AC,Sheet1!S71_A5CapexCode,$AD:$AD)</f>
        <v>0</v>
      </c>
      <c r="N70" s="126"/>
      <c r="AC70" s="1339" t="s">
        <v>1855</v>
      </c>
      <c r="AD70" s="1336" t="s">
        <v>1846</v>
      </c>
    </row>
    <row r="71" spans="1:30" ht="43.35" customHeight="1" x14ac:dyDescent="0.25">
      <c r="A71" s="1315" t="str">
        <f>'B4-FinPerf RE'!A41</f>
        <v>Transfers and subsidies - capital (monetary allocations) (National / Provincial Departmental Agencies, Households, Non-profit Institutions, Private Enterprises, Public Corporatons, Higher Educational Institutions)</v>
      </c>
      <c r="B71" s="73"/>
      <c r="C71" s="1356">
        <f>SUMIFS(Sheet1!S71_OriginalBudget,Sheet1!S71_A5GCode,$AC:$AC,Sheet1!S71_A5CapexCode,$AD:$AD)</f>
        <v>0</v>
      </c>
      <c r="D71" s="1356">
        <f>SUMIFS(Sheet1!S71_SpecialAdjustedBudget,Sheet1!S71_A5GCode,$AC:$AC,Sheet1!S71_A5CapexCode,$AD:$AD)</f>
        <v>0</v>
      </c>
      <c r="E71" s="1356"/>
      <c r="F71" s="1356"/>
      <c r="G71" s="1356"/>
      <c r="H71" s="1356"/>
      <c r="I71" s="1356">
        <f>SUMIFS(Sheet1!S71_AdjustmentAmount,Sheet1!S71_A5GCode,$AC:$AC,Sheet1!S71_A5CapexCode,$AD:$AD)</f>
        <v>0</v>
      </c>
      <c r="J71" s="169">
        <f>SUM(E71:I71)</f>
        <v>0</v>
      </c>
      <c r="K71" s="75">
        <f>IF(D71=0,C71+J71,D71+J71)</f>
        <v>0</v>
      </c>
      <c r="L71" s="1356">
        <f>SUMIFS(Sheet1!S71_OY1AdjustedBudget,Sheet1!S71_A5GCode,$AC:$AC,Sheet1!S71_A5CapexCode,$AD:$AD)</f>
        <v>0</v>
      </c>
      <c r="M71" s="1357">
        <f>SUMIFS(Sheet1!S71_OY2AdjustedBudget,Sheet1!S71_A5GCode,$AC:$AC,Sheet1!S71_A5CapexCode,$AD:$AD)</f>
        <v>0</v>
      </c>
      <c r="N71" s="126"/>
      <c r="AC71" s="1339" t="s">
        <v>1856</v>
      </c>
      <c r="AD71" s="1336" t="s">
        <v>1846</v>
      </c>
    </row>
    <row r="72" spans="1:30" ht="12.75" customHeight="1" x14ac:dyDescent="0.25">
      <c r="A72" s="162" t="s">
        <v>572</v>
      </c>
      <c r="B72" s="73">
        <v>4</v>
      </c>
      <c r="C72" s="148">
        <f t="shared" ref="C72:M72" si="12">SUM(C68:C71)</f>
        <v>15996767</v>
      </c>
      <c r="D72" s="149">
        <f t="shared" si="12"/>
        <v>15996002</v>
      </c>
      <c r="E72" s="149">
        <f t="shared" si="12"/>
        <v>0</v>
      </c>
      <c r="F72" s="149">
        <f t="shared" si="12"/>
        <v>0</v>
      </c>
      <c r="G72" s="149">
        <f t="shared" si="12"/>
        <v>0</v>
      </c>
      <c r="H72" s="149">
        <f t="shared" si="12"/>
        <v>0</v>
      </c>
      <c r="I72" s="149">
        <f t="shared" si="12"/>
        <v>-196000</v>
      </c>
      <c r="J72" s="149">
        <f t="shared" si="12"/>
        <v>-196000</v>
      </c>
      <c r="K72" s="149">
        <f t="shared" si="12"/>
        <v>15800002</v>
      </c>
      <c r="L72" s="149">
        <f t="shared" si="12"/>
        <v>17027000</v>
      </c>
      <c r="M72" s="150">
        <f t="shared" si="12"/>
        <v>17781000</v>
      </c>
      <c r="N72" s="126"/>
      <c r="AC72" s="1339"/>
    </row>
    <row r="73" spans="1:30" ht="0.95" customHeight="1" x14ac:dyDescent="0.25">
      <c r="A73" s="163"/>
      <c r="B73" s="73"/>
      <c r="C73" s="129"/>
      <c r="D73" s="130"/>
      <c r="E73" s="130"/>
      <c r="F73" s="130"/>
      <c r="G73" s="130"/>
      <c r="H73" s="130"/>
      <c r="I73" s="130"/>
      <c r="J73" s="130"/>
      <c r="K73" s="130"/>
      <c r="L73" s="130"/>
      <c r="M73" s="131"/>
      <c r="AC73" s="1339"/>
    </row>
    <row r="74" spans="1:30" ht="12.75" customHeight="1" x14ac:dyDescent="0.25">
      <c r="A74" s="163" t="s">
        <v>578</v>
      </c>
      <c r="B74" s="73"/>
      <c r="C74" s="1356">
        <f>SUMIFS(Sheet1!S71_OriginalBudget,Sheet1!S71_A5GCode,$AC:$AC,Sheet1!S71_A5CapexCode,$AD:$AD)</f>
        <v>0</v>
      </c>
      <c r="D74" s="1356">
        <f>SUMIFS(Sheet1!S71_SpecialAdjustedBudget,Sheet1!S71_A5GCode,$AC:$AC,Sheet1!S71_A5CapexCode,$AD:$AD)</f>
        <v>0</v>
      </c>
      <c r="E74" s="1356"/>
      <c r="F74" s="1356"/>
      <c r="G74" s="1356"/>
      <c r="H74" s="1356"/>
      <c r="I74" s="1356">
        <f>SUMIFS(Sheet1!S71_AdjustmentAmount,Sheet1!S71_A5GCode,$AC:$AC,Sheet1!S71_A5CapexCode,$AD:$AD)</f>
        <v>0</v>
      </c>
      <c r="J74" s="169">
        <f>SUM(E74:I74)</f>
        <v>0</v>
      </c>
      <c r="K74" s="75">
        <f>IF(D74=0,C74+J74,D74+J74)</f>
        <v>0</v>
      </c>
      <c r="L74" s="1356">
        <f>SUMIFS(Sheet1!S71_OY1AdjustedBudget,Sheet1!S71_A5GCode,$AC:$AC,Sheet1!S71_A5CapexCode,$AD:$AD)</f>
        <v>0</v>
      </c>
      <c r="M74" s="1357">
        <f>SUMIFS(Sheet1!S71_OY2AdjustedBudget,Sheet1!S71_A5GCode,$AC:$AC,Sheet1!S71_A5CapexCode,$AD:$AD)</f>
        <v>0</v>
      </c>
      <c r="AC74" s="1339" t="s">
        <v>1857</v>
      </c>
      <c r="AD74" s="1336" t="s">
        <v>1846</v>
      </c>
    </row>
    <row r="75" spans="1:30" ht="12.75" customHeight="1" x14ac:dyDescent="0.25">
      <c r="A75" s="163" t="s">
        <v>579</v>
      </c>
      <c r="B75" s="73"/>
      <c r="C75" s="1356">
        <f>SUMIFS(Sheet1!S71_OriginalBudget,Sheet1!S71_A5GCode,$AC:$AC,Sheet1!S71_A5CapexCode,$AD:$AD)</f>
        <v>9700000</v>
      </c>
      <c r="D75" s="1356">
        <f>SUMIFS(Sheet1!S71_SpecialAdjustedBudget,Sheet1!S71_A5GCode,$AC:$AC,Sheet1!S71_A5CapexCode,$AD:$AD)</f>
        <v>17424750</v>
      </c>
      <c r="E75" s="1356"/>
      <c r="F75" s="1356"/>
      <c r="G75" s="1356"/>
      <c r="H75" s="1356"/>
      <c r="I75" s="1356">
        <f>SUMIFS(Sheet1!S71_AdjustmentAmount,Sheet1!S71_A5GCode,$AC:$AC,Sheet1!S71_A5CapexCode,$AD:$AD)</f>
        <v>537736</v>
      </c>
      <c r="J75" s="169">
        <f>SUM(E75:I75)</f>
        <v>537736</v>
      </c>
      <c r="K75" s="75">
        <f>IF(D75=0,C75+J75,D75+J75)</f>
        <v>17962486</v>
      </c>
      <c r="L75" s="1356">
        <f>SUMIFS(Sheet1!S71_OY1AdjustedBudget,Sheet1!S71_A5GCode,$AC:$AC,Sheet1!S71_A5CapexCode,$AD:$AD)</f>
        <v>15200000</v>
      </c>
      <c r="M75" s="1357">
        <f>SUMIFS(Sheet1!S71_OY2AdjustedBudget,Sheet1!S71_A5GCode,$AC:$AC,Sheet1!S71_A5CapexCode,$AD:$AD)</f>
        <v>6600000</v>
      </c>
      <c r="AC75" s="1339" t="s">
        <v>1858</v>
      </c>
      <c r="AD75" s="1336" t="s">
        <v>1846</v>
      </c>
    </row>
    <row r="76" spans="1:30" ht="12.75" customHeight="1" x14ac:dyDescent="0.25">
      <c r="A76" s="153" t="s">
        <v>671</v>
      </c>
      <c r="B76" s="154"/>
      <c r="C76" s="155">
        <f>+C72+C74+C75</f>
        <v>25696767</v>
      </c>
      <c r="D76" s="115">
        <f t="shared" ref="D76:M76" si="13">+D72+D74+D75</f>
        <v>33420752</v>
      </c>
      <c r="E76" s="115">
        <f t="shared" si="13"/>
        <v>0</v>
      </c>
      <c r="F76" s="115">
        <f t="shared" si="13"/>
        <v>0</v>
      </c>
      <c r="G76" s="115">
        <f t="shared" si="13"/>
        <v>0</v>
      </c>
      <c r="H76" s="115">
        <f t="shared" si="13"/>
        <v>0</v>
      </c>
      <c r="I76" s="115">
        <f t="shared" si="13"/>
        <v>341736</v>
      </c>
      <c r="J76" s="115">
        <f t="shared" si="13"/>
        <v>341736</v>
      </c>
      <c r="K76" s="115">
        <f t="shared" si="13"/>
        <v>33762488</v>
      </c>
      <c r="L76" s="115">
        <f t="shared" si="13"/>
        <v>32227000</v>
      </c>
      <c r="M76" s="116">
        <f t="shared" si="13"/>
        <v>24381000</v>
      </c>
    </row>
    <row r="77" spans="1:30" ht="12.75" customHeight="1" x14ac:dyDescent="0.25">
      <c r="A77" s="156" t="str">
        <f>head27a</f>
        <v>References</v>
      </c>
      <c r="B77" s="93"/>
      <c r="C77" s="96"/>
      <c r="D77" s="96"/>
      <c r="E77" s="96"/>
      <c r="F77" s="96"/>
      <c r="G77" s="96"/>
      <c r="H77" s="96"/>
      <c r="I77" s="96"/>
      <c r="J77" s="96"/>
      <c r="K77" s="96"/>
      <c r="L77" s="96"/>
      <c r="M77" s="96"/>
    </row>
    <row r="78" spans="1:30" ht="12.75" customHeight="1" x14ac:dyDescent="0.25">
      <c r="A78" s="118" t="s">
        <v>1041</v>
      </c>
      <c r="B78" s="93"/>
      <c r="C78" s="96"/>
      <c r="D78" s="96"/>
      <c r="E78" s="96"/>
      <c r="F78" s="96"/>
      <c r="G78" s="96"/>
      <c r="H78" s="96"/>
      <c r="I78" s="96"/>
      <c r="J78" s="96"/>
      <c r="K78" s="96"/>
      <c r="L78" s="96"/>
      <c r="M78" s="96"/>
    </row>
    <row r="79" spans="1:30" ht="13.5" customHeight="1" x14ac:dyDescent="0.25">
      <c r="A79" s="1434" t="s">
        <v>1042</v>
      </c>
      <c r="B79" s="1434"/>
      <c r="C79" s="1434"/>
      <c r="D79" s="1434"/>
      <c r="E79" s="1434"/>
      <c r="F79" s="1434"/>
      <c r="G79" s="1434"/>
      <c r="H79" s="1434"/>
      <c r="I79" s="1434"/>
      <c r="J79" s="1434"/>
      <c r="K79" s="1434"/>
      <c r="L79" s="1434"/>
      <c r="M79" s="1434"/>
    </row>
    <row r="80" spans="1:30" ht="12.75" customHeight="1" x14ac:dyDescent="0.25">
      <c r="A80" s="1435" t="s">
        <v>1138</v>
      </c>
      <c r="B80" s="1435"/>
      <c r="C80" s="1435"/>
      <c r="D80" s="1435"/>
      <c r="E80" s="1435"/>
      <c r="F80" s="1435"/>
      <c r="G80" s="1435"/>
      <c r="H80" s="1435"/>
      <c r="I80" s="1435"/>
      <c r="J80" s="1435"/>
      <c r="K80" s="1435"/>
      <c r="L80" s="1435"/>
      <c r="M80" s="164"/>
    </row>
    <row r="81" spans="1:13" ht="12.75" customHeight="1" x14ac:dyDescent="0.25">
      <c r="A81" s="1433" t="s">
        <v>1139</v>
      </c>
      <c r="B81" s="1433"/>
      <c r="C81" s="1433"/>
      <c r="D81" s="1433"/>
      <c r="E81" s="1433"/>
      <c r="F81" s="1433"/>
      <c r="G81" s="1433"/>
      <c r="H81" s="1433"/>
      <c r="I81" s="1433"/>
      <c r="J81" s="1433"/>
      <c r="K81" s="1433"/>
      <c r="L81" s="1433"/>
      <c r="M81" s="164"/>
    </row>
    <row r="82" spans="1:13" ht="12.75" customHeight="1" x14ac:dyDescent="0.25">
      <c r="A82" s="1422" t="s">
        <v>989</v>
      </c>
      <c r="B82" s="1422"/>
      <c r="C82" s="1422"/>
      <c r="D82" s="1422"/>
      <c r="E82" s="1422"/>
      <c r="F82" s="1422"/>
      <c r="G82" s="1422"/>
      <c r="H82" s="1422"/>
      <c r="I82" s="1422"/>
      <c r="J82" s="1422"/>
      <c r="K82" s="1422"/>
      <c r="L82" s="1422"/>
      <c r="M82" s="1422"/>
    </row>
    <row r="83" spans="1:13" ht="12.75" customHeight="1" x14ac:dyDescent="0.25">
      <c r="A83" s="1422" t="s">
        <v>1029</v>
      </c>
      <c r="B83" s="1422"/>
      <c r="C83" s="1422"/>
      <c r="D83" s="1422"/>
      <c r="E83" s="1422"/>
      <c r="F83" s="1422"/>
      <c r="G83" s="1422"/>
      <c r="H83" s="1422"/>
      <c r="I83" s="1422"/>
      <c r="J83" s="1422"/>
      <c r="K83" s="1422"/>
      <c r="L83" s="1422"/>
      <c r="M83" s="1422"/>
    </row>
    <row r="84" spans="1:13" ht="12.75" customHeight="1" x14ac:dyDescent="0.25">
      <c r="A84" s="1416" t="s">
        <v>1030</v>
      </c>
      <c r="B84" s="1416"/>
      <c r="C84" s="1416"/>
      <c r="D84" s="1416"/>
      <c r="E84" s="1416"/>
      <c r="F84" s="1416"/>
      <c r="G84" s="1416"/>
      <c r="H84" s="1416"/>
      <c r="I84" s="1416"/>
      <c r="J84" s="1416"/>
      <c r="K84" s="1416"/>
      <c r="L84" s="1416"/>
      <c r="M84" s="1416"/>
    </row>
    <row r="85" spans="1:13" ht="12.75" customHeight="1" x14ac:dyDescent="0.25">
      <c r="A85" s="1416" t="s">
        <v>1031</v>
      </c>
      <c r="B85" s="1416"/>
      <c r="C85" s="1416"/>
      <c r="D85" s="1416"/>
      <c r="E85" s="1416"/>
      <c r="F85" s="1416"/>
      <c r="G85" s="1416"/>
      <c r="H85" s="1416"/>
      <c r="I85" s="1416"/>
      <c r="J85" s="1416"/>
      <c r="K85" s="1416"/>
      <c r="L85" s="1416"/>
      <c r="M85" s="1416"/>
    </row>
    <row r="86" spans="1:13" ht="12.75" customHeight="1" x14ac:dyDescent="0.25">
      <c r="A86" s="99" t="s">
        <v>1027</v>
      </c>
      <c r="B86" s="93"/>
      <c r="C86" s="96"/>
      <c r="D86" s="96"/>
      <c r="E86" s="96"/>
      <c r="F86" s="96"/>
      <c r="G86" s="96"/>
      <c r="H86" s="96"/>
      <c r="I86" s="96"/>
      <c r="J86" s="96"/>
      <c r="K86" s="96"/>
      <c r="L86" s="96"/>
      <c r="M86" s="96"/>
    </row>
    <row r="87" spans="1:13" ht="26.25" customHeight="1" x14ac:dyDescent="0.25">
      <c r="A87" s="1416" t="s">
        <v>1028</v>
      </c>
      <c r="B87" s="1416"/>
      <c r="C87" s="1416"/>
      <c r="D87" s="1416"/>
      <c r="E87" s="1416"/>
      <c r="F87" s="1416"/>
      <c r="G87" s="1416"/>
      <c r="H87" s="1416"/>
      <c r="I87" s="1416"/>
      <c r="J87" s="1416"/>
      <c r="K87" s="1416"/>
      <c r="L87" s="1416"/>
      <c r="M87" s="1416"/>
    </row>
    <row r="88" spans="1:13" ht="12.75" customHeight="1" x14ac:dyDescent="0.25">
      <c r="A88" s="99" t="s">
        <v>638</v>
      </c>
      <c r="B88" s="93"/>
      <c r="C88" s="96"/>
      <c r="D88" s="96"/>
      <c r="E88" s="96"/>
      <c r="F88" s="96"/>
      <c r="G88" s="96"/>
      <c r="H88" s="96"/>
      <c r="I88" s="96"/>
      <c r="J88" s="96"/>
      <c r="K88" s="96"/>
      <c r="L88" s="96"/>
      <c r="M88" s="96"/>
    </row>
    <row r="89" spans="1:13" ht="12.75" customHeight="1" x14ac:dyDescent="0.25">
      <c r="A89" s="1416" t="s">
        <v>639</v>
      </c>
      <c r="B89" s="1416"/>
      <c r="C89" s="1416"/>
      <c r="D89" s="1416"/>
      <c r="E89" s="1416"/>
      <c r="F89" s="1416"/>
      <c r="G89" s="1416"/>
      <c r="H89" s="1416"/>
      <c r="I89" s="1416"/>
      <c r="J89" s="1416"/>
      <c r="K89" s="1416"/>
      <c r="L89" s="1416"/>
      <c r="M89" s="1416"/>
    </row>
    <row r="90" spans="1:13" ht="11.25" customHeight="1" x14ac:dyDescent="0.25">
      <c r="A90" s="48"/>
      <c r="B90" s="119"/>
      <c r="C90" s="53"/>
      <c r="D90" s="53"/>
      <c r="E90" s="53"/>
      <c r="F90" s="53"/>
      <c r="G90" s="53"/>
      <c r="H90" s="53"/>
      <c r="I90" s="53"/>
      <c r="J90" s="53"/>
      <c r="K90" s="53"/>
      <c r="L90" s="53"/>
      <c r="M90" s="53"/>
    </row>
    <row r="91" spans="1:13" ht="11.25" customHeight="1" x14ac:dyDescent="0.25">
      <c r="A91" s="120" t="s">
        <v>673</v>
      </c>
      <c r="B91" s="93"/>
      <c r="C91" s="165">
        <f>C65-C76</f>
        <v>0</v>
      </c>
      <c r="D91" s="102">
        <f>D65-D76</f>
        <v>0</v>
      </c>
      <c r="E91" s="102">
        <f>E65-E76</f>
        <v>0</v>
      </c>
      <c r="F91" s="102"/>
      <c r="G91" s="102"/>
      <c r="H91" s="102">
        <f>H65-H76</f>
        <v>0</v>
      </c>
      <c r="I91" s="102">
        <f>I65-I76</f>
        <v>0</v>
      </c>
      <c r="J91" s="102">
        <f>J65-J76</f>
        <v>0</v>
      </c>
      <c r="K91" s="102">
        <f>K65-K76</f>
        <v>0</v>
      </c>
      <c r="L91" s="102">
        <f>L65-L76</f>
        <v>0</v>
      </c>
      <c r="M91" s="165">
        <f>K23-K76</f>
        <v>-33762488</v>
      </c>
    </row>
    <row r="92" spans="1:13" ht="11.25" customHeight="1" x14ac:dyDescent="0.25">
      <c r="C92" s="165"/>
      <c r="D92" s="166"/>
      <c r="E92" s="166"/>
      <c r="F92" s="166"/>
      <c r="G92" s="166"/>
      <c r="H92" s="166"/>
      <c r="I92" s="166"/>
      <c r="J92" s="166"/>
      <c r="K92" s="166"/>
      <c r="L92" s="166"/>
      <c r="M92" s="165"/>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algorithmName="SHA-512" hashValue="VZJZtHLiwMvXS8hrCsSAvtQAbFn0kGdKzwnwOn+Wyx3Pkdh9oZ+SBKMmVV6uOTSL/KAT5KY0b0/zVNNHhVqH6w==" saltValue="1wJRwhWsteW3SPJioDbt8A==" spinCount="100000" sheet="1" objects="1" scenarios="1"/>
  <mergeCells count="12">
    <mergeCell ref="A81:L81"/>
    <mergeCell ref="A82:M82"/>
    <mergeCell ref="A2:A3"/>
    <mergeCell ref="B2:B3"/>
    <mergeCell ref="A79:M79"/>
    <mergeCell ref="C2:K2"/>
    <mergeCell ref="A80:L80"/>
    <mergeCell ref="A83:M83"/>
    <mergeCell ref="A84:M84"/>
    <mergeCell ref="A85:M85"/>
    <mergeCell ref="A87:M87"/>
    <mergeCell ref="A89:M89"/>
  </mergeCells>
  <phoneticPr fontId="4" type="noConversion"/>
  <printOptions horizontalCentered="1"/>
  <pageMargins left="0.35433070866141736" right="0.15748031496062992" top="0.78740157480314965" bottom="0.59055118110236227" header="0.51181102362204722" footer="0.39370078740157483"/>
  <pageSetup paperSize="9" scale="62" orientation="portrait" r:id="rId1"/>
  <headerFooter alignWithMargins="0"/>
  <ignoredErrors>
    <ignoredError sqref="J55 K66:K72 J66:J67 K60:K64 K49 K51:K58 J72"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44"/>
  </sheetPr>
  <dimension ref="A1:AE349"/>
  <sheetViews>
    <sheetView showGridLines="0" showZeros="0" topLeftCell="A223" zoomScaleNormal="100" workbookViewId="0">
      <selection activeCell="I219" sqref="I219"/>
    </sheetView>
  </sheetViews>
  <sheetFormatPr defaultRowHeight="13.5" x14ac:dyDescent="0.25"/>
  <cols>
    <col min="1" max="1" width="27.42578125" style="866" customWidth="1"/>
    <col min="2" max="2" width="5.42578125" style="866" customWidth="1"/>
    <col min="3" max="13" width="10.140625" customWidth="1"/>
    <col min="14" max="27" width="9.140625" customWidth="1"/>
    <col min="28" max="28" width="8.85546875" style="1345" customWidth="1"/>
    <col min="29" max="30" width="9.140625" style="1336" customWidth="1"/>
    <col min="31" max="31" width="9.140625" style="1345"/>
  </cols>
  <sheetData>
    <row r="1" spans="1:30" x14ac:dyDescent="0.25">
      <c r="A1" s="849" t="str">
        <f>muni&amp;" - "&amp;_ADJ5&amp;" - B"&amp;" - "&amp;Date</f>
        <v xml:space="preserve">KZN226 Mkhambathini - Table B5 Adjustments Capital Expenditure Budget by vote and funding - B - </v>
      </c>
      <c r="B1" s="850"/>
      <c r="C1" s="58"/>
      <c r="D1" s="5"/>
      <c r="E1" s="5"/>
      <c r="F1" s="5"/>
      <c r="G1" s="5"/>
      <c r="H1" s="5"/>
      <c r="I1" s="5"/>
      <c r="J1" s="5"/>
      <c r="K1" s="5"/>
      <c r="L1" s="5"/>
      <c r="M1" s="5"/>
      <c r="AC1" s="1346"/>
      <c r="AD1" s="1346"/>
    </row>
    <row r="2" spans="1:30" ht="25.5" x14ac:dyDescent="0.25">
      <c r="A2" s="1436" t="str">
        <f>Vdesc</f>
        <v>Vote Description</v>
      </c>
      <c r="B2" s="1438" t="str">
        <f>head27</f>
        <v>Ref</v>
      </c>
      <c r="C2" s="1417" t="str">
        <f>Head2</f>
        <v>Budget Year 2020/21</v>
      </c>
      <c r="D2" s="1418"/>
      <c r="E2" s="1418"/>
      <c r="F2" s="1418"/>
      <c r="G2" s="1418"/>
      <c r="H2" s="1418"/>
      <c r="I2" s="1418"/>
      <c r="J2" s="1418"/>
      <c r="K2" s="1418"/>
      <c r="L2" s="60" t="str">
        <f>Head10</f>
        <v>Budget Year +1 2021/22</v>
      </c>
      <c r="M2" s="61" t="str">
        <f>Head11</f>
        <v>Budget Year +2 2022/23</v>
      </c>
    </row>
    <row r="3" spans="1:30" ht="25.5" x14ac:dyDescent="0.25">
      <c r="A3" s="1437"/>
      <c r="B3" s="143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30" x14ac:dyDescent="0.25">
      <c r="A4" s="851" t="s">
        <v>604</v>
      </c>
      <c r="B4" s="1439"/>
      <c r="C4" s="65"/>
      <c r="D4" s="15">
        <v>3</v>
      </c>
      <c r="E4" s="15">
        <v>4</v>
      </c>
      <c r="F4" s="15">
        <v>5</v>
      </c>
      <c r="G4" s="15">
        <v>6</v>
      </c>
      <c r="H4" s="15">
        <v>7</v>
      </c>
      <c r="I4" s="15">
        <v>8</v>
      </c>
      <c r="J4" s="15">
        <v>9</v>
      </c>
      <c r="K4" s="15">
        <v>10</v>
      </c>
      <c r="L4" s="15"/>
      <c r="M4" s="17"/>
    </row>
    <row r="5" spans="1:30" x14ac:dyDescent="0.25">
      <c r="A5" s="852" t="s">
        <v>605</v>
      </c>
      <c r="B5" s="1440"/>
      <c r="C5" s="67" t="s">
        <v>549</v>
      </c>
      <c r="D5" s="68" t="s">
        <v>550</v>
      </c>
      <c r="E5" s="68" t="s">
        <v>551</v>
      </c>
      <c r="F5" s="69" t="s">
        <v>552</v>
      </c>
      <c r="G5" s="69" t="s">
        <v>553</v>
      </c>
      <c r="H5" s="69" t="s">
        <v>554</v>
      </c>
      <c r="I5" s="70" t="s">
        <v>555</v>
      </c>
      <c r="J5" s="70" t="s">
        <v>556</v>
      </c>
      <c r="K5" s="70" t="s">
        <v>557</v>
      </c>
      <c r="L5" s="70"/>
      <c r="M5" s="71"/>
    </row>
    <row r="6" spans="1:30" x14ac:dyDescent="0.25">
      <c r="A6" s="853" t="s">
        <v>1015</v>
      </c>
      <c r="B6" s="854"/>
      <c r="C6" s="731"/>
      <c r="D6" s="730"/>
      <c r="E6" s="730"/>
      <c r="F6" s="730"/>
      <c r="G6" s="730"/>
      <c r="H6" s="730"/>
      <c r="I6" s="730"/>
      <c r="J6" s="730"/>
      <c r="K6" s="730"/>
      <c r="L6" s="730"/>
      <c r="M6" s="758"/>
    </row>
    <row r="7" spans="1:30" x14ac:dyDescent="0.25">
      <c r="A7" s="853" t="s">
        <v>1096</v>
      </c>
      <c r="B7" s="855">
        <v>2</v>
      </c>
      <c r="C7" s="766"/>
      <c r="D7" s="767"/>
      <c r="E7" s="767"/>
      <c r="F7" s="767"/>
      <c r="G7" s="767"/>
      <c r="H7" s="767"/>
      <c r="I7" s="767"/>
      <c r="J7" s="767"/>
      <c r="K7" s="767"/>
      <c r="L7" s="767"/>
      <c r="M7" s="768"/>
    </row>
    <row r="8" spans="1:30" x14ac:dyDescent="0.25">
      <c r="A8" s="856" t="str">
        <f>'Org structure'!A2</f>
        <v>Vote 1 - Finance and Administration</v>
      </c>
      <c r="B8" s="857"/>
      <c r="C8" s="733">
        <f>SUM(C9:C18)</f>
        <v>0</v>
      </c>
      <c r="D8" s="732">
        <f t="shared" ref="D8:I8" si="0">SUM(D9:D18)</f>
        <v>0</v>
      </c>
      <c r="E8" s="732">
        <f t="shared" si="0"/>
        <v>0</v>
      </c>
      <c r="F8" s="732">
        <f t="shared" si="0"/>
        <v>0</v>
      </c>
      <c r="G8" s="732">
        <f t="shared" si="0"/>
        <v>0</v>
      </c>
      <c r="H8" s="732">
        <f t="shared" si="0"/>
        <v>0</v>
      </c>
      <c r="I8" s="732">
        <f t="shared" si="0"/>
        <v>0</v>
      </c>
      <c r="J8" s="75">
        <f t="shared" ref="J8:J39" si="1">SUM(E8:I8)</f>
        <v>0</v>
      </c>
      <c r="K8" s="75">
        <f t="shared" ref="K8:K71" si="2">IF(D8=0,C8+J8,D8+J8)</f>
        <v>0</v>
      </c>
      <c r="L8" s="732">
        <f>SUM(L9:L18)</f>
        <v>0</v>
      </c>
      <c r="M8" s="759">
        <f>SUM(M9:M18)</f>
        <v>0</v>
      </c>
    </row>
    <row r="9" spans="1:30" x14ac:dyDescent="0.25">
      <c r="A9" s="748" t="str">
        <f>IF(RIGHT('Org structure'!D3,18)&lt;&gt;"[Name of sub-vote]",'Org structure'!D3,"")</f>
        <v>1.1 - Finance</v>
      </c>
      <c r="B9" s="855"/>
      <c r="C9" s="1358">
        <v>0</v>
      </c>
      <c r="D9" s="1359">
        <v>0</v>
      </c>
      <c r="E9" s="1359"/>
      <c r="F9" s="1359"/>
      <c r="G9" s="1359"/>
      <c r="H9" s="1359"/>
      <c r="I9" s="1359">
        <v>0</v>
      </c>
      <c r="J9" s="75">
        <f t="shared" si="1"/>
        <v>0</v>
      </c>
      <c r="K9" s="75">
        <f t="shared" si="2"/>
        <v>0</v>
      </c>
      <c r="L9" s="1356">
        <v>0</v>
      </c>
      <c r="M9" s="1357">
        <v>0</v>
      </c>
      <c r="AC9" s="1336">
        <v>11</v>
      </c>
      <c r="AD9" s="1336" t="s">
        <v>1846</v>
      </c>
    </row>
    <row r="10" spans="1:30" x14ac:dyDescent="0.25">
      <c r="A10" s="748" t="str">
        <f>IF(RIGHT('Org structure'!D4,18)&lt;&gt;"[Name of sub-vote]",'Org structure'!D4,"")</f>
        <v>1.2 - Fleet Management</v>
      </c>
      <c r="B10" s="855"/>
      <c r="C10" s="1358">
        <v>0</v>
      </c>
      <c r="D10" s="1359">
        <v>0</v>
      </c>
      <c r="E10" s="1359"/>
      <c r="F10" s="1359"/>
      <c r="G10" s="1359"/>
      <c r="H10" s="1359"/>
      <c r="I10" s="1359">
        <v>0</v>
      </c>
      <c r="J10" s="75">
        <f t="shared" si="1"/>
        <v>0</v>
      </c>
      <c r="K10" s="75">
        <f t="shared" si="2"/>
        <v>0</v>
      </c>
      <c r="L10" s="1356">
        <v>0</v>
      </c>
      <c r="M10" s="1357">
        <v>0</v>
      </c>
      <c r="AC10" s="1336">
        <v>12</v>
      </c>
      <c r="AD10" s="1336" t="s">
        <v>1846</v>
      </c>
    </row>
    <row r="11" spans="1:30" x14ac:dyDescent="0.25">
      <c r="A11" s="748" t="str">
        <f>IF(RIGHT('Org structure'!D5,18)&lt;&gt;"[Name of sub-vote]",'Org structure'!D5,"")</f>
        <v>1.3 - Asset Management</v>
      </c>
      <c r="B11" s="855"/>
      <c r="C11" s="1358">
        <v>0</v>
      </c>
      <c r="D11" s="1359">
        <v>0</v>
      </c>
      <c r="E11" s="1359"/>
      <c r="F11" s="1359"/>
      <c r="G11" s="1359"/>
      <c r="H11" s="1359"/>
      <c r="I11" s="1359">
        <v>0</v>
      </c>
      <c r="J11" s="75">
        <f t="shared" si="1"/>
        <v>0</v>
      </c>
      <c r="K11" s="75">
        <f t="shared" si="2"/>
        <v>0</v>
      </c>
      <c r="L11" s="1356">
        <v>0</v>
      </c>
      <c r="M11" s="1357">
        <v>0</v>
      </c>
      <c r="AC11" s="1336">
        <v>13</v>
      </c>
      <c r="AD11" s="1336" t="s">
        <v>1846</v>
      </c>
    </row>
    <row r="12" spans="1:30" x14ac:dyDescent="0.25">
      <c r="A12" s="748" t="str">
        <f>IF(RIGHT('Org structure'!D6,18)&lt;&gt;"[Name of sub-vote]",'Org structure'!D6,"")</f>
        <v>1.4 - Administrative and Corporate Support</v>
      </c>
      <c r="B12" s="855"/>
      <c r="C12" s="1358">
        <v>0</v>
      </c>
      <c r="D12" s="1359">
        <v>0</v>
      </c>
      <c r="E12" s="1359"/>
      <c r="F12" s="1359"/>
      <c r="G12" s="1359"/>
      <c r="H12" s="1359"/>
      <c r="I12" s="1359">
        <v>0</v>
      </c>
      <c r="J12" s="75">
        <f t="shared" si="1"/>
        <v>0</v>
      </c>
      <c r="K12" s="75">
        <f t="shared" si="2"/>
        <v>0</v>
      </c>
      <c r="L12" s="1356">
        <v>0</v>
      </c>
      <c r="M12" s="1357">
        <v>0</v>
      </c>
      <c r="AC12" s="1336">
        <v>14</v>
      </c>
      <c r="AD12" s="1336" t="s">
        <v>1846</v>
      </c>
    </row>
    <row r="13" spans="1:30" x14ac:dyDescent="0.25">
      <c r="A13" s="748" t="str">
        <f>IF(RIGHT('Org structure'!D7,18)&lt;&gt;"[Name of sub-vote]",'Org structure'!D7,"")</f>
        <v>1.5 - Human Resources</v>
      </c>
      <c r="B13" s="855"/>
      <c r="C13" s="1358">
        <v>0</v>
      </c>
      <c r="D13" s="1359">
        <v>0</v>
      </c>
      <c r="E13" s="1359"/>
      <c r="F13" s="1359"/>
      <c r="G13" s="1359"/>
      <c r="H13" s="1359"/>
      <c r="I13" s="1359">
        <v>0</v>
      </c>
      <c r="J13" s="75">
        <f t="shared" si="1"/>
        <v>0</v>
      </c>
      <c r="K13" s="75">
        <f t="shared" si="2"/>
        <v>0</v>
      </c>
      <c r="L13" s="1356">
        <v>0</v>
      </c>
      <c r="M13" s="1357">
        <v>0</v>
      </c>
      <c r="AC13" s="1336">
        <v>15</v>
      </c>
      <c r="AD13" s="1336" t="s">
        <v>1846</v>
      </c>
    </row>
    <row r="14" spans="1:30" x14ac:dyDescent="0.25">
      <c r="A14" s="748" t="str">
        <f>IF(RIGHT('Org structure'!D8,18)&lt;&gt;"[Name of sub-vote]",'Org structure'!D8,"")</f>
        <v>1.6 - Property Services</v>
      </c>
      <c r="B14" s="855"/>
      <c r="C14" s="1358">
        <v>0</v>
      </c>
      <c r="D14" s="1359">
        <v>0</v>
      </c>
      <c r="E14" s="1359"/>
      <c r="F14" s="1359"/>
      <c r="G14" s="1359"/>
      <c r="H14" s="1359"/>
      <c r="I14" s="1359">
        <v>0</v>
      </c>
      <c r="J14" s="75">
        <f t="shared" si="1"/>
        <v>0</v>
      </c>
      <c r="K14" s="75">
        <f t="shared" si="2"/>
        <v>0</v>
      </c>
      <c r="L14" s="1356">
        <v>0</v>
      </c>
      <c r="M14" s="1357">
        <v>0</v>
      </c>
      <c r="AC14" s="1336">
        <v>16</v>
      </c>
      <c r="AD14" s="1336" t="s">
        <v>1846</v>
      </c>
    </row>
    <row r="15" spans="1:30" x14ac:dyDescent="0.25">
      <c r="A15" s="748" t="str">
        <f>IF(RIGHT('Org structure'!D9,18)&lt;&gt;"[Name of sub-vote]",'Org structure'!D9,"")</f>
        <v>1.7 - Legal Services</v>
      </c>
      <c r="B15" s="855"/>
      <c r="C15" s="1358">
        <v>0</v>
      </c>
      <c r="D15" s="1359">
        <v>0</v>
      </c>
      <c r="E15" s="1359"/>
      <c r="F15" s="1359"/>
      <c r="G15" s="1359"/>
      <c r="H15" s="1359"/>
      <c r="I15" s="1359">
        <v>0</v>
      </c>
      <c r="J15" s="75">
        <f t="shared" si="1"/>
        <v>0</v>
      </c>
      <c r="K15" s="75">
        <f t="shared" si="2"/>
        <v>0</v>
      </c>
      <c r="L15" s="1356">
        <v>0</v>
      </c>
      <c r="M15" s="1357">
        <v>0</v>
      </c>
      <c r="AC15" s="1336">
        <v>17</v>
      </c>
      <c r="AD15" s="1336" t="s">
        <v>1846</v>
      </c>
    </row>
    <row r="16" spans="1:30" x14ac:dyDescent="0.25">
      <c r="A16" s="748" t="str">
        <f>IF(RIGHT('Org structure'!D10,18)&lt;&gt;"[Name of sub-vote]",'Org structure'!D10,"")</f>
        <v>1.8 - Information Technology</v>
      </c>
      <c r="B16" s="855"/>
      <c r="C16" s="1358">
        <v>0</v>
      </c>
      <c r="D16" s="1359">
        <v>0</v>
      </c>
      <c r="E16" s="1359"/>
      <c r="F16" s="1359"/>
      <c r="G16" s="1359"/>
      <c r="H16" s="1359"/>
      <c r="I16" s="1359">
        <v>0</v>
      </c>
      <c r="J16" s="75">
        <f t="shared" si="1"/>
        <v>0</v>
      </c>
      <c r="K16" s="75">
        <f t="shared" si="2"/>
        <v>0</v>
      </c>
      <c r="L16" s="1356">
        <v>0</v>
      </c>
      <c r="M16" s="1357">
        <v>0</v>
      </c>
      <c r="AC16" s="1336">
        <v>18</v>
      </c>
      <c r="AD16" s="1336" t="s">
        <v>1846</v>
      </c>
    </row>
    <row r="17" spans="1:30" x14ac:dyDescent="0.25">
      <c r="A17" s="748" t="str">
        <f>IF(RIGHT('Org structure'!D11,18)&lt;&gt;"[Name of sub-vote]",'Org structure'!D11,"")</f>
        <v>1.9 - Marketing, Customer Relations, Publicity and Media Co-ordination</v>
      </c>
      <c r="B17" s="855"/>
      <c r="C17" s="1358">
        <v>0</v>
      </c>
      <c r="D17" s="1359">
        <v>0</v>
      </c>
      <c r="E17" s="1359"/>
      <c r="F17" s="1359"/>
      <c r="G17" s="1359"/>
      <c r="H17" s="1359"/>
      <c r="I17" s="1359">
        <v>0</v>
      </c>
      <c r="J17" s="75">
        <f t="shared" si="1"/>
        <v>0</v>
      </c>
      <c r="K17" s="75">
        <f t="shared" si="2"/>
        <v>0</v>
      </c>
      <c r="L17" s="1356">
        <v>0</v>
      </c>
      <c r="M17" s="1357">
        <v>0</v>
      </c>
      <c r="AC17" s="1336">
        <v>19</v>
      </c>
      <c r="AD17" s="1336" t="s">
        <v>1846</v>
      </c>
    </row>
    <row r="18" spans="1:30" x14ac:dyDescent="0.25">
      <c r="A18" s="748" t="str">
        <f>IF(RIGHT('Org structure'!D12,18)&lt;&gt;"[Name of sub-vote]",'Org structure'!D12,"")</f>
        <v/>
      </c>
      <c r="B18" s="855"/>
      <c r="C18" s="1358">
        <v>0</v>
      </c>
      <c r="D18" s="1359">
        <v>0</v>
      </c>
      <c r="E18" s="1359"/>
      <c r="F18" s="1359"/>
      <c r="G18" s="1359"/>
      <c r="H18" s="1359"/>
      <c r="I18" s="1359">
        <v>0</v>
      </c>
      <c r="J18" s="75">
        <f t="shared" si="1"/>
        <v>0</v>
      </c>
      <c r="K18" s="75">
        <f t="shared" si="2"/>
        <v>0</v>
      </c>
      <c r="L18" s="1356">
        <v>0</v>
      </c>
      <c r="M18" s="1357">
        <v>0</v>
      </c>
      <c r="AC18" s="1336">
        <v>110</v>
      </c>
      <c r="AD18" s="1336" t="s">
        <v>1846</v>
      </c>
    </row>
    <row r="19" spans="1:30" x14ac:dyDescent="0.25">
      <c r="A19" s="856" t="str">
        <f>'Org structure'!A3</f>
        <v>Vote 2 - Finance and Administration2</v>
      </c>
      <c r="B19" s="857"/>
      <c r="C19" s="733">
        <f>SUM(C20:C29)</f>
        <v>0</v>
      </c>
      <c r="D19" s="732">
        <f t="shared" ref="D19:I19" si="3">SUM(D20:D29)</f>
        <v>0</v>
      </c>
      <c r="E19" s="732">
        <f t="shared" si="3"/>
        <v>0</v>
      </c>
      <c r="F19" s="732">
        <f t="shared" si="3"/>
        <v>0</v>
      </c>
      <c r="G19" s="732">
        <f t="shared" si="3"/>
        <v>0</v>
      </c>
      <c r="H19" s="732">
        <f t="shared" si="3"/>
        <v>0</v>
      </c>
      <c r="I19" s="732">
        <f t="shared" si="3"/>
        <v>0</v>
      </c>
      <c r="J19" s="75">
        <f t="shared" si="1"/>
        <v>0</v>
      </c>
      <c r="K19" s="75">
        <f t="shared" si="2"/>
        <v>0</v>
      </c>
      <c r="L19" s="732">
        <f>SUM(L20:L29)</f>
        <v>0</v>
      </c>
      <c r="M19" s="759">
        <f>SUM(M20:M29)</f>
        <v>0</v>
      </c>
    </row>
    <row r="20" spans="1:30" x14ac:dyDescent="0.25">
      <c r="A20" s="858" t="str">
        <f>IF(RIGHT('Org structure'!D14,18)&lt;&gt;"[Name of sub-vote]",'Org structure'!D14,"")</f>
        <v>2.1 - Supply Chain Management</v>
      </c>
      <c r="B20" s="855"/>
      <c r="C20" s="1358">
        <v>0</v>
      </c>
      <c r="D20" s="1359">
        <v>0</v>
      </c>
      <c r="E20" s="1359"/>
      <c r="F20" s="1359"/>
      <c r="G20" s="1359"/>
      <c r="H20" s="1359"/>
      <c r="I20" s="1359">
        <v>0</v>
      </c>
      <c r="J20" s="75">
        <f t="shared" si="1"/>
        <v>0</v>
      </c>
      <c r="K20" s="75">
        <f t="shared" si="2"/>
        <v>0</v>
      </c>
      <c r="L20" s="1356">
        <v>0</v>
      </c>
      <c r="M20" s="1357">
        <v>0</v>
      </c>
      <c r="AC20" s="1336">
        <v>21</v>
      </c>
      <c r="AD20" s="1336" t="s">
        <v>1846</v>
      </c>
    </row>
    <row r="21" spans="1:30" x14ac:dyDescent="0.25">
      <c r="A21" s="858" t="str">
        <f>IF(RIGHT('Org structure'!D15,18)&lt;&gt;"[Name of sub-vote]",'Org structure'!D15,"")</f>
        <v/>
      </c>
      <c r="B21" s="855"/>
      <c r="C21" s="1358">
        <v>0</v>
      </c>
      <c r="D21" s="1359">
        <v>0</v>
      </c>
      <c r="E21" s="1359"/>
      <c r="F21" s="1359"/>
      <c r="G21" s="1359"/>
      <c r="H21" s="1359"/>
      <c r="I21" s="1359">
        <v>0</v>
      </c>
      <c r="J21" s="75">
        <f t="shared" si="1"/>
        <v>0</v>
      </c>
      <c r="K21" s="75">
        <f t="shared" si="2"/>
        <v>0</v>
      </c>
      <c r="L21" s="1356">
        <v>0</v>
      </c>
      <c r="M21" s="1357">
        <v>0</v>
      </c>
      <c r="AC21" s="1336">
        <v>22</v>
      </c>
      <c r="AD21" s="1336" t="s">
        <v>1846</v>
      </c>
    </row>
    <row r="22" spans="1:30" x14ac:dyDescent="0.25">
      <c r="A22" s="858" t="str">
        <f>IF(RIGHT('Org structure'!D16,18)&lt;&gt;"[Name of sub-vote]",'Org structure'!D16,"")</f>
        <v/>
      </c>
      <c r="B22" s="855"/>
      <c r="C22" s="1358">
        <v>0</v>
      </c>
      <c r="D22" s="1359">
        <v>0</v>
      </c>
      <c r="E22" s="1359"/>
      <c r="F22" s="1359"/>
      <c r="G22" s="1359"/>
      <c r="H22" s="1359"/>
      <c r="I22" s="1359">
        <v>0</v>
      </c>
      <c r="J22" s="75">
        <f t="shared" si="1"/>
        <v>0</v>
      </c>
      <c r="K22" s="75">
        <f t="shared" si="2"/>
        <v>0</v>
      </c>
      <c r="L22" s="1356">
        <v>0</v>
      </c>
      <c r="M22" s="1357">
        <v>0</v>
      </c>
      <c r="AC22" s="1336">
        <v>23</v>
      </c>
      <c r="AD22" s="1336" t="s">
        <v>1846</v>
      </c>
    </row>
    <row r="23" spans="1:30" x14ac:dyDescent="0.25">
      <c r="A23" s="858" t="str">
        <f>IF(RIGHT('Org structure'!D17,18)&lt;&gt;"[Name of sub-vote]",'Org structure'!D17,"")</f>
        <v/>
      </c>
      <c r="B23" s="855"/>
      <c r="C23" s="1358">
        <v>0</v>
      </c>
      <c r="D23" s="1359">
        <v>0</v>
      </c>
      <c r="E23" s="1359"/>
      <c r="F23" s="1359"/>
      <c r="G23" s="1359"/>
      <c r="H23" s="1359"/>
      <c r="I23" s="1359">
        <v>0</v>
      </c>
      <c r="J23" s="75">
        <f t="shared" si="1"/>
        <v>0</v>
      </c>
      <c r="K23" s="75">
        <f t="shared" si="2"/>
        <v>0</v>
      </c>
      <c r="L23" s="1356">
        <v>0</v>
      </c>
      <c r="M23" s="1357">
        <v>0</v>
      </c>
      <c r="AC23" s="1336">
        <v>24</v>
      </c>
      <c r="AD23" s="1336" t="s">
        <v>1846</v>
      </c>
    </row>
    <row r="24" spans="1:30" x14ac:dyDescent="0.25">
      <c r="A24" s="858" t="str">
        <f>IF(RIGHT('Org structure'!D18,18)&lt;&gt;"[Name of sub-vote]",'Org structure'!D18,"")</f>
        <v/>
      </c>
      <c r="B24" s="855"/>
      <c r="C24" s="1358">
        <v>0</v>
      </c>
      <c r="D24" s="1359">
        <v>0</v>
      </c>
      <c r="E24" s="1359"/>
      <c r="F24" s="1359"/>
      <c r="G24" s="1359"/>
      <c r="H24" s="1359"/>
      <c r="I24" s="1359">
        <v>0</v>
      </c>
      <c r="J24" s="75">
        <f t="shared" si="1"/>
        <v>0</v>
      </c>
      <c r="K24" s="75">
        <f t="shared" si="2"/>
        <v>0</v>
      </c>
      <c r="L24" s="1356">
        <v>0</v>
      </c>
      <c r="M24" s="1357">
        <v>0</v>
      </c>
      <c r="AC24" s="1336">
        <v>25</v>
      </c>
      <c r="AD24" s="1336" t="s">
        <v>1846</v>
      </c>
    </row>
    <row r="25" spans="1:30" x14ac:dyDescent="0.25">
      <c r="A25" s="858" t="str">
        <f>IF(RIGHT('Org structure'!D19,18)&lt;&gt;"[Name of sub-vote]",'Org structure'!D19,"")</f>
        <v/>
      </c>
      <c r="B25" s="855"/>
      <c r="C25" s="1358">
        <v>0</v>
      </c>
      <c r="D25" s="1359">
        <v>0</v>
      </c>
      <c r="E25" s="1359"/>
      <c r="F25" s="1359"/>
      <c r="G25" s="1359"/>
      <c r="H25" s="1359"/>
      <c r="I25" s="1359">
        <v>0</v>
      </c>
      <c r="J25" s="75">
        <f t="shared" si="1"/>
        <v>0</v>
      </c>
      <c r="K25" s="75">
        <f t="shared" si="2"/>
        <v>0</v>
      </c>
      <c r="L25" s="1356">
        <v>0</v>
      </c>
      <c r="M25" s="1357">
        <v>0</v>
      </c>
      <c r="AC25" s="1336">
        <v>26</v>
      </c>
      <c r="AD25" s="1336" t="s">
        <v>1846</v>
      </c>
    </row>
    <row r="26" spans="1:30" x14ac:dyDescent="0.25">
      <c r="A26" s="858" t="str">
        <f>IF(RIGHT('Org structure'!D20,18)&lt;&gt;"[Name of sub-vote]",'Org structure'!D20,"")</f>
        <v/>
      </c>
      <c r="B26" s="855"/>
      <c r="C26" s="1358">
        <v>0</v>
      </c>
      <c r="D26" s="1359">
        <v>0</v>
      </c>
      <c r="E26" s="1359"/>
      <c r="F26" s="1359"/>
      <c r="G26" s="1359"/>
      <c r="H26" s="1359"/>
      <c r="I26" s="1359">
        <v>0</v>
      </c>
      <c r="J26" s="75">
        <f t="shared" si="1"/>
        <v>0</v>
      </c>
      <c r="K26" s="75">
        <f t="shared" si="2"/>
        <v>0</v>
      </c>
      <c r="L26" s="1356">
        <v>0</v>
      </c>
      <c r="M26" s="1357">
        <v>0</v>
      </c>
      <c r="AC26" s="1336">
        <v>27</v>
      </c>
      <c r="AD26" s="1336" t="s">
        <v>1846</v>
      </c>
    </row>
    <row r="27" spans="1:30" x14ac:dyDescent="0.25">
      <c r="A27" s="858" t="str">
        <f>IF(RIGHT('Org structure'!D21,18)&lt;&gt;"[Name of sub-vote]",'Org structure'!D21,"")</f>
        <v/>
      </c>
      <c r="B27" s="855"/>
      <c r="C27" s="1358">
        <v>0</v>
      </c>
      <c r="D27" s="1359">
        <v>0</v>
      </c>
      <c r="E27" s="1359"/>
      <c r="F27" s="1359"/>
      <c r="G27" s="1359"/>
      <c r="H27" s="1359"/>
      <c r="I27" s="1359">
        <v>0</v>
      </c>
      <c r="J27" s="75">
        <f t="shared" si="1"/>
        <v>0</v>
      </c>
      <c r="K27" s="75">
        <f t="shared" si="2"/>
        <v>0</v>
      </c>
      <c r="L27" s="1356">
        <v>0</v>
      </c>
      <c r="M27" s="1357">
        <v>0</v>
      </c>
      <c r="AC27" s="1336">
        <v>28</v>
      </c>
      <c r="AD27" s="1336" t="s">
        <v>1846</v>
      </c>
    </row>
    <row r="28" spans="1:30" x14ac:dyDescent="0.25">
      <c r="A28" s="858" t="str">
        <f>IF(RIGHT('Org structure'!D22,18)&lt;&gt;"[Name of sub-vote]",'Org structure'!D22,"")</f>
        <v/>
      </c>
      <c r="B28" s="855"/>
      <c r="C28" s="1358">
        <v>0</v>
      </c>
      <c r="D28" s="1359">
        <v>0</v>
      </c>
      <c r="E28" s="1359"/>
      <c r="F28" s="1359"/>
      <c r="G28" s="1359"/>
      <c r="H28" s="1359"/>
      <c r="I28" s="1359">
        <v>0</v>
      </c>
      <c r="J28" s="75">
        <f t="shared" si="1"/>
        <v>0</v>
      </c>
      <c r="K28" s="75">
        <f t="shared" si="2"/>
        <v>0</v>
      </c>
      <c r="L28" s="1356">
        <v>0</v>
      </c>
      <c r="M28" s="1357">
        <v>0</v>
      </c>
      <c r="AC28" s="1336">
        <v>29</v>
      </c>
      <c r="AD28" s="1336" t="s">
        <v>1846</v>
      </c>
    </row>
    <row r="29" spans="1:30" x14ac:dyDescent="0.25">
      <c r="A29" s="858" t="str">
        <f>IF(RIGHT('Org structure'!D23,18)&lt;&gt;"[Name of sub-vote]",'Org structure'!D23,"")</f>
        <v/>
      </c>
      <c r="B29" s="855"/>
      <c r="C29" s="1358">
        <v>0</v>
      </c>
      <c r="D29" s="1359">
        <v>0</v>
      </c>
      <c r="E29" s="1359"/>
      <c r="F29" s="1359"/>
      <c r="G29" s="1359"/>
      <c r="H29" s="1359"/>
      <c r="I29" s="1359">
        <v>0</v>
      </c>
      <c r="J29" s="75">
        <f t="shared" si="1"/>
        <v>0</v>
      </c>
      <c r="K29" s="75">
        <f t="shared" si="2"/>
        <v>0</v>
      </c>
      <c r="L29" s="1356">
        <v>0</v>
      </c>
      <c r="M29" s="1357">
        <v>0</v>
      </c>
      <c r="AC29" s="1336">
        <v>210</v>
      </c>
      <c r="AD29" s="1336" t="s">
        <v>1846</v>
      </c>
    </row>
    <row r="30" spans="1:30" x14ac:dyDescent="0.25">
      <c r="A30" s="856" t="str">
        <f>'Org structure'!A4</f>
        <v>Vote 3 - Executive and Council</v>
      </c>
      <c r="B30" s="857"/>
      <c r="C30" s="733">
        <f>SUM(C31:C40)</f>
        <v>0</v>
      </c>
      <c r="D30" s="732">
        <f t="shared" ref="D30:I30" si="4">SUM(D31:D40)</f>
        <v>0</v>
      </c>
      <c r="E30" s="732">
        <f t="shared" si="4"/>
        <v>0</v>
      </c>
      <c r="F30" s="732">
        <f t="shared" si="4"/>
        <v>0</v>
      </c>
      <c r="G30" s="732">
        <f t="shared" si="4"/>
        <v>0</v>
      </c>
      <c r="H30" s="732">
        <f t="shared" si="4"/>
        <v>0</v>
      </c>
      <c r="I30" s="732">
        <f t="shared" si="4"/>
        <v>0</v>
      </c>
      <c r="J30" s="75">
        <f t="shared" si="1"/>
        <v>0</v>
      </c>
      <c r="K30" s="75">
        <f t="shared" si="2"/>
        <v>0</v>
      </c>
      <c r="L30" s="732">
        <f>SUM(L31:L40)</f>
        <v>0</v>
      </c>
      <c r="M30" s="759">
        <f>SUM(M31:M40)</f>
        <v>0</v>
      </c>
    </row>
    <row r="31" spans="1:30" x14ac:dyDescent="0.25">
      <c r="A31" s="858" t="str">
        <f>IF(RIGHT('Org structure'!D25,18)&lt;&gt;"[Name of sub-vote]",'Org structure'!D25,"")</f>
        <v>3.1 - Municipal Manager, Town Secretary and Chief Executive</v>
      </c>
      <c r="B31" s="855"/>
      <c r="C31" s="1358">
        <v>0</v>
      </c>
      <c r="D31" s="1359">
        <v>0</v>
      </c>
      <c r="E31" s="1359"/>
      <c r="F31" s="1359"/>
      <c r="G31" s="1359"/>
      <c r="H31" s="1359"/>
      <c r="I31" s="1359">
        <v>0</v>
      </c>
      <c r="J31" s="75">
        <f t="shared" si="1"/>
        <v>0</v>
      </c>
      <c r="K31" s="75">
        <f t="shared" si="2"/>
        <v>0</v>
      </c>
      <c r="L31" s="1356">
        <v>0</v>
      </c>
      <c r="M31" s="1357">
        <v>0</v>
      </c>
      <c r="AC31" s="1336">
        <v>31</v>
      </c>
      <c r="AD31" s="1336" t="s">
        <v>1846</v>
      </c>
    </row>
    <row r="32" spans="1:30" x14ac:dyDescent="0.25">
      <c r="A32" s="858" t="str">
        <f>IF(RIGHT('Org structure'!D26,18)&lt;&gt;"[Name of sub-vote]",'Org structure'!D26,"")</f>
        <v>3.2 - Mayor and Council</v>
      </c>
      <c r="B32" s="855"/>
      <c r="C32" s="1358">
        <v>0</v>
      </c>
      <c r="D32" s="1359">
        <v>0</v>
      </c>
      <c r="E32" s="1359"/>
      <c r="F32" s="1359"/>
      <c r="G32" s="1359"/>
      <c r="H32" s="1359"/>
      <c r="I32" s="1359">
        <v>0</v>
      </c>
      <c r="J32" s="75">
        <f t="shared" si="1"/>
        <v>0</v>
      </c>
      <c r="K32" s="75">
        <f t="shared" si="2"/>
        <v>0</v>
      </c>
      <c r="L32" s="1356">
        <v>0</v>
      </c>
      <c r="M32" s="1357">
        <v>0</v>
      </c>
      <c r="AC32" s="1336">
        <v>32</v>
      </c>
      <c r="AD32" s="1336" t="s">
        <v>1846</v>
      </c>
    </row>
    <row r="33" spans="1:30" x14ac:dyDescent="0.25">
      <c r="A33" s="858" t="str">
        <f>IF(RIGHT('Org structure'!D27,18)&lt;&gt;"[Name of sub-vote]",'Org structure'!D27,"")</f>
        <v/>
      </c>
      <c r="B33" s="855"/>
      <c r="C33" s="1358">
        <v>0</v>
      </c>
      <c r="D33" s="1359">
        <v>0</v>
      </c>
      <c r="E33" s="1359"/>
      <c r="F33" s="1359"/>
      <c r="G33" s="1359"/>
      <c r="H33" s="1359"/>
      <c r="I33" s="1359">
        <v>0</v>
      </c>
      <c r="J33" s="75">
        <f t="shared" si="1"/>
        <v>0</v>
      </c>
      <c r="K33" s="75">
        <f t="shared" si="2"/>
        <v>0</v>
      </c>
      <c r="L33" s="1356">
        <v>0</v>
      </c>
      <c r="M33" s="1357">
        <v>0</v>
      </c>
      <c r="AC33" s="1336">
        <v>33</v>
      </c>
      <c r="AD33" s="1336" t="s">
        <v>1846</v>
      </c>
    </row>
    <row r="34" spans="1:30" x14ac:dyDescent="0.25">
      <c r="A34" s="858" t="str">
        <f>IF(RIGHT('Org structure'!D28,18)&lt;&gt;"[Name of sub-vote]",'Org structure'!D28,"")</f>
        <v/>
      </c>
      <c r="B34" s="855"/>
      <c r="C34" s="1358">
        <v>0</v>
      </c>
      <c r="D34" s="1359">
        <v>0</v>
      </c>
      <c r="E34" s="1359"/>
      <c r="F34" s="1359"/>
      <c r="G34" s="1359"/>
      <c r="H34" s="1359"/>
      <c r="I34" s="1359">
        <v>0</v>
      </c>
      <c r="J34" s="75">
        <f t="shared" si="1"/>
        <v>0</v>
      </c>
      <c r="K34" s="75">
        <f t="shared" si="2"/>
        <v>0</v>
      </c>
      <c r="L34" s="1356">
        <v>0</v>
      </c>
      <c r="M34" s="1357">
        <v>0</v>
      </c>
      <c r="AC34" s="1336">
        <v>34</v>
      </c>
      <c r="AD34" s="1336" t="s">
        <v>1846</v>
      </c>
    </row>
    <row r="35" spans="1:30" x14ac:dyDescent="0.25">
      <c r="A35" s="858" t="str">
        <f>IF(RIGHT('Org structure'!D29,18)&lt;&gt;"[Name of sub-vote]",'Org structure'!D29,"")</f>
        <v/>
      </c>
      <c r="B35" s="855"/>
      <c r="C35" s="1358">
        <v>0</v>
      </c>
      <c r="D35" s="1359">
        <v>0</v>
      </c>
      <c r="E35" s="1359"/>
      <c r="F35" s="1359"/>
      <c r="G35" s="1359"/>
      <c r="H35" s="1359"/>
      <c r="I35" s="1359">
        <v>0</v>
      </c>
      <c r="J35" s="75">
        <f t="shared" si="1"/>
        <v>0</v>
      </c>
      <c r="K35" s="75">
        <f t="shared" si="2"/>
        <v>0</v>
      </c>
      <c r="L35" s="1356">
        <v>0</v>
      </c>
      <c r="M35" s="1357">
        <v>0</v>
      </c>
      <c r="AC35" s="1336">
        <v>35</v>
      </c>
      <c r="AD35" s="1336" t="s">
        <v>1846</v>
      </c>
    </row>
    <row r="36" spans="1:30" x14ac:dyDescent="0.25">
      <c r="A36" s="858" t="str">
        <f>IF(RIGHT('Org structure'!D30,18)&lt;&gt;"[Name of sub-vote]",'Org structure'!D30,"")</f>
        <v/>
      </c>
      <c r="B36" s="855"/>
      <c r="C36" s="1358">
        <v>0</v>
      </c>
      <c r="D36" s="1359">
        <v>0</v>
      </c>
      <c r="E36" s="1359"/>
      <c r="F36" s="1359"/>
      <c r="G36" s="1359"/>
      <c r="H36" s="1359"/>
      <c r="I36" s="1359">
        <v>0</v>
      </c>
      <c r="J36" s="75">
        <f t="shared" si="1"/>
        <v>0</v>
      </c>
      <c r="K36" s="75">
        <f t="shared" si="2"/>
        <v>0</v>
      </c>
      <c r="L36" s="1356">
        <v>0</v>
      </c>
      <c r="M36" s="1357">
        <v>0</v>
      </c>
      <c r="AC36" s="1336">
        <v>36</v>
      </c>
      <c r="AD36" s="1336" t="s">
        <v>1846</v>
      </c>
    </row>
    <row r="37" spans="1:30" x14ac:dyDescent="0.25">
      <c r="A37" s="858" t="str">
        <f>IF(RIGHT('Org structure'!D31,18)&lt;&gt;"[Name of sub-vote]",'Org structure'!D31,"")</f>
        <v/>
      </c>
      <c r="B37" s="855"/>
      <c r="C37" s="1358">
        <v>0</v>
      </c>
      <c r="D37" s="1359">
        <v>0</v>
      </c>
      <c r="E37" s="1359"/>
      <c r="F37" s="1359"/>
      <c r="G37" s="1359"/>
      <c r="H37" s="1359"/>
      <c r="I37" s="1359">
        <v>0</v>
      </c>
      <c r="J37" s="75">
        <f t="shared" si="1"/>
        <v>0</v>
      </c>
      <c r="K37" s="75">
        <f t="shared" si="2"/>
        <v>0</v>
      </c>
      <c r="L37" s="1356">
        <v>0</v>
      </c>
      <c r="M37" s="1357">
        <v>0</v>
      </c>
      <c r="AC37" s="1336">
        <v>37</v>
      </c>
      <c r="AD37" s="1336" t="s">
        <v>1846</v>
      </c>
    </row>
    <row r="38" spans="1:30" x14ac:dyDescent="0.25">
      <c r="A38" s="858" t="str">
        <f>IF(RIGHT('Org structure'!D32,18)&lt;&gt;"[Name of sub-vote]",'Org structure'!D32,"")</f>
        <v/>
      </c>
      <c r="B38" s="855"/>
      <c r="C38" s="1358">
        <v>0</v>
      </c>
      <c r="D38" s="1359">
        <v>0</v>
      </c>
      <c r="E38" s="1359"/>
      <c r="F38" s="1359"/>
      <c r="G38" s="1359"/>
      <c r="H38" s="1359"/>
      <c r="I38" s="1359">
        <v>0</v>
      </c>
      <c r="J38" s="75">
        <f t="shared" si="1"/>
        <v>0</v>
      </c>
      <c r="K38" s="75">
        <f t="shared" si="2"/>
        <v>0</v>
      </c>
      <c r="L38" s="1356">
        <v>0</v>
      </c>
      <c r="M38" s="1357">
        <v>0</v>
      </c>
      <c r="AC38" s="1336">
        <v>38</v>
      </c>
      <c r="AD38" s="1336" t="s">
        <v>1846</v>
      </c>
    </row>
    <row r="39" spans="1:30" x14ac:dyDescent="0.25">
      <c r="A39" s="858" t="str">
        <f>IF(RIGHT('Org structure'!D33,18)&lt;&gt;"[Name of sub-vote]",'Org structure'!D33,"")</f>
        <v/>
      </c>
      <c r="B39" s="855"/>
      <c r="C39" s="1358">
        <v>0</v>
      </c>
      <c r="D39" s="1359">
        <v>0</v>
      </c>
      <c r="E39" s="1359"/>
      <c r="F39" s="1359"/>
      <c r="G39" s="1359"/>
      <c r="H39" s="1359"/>
      <c r="I39" s="1359">
        <v>0</v>
      </c>
      <c r="J39" s="75">
        <f t="shared" si="1"/>
        <v>0</v>
      </c>
      <c r="K39" s="75">
        <f t="shared" si="2"/>
        <v>0</v>
      </c>
      <c r="L39" s="1356">
        <v>0</v>
      </c>
      <c r="M39" s="1357">
        <v>0</v>
      </c>
      <c r="AC39" s="1336">
        <v>39</v>
      </c>
      <c r="AD39" s="1336" t="s">
        <v>1846</v>
      </c>
    </row>
    <row r="40" spans="1:30" x14ac:dyDescent="0.25">
      <c r="A40" s="858" t="str">
        <f>IF(RIGHT('Org structure'!D34,18)&lt;&gt;"[Name of sub-vote]",'Org structure'!D34,"")</f>
        <v/>
      </c>
      <c r="B40" s="855"/>
      <c r="C40" s="1358">
        <v>0</v>
      </c>
      <c r="D40" s="1359">
        <v>0</v>
      </c>
      <c r="E40" s="1359"/>
      <c r="F40" s="1359"/>
      <c r="G40" s="1359"/>
      <c r="H40" s="1359"/>
      <c r="I40" s="1359">
        <v>0</v>
      </c>
      <c r="J40" s="75">
        <f t="shared" ref="J40:J71" si="5">SUM(E40:I40)</f>
        <v>0</v>
      </c>
      <c r="K40" s="75">
        <f t="shared" si="2"/>
        <v>0</v>
      </c>
      <c r="L40" s="1356">
        <v>0</v>
      </c>
      <c r="M40" s="1357">
        <v>0</v>
      </c>
      <c r="AC40" s="1336">
        <v>310</v>
      </c>
      <c r="AD40" s="1336" t="s">
        <v>1846</v>
      </c>
    </row>
    <row r="41" spans="1:30" x14ac:dyDescent="0.25">
      <c r="A41" s="856" t="str">
        <f>'Org structure'!A5</f>
        <v>Vote 4 - Community and Social Services</v>
      </c>
      <c r="B41" s="857"/>
      <c r="C41" s="733">
        <f>SUM(C42:C51)</f>
        <v>0</v>
      </c>
      <c r="D41" s="732">
        <f t="shared" ref="D41:I41" si="6">SUM(D42:D51)</f>
        <v>0</v>
      </c>
      <c r="E41" s="732">
        <f t="shared" si="6"/>
        <v>0</v>
      </c>
      <c r="F41" s="732">
        <f t="shared" si="6"/>
        <v>0</v>
      </c>
      <c r="G41" s="732">
        <f t="shared" si="6"/>
        <v>0</v>
      </c>
      <c r="H41" s="732">
        <f t="shared" si="6"/>
        <v>0</v>
      </c>
      <c r="I41" s="732">
        <f t="shared" si="6"/>
        <v>0</v>
      </c>
      <c r="J41" s="75">
        <f t="shared" si="5"/>
        <v>0</v>
      </c>
      <c r="K41" s="75">
        <f t="shared" si="2"/>
        <v>0</v>
      </c>
      <c r="L41" s="732">
        <f>SUM(L42:L51)</f>
        <v>0</v>
      </c>
      <c r="M41" s="759">
        <f>SUM(M42:M51)</f>
        <v>0</v>
      </c>
    </row>
    <row r="42" spans="1:30" x14ac:dyDescent="0.25">
      <c r="A42" s="858" t="str">
        <f>IF(RIGHT('Org structure'!D36,18)&lt;&gt;"[Name of sub-vote]",'Org structure'!D36,"")</f>
        <v>4.1 - Disaster Management</v>
      </c>
      <c r="B42" s="855"/>
      <c r="C42" s="1358">
        <v>0</v>
      </c>
      <c r="D42" s="1359">
        <v>0</v>
      </c>
      <c r="E42" s="1359"/>
      <c r="F42" s="1359"/>
      <c r="G42" s="1359"/>
      <c r="H42" s="1359"/>
      <c r="I42" s="1359">
        <v>0</v>
      </c>
      <c r="J42" s="75">
        <f t="shared" si="5"/>
        <v>0</v>
      </c>
      <c r="K42" s="75">
        <f t="shared" si="2"/>
        <v>0</v>
      </c>
      <c r="L42" s="1356">
        <v>0</v>
      </c>
      <c r="M42" s="1357">
        <v>0</v>
      </c>
      <c r="AC42" s="1336">
        <v>41</v>
      </c>
      <c r="AD42" s="1336" t="s">
        <v>1846</v>
      </c>
    </row>
    <row r="43" spans="1:30" x14ac:dyDescent="0.25">
      <c r="A43" s="858" t="str">
        <f>IF(RIGHT('Org structure'!D37,18)&lt;&gt;"[Name of sub-vote]",'Org structure'!D37,"")</f>
        <v>4.2 - Libraries and Archives</v>
      </c>
      <c r="B43" s="855"/>
      <c r="C43" s="1358">
        <v>0</v>
      </c>
      <c r="D43" s="1359">
        <v>0</v>
      </c>
      <c r="E43" s="1359"/>
      <c r="F43" s="1359"/>
      <c r="G43" s="1359"/>
      <c r="H43" s="1359"/>
      <c r="I43" s="1359">
        <v>0</v>
      </c>
      <c r="J43" s="75">
        <f t="shared" si="5"/>
        <v>0</v>
      </c>
      <c r="K43" s="75">
        <f t="shared" si="2"/>
        <v>0</v>
      </c>
      <c r="L43" s="1356">
        <v>0</v>
      </c>
      <c r="M43" s="1357">
        <v>0</v>
      </c>
      <c r="AC43" s="1336">
        <v>42</v>
      </c>
      <c r="AD43" s="1336" t="s">
        <v>1846</v>
      </c>
    </row>
    <row r="44" spans="1:30" x14ac:dyDescent="0.25">
      <c r="A44" s="858" t="str">
        <f>IF(RIGHT('Org structure'!D38,18)&lt;&gt;"[Name of sub-vote]",'Org structure'!D38,"")</f>
        <v>4.3 - Population Development</v>
      </c>
      <c r="B44" s="855"/>
      <c r="C44" s="1358">
        <v>0</v>
      </c>
      <c r="D44" s="1359">
        <v>0</v>
      </c>
      <c r="E44" s="1359"/>
      <c r="F44" s="1359"/>
      <c r="G44" s="1359"/>
      <c r="H44" s="1359"/>
      <c r="I44" s="1359">
        <v>0</v>
      </c>
      <c r="J44" s="75">
        <f t="shared" si="5"/>
        <v>0</v>
      </c>
      <c r="K44" s="75">
        <f t="shared" si="2"/>
        <v>0</v>
      </c>
      <c r="L44" s="1356">
        <v>0</v>
      </c>
      <c r="M44" s="1357">
        <v>0</v>
      </c>
      <c r="AC44" s="1336">
        <v>43</v>
      </c>
      <c r="AD44" s="1336" t="s">
        <v>1846</v>
      </c>
    </row>
    <row r="45" spans="1:30" x14ac:dyDescent="0.25">
      <c r="A45" s="858" t="str">
        <f>IF(RIGHT('Org structure'!D39,18)&lt;&gt;"[Name of sub-vote]",'Org structure'!D39,"")</f>
        <v>4.4 - Cultural Matters</v>
      </c>
      <c r="B45" s="855"/>
      <c r="C45" s="1358">
        <v>0</v>
      </c>
      <c r="D45" s="1359">
        <v>0</v>
      </c>
      <c r="E45" s="1359"/>
      <c r="F45" s="1359"/>
      <c r="G45" s="1359"/>
      <c r="H45" s="1359"/>
      <c r="I45" s="1359">
        <v>0</v>
      </c>
      <c r="J45" s="75">
        <f t="shared" si="5"/>
        <v>0</v>
      </c>
      <c r="K45" s="75">
        <f t="shared" si="2"/>
        <v>0</v>
      </c>
      <c r="L45" s="1356">
        <v>0</v>
      </c>
      <c r="M45" s="1357">
        <v>0</v>
      </c>
      <c r="AC45" s="1336">
        <v>44</v>
      </c>
      <c r="AD45" s="1336" t="s">
        <v>1846</v>
      </c>
    </row>
    <row r="46" spans="1:30" x14ac:dyDescent="0.25">
      <c r="A46" s="858" t="str">
        <f>IF(RIGHT('Org structure'!D40,18)&lt;&gt;"[Name of sub-vote]",'Org structure'!D40,"")</f>
        <v>4.5 - Indigenous and Customary Law</v>
      </c>
      <c r="B46" s="855"/>
      <c r="C46" s="1358">
        <v>0</v>
      </c>
      <c r="D46" s="1359">
        <v>0</v>
      </c>
      <c r="E46" s="1359"/>
      <c r="F46" s="1359"/>
      <c r="G46" s="1359"/>
      <c r="H46" s="1359"/>
      <c r="I46" s="1359">
        <v>0</v>
      </c>
      <c r="J46" s="75">
        <f t="shared" si="5"/>
        <v>0</v>
      </c>
      <c r="K46" s="75">
        <f t="shared" si="2"/>
        <v>0</v>
      </c>
      <c r="L46" s="1356">
        <v>0</v>
      </c>
      <c r="M46" s="1357">
        <v>0</v>
      </c>
      <c r="AC46" s="1336">
        <v>45</v>
      </c>
      <c r="AD46" s="1336" t="s">
        <v>1846</v>
      </c>
    </row>
    <row r="47" spans="1:30" x14ac:dyDescent="0.25">
      <c r="A47" s="858" t="str">
        <f>IF(RIGHT('Org structure'!D41,18)&lt;&gt;"[Name of sub-vote]",'Org structure'!D41,"")</f>
        <v>4.6 - Industrial Promotion</v>
      </c>
      <c r="B47" s="855"/>
      <c r="C47" s="1358">
        <v>0</v>
      </c>
      <c r="D47" s="1359">
        <v>0</v>
      </c>
      <c r="E47" s="1359"/>
      <c r="F47" s="1359"/>
      <c r="G47" s="1359"/>
      <c r="H47" s="1359"/>
      <c r="I47" s="1359">
        <v>0</v>
      </c>
      <c r="J47" s="75">
        <f t="shared" si="5"/>
        <v>0</v>
      </c>
      <c r="K47" s="75">
        <f t="shared" si="2"/>
        <v>0</v>
      </c>
      <c r="L47" s="1356">
        <v>0</v>
      </c>
      <c r="M47" s="1357">
        <v>0</v>
      </c>
      <c r="AC47" s="1336">
        <v>46</v>
      </c>
      <c r="AD47" s="1336" t="s">
        <v>1846</v>
      </c>
    </row>
    <row r="48" spans="1:30" x14ac:dyDescent="0.25">
      <c r="A48" s="858" t="str">
        <f>IF(RIGHT('Org structure'!D42,18)&lt;&gt;"[Name of sub-vote]",'Org structure'!D42,"")</f>
        <v>4.7 - Agricultural</v>
      </c>
      <c r="B48" s="855"/>
      <c r="C48" s="1358">
        <v>0</v>
      </c>
      <c r="D48" s="1359">
        <v>0</v>
      </c>
      <c r="E48" s="1359"/>
      <c r="F48" s="1359"/>
      <c r="G48" s="1359"/>
      <c r="H48" s="1359"/>
      <c r="I48" s="1359">
        <v>0</v>
      </c>
      <c r="J48" s="75">
        <f t="shared" si="5"/>
        <v>0</v>
      </c>
      <c r="K48" s="75">
        <f t="shared" si="2"/>
        <v>0</v>
      </c>
      <c r="L48" s="1356">
        <v>0</v>
      </c>
      <c r="M48" s="1357">
        <v>0</v>
      </c>
      <c r="AC48" s="1336">
        <v>47</v>
      </c>
      <c r="AD48" s="1336" t="s">
        <v>1846</v>
      </c>
    </row>
    <row r="49" spans="1:30" x14ac:dyDescent="0.25">
      <c r="A49" s="858" t="str">
        <f>IF(RIGHT('Org structure'!D43,18)&lt;&gt;"[Name of sub-vote]",'Org structure'!D43,"")</f>
        <v>4.8 - Aged Care</v>
      </c>
      <c r="B49" s="855"/>
      <c r="C49" s="1358">
        <v>0</v>
      </c>
      <c r="D49" s="1359">
        <v>0</v>
      </c>
      <c r="E49" s="1359"/>
      <c r="F49" s="1359"/>
      <c r="G49" s="1359"/>
      <c r="H49" s="1359"/>
      <c r="I49" s="1359">
        <v>0</v>
      </c>
      <c r="J49" s="75">
        <f t="shared" si="5"/>
        <v>0</v>
      </c>
      <c r="K49" s="75">
        <f t="shared" si="2"/>
        <v>0</v>
      </c>
      <c r="L49" s="1356">
        <v>0</v>
      </c>
      <c r="M49" s="1357">
        <v>0</v>
      </c>
      <c r="AC49" s="1336">
        <v>48</v>
      </c>
      <c r="AD49" s="1336" t="s">
        <v>1846</v>
      </c>
    </row>
    <row r="50" spans="1:30" x14ac:dyDescent="0.25">
      <c r="A50" s="858" t="str">
        <f>IF(RIGHT('Org structure'!D44,18)&lt;&gt;"[Name of sub-vote]",'Org structure'!D44,"")</f>
        <v>4.9 - Child Care Facilities</v>
      </c>
      <c r="B50" s="855"/>
      <c r="C50" s="1358">
        <v>0</v>
      </c>
      <c r="D50" s="1359">
        <v>0</v>
      </c>
      <c r="E50" s="1359"/>
      <c r="F50" s="1359"/>
      <c r="G50" s="1359"/>
      <c r="H50" s="1359"/>
      <c r="I50" s="1359">
        <v>0</v>
      </c>
      <c r="J50" s="75">
        <f t="shared" si="5"/>
        <v>0</v>
      </c>
      <c r="K50" s="75">
        <f t="shared" si="2"/>
        <v>0</v>
      </c>
      <c r="L50" s="1356">
        <v>0</v>
      </c>
      <c r="M50" s="1357">
        <v>0</v>
      </c>
      <c r="AC50" s="1336">
        <v>49</v>
      </c>
      <c r="AD50" s="1336" t="s">
        <v>1846</v>
      </c>
    </row>
    <row r="51" spans="1:30" x14ac:dyDescent="0.25">
      <c r="A51" s="858" t="str">
        <f>IF(RIGHT('Org structure'!D45,18)&lt;&gt;"[Name of sub-vote]",'Org structure'!D45,"")</f>
        <v/>
      </c>
      <c r="B51" s="855"/>
      <c r="C51" s="1358">
        <v>0</v>
      </c>
      <c r="D51" s="1359">
        <v>0</v>
      </c>
      <c r="E51" s="1359"/>
      <c r="F51" s="1359"/>
      <c r="G51" s="1359"/>
      <c r="H51" s="1359"/>
      <c r="I51" s="1359">
        <v>0</v>
      </c>
      <c r="J51" s="75">
        <f t="shared" si="5"/>
        <v>0</v>
      </c>
      <c r="K51" s="75">
        <f t="shared" si="2"/>
        <v>0</v>
      </c>
      <c r="L51" s="1356">
        <v>0</v>
      </c>
      <c r="M51" s="1357">
        <v>0</v>
      </c>
      <c r="AC51" s="1336">
        <v>410</v>
      </c>
      <c r="AD51" s="1336" t="s">
        <v>1846</v>
      </c>
    </row>
    <row r="52" spans="1:30" x14ac:dyDescent="0.25">
      <c r="A52" s="856" t="str">
        <f>'Org structure'!A6</f>
        <v>Vote 5 - Community and Social Services2</v>
      </c>
      <c r="B52" s="857"/>
      <c r="C52" s="733">
        <f>SUM(C53:C62)</f>
        <v>0</v>
      </c>
      <c r="D52" s="732">
        <f t="shared" ref="D52:I52" si="7">SUM(D53:D62)</f>
        <v>0</v>
      </c>
      <c r="E52" s="732">
        <f t="shared" si="7"/>
        <v>0</v>
      </c>
      <c r="F52" s="732">
        <f t="shared" si="7"/>
        <v>0</v>
      </c>
      <c r="G52" s="732">
        <f t="shared" si="7"/>
        <v>0</v>
      </c>
      <c r="H52" s="732">
        <f t="shared" si="7"/>
        <v>0</v>
      </c>
      <c r="I52" s="732">
        <f t="shared" si="7"/>
        <v>0</v>
      </c>
      <c r="J52" s="75">
        <f t="shared" si="5"/>
        <v>0</v>
      </c>
      <c r="K52" s="75">
        <f t="shared" si="2"/>
        <v>0</v>
      </c>
      <c r="L52" s="732">
        <f>SUM(L53:L62)</f>
        <v>0</v>
      </c>
      <c r="M52" s="759">
        <f>SUM(M53:M62)</f>
        <v>0</v>
      </c>
    </row>
    <row r="53" spans="1:30" x14ac:dyDescent="0.25">
      <c r="A53" s="858" t="str">
        <f>IF(RIGHT('Org structure'!D47,18)&lt;&gt;"[Name of sub-vote]",'Org structure'!D47,"")</f>
        <v>5.1 - Literacy Programmes</v>
      </c>
      <c r="B53" s="855"/>
      <c r="C53" s="1358">
        <v>0</v>
      </c>
      <c r="D53" s="1359">
        <v>0</v>
      </c>
      <c r="E53" s="1359"/>
      <c r="F53" s="1359"/>
      <c r="G53" s="1359"/>
      <c r="H53" s="1359"/>
      <c r="I53" s="1359">
        <v>0</v>
      </c>
      <c r="J53" s="75">
        <f t="shared" si="5"/>
        <v>0</v>
      </c>
      <c r="K53" s="75">
        <f t="shared" si="2"/>
        <v>0</v>
      </c>
      <c r="L53" s="1356">
        <v>0</v>
      </c>
      <c r="M53" s="1357">
        <v>0</v>
      </c>
      <c r="AC53" s="1336">
        <v>51</v>
      </c>
      <c r="AD53" s="1336" t="s">
        <v>1846</v>
      </c>
    </row>
    <row r="54" spans="1:30" x14ac:dyDescent="0.25">
      <c r="A54" s="858" t="str">
        <f>IF(RIGHT('Org structure'!D48,18)&lt;&gt;"[Name of sub-vote]",'Org structure'!D48,"")</f>
        <v>5.2 - Education</v>
      </c>
      <c r="B54" s="855"/>
      <c r="C54" s="1358">
        <v>0</v>
      </c>
      <c r="D54" s="1359">
        <v>0</v>
      </c>
      <c r="E54" s="1359"/>
      <c r="F54" s="1359"/>
      <c r="G54" s="1359"/>
      <c r="H54" s="1359"/>
      <c r="I54" s="1359">
        <v>0</v>
      </c>
      <c r="J54" s="75">
        <f t="shared" si="5"/>
        <v>0</v>
      </c>
      <c r="K54" s="75">
        <f t="shared" si="2"/>
        <v>0</v>
      </c>
      <c r="L54" s="1356">
        <v>0</v>
      </c>
      <c r="M54" s="1357">
        <v>0</v>
      </c>
      <c r="AC54" s="1336">
        <v>52</v>
      </c>
      <c r="AD54" s="1336" t="s">
        <v>1846</v>
      </c>
    </row>
    <row r="55" spans="1:30" x14ac:dyDescent="0.25">
      <c r="A55" s="858" t="str">
        <f>IF(RIGHT('Org structure'!D49,18)&lt;&gt;"[Name of sub-vote]",'Org structure'!D49,"")</f>
        <v>5.3 - Community Halls and Facilities</v>
      </c>
      <c r="B55" s="855"/>
      <c r="C55" s="1358">
        <v>0</v>
      </c>
      <c r="D55" s="1359">
        <v>0</v>
      </c>
      <c r="E55" s="1359"/>
      <c r="F55" s="1359"/>
      <c r="G55" s="1359"/>
      <c r="H55" s="1359"/>
      <c r="I55" s="1359">
        <v>0</v>
      </c>
      <c r="J55" s="75">
        <f t="shared" si="5"/>
        <v>0</v>
      </c>
      <c r="K55" s="75">
        <f t="shared" si="2"/>
        <v>0</v>
      </c>
      <c r="L55" s="1356">
        <v>0</v>
      </c>
      <c r="M55" s="1357">
        <v>0</v>
      </c>
      <c r="AC55" s="1336">
        <v>53</v>
      </c>
      <c r="AD55" s="1336" t="s">
        <v>1846</v>
      </c>
    </row>
    <row r="56" spans="1:30" x14ac:dyDescent="0.25">
      <c r="A56" s="858" t="str">
        <f>IF(RIGHT('Org structure'!D50,18)&lt;&gt;"[Name of sub-vote]",'Org structure'!D50,"")</f>
        <v/>
      </c>
      <c r="B56" s="859"/>
      <c r="C56" s="1358">
        <v>0</v>
      </c>
      <c r="D56" s="1359">
        <v>0</v>
      </c>
      <c r="E56" s="1359"/>
      <c r="F56" s="1359"/>
      <c r="G56" s="1359"/>
      <c r="H56" s="1359"/>
      <c r="I56" s="1359">
        <v>0</v>
      </c>
      <c r="J56" s="75">
        <f t="shared" si="5"/>
        <v>0</v>
      </c>
      <c r="K56" s="75">
        <f t="shared" si="2"/>
        <v>0</v>
      </c>
      <c r="L56" s="1356">
        <v>0</v>
      </c>
      <c r="M56" s="1357">
        <v>0</v>
      </c>
      <c r="AC56" s="1336">
        <v>54</v>
      </c>
      <c r="AD56" s="1336" t="s">
        <v>1846</v>
      </c>
    </row>
    <row r="57" spans="1:30" x14ac:dyDescent="0.25">
      <c r="A57" s="858" t="str">
        <f>IF(RIGHT('Org structure'!D51,18)&lt;&gt;"[Name of sub-vote]",'Org structure'!D51,"")</f>
        <v/>
      </c>
      <c r="B57" s="855"/>
      <c r="C57" s="1358">
        <v>0</v>
      </c>
      <c r="D57" s="1359">
        <v>0</v>
      </c>
      <c r="E57" s="1359"/>
      <c r="F57" s="1359"/>
      <c r="G57" s="1359"/>
      <c r="H57" s="1359"/>
      <c r="I57" s="1359">
        <v>0</v>
      </c>
      <c r="J57" s="75">
        <f t="shared" si="5"/>
        <v>0</v>
      </c>
      <c r="K57" s="75">
        <f t="shared" si="2"/>
        <v>0</v>
      </c>
      <c r="L57" s="1356">
        <v>0</v>
      </c>
      <c r="M57" s="1357">
        <v>0</v>
      </c>
      <c r="AC57" s="1336">
        <v>55</v>
      </c>
      <c r="AD57" s="1336" t="s">
        <v>1846</v>
      </c>
    </row>
    <row r="58" spans="1:30" x14ac:dyDescent="0.25">
      <c r="A58" s="858" t="str">
        <f>IF(RIGHT('Org structure'!D52,18)&lt;&gt;"[Name of sub-vote]",'Org structure'!D52,"")</f>
        <v/>
      </c>
      <c r="B58" s="855"/>
      <c r="C58" s="1358">
        <v>0</v>
      </c>
      <c r="D58" s="1359">
        <v>0</v>
      </c>
      <c r="E58" s="1359"/>
      <c r="F58" s="1359"/>
      <c r="G58" s="1359"/>
      <c r="H58" s="1359"/>
      <c r="I58" s="1359">
        <v>0</v>
      </c>
      <c r="J58" s="75">
        <f t="shared" si="5"/>
        <v>0</v>
      </c>
      <c r="K58" s="75">
        <f t="shared" si="2"/>
        <v>0</v>
      </c>
      <c r="L58" s="1356">
        <v>0</v>
      </c>
      <c r="M58" s="1357">
        <v>0</v>
      </c>
      <c r="AC58" s="1336">
        <v>56</v>
      </c>
      <c r="AD58" s="1336" t="s">
        <v>1846</v>
      </c>
    </row>
    <row r="59" spans="1:30" x14ac:dyDescent="0.25">
      <c r="A59" s="858" t="str">
        <f>IF(RIGHT('Org structure'!D53,18)&lt;&gt;"[Name of sub-vote]",'Org structure'!D53,"")</f>
        <v/>
      </c>
      <c r="B59" s="855"/>
      <c r="C59" s="1358">
        <v>0</v>
      </c>
      <c r="D59" s="1359">
        <v>0</v>
      </c>
      <c r="E59" s="1359"/>
      <c r="F59" s="1359"/>
      <c r="G59" s="1359"/>
      <c r="H59" s="1359"/>
      <c r="I59" s="1359">
        <v>0</v>
      </c>
      <c r="J59" s="75">
        <f t="shared" si="5"/>
        <v>0</v>
      </c>
      <c r="K59" s="75">
        <f t="shared" si="2"/>
        <v>0</v>
      </c>
      <c r="L59" s="1356">
        <v>0</v>
      </c>
      <c r="M59" s="1357">
        <v>0</v>
      </c>
      <c r="AC59" s="1336">
        <v>57</v>
      </c>
      <c r="AD59" s="1336" t="s">
        <v>1846</v>
      </c>
    </row>
    <row r="60" spans="1:30" x14ac:dyDescent="0.25">
      <c r="A60" s="858" t="str">
        <f>IF(RIGHT('Org structure'!D54,18)&lt;&gt;"[Name of sub-vote]",'Org structure'!D54,"")</f>
        <v/>
      </c>
      <c r="B60" s="855"/>
      <c r="C60" s="1358">
        <v>0</v>
      </c>
      <c r="D60" s="1359">
        <v>0</v>
      </c>
      <c r="E60" s="1359"/>
      <c r="F60" s="1359"/>
      <c r="G60" s="1359"/>
      <c r="H60" s="1359"/>
      <c r="I60" s="1359">
        <v>0</v>
      </c>
      <c r="J60" s="75">
        <f t="shared" si="5"/>
        <v>0</v>
      </c>
      <c r="K60" s="75">
        <f t="shared" si="2"/>
        <v>0</v>
      </c>
      <c r="L60" s="1356">
        <v>0</v>
      </c>
      <c r="M60" s="1357">
        <v>0</v>
      </c>
      <c r="AC60" s="1336">
        <v>58</v>
      </c>
      <c r="AD60" s="1336" t="s">
        <v>1846</v>
      </c>
    </row>
    <row r="61" spans="1:30" x14ac:dyDescent="0.25">
      <c r="A61" s="858" t="str">
        <f>IF(RIGHT('Org structure'!D55,18)&lt;&gt;"[Name of sub-vote]",'Org structure'!D55,"")</f>
        <v/>
      </c>
      <c r="B61" s="855"/>
      <c r="C61" s="1358">
        <v>0</v>
      </c>
      <c r="D61" s="1359">
        <v>0</v>
      </c>
      <c r="E61" s="1359"/>
      <c r="F61" s="1359"/>
      <c r="G61" s="1359"/>
      <c r="H61" s="1359"/>
      <c r="I61" s="1359">
        <v>0</v>
      </c>
      <c r="J61" s="75">
        <f t="shared" si="5"/>
        <v>0</v>
      </c>
      <c r="K61" s="75">
        <f t="shared" si="2"/>
        <v>0</v>
      </c>
      <c r="L61" s="1356">
        <v>0</v>
      </c>
      <c r="M61" s="1357">
        <v>0</v>
      </c>
      <c r="AC61" s="1336">
        <v>59</v>
      </c>
      <c r="AD61" s="1336" t="s">
        <v>1846</v>
      </c>
    </row>
    <row r="62" spans="1:30" x14ac:dyDescent="0.25">
      <c r="A62" s="858" t="str">
        <f>IF(RIGHT('Org structure'!D56,18)&lt;&gt;"[Name of sub-vote]",'Org structure'!D56,"")</f>
        <v/>
      </c>
      <c r="B62" s="855"/>
      <c r="C62" s="1358">
        <v>0</v>
      </c>
      <c r="D62" s="1359">
        <v>0</v>
      </c>
      <c r="E62" s="1359"/>
      <c r="F62" s="1359"/>
      <c r="G62" s="1359"/>
      <c r="H62" s="1359"/>
      <c r="I62" s="1359">
        <v>0</v>
      </c>
      <c r="J62" s="75">
        <f t="shared" si="5"/>
        <v>0</v>
      </c>
      <c r="K62" s="75">
        <f t="shared" si="2"/>
        <v>0</v>
      </c>
      <c r="L62" s="1356">
        <v>0</v>
      </c>
      <c r="M62" s="1357">
        <v>0</v>
      </c>
      <c r="AC62" s="1336">
        <v>510</v>
      </c>
      <c r="AD62" s="1336" t="s">
        <v>1846</v>
      </c>
    </row>
    <row r="63" spans="1:30" x14ac:dyDescent="0.25">
      <c r="A63" s="856" t="str">
        <f>'Org structure'!A7</f>
        <v>Vote 6 - Energy Sources</v>
      </c>
      <c r="B63" s="857"/>
      <c r="C63" s="733">
        <f>SUM(C64:C73)</f>
        <v>0</v>
      </c>
      <c r="D63" s="732">
        <f t="shared" ref="D63:I63" si="8">SUM(D64:D73)</f>
        <v>0</v>
      </c>
      <c r="E63" s="732">
        <f t="shared" si="8"/>
        <v>0</v>
      </c>
      <c r="F63" s="732">
        <f t="shared" si="8"/>
        <v>0</v>
      </c>
      <c r="G63" s="732">
        <f t="shared" si="8"/>
        <v>0</v>
      </c>
      <c r="H63" s="732">
        <f t="shared" si="8"/>
        <v>0</v>
      </c>
      <c r="I63" s="732">
        <f t="shared" si="8"/>
        <v>0</v>
      </c>
      <c r="J63" s="75">
        <f t="shared" si="5"/>
        <v>0</v>
      </c>
      <c r="K63" s="75">
        <f t="shared" si="2"/>
        <v>0</v>
      </c>
      <c r="L63" s="732">
        <f>SUM(L64:L73)</f>
        <v>0</v>
      </c>
      <c r="M63" s="759">
        <f>SUM(M64:M73)</f>
        <v>0</v>
      </c>
    </row>
    <row r="64" spans="1:30" x14ac:dyDescent="0.25">
      <c r="A64" s="858" t="str">
        <f>IF(RIGHT('Org structure'!D58,18)&lt;&gt;"[Name of sub-vote]",'Org structure'!D58,"")</f>
        <v>6.1 - Electricity</v>
      </c>
      <c r="B64" s="855"/>
      <c r="C64" s="1358">
        <v>0</v>
      </c>
      <c r="D64" s="1359">
        <v>0</v>
      </c>
      <c r="E64" s="1359"/>
      <c r="F64" s="1359"/>
      <c r="G64" s="1359"/>
      <c r="H64" s="1359"/>
      <c r="I64" s="1359">
        <v>0</v>
      </c>
      <c r="J64" s="75">
        <f t="shared" si="5"/>
        <v>0</v>
      </c>
      <c r="K64" s="75">
        <f t="shared" si="2"/>
        <v>0</v>
      </c>
      <c r="L64" s="1356">
        <v>0</v>
      </c>
      <c r="M64" s="1357">
        <v>0</v>
      </c>
      <c r="AC64" s="1336">
        <v>61</v>
      </c>
      <c r="AD64" s="1336" t="s">
        <v>1846</v>
      </c>
    </row>
    <row r="65" spans="1:30" x14ac:dyDescent="0.25">
      <c r="A65" s="858" t="str">
        <f>IF(RIGHT('Org structure'!D59,18)&lt;&gt;"[Name of sub-vote]",'Org structure'!D59,"")</f>
        <v/>
      </c>
      <c r="B65" s="855"/>
      <c r="C65" s="1358">
        <v>0</v>
      </c>
      <c r="D65" s="1359">
        <v>0</v>
      </c>
      <c r="E65" s="1359"/>
      <c r="F65" s="1359"/>
      <c r="G65" s="1359"/>
      <c r="H65" s="1359"/>
      <c r="I65" s="1359">
        <v>0</v>
      </c>
      <c r="J65" s="75">
        <f t="shared" si="5"/>
        <v>0</v>
      </c>
      <c r="K65" s="75">
        <f t="shared" si="2"/>
        <v>0</v>
      </c>
      <c r="L65" s="1356">
        <v>0</v>
      </c>
      <c r="M65" s="1357">
        <v>0</v>
      </c>
      <c r="AC65" s="1336">
        <v>62</v>
      </c>
      <c r="AD65" s="1336" t="s">
        <v>1846</v>
      </c>
    </row>
    <row r="66" spans="1:30" x14ac:dyDescent="0.25">
      <c r="A66" s="858" t="str">
        <f>IF(RIGHT('Org structure'!D60,18)&lt;&gt;"[Name of sub-vote]",'Org structure'!D60,"")</f>
        <v/>
      </c>
      <c r="B66" s="855"/>
      <c r="C66" s="1358">
        <v>0</v>
      </c>
      <c r="D66" s="1359">
        <v>0</v>
      </c>
      <c r="E66" s="1359"/>
      <c r="F66" s="1359"/>
      <c r="G66" s="1359"/>
      <c r="H66" s="1359"/>
      <c r="I66" s="1359">
        <v>0</v>
      </c>
      <c r="J66" s="75">
        <f t="shared" si="5"/>
        <v>0</v>
      </c>
      <c r="K66" s="75">
        <f t="shared" si="2"/>
        <v>0</v>
      </c>
      <c r="L66" s="1356">
        <v>0</v>
      </c>
      <c r="M66" s="1357">
        <v>0</v>
      </c>
      <c r="AC66" s="1336">
        <v>63</v>
      </c>
      <c r="AD66" s="1336" t="s">
        <v>1846</v>
      </c>
    </row>
    <row r="67" spans="1:30" x14ac:dyDescent="0.25">
      <c r="A67" s="858" t="str">
        <f>IF(RIGHT('Org structure'!D61,18)&lt;&gt;"[Name of sub-vote]",'Org structure'!D61,"")</f>
        <v/>
      </c>
      <c r="B67" s="855"/>
      <c r="C67" s="1358">
        <v>0</v>
      </c>
      <c r="D67" s="1359">
        <v>0</v>
      </c>
      <c r="E67" s="1359"/>
      <c r="F67" s="1359"/>
      <c r="G67" s="1359"/>
      <c r="H67" s="1359"/>
      <c r="I67" s="1359">
        <v>0</v>
      </c>
      <c r="J67" s="75">
        <f t="shared" si="5"/>
        <v>0</v>
      </c>
      <c r="K67" s="75">
        <f t="shared" si="2"/>
        <v>0</v>
      </c>
      <c r="L67" s="1356">
        <v>0</v>
      </c>
      <c r="M67" s="1357">
        <v>0</v>
      </c>
      <c r="AC67" s="1336">
        <v>64</v>
      </c>
      <c r="AD67" s="1336" t="s">
        <v>1846</v>
      </c>
    </row>
    <row r="68" spans="1:30" x14ac:dyDescent="0.25">
      <c r="A68" s="858" t="str">
        <f>IF(RIGHT('Org structure'!D62,18)&lt;&gt;"[Name of sub-vote]",'Org structure'!D62,"")</f>
        <v/>
      </c>
      <c r="B68" s="855"/>
      <c r="C68" s="1358">
        <v>0</v>
      </c>
      <c r="D68" s="1359">
        <v>0</v>
      </c>
      <c r="E68" s="1359"/>
      <c r="F68" s="1359"/>
      <c r="G68" s="1359"/>
      <c r="H68" s="1359"/>
      <c r="I68" s="1359">
        <v>0</v>
      </c>
      <c r="J68" s="75">
        <f t="shared" si="5"/>
        <v>0</v>
      </c>
      <c r="K68" s="75">
        <f t="shared" si="2"/>
        <v>0</v>
      </c>
      <c r="L68" s="1356">
        <v>0</v>
      </c>
      <c r="M68" s="1357">
        <v>0</v>
      </c>
      <c r="AC68" s="1336">
        <v>65</v>
      </c>
      <c r="AD68" s="1336" t="s">
        <v>1846</v>
      </c>
    </row>
    <row r="69" spans="1:30" x14ac:dyDescent="0.25">
      <c r="A69" s="858" t="str">
        <f>IF(RIGHT('Org structure'!D63,18)&lt;&gt;"[Name of sub-vote]",'Org structure'!D63,"")</f>
        <v/>
      </c>
      <c r="B69" s="855"/>
      <c r="C69" s="1358">
        <v>0</v>
      </c>
      <c r="D69" s="1359">
        <v>0</v>
      </c>
      <c r="E69" s="1359"/>
      <c r="F69" s="1359"/>
      <c r="G69" s="1359"/>
      <c r="H69" s="1359"/>
      <c r="I69" s="1359">
        <v>0</v>
      </c>
      <c r="J69" s="75">
        <f t="shared" si="5"/>
        <v>0</v>
      </c>
      <c r="K69" s="75">
        <f t="shared" si="2"/>
        <v>0</v>
      </c>
      <c r="L69" s="1356">
        <v>0</v>
      </c>
      <c r="M69" s="1357">
        <v>0</v>
      </c>
      <c r="AC69" s="1336">
        <v>66</v>
      </c>
      <c r="AD69" s="1336" t="s">
        <v>1846</v>
      </c>
    </row>
    <row r="70" spans="1:30" x14ac:dyDescent="0.25">
      <c r="A70" s="858" t="str">
        <f>IF(RIGHT('Org structure'!D64,18)&lt;&gt;"[Name of sub-vote]",'Org structure'!D64,"")</f>
        <v/>
      </c>
      <c r="B70" s="855"/>
      <c r="C70" s="1358">
        <v>0</v>
      </c>
      <c r="D70" s="1359">
        <v>0</v>
      </c>
      <c r="E70" s="1359"/>
      <c r="F70" s="1359"/>
      <c r="G70" s="1359"/>
      <c r="H70" s="1359"/>
      <c r="I70" s="1359">
        <v>0</v>
      </c>
      <c r="J70" s="75">
        <f t="shared" si="5"/>
        <v>0</v>
      </c>
      <c r="K70" s="75">
        <f t="shared" si="2"/>
        <v>0</v>
      </c>
      <c r="L70" s="1356">
        <v>0</v>
      </c>
      <c r="M70" s="1357">
        <v>0</v>
      </c>
      <c r="AC70" s="1336">
        <v>67</v>
      </c>
      <c r="AD70" s="1336" t="s">
        <v>1846</v>
      </c>
    </row>
    <row r="71" spans="1:30" x14ac:dyDescent="0.25">
      <c r="A71" s="858" t="str">
        <f>IF(RIGHT('Org structure'!D65,18)&lt;&gt;"[Name of sub-vote]",'Org structure'!D65,"")</f>
        <v/>
      </c>
      <c r="B71" s="855"/>
      <c r="C71" s="1358">
        <v>0</v>
      </c>
      <c r="D71" s="1359">
        <v>0</v>
      </c>
      <c r="E71" s="1359"/>
      <c r="F71" s="1359"/>
      <c r="G71" s="1359"/>
      <c r="H71" s="1359"/>
      <c r="I71" s="1359">
        <v>0</v>
      </c>
      <c r="J71" s="75">
        <f t="shared" si="5"/>
        <v>0</v>
      </c>
      <c r="K71" s="75">
        <f t="shared" si="2"/>
        <v>0</v>
      </c>
      <c r="L71" s="1356">
        <v>0</v>
      </c>
      <c r="M71" s="1357">
        <v>0</v>
      </c>
      <c r="AC71" s="1336">
        <v>68</v>
      </c>
      <c r="AD71" s="1336" t="s">
        <v>1846</v>
      </c>
    </row>
    <row r="72" spans="1:30" x14ac:dyDescent="0.25">
      <c r="A72" s="858" t="str">
        <f>IF(RIGHT('Org structure'!D66,18)&lt;&gt;"[Name of sub-vote]",'Org structure'!D66,"")</f>
        <v/>
      </c>
      <c r="B72" s="855"/>
      <c r="C72" s="1358">
        <v>0</v>
      </c>
      <c r="D72" s="1359">
        <v>0</v>
      </c>
      <c r="E72" s="1359"/>
      <c r="F72" s="1359"/>
      <c r="G72" s="1359"/>
      <c r="H72" s="1359"/>
      <c r="I72" s="1359">
        <v>0</v>
      </c>
      <c r="J72" s="75">
        <f t="shared" ref="J72:J103" si="9">SUM(E72:I72)</f>
        <v>0</v>
      </c>
      <c r="K72" s="75">
        <f t="shared" ref="K72:K135" si="10">IF(D72=0,C72+J72,D72+J72)</f>
        <v>0</v>
      </c>
      <c r="L72" s="1356">
        <v>0</v>
      </c>
      <c r="M72" s="1357">
        <v>0</v>
      </c>
      <c r="AC72" s="1336">
        <v>69</v>
      </c>
      <c r="AD72" s="1336" t="s">
        <v>1846</v>
      </c>
    </row>
    <row r="73" spans="1:30" x14ac:dyDescent="0.25">
      <c r="A73" s="858" t="str">
        <f>IF(RIGHT('Org structure'!D67,18)&lt;&gt;"[Name of sub-vote]",'Org structure'!D67,"")</f>
        <v/>
      </c>
      <c r="B73" s="855"/>
      <c r="C73" s="1358">
        <v>0</v>
      </c>
      <c r="D73" s="1359">
        <v>0</v>
      </c>
      <c r="E73" s="1359"/>
      <c r="F73" s="1359"/>
      <c r="G73" s="1359"/>
      <c r="H73" s="1359"/>
      <c r="I73" s="1359">
        <v>0</v>
      </c>
      <c r="J73" s="75">
        <f t="shared" si="9"/>
        <v>0</v>
      </c>
      <c r="K73" s="75">
        <f t="shared" si="10"/>
        <v>0</v>
      </c>
      <c r="L73" s="1356">
        <v>0</v>
      </c>
      <c r="M73" s="1357">
        <v>0</v>
      </c>
      <c r="AC73" s="1336">
        <v>610</v>
      </c>
      <c r="AD73" s="1336" t="s">
        <v>1846</v>
      </c>
    </row>
    <row r="74" spans="1:30" x14ac:dyDescent="0.25">
      <c r="A74" s="856" t="str">
        <f>'Org structure'!A8</f>
        <v>Vote 7 - Road Transport</v>
      </c>
      <c r="B74" s="857"/>
      <c r="C74" s="733">
        <f>SUM(C75:C84)</f>
        <v>0</v>
      </c>
      <c r="D74" s="732">
        <f t="shared" ref="D74:I74" si="11">SUM(D75:D84)</f>
        <v>0</v>
      </c>
      <c r="E74" s="732">
        <f t="shared" si="11"/>
        <v>0</v>
      </c>
      <c r="F74" s="732">
        <f t="shared" si="11"/>
        <v>0</v>
      </c>
      <c r="G74" s="732">
        <f t="shared" si="11"/>
        <v>0</v>
      </c>
      <c r="H74" s="732">
        <f t="shared" si="11"/>
        <v>0</v>
      </c>
      <c r="I74" s="732">
        <f t="shared" si="11"/>
        <v>0</v>
      </c>
      <c r="J74" s="75">
        <f t="shared" si="9"/>
        <v>0</v>
      </c>
      <c r="K74" s="75">
        <f t="shared" si="10"/>
        <v>0</v>
      </c>
      <c r="L74" s="732">
        <f>SUM(L75:L84)</f>
        <v>0</v>
      </c>
      <c r="M74" s="759">
        <f>SUM(M75:M84)</f>
        <v>0</v>
      </c>
    </row>
    <row r="75" spans="1:30" x14ac:dyDescent="0.25">
      <c r="A75" s="858" t="str">
        <f>IF(RIGHT('Org structure'!D69,18)&lt;&gt;"[Name of sub-vote]",'Org structure'!D69,"")</f>
        <v>7.1 - Roads</v>
      </c>
      <c r="B75" s="855"/>
      <c r="C75" s="1358">
        <v>0</v>
      </c>
      <c r="D75" s="1359">
        <v>0</v>
      </c>
      <c r="E75" s="1359"/>
      <c r="F75" s="1359"/>
      <c r="G75" s="1359"/>
      <c r="H75" s="1359"/>
      <c r="I75" s="1359">
        <v>0</v>
      </c>
      <c r="J75" s="75">
        <f t="shared" si="9"/>
        <v>0</v>
      </c>
      <c r="K75" s="75">
        <f t="shared" si="10"/>
        <v>0</v>
      </c>
      <c r="L75" s="1356">
        <v>0</v>
      </c>
      <c r="M75" s="1357">
        <v>0</v>
      </c>
      <c r="AC75" s="1336">
        <v>71</v>
      </c>
      <c r="AD75" s="1336" t="s">
        <v>1846</v>
      </c>
    </row>
    <row r="76" spans="1:30" x14ac:dyDescent="0.25">
      <c r="A76" s="858" t="str">
        <f>IF(RIGHT('Org structure'!D70,18)&lt;&gt;"[Name of sub-vote]",'Org structure'!D70,"")</f>
        <v/>
      </c>
      <c r="B76" s="855"/>
      <c r="C76" s="1358">
        <v>0</v>
      </c>
      <c r="D76" s="1359">
        <v>0</v>
      </c>
      <c r="E76" s="1359"/>
      <c r="F76" s="1359"/>
      <c r="G76" s="1359"/>
      <c r="H76" s="1359"/>
      <c r="I76" s="1359">
        <v>0</v>
      </c>
      <c r="J76" s="75">
        <f t="shared" si="9"/>
        <v>0</v>
      </c>
      <c r="K76" s="75">
        <f t="shared" si="10"/>
        <v>0</v>
      </c>
      <c r="L76" s="1356">
        <v>0</v>
      </c>
      <c r="M76" s="1357">
        <v>0</v>
      </c>
      <c r="AC76" s="1336">
        <v>72</v>
      </c>
      <c r="AD76" s="1336" t="s">
        <v>1846</v>
      </c>
    </row>
    <row r="77" spans="1:30" x14ac:dyDescent="0.25">
      <c r="A77" s="858" t="str">
        <f>IF(RIGHT('Org structure'!D71,18)&lt;&gt;"[Name of sub-vote]",'Org structure'!D71,"")</f>
        <v/>
      </c>
      <c r="B77" s="855"/>
      <c r="C77" s="1358">
        <v>0</v>
      </c>
      <c r="D77" s="1359">
        <v>0</v>
      </c>
      <c r="E77" s="1359"/>
      <c r="F77" s="1359"/>
      <c r="G77" s="1359"/>
      <c r="H77" s="1359"/>
      <c r="I77" s="1359">
        <v>0</v>
      </c>
      <c r="J77" s="75">
        <f t="shared" si="9"/>
        <v>0</v>
      </c>
      <c r="K77" s="75">
        <f t="shared" si="10"/>
        <v>0</v>
      </c>
      <c r="L77" s="1356">
        <v>0</v>
      </c>
      <c r="M77" s="1357">
        <v>0</v>
      </c>
      <c r="AC77" s="1336">
        <v>73</v>
      </c>
      <c r="AD77" s="1336" t="s">
        <v>1846</v>
      </c>
    </row>
    <row r="78" spans="1:30" x14ac:dyDescent="0.25">
      <c r="A78" s="858" t="str">
        <f>IF(RIGHT('Org structure'!D72,18)&lt;&gt;"[Name of sub-vote]",'Org structure'!D72,"")</f>
        <v/>
      </c>
      <c r="B78" s="855"/>
      <c r="C78" s="1358">
        <v>0</v>
      </c>
      <c r="D78" s="1359">
        <v>0</v>
      </c>
      <c r="E78" s="1359"/>
      <c r="F78" s="1359"/>
      <c r="G78" s="1359"/>
      <c r="H78" s="1359"/>
      <c r="I78" s="1359">
        <v>0</v>
      </c>
      <c r="J78" s="75">
        <f t="shared" si="9"/>
        <v>0</v>
      </c>
      <c r="K78" s="75">
        <f t="shared" si="10"/>
        <v>0</v>
      </c>
      <c r="L78" s="1356">
        <v>0</v>
      </c>
      <c r="M78" s="1357">
        <v>0</v>
      </c>
      <c r="AC78" s="1336">
        <v>74</v>
      </c>
      <c r="AD78" s="1336" t="s">
        <v>1846</v>
      </c>
    </row>
    <row r="79" spans="1:30" x14ac:dyDescent="0.25">
      <c r="A79" s="858" t="str">
        <f>IF(RIGHT('Org structure'!D73,18)&lt;&gt;"[Name of sub-vote]",'Org structure'!D73,"")</f>
        <v/>
      </c>
      <c r="B79" s="855"/>
      <c r="C79" s="1358">
        <v>0</v>
      </c>
      <c r="D79" s="1359">
        <v>0</v>
      </c>
      <c r="E79" s="1359"/>
      <c r="F79" s="1359"/>
      <c r="G79" s="1359"/>
      <c r="H79" s="1359"/>
      <c r="I79" s="1359">
        <v>0</v>
      </c>
      <c r="J79" s="75">
        <f t="shared" si="9"/>
        <v>0</v>
      </c>
      <c r="K79" s="75">
        <f t="shared" si="10"/>
        <v>0</v>
      </c>
      <c r="L79" s="1356">
        <v>0</v>
      </c>
      <c r="M79" s="1357">
        <v>0</v>
      </c>
      <c r="AC79" s="1336">
        <v>75</v>
      </c>
      <c r="AD79" s="1336" t="s">
        <v>1846</v>
      </c>
    </row>
    <row r="80" spans="1:30" x14ac:dyDescent="0.25">
      <c r="A80" s="858" t="str">
        <f>IF(RIGHT('Org structure'!D74,18)&lt;&gt;"[Name of sub-vote]",'Org structure'!D74,"")</f>
        <v/>
      </c>
      <c r="B80" s="855"/>
      <c r="C80" s="1358">
        <v>0</v>
      </c>
      <c r="D80" s="1359">
        <v>0</v>
      </c>
      <c r="E80" s="1359"/>
      <c r="F80" s="1359"/>
      <c r="G80" s="1359"/>
      <c r="H80" s="1359"/>
      <c r="I80" s="1359">
        <v>0</v>
      </c>
      <c r="J80" s="75">
        <f t="shared" si="9"/>
        <v>0</v>
      </c>
      <c r="K80" s="75">
        <f t="shared" si="10"/>
        <v>0</v>
      </c>
      <c r="L80" s="1356">
        <v>0</v>
      </c>
      <c r="M80" s="1357">
        <v>0</v>
      </c>
      <c r="AC80" s="1336">
        <v>76</v>
      </c>
      <c r="AD80" s="1336" t="s">
        <v>1846</v>
      </c>
    </row>
    <row r="81" spans="1:30" x14ac:dyDescent="0.25">
      <c r="A81" s="858" t="str">
        <f>IF(RIGHT('Org structure'!D75,18)&lt;&gt;"[Name of sub-vote]",'Org structure'!D75,"")</f>
        <v/>
      </c>
      <c r="B81" s="855"/>
      <c r="C81" s="1358">
        <v>0</v>
      </c>
      <c r="D81" s="1359">
        <v>0</v>
      </c>
      <c r="E81" s="1359"/>
      <c r="F81" s="1359"/>
      <c r="G81" s="1359"/>
      <c r="H81" s="1359"/>
      <c r="I81" s="1359">
        <v>0</v>
      </c>
      <c r="J81" s="75">
        <f t="shared" si="9"/>
        <v>0</v>
      </c>
      <c r="K81" s="75">
        <f t="shared" si="10"/>
        <v>0</v>
      </c>
      <c r="L81" s="1356">
        <v>0</v>
      </c>
      <c r="M81" s="1357">
        <v>0</v>
      </c>
      <c r="AC81" s="1336">
        <v>77</v>
      </c>
      <c r="AD81" s="1336" t="s">
        <v>1846</v>
      </c>
    </row>
    <row r="82" spans="1:30" x14ac:dyDescent="0.25">
      <c r="A82" s="858" t="str">
        <f>IF(RIGHT('Org structure'!D76,18)&lt;&gt;"[Name of sub-vote]",'Org structure'!D76,"")</f>
        <v/>
      </c>
      <c r="B82" s="855"/>
      <c r="C82" s="1358">
        <v>0</v>
      </c>
      <c r="D82" s="1359">
        <v>0</v>
      </c>
      <c r="E82" s="1359"/>
      <c r="F82" s="1359"/>
      <c r="G82" s="1359"/>
      <c r="H82" s="1359"/>
      <c r="I82" s="1359">
        <v>0</v>
      </c>
      <c r="J82" s="75">
        <f t="shared" si="9"/>
        <v>0</v>
      </c>
      <c r="K82" s="75">
        <f t="shared" si="10"/>
        <v>0</v>
      </c>
      <c r="L82" s="1356">
        <v>0</v>
      </c>
      <c r="M82" s="1357">
        <v>0</v>
      </c>
      <c r="AC82" s="1336">
        <v>78</v>
      </c>
      <c r="AD82" s="1336" t="s">
        <v>1846</v>
      </c>
    </row>
    <row r="83" spans="1:30" x14ac:dyDescent="0.25">
      <c r="A83" s="858" t="str">
        <f>IF(RIGHT('Org structure'!D77,18)&lt;&gt;"[Name of sub-vote]",'Org structure'!D77,"")</f>
        <v/>
      </c>
      <c r="B83" s="855"/>
      <c r="C83" s="1358">
        <v>0</v>
      </c>
      <c r="D83" s="1359">
        <v>0</v>
      </c>
      <c r="E83" s="1359"/>
      <c r="F83" s="1359"/>
      <c r="G83" s="1359"/>
      <c r="H83" s="1359"/>
      <c r="I83" s="1359">
        <v>0</v>
      </c>
      <c r="J83" s="75">
        <f t="shared" si="9"/>
        <v>0</v>
      </c>
      <c r="K83" s="75">
        <f t="shared" si="10"/>
        <v>0</v>
      </c>
      <c r="L83" s="1356">
        <v>0</v>
      </c>
      <c r="M83" s="1357">
        <v>0</v>
      </c>
      <c r="AC83" s="1336">
        <v>79</v>
      </c>
      <c r="AD83" s="1336" t="s">
        <v>1846</v>
      </c>
    </row>
    <row r="84" spans="1:30" x14ac:dyDescent="0.25">
      <c r="A84" s="858" t="str">
        <f>IF(RIGHT('Org structure'!D78,18)&lt;&gt;"[Name of sub-vote]",'Org structure'!D78,"")</f>
        <v/>
      </c>
      <c r="B84" s="855"/>
      <c r="C84" s="1358">
        <v>0</v>
      </c>
      <c r="D84" s="1359">
        <v>0</v>
      </c>
      <c r="E84" s="1359"/>
      <c r="F84" s="1359"/>
      <c r="G84" s="1359"/>
      <c r="H84" s="1359"/>
      <c r="I84" s="1359">
        <v>0</v>
      </c>
      <c r="J84" s="75">
        <f t="shared" si="9"/>
        <v>0</v>
      </c>
      <c r="K84" s="75">
        <f t="shared" si="10"/>
        <v>0</v>
      </c>
      <c r="L84" s="1356">
        <v>0</v>
      </c>
      <c r="M84" s="1357">
        <v>0</v>
      </c>
      <c r="AC84" s="1336">
        <v>710</v>
      </c>
      <c r="AD84" s="1336" t="s">
        <v>1846</v>
      </c>
    </row>
    <row r="85" spans="1:30" x14ac:dyDescent="0.25">
      <c r="A85" s="856" t="str">
        <f>'Org structure'!A9</f>
        <v>Vote 8 - Planning and Development</v>
      </c>
      <c r="B85" s="855"/>
      <c r="C85" s="733">
        <f>SUM(C86:C95)</f>
        <v>0</v>
      </c>
      <c r="D85" s="732">
        <f t="shared" ref="D85:I85" si="12">SUM(D86:D95)</f>
        <v>0</v>
      </c>
      <c r="E85" s="732">
        <f t="shared" si="12"/>
        <v>0</v>
      </c>
      <c r="F85" s="732">
        <f t="shared" si="12"/>
        <v>0</v>
      </c>
      <c r="G85" s="732">
        <f t="shared" si="12"/>
        <v>0</v>
      </c>
      <c r="H85" s="732">
        <f t="shared" si="12"/>
        <v>0</v>
      </c>
      <c r="I85" s="732">
        <f t="shared" si="12"/>
        <v>0</v>
      </c>
      <c r="J85" s="75">
        <f t="shared" si="9"/>
        <v>0</v>
      </c>
      <c r="K85" s="75">
        <f t="shared" si="10"/>
        <v>0</v>
      </c>
      <c r="L85" s="732">
        <f>SUM(L86:L95)</f>
        <v>0</v>
      </c>
      <c r="M85" s="759">
        <f>SUM(M86:M95)</f>
        <v>0</v>
      </c>
    </row>
    <row r="86" spans="1:30" x14ac:dyDescent="0.25">
      <c r="A86" s="858" t="str">
        <f>IF(RIGHT('Org structure'!D80,18)&lt;&gt;"[Name of sub-vote]",'Org structure'!D80,"")</f>
        <v>8.1 - Town Planning, Building Regulations and Enforcement, and City Engineer</v>
      </c>
      <c r="B86" s="855"/>
      <c r="C86" s="1358">
        <v>0</v>
      </c>
      <c r="D86" s="1359">
        <v>0</v>
      </c>
      <c r="E86" s="1359"/>
      <c r="F86" s="1359"/>
      <c r="G86" s="1359"/>
      <c r="H86" s="1359"/>
      <c r="I86" s="1359">
        <v>0</v>
      </c>
      <c r="J86" s="75">
        <f t="shared" si="9"/>
        <v>0</v>
      </c>
      <c r="K86" s="75">
        <f t="shared" si="10"/>
        <v>0</v>
      </c>
      <c r="L86" s="1356">
        <v>0</v>
      </c>
      <c r="M86" s="1357">
        <v>0</v>
      </c>
      <c r="AC86" s="1336">
        <v>81</v>
      </c>
      <c r="AD86" s="1336" t="s">
        <v>1846</v>
      </c>
    </row>
    <row r="87" spans="1:30" x14ac:dyDescent="0.25">
      <c r="A87" s="858" t="str">
        <f>IF(RIGHT('Org structure'!D81,18)&lt;&gt;"[Name of sub-vote]",'Org structure'!D81,"")</f>
        <v>8.2 - Development Facilitation</v>
      </c>
      <c r="B87" s="855"/>
      <c r="C87" s="1358">
        <v>0</v>
      </c>
      <c r="D87" s="1359">
        <v>0</v>
      </c>
      <c r="E87" s="1359"/>
      <c r="F87" s="1359"/>
      <c r="G87" s="1359"/>
      <c r="H87" s="1359"/>
      <c r="I87" s="1359">
        <v>0</v>
      </c>
      <c r="J87" s="75">
        <f t="shared" si="9"/>
        <v>0</v>
      </c>
      <c r="K87" s="75">
        <f t="shared" si="10"/>
        <v>0</v>
      </c>
      <c r="L87" s="1356">
        <v>0</v>
      </c>
      <c r="M87" s="1357">
        <v>0</v>
      </c>
      <c r="AC87" s="1336">
        <v>82</v>
      </c>
      <c r="AD87" s="1336" t="s">
        <v>1846</v>
      </c>
    </row>
    <row r="88" spans="1:30" x14ac:dyDescent="0.25">
      <c r="A88" s="858" t="str">
        <f>IF(RIGHT('Org structure'!D82,18)&lt;&gt;"[Name of sub-vote]",'Org structure'!D82,"")</f>
        <v>8.3 - Economic Development/Planning</v>
      </c>
      <c r="B88" s="855"/>
      <c r="C88" s="1358">
        <v>0</v>
      </c>
      <c r="D88" s="1359">
        <v>0</v>
      </c>
      <c r="E88" s="1359"/>
      <c r="F88" s="1359"/>
      <c r="G88" s="1359"/>
      <c r="H88" s="1359"/>
      <c r="I88" s="1359">
        <v>0</v>
      </c>
      <c r="J88" s="75">
        <f t="shared" si="9"/>
        <v>0</v>
      </c>
      <c r="K88" s="75">
        <f t="shared" si="10"/>
        <v>0</v>
      </c>
      <c r="L88" s="1356">
        <v>0</v>
      </c>
      <c r="M88" s="1357">
        <v>0</v>
      </c>
      <c r="AC88" s="1336">
        <v>83</v>
      </c>
      <c r="AD88" s="1336" t="s">
        <v>1846</v>
      </c>
    </row>
    <row r="89" spans="1:30" x14ac:dyDescent="0.25">
      <c r="A89" s="858" t="str">
        <f>IF(RIGHT('Org structure'!D83,18)&lt;&gt;"[Name of sub-vote]",'Org structure'!D83,"")</f>
        <v>8.4 - Regional Planning and Development</v>
      </c>
      <c r="B89" s="855"/>
      <c r="C89" s="1358">
        <v>0</v>
      </c>
      <c r="D89" s="1359">
        <v>0</v>
      </c>
      <c r="E89" s="1359"/>
      <c r="F89" s="1359"/>
      <c r="G89" s="1359"/>
      <c r="H89" s="1359"/>
      <c r="I89" s="1359">
        <v>0</v>
      </c>
      <c r="J89" s="75">
        <f t="shared" si="9"/>
        <v>0</v>
      </c>
      <c r="K89" s="75">
        <f t="shared" si="10"/>
        <v>0</v>
      </c>
      <c r="L89" s="1356">
        <v>0</v>
      </c>
      <c r="M89" s="1357">
        <v>0</v>
      </c>
      <c r="AC89" s="1336">
        <v>84</v>
      </c>
      <c r="AD89" s="1336" t="s">
        <v>1846</v>
      </c>
    </row>
    <row r="90" spans="1:30" x14ac:dyDescent="0.25">
      <c r="A90" s="858" t="str">
        <f>IF(RIGHT('Org structure'!D84,18)&lt;&gt;"[Name of sub-vote]",'Org structure'!D84,"")</f>
        <v>8.5 - Corporate Wide Strategic Planning (IDPs, LEDs)</v>
      </c>
      <c r="B90" s="855"/>
      <c r="C90" s="1358">
        <v>0</v>
      </c>
      <c r="D90" s="1359">
        <v>0</v>
      </c>
      <c r="E90" s="1359"/>
      <c r="F90" s="1359"/>
      <c r="G90" s="1359"/>
      <c r="H90" s="1359"/>
      <c r="I90" s="1359">
        <v>0</v>
      </c>
      <c r="J90" s="75">
        <f t="shared" si="9"/>
        <v>0</v>
      </c>
      <c r="K90" s="75">
        <f t="shared" si="10"/>
        <v>0</v>
      </c>
      <c r="L90" s="1356">
        <v>0</v>
      </c>
      <c r="M90" s="1357">
        <v>0</v>
      </c>
      <c r="AC90" s="1336">
        <v>85</v>
      </c>
      <c r="AD90" s="1336" t="s">
        <v>1846</v>
      </c>
    </row>
    <row r="91" spans="1:30" x14ac:dyDescent="0.25">
      <c r="A91" s="858" t="str">
        <f>IF(RIGHT('Org structure'!D85,18)&lt;&gt;"[Name of sub-vote]",'Org structure'!D85,"")</f>
        <v>8.6 - Project Management Unit</v>
      </c>
      <c r="B91" s="855"/>
      <c r="C91" s="1358">
        <v>0</v>
      </c>
      <c r="D91" s="1359">
        <v>0</v>
      </c>
      <c r="E91" s="1359"/>
      <c r="F91" s="1359"/>
      <c r="G91" s="1359"/>
      <c r="H91" s="1359"/>
      <c r="I91" s="1359">
        <v>0</v>
      </c>
      <c r="J91" s="75">
        <f t="shared" si="9"/>
        <v>0</v>
      </c>
      <c r="K91" s="75">
        <f t="shared" si="10"/>
        <v>0</v>
      </c>
      <c r="L91" s="1356">
        <v>0</v>
      </c>
      <c r="M91" s="1357">
        <v>0</v>
      </c>
      <c r="AC91" s="1336">
        <v>86</v>
      </c>
      <c r="AD91" s="1336" t="s">
        <v>1846</v>
      </c>
    </row>
    <row r="92" spans="1:30" x14ac:dyDescent="0.25">
      <c r="A92" s="858" t="str">
        <f>IF(RIGHT('Org structure'!D86,18)&lt;&gt;"[Name of sub-vote]",'Org structure'!D86,"")</f>
        <v/>
      </c>
      <c r="B92" s="855"/>
      <c r="C92" s="1358">
        <v>0</v>
      </c>
      <c r="D92" s="1359">
        <v>0</v>
      </c>
      <c r="E92" s="1359"/>
      <c r="F92" s="1359"/>
      <c r="G92" s="1359"/>
      <c r="H92" s="1359"/>
      <c r="I92" s="1359">
        <v>0</v>
      </c>
      <c r="J92" s="75">
        <f t="shared" si="9"/>
        <v>0</v>
      </c>
      <c r="K92" s="75">
        <f t="shared" si="10"/>
        <v>0</v>
      </c>
      <c r="L92" s="1356">
        <v>0</v>
      </c>
      <c r="M92" s="1357">
        <v>0</v>
      </c>
      <c r="AC92" s="1336">
        <v>87</v>
      </c>
      <c r="AD92" s="1336" t="s">
        <v>1846</v>
      </c>
    </row>
    <row r="93" spans="1:30" x14ac:dyDescent="0.25">
      <c r="A93" s="858" t="str">
        <f>IF(RIGHT('Org structure'!D87,18)&lt;&gt;"[Name of sub-vote]",'Org structure'!D87,"")</f>
        <v/>
      </c>
      <c r="B93" s="855"/>
      <c r="C93" s="1358">
        <v>0</v>
      </c>
      <c r="D93" s="1359">
        <v>0</v>
      </c>
      <c r="E93" s="1359"/>
      <c r="F93" s="1359"/>
      <c r="G93" s="1359"/>
      <c r="H93" s="1359"/>
      <c r="I93" s="1359">
        <v>0</v>
      </c>
      <c r="J93" s="75">
        <f t="shared" si="9"/>
        <v>0</v>
      </c>
      <c r="K93" s="75">
        <f t="shared" si="10"/>
        <v>0</v>
      </c>
      <c r="L93" s="1356">
        <v>0</v>
      </c>
      <c r="M93" s="1357">
        <v>0</v>
      </c>
      <c r="AC93" s="1336">
        <v>88</v>
      </c>
      <c r="AD93" s="1336" t="s">
        <v>1846</v>
      </c>
    </row>
    <row r="94" spans="1:30" x14ac:dyDescent="0.25">
      <c r="A94" s="858" t="str">
        <f>IF(RIGHT('Org structure'!D88,18)&lt;&gt;"[Name of sub-vote]",'Org structure'!D88,"")</f>
        <v/>
      </c>
      <c r="B94" s="855"/>
      <c r="C94" s="1358">
        <v>0</v>
      </c>
      <c r="D94" s="1359">
        <v>0</v>
      </c>
      <c r="E94" s="1359"/>
      <c r="F94" s="1359"/>
      <c r="G94" s="1359"/>
      <c r="H94" s="1359"/>
      <c r="I94" s="1359">
        <v>0</v>
      </c>
      <c r="J94" s="75">
        <f t="shared" si="9"/>
        <v>0</v>
      </c>
      <c r="K94" s="75">
        <f t="shared" si="10"/>
        <v>0</v>
      </c>
      <c r="L94" s="1356">
        <v>0</v>
      </c>
      <c r="M94" s="1357">
        <v>0</v>
      </c>
      <c r="AC94" s="1336">
        <v>89</v>
      </c>
      <c r="AD94" s="1336" t="s">
        <v>1846</v>
      </c>
    </row>
    <row r="95" spans="1:30" x14ac:dyDescent="0.25">
      <c r="A95" s="858" t="str">
        <f>IF(RIGHT('Org structure'!D89,18)&lt;&gt;"[Name of sub-vote]",'Org structure'!D89,"")</f>
        <v/>
      </c>
      <c r="B95" s="855"/>
      <c r="C95" s="1358">
        <v>0</v>
      </c>
      <c r="D95" s="1359">
        <v>0</v>
      </c>
      <c r="E95" s="1359"/>
      <c r="F95" s="1359"/>
      <c r="G95" s="1359"/>
      <c r="H95" s="1359"/>
      <c r="I95" s="1359">
        <v>0</v>
      </c>
      <c r="J95" s="75">
        <f t="shared" si="9"/>
        <v>0</v>
      </c>
      <c r="K95" s="75">
        <f t="shared" si="10"/>
        <v>0</v>
      </c>
      <c r="L95" s="1356">
        <v>0</v>
      </c>
      <c r="M95" s="1357">
        <v>0</v>
      </c>
      <c r="AC95" s="1336">
        <v>810</v>
      </c>
      <c r="AD95" s="1336" t="s">
        <v>1846</v>
      </c>
    </row>
    <row r="96" spans="1:30" x14ac:dyDescent="0.25">
      <c r="A96" s="856" t="str">
        <f>'Org structure'!A10</f>
        <v>Vote 9 - Sport and Recreation</v>
      </c>
      <c r="B96" s="855"/>
      <c r="C96" s="733">
        <f>SUM(C97:C106)</f>
        <v>0</v>
      </c>
      <c r="D96" s="732">
        <f t="shared" ref="D96:I96" si="13">SUM(D97:D106)</f>
        <v>0</v>
      </c>
      <c r="E96" s="732">
        <f t="shared" si="13"/>
        <v>0</v>
      </c>
      <c r="F96" s="732">
        <f t="shared" si="13"/>
        <v>0</v>
      </c>
      <c r="G96" s="732">
        <f t="shared" si="13"/>
        <v>0</v>
      </c>
      <c r="H96" s="732">
        <f t="shared" si="13"/>
        <v>0</v>
      </c>
      <c r="I96" s="732">
        <f t="shared" si="13"/>
        <v>0</v>
      </c>
      <c r="J96" s="75">
        <f t="shared" si="9"/>
        <v>0</v>
      </c>
      <c r="K96" s="75">
        <f t="shared" si="10"/>
        <v>0</v>
      </c>
      <c r="L96" s="732">
        <f>SUM(L97:L106)</f>
        <v>0</v>
      </c>
      <c r="M96" s="759">
        <f>SUM(M97:M106)</f>
        <v>0</v>
      </c>
    </row>
    <row r="97" spans="1:30" x14ac:dyDescent="0.25">
      <c r="A97" s="858" t="str">
        <f>IF(RIGHT('Org structure'!D91,18)&lt;&gt;"[Name of sub-vote]",'Org structure'!D91,"")</f>
        <v>9.1 - Sports Grounds and Stadiums</v>
      </c>
      <c r="B97" s="855"/>
      <c r="C97" s="1358">
        <v>0</v>
      </c>
      <c r="D97" s="1359">
        <v>0</v>
      </c>
      <c r="E97" s="1359"/>
      <c r="F97" s="1359"/>
      <c r="G97" s="1359"/>
      <c r="H97" s="1359"/>
      <c r="I97" s="1359">
        <v>0</v>
      </c>
      <c r="J97" s="75">
        <f t="shared" si="9"/>
        <v>0</v>
      </c>
      <c r="K97" s="75">
        <f t="shared" si="10"/>
        <v>0</v>
      </c>
      <c r="L97" s="1356">
        <v>0</v>
      </c>
      <c r="M97" s="1357">
        <v>0</v>
      </c>
      <c r="AC97" s="1336">
        <v>91</v>
      </c>
      <c r="AD97" s="1336" t="s">
        <v>1846</v>
      </c>
    </row>
    <row r="98" spans="1:30" x14ac:dyDescent="0.25">
      <c r="A98" s="858" t="str">
        <f>IF(RIGHT('Org structure'!D92,18)&lt;&gt;"[Name of sub-vote]",'Org structure'!D92,"")</f>
        <v/>
      </c>
      <c r="B98" s="855"/>
      <c r="C98" s="1358">
        <v>0</v>
      </c>
      <c r="D98" s="1359">
        <v>0</v>
      </c>
      <c r="E98" s="1359"/>
      <c r="F98" s="1359"/>
      <c r="G98" s="1359"/>
      <c r="H98" s="1359"/>
      <c r="I98" s="1359">
        <v>0</v>
      </c>
      <c r="J98" s="75">
        <f t="shared" si="9"/>
        <v>0</v>
      </c>
      <c r="K98" s="75">
        <f t="shared" si="10"/>
        <v>0</v>
      </c>
      <c r="L98" s="1356">
        <v>0</v>
      </c>
      <c r="M98" s="1357">
        <v>0</v>
      </c>
      <c r="AC98" s="1336">
        <v>92</v>
      </c>
      <c r="AD98" s="1336" t="s">
        <v>1846</v>
      </c>
    </row>
    <row r="99" spans="1:30" x14ac:dyDescent="0.25">
      <c r="A99" s="858" t="str">
        <f>IF(RIGHT('Org structure'!D93,18)&lt;&gt;"[Name of sub-vote]",'Org structure'!D93,"")</f>
        <v/>
      </c>
      <c r="B99" s="855"/>
      <c r="C99" s="1358">
        <v>0</v>
      </c>
      <c r="D99" s="1359">
        <v>0</v>
      </c>
      <c r="E99" s="1359"/>
      <c r="F99" s="1359"/>
      <c r="G99" s="1359"/>
      <c r="H99" s="1359"/>
      <c r="I99" s="1359">
        <v>0</v>
      </c>
      <c r="J99" s="75">
        <f t="shared" si="9"/>
        <v>0</v>
      </c>
      <c r="K99" s="75">
        <f t="shared" si="10"/>
        <v>0</v>
      </c>
      <c r="L99" s="1356">
        <v>0</v>
      </c>
      <c r="M99" s="1357">
        <v>0</v>
      </c>
      <c r="AC99" s="1336">
        <v>93</v>
      </c>
      <c r="AD99" s="1336" t="s">
        <v>1846</v>
      </c>
    </row>
    <row r="100" spans="1:30" x14ac:dyDescent="0.25">
      <c r="A100" s="858" t="str">
        <f>IF(RIGHT('Org structure'!D94,18)&lt;&gt;"[Name of sub-vote]",'Org structure'!D94,"")</f>
        <v/>
      </c>
      <c r="B100" s="855"/>
      <c r="C100" s="1358">
        <v>0</v>
      </c>
      <c r="D100" s="1359">
        <v>0</v>
      </c>
      <c r="E100" s="1359"/>
      <c r="F100" s="1359"/>
      <c r="G100" s="1359"/>
      <c r="H100" s="1359"/>
      <c r="I100" s="1359">
        <v>0</v>
      </c>
      <c r="J100" s="75">
        <f t="shared" si="9"/>
        <v>0</v>
      </c>
      <c r="K100" s="75">
        <f t="shared" si="10"/>
        <v>0</v>
      </c>
      <c r="L100" s="1356">
        <v>0</v>
      </c>
      <c r="M100" s="1357">
        <v>0</v>
      </c>
      <c r="AC100" s="1336">
        <v>94</v>
      </c>
      <c r="AD100" s="1336" t="s">
        <v>1846</v>
      </c>
    </row>
    <row r="101" spans="1:30" x14ac:dyDescent="0.25">
      <c r="A101" s="858" t="str">
        <f>IF(RIGHT('Org structure'!D95,18)&lt;&gt;"[Name of sub-vote]",'Org structure'!D95,"")</f>
        <v/>
      </c>
      <c r="B101" s="855"/>
      <c r="C101" s="1358">
        <v>0</v>
      </c>
      <c r="D101" s="1359">
        <v>0</v>
      </c>
      <c r="E101" s="1359"/>
      <c r="F101" s="1359"/>
      <c r="G101" s="1359"/>
      <c r="H101" s="1359"/>
      <c r="I101" s="1359">
        <v>0</v>
      </c>
      <c r="J101" s="75">
        <f t="shared" si="9"/>
        <v>0</v>
      </c>
      <c r="K101" s="75">
        <f t="shared" si="10"/>
        <v>0</v>
      </c>
      <c r="L101" s="1356">
        <v>0</v>
      </c>
      <c r="M101" s="1357">
        <v>0</v>
      </c>
      <c r="AC101" s="1336">
        <v>95</v>
      </c>
      <c r="AD101" s="1336" t="s">
        <v>1846</v>
      </c>
    </row>
    <row r="102" spans="1:30" x14ac:dyDescent="0.25">
      <c r="A102" s="858" t="str">
        <f>IF(RIGHT('Org structure'!D96,18)&lt;&gt;"[Name of sub-vote]",'Org structure'!D96,"")</f>
        <v/>
      </c>
      <c r="B102" s="855"/>
      <c r="C102" s="1358">
        <v>0</v>
      </c>
      <c r="D102" s="1359">
        <v>0</v>
      </c>
      <c r="E102" s="1359"/>
      <c r="F102" s="1359"/>
      <c r="G102" s="1359"/>
      <c r="H102" s="1359"/>
      <c r="I102" s="1359">
        <v>0</v>
      </c>
      <c r="J102" s="75">
        <f t="shared" si="9"/>
        <v>0</v>
      </c>
      <c r="K102" s="75">
        <f t="shared" si="10"/>
        <v>0</v>
      </c>
      <c r="L102" s="1356">
        <v>0</v>
      </c>
      <c r="M102" s="1357">
        <v>0</v>
      </c>
      <c r="AC102" s="1336">
        <v>96</v>
      </c>
      <c r="AD102" s="1336" t="s">
        <v>1846</v>
      </c>
    </row>
    <row r="103" spans="1:30" x14ac:dyDescent="0.25">
      <c r="A103" s="858" t="str">
        <f>IF(RIGHT('Org structure'!D97,18)&lt;&gt;"[Name of sub-vote]",'Org structure'!D97,"")</f>
        <v/>
      </c>
      <c r="B103" s="855"/>
      <c r="C103" s="1358">
        <v>0</v>
      </c>
      <c r="D103" s="1359">
        <v>0</v>
      </c>
      <c r="E103" s="1359"/>
      <c r="F103" s="1359"/>
      <c r="G103" s="1359"/>
      <c r="H103" s="1359"/>
      <c r="I103" s="1359">
        <v>0</v>
      </c>
      <c r="J103" s="75">
        <f t="shared" si="9"/>
        <v>0</v>
      </c>
      <c r="K103" s="75">
        <f t="shared" si="10"/>
        <v>0</v>
      </c>
      <c r="L103" s="1356">
        <v>0</v>
      </c>
      <c r="M103" s="1357">
        <v>0</v>
      </c>
      <c r="AC103" s="1336">
        <v>97</v>
      </c>
      <c r="AD103" s="1336" t="s">
        <v>1846</v>
      </c>
    </row>
    <row r="104" spans="1:30" x14ac:dyDescent="0.25">
      <c r="A104" s="858" t="str">
        <f>IF(RIGHT('Org structure'!D98,18)&lt;&gt;"[Name of sub-vote]",'Org structure'!D98,"")</f>
        <v/>
      </c>
      <c r="B104" s="855"/>
      <c r="C104" s="1358">
        <v>0</v>
      </c>
      <c r="D104" s="1359">
        <v>0</v>
      </c>
      <c r="E104" s="1359"/>
      <c r="F104" s="1359"/>
      <c r="G104" s="1359"/>
      <c r="H104" s="1359"/>
      <c r="I104" s="1359">
        <v>0</v>
      </c>
      <c r="J104" s="75">
        <f t="shared" ref="J104:J135" si="14">SUM(E104:I104)</f>
        <v>0</v>
      </c>
      <c r="K104" s="75">
        <f t="shared" si="10"/>
        <v>0</v>
      </c>
      <c r="L104" s="1356">
        <v>0</v>
      </c>
      <c r="M104" s="1357">
        <v>0</v>
      </c>
      <c r="AC104" s="1336">
        <v>98</v>
      </c>
      <c r="AD104" s="1336" t="s">
        <v>1846</v>
      </c>
    </row>
    <row r="105" spans="1:30" x14ac:dyDescent="0.25">
      <c r="A105" s="858" t="str">
        <f>IF(RIGHT('Org structure'!D99,18)&lt;&gt;"[Name of sub-vote]",'Org structure'!D99,"")</f>
        <v/>
      </c>
      <c r="B105" s="855"/>
      <c r="C105" s="1358">
        <v>0</v>
      </c>
      <c r="D105" s="1359">
        <v>0</v>
      </c>
      <c r="E105" s="1359"/>
      <c r="F105" s="1359"/>
      <c r="G105" s="1359"/>
      <c r="H105" s="1359"/>
      <c r="I105" s="1359">
        <v>0</v>
      </c>
      <c r="J105" s="75">
        <f t="shared" si="14"/>
        <v>0</v>
      </c>
      <c r="K105" s="75">
        <f t="shared" si="10"/>
        <v>0</v>
      </c>
      <c r="L105" s="1356">
        <v>0</v>
      </c>
      <c r="M105" s="1357">
        <v>0</v>
      </c>
      <c r="AC105" s="1336">
        <v>99</v>
      </c>
      <c r="AD105" s="1336" t="s">
        <v>1846</v>
      </c>
    </row>
    <row r="106" spans="1:30" x14ac:dyDescent="0.25">
      <c r="A106" s="858" t="str">
        <f>IF(RIGHT('Org structure'!D100,18)&lt;&gt;"[Name of sub-vote]",'Org structure'!D100,"")</f>
        <v/>
      </c>
      <c r="B106" s="855"/>
      <c r="C106" s="1358">
        <v>0</v>
      </c>
      <c r="D106" s="1359">
        <v>0</v>
      </c>
      <c r="E106" s="1359"/>
      <c r="F106" s="1359"/>
      <c r="G106" s="1359"/>
      <c r="H106" s="1359"/>
      <c r="I106" s="1359">
        <v>0</v>
      </c>
      <c r="J106" s="75">
        <f t="shared" si="14"/>
        <v>0</v>
      </c>
      <c r="K106" s="75">
        <f t="shared" si="10"/>
        <v>0</v>
      </c>
      <c r="L106" s="1356">
        <v>0</v>
      </c>
      <c r="M106" s="1357">
        <v>0</v>
      </c>
      <c r="AC106" s="1336">
        <v>910</v>
      </c>
      <c r="AD106" s="1336" t="s">
        <v>1846</v>
      </c>
    </row>
    <row r="107" spans="1:30" x14ac:dyDescent="0.25">
      <c r="A107" s="856" t="str">
        <f>'Org structure'!A11</f>
        <v>Vote 10 - Public Safety</v>
      </c>
      <c r="B107" s="855"/>
      <c r="C107" s="733">
        <f>SUM(C108:C117)</f>
        <v>0</v>
      </c>
      <c r="D107" s="732">
        <f t="shared" ref="D107:I107" si="15">SUM(D108:D117)</f>
        <v>0</v>
      </c>
      <c r="E107" s="732">
        <f t="shared" si="15"/>
        <v>0</v>
      </c>
      <c r="F107" s="732">
        <f t="shared" si="15"/>
        <v>0</v>
      </c>
      <c r="G107" s="732">
        <f t="shared" si="15"/>
        <v>0</v>
      </c>
      <c r="H107" s="732">
        <f t="shared" si="15"/>
        <v>0</v>
      </c>
      <c r="I107" s="732">
        <f t="shared" si="15"/>
        <v>0</v>
      </c>
      <c r="J107" s="75">
        <f t="shared" si="14"/>
        <v>0</v>
      </c>
      <c r="K107" s="75">
        <f t="shared" si="10"/>
        <v>0</v>
      </c>
      <c r="L107" s="732">
        <f>SUM(L108:L117)</f>
        <v>0</v>
      </c>
      <c r="M107" s="759">
        <f>SUM(M108:M117)</f>
        <v>0</v>
      </c>
    </row>
    <row r="108" spans="1:30" x14ac:dyDescent="0.25">
      <c r="A108" s="858" t="str">
        <f>IF(RIGHT('Org structure'!D102,18)&lt;&gt;"[Name of sub-vote]",'Org structure'!D102,"")</f>
        <v>10.1 - Fire Fighting and Protection</v>
      </c>
      <c r="B108" s="855"/>
      <c r="C108" s="1358">
        <v>0</v>
      </c>
      <c r="D108" s="1359">
        <v>0</v>
      </c>
      <c r="E108" s="1359"/>
      <c r="F108" s="1359"/>
      <c r="G108" s="1359"/>
      <c r="H108" s="1359"/>
      <c r="I108" s="1359">
        <v>0</v>
      </c>
      <c r="J108" s="75">
        <f t="shared" si="14"/>
        <v>0</v>
      </c>
      <c r="K108" s="75">
        <f t="shared" si="10"/>
        <v>0</v>
      </c>
      <c r="L108" s="1356">
        <v>0</v>
      </c>
      <c r="M108" s="1357">
        <v>0</v>
      </c>
      <c r="AC108" s="1336">
        <v>101</v>
      </c>
      <c r="AD108" s="1336" t="s">
        <v>1846</v>
      </c>
    </row>
    <row r="109" spans="1:30" x14ac:dyDescent="0.25">
      <c r="A109" s="858" t="str">
        <f>IF(RIGHT('Org structure'!D103,18)&lt;&gt;"[Name of sub-vote]",'Org structure'!D103,"")</f>
        <v>10.2 - Fencing and Fences</v>
      </c>
      <c r="B109" s="855"/>
      <c r="C109" s="1358">
        <v>0</v>
      </c>
      <c r="D109" s="1359">
        <v>0</v>
      </c>
      <c r="E109" s="1359"/>
      <c r="F109" s="1359"/>
      <c r="G109" s="1359"/>
      <c r="H109" s="1359"/>
      <c r="I109" s="1359">
        <v>0</v>
      </c>
      <c r="J109" s="75">
        <f t="shared" si="14"/>
        <v>0</v>
      </c>
      <c r="K109" s="75">
        <f t="shared" si="10"/>
        <v>0</v>
      </c>
      <c r="L109" s="1356">
        <v>0</v>
      </c>
      <c r="M109" s="1357">
        <v>0</v>
      </c>
      <c r="AC109" s="1336">
        <v>102</v>
      </c>
      <c r="AD109" s="1336" t="s">
        <v>1846</v>
      </c>
    </row>
    <row r="110" spans="1:30" x14ac:dyDescent="0.25">
      <c r="A110" s="858" t="str">
        <f>IF(RIGHT('Org structure'!D104,18)&lt;&gt;"[Name of sub-vote]",'Org structure'!D104,"")</f>
        <v/>
      </c>
      <c r="B110" s="855"/>
      <c r="C110" s="1358">
        <v>0</v>
      </c>
      <c r="D110" s="1359">
        <v>0</v>
      </c>
      <c r="E110" s="1359"/>
      <c r="F110" s="1359"/>
      <c r="G110" s="1359"/>
      <c r="H110" s="1359"/>
      <c r="I110" s="1359">
        <v>0</v>
      </c>
      <c r="J110" s="75">
        <f t="shared" si="14"/>
        <v>0</v>
      </c>
      <c r="K110" s="75">
        <f t="shared" si="10"/>
        <v>0</v>
      </c>
      <c r="L110" s="1356">
        <v>0</v>
      </c>
      <c r="M110" s="1357">
        <v>0</v>
      </c>
      <c r="AC110" s="1336">
        <v>103</v>
      </c>
      <c r="AD110" s="1336" t="s">
        <v>1846</v>
      </c>
    </row>
    <row r="111" spans="1:30" x14ac:dyDescent="0.25">
      <c r="A111" s="858" t="str">
        <f>IF(RIGHT('Org structure'!D105,18)&lt;&gt;"[Name of sub-vote]",'Org structure'!D105,"")</f>
        <v/>
      </c>
      <c r="B111" s="855"/>
      <c r="C111" s="1358">
        <v>0</v>
      </c>
      <c r="D111" s="1359">
        <v>0</v>
      </c>
      <c r="E111" s="1359"/>
      <c r="F111" s="1359"/>
      <c r="G111" s="1359"/>
      <c r="H111" s="1359"/>
      <c r="I111" s="1359">
        <v>0</v>
      </c>
      <c r="J111" s="75">
        <f t="shared" si="14"/>
        <v>0</v>
      </c>
      <c r="K111" s="75">
        <f t="shared" si="10"/>
        <v>0</v>
      </c>
      <c r="L111" s="1356">
        <v>0</v>
      </c>
      <c r="M111" s="1357">
        <v>0</v>
      </c>
      <c r="AC111" s="1336">
        <v>104</v>
      </c>
      <c r="AD111" s="1336" t="s">
        <v>1846</v>
      </c>
    </row>
    <row r="112" spans="1:30" x14ac:dyDescent="0.25">
      <c r="A112" s="858" t="str">
        <f>IF(RIGHT('Org structure'!D106,18)&lt;&gt;"[Name of sub-vote]",'Org structure'!D106,"")</f>
        <v/>
      </c>
      <c r="B112" s="855"/>
      <c r="C112" s="1358">
        <v>0</v>
      </c>
      <c r="D112" s="1359">
        <v>0</v>
      </c>
      <c r="E112" s="1359"/>
      <c r="F112" s="1359"/>
      <c r="G112" s="1359"/>
      <c r="H112" s="1359"/>
      <c r="I112" s="1359">
        <v>0</v>
      </c>
      <c r="J112" s="75">
        <f t="shared" si="14"/>
        <v>0</v>
      </c>
      <c r="K112" s="75">
        <f t="shared" si="10"/>
        <v>0</v>
      </c>
      <c r="L112" s="1356">
        <v>0</v>
      </c>
      <c r="M112" s="1357">
        <v>0</v>
      </c>
      <c r="AC112" s="1336">
        <v>105</v>
      </c>
      <c r="AD112" s="1336" t="s">
        <v>1846</v>
      </c>
    </row>
    <row r="113" spans="1:30" x14ac:dyDescent="0.25">
      <c r="A113" s="858" t="str">
        <f>IF(RIGHT('Org structure'!D107,18)&lt;&gt;"[Name of sub-vote]",'Org structure'!D107,"")</f>
        <v/>
      </c>
      <c r="B113" s="855"/>
      <c r="C113" s="1358">
        <v>0</v>
      </c>
      <c r="D113" s="1359">
        <v>0</v>
      </c>
      <c r="E113" s="1359"/>
      <c r="F113" s="1359"/>
      <c r="G113" s="1359"/>
      <c r="H113" s="1359"/>
      <c r="I113" s="1359">
        <v>0</v>
      </c>
      <c r="J113" s="75">
        <f t="shared" si="14"/>
        <v>0</v>
      </c>
      <c r="K113" s="75">
        <f t="shared" si="10"/>
        <v>0</v>
      </c>
      <c r="L113" s="1356">
        <v>0</v>
      </c>
      <c r="M113" s="1357">
        <v>0</v>
      </c>
      <c r="AC113" s="1336">
        <v>106</v>
      </c>
      <c r="AD113" s="1336" t="s">
        <v>1846</v>
      </c>
    </row>
    <row r="114" spans="1:30" x14ac:dyDescent="0.25">
      <c r="A114" s="858" t="str">
        <f>IF(RIGHT('Org structure'!D108,18)&lt;&gt;"[Name of sub-vote]",'Org structure'!D108,"")</f>
        <v/>
      </c>
      <c r="B114" s="855"/>
      <c r="C114" s="1358">
        <v>0</v>
      </c>
      <c r="D114" s="1359">
        <v>0</v>
      </c>
      <c r="E114" s="1359"/>
      <c r="F114" s="1359"/>
      <c r="G114" s="1359"/>
      <c r="H114" s="1359"/>
      <c r="I114" s="1359">
        <v>0</v>
      </c>
      <c r="J114" s="75">
        <f t="shared" si="14"/>
        <v>0</v>
      </c>
      <c r="K114" s="75">
        <f t="shared" si="10"/>
        <v>0</v>
      </c>
      <c r="L114" s="1356">
        <v>0</v>
      </c>
      <c r="M114" s="1357">
        <v>0</v>
      </c>
      <c r="AC114" s="1336">
        <v>107</v>
      </c>
      <c r="AD114" s="1336" t="s">
        <v>1846</v>
      </c>
    </row>
    <row r="115" spans="1:30" x14ac:dyDescent="0.25">
      <c r="A115" s="858" t="str">
        <f>IF(RIGHT('Org structure'!D109,18)&lt;&gt;"[Name of sub-vote]",'Org structure'!D109,"")</f>
        <v/>
      </c>
      <c r="B115" s="855"/>
      <c r="C115" s="1358">
        <v>0</v>
      </c>
      <c r="D115" s="1359">
        <v>0</v>
      </c>
      <c r="E115" s="1359"/>
      <c r="F115" s="1359"/>
      <c r="G115" s="1359"/>
      <c r="H115" s="1359"/>
      <c r="I115" s="1359">
        <v>0</v>
      </c>
      <c r="J115" s="75">
        <f t="shared" si="14"/>
        <v>0</v>
      </c>
      <c r="K115" s="75">
        <f t="shared" si="10"/>
        <v>0</v>
      </c>
      <c r="L115" s="1356">
        <v>0</v>
      </c>
      <c r="M115" s="1357">
        <v>0</v>
      </c>
      <c r="AC115" s="1336">
        <v>108</v>
      </c>
      <c r="AD115" s="1336" t="s">
        <v>1846</v>
      </c>
    </row>
    <row r="116" spans="1:30" x14ac:dyDescent="0.25">
      <c r="A116" s="858" t="str">
        <f>IF(RIGHT('Org structure'!D110,18)&lt;&gt;"[Name of sub-vote]",'Org structure'!D110,"")</f>
        <v/>
      </c>
      <c r="B116" s="855"/>
      <c r="C116" s="1358">
        <v>0</v>
      </c>
      <c r="D116" s="1359">
        <v>0</v>
      </c>
      <c r="E116" s="1359"/>
      <c r="F116" s="1359"/>
      <c r="G116" s="1359"/>
      <c r="H116" s="1359"/>
      <c r="I116" s="1359">
        <v>0</v>
      </c>
      <c r="J116" s="75">
        <f t="shared" si="14"/>
        <v>0</v>
      </c>
      <c r="K116" s="75">
        <f t="shared" si="10"/>
        <v>0</v>
      </c>
      <c r="L116" s="1356">
        <v>0</v>
      </c>
      <c r="M116" s="1357">
        <v>0</v>
      </c>
      <c r="AC116" s="1336">
        <v>109</v>
      </c>
      <c r="AD116" s="1336" t="s">
        <v>1846</v>
      </c>
    </row>
    <row r="117" spans="1:30" x14ac:dyDescent="0.25">
      <c r="A117" s="858" t="str">
        <f>IF(RIGHT('Org structure'!D111,18)&lt;&gt;"[Name of sub-vote]",'Org structure'!D111,"")</f>
        <v/>
      </c>
      <c r="B117" s="855"/>
      <c r="C117" s="1358">
        <v>0</v>
      </c>
      <c r="D117" s="1359">
        <v>0</v>
      </c>
      <c r="E117" s="1359"/>
      <c r="F117" s="1359"/>
      <c r="G117" s="1359"/>
      <c r="H117" s="1359"/>
      <c r="I117" s="1359">
        <v>0</v>
      </c>
      <c r="J117" s="75">
        <f t="shared" si="14"/>
        <v>0</v>
      </c>
      <c r="K117" s="75">
        <f t="shared" si="10"/>
        <v>0</v>
      </c>
      <c r="L117" s="1356">
        <v>0</v>
      </c>
      <c r="M117" s="1357">
        <v>0</v>
      </c>
      <c r="AC117" s="1336">
        <v>1010</v>
      </c>
      <c r="AD117" s="1336" t="s">
        <v>1846</v>
      </c>
    </row>
    <row r="118" spans="1:30" x14ac:dyDescent="0.25">
      <c r="A118" s="856" t="str">
        <f>'Org structure'!A12</f>
        <v>Vote 11 - Other</v>
      </c>
      <c r="B118" s="855"/>
      <c r="C118" s="733">
        <f>SUM(C119:C128)</f>
        <v>0</v>
      </c>
      <c r="D118" s="732">
        <f t="shared" ref="D118:I118" si="16">SUM(D119:D128)</f>
        <v>0</v>
      </c>
      <c r="E118" s="732">
        <f t="shared" si="16"/>
        <v>0</v>
      </c>
      <c r="F118" s="732">
        <f t="shared" si="16"/>
        <v>0</v>
      </c>
      <c r="G118" s="732">
        <f t="shared" si="16"/>
        <v>0</v>
      </c>
      <c r="H118" s="732">
        <f t="shared" si="16"/>
        <v>0</v>
      </c>
      <c r="I118" s="732">
        <f t="shared" si="16"/>
        <v>0</v>
      </c>
      <c r="J118" s="75">
        <f t="shared" si="14"/>
        <v>0</v>
      </c>
      <c r="K118" s="75">
        <f t="shared" si="10"/>
        <v>0</v>
      </c>
      <c r="L118" s="732">
        <f>SUM(L119:L128)</f>
        <v>0</v>
      </c>
      <c r="M118" s="759">
        <f>SUM(M119:M128)</f>
        <v>0</v>
      </c>
    </row>
    <row r="119" spans="1:30" x14ac:dyDescent="0.25">
      <c r="A119" s="858" t="str">
        <f>IF(RIGHT('Org structure'!D113,18)&lt;&gt;"[Name of sub-vote]",'Org structure'!D113,"")</f>
        <v>11.1 - Licensing and Regulation</v>
      </c>
      <c r="B119" s="855"/>
      <c r="C119" s="1358">
        <v>0</v>
      </c>
      <c r="D119" s="1359">
        <v>0</v>
      </c>
      <c r="E119" s="1359"/>
      <c r="F119" s="1359"/>
      <c r="G119" s="1359"/>
      <c r="H119" s="1359"/>
      <c r="I119" s="1359">
        <v>0</v>
      </c>
      <c r="J119" s="75">
        <f t="shared" si="14"/>
        <v>0</v>
      </c>
      <c r="K119" s="75">
        <f t="shared" si="10"/>
        <v>0</v>
      </c>
      <c r="L119" s="1356">
        <v>0</v>
      </c>
      <c r="M119" s="1357">
        <v>0</v>
      </c>
      <c r="AC119" s="1336">
        <v>111</v>
      </c>
      <c r="AD119" s="1336" t="s">
        <v>1846</v>
      </c>
    </row>
    <row r="120" spans="1:30" x14ac:dyDescent="0.25">
      <c r="A120" s="858" t="str">
        <f>IF(RIGHT('Org structure'!D114,18)&lt;&gt;"[Name of sub-vote]",'Org structure'!D114,"")</f>
        <v/>
      </c>
      <c r="B120" s="855"/>
      <c r="C120" s="1358">
        <v>0</v>
      </c>
      <c r="D120" s="1359">
        <v>0</v>
      </c>
      <c r="E120" s="1359"/>
      <c r="F120" s="1359"/>
      <c r="G120" s="1359"/>
      <c r="H120" s="1359"/>
      <c r="I120" s="1359">
        <v>0</v>
      </c>
      <c r="J120" s="75">
        <f t="shared" si="14"/>
        <v>0</v>
      </c>
      <c r="K120" s="75">
        <f t="shared" si="10"/>
        <v>0</v>
      </c>
      <c r="L120" s="1356">
        <v>0</v>
      </c>
      <c r="M120" s="1357">
        <v>0</v>
      </c>
      <c r="AC120" s="1336">
        <v>112</v>
      </c>
      <c r="AD120" s="1336" t="s">
        <v>1846</v>
      </c>
    </row>
    <row r="121" spans="1:30" x14ac:dyDescent="0.25">
      <c r="A121" s="858" t="str">
        <f>IF(RIGHT('Org structure'!D115,18)&lt;&gt;"[Name of sub-vote]",'Org structure'!D115,"")</f>
        <v/>
      </c>
      <c r="B121" s="855"/>
      <c r="C121" s="1358">
        <v>0</v>
      </c>
      <c r="D121" s="1359">
        <v>0</v>
      </c>
      <c r="E121" s="1359"/>
      <c r="F121" s="1359"/>
      <c r="G121" s="1359"/>
      <c r="H121" s="1359"/>
      <c r="I121" s="1359">
        <v>0</v>
      </c>
      <c r="J121" s="75">
        <f t="shared" si="14"/>
        <v>0</v>
      </c>
      <c r="K121" s="75">
        <f t="shared" si="10"/>
        <v>0</v>
      </c>
      <c r="L121" s="1356">
        <v>0</v>
      </c>
      <c r="M121" s="1357">
        <v>0</v>
      </c>
      <c r="AC121" s="1336">
        <v>113</v>
      </c>
      <c r="AD121" s="1336" t="s">
        <v>1846</v>
      </c>
    </row>
    <row r="122" spans="1:30" x14ac:dyDescent="0.25">
      <c r="A122" s="858" t="str">
        <f>IF(RIGHT('Org structure'!D116,18)&lt;&gt;"[Name of sub-vote]",'Org structure'!D116,"")</f>
        <v/>
      </c>
      <c r="B122" s="855"/>
      <c r="C122" s="1358">
        <v>0</v>
      </c>
      <c r="D122" s="1359">
        <v>0</v>
      </c>
      <c r="E122" s="1359"/>
      <c r="F122" s="1359"/>
      <c r="G122" s="1359"/>
      <c r="H122" s="1359"/>
      <c r="I122" s="1359">
        <v>0</v>
      </c>
      <c r="J122" s="75">
        <f t="shared" si="14"/>
        <v>0</v>
      </c>
      <c r="K122" s="75">
        <f t="shared" si="10"/>
        <v>0</v>
      </c>
      <c r="L122" s="1356">
        <v>0</v>
      </c>
      <c r="M122" s="1357">
        <v>0</v>
      </c>
      <c r="AC122" s="1336">
        <v>114</v>
      </c>
      <c r="AD122" s="1336" t="s">
        <v>1846</v>
      </c>
    </row>
    <row r="123" spans="1:30" x14ac:dyDescent="0.25">
      <c r="A123" s="858" t="str">
        <f>IF(RIGHT('Org structure'!D117,18)&lt;&gt;"[Name of sub-vote]",'Org structure'!D117,"")</f>
        <v/>
      </c>
      <c r="B123" s="855"/>
      <c r="C123" s="1358">
        <v>0</v>
      </c>
      <c r="D123" s="1359">
        <v>0</v>
      </c>
      <c r="E123" s="1359"/>
      <c r="F123" s="1359"/>
      <c r="G123" s="1359"/>
      <c r="H123" s="1359"/>
      <c r="I123" s="1359">
        <v>0</v>
      </c>
      <c r="J123" s="75">
        <f t="shared" si="14"/>
        <v>0</v>
      </c>
      <c r="K123" s="75">
        <f t="shared" si="10"/>
        <v>0</v>
      </c>
      <c r="L123" s="1356">
        <v>0</v>
      </c>
      <c r="M123" s="1357">
        <v>0</v>
      </c>
      <c r="AC123" s="1336">
        <v>115</v>
      </c>
      <c r="AD123" s="1336" t="s">
        <v>1846</v>
      </c>
    </row>
    <row r="124" spans="1:30" x14ac:dyDescent="0.25">
      <c r="A124" s="858" t="str">
        <f>IF(RIGHT('Org structure'!D118,18)&lt;&gt;"[Name of sub-vote]",'Org structure'!D118,"")</f>
        <v/>
      </c>
      <c r="B124" s="855"/>
      <c r="C124" s="1358">
        <v>0</v>
      </c>
      <c r="D124" s="1359">
        <v>0</v>
      </c>
      <c r="E124" s="1359"/>
      <c r="F124" s="1359"/>
      <c r="G124" s="1359"/>
      <c r="H124" s="1359"/>
      <c r="I124" s="1359">
        <v>0</v>
      </c>
      <c r="J124" s="75">
        <f t="shared" si="14"/>
        <v>0</v>
      </c>
      <c r="K124" s="75">
        <f t="shared" si="10"/>
        <v>0</v>
      </c>
      <c r="L124" s="1356">
        <v>0</v>
      </c>
      <c r="M124" s="1357">
        <v>0</v>
      </c>
      <c r="AC124" s="1336">
        <v>116</v>
      </c>
      <c r="AD124" s="1336" t="s">
        <v>1846</v>
      </c>
    </row>
    <row r="125" spans="1:30" x14ac:dyDescent="0.25">
      <c r="A125" s="858" t="str">
        <f>IF(RIGHT('Org structure'!D119,18)&lt;&gt;"[Name of sub-vote]",'Org structure'!D119,"")</f>
        <v/>
      </c>
      <c r="B125" s="855"/>
      <c r="C125" s="1358">
        <v>0</v>
      </c>
      <c r="D125" s="1359">
        <v>0</v>
      </c>
      <c r="E125" s="1359"/>
      <c r="F125" s="1359"/>
      <c r="G125" s="1359"/>
      <c r="H125" s="1359"/>
      <c r="I125" s="1359">
        <v>0</v>
      </c>
      <c r="J125" s="75">
        <f t="shared" si="14"/>
        <v>0</v>
      </c>
      <c r="K125" s="75">
        <f t="shared" si="10"/>
        <v>0</v>
      </c>
      <c r="L125" s="1356">
        <v>0</v>
      </c>
      <c r="M125" s="1357">
        <v>0</v>
      </c>
      <c r="AC125" s="1336">
        <v>117</v>
      </c>
      <c r="AD125" s="1336" t="s">
        <v>1846</v>
      </c>
    </row>
    <row r="126" spans="1:30" x14ac:dyDescent="0.25">
      <c r="A126" s="858" t="str">
        <f>IF(RIGHT('Org structure'!D120,18)&lt;&gt;"[Name of sub-vote]",'Org structure'!D120,"")</f>
        <v/>
      </c>
      <c r="B126" s="855"/>
      <c r="C126" s="1358">
        <v>0</v>
      </c>
      <c r="D126" s="1359">
        <v>0</v>
      </c>
      <c r="E126" s="1359"/>
      <c r="F126" s="1359"/>
      <c r="G126" s="1359"/>
      <c r="H126" s="1359"/>
      <c r="I126" s="1359">
        <v>0</v>
      </c>
      <c r="J126" s="75">
        <f t="shared" si="14"/>
        <v>0</v>
      </c>
      <c r="K126" s="75">
        <f t="shared" si="10"/>
        <v>0</v>
      </c>
      <c r="L126" s="1356">
        <v>0</v>
      </c>
      <c r="M126" s="1357">
        <v>0</v>
      </c>
      <c r="AC126" s="1336">
        <v>118</v>
      </c>
      <c r="AD126" s="1336" t="s">
        <v>1846</v>
      </c>
    </row>
    <row r="127" spans="1:30" x14ac:dyDescent="0.25">
      <c r="A127" s="858" t="str">
        <f>IF(RIGHT('Org structure'!D121,18)&lt;&gt;"[Name of sub-vote]",'Org structure'!D121,"")</f>
        <v/>
      </c>
      <c r="B127" s="855"/>
      <c r="C127" s="1358">
        <v>0</v>
      </c>
      <c r="D127" s="1359">
        <v>0</v>
      </c>
      <c r="E127" s="1359"/>
      <c r="F127" s="1359"/>
      <c r="G127" s="1359"/>
      <c r="H127" s="1359"/>
      <c r="I127" s="1359">
        <v>0</v>
      </c>
      <c r="J127" s="75">
        <f t="shared" si="14"/>
        <v>0</v>
      </c>
      <c r="K127" s="75">
        <f t="shared" si="10"/>
        <v>0</v>
      </c>
      <c r="L127" s="1356">
        <v>0</v>
      </c>
      <c r="M127" s="1357">
        <v>0</v>
      </c>
      <c r="AC127" s="1336">
        <v>119</v>
      </c>
      <c r="AD127" s="1336" t="s">
        <v>1846</v>
      </c>
    </row>
    <row r="128" spans="1:30" x14ac:dyDescent="0.25">
      <c r="A128" s="858" t="str">
        <f>IF(RIGHT('Org structure'!D122,18)&lt;&gt;"[Name of sub-vote]",'Org structure'!D122,"")</f>
        <v/>
      </c>
      <c r="B128" s="855"/>
      <c r="C128" s="1358">
        <v>0</v>
      </c>
      <c r="D128" s="1359">
        <v>0</v>
      </c>
      <c r="E128" s="1359"/>
      <c r="F128" s="1359"/>
      <c r="G128" s="1359"/>
      <c r="H128" s="1359"/>
      <c r="I128" s="1359">
        <v>0</v>
      </c>
      <c r="J128" s="75">
        <f t="shared" si="14"/>
        <v>0</v>
      </c>
      <c r="K128" s="75">
        <f t="shared" si="10"/>
        <v>0</v>
      </c>
      <c r="L128" s="1356">
        <v>0</v>
      </c>
      <c r="M128" s="1357">
        <v>0</v>
      </c>
      <c r="AC128" s="1336">
        <v>1110</v>
      </c>
      <c r="AD128" s="1336" t="s">
        <v>1846</v>
      </c>
    </row>
    <row r="129" spans="1:30" x14ac:dyDescent="0.25">
      <c r="A129" s="856" t="str">
        <f>'Org structure'!A13</f>
        <v>Vote 12 - Waste Management</v>
      </c>
      <c r="B129" s="855"/>
      <c r="C129" s="733">
        <f>SUM(C130:C139)</f>
        <v>0</v>
      </c>
      <c r="D129" s="732">
        <f t="shared" ref="D129:I129" si="17">SUM(D130:D139)</f>
        <v>0</v>
      </c>
      <c r="E129" s="732">
        <f t="shared" si="17"/>
        <v>0</v>
      </c>
      <c r="F129" s="732">
        <f t="shared" si="17"/>
        <v>0</v>
      </c>
      <c r="G129" s="732">
        <f t="shared" si="17"/>
        <v>0</v>
      </c>
      <c r="H129" s="732">
        <f t="shared" si="17"/>
        <v>0</v>
      </c>
      <c r="I129" s="732">
        <f t="shared" si="17"/>
        <v>0</v>
      </c>
      <c r="J129" s="75">
        <f t="shared" si="14"/>
        <v>0</v>
      </c>
      <c r="K129" s="75">
        <f t="shared" si="10"/>
        <v>0</v>
      </c>
      <c r="L129" s="732">
        <f>SUM(L130:L139)</f>
        <v>0</v>
      </c>
      <c r="M129" s="759">
        <f>SUM(M130:M139)</f>
        <v>0</v>
      </c>
    </row>
    <row r="130" spans="1:30" x14ac:dyDescent="0.25">
      <c r="A130" s="858" t="str">
        <f>IF(RIGHT('Org structure'!D124,18)&lt;&gt;"[Name of sub-vote]",'Org structure'!D124,"")</f>
        <v>12.1 - Solid Waste Removal</v>
      </c>
      <c r="B130" s="855"/>
      <c r="C130" s="1358">
        <v>0</v>
      </c>
      <c r="D130" s="1359">
        <v>0</v>
      </c>
      <c r="E130" s="1359"/>
      <c r="F130" s="1359"/>
      <c r="G130" s="1359"/>
      <c r="H130" s="1359"/>
      <c r="I130" s="1359">
        <v>0</v>
      </c>
      <c r="J130" s="75">
        <f t="shared" si="14"/>
        <v>0</v>
      </c>
      <c r="K130" s="75">
        <f t="shared" si="10"/>
        <v>0</v>
      </c>
      <c r="L130" s="1356">
        <v>0</v>
      </c>
      <c r="M130" s="1357">
        <v>0</v>
      </c>
      <c r="AC130" s="1336">
        <v>121</v>
      </c>
      <c r="AD130" s="1336" t="s">
        <v>1846</v>
      </c>
    </row>
    <row r="131" spans="1:30" x14ac:dyDescent="0.25">
      <c r="A131" s="858" t="str">
        <f>IF(RIGHT('Org structure'!D125,18)&lt;&gt;"[Name of sub-vote]",'Org structure'!D125,"")</f>
        <v>12.2 - Street Cleaning</v>
      </c>
      <c r="B131" s="855"/>
      <c r="C131" s="1358">
        <v>0</v>
      </c>
      <c r="D131" s="1359">
        <v>0</v>
      </c>
      <c r="E131" s="1359"/>
      <c r="F131" s="1359"/>
      <c r="G131" s="1359"/>
      <c r="H131" s="1359"/>
      <c r="I131" s="1359">
        <v>0</v>
      </c>
      <c r="J131" s="75">
        <f t="shared" si="14"/>
        <v>0</v>
      </c>
      <c r="K131" s="75">
        <f t="shared" si="10"/>
        <v>0</v>
      </c>
      <c r="L131" s="1356">
        <v>0</v>
      </c>
      <c r="M131" s="1357">
        <v>0</v>
      </c>
      <c r="AC131" s="1336">
        <v>122</v>
      </c>
      <c r="AD131" s="1336" t="s">
        <v>1846</v>
      </c>
    </row>
    <row r="132" spans="1:30" x14ac:dyDescent="0.25">
      <c r="A132" s="858" t="str">
        <f>IF(RIGHT('Org structure'!D126,18)&lt;&gt;"[Name of sub-vote]",'Org structure'!D126,"")</f>
        <v>12.3 - Solid Waste Disposal (Landfill Sites)</v>
      </c>
      <c r="B132" s="855"/>
      <c r="C132" s="1358">
        <v>0</v>
      </c>
      <c r="D132" s="1359">
        <v>0</v>
      </c>
      <c r="E132" s="1359"/>
      <c r="F132" s="1359"/>
      <c r="G132" s="1359"/>
      <c r="H132" s="1359"/>
      <c r="I132" s="1359">
        <v>0</v>
      </c>
      <c r="J132" s="75">
        <f t="shared" si="14"/>
        <v>0</v>
      </c>
      <c r="K132" s="75">
        <f t="shared" si="10"/>
        <v>0</v>
      </c>
      <c r="L132" s="1356">
        <v>0</v>
      </c>
      <c r="M132" s="1357">
        <v>0</v>
      </c>
      <c r="AC132" s="1336">
        <v>123</v>
      </c>
      <c r="AD132" s="1336" t="s">
        <v>1846</v>
      </c>
    </row>
    <row r="133" spans="1:30" x14ac:dyDescent="0.25">
      <c r="A133" s="858" t="str">
        <f>IF(RIGHT('Org structure'!D127,18)&lt;&gt;"[Name of sub-vote]",'Org structure'!D127,"")</f>
        <v/>
      </c>
      <c r="B133" s="855"/>
      <c r="C133" s="1358">
        <v>0</v>
      </c>
      <c r="D133" s="1359">
        <v>0</v>
      </c>
      <c r="E133" s="1359"/>
      <c r="F133" s="1359"/>
      <c r="G133" s="1359"/>
      <c r="H133" s="1359"/>
      <c r="I133" s="1359">
        <v>0</v>
      </c>
      <c r="J133" s="75">
        <f t="shared" si="14"/>
        <v>0</v>
      </c>
      <c r="K133" s="75">
        <f t="shared" si="10"/>
        <v>0</v>
      </c>
      <c r="L133" s="1356">
        <v>0</v>
      </c>
      <c r="M133" s="1357">
        <v>0</v>
      </c>
      <c r="AC133" s="1336">
        <v>124</v>
      </c>
      <c r="AD133" s="1336" t="s">
        <v>1846</v>
      </c>
    </row>
    <row r="134" spans="1:30" x14ac:dyDescent="0.25">
      <c r="A134" s="858" t="str">
        <f>IF(RIGHT('Org structure'!D128,18)&lt;&gt;"[Name of sub-vote]",'Org structure'!D128,"")</f>
        <v/>
      </c>
      <c r="B134" s="855"/>
      <c r="C134" s="1358">
        <v>0</v>
      </c>
      <c r="D134" s="1359">
        <v>0</v>
      </c>
      <c r="E134" s="1359"/>
      <c r="F134" s="1359"/>
      <c r="G134" s="1359"/>
      <c r="H134" s="1359"/>
      <c r="I134" s="1359">
        <v>0</v>
      </c>
      <c r="J134" s="75">
        <f t="shared" si="14"/>
        <v>0</v>
      </c>
      <c r="K134" s="75">
        <f t="shared" si="10"/>
        <v>0</v>
      </c>
      <c r="L134" s="1356">
        <v>0</v>
      </c>
      <c r="M134" s="1357">
        <v>0</v>
      </c>
      <c r="AC134" s="1336">
        <v>125</v>
      </c>
      <c r="AD134" s="1336" t="s">
        <v>1846</v>
      </c>
    </row>
    <row r="135" spans="1:30" x14ac:dyDescent="0.25">
      <c r="A135" s="858" t="str">
        <f>IF(RIGHT('Org structure'!D129,18)&lt;&gt;"[Name of sub-vote]",'Org structure'!D129,"")</f>
        <v/>
      </c>
      <c r="B135" s="855"/>
      <c r="C135" s="1358">
        <v>0</v>
      </c>
      <c r="D135" s="1359">
        <v>0</v>
      </c>
      <c r="E135" s="1359"/>
      <c r="F135" s="1359"/>
      <c r="G135" s="1359"/>
      <c r="H135" s="1359"/>
      <c r="I135" s="1359">
        <v>0</v>
      </c>
      <c r="J135" s="75">
        <f t="shared" si="14"/>
        <v>0</v>
      </c>
      <c r="K135" s="75">
        <f t="shared" si="10"/>
        <v>0</v>
      </c>
      <c r="L135" s="1356">
        <v>0</v>
      </c>
      <c r="M135" s="1357">
        <v>0</v>
      </c>
      <c r="AC135" s="1336">
        <v>126</v>
      </c>
      <c r="AD135" s="1336" t="s">
        <v>1846</v>
      </c>
    </row>
    <row r="136" spans="1:30" x14ac:dyDescent="0.25">
      <c r="A136" s="858" t="str">
        <f>IF(RIGHT('Org structure'!D130,18)&lt;&gt;"[Name of sub-vote]",'Org structure'!D130,"")</f>
        <v/>
      </c>
      <c r="B136" s="855"/>
      <c r="C136" s="1358">
        <v>0</v>
      </c>
      <c r="D136" s="1359">
        <v>0</v>
      </c>
      <c r="E136" s="1359"/>
      <c r="F136" s="1359"/>
      <c r="G136" s="1359"/>
      <c r="H136" s="1359"/>
      <c r="I136" s="1359">
        <v>0</v>
      </c>
      <c r="J136" s="75">
        <f t="shared" ref="J136:J167" si="18">SUM(E136:I136)</f>
        <v>0</v>
      </c>
      <c r="K136" s="75">
        <f t="shared" ref="K136:K173" si="19">IF(D136=0,C136+J136,D136+J136)</f>
        <v>0</v>
      </c>
      <c r="L136" s="1356">
        <v>0</v>
      </c>
      <c r="M136" s="1357">
        <v>0</v>
      </c>
      <c r="AC136" s="1336">
        <v>127</v>
      </c>
      <c r="AD136" s="1336" t="s">
        <v>1846</v>
      </c>
    </row>
    <row r="137" spans="1:30" x14ac:dyDescent="0.25">
      <c r="A137" s="858" t="str">
        <f>IF(RIGHT('Org structure'!D131,18)&lt;&gt;"[Name of sub-vote]",'Org structure'!D131,"")</f>
        <v/>
      </c>
      <c r="B137" s="855"/>
      <c r="C137" s="1358">
        <v>0</v>
      </c>
      <c r="D137" s="1359">
        <v>0</v>
      </c>
      <c r="E137" s="1359"/>
      <c r="F137" s="1359"/>
      <c r="G137" s="1359"/>
      <c r="H137" s="1359"/>
      <c r="I137" s="1359">
        <v>0</v>
      </c>
      <c r="J137" s="75">
        <f t="shared" si="18"/>
        <v>0</v>
      </c>
      <c r="K137" s="75">
        <f t="shared" si="19"/>
        <v>0</v>
      </c>
      <c r="L137" s="1356">
        <v>0</v>
      </c>
      <c r="M137" s="1357">
        <v>0</v>
      </c>
      <c r="AC137" s="1336">
        <v>128</v>
      </c>
      <c r="AD137" s="1336" t="s">
        <v>1846</v>
      </c>
    </row>
    <row r="138" spans="1:30" x14ac:dyDescent="0.25">
      <c r="A138" s="858" t="str">
        <f>IF(RIGHT('Org structure'!D132,18)&lt;&gt;"[Name of sub-vote]",'Org structure'!D132,"")</f>
        <v/>
      </c>
      <c r="B138" s="855"/>
      <c r="C138" s="1358">
        <v>0</v>
      </c>
      <c r="D138" s="1359">
        <v>0</v>
      </c>
      <c r="E138" s="1359"/>
      <c r="F138" s="1359"/>
      <c r="G138" s="1359"/>
      <c r="H138" s="1359"/>
      <c r="I138" s="1359">
        <v>0</v>
      </c>
      <c r="J138" s="75">
        <f t="shared" si="18"/>
        <v>0</v>
      </c>
      <c r="K138" s="75">
        <f t="shared" si="19"/>
        <v>0</v>
      </c>
      <c r="L138" s="1356">
        <v>0</v>
      </c>
      <c r="M138" s="1357">
        <v>0</v>
      </c>
      <c r="AC138" s="1336">
        <v>129</v>
      </c>
      <c r="AD138" s="1336" t="s">
        <v>1846</v>
      </c>
    </row>
    <row r="139" spans="1:30" x14ac:dyDescent="0.25">
      <c r="A139" s="858" t="str">
        <f>IF(RIGHT('Org structure'!D133,18)&lt;&gt;"[Name of sub-vote]",'Org structure'!D133,"")</f>
        <v/>
      </c>
      <c r="B139" s="855"/>
      <c r="C139" s="1358">
        <v>0</v>
      </c>
      <c r="D139" s="1359">
        <v>0</v>
      </c>
      <c r="E139" s="1359"/>
      <c r="F139" s="1359"/>
      <c r="G139" s="1359"/>
      <c r="H139" s="1359"/>
      <c r="I139" s="1359">
        <v>0</v>
      </c>
      <c r="J139" s="75">
        <f t="shared" si="18"/>
        <v>0</v>
      </c>
      <c r="K139" s="75">
        <f t="shared" si="19"/>
        <v>0</v>
      </c>
      <c r="L139" s="1356">
        <v>0</v>
      </c>
      <c r="M139" s="1357">
        <v>0</v>
      </c>
      <c r="AC139" s="1336">
        <v>1210</v>
      </c>
      <c r="AD139" s="1336" t="s">
        <v>1846</v>
      </c>
    </row>
    <row r="140" spans="1:30" x14ac:dyDescent="0.25">
      <c r="A140" s="856" t="str">
        <f>'Org structure'!A14</f>
        <v>Vote 13 - Housing</v>
      </c>
      <c r="B140" s="855"/>
      <c r="C140" s="733">
        <f>SUM(C141:C150)</f>
        <v>0</v>
      </c>
      <c r="D140" s="732">
        <f t="shared" ref="D140:I140" si="20">SUM(D141:D150)</f>
        <v>0</v>
      </c>
      <c r="E140" s="732">
        <f t="shared" si="20"/>
        <v>0</v>
      </c>
      <c r="F140" s="732">
        <f t="shared" si="20"/>
        <v>0</v>
      </c>
      <c r="G140" s="732">
        <f t="shared" si="20"/>
        <v>0</v>
      </c>
      <c r="H140" s="732">
        <f t="shared" si="20"/>
        <v>0</v>
      </c>
      <c r="I140" s="732">
        <f t="shared" si="20"/>
        <v>0</v>
      </c>
      <c r="J140" s="75">
        <f t="shared" si="18"/>
        <v>0</v>
      </c>
      <c r="K140" s="75">
        <f t="shared" si="19"/>
        <v>0</v>
      </c>
      <c r="L140" s="732">
        <f>SUM(L141:L150)</f>
        <v>0</v>
      </c>
      <c r="M140" s="759">
        <f>SUM(M141:M150)</f>
        <v>0</v>
      </c>
    </row>
    <row r="141" spans="1:30" x14ac:dyDescent="0.25">
      <c r="A141" s="858" t="str">
        <f>IF(RIGHT('Org structure'!D135,18)&lt;&gt;"[Name of sub-vote]",'Org structure'!D135,"")</f>
        <v>13.1 - Housing</v>
      </c>
      <c r="B141" s="855"/>
      <c r="C141" s="1358">
        <v>0</v>
      </c>
      <c r="D141" s="1359">
        <v>0</v>
      </c>
      <c r="E141" s="1359"/>
      <c r="F141" s="1359"/>
      <c r="G141" s="1359"/>
      <c r="H141" s="1359"/>
      <c r="I141" s="1359">
        <v>0</v>
      </c>
      <c r="J141" s="75">
        <f t="shared" si="18"/>
        <v>0</v>
      </c>
      <c r="K141" s="75">
        <f t="shared" si="19"/>
        <v>0</v>
      </c>
      <c r="L141" s="1356">
        <v>0</v>
      </c>
      <c r="M141" s="1357">
        <v>0</v>
      </c>
      <c r="AC141" s="1336">
        <v>131</v>
      </c>
      <c r="AD141" s="1336" t="s">
        <v>1846</v>
      </c>
    </row>
    <row r="142" spans="1:30" x14ac:dyDescent="0.25">
      <c r="A142" s="858" t="str">
        <f>IF(RIGHT('Org structure'!D136,18)&lt;&gt;"[Name of sub-vote]",'Org structure'!D136,"")</f>
        <v/>
      </c>
      <c r="B142" s="855"/>
      <c r="C142" s="1358">
        <v>0</v>
      </c>
      <c r="D142" s="1359">
        <v>0</v>
      </c>
      <c r="E142" s="1359"/>
      <c r="F142" s="1359"/>
      <c r="G142" s="1359"/>
      <c r="H142" s="1359"/>
      <c r="I142" s="1359">
        <v>0</v>
      </c>
      <c r="J142" s="75">
        <f t="shared" si="18"/>
        <v>0</v>
      </c>
      <c r="K142" s="75">
        <f t="shared" si="19"/>
        <v>0</v>
      </c>
      <c r="L142" s="1356">
        <v>0</v>
      </c>
      <c r="M142" s="1357">
        <v>0</v>
      </c>
      <c r="AC142" s="1336">
        <v>132</v>
      </c>
      <c r="AD142" s="1336" t="s">
        <v>1846</v>
      </c>
    </row>
    <row r="143" spans="1:30" x14ac:dyDescent="0.25">
      <c r="A143" s="858" t="str">
        <f>IF(RIGHT('Org structure'!D137,18)&lt;&gt;"[Name of sub-vote]",'Org structure'!D137,"")</f>
        <v/>
      </c>
      <c r="B143" s="855"/>
      <c r="C143" s="1358">
        <v>0</v>
      </c>
      <c r="D143" s="1359">
        <v>0</v>
      </c>
      <c r="E143" s="1359"/>
      <c r="F143" s="1359"/>
      <c r="G143" s="1359"/>
      <c r="H143" s="1359"/>
      <c r="I143" s="1359">
        <v>0</v>
      </c>
      <c r="J143" s="75">
        <f t="shared" si="18"/>
        <v>0</v>
      </c>
      <c r="K143" s="75">
        <f t="shared" si="19"/>
        <v>0</v>
      </c>
      <c r="L143" s="1356">
        <v>0</v>
      </c>
      <c r="M143" s="1357">
        <v>0</v>
      </c>
      <c r="AC143" s="1336">
        <v>133</v>
      </c>
      <c r="AD143" s="1336" t="s">
        <v>1846</v>
      </c>
    </row>
    <row r="144" spans="1:30" x14ac:dyDescent="0.25">
      <c r="A144" s="858" t="str">
        <f>IF(RIGHT('Org structure'!D138,18)&lt;&gt;"[Name of sub-vote]",'Org structure'!D138,"")</f>
        <v/>
      </c>
      <c r="B144" s="855"/>
      <c r="C144" s="1358">
        <v>0</v>
      </c>
      <c r="D144" s="1359">
        <v>0</v>
      </c>
      <c r="E144" s="1359"/>
      <c r="F144" s="1359"/>
      <c r="G144" s="1359"/>
      <c r="H144" s="1359"/>
      <c r="I144" s="1359">
        <v>0</v>
      </c>
      <c r="J144" s="75">
        <f t="shared" si="18"/>
        <v>0</v>
      </c>
      <c r="K144" s="75">
        <f t="shared" si="19"/>
        <v>0</v>
      </c>
      <c r="L144" s="1356">
        <v>0</v>
      </c>
      <c r="M144" s="1357">
        <v>0</v>
      </c>
      <c r="AC144" s="1336">
        <v>134</v>
      </c>
      <c r="AD144" s="1336" t="s">
        <v>1846</v>
      </c>
    </row>
    <row r="145" spans="1:30" x14ac:dyDescent="0.25">
      <c r="A145" s="858" t="str">
        <f>IF(RIGHT('Org structure'!D139,18)&lt;&gt;"[Name of sub-vote]",'Org structure'!D139,"")</f>
        <v/>
      </c>
      <c r="B145" s="855"/>
      <c r="C145" s="1358">
        <v>0</v>
      </c>
      <c r="D145" s="1359">
        <v>0</v>
      </c>
      <c r="E145" s="1359"/>
      <c r="F145" s="1359"/>
      <c r="G145" s="1359"/>
      <c r="H145" s="1359"/>
      <c r="I145" s="1359">
        <v>0</v>
      </c>
      <c r="J145" s="75">
        <f t="shared" si="18"/>
        <v>0</v>
      </c>
      <c r="K145" s="75">
        <f t="shared" si="19"/>
        <v>0</v>
      </c>
      <c r="L145" s="1356">
        <v>0</v>
      </c>
      <c r="M145" s="1357">
        <v>0</v>
      </c>
      <c r="AC145" s="1336">
        <v>135</v>
      </c>
      <c r="AD145" s="1336" t="s">
        <v>1846</v>
      </c>
    </row>
    <row r="146" spans="1:30" x14ac:dyDescent="0.25">
      <c r="A146" s="858" t="str">
        <f>IF(RIGHT('Org structure'!D140,18)&lt;&gt;"[Name of sub-vote]",'Org structure'!D140,"")</f>
        <v/>
      </c>
      <c r="B146" s="855"/>
      <c r="C146" s="1358">
        <v>0</v>
      </c>
      <c r="D146" s="1359">
        <v>0</v>
      </c>
      <c r="E146" s="1359"/>
      <c r="F146" s="1359"/>
      <c r="G146" s="1359"/>
      <c r="H146" s="1359"/>
      <c r="I146" s="1359">
        <v>0</v>
      </c>
      <c r="J146" s="75">
        <f t="shared" si="18"/>
        <v>0</v>
      </c>
      <c r="K146" s="75">
        <f t="shared" si="19"/>
        <v>0</v>
      </c>
      <c r="L146" s="1356">
        <v>0</v>
      </c>
      <c r="M146" s="1357">
        <v>0</v>
      </c>
      <c r="AC146" s="1336">
        <v>136</v>
      </c>
      <c r="AD146" s="1336" t="s">
        <v>1846</v>
      </c>
    </row>
    <row r="147" spans="1:30" x14ac:dyDescent="0.25">
      <c r="A147" s="858" t="str">
        <f>IF(RIGHT('Org structure'!D141,18)&lt;&gt;"[Name of sub-vote]",'Org structure'!D141,"")</f>
        <v/>
      </c>
      <c r="B147" s="855"/>
      <c r="C147" s="1358">
        <v>0</v>
      </c>
      <c r="D147" s="1359">
        <v>0</v>
      </c>
      <c r="E147" s="1359"/>
      <c r="F147" s="1359"/>
      <c r="G147" s="1359"/>
      <c r="H147" s="1359"/>
      <c r="I147" s="1359">
        <v>0</v>
      </c>
      <c r="J147" s="75">
        <f t="shared" si="18"/>
        <v>0</v>
      </c>
      <c r="K147" s="75">
        <f t="shared" si="19"/>
        <v>0</v>
      </c>
      <c r="L147" s="1356">
        <v>0</v>
      </c>
      <c r="M147" s="1357">
        <v>0</v>
      </c>
      <c r="AC147" s="1336">
        <v>137</v>
      </c>
      <c r="AD147" s="1336" t="s">
        <v>1846</v>
      </c>
    </row>
    <row r="148" spans="1:30" x14ac:dyDescent="0.25">
      <c r="A148" s="858" t="str">
        <f>IF(RIGHT('Org structure'!D142,18)&lt;&gt;"[Name of sub-vote]",'Org structure'!D142,"")</f>
        <v/>
      </c>
      <c r="B148" s="855"/>
      <c r="C148" s="1358">
        <v>0</v>
      </c>
      <c r="D148" s="1359">
        <v>0</v>
      </c>
      <c r="E148" s="1359"/>
      <c r="F148" s="1359"/>
      <c r="G148" s="1359"/>
      <c r="H148" s="1359"/>
      <c r="I148" s="1359">
        <v>0</v>
      </c>
      <c r="J148" s="75">
        <f t="shared" si="18"/>
        <v>0</v>
      </c>
      <c r="K148" s="75">
        <f t="shared" si="19"/>
        <v>0</v>
      </c>
      <c r="L148" s="1356">
        <v>0</v>
      </c>
      <c r="M148" s="1357">
        <v>0</v>
      </c>
      <c r="AC148" s="1336">
        <v>138</v>
      </c>
      <c r="AD148" s="1336" t="s">
        <v>1846</v>
      </c>
    </row>
    <row r="149" spans="1:30" x14ac:dyDescent="0.25">
      <c r="A149" s="858" t="str">
        <f>IF(RIGHT('Org structure'!D143,18)&lt;&gt;"[Name of sub-vote]",'Org structure'!D143,"")</f>
        <v/>
      </c>
      <c r="B149" s="855"/>
      <c r="C149" s="1358">
        <v>0</v>
      </c>
      <c r="D149" s="1359">
        <v>0</v>
      </c>
      <c r="E149" s="1359"/>
      <c r="F149" s="1359"/>
      <c r="G149" s="1359"/>
      <c r="H149" s="1359"/>
      <c r="I149" s="1359">
        <v>0</v>
      </c>
      <c r="J149" s="75">
        <f t="shared" si="18"/>
        <v>0</v>
      </c>
      <c r="K149" s="75">
        <f t="shared" si="19"/>
        <v>0</v>
      </c>
      <c r="L149" s="1356">
        <v>0</v>
      </c>
      <c r="M149" s="1357">
        <v>0</v>
      </c>
      <c r="AC149" s="1336">
        <v>139</v>
      </c>
      <c r="AD149" s="1336" t="s">
        <v>1846</v>
      </c>
    </row>
    <row r="150" spans="1:30" x14ac:dyDescent="0.25">
      <c r="A150" s="858" t="str">
        <f>IF(RIGHT('Org structure'!D144,18)&lt;&gt;"[Name of sub-vote]",'Org structure'!D144,"")</f>
        <v/>
      </c>
      <c r="B150" s="855"/>
      <c r="C150" s="1358">
        <v>0</v>
      </c>
      <c r="D150" s="1359">
        <v>0</v>
      </c>
      <c r="E150" s="1359"/>
      <c r="F150" s="1359"/>
      <c r="G150" s="1359"/>
      <c r="H150" s="1359"/>
      <c r="I150" s="1359">
        <v>0</v>
      </c>
      <c r="J150" s="75">
        <f t="shared" si="18"/>
        <v>0</v>
      </c>
      <c r="K150" s="75">
        <f t="shared" si="19"/>
        <v>0</v>
      </c>
      <c r="L150" s="1356">
        <v>0</v>
      </c>
      <c r="M150" s="1357">
        <v>0</v>
      </c>
      <c r="AC150" s="1336">
        <v>1310</v>
      </c>
      <c r="AD150" s="1336" t="s">
        <v>1846</v>
      </c>
    </row>
    <row r="151" spans="1:30" x14ac:dyDescent="0.25">
      <c r="A151" s="856" t="str">
        <f>'Org structure'!A15</f>
        <v>Vote 14 - Waste Water Management</v>
      </c>
      <c r="B151" s="855"/>
      <c r="C151" s="733">
        <f>SUM(C152:C161)</f>
        <v>0</v>
      </c>
      <c r="D151" s="732">
        <f t="shared" ref="D151:I151" si="21">SUM(D152:D161)</f>
        <v>0</v>
      </c>
      <c r="E151" s="732">
        <f t="shared" si="21"/>
        <v>0</v>
      </c>
      <c r="F151" s="732">
        <f t="shared" si="21"/>
        <v>0</v>
      </c>
      <c r="G151" s="732">
        <f t="shared" si="21"/>
        <v>0</v>
      </c>
      <c r="H151" s="732">
        <f t="shared" si="21"/>
        <v>0</v>
      </c>
      <c r="I151" s="732">
        <f t="shared" si="21"/>
        <v>0</v>
      </c>
      <c r="J151" s="75">
        <f t="shared" si="18"/>
        <v>0</v>
      </c>
      <c r="K151" s="75">
        <f t="shared" si="19"/>
        <v>0</v>
      </c>
      <c r="L151" s="732">
        <f>SUM(L152:L161)</f>
        <v>0</v>
      </c>
      <c r="M151" s="759">
        <f>SUM(M152:M161)</f>
        <v>0</v>
      </c>
    </row>
    <row r="152" spans="1:30" x14ac:dyDescent="0.25">
      <c r="A152" s="858" t="str">
        <f>IF(RIGHT('Org structure'!D146,18)&lt;&gt;"[Name of sub-vote]",'Org structure'!D146,"")</f>
        <v>14.1 - Storm Water Management</v>
      </c>
      <c r="B152" s="855"/>
      <c r="C152" s="1358">
        <v>0</v>
      </c>
      <c r="D152" s="1359">
        <v>0</v>
      </c>
      <c r="E152" s="1359"/>
      <c r="F152" s="1359"/>
      <c r="G152" s="1359"/>
      <c r="H152" s="1359"/>
      <c r="I152" s="1359">
        <v>0</v>
      </c>
      <c r="J152" s="75">
        <f t="shared" si="18"/>
        <v>0</v>
      </c>
      <c r="K152" s="75">
        <f t="shared" si="19"/>
        <v>0</v>
      </c>
      <c r="L152" s="1356">
        <v>0</v>
      </c>
      <c r="M152" s="1357">
        <v>0</v>
      </c>
      <c r="AC152" s="1336">
        <v>141</v>
      </c>
      <c r="AD152" s="1336" t="s">
        <v>1846</v>
      </c>
    </row>
    <row r="153" spans="1:30" x14ac:dyDescent="0.25">
      <c r="A153" s="858" t="str">
        <f>IF(RIGHT('Org structure'!D147,18)&lt;&gt;"[Name of sub-vote]",'Org structure'!D147,"")</f>
        <v/>
      </c>
      <c r="B153" s="855"/>
      <c r="C153" s="1358">
        <v>0</v>
      </c>
      <c r="D153" s="1359">
        <v>0</v>
      </c>
      <c r="E153" s="1359"/>
      <c r="F153" s="1359"/>
      <c r="G153" s="1359"/>
      <c r="H153" s="1359"/>
      <c r="I153" s="1359">
        <v>0</v>
      </c>
      <c r="J153" s="75">
        <f t="shared" si="18"/>
        <v>0</v>
      </c>
      <c r="K153" s="75">
        <f t="shared" si="19"/>
        <v>0</v>
      </c>
      <c r="L153" s="1356">
        <v>0</v>
      </c>
      <c r="M153" s="1357">
        <v>0</v>
      </c>
      <c r="AC153" s="1336">
        <v>142</v>
      </c>
      <c r="AD153" s="1336" t="s">
        <v>1846</v>
      </c>
    </row>
    <row r="154" spans="1:30" x14ac:dyDescent="0.25">
      <c r="A154" s="858" t="str">
        <f>IF(RIGHT('Org structure'!D148,18)&lt;&gt;"[Name of sub-vote]",'Org structure'!D148,"")</f>
        <v/>
      </c>
      <c r="B154" s="855"/>
      <c r="C154" s="1358">
        <v>0</v>
      </c>
      <c r="D154" s="1359">
        <v>0</v>
      </c>
      <c r="E154" s="1359"/>
      <c r="F154" s="1359"/>
      <c r="G154" s="1359"/>
      <c r="H154" s="1359"/>
      <c r="I154" s="1359">
        <v>0</v>
      </c>
      <c r="J154" s="75">
        <f t="shared" si="18"/>
        <v>0</v>
      </c>
      <c r="K154" s="75">
        <f t="shared" si="19"/>
        <v>0</v>
      </c>
      <c r="L154" s="1356">
        <v>0</v>
      </c>
      <c r="M154" s="1357">
        <v>0</v>
      </c>
      <c r="AC154" s="1336">
        <v>143</v>
      </c>
      <c r="AD154" s="1336" t="s">
        <v>1846</v>
      </c>
    </row>
    <row r="155" spans="1:30" x14ac:dyDescent="0.25">
      <c r="A155" s="858" t="str">
        <f>IF(RIGHT('Org structure'!D149,18)&lt;&gt;"[Name of sub-vote]",'Org structure'!D149,"")</f>
        <v/>
      </c>
      <c r="B155" s="855"/>
      <c r="C155" s="1358">
        <v>0</v>
      </c>
      <c r="D155" s="1359">
        <v>0</v>
      </c>
      <c r="E155" s="1359"/>
      <c r="F155" s="1359"/>
      <c r="G155" s="1359"/>
      <c r="H155" s="1359"/>
      <c r="I155" s="1359">
        <v>0</v>
      </c>
      <c r="J155" s="75">
        <f t="shared" si="18"/>
        <v>0</v>
      </c>
      <c r="K155" s="75">
        <f t="shared" si="19"/>
        <v>0</v>
      </c>
      <c r="L155" s="1356">
        <v>0</v>
      </c>
      <c r="M155" s="1357">
        <v>0</v>
      </c>
      <c r="AC155" s="1336">
        <v>144</v>
      </c>
      <c r="AD155" s="1336" t="s">
        <v>1846</v>
      </c>
    </row>
    <row r="156" spans="1:30" x14ac:dyDescent="0.25">
      <c r="A156" s="858" t="str">
        <f>IF(RIGHT('Org structure'!D150,18)&lt;&gt;"[Name of sub-vote]",'Org structure'!D150,"")</f>
        <v/>
      </c>
      <c r="B156" s="855"/>
      <c r="C156" s="1358">
        <v>0</v>
      </c>
      <c r="D156" s="1359">
        <v>0</v>
      </c>
      <c r="E156" s="1359"/>
      <c r="F156" s="1359"/>
      <c r="G156" s="1359"/>
      <c r="H156" s="1359"/>
      <c r="I156" s="1359">
        <v>0</v>
      </c>
      <c r="J156" s="75">
        <f t="shared" si="18"/>
        <v>0</v>
      </c>
      <c r="K156" s="75">
        <f t="shared" si="19"/>
        <v>0</v>
      </c>
      <c r="L156" s="1356">
        <v>0</v>
      </c>
      <c r="M156" s="1357">
        <v>0</v>
      </c>
      <c r="AC156" s="1336">
        <v>145</v>
      </c>
      <c r="AD156" s="1336" t="s">
        <v>1846</v>
      </c>
    </row>
    <row r="157" spans="1:30" x14ac:dyDescent="0.25">
      <c r="A157" s="858" t="str">
        <f>IF(RIGHT('Org structure'!D151,18)&lt;&gt;"[Name of sub-vote]",'Org structure'!D151,"")</f>
        <v/>
      </c>
      <c r="B157" s="855"/>
      <c r="C157" s="1358">
        <v>0</v>
      </c>
      <c r="D157" s="1359">
        <v>0</v>
      </c>
      <c r="E157" s="1359"/>
      <c r="F157" s="1359"/>
      <c r="G157" s="1359"/>
      <c r="H157" s="1359"/>
      <c r="I157" s="1359">
        <v>0</v>
      </c>
      <c r="J157" s="75">
        <f t="shared" si="18"/>
        <v>0</v>
      </c>
      <c r="K157" s="75">
        <f t="shared" si="19"/>
        <v>0</v>
      </c>
      <c r="L157" s="1356">
        <v>0</v>
      </c>
      <c r="M157" s="1357">
        <v>0</v>
      </c>
      <c r="AC157" s="1336">
        <v>146</v>
      </c>
      <c r="AD157" s="1336" t="s">
        <v>1846</v>
      </c>
    </row>
    <row r="158" spans="1:30" x14ac:dyDescent="0.25">
      <c r="A158" s="858" t="str">
        <f>IF(RIGHT('Org structure'!D152,18)&lt;&gt;"[Name of sub-vote]",'Org structure'!D152,"")</f>
        <v/>
      </c>
      <c r="B158" s="855"/>
      <c r="C158" s="1358">
        <v>0</v>
      </c>
      <c r="D158" s="1359">
        <v>0</v>
      </c>
      <c r="E158" s="1359"/>
      <c r="F158" s="1359"/>
      <c r="G158" s="1359"/>
      <c r="H158" s="1359"/>
      <c r="I158" s="1359">
        <v>0</v>
      </c>
      <c r="J158" s="75">
        <f t="shared" si="18"/>
        <v>0</v>
      </c>
      <c r="K158" s="75">
        <f t="shared" si="19"/>
        <v>0</v>
      </c>
      <c r="L158" s="1356">
        <v>0</v>
      </c>
      <c r="M158" s="1357">
        <v>0</v>
      </c>
      <c r="AC158" s="1336">
        <v>147</v>
      </c>
      <c r="AD158" s="1336" t="s">
        <v>1846</v>
      </c>
    </row>
    <row r="159" spans="1:30" x14ac:dyDescent="0.25">
      <c r="A159" s="858" t="str">
        <f>IF(RIGHT('Org structure'!D153,18)&lt;&gt;"[Name of sub-vote]",'Org structure'!D153,"")</f>
        <v/>
      </c>
      <c r="B159" s="855"/>
      <c r="C159" s="1358">
        <v>0</v>
      </c>
      <c r="D159" s="1359">
        <v>0</v>
      </c>
      <c r="E159" s="1359"/>
      <c r="F159" s="1359"/>
      <c r="G159" s="1359"/>
      <c r="H159" s="1359"/>
      <c r="I159" s="1359">
        <v>0</v>
      </c>
      <c r="J159" s="75">
        <f t="shared" si="18"/>
        <v>0</v>
      </c>
      <c r="K159" s="75">
        <f t="shared" si="19"/>
        <v>0</v>
      </c>
      <c r="L159" s="1356">
        <v>0</v>
      </c>
      <c r="M159" s="1357">
        <v>0</v>
      </c>
      <c r="AC159" s="1336">
        <v>148</v>
      </c>
      <c r="AD159" s="1336" t="s">
        <v>1846</v>
      </c>
    </row>
    <row r="160" spans="1:30" x14ac:dyDescent="0.25">
      <c r="A160" s="858" t="str">
        <f>IF(RIGHT('Org structure'!D154,18)&lt;&gt;"[Name of sub-vote]",'Org structure'!D154,"")</f>
        <v/>
      </c>
      <c r="B160" s="855"/>
      <c r="C160" s="1358">
        <v>0</v>
      </c>
      <c r="D160" s="1359">
        <v>0</v>
      </c>
      <c r="E160" s="1359"/>
      <c r="F160" s="1359"/>
      <c r="G160" s="1359"/>
      <c r="H160" s="1359"/>
      <c r="I160" s="1359">
        <v>0</v>
      </c>
      <c r="J160" s="75">
        <f t="shared" si="18"/>
        <v>0</v>
      </c>
      <c r="K160" s="75">
        <f t="shared" si="19"/>
        <v>0</v>
      </c>
      <c r="L160" s="1356">
        <v>0</v>
      </c>
      <c r="M160" s="1357">
        <v>0</v>
      </c>
      <c r="AC160" s="1336">
        <v>149</v>
      </c>
      <c r="AD160" s="1336" t="s">
        <v>1846</v>
      </c>
    </row>
    <row r="161" spans="1:30" x14ac:dyDescent="0.25">
      <c r="A161" s="858" t="str">
        <f>IF(RIGHT('Org structure'!D155,18)&lt;&gt;"[Name of sub-vote]",'Org structure'!D155,"")</f>
        <v/>
      </c>
      <c r="B161" s="855"/>
      <c r="C161" s="1358">
        <v>0</v>
      </c>
      <c r="D161" s="1359">
        <v>0</v>
      </c>
      <c r="E161" s="1359"/>
      <c r="F161" s="1359"/>
      <c r="G161" s="1359"/>
      <c r="H161" s="1359"/>
      <c r="I161" s="1359">
        <v>0</v>
      </c>
      <c r="J161" s="75">
        <f t="shared" si="18"/>
        <v>0</v>
      </c>
      <c r="K161" s="75">
        <f t="shared" si="19"/>
        <v>0</v>
      </c>
      <c r="L161" s="1356">
        <v>0</v>
      </c>
      <c r="M161" s="1357">
        <v>0</v>
      </c>
      <c r="AC161" s="1336">
        <v>1410</v>
      </c>
      <c r="AD161" s="1336" t="s">
        <v>1846</v>
      </c>
    </row>
    <row r="162" spans="1:30" x14ac:dyDescent="0.25">
      <c r="A162" s="856" t="str">
        <f>'Org structure'!A16</f>
        <v>Vote 15 - Health</v>
      </c>
      <c r="B162" s="855"/>
      <c r="C162" s="733">
        <f>SUM(C163:C172)</f>
        <v>0</v>
      </c>
      <c r="D162" s="732">
        <f t="shared" ref="D162:I162" si="22">SUM(D163:D172)</f>
        <v>0</v>
      </c>
      <c r="E162" s="732">
        <f t="shared" si="22"/>
        <v>0</v>
      </c>
      <c r="F162" s="732">
        <f t="shared" si="22"/>
        <v>0</v>
      </c>
      <c r="G162" s="732">
        <f t="shared" si="22"/>
        <v>0</v>
      </c>
      <c r="H162" s="732">
        <f t="shared" si="22"/>
        <v>0</v>
      </c>
      <c r="I162" s="732">
        <f t="shared" si="22"/>
        <v>0</v>
      </c>
      <c r="J162" s="75">
        <f t="shared" si="18"/>
        <v>0</v>
      </c>
      <c r="K162" s="75">
        <f t="shared" si="19"/>
        <v>0</v>
      </c>
      <c r="L162" s="732">
        <f>SUM(L163:L172)</f>
        <v>0</v>
      </c>
      <c r="M162" s="759">
        <f>SUM(M163:M172)</f>
        <v>0</v>
      </c>
    </row>
    <row r="163" spans="1:30" x14ac:dyDescent="0.25">
      <c r="A163" s="858" t="str">
        <f>IF(RIGHT('Org structure'!D157,18)&lt;&gt;"[Name of sub-vote]",'Org structure'!D157,"")</f>
        <v>15.1 - Health Services</v>
      </c>
      <c r="B163" s="855"/>
      <c r="C163" s="1358">
        <v>0</v>
      </c>
      <c r="D163" s="1359">
        <v>0</v>
      </c>
      <c r="E163" s="1359"/>
      <c r="F163" s="1359"/>
      <c r="G163" s="1359"/>
      <c r="H163" s="1359"/>
      <c r="I163" s="1359">
        <v>0</v>
      </c>
      <c r="J163" s="75">
        <f t="shared" si="18"/>
        <v>0</v>
      </c>
      <c r="K163" s="75">
        <f t="shared" si="19"/>
        <v>0</v>
      </c>
      <c r="L163" s="1356">
        <v>0</v>
      </c>
      <c r="M163" s="1357">
        <v>0</v>
      </c>
      <c r="AC163" s="1336">
        <v>151</v>
      </c>
      <c r="AD163" s="1336" t="s">
        <v>1846</v>
      </c>
    </row>
    <row r="164" spans="1:30" x14ac:dyDescent="0.25">
      <c r="A164" s="858" t="str">
        <f>IF(RIGHT('Org structure'!D158,18)&lt;&gt;"[Name of sub-vote]",'Org structure'!D158,"")</f>
        <v/>
      </c>
      <c r="B164" s="855"/>
      <c r="C164" s="1358">
        <v>0</v>
      </c>
      <c r="D164" s="1359">
        <v>0</v>
      </c>
      <c r="E164" s="1359"/>
      <c r="F164" s="1359"/>
      <c r="G164" s="1359"/>
      <c r="H164" s="1359"/>
      <c r="I164" s="1359">
        <v>0</v>
      </c>
      <c r="J164" s="75">
        <f t="shared" si="18"/>
        <v>0</v>
      </c>
      <c r="K164" s="75">
        <f t="shared" si="19"/>
        <v>0</v>
      </c>
      <c r="L164" s="1356">
        <v>0</v>
      </c>
      <c r="M164" s="1357">
        <v>0</v>
      </c>
      <c r="AC164" s="1336">
        <v>152</v>
      </c>
      <c r="AD164" s="1336" t="s">
        <v>1846</v>
      </c>
    </row>
    <row r="165" spans="1:30" x14ac:dyDescent="0.25">
      <c r="A165" s="858" t="str">
        <f>IF(RIGHT('Org structure'!D159,18)&lt;&gt;"[Name of sub-vote]",'Org structure'!D159,"")</f>
        <v/>
      </c>
      <c r="B165" s="855"/>
      <c r="C165" s="1358">
        <v>0</v>
      </c>
      <c r="D165" s="1359">
        <v>0</v>
      </c>
      <c r="E165" s="1359"/>
      <c r="F165" s="1359"/>
      <c r="G165" s="1359"/>
      <c r="H165" s="1359"/>
      <c r="I165" s="1359">
        <v>0</v>
      </c>
      <c r="J165" s="75">
        <f t="shared" si="18"/>
        <v>0</v>
      </c>
      <c r="K165" s="75">
        <f t="shared" si="19"/>
        <v>0</v>
      </c>
      <c r="L165" s="1356">
        <v>0</v>
      </c>
      <c r="M165" s="1357">
        <v>0</v>
      </c>
      <c r="AC165" s="1336">
        <v>153</v>
      </c>
      <c r="AD165" s="1336" t="s">
        <v>1846</v>
      </c>
    </row>
    <row r="166" spans="1:30" x14ac:dyDescent="0.25">
      <c r="A166" s="858" t="str">
        <f>IF(RIGHT('Org structure'!D160,18)&lt;&gt;"[Name of sub-vote]",'Org structure'!D160,"")</f>
        <v/>
      </c>
      <c r="B166" s="855"/>
      <c r="C166" s="1358">
        <v>0</v>
      </c>
      <c r="D166" s="1359">
        <v>0</v>
      </c>
      <c r="E166" s="1359"/>
      <c r="F166" s="1359"/>
      <c r="G166" s="1359"/>
      <c r="H166" s="1359"/>
      <c r="I166" s="1359">
        <v>0</v>
      </c>
      <c r="J166" s="75">
        <f t="shared" si="18"/>
        <v>0</v>
      </c>
      <c r="K166" s="75">
        <f t="shared" si="19"/>
        <v>0</v>
      </c>
      <c r="L166" s="1356">
        <v>0</v>
      </c>
      <c r="M166" s="1357">
        <v>0</v>
      </c>
      <c r="AC166" s="1336">
        <v>154</v>
      </c>
      <c r="AD166" s="1336" t="s">
        <v>1846</v>
      </c>
    </row>
    <row r="167" spans="1:30" x14ac:dyDescent="0.25">
      <c r="A167" s="858" t="str">
        <f>IF(RIGHT('Org structure'!D161,18)&lt;&gt;"[Name of sub-vote]",'Org structure'!D161,"")</f>
        <v/>
      </c>
      <c r="B167" s="855"/>
      <c r="C167" s="1358">
        <v>0</v>
      </c>
      <c r="D167" s="1359">
        <v>0</v>
      </c>
      <c r="E167" s="1359"/>
      <c r="F167" s="1359"/>
      <c r="G167" s="1359"/>
      <c r="H167" s="1359"/>
      <c r="I167" s="1359">
        <v>0</v>
      </c>
      <c r="J167" s="75">
        <f t="shared" si="18"/>
        <v>0</v>
      </c>
      <c r="K167" s="75">
        <f t="shared" si="19"/>
        <v>0</v>
      </c>
      <c r="L167" s="1356">
        <v>0</v>
      </c>
      <c r="M167" s="1357">
        <v>0</v>
      </c>
      <c r="AC167" s="1336">
        <v>155</v>
      </c>
      <c r="AD167" s="1336" t="s">
        <v>1846</v>
      </c>
    </row>
    <row r="168" spans="1:30" x14ac:dyDescent="0.25">
      <c r="A168" s="858" t="str">
        <f>IF(RIGHT('Org structure'!D162,18)&lt;&gt;"[Name of sub-vote]",'Org structure'!D162,"")</f>
        <v/>
      </c>
      <c r="B168" s="855"/>
      <c r="C168" s="1358">
        <v>0</v>
      </c>
      <c r="D168" s="1359">
        <v>0</v>
      </c>
      <c r="E168" s="1359"/>
      <c r="F168" s="1359"/>
      <c r="G168" s="1359"/>
      <c r="H168" s="1359"/>
      <c r="I168" s="1359">
        <v>0</v>
      </c>
      <c r="J168" s="75">
        <f t="shared" ref="J168:J173" si="23">SUM(E168:I168)</f>
        <v>0</v>
      </c>
      <c r="K168" s="75">
        <f t="shared" si="19"/>
        <v>0</v>
      </c>
      <c r="L168" s="1356">
        <v>0</v>
      </c>
      <c r="M168" s="1357">
        <v>0</v>
      </c>
      <c r="AC168" s="1336">
        <v>156</v>
      </c>
      <c r="AD168" s="1336" t="s">
        <v>1846</v>
      </c>
    </row>
    <row r="169" spans="1:30" x14ac:dyDescent="0.25">
      <c r="A169" s="858" t="str">
        <f>IF(RIGHT('Org structure'!D163,18)&lt;&gt;"[Name of sub-vote]",'Org structure'!D163,"")</f>
        <v/>
      </c>
      <c r="B169" s="855"/>
      <c r="C169" s="1358">
        <v>0</v>
      </c>
      <c r="D169" s="1359">
        <v>0</v>
      </c>
      <c r="E169" s="1359"/>
      <c r="F169" s="1359"/>
      <c r="G169" s="1359"/>
      <c r="H169" s="1359"/>
      <c r="I169" s="1359">
        <v>0</v>
      </c>
      <c r="J169" s="75">
        <f t="shared" si="23"/>
        <v>0</v>
      </c>
      <c r="K169" s="75">
        <f t="shared" si="19"/>
        <v>0</v>
      </c>
      <c r="L169" s="1356">
        <v>0</v>
      </c>
      <c r="M169" s="1357">
        <v>0</v>
      </c>
      <c r="AC169" s="1336">
        <v>157</v>
      </c>
      <c r="AD169" s="1336" t="s">
        <v>1846</v>
      </c>
    </row>
    <row r="170" spans="1:30" x14ac:dyDescent="0.25">
      <c r="A170" s="858" t="str">
        <f>IF(RIGHT('Org structure'!D164,18)&lt;&gt;"[Name of sub-vote]",'Org structure'!D164,"")</f>
        <v/>
      </c>
      <c r="B170" s="855"/>
      <c r="C170" s="1358">
        <v>0</v>
      </c>
      <c r="D170" s="1359">
        <v>0</v>
      </c>
      <c r="E170" s="1359"/>
      <c r="F170" s="1359"/>
      <c r="G170" s="1359"/>
      <c r="H170" s="1359"/>
      <c r="I170" s="1359">
        <v>0</v>
      </c>
      <c r="J170" s="75">
        <f t="shared" si="23"/>
        <v>0</v>
      </c>
      <c r="K170" s="75">
        <f t="shared" si="19"/>
        <v>0</v>
      </c>
      <c r="L170" s="1356">
        <v>0</v>
      </c>
      <c r="M170" s="1357">
        <v>0</v>
      </c>
      <c r="AC170" s="1336">
        <v>158</v>
      </c>
      <c r="AD170" s="1336" t="s">
        <v>1846</v>
      </c>
    </row>
    <row r="171" spans="1:30" x14ac:dyDescent="0.25">
      <c r="A171" s="858" t="str">
        <f>IF(RIGHT('Org structure'!D165,18)&lt;&gt;"[Name of sub-vote]",'Org structure'!D165,"")</f>
        <v/>
      </c>
      <c r="B171" s="855"/>
      <c r="C171" s="1358">
        <v>0</v>
      </c>
      <c r="D171" s="1359">
        <v>0</v>
      </c>
      <c r="E171" s="1359"/>
      <c r="F171" s="1359"/>
      <c r="G171" s="1359"/>
      <c r="H171" s="1359"/>
      <c r="I171" s="1359">
        <v>0</v>
      </c>
      <c r="J171" s="75">
        <f t="shared" si="23"/>
        <v>0</v>
      </c>
      <c r="K171" s="75">
        <f t="shared" si="19"/>
        <v>0</v>
      </c>
      <c r="L171" s="1356">
        <v>0</v>
      </c>
      <c r="M171" s="1357">
        <v>0</v>
      </c>
      <c r="AC171" s="1336">
        <v>159</v>
      </c>
      <c r="AD171" s="1336" t="s">
        <v>1846</v>
      </c>
    </row>
    <row r="172" spans="1:30" x14ac:dyDescent="0.25">
      <c r="A172" s="858" t="str">
        <f>IF(RIGHT('Org structure'!D166,18)&lt;&gt;"[Name of sub-vote]",'Org structure'!D166,"")</f>
        <v/>
      </c>
      <c r="B172" s="855"/>
      <c r="C172" s="1358">
        <v>0</v>
      </c>
      <c r="D172" s="1359">
        <v>0</v>
      </c>
      <c r="E172" s="1359"/>
      <c r="F172" s="1359"/>
      <c r="G172" s="1359"/>
      <c r="H172" s="1359"/>
      <c r="I172" s="1359">
        <v>0</v>
      </c>
      <c r="J172" s="75">
        <f t="shared" si="23"/>
        <v>0</v>
      </c>
      <c r="K172" s="75">
        <f t="shared" si="19"/>
        <v>0</v>
      </c>
      <c r="L172" s="1356">
        <v>0</v>
      </c>
      <c r="M172" s="1357">
        <v>0</v>
      </c>
      <c r="AC172" s="1336">
        <v>1510</v>
      </c>
      <c r="AD172" s="1336" t="s">
        <v>1846</v>
      </c>
    </row>
    <row r="173" spans="1:30" x14ac:dyDescent="0.25">
      <c r="A173" s="860" t="s">
        <v>665</v>
      </c>
      <c r="B173" s="855"/>
      <c r="C173" s="738">
        <f>C8+C19+C30+C41+C52+C63+C74+C85+C96+C107+C118+C129+C140+C151+C162</f>
        <v>0</v>
      </c>
      <c r="D173" s="737">
        <f t="shared" ref="D173:I173" si="24">D8+D19+D30+D41+D52+D63+D74+D85+D96+D107+D118+D129+D140+D151+D162</f>
        <v>0</v>
      </c>
      <c r="E173" s="737">
        <f t="shared" si="24"/>
        <v>0</v>
      </c>
      <c r="F173" s="737">
        <f t="shared" si="24"/>
        <v>0</v>
      </c>
      <c r="G173" s="737">
        <f t="shared" si="24"/>
        <v>0</v>
      </c>
      <c r="H173" s="737">
        <f t="shared" si="24"/>
        <v>0</v>
      </c>
      <c r="I173" s="737">
        <f t="shared" si="24"/>
        <v>0</v>
      </c>
      <c r="J173" s="75">
        <f t="shared" si="23"/>
        <v>0</v>
      </c>
      <c r="K173" s="75">
        <f t="shared" si="19"/>
        <v>0</v>
      </c>
      <c r="L173" s="737">
        <f>L8+L19+L30+L41+L52+L63+L74+L85+L96+L107+L118+L129+L140+L151+L162</f>
        <v>0</v>
      </c>
      <c r="M173" s="760">
        <f>M8+M19+M30+M41+M52+M63+M74+M85+M96+M107+M118+M129+M140+M151+M162</f>
        <v>0</v>
      </c>
    </row>
    <row r="174" spans="1:30" ht="5.25" customHeight="1" x14ac:dyDescent="0.25">
      <c r="A174" s="861"/>
      <c r="B174" s="855"/>
      <c r="C174" s="741"/>
      <c r="D174" s="740"/>
      <c r="E174" s="740"/>
      <c r="F174" s="740"/>
      <c r="G174" s="740"/>
      <c r="H174" s="740"/>
      <c r="I174" s="740"/>
      <c r="J174" s="740"/>
      <c r="K174" s="740"/>
      <c r="L174" s="740"/>
      <c r="M174" s="761"/>
    </row>
    <row r="175" spans="1:30" ht="17.25" customHeight="1" x14ac:dyDescent="0.25">
      <c r="A175" s="853" t="s">
        <v>1015</v>
      </c>
      <c r="B175" s="862">
        <v>2</v>
      </c>
      <c r="C175" s="765"/>
      <c r="D175" s="136"/>
      <c r="E175" s="136"/>
      <c r="F175" s="136"/>
      <c r="G175" s="136"/>
      <c r="H175" s="136"/>
      <c r="I175" s="136"/>
      <c r="J175" s="136"/>
      <c r="K175" s="136"/>
      <c r="L175" s="136"/>
      <c r="M175" s="203"/>
      <c r="N175" s="769"/>
    </row>
    <row r="176" spans="1:30" x14ac:dyDescent="0.25">
      <c r="A176" s="853" t="s">
        <v>1097</v>
      </c>
      <c r="B176" s="863"/>
      <c r="C176" s="765"/>
      <c r="D176" s="136"/>
      <c r="E176" s="136"/>
      <c r="F176" s="136"/>
      <c r="G176" s="136"/>
      <c r="H176" s="136"/>
      <c r="I176" s="136"/>
      <c r="J176" s="136"/>
      <c r="K176" s="136"/>
      <c r="L176" s="136"/>
      <c r="M176" s="203"/>
    </row>
    <row r="177" spans="1:30" x14ac:dyDescent="0.25">
      <c r="A177" s="856" t="str">
        <f>B5B!A8</f>
        <v>Vote 1 - Finance and Administration</v>
      </c>
      <c r="B177" s="855"/>
      <c r="C177" s="747">
        <f>SUM(C178:C187)</f>
        <v>6700000</v>
      </c>
      <c r="D177" s="746">
        <f t="shared" ref="D177:I177" si="25">SUM(D178:D187)</f>
        <v>6700000</v>
      </c>
      <c r="E177" s="746">
        <f t="shared" si="25"/>
        <v>0</v>
      </c>
      <c r="F177" s="746">
        <f t="shared" si="25"/>
        <v>0</v>
      </c>
      <c r="G177" s="746">
        <f t="shared" si="25"/>
        <v>0</v>
      </c>
      <c r="H177" s="746">
        <f t="shared" si="25"/>
        <v>0</v>
      </c>
      <c r="I177" s="746">
        <f t="shared" si="25"/>
        <v>-3478049</v>
      </c>
      <c r="J177" s="75">
        <f t="shared" ref="J177:J208" si="26">SUM(E177:I177)</f>
        <v>-3478049</v>
      </c>
      <c r="K177" s="75">
        <f t="shared" ref="K177:K240" si="27">IF(D177=0,C177+J177,D177+J177)</f>
        <v>3221951</v>
      </c>
      <c r="L177" s="746">
        <f>SUM(L178:L187)</f>
        <v>14000000</v>
      </c>
      <c r="M177" s="763">
        <f>SUM(M178:M187)</f>
        <v>6600000</v>
      </c>
    </row>
    <row r="178" spans="1:30" x14ac:dyDescent="0.25">
      <c r="A178" s="858" t="str">
        <f>B5B!A9</f>
        <v>1.1 - Finance</v>
      </c>
      <c r="B178" s="857"/>
      <c r="C178" s="1358">
        <f>SUMIFS(Sheet1!S71_OriginalBudget,Sheet1!S71_SubMunicipalVoteNo,$AC:$AC,Sheet1!S71_A5CapexCode,$AD:$AD)</f>
        <v>5000000</v>
      </c>
      <c r="D178" s="1359">
        <f>SUMIFS(Sheet1!S71_SpecialAdjustedBudget,Sheet1!S71_SubMunicipalVoteNo,$AC:$AC,Sheet1!S71_A5CapexCode,$AD:$AD)</f>
        <v>5000000</v>
      </c>
      <c r="E178" s="1359"/>
      <c r="F178" s="1359"/>
      <c r="G178" s="1359"/>
      <c r="H178" s="1359"/>
      <c r="I178" s="1359">
        <f>SUMIFS(Sheet1!S71_AdjustmentAmount,Sheet1!S71_SubMunicipalVoteNo,$AC:$AC,Sheet1!S71_A5CapexCode,$AD:$AD)</f>
        <v>-3478049</v>
      </c>
      <c r="J178" s="75">
        <f t="shared" si="26"/>
        <v>-3478049</v>
      </c>
      <c r="K178" s="75">
        <f t="shared" si="27"/>
        <v>1521951</v>
      </c>
      <c r="L178" s="1356">
        <f>SUMIFS(Sheet1!S71_OY1AdjustedBudget,Sheet1!S71_SubMunicipalVoteNo,$AC:$AC,Sheet1!S71_A5CapexCode,$AD:$AD)</f>
        <v>14000000</v>
      </c>
      <c r="M178" s="1357">
        <f>SUMIFS(Sheet1!S71_OY2AdjustedBudget,Sheet1!S71_SubMunicipalVoteNo,$AC:$AC,Sheet1!S71_A5CapexCode,$AD:$AD)</f>
        <v>5000000</v>
      </c>
      <c r="AC178" s="1336">
        <v>11</v>
      </c>
      <c r="AD178" s="1336" t="s">
        <v>1846</v>
      </c>
    </row>
    <row r="179" spans="1:30" x14ac:dyDescent="0.25">
      <c r="A179" s="858" t="str">
        <f>B5B!A10</f>
        <v>1.2 - Fleet Management</v>
      </c>
      <c r="B179" s="855"/>
      <c r="C179" s="1358">
        <f>SUMIFS(Sheet1!S71_OriginalBudget,Sheet1!S71_SubMunicipalVoteNo,$AC:$AC,Sheet1!S71_A5CapexCode,$AD:$AD)</f>
        <v>0</v>
      </c>
      <c r="D179" s="1359">
        <f>SUMIFS(Sheet1!S71_SpecialAdjustedBudget,Sheet1!S71_SubMunicipalVoteNo,$AC:$AC,Sheet1!S71_A5CapexCode,$AD:$AD)</f>
        <v>0</v>
      </c>
      <c r="E179" s="1359"/>
      <c r="F179" s="1359"/>
      <c r="G179" s="1359"/>
      <c r="H179" s="1359"/>
      <c r="I179" s="1359">
        <f>SUMIFS(Sheet1!S71_AdjustmentAmount,Sheet1!S71_SubMunicipalVoteNo,$AC:$AC,Sheet1!S71_A5CapexCode,$AD:$AD)</f>
        <v>0</v>
      </c>
      <c r="J179" s="75">
        <f t="shared" si="26"/>
        <v>0</v>
      </c>
      <c r="K179" s="75">
        <f t="shared" si="27"/>
        <v>0</v>
      </c>
      <c r="L179" s="1356">
        <f>SUMIFS(Sheet1!S71_OY1AdjustedBudget,Sheet1!S71_SubMunicipalVoteNo,$AC:$AC,Sheet1!S71_A5CapexCode,$AD:$AD)</f>
        <v>0</v>
      </c>
      <c r="M179" s="1357">
        <f>SUMIFS(Sheet1!S71_OY2AdjustedBudget,Sheet1!S71_SubMunicipalVoteNo,$AC:$AC,Sheet1!S71_A5CapexCode,$AD:$AD)</f>
        <v>0</v>
      </c>
      <c r="AC179" s="1336">
        <v>12</v>
      </c>
      <c r="AD179" s="1336" t="s">
        <v>1846</v>
      </c>
    </row>
    <row r="180" spans="1:30" x14ac:dyDescent="0.25">
      <c r="A180" s="858" t="str">
        <f>B5B!A11</f>
        <v>1.3 - Asset Management</v>
      </c>
      <c r="B180" s="855"/>
      <c r="C180" s="1358">
        <f>SUMIFS(Sheet1!S71_OriginalBudget,Sheet1!S71_SubMunicipalVoteNo,$AC:$AC,Sheet1!S71_A5CapexCode,$AD:$AD)</f>
        <v>300000</v>
      </c>
      <c r="D180" s="1359">
        <f>SUMIFS(Sheet1!S71_SpecialAdjustedBudget,Sheet1!S71_SubMunicipalVoteNo,$AC:$AC,Sheet1!S71_A5CapexCode,$AD:$AD)</f>
        <v>300000</v>
      </c>
      <c r="E180" s="1359"/>
      <c r="F180" s="1359"/>
      <c r="G180" s="1359"/>
      <c r="H180" s="1359"/>
      <c r="I180" s="1359">
        <f>SUMIFS(Sheet1!S71_AdjustmentAmount,Sheet1!S71_SubMunicipalVoteNo,$AC:$AC,Sheet1!S71_A5CapexCode,$AD:$AD)</f>
        <v>0</v>
      </c>
      <c r="J180" s="75">
        <f t="shared" si="26"/>
        <v>0</v>
      </c>
      <c r="K180" s="75">
        <f t="shared" si="27"/>
        <v>300000</v>
      </c>
      <c r="L180" s="1356">
        <f>SUMIFS(Sheet1!S71_OY1AdjustedBudget,Sheet1!S71_SubMunicipalVoteNo,$AC:$AC,Sheet1!S71_A5CapexCode,$AD:$AD)</f>
        <v>0</v>
      </c>
      <c r="M180" s="1357">
        <f>SUMIFS(Sheet1!S71_OY2AdjustedBudget,Sheet1!S71_SubMunicipalVoteNo,$AC:$AC,Sheet1!S71_A5CapexCode,$AD:$AD)</f>
        <v>400000</v>
      </c>
      <c r="AC180" s="1336">
        <v>13</v>
      </c>
      <c r="AD180" s="1336" t="s">
        <v>1846</v>
      </c>
    </row>
    <row r="181" spans="1:30" x14ac:dyDescent="0.25">
      <c r="A181" s="858" t="str">
        <f>B5B!A12</f>
        <v>1.4 - Administrative and Corporate Support</v>
      </c>
      <c r="B181" s="855"/>
      <c r="C181" s="1358">
        <f>SUMIFS(Sheet1!S71_OriginalBudget,Sheet1!S71_SubMunicipalVoteNo,$AC:$AC,Sheet1!S71_A5CapexCode,$AD:$AD)</f>
        <v>1400000</v>
      </c>
      <c r="D181" s="1359">
        <f>SUMIFS(Sheet1!S71_SpecialAdjustedBudget,Sheet1!S71_SubMunicipalVoteNo,$AC:$AC,Sheet1!S71_A5CapexCode,$AD:$AD)</f>
        <v>1400000</v>
      </c>
      <c r="E181" s="1359"/>
      <c r="F181" s="1359"/>
      <c r="G181" s="1359"/>
      <c r="H181" s="1359"/>
      <c r="I181" s="1359">
        <f>SUMIFS(Sheet1!S71_AdjustmentAmount,Sheet1!S71_SubMunicipalVoteNo,$AC:$AC,Sheet1!S71_A5CapexCode,$AD:$AD)</f>
        <v>0</v>
      </c>
      <c r="J181" s="75">
        <f t="shared" si="26"/>
        <v>0</v>
      </c>
      <c r="K181" s="75">
        <f t="shared" si="27"/>
        <v>1400000</v>
      </c>
      <c r="L181" s="1356">
        <f>SUMIFS(Sheet1!S71_OY1AdjustedBudget,Sheet1!S71_SubMunicipalVoteNo,$AC:$AC,Sheet1!S71_A5CapexCode,$AD:$AD)</f>
        <v>0</v>
      </c>
      <c r="M181" s="1357">
        <f>SUMIFS(Sheet1!S71_OY2AdjustedBudget,Sheet1!S71_SubMunicipalVoteNo,$AC:$AC,Sheet1!S71_A5CapexCode,$AD:$AD)</f>
        <v>1200000</v>
      </c>
      <c r="AC181" s="1336">
        <v>14</v>
      </c>
      <c r="AD181" s="1336" t="s">
        <v>1846</v>
      </c>
    </row>
    <row r="182" spans="1:30" x14ac:dyDescent="0.25">
      <c r="A182" s="858" t="str">
        <f>B5B!A13</f>
        <v>1.5 - Human Resources</v>
      </c>
      <c r="B182" s="855"/>
      <c r="C182" s="1358">
        <f>SUMIFS(Sheet1!S71_OriginalBudget,Sheet1!S71_SubMunicipalVoteNo,$AC:$AC,Sheet1!S71_A5CapexCode,$AD:$AD)</f>
        <v>0</v>
      </c>
      <c r="D182" s="1359">
        <f>SUMIFS(Sheet1!S71_SpecialAdjustedBudget,Sheet1!S71_SubMunicipalVoteNo,$AC:$AC,Sheet1!S71_A5CapexCode,$AD:$AD)</f>
        <v>0</v>
      </c>
      <c r="E182" s="1359"/>
      <c r="F182" s="1359"/>
      <c r="G182" s="1359"/>
      <c r="H182" s="1359"/>
      <c r="I182" s="1359">
        <f>SUMIFS(Sheet1!S71_AdjustmentAmount,Sheet1!S71_SubMunicipalVoteNo,$AC:$AC,Sheet1!S71_A5CapexCode,$AD:$AD)</f>
        <v>0</v>
      </c>
      <c r="J182" s="75">
        <f t="shared" si="26"/>
        <v>0</v>
      </c>
      <c r="K182" s="75">
        <f t="shared" si="27"/>
        <v>0</v>
      </c>
      <c r="L182" s="1356">
        <f>SUMIFS(Sheet1!S71_OY1AdjustedBudget,Sheet1!S71_SubMunicipalVoteNo,$AC:$AC,Sheet1!S71_A5CapexCode,$AD:$AD)</f>
        <v>0</v>
      </c>
      <c r="M182" s="1357">
        <f>SUMIFS(Sheet1!S71_OY2AdjustedBudget,Sheet1!S71_SubMunicipalVoteNo,$AC:$AC,Sheet1!S71_A5CapexCode,$AD:$AD)</f>
        <v>0</v>
      </c>
      <c r="AC182" s="1336">
        <v>15</v>
      </c>
      <c r="AD182" s="1336" t="s">
        <v>1846</v>
      </c>
    </row>
    <row r="183" spans="1:30" x14ac:dyDescent="0.25">
      <c r="A183" s="858" t="str">
        <f>B5B!A14</f>
        <v>1.6 - Property Services</v>
      </c>
      <c r="B183" s="855"/>
      <c r="C183" s="1358">
        <f>SUMIFS(Sheet1!S71_OriginalBudget,Sheet1!S71_SubMunicipalVoteNo,$AC:$AC,Sheet1!S71_A5CapexCode,$AD:$AD)</f>
        <v>0</v>
      </c>
      <c r="D183" s="1359">
        <f>SUMIFS(Sheet1!S71_SpecialAdjustedBudget,Sheet1!S71_SubMunicipalVoteNo,$AC:$AC,Sheet1!S71_A5CapexCode,$AD:$AD)</f>
        <v>0</v>
      </c>
      <c r="E183" s="1359"/>
      <c r="F183" s="1359"/>
      <c r="G183" s="1359"/>
      <c r="H183" s="1359"/>
      <c r="I183" s="1359">
        <f>SUMIFS(Sheet1!S71_AdjustmentAmount,Sheet1!S71_SubMunicipalVoteNo,$AC:$AC,Sheet1!S71_A5CapexCode,$AD:$AD)</f>
        <v>0</v>
      </c>
      <c r="J183" s="75">
        <f t="shared" si="26"/>
        <v>0</v>
      </c>
      <c r="K183" s="75">
        <f t="shared" si="27"/>
        <v>0</v>
      </c>
      <c r="L183" s="1356">
        <f>SUMIFS(Sheet1!S71_OY1AdjustedBudget,Sheet1!S71_SubMunicipalVoteNo,$AC:$AC,Sheet1!S71_A5CapexCode,$AD:$AD)</f>
        <v>0</v>
      </c>
      <c r="M183" s="1357">
        <f>SUMIFS(Sheet1!S71_OY2AdjustedBudget,Sheet1!S71_SubMunicipalVoteNo,$AC:$AC,Sheet1!S71_A5CapexCode,$AD:$AD)</f>
        <v>0</v>
      </c>
      <c r="AC183" s="1336">
        <v>16</v>
      </c>
      <c r="AD183" s="1336" t="s">
        <v>1846</v>
      </c>
    </row>
    <row r="184" spans="1:30" x14ac:dyDescent="0.25">
      <c r="A184" s="858" t="str">
        <f>B5B!A15</f>
        <v>1.7 - Legal Services</v>
      </c>
      <c r="B184" s="855"/>
      <c r="C184" s="1358">
        <f>SUMIFS(Sheet1!S71_OriginalBudget,Sheet1!S71_SubMunicipalVoteNo,$AC:$AC,Sheet1!S71_A5CapexCode,$AD:$AD)</f>
        <v>0</v>
      </c>
      <c r="D184" s="1359">
        <f>SUMIFS(Sheet1!S71_SpecialAdjustedBudget,Sheet1!S71_SubMunicipalVoteNo,$AC:$AC,Sheet1!S71_A5CapexCode,$AD:$AD)</f>
        <v>0</v>
      </c>
      <c r="E184" s="1359"/>
      <c r="F184" s="1359"/>
      <c r="G184" s="1359"/>
      <c r="H184" s="1359"/>
      <c r="I184" s="1359">
        <f>SUMIFS(Sheet1!S71_AdjustmentAmount,Sheet1!S71_SubMunicipalVoteNo,$AC:$AC,Sheet1!S71_A5CapexCode,$AD:$AD)</f>
        <v>0</v>
      </c>
      <c r="J184" s="75">
        <f t="shared" si="26"/>
        <v>0</v>
      </c>
      <c r="K184" s="75">
        <f t="shared" si="27"/>
        <v>0</v>
      </c>
      <c r="L184" s="1356">
        <f>SUMIFS(Sheet1!S71_OY1AdjustedBudget,Sheet1!S71_SubMunicipalVoteNo,$AC:$AC,Sheet1!S71_A5CapexCode,$AD:$AD)</f>
        <v>0</v>
      </c>
      <c r="M184" s="1357">
        <f>SUMIFS(Sheet1!S71_OY2AdjustedBudget,Sheet1!S71_SubMunicipalVoteNo,$AC:$AC,Sheet1!S71_A5CapexCode,$AD:$AD)</f>
        <v>0</v>
      </c>
      <c r="AC184" s="1336">
        <v>17</v>
      </c>
      <c r="AD184" s="1336" t="s">
        <v>1846</v>
      </c>
    </row>
    <row r="185" spans="1:30" x14ac:dyDescent="0.25">
      <c r="A185" s="858" t="str">
        <f>B5B!A16</f>
        <v>1.8 - Information Technology</v>
      </c>
      <c r="B185" s="855"/>
      <c r="C185" s="1358">
        <f>SUMIFS(Sheet1!S71_OriginalBudget,Sheet1!S71_SubMunicipalVoteNo,$AC:$AC,Sheet1!S71_A5CapexCode,$AD:$AD)</f>
        <v>0</v>
      </c>
      <c r="D185" s="1359">
        <f>SUMIFS(Sheet1!S71_SpecialAdjustedBudget,Sheet1!S71_SubMunicipalVoteNo,$AC:$AC,Sheet1!S71_A5CapexCode,$AD:$AD)</f>
        <v>0</v>
      </c>
      <c r="E185" s="1359"/>
      <c r="F185" s="1359"/>
      <c r="G185" s="1359"/>
      <c r="H185" s="1359"/>
      <c r="I185" s="1359">
        <f>SUMIFS(Sheet1!S71_AdjustmentAmount,Sheet1!S71_SubMunicipalVoteNo,$AC:$AC,Sheet1!S71_A5CapexCode,$AD:$AD)</f>
        <v>0</v>
      </c>
      <c r="J185" s="75">
        <f t="shared" si="26"/>
        <v>0</v>
      </c>
      <c r="K185" s="75">
        <f t="shared" si="27"/>
        <v>0</v>
      </c>
      <c r="L185" s="1356">
        <f>SUMIFS(Sheet1!S71_OY1AdjustedBudget,Sheet1!S71_SubMunicipalVoteNo,$AC:$AC,Sheet1!S71_A5CapexCode,$AD:$AD)</f>
        <v>0</v>
      </c>
      <c r="M185" s="1357">
        <f>SUMIFS(Sheet1!S71_OY2AdjustedBudget,Sheet1!S71_SubMunicipalVoteNo,$AC:$AC,Sheet1!S71_A5CapexCode,$AD:$AD)</f>
        <v>0</v>
      </c>
      <c r="AC185" s="1336">
        <v>18</v>
      </c>
      <c r="AD185" s="1336" t="s">
        <v>1846</v>
      </c>
    </row>
    <row r="186" spans="1:30" x14ac:dyDescent="0.25">
      <c r="A186" s="858" t="str">
        <f>B5B!A17</f>
        <v>1.9 - Marketing, Customer Relations, Publicity and Media Co-ordination</v>
      </c>
      <c r="B186" s="855"/>
      <c r="C186" s="1358">
        <f>SUMIFS(Sheet1!S71_OriginalBudget,Sheet1!S71_SubMunicipalVoteNo,$AC:$AC,Sheet1!S71_A5CapexCode,$AD:$AD)</f>
        <v>0</v>
      </c>
      <c r="D186" s="1359">
        <f>SUMIFS(Sheet1!S71_SpecialAdjustedBudget,Sheet1!S71_SubMunicipalVoteNo,$AC:$AC,Sheet1!S71_A5CapexCode,$AD:$AD)</f>
        <v>0</v>
      </c>
      <c r="E186" s="1359"/>
      <c r="F186" s="1359"/>
      <c r="G186" s="1359"/>
      <c r="H186" s="1359"/>
      <c r="I186" s="1359">
        <f>SUMIFS(Sheet1!S71_AdjustmentAmount,Sheet1!S71_SubMunicipalVoteNo,$AC:$AC,Sheet1!S71_A5CapexCode,$AD:$AD)</f>
        <v>0</v>
      </c>
      <c r="J186" s="75">
        <f t="shared" si="26"/>
        <v>0</v>
      </c>
      <c r="K186" s="75">
        <f t="shared" si="27"/>
        <v>0</v>
      </c>
      <c r="L186" s="1356">
        <f>SUMIFS(Sheet1!S71_OY1AdjustedBudget,Sheet1!S71_SubMunicipalVoteNo,$AC:$AC,Sheet1!S71_A5CapexCode,$AD:$AD)</f>
        <v>0</v>
      </c>
      <c r="M186" s="1357">
        <f>SUMIFS(Sheet1!S71_OY2AdjustedBudget,Sheet1!S71_SubMunicipalVoteNo,$AC:$AC,Sheet1!S71_A5CapexCode,$AD:$AD)</f>
        <v>0</v>
      </c>
      <c r="AC186" s="1336">
        <v>19</v>
      </c>
      <c r="AD186" s="1336" t="s">
        <v>1846</v>
      </c>
    </row>
    <row r="187" spans="1:30" x14ac:dyDescent="0.25">
      <c r="A187" s="858" t="str">
        <f>B5B!A18</f>
        <v/>
      </c>
      <c r="B187" s="855"/>
      <c r="C187" s="1358">
        <f>SUMIFS(Sheet1!S71_OriginalBudget,Sheet1!S71_SubMunicipalVoteNo,$AC:$AC,Sheet1!S71_A5CapexCode,$AD:$AD)</f>
        <v>0</v>
      </c>
      <c r="D187" s="1359">
        <f>SUMIFS(Sheet1!S71_SpecialAdjustedBudget,Sheet1!S71_SubMunicipalVoteNo,$AC:$AC,Sheet1!S71_A5CapexCode,$AD:$AD)</f>
        <v>0</v>
      </c>
      <c r="E187" s="1359"/>
      <c r="F187" s="1359"/>
      <c r="G187" s="1359"/>
      <c r="H187" s="1359"/>
      <c r="I187" s="1359">
        <f>SUMIFS(Sheet1!S71_AdjustmentAmount,Sheet1!S71_SubMunicipalVoteNo,$AC:$AC,Sheet1!S71_A5CapexCode,$AD:$AD)</f>
        <v>0</v>
      </c>
      <c r="J187" s="75">
        <f t="shared" si="26"/>
        <v>0</v>
      </c>
      <c r="K187" s="75">
        <f t="shared" si="27"/>
        <v>0</v>
      </c>
      <c r="L187" s="1356">
        <f>SUMIFS(Sheet1!S71_OY1AdjustedBudget,Sheet1!S71_SubMunicipalVoteNo,$AC:$AC,Sheet1!S71_A5CapexCode,$AD:$AD)</f>
        <v>0</v>
      </c>
      <c r="M187" s="1357">
        <f>SUMIFS(Sheet1!S71_OY2AdjustedBudget,Sheet1!S71_SubMunicipalVoteNo,$AC:$AC,Sheet1!S71_A5CapexCode,$AD:$AD)</f>
        <v>0</v>
      </c>
      <c r="AC187" s="1336">
        <v>110</v>
      </c>
      <c r="AD187" s="1336" t="s">
        <v>1846</v>
      </c>
    </row>
    <row r="188" spans="1:30" x14ac:dyDescent="0.25">
      <c r="A188" s="856" t="str">
        <f>B5B!A19</f>
        <v>Vote 2 - Finance and Administration2</v>
      </c>
      <c r="B188" s="855"/>
      <c r="C188" s="733">
        <f>SUM(C189:C198)</f>
        <v>0</v>
      </c>
      <c r="D188" s="732">
        <f t="shared" ref="D188:I188" si="28">SUM(D189:D198)</f>
        <v>0</v>
      </c>
      <c r="E188" s="732">
        <f t="shared" si="28"/>
        <v>0</v>
      </c>
      <c r="F188" s="732">
        <f t="shared" si="28"/>
        <v>0</v>
      </c>
      <c r="G188" s="732">
        <f t="shared" si="28"/>
        <v>0</v>
      </c>
      <c r="H188" s="732">
        <f t="shared" si="28"/>
        <v>0</v>
      </c>
      <c r="I188" s="732">
        <f t="shared" si="28"/>
        <v>0</v>
      </c>
      <c r="J188" s="75">
        <f t="shared" si="26"/>
        <v>0</v>
      </c>
      <c r="K188" s="75">
        <f t="shared" si="27"/>
        <v>0</v>
      </c>
      <c r="L188" s="732">
        <f>SUM(L189:L198)</f>
        <v>0</v>
      </c>
      <c r="M188" s="759">
        <f>SUM(M189:M198)</f>
        <v>0</v>
      </c>
    </row>
    <row r="189" spans="1:30" x14ac:dyDescent="0.25">
      <c r="A189" s="858" t="str">
        <f>B5B!A20</f>
        <v>2.1 - Supply Chain Management</v>
      </c>
      <c r="B189" s="855"/>
      <c r="C189" s="1360">
        <f>SUMIFS(Sheet1!S71_OriginalBudget,Sheet1!S71_SubMunicipalVoteNo,$AC:$AC,Sheet1!S71_A5CapexCode,$AD:$AD)</f>
        <v>0</v>
      </c>
      <c r="D189" s="1356">
        <f>SUMIFS(Sheet1!S71_SpecialAdjustedBudget,Sheet1!S71_SubMunicipalVoteNo,$AC:$AC,Sheet1!S71_A5CapexCode,$AD:$AD)</f>
        <v>0</v>
      </c>
      <c r="E189" s="1356"/>
      <c r="F189" s="1356"/>
      <c r="G189" s="1356"/>
      <c r="H189" s="1356"/>
      <c r="I189" s="1356">
        <f>SUMIFS(Sheet1!S71_AdjustmentAmount,Sheet1!S71_SubMunicipalVoteNo,$AC:$AC,Sheet1!S71_A5CapexCode,$AD:$AD)</f>
        <v>0</v>
      </c>
      <c r="J189" s="75">
        <f t="shared" si="26"/>
        <v>0</v>
      </c>
      <c r="K189" s="75">
        <f t="shared" si="27"/>
        <v>0</v>
      </c>
      <c r="L189" s="1356">
        <f>SUMIFS(Sheet1!S71_OY1AdjustedBudget,Sheet1!S71_SubMunicipalVoteNo,$AC:$AC,Sheet1!S71_A5CapexCode,$AD:$AD)</f>
        <v>0</v>
      </c>
      <c r="M189" s="1357">
        <f>SUMIFS(Sheet1!S71_OY2AdjustedBudget,Sheet1!S71_SubMunicipalVoteNo,$AC:$AC,Sheet1!S71_A5CapexCode,$AD:$AD)</f>
        <v>0</v>
      </c>
      <c r="AC189" s="1336">
        <v>21</v>
      </c>
      <c r="AD189" s="1336" t="s">
        <v>1846</v>
      </c>
    </row>
    <row r="190" spans="1:30" x14ac:dyDescent="0.25">
      <c r="A190" s="858" t="str">
        <f>B5B!A21</f>
        <v/>
      </c>
      <c r="B190" s="855"/>
      <c r="C190" s="1360">
        <f>SUMIFS(Sheet1!S71_OriginalBudget,Sheet1!S71_SubMunicipalVoteNo,$AC:$AC,Sheet1!S71_A5CapexCode,$AD:$AD)</f>
        <v>0</v>
      </c>
      <c r="D190" s="1356">
        <f>SUMIFS(Sheet1!S71_SpecialAdjustedBudget,Sheet1!S71_SubMunicipalVoteNo,$AC:$AC,Sheet1!S71_A5CapexCode,$AD:$AD)</f>
        <v>0</v>
      </c>
      <c r="E190" s="1356"/>
      <c r="F190" s="1356"/>
      <c r="G190" s="1356"/>
      <c r="H190" s="1356"/>
      <c r="I190" s="1356">
        <f>SUMIFS(Sheet1!S71_AdjustmentAmount,Sheet1!S71_SubMunicipalVoteNo,$AC:$AC,Sheet1!S71_A5CapexCode,$AD:$AD)</f>
        <v>0</v>
      </c>
      <c r="J190" s="75">
        <f t="shared" si="26"/>
        <v>0</v>
      </c>
      <c r="K190" s="75">
        <f t="shared" si="27"/>
        <v>0</v>
      </c>
      <c r="L190" s="1356">
        <f>SUMIFS(Sheet1!S71_OY1AdjustedBudget,Sheet1!S71_SubMunicipalVoteNo,$AC:$AC,Sheet1!S71_A5CapexCode,$AD:$AD)</f>
        <v>0</v>
      </c>
      <c r="M190" s="1357">
        <f>SUMIFS(Sheet1!S71_OY2AdjustedBudget,Sheet1!S71_SubMunicipalVoteNo,$AC:$AC,Sheet1!S71_A5CapexCode,$AD:$AD)</f>
        <v>0</v>
      </c>
      <c r="AC190" s="1336">
        <v>22</v>
      </c>
      <c r="AD190" s="1336" t="s">
        <v>1846</v>
      </c>
    </row>
    <row r="191" spans="1:30" x14ac:dyDescent="0.25">
      <c r="A191" s="858" t="str">
        <f>B5B!A22</f>
        <v/>
      </c>
      <c r="B191" s="855"/>
      <c r="C191" s="1360">
        <f>SUMIFS(Sheet1!S71_OriginalBudget,Sheet1!S71_SubMunicipalVoteNo,$AC:$AC,Sheet1!S71_A5CapexCode,$AD:$AD)</f>
        <v>0</v>
      </c>
      <c r="D191" s="1356">
        <f>SUMIFS(Sheet1!S71_SpecialAdjustedBudget,Sheet1!S71_SubMunicipalVoteNo,$AC:$AC,Sheet1!S71_A5CapexCode,$AD:$AD)</f>
        <v>0</v>
      </c>
      <c r="E191" s="1356"/>
      <c r="F191" s="1356"/>
      <c r="G191" s="1356"/>
      <c r="H191" s="1356"/>
      <c r="I191" s="1356">
        <f>SUMIFS(Sheet1!S71_AdjustmentAmount,Sheet1!S71_SubMunicipalVoteNo,$AC:$AC,Sheet1!S71_A5CapexCode,$AD:$AD)</f>
        <v>0</v>
      </c>
      <c r="J191" s="75">
        <f t="shared" si="26"/>
        <v>0</v>
      </c>
      <c r="K191" s="75">
        <f t="shared" si="27"/>
        <v>0</v>
      </c>
      <c r="L191" s="1356">
        <f>SUMIFS(Sheet1!S71_OY1AdjustedBudget,Sheet1!S71_SubMunicipalVoteNo,$AC:$AC,Sheet1!S71_A5CapexCode,$AD:$AD)</f>
        <v>0</v>
      </c>
      <c r="M191" s="1357">
        <f>SUMIFS(Sheet1!S71_OY2AdjustedBudget,Sheet1!S71_SubMunicipalVoteNo,$AC:$AC,Sheet1!S71_A5CapexCode,$AD:$AD)</f>
        <v>0</v>
      </c>
      <c r="AC191" s="1336">
        <v>23</v>
      </c>
      <c r="AD191" s="1336" t="s">
        <v>1846</v>
      </c>
    </row>
    <row r="192" spans="1:30" x14ac:dyDescent="0.25">
      <c r="A192" s="858" t="str">
        <f>B5B!A23</f>
        <v/>
      </c>
      <c r="B192" s="855"/>
      <c r="C192" s="1360">
        <f>SUMIFS(Sheet1!S71_OriginalBudget,Sheet1!S71_SubMunicipalVoteNo,$AC:$AC,Sheet1!S71_A5CapexCode,$AD:$AD)</f>
        <v>0</v>
      </c>
      <c r="D192" s="1356">
        <f>SUMIFS(Sheet1!S71_SpecialAdjustedBudget,Sheet1!S71_SubMunicipalVoteNo,$AC:$AC,Sheet1!S71_A5CapexCode,$AD:$AD)</f>
        <v>0</v>
      </c>
      <c r="E192" s="1356"/>
      <c r="F192" s="1356"/>
      <c r="G192" s="1356"/>
      <c r="H192" s="1356"/>
      <c r="I192" s="1356">
        <f>SUMIFS(Sheet1!S71_AdjustmentAmount,Sheet1!S71_SubMunicipalVoteNo,$AC:$AC,Sheet1!S71_A5CapexCode,$AD:$AD)</f>
        <v>0</v>
      </c>
      <c r="J192" s="75">
        <f t="shared" si="26"/>
        <v>0</v>
      </c>
      <c r="K192" s="75">
        <f t="shared" si="27"/>
        <v>0</v>
      </c>
      <c r="L192" s="1356">
        <f>SUMIFS(Sheet1!S71_OY1AdjustedBudget,Sheet1!S71_SubMunicipalVoteNo,$AC:$AC,Sheet1!S71_A5CapexCode,$AD:$AD)</f>
        <v>0</v>
      </c>
      <c r="M192" s="1357">
        <f>SUMIFS(Sheet1!S71_OY2AdjustedBudget,Sheet1!S71_SubMunicipalVoteNo,$AC:$AC,Sheet1!S71_A5CapexCode,$AD:$AD)</f>
        <v>0</v>
      </c>
      <c r="AC192" s="1336">
        <v>24</v>
      </c>
      <c r="AD192" s="1336" t="s">
        <v>1846</v>
      </c>
    </row>
    <row r="193" spans="1:30" x14ac:dyDescent="0.25">
      <c r="A193" s="858" t="str">
        <f>B5B!A24</f>
        <v/>
      </c>
      <c r="B193" s="855"/>
      <c r="C193" s="1360">
        <f>SUMIFS(Sheet1!S71_OriginalBudget,Sheet1!S71_SubMunicipalVoteNo,$AC:$AC,Sheet1!S71_A5CapexCode,$AD:$AD)</f>
        <v>0</v>
      </c>
      <c r="D193" s="1356">
        <f>SUMIFS(Sheet1!S71_SpecialAdjustedBudget,Sheet1!S71_SubMunicipalVoteNo,$AC:$AC,Sheet1!S71_A5CapexCode,$AD:$AD)</f>
        <v>0</v>
      </c>
      <c r="E193" s="1356"/>
      <c r="F193" s="1356"/>
      <c r="G193" s="1356"/>
      <c r="H193" s="1356"/>
      <c r="I193" s="1356">
        <f>SUMIFS(Sheet1!S71_AdjustmentAmount,Sheet1!S71_SubMunicipalVoteNo,$AC:$AC,Sheet1!S71_A5CapexCode,$AD:$AD)</f>
        <v>0</v>
      </c>
      <c r="J193" s="75">
        <f t="shared" si="26"/>
        <v>0</v>
      </c>
      <c r="K193" s="75">
        <f t="shared" si="27"/>
        <v>0</v>
      </c>
      <c r="L193" s="1356">
        <f>SUMIFS(Sheet1!S71_OY1AdjustedBudget,Sheet1!S71_SubMunicipalVoteNo,$AC:$AC,Sheet1!S71_A5CapexCode,$AD:$AD)</f>
        <v>0</v>
      </c>
      <c r="M193" s="1357">
        <f>SUMIFS(Sheet1!S71_OY2AdjustedBudget,Sheet1!S71_SubMunicipalVoteNo,$AC:$AC,Sheet1!S71_A5CapexCode,$AD:$AD)</f>
        <v>0</v>
      </c>
      <c r="AC193" s="1336">
        <v>25</v>
      </c>
      <c r="AD193" s="1336" t="s">
        <v>1846</v>
      </c>
    </row>
    <row r="194" spans="1:30" x14ac:dyDescent="0.25">
      <c r="A194" s="858" t="str">
        <f>B5B!A25</f>
        <v/>
      </c>
      <c r="B194" s="855"/>
      <c r="C194" s="1360">
        <f>SUMIFS(Sheet1!S71_OriginalBudget,Sheet1!S71_SubMunicipalVoteNo,$AC:$AC,Sheet1!S71_A5CapexCode,$AD:$AD)</f>
        <v>0</v>
      </c>
      <c r="D194" s="1356">
        <f>SUMIFS(Sheet1!S71_SpecialAdjustedBudget,Sheet1!S71_SubMunicipalVoteNo,$AC:$AC,Sheet1!S71_A5CapexCode,$AD:$AD)</f>
        <v>0</v>
      </c>
      <c r="E194" s="1356"/>
      <c r="F194" s="1356"/>
      <c r="G194" s="1356"/>
      <c r="H194" s="1356"/>
      <c r="I194" s="1356">
        <f>SUMIFS(Sheet1!S71_AdjustmentAmount,Sheet1!S71_SubMunicipalVoteNo,$AC:$AC,Sheet1!S71_A5CapexCode,$AD:$AD)</f>
        <v>0</v>
      </c>
      <c r="J194" s="75">
        <f t="shared" si="26"/>
        <v>0</v>
      </c>
      <c r="K194" s="75">
        <f t="shared" si="27"/>
        <v>0</v>
      </c>
      <c r="L194" s="1356">
        <f>SUMIFS(Sheet1!S71_OY1AdjustedBudget,Sheet1!S71_SubMunicipalVoteNo,$AC:$AC,Sheet1!S71_A5CapexCode,$AD:$AD)</f>
        <v>0</v>
      </c>
      <c r="M194" s="1357">
        <f>SUMIFS(Sheet1!S71_OY2AdjustedBudget,Sheet1!S71_SubMunicipalVoteNo,$AC:$AC,Sheet1!S71_A5CapexCode,$AD:$AD)</f>
        <v>0</v>
      </c>
      <c r="AC194" s="1336">
        <v>26</v>
      </c>
      <c r="AD194" s="1336" t="s">
        <v>1846</v>
      </c>
    </row>
    <row r="195" spans="1:30" x14ac:dyDescent="0.25">
      <c r="A195" s="858" t="str">
        <f>B5B!A26</f>
        <v/>
      </c>
      <c r="B195" s="855"/>
      <c r="C195" s="1360">
        <f>SUMIFS(Sheet1!S71_OriginalBudget,Sheet1!S71_SubMunicipalVoteNo,$AC:$AC,Sheet1!S71_A5CapexCode,$AD:$AD)</f>
        <v>0</v>
      </c>
      <c r="D195" s="1356">
        <f>SUMIFS(Sheet1!S71_SpecialAdjustedBudget,Sheet1!S71_SubMunicipalVoteNo,$AC:$AC,Sheet1!S71_A5CapexCode,$AD:$AD)</f>
        <v>0</v>
      </c>
      <c r="E195" s="1356"/>
      <c r="F195" s="1356"/>
      <c r="G195" s="1356"/>
      <c r="H195" s="1356"/>
      <c r="I195" s="1356">
        <f>SUMIFS(Sheet1!S71_AdjustmentAmount,Sheet1!S71_SubMunicipalVoteNo,$AC:$AC,Sheet1!S71_A5CapexCode,$AD:$AD)</f>
        <v>0</v>
      </c>
      <c r="J195" s="75">
        <f t="shared" si="26"/>
        <v>0</v>
      </c>
      <c r="K195" s="75">
        <f t="shared" si="27"/>
        <v>0</v>
      </c>
      <c r="L195" s="1356">
        <f>SUMIFS(Sheet1!S71_OY1AdjustedBudget,Sheet1!S71_SubMunicipalVoteNo,$AC:$AC,Sheet1!S71_A5CapexCode,$AD:$AD)</f>
        <v>0</v>
      </c>
      <c r="M195" s="1357">
        <f>SUMIFS(Sheet1!S71_OY2AdjustedBudget,Sheet1!S71_SubMunicipalVoteNo,$AC:$AC,Sheet1!S71_A5CapexCode,$AD:$AD)</f>
        <v>0</v>
      </c>
      <c r="AC195" s="1336">
        <v>27</v>
      </c>
      <c r="AD195" s="1336" t="s">
        <v>1846</v>
      </c>
    </row>
    <row r="196" spans="1:30" x14ac:dyDescent="0.25">
      <c r="A196" s="858" t="str">
        <f>B5B!A27</f>
        <v/>
      </c>
      <c r="B196" s="855"/>
      <c r="C196" s="1360">
        <f>SUMIFS(Sheet1!S71_OriginalBudget,Sheet1!S71_SubMunicipalVoteNo,$AC:$AC,Sheet1!S71_A5CapexCode,$AD:$AD)</f>
        <v>0</v>
      </c>
      <c r="D196" s="1356">
        <f>SUMIFS(Sheet1!S71_SpecialAdjustedBudget,Sheet1!S71_SubMunicipalVoteNo,$AC:$AC,Sheet1!S71_A5CapexCode,$AD:$AD)</f>
        <v>0</v>
      </c>
      <c r="E196" s="1356"/>
      <c r="F196" s="1356"/>
      <c r="G196" s="1356"/>
      <c r="H196" s="1356"/>
      <c r="I196" s="1356">
        <f>SUMIFS(Sheet1!S71_AdjustmentAmount,Sheet1!S71_SubMunicipalVoteNo,$AC:$AC,Sheet1!S71_A5CapexCode,$AD:$AD)</f>
        <v>0</v>
      </c>
      <c r="J196" s="75">
        <f t="shared" si="26"/>
        <v>0</v>
      </c>
      <c r="K196" s="75">
        <f t="shared" si="27"/>
        <v>0</v>
      </c>
      <c r="L196" s="1356">
        <f>SUMIFS(Sheet1!S71_OY1AdjustedBudget,Sheet1!S71_SubMunicipalVoteNo,$AC:$AC,Sheet1!S71_A5CapexCode,$AD:$AD)</f>
        <v>0</v>
      </c>
      <c r="M196" s="1357">
        <f>SUMIFS(Sheet1!S71_OY2AdjustedBudget,Sheet1!S71_SubMunicipalVoteNo,$AC:$AC,Sheet1!S71_A5CapexCode,$AD:$AD)</f>
        <v>0</v>
      </c>
      <c r="AC196" s="1336">
        <v>28</v>
      </c>
      <c r="AD196" s="1336" t="s">
        <v>1846</v>
      </c>
    </row>
    <row r="197" spans="1:30" x14ac:dyDescent="0.25">
      <c r="A197" s="858" t="str">
        <f>B5B!A28</f>
        <v/>
      </c>
      <c r="B197" s="855"/>
      <c r="C197" s="1360">
        <f>SUMIFS(Sheet1!S71_OriginalBudget,Sheet1!S71_SubMunicipalVoteNo,$AC:$AC,Sheet1!S71_A5CapexCode,$AD:$AD)</f>
        <v>0</v>
      </c>
      <c r="D197" s="1356">
        <f>SUMIFS(Sheet1!S71_SpecialAdjustedBudget,Sheet1!S71_SubMunicipalVoteNo,$AC:$AC,Sheet1!S71_A5CapexCode,$AD:$AD)</f>
        <v>0</v>
      </c>
      <c r="E197" s="1356"/>
      <c r="F197" s="1356"/>
      <c r="G197" s="1356"/>
      <c r="H197" s="1356"/>
      <c r="I197" s="1356">
        <f>SUMIFS(Sheet1!S71_AdjustmentAmount,Sheet1!S71_SubMunicipalVoteNo,$AC:$AC,Sheet1!S71_A5CapexCode,$AD:$AD)</f>
        <v>0</v>
      </c>
      <c r="J197" s="75">
        <f t="shared" si="26"/>
        <v>0</v>
      </c>
      <c r="K197" s="75">
        <f t="shared" si="27"/>
        <v>0</v>
      </c>
      <c r="L197" s="1356">
        <f>SUMIFS(Sheet1!S71_OY1AdjustedBudget,Sheet1!S71_SubMunicipalVoteNo,$AC:$AC,Sheet1!S71_A5CapexCode,$AD:$AD)</f>
        <v>0</v>
      </c>
      <c r="M197" s="1357">
        <f>SUMIFS(Sheet1!S71_OY2AdjustedBudget,Sheet1!S71_SubMunicipalVoteNo,$AC:$AC,Sheet1!S71_A5CapexCode,$AD:$AD)</f>
        <v>0</v>
      </c>
      <c r="AC197" s="1336">
        <v>29</v>
      </c>
      <c r="AD197" s="1336" t="s">
        <v>1846</v>
      </c>
    </row>
    <row r="198" spans="1:30" x14ac:dyDescent="0.25">
      <c r="A198" s="858" t="str">
        <f>B5B!A29</f>
        <v/>
      </c>
      <c r="B198" s="857"/>
      <c r="C198" s="1360">
        <f>SUMIFS(Sheet1!S71_OriginalBudget,Sheet1!S71_SubMunicipalVoteNo,$AC:$AC,Sheet1!S71_A5CapexCode,$AD:$AD)</f>
        <v>0</v>
      </c>
      <c r="D198" s="1356">
        <f>SUMIFS(Sheet1!S71_SpecialAdjustedBudget,Sheet1!S71_SubMunicipalVoteNo,$AC:$AC,Sheet1!S71_A5CapexCode,$AD:$AD)</f>
        <v>0</v>
      </c>
      <c r="E198" s="1356"/>
      <c r="F198" s="1356"/>
      <c r="G198" s="1356"/>
      <c r="H198" s="1356"/>
      <c r="I198" s="1356">
        <f>SUMIFS(Sheet1!S71_AdjustmentAmount,Sheet1!S71_SubMunicipalVoteNo,$AC:$AC,Sheet1!S71_A5CapexCode,$AD:$AD)</f>
        <v>0</v>
      </c>
      <c r="J198" s="75">
        <f t="shared" si="26"/>
        <v>0</v>
      </c>
      <c r="K198" s="75">
        <f t="shared" si="27"/>
        <v>0</v>
      </c>
      <c r="L198" s="1356">
        <f>SUMIFS(Sheet1!S71_OY1AdjustedBudget,Sheet1!S71_SubMunicipalVoteNo,$AC:$AC,Sheet1!S71_A5CapexCode,$AD:$AD)</f>
        <v>0</v>
      </c>
      <c r="M198" s="1357">
        <f>SUMIFS(Sheet1!S71_OY2AdjustedBudget,Sheet1!S71_SubMunicipalVoteNo,$AC:$AC,Sheet1!S71_A5CapexCode,$AD:$AD)</f>
        <v>0</v>
      </c>
      <c r="AC198" s="1336">
        <v>210</v>
      </c>
      <c r="AD198" s="1336" t="s">
        <v>1846</v>
      </c>
    </row>
    <row r="199" spans="1:30" x14ac:dyDescent="0.25">
      <c r="A199" s="856" t="str">
        <f>B5B!A30</f>
        <v>Vote 3 - Executive and Council</v>
      </c>
      <c r="B199" s="855"/>
      <c r="C199" s="733">
        <f>SUM(C200:C209)</f>
        <v>0</v>
      </c>
      <c r="D199" s="732">
        <f t="shared" ref="D199:I199" si="29">SUM(D200:D209)</f>
        <v>0</v>
      </c>
      <c r="E199" s="732">
        <f t="shared" si="29"/>
        <v>0</v>
      </c>
      <c r="F199" s="732">
        <f t="shared" si="29"/>
        <v>0</v>
      </c>
      <c r="G199" s="732">
        <f t="shared" si="29"/>
        <v>0</v>
      </c>
      <c r="H199" s="732">
        <f t="shared" si="29"/>
        <v>0</v>
      </c>
      <c r="I199" s="732">
        <f t="shared" si="29"/>
        <v>0</v>
      </c>
      <c r="J199" s="75">
        <f t="shared" si="26"/>
        <v>0</v>
      </c>
      <c r="K199" s="75">
        <f t="shared" si="27"/>
        <v>0</v>
      </c>
      <c r="L199" s="732">
        <f>SUM(L200:L209)</f>
        <v>0</v>
      </c>
      <c r="M199" s="759">
        <f>SUM(M200:M209)</f>
        <v>0</v>
      </c>
    </row>
    <row r="200" spans="1:30" x14ac:dyDescent="0.25">
      <c r="A200" s="858" t="str">
        <f>B5B!A31</f>
        <v>3.1 - Municipal Manager, Town Secretary and Chief Executive</v>
      </c>
      <c r="B200" s="855"/>
      <c r="C200" s="1360">
        <f>SUMIFS(Sheet1!S71_OriginalBudget,Sheet1!S71_SubMunicipalVoteNo,$AC:$AC,Sheet1!S71_A5CapexCode,$AD:$AD)</f>
        <v>0</v>
      </c>
      <c r="D200" s="1356">
        <f>SUMIFS(Sheet1!S71_SpecialAdjustedBudget,Sheet1!S71_SubMunicipalVoteNo,$AC:$AC,Sheet1!S71_A5CapexCode,$AD:$AD)</f>
        <v>0</v>
      </c>
      <c r="E200" s="1356"/>
      <c r="F200" s="1356"/>
      <c r="G200" s="1356"/>
      <c r="H200" s="1356"/>
      <c r="I200" s="1356">
        <f>SUMIFS(Sheet1!S71_AdjustmentAmount,Sheet1!S71_SubMunicipalVoteNo,$AC:$AC,Sheet1!S71_A5CapexCode,$AD:$AD)</f>
        <v>0</v>
      </c>
      <c r="J200" s="75">
        <f t="shared" si="26"/>
        <v>0</v>
      </c>
      <c r="K200" s="75">
        <f t="shared" si="27"/>
        <v>0</v>
      </c>
      <c r="L200" s="1356">
        <f>SUMIFS(Sheet1!S71_OY1AdjustedBudget,Sheet1!S71_SubMunicipalVoteNo,$AC:$AC,Sheet1!S71_A5CapexCode,$AD:$AD)</f>
        <v>0</v>
      </c>
      <c r="M200" s="1357">
        <f>SUMIFS(Sheet1!S71_OY2AdjustedBudget,Sheet1!S71_SubMunicipalVoteNo,$AC:$AC,Sheet1!S71_A5CapexCode,$AD:$AD)</f>
        <v>0</v>
      </c>
      <c r="AC200" s="1336">
        <v>31</v>
      </c>
      <c r="AD200" s="1336" t="s">
        <v>1846</v>
      </c>
    </row>
    <row r="201" spans="1:30" x14ac:dyDescent="0.25">
      <c r="A201" s="858" t="str">
        <f>B5B!A32</f>
        <v>3.2 - Mayor and Council</v>
      </c>
      <c r="B201" s="855"/>
      <c r="C201" s="1360">
        <f>SUMIFS(Sheet1!S71_OriginalBudget,Sheet1!S71_SubMunicipalVoteNo,$AC:$AC,Sheet1!S71_A5CapexCode,$AD:$AD)</f>
        <v>0</v>
      </c>
      <c r="D201" s="1356">
        <f>SUMIFS(Sheet1!S71_SpecialAdjustedBudget,Sheet1!S71_SubMunicipalVoteNo,$AC:$AC,Sheet1!S71_A5CapexCode,$AD:$AD)</f>
        <v>0</v>
      </c>
      <c r="E201" s="1356"/>
      <c r="F201" s="1356"/>
      <c r="G201" s="1356"/>
      <c r="H201" s="1356"/>
      <c r="I201" s="1356">
        <f>SUMIFS(Sheet1!S71_AdjustmentAmount,Sheet1!S71_SubMunicipalVoteNo,$AC:$AC,Sheet1!S71_A5CapexCode,$AD:$AD)</f>
        <v>0</v>
      </c>
      <c r="J201" s="75">
        <f t="shared" si="26"/>
        <v>0</v>
      </c>
      <c r="K201" s="75">
        <f t="shared" si="27"/>
        <v>0</v>
      </c>
      <c r="L201" s="1356">
        <f>SUMIFS(Sheet1!S71_OY1AdjustedBudget,Sheet1!S71_SubMunicipalVoteNo,$AC:$AC,Sheet1!S71_A5CapexCode,$AD:$AD)</f>
        <v>0</v>
      </c>
      <c r="M201" s="1357">
        <f>SUMIFS(Sheet1!S71_OY2AdjustedBudget,Sheet1!S71_SubMunicipalVoteNo,$AC:$AC,Sheet1!S71_A5CapexCode,$AD:$AD)</f>
        <v>0</v>
      </c>
      <c r="AC201" s="1336">
        <v>32</v>
      </c>
      <c r="AD201" s="1336" t="s">
        <v>1846</v>
      </c>
    </row>
    <row r="202" spans="1:30" x14ac:dyDescent="0.25">
      <c r="A202" s="858" t="str">
        <f>B5B!A33</f>
        <v/>
      </c>
      <c r="B202" s="855"/>
      <c r="C202" s="1360">
        <f>SUMIFS(Sheet1!S71_OriginalBudget,Sheet1!S71_SubMunicipalVoteNo,$AC:$AC,Sheet1!S71_A5CapexCode,$AD:$AD)</f>
        <v>0</v>
      </c>
      <c r="D202" s="1356">
        <f>SUMIFS(Sheet1!S71_SpecialAdjustedBudget,Sheet1!S71_SubMunicipalVoteNo,$AC:$AC,Sheet1!S71_A5CapexCode,$AD:$AD)</f>
        <v>0</v>
      </c>
      <c r="E202" s="1356"/>
      <c r="F202" s="1356"/>
      <c r="G202" s="1356"/>
      <c r="H202" s="1356"/>
      <c r="I202" s="1356">
        <f>SUMIFS(Sheet1!S71_AdjustmentAmount,Sheet1!S71_SubMunicipalVoteNo,$AC:$AC,Sheet1!S71_A5CapexCode,$AD:$AD)</f>
        <v>0</v>
      </c>
      <c r="J202" s="75">
        <f t="shared" si="26"/>
        <v>0</v>
      </c>
      <c r="K202" s="75">
        <f t="shared" si="27"/>
        <v>0</v>
      </c>
      <c r="L202" s="1356">
        <f>SUMIFS(Sheet1!S71_OY1AdjustedBudget,Sheet1!S71_SubMunicipalVoteNo,$AC:$AC,Sheet1!S71_A5CapexCode,$AD:$AD)</f>
        <v>0</v>
      </c>
      <c r="M202" s="1357">
        <f>SUMIFS(Sheet1!S71_OY2AdjustedBudget,Sheet1!S71_SubMunicipalVoteNo,$AC:$AC,Sheet1!S71_A5CapexCode,$AD:$AD)</f>
        <v>0</v>
      </c>
      <c r="AC202" s="1336">
        <v>33</v>
      </c>
      <c r="AD202" s="1336" t="s">
        <v>1846</v>
      </c>
    </row>
    <row r="203" spans="1:30" x14ac:dyDescent="0.25">
      <c r="A203" s="858" t="str">
        <f>B5B!A34</f>
        <v/>
      </c>
      <c r="B203" s="855"/>
      <c r="C203" s="1360">
        <f>SUMIFS(Sheet1!S71_OriginalBudget,Sheet1!S71_SubMunicipalVoteNo,$AC:$AC,Sheet1!S71_A5CapexCode,$AD:$AD)</f>
        <v>0</v>
      </c>
      <c r="D203" s="1356">
        <f>SUMIFS(Sheet1!S71_SpecialAdjustedBudget,Sheet1!S71_SubMunicipalVoteNo,$AC:$AC,Sheet1!S71_A5CapexCode,$AD:$AD)</f>
        <v>0</v>
      </c>
      <c r="E203" s="1356"/>
      <c r="F203" s="1356"/>
      <c r="G203" s="1356"/>
      <c r="H203" s="1356"/>
      <c r="I203" s="1356">
        <f>SUMIFS(Sheet1!S71_AdjustmentAmount,Sheet1!S71_SubMunicipalVoteNo,$AC:$AC,Sheet1!S71_A5CapexCode,$AD:$AD)</f>
        <v>0</v>
      </c>
      <c r="J203" s="75">
        <f t="shared" si="26"/>
        <v>0</v>
      </c>
      <c r="K203" s="75">
        <f t="shared" si="27"/>
        <v>0</v>
      </c>
      <c r="L203" s="1356">
        <f>SUMIFS(Sheet1!S71_OY1AdjustedBudget,Sheet1!S71_SubMunicipalVoteNo,$AC:$AC,Sheet1!S71_A5CapexCode,$AD:$AD)</f>
        <v>0</v>
      </c>
      <c r="M203" s="1357">
        <f>SUMIFS(Sheet1!S71_OY2AdjustedBudget,Sheet1!S71_SubMunicipalVoteNo,$AC:$AC,Sheet1!S71_A5CapexCode,$AD:$AD)</f>
        <v>0</v>
      </c>
      <c r="AC203" s="1336">
        <v>34</v>
      </c>
      <c r="AD203" s="1336" t="s">
        <v>1846</v>
      </c>
    </row>
    <row r="204" spans="1:30" x14ac:dyDescent="0.25">
      <c r="A204" s="858" t="str">
        <f>B5B!A35</f>
        <v/>
      </c>
      <c r="B204" s="855"/>
      <c r="C204" s="1360">
        <f>SUMIFS(Sheet1!S71_OriginalBudget,Sheet1!S71_SubMunicipalVoteNo,$AC:$AC,Sheet1!S71_A5CapexCode,$AD:$AD)</f>
        <v>0</v>
      </c>
      <c r="D204" s="1356">
        <f>SUMIFS(Sheet1!S71_SpecialAdjustedBudget,Sheet1!S71_SubMunicipalVoteNo,$AC:$AC,Sheet1!S71_A5CapexCode,$AD:$AD)</f>
        <v>0</v>
      </c>
      <c r="E204" s="1356"/>
      <c r="F204" s="1356"/>
      <c r="G204" s="1356"/>
      <c r="H204" s="1356"/>
      <c r="I204" s="1356">
        <f>SUMIFS(Sheet1!S71_AdjustmentAmount,Sheet1!S71_SubMunicipalVoteNo,$AC:$AC,Sheet1!S71_A5CapexCode,$AD:$AD)</f>
        <v>0</v>
      </c>
      <c r="J204" s="75">
        <f t="shared" si="26"/>
        <v>0</v>
      </c>
      <c r="K204" s="75">
        <f t="shared" si="27"/>
        <v>0</v>
      </c>
      <c r="L204" s="1356">
        <f>SUMIFS(Sheet1!S71_OY1AdjustedBudget,Sheet1!S71_SubMunicipalVoteNo,$AC:$AC,Sheet1!S71_A5CapexCode,$AD:$AD)</f>
        <v>0</v>
      </c>
      <c r="M204" s="1357">
        <f>SUMIFS(Sheet1!S71_OY2AdjustedBudget,Sheet1!S71_SubMunicipalVoteNo,$AC:$AC,Sheet1!S71_A5CapexCode,$AD:$AD)</f>
        <v>0</v>
      </c>
      <c r="AC204" s="1336">
        <v>35</v>
      </c>
      <c r="AD204" s="1336" t="s">
        <v>1846</v>
      </c>
    </row>
    <row r="205" spans="1:30" x14ac:dyDescent="0.25">
      <c r="A205" s="858" t="str">
        <f>B5B!A36</f>
        <v/>
      </c>
      <c r="B205" s="855"/>
      <c r="C205" s="1360">
        <f>SUMIFS(Sheet1!S71_OriginalBudget,Sheet1!S71_SubMunicipalVoteNo,$AC:$AC,Sheet1!S71_A5CapexCode,$AD:$AD)</f>
        <v>0</v>
      </c>
      <c r="D205" s="1356">
        <f>SUMIFS(Sheet1!S71_SpecialAdjustedBudget,Sheet1!S71_SubMunicipalVoteNo,$AC:$AC,Sheet1!S71_A5CapexCode,$AD:$AD)</f>
        <v>0</v>
      </c>
      <c r="E205" s="1356"/>
      <c r="F205" s="1356"/>
      <c r="G205" s="1356"/>
      <c r="H205" s="1356"/>
      <c r="I205" s="1356">
        <f>SUMIFS(Sheet1!S71_AdjustmentAmount,Sheet1!S71_SubMunicipalVoteNo,$AC:$AC,Sheet1!S71_A5CapexCode,$AD:$AD)</f>
        <v>0</v>
      </c>
      <c r="J205" s="75">
        <f t="shared" si="26"/>
        <v>0</v>
      </c>
      <c r="K205" s="75">
        <f t="shared" si="27"/>
        <v>0</v>
      </c>
      <c r="L205" s="1356">
        <f>SUMIFS(Sheet1!S71_OY1AdjustedBudget,Sheet1!S71_SubMunicipalVoteNo,$AC:$AC,Sheet1!S71_A5CapexCode,$AD:$AD)</f>
        <v>0</v>
      </c>
      <c r="M205" s="1357">
        <f>SUMIFS(Sheet1!S71_OY2AdjustedBudget,Sheet1!S71_SubMunicipalVoteNo,$AC:$AC,Sheet1!S71_A5CapexCode,$AD:$AD)</f>
        <v>0</v>
      </c>
      <c r="AC205" s="1336">
        <v>36</v>
      </c>
      <c r="AD205" s="1336" t="s">
        <v>1846</v>
      </c>
    </row>
    <row r="206" spans="1:30" x14ac:dyDescent="0.25">
      <c r="A206" s="858" t="str">
        <f>B5B!A37</f>
        <v/>
      </c>
      <c r="B206" s="855"/>
      <c r="C206" s="1360">
        <f>SUMIFS(Sheet1!S71_OriginalBudget,Sheet1!S71_SubMunicipalVoteNo,$AC:$AC,Sheet1!S71_A5CapexCode,$AD:$AD)</f>
        <v>0</v>
      </c>
      <c r="D206" s="1356">
        <f>SUMIFS(Sheet1!S71_SpecialAdjustedBudget,Sheet1!S71_SubMunicipalVoteNo,$AC:$AC,Sheet1!S71_A5CapexCode,$AD:$AD)</f>
        <v>0</v>
      </c>
      <c r="E206" s="1356"/>
      <c r="F206" s="1356"/>
      <c r="G206" s="1356"/>
      <c r="H206" s="1356"/>
      <c r="I206" s="1356">
        <f>SUMIFS(Sheet1!S71_AdjustmentAmount,Sheet1!S71_SubMunicipalVoteNo,$AC:$AC,Sheet1!S71_A5CapexCode,$AD:$AD)</f>
        <v>0</v>
      </c>
      <c r="J206" s="75">
        <f t="shared" si="26"/>
        <v>0</v>
      </c>
      <c r="K206" s="75">
        <f t="shared" si="27"/>
        <v>0</v>
      </c>
      <c r="L206" s="1356">
        <f>SUMIFS(Sheet1!S71_OY1AdjustedBudget,Sheet1!S71_SubMunicipalVoteNo,$AC:$AC,Sheet1!S71_A5CapexCode,$AD:$AD)</f>
        <v>0</v>
      </c>
      <c r="M206" s="1357">
        <f>SUMIFS(Sheet1!S71_OY2AdjustedBudget,Sheet1!S71_SubMunicipalVoteNo,$AC:$AC,Sheet1!S71_A5CapexCode,$AD:$AD)</f>
        <v>0</v>
      </c>
      <c r="AC206" s="1336">
        <v>37</v>
      </c>
      <c r="AD206" s="1336" t="s">
        <v>1846</v>
      </c>
    </row>
    <row r="207" spans="1:30" x14ac:dyDescent="0.25">
      <c r="A207" s="858" t="str">
        <f>B5B!A38</f>
        <v/>
      </c>
      <c r="B207" s="855"/>
      <c r="C207" s="1360">
        <f>SUMIFS(Sheet1!S71_OriginalBudget,Sheet1!S71_SubMunicipalVoteNo,$AC:$AC,Sheet1!S71_A5CapexCode,$AD:$AD)</f>
        <v>0</v>
      </c>
      <c r="D207" s="1356">
        <f>SUMIFS(Sheet1!S71_SpecialAdjustedBudget,Sheet1!S71_SubMunicipalVoteNo,$AC:$AC,Sheet1!S71_A5CapexCode,$AD:$AD)</f>
        <v>0</v>
      </c>
      <c r="E207" s="1356"/>
      <c r="F207" s="1356"/>
      <c r="G207" s="1356"/>
      <c r="H207" s="1356"/>
      <c r="I207" s="1356">
        <f>SUMIFS(Sheet1!S71_AdjustmentAmount,Sheet1!S71_SubMunicipalVoteNo,$AC:$AC,Sheet1!S71_A5CapexCode,$AD:$AD)</f>
        <v>0</v>
      </c>
      <c r="J207" s="75">
        <f t="shared" si="26"/>
        <v>0</v>
      </c>
      <c r="K207" s="75">
        <f t="shared" si="27"/>
        <v>0</v>
      </c>
      <c r="L207" s="1356">
        <f>SUMIFS(Sheet1!S71_OY1AdjustedBudget,Sheet1!S71_SubMunicipalVoteNo,$AC:$AC,Sheet1!S71_A5CapexCode,$AD:$AD)</f>
        <v>0</v>
      </c>
      <c r="M207" s="1357">
        <f>SUMIFS(Sheet1!S71_OY2AdjustedBudget,Sheet1!S71_SubMunicipalVoteNo,$AC:$AC,Sheet1!S71_A5CapexCode,$AD:$AD)</f>
        <v>0</v>
      </c>
      <c r="AC207" s="1336">
        <v>38</v>
      </c>
      <c r="AD207" s="1336" t="s">
        <v>1846</v>
      </c>
    </row>
    <row r="208" spans="1:30" x14ac:dyDescent="0.25">
      <c r="A208" s="858" t="str">
        <f>B5B!A39</f>
        <v/>
      </c>
      <c r="B208" s="855"/>
      <c r="C208" s="1360">
        <f>SUMIFS(Sheet1!S71_OriginalBudget,Sheet1!S71_SubMunicipalVoteNo,$AC:$AC,Sheet1!S71_A5CapexCode,$AD:$AD)</f>
        <v>0</v>
      </c>
      <c r="D208" s="1356">
        <f>SUMIFS(Sheet1!S71_SpecialAdjustedBudget,Sheet1!S71_SubMunicipalVoteNo,$AC:$AC,Sheet1!S71_A5CapexCode,$AD:$AD)</f>
        <v>0</v>
      </c>
      <c r="E208" s="1356"/>
      <c r="F208" s="1356"/>
      <c r="G208" s="1356"/>
      <c r="H208" s="1356"/>
      <c r="I208" s="1356">
        <f>SUMIFS(Sheet1!S71_AdjustmentAmount,Sheet1!S71_SubMunicipalVoteNo,$AC:$AC,Sheet1!S71_A5CapexCode,$AD:$AD)</f>
        <v>0</v>
      </c>
      <c r="J208" s="75">
        <f t="shared" si="26"/>
        <v>0</v>
      </c>
      <c r="K208" s="75">
        <f t="shared" si="27"/>
        <v>0</v>
      </c>
      <c r="L208" s="1356">
        <f>SUMIFS(Sheet1!S71_OY1AdjustedBudget,Sheet1!S71_SubMunicipalVoteNo,$AC:$AC,Sheet1!S71_A5CapexCode,$AD:$AD)</f>
        <v>0</v>
      </c>
      <c r="M208" s="1357">
        <f>SUMIFS(Sheet1!S71_OY2AdjustedBudget,Sheet1!S71_SubMunicipalVoteNo,$AC:$AC,Sheet1!S71_A5CapexCode,$AD:$AD)</f>
        <v>0</v>
      </c>
      <c r="AC208" s="1336">
        <v>39</v>
      </c>
      <c r="AD208" s="1336" t="s">
        <v>1846</v>
      </c>
    </row>
    <row r="209" spans="1:30" x14ac:dyDescent="0.25">
      <c r="A209" s="858" t="str">
        <f>B5B!A40</f>
        <v/>
      </c>
      <c r="B209" s="857"/>
      <c r="C209" s="1360">
        <f>SUMIFS(Sheet1!S71_OriginalBudget,Sheet1!S71_SubMunicipalVoteNo,$AC:$AC,Sheet1!S71_A5CapexCode,$AD:$AD)</f>
        <v>0</v>
      </c>
      <c r="D209" s="1356">
        <f>SUMIFS(Sheet1!S71_SpecialAdjustedBudget,Sheet1!S71_SubMunicipalVoteNo,$AC:$AC,Sheet1!S71_A5CapexCode,$AD:$AD)</f>
        <v>0</v>
      </c>
      <c r="E209" s="1356"/>
      <c r="F209" s="1356"/>
      <c r="G209" s="1356"/>
      <c r="H209" s="1356"/>
      <c r="I209" s="1356">
        <f>SUMIFS(Sheet1!S71_AdjustmentAmount,Sheet1!S71_SubMunicipalVoteNo,$AC:$AC,Sheet1!S71_A5CapexCode,$AD:$AD)</f>
        <v>0</v>
      </c>
      <c r="J209" s="75">
        <f t="shared" ref="J209:J240" si="30">SUM(E209:I209)</f>
        <v>0</v>
      </c>
      <c r="K209" s="75">
        <f t="shared" si="27"/>
        <v>0</v>
      </c>
      <c r="L209" s="1356">
        <f>SUMIFS(Sheet1!S71_OY1AdjustedBudget,Sheet1!S71_SubMunicipalVoteNo,$AC:$AC,Sheet1!S71_A5CapexCode,$AD:$AD)</f>
        <v>0</v>
      </c>
      <c r="M209" s="1357">
        <f>SUMIFS(Sheet1!S71_OY2AdjustedBudget,Sheet1!S71_SubMunicipalVoteNo,$AC:$AC,Sheet1!S71_A5CapexCode,$AD:$AD)</f>
        <v>0</v>
      </c>
      <c r="AC209" s="1336">
        <v>310</v>
      </c>
      <c r="AD209" s="1336" t="s">
        <v>1846</v>
      </c>
    </row>
    <row r="210" spans="1:30" x14ac:dyDescent="0.25">
      <c r="A210" s="856" t="str">
        <f>B5B!A41</f>
        <v>Vote 4 - Community and Social Services</v>
      </c>
      <c r="B210" s="855"/>
      <c r="C210" s="733">
        <f t="shared" ref="C210:I210" si="31">SUM(C211:C220)</f>
        <v>1538516</v>
      </c>
      <c r="D210" s="732">
        <f t="shared" si="31"/>
        <v>1538516</v>
      </c>
      <c r="E210" s="732">
        <f t="shared" si="31"/>
        <v>0</v>
      </c>
      <c r="F210" s="732">
        <f t="shared" si="31"/>
        <v>0</v>
      </c>
      <c r="G210" s="732">
        <f t="shared" si="31"/>
        <v>0</v>
      </c>
      <c r="H210" s="732">
        <f t="shared" si="31"/>
        <v>0</v>
      </c>
      <c r="I210" s="732">
        <f t="shared" si="31"/>
        <v>507082</v>
      </c>
      <c r="J210" s="75">
        <f t="shared" si="30"/>
        <v>507082</v>
      </c>
      <c r="K210" s="75">
        <f t="shared" si="27"/>
        <v>2045598</v>
      </c>
      <c r="L210" s="732">
        <f>SUM(L211:L220)</f>
        <v>0</v>
      </c>
      <c r="M210" s="759">
        <f>SUM(M211:M220)</f>
        <v>0</v>
      </c>
    </row>
    <row r="211" spans="1:30" x14ac:dyDescent="0.25">
      <c r="A211" s="858" t="str">
        <f>B5B!A42</f>
        <v>4.1 - Disaster Management</v>
      </c>
      <c r="B211" s="855"/>
      <c r="C211" s="1360">
        <f>SUMIFS(Sheet1!S71_OriginalBudget,Sheet1!S71_SubMunicipalVoteNo,$AC:$AC,Sheet1!S71_A5CapexCode,$AD:$AD)</f>
        <v>0</v>
      </c>
      <c r="D211" s="1356">
        <f>SUMIFS(Sheet1!S71_SpecialAdjustedBudget,Sheet1!S71_SubMunicipalVoteNo,$AC:$AC,Sheet1!S71_A5CapexCode,$AD:$AD)</f>
        <v>0</v>
      </c>
      <c r="E211" s="1356"/>
      <c r="F211" s="1356"/>
      <c r="G211" s="1356"/>
      <c r="H211" s="1356"/>
      <c r="I211" s="1356">
        <f>SUMIFS(Sheet1!S71_AdjustmentAmount,Sheet1!S71_SubMunicipalVoteNo,$AC:$AC,Sheet1!S71_A5CapexCode,$AD:$AD)</f>
        <v>0</v>
      </c>
      <c r="J211" s="75">
        <f t="shared" si="30"/>
        <v>0</v>
      </c>
      <c r="K211" s="75">
        <f t="shared" si="27"/>
        <v>0</v>
      </c>
      <c r="L211" s="1356">
        <f>SUMIFS(Sheet1!S71_OY1AdjustedBudget,Sheet1!S71_SubMunicipalVoteNo,$AC:$AC,Sheet1!S71_A5CapexCode,$AD:$AD)</f>
        <v>0</v>
      </c>
      <c r="M211" s="1357">
        <f>SUMIFS(Sheet1!S71_OY2AdjustedBudget,Sheet1!S71_SubMunicipalVoteNo,$AC:$AC,Sheet1!S71_A5CapexCode,$AD:$AD)</f>
        <v>0</v>
      </c>
      <c r="AC211" s="1336">
        <v>41</v>
      </c>
      <c r="AD211" s="1336" t="s">
        <v>1846</v>
      </c>
    </row>
    <row r="212" spans="1:30" x14ac:dyDescent="0.25">
      <c r="A212" s="858" t="str">
        <f>B5B!A43</f>
        <v>4.2 - Libraries and Archives</v>
      </c>
      <c r="B212" s="855"/>
      <c r="C212" s="1360">
        <f>SUMIFS(Sheet1!S71_OriginalBudget,Sheet1!S71_SubMunicipalVoteNo,$AC:$AC,Sheet1!S71_A5CapexCode,$AD:$AD)</f>
        <v>0</v>
      </c>
      <c r="D212" s="1356">
        <f>SUMIFS(Sheet1!S71_SpecialAdjustedBudget,Sheet1!S71_SubMunicipalVoteNo,$AC:$AC,Sheet1!S71_A5CapexCode,$AD:$AD)</f>
        <v>0</v>
      </c>
      <c r="E212" s="1356"/>
      <c r="F212" s="1356"/>
      <c r="G212" s="1356"/>
      <c r="H212" s="1356"/>
      <c r="I212" s="1356">
        <f>SUMIFS(Sheet1!S71_AdjustmentAmount,Sheet1!S71_SubMunicipalVoteNo,$AC:$AC,Sheet1!S71_A5CapexCode,$AD:$AD)</f>
        <v>0</v>
      </c>
      <c r="J212" s="75">
        <f t="shared" si="30"/>
        <v>0</v>
      </c>
      <c r="K212" s="75">
        <f t="shared" si="27"/>
        <v>0</v>
      </c>
      <c r="L212" s="1356">
        <f>SUMIFS(Sheet1!S71_OY1AdjustedBudget,Sheet1!S71_SubMunicipalVoteNo,$AC:$AC,Sheet1!S71_A5CapexCode,$AD:$AD)</f>
        <v>0</v>
      </c>
      <c r="M212" s="1357">
        <f>SUMIFS(Sheet1!S71_OY2AdjustedBudget,Sheet1!S71_SubMunicipalVoteNo,$AC:$AC,Sheet1!S71_A5CapexCode,$AD:$AD)</f>
        <v>0</v>
      </c>
      <c r="AC212" s="1336">
        <v>42</v>
      </c>
      <c r="AD212" s="1336" t="s">
        <v>1846</v>
      </c>
    </row>
    <row r="213" spans="1:30" x14ac:dyDescent="0.25">
      <c r="A213" s="858" t="str">
        <f>B5B!A44</f>
        <v>4.3 - Population Development</v>
      </c>
      <c r="B213" s="855"/>
      <c r="C213" s="1360">
        <f>SUMIFS(Sheet1!S71_OriginalBudget,Sheet1!S71_SubMunicipalVoteNo,$AC:$AC,Sheet1!S71_A5CapexCode,$AD:$AD)</f>
        <v>0</v>
      </c>
      <c r="D213" s="1356">
        <f>SUMIFS(Sheet1!S71_SpecialAdjustedBudget,Sheet1!S71_SubMunicipalVoteNo,$AC:$AC,Sheet1!S71_A5CapexCode,$AD:$AD)</f>
        <v>0</v>
      </c>
      <c r="E213" s="1356"/>
      <c r="F213" s="1356"/>
      <c r="G213" s="1356"/>
      <c r="H213" s="1356"/>
      <c r="I213" s="1356">
        <f>SUMIFS(Sheet1!S71_AdjustmentAmount,Sheet1!S71_SubMunicipalVoteNo,$AC:$AC,Sheet1!S71_A5CapexCode,$AD:$AD)</f>
        <v>0</v>
      </c>
      <c r="J213" s="75">
        <f t="shared" si="30"/>
        <v>0</v>
      </c>
      <c r="K213" s="75">
        <f t="shared" si="27"/>
        <v>0</v>
      </c>
      <c r="L213" s="1356">
        <f>SUMIFS(Sheet1!S71_OY1AdjustedBudget,Sheet1!S71_SubMunicipalVoteNo,$AC:$AC,Sheet1!S71_A5CapexCode,$AD:$AD)</f>
        <v>0</v>
      </c>
      <c r="M213" s="1357">
        <f>SUMIFS(Sheet1!S71_OY2AdjustedBudget,Sheet1!S71_SubMunicipalVoteNo,$AC:$AC,Sheet1!S71_A5CapexCode,$AD:$AD)</f>
        <v>0</v>
      </c>
      <c r="AC213" s="1336">
        <v>43</v>
      </c>
      <c r="AD213" s="1336" t="s">
        <v>1846</v>
      </c>
    </row>
    <row r="214" spans="1:30" x14ac:dyDescent="0.25">
      <c r="A214" s="858" t="str">
        <f>B5B!A45</f>
        <v>4.4 - Cultural Matters</v>
      </c>
      <c r="B214" s="855"/>
      <c r="C214" s="1360">
        <f>SUMIFS(Sheet1!S71_OriginalBudget,Sheet1!S71_SubMunicipalVoteNo,$AC:$AC,Sheet1!S71_A5CapexCode,$AD:$AD)</f>
        <v>0</v>
      </c>
      <c r="D214" s="1356">
        <f>SUMIFS(Sheet1!S71_SpecialAdjustedBudget,Sheet1!S71_SubMunicipalVoteNo,$AC:$AC,Sheet1!S71_A5CapexCode,$AD:$AD)</f>
        <v>0</v>
      </c>
      <c r="E214" s="1356"/>
      <c r="F214" s="1356"/>
      <c r="G214" s="1356"/>
      <c r="H214" s="1356"/>
      <c r="I214" s="1356">
        <f>SUMIFS(Sheet1!S71_AdjustmentAmount,Sheet1!S71_SubMunicipalVoteNo,$AC:$AC,Sheet1!S71_A5CapexCode,$AD:$AD)</f>
        <v>0</v>
      </c>
      <c r="J214" s="75">
        <f t="shared" si="30"/>
        <v>0</v>
      </c>
      <c r="K214" s="75">
        <f t="shared" si="27"/>
        <v>0</v>
      </c>
      <c r="L214" s="1356">
        <f>SUMIFS(Sheet1!S71_OY1AdjustedBudget,Sheet1!S71_SubMunicipalVoteNo,$AC:$AC,Sheet1!S71_A5CapexCode,$AD:$AD)</f>
        <v>0</v>
      </c>
      <c r="M214" s="1357">
        <f>SUMIFS(Sheet1!S71_OY2AdjustedBudget,Sheet1!S71_SubMunicipalVoteNo,$AC:$AC,Sheet1!S71_A5CapexCode,$AD:$AD)</f>
        <v>0</v>
      </c>
      <c r="AC214" s="1336">
        <v>44</v>
      </c>
      <c r="AD214" s="1336" t="s">
        <v>1846</v>
      </c>
    </row>
    <row r="215" spans="1:30" x14ac:dyDescent="0.25">
      <c r="A215" s="858" t="str">
        <f>B5B!A46</f>
        <v>4.5 - Indigenous and Customary Law</v>
      </c>
      <c r="B215" s="855"/>
      <c r="C215" s="1360">
        <f>SUMIFS(Sheet1!S71_OriginalBudget,Sheet1!S71_SubMunicipalVoteNo,$AC:$AC,Sheet1!S71_A5CapexCode,$AD:$AD)</f>
        <v>0</v>
      </c>
      <c r="D215" s="1356">
        <f>SUMIFS(Sheet1!S71_SpecialAdjustedBudget,Sheet1!S71_SubMunicipalVoteNo,$AC:$AC,Sheet1!S71_A5CapexCode,$AD:$AD)</f>
        <v>0</v>
      </c>
      <c r="E215" s="1356"/>
      <c r="F215" s="1356"/>
      <c r="G215" s="1356"/>
      <c r="H215" s="1356"/>
      <c r="I215" s="1356">
        <f>SUMIFS(Sheet1!S71_AdjustmentAmount,Sheet1!S71_SubMunicipalVoteNo,$AC:$AC,Sheet1!S71_A5CapexCode,$AD:$AD)</f>
        <v>0</v>
      </c>
      <c r="J215" s="75">
        <f t="shared" si="30"/>
        <v>0</v>
      </c>
      <c r="K215" s="75">
        <f t="shared" si="27"/>
        <v>0</v>
      </c>
      <c r="L215" s="1356">
        <f>SUMIFS(Sheet1!S71_OY1AdjustedBudget,Sheet1!S71_SubMunicipalVoteNo,$AC:$AC,Sheet1!S71_A5CapexCode,$AD:$AD)</f>
        <v>0</v>
      </c>
      <c r="M215" s="1357">
        <f>SUMIFS(Sheet1!S71_OY2AdjustedBudget,Sheet1!S71_SubMunicipalVoteNo,$AC:$AC,Sheet1!S71_A5CapexCode,$AD:$AD)</f>
        <v>0</v>
      </c>
      <c r="AC215" s="1336">
        <v>45</v>
      </c>
      <c r="AD215" s="1336" t="s">
        <v>1846</v>
      </c>
    </row>
    <row r="216" spans="1:30" x14ac:dyDescent="0.25">
      <c r="A216" s="858" t="str">
        <f>B5B!A47</f>
        <v>4.6 - Industrial Promotion</v>
      </c>
      <c r="B216" s="855"/>
      <c r="C216" s="1360">
        <f>SUMIFS(Sheet1!S71_OriginalBudget,Sheet1!S71_SubMunicipalVoteNo,$AC:$AC,Sheet1!S71_A5CapexCode,$AD:$AD)</f>
        <v>0</v>
      </c>
      <c r="D216" s="1356">
        <f>SUMIFS(Sheet1!S71_SpecialAdjustedBudget,Sheet1!S71_SubMunicipalVoteNo,$AC:$AC,Sheet1!S71_A5CapexCode,$AD:$AD)</f>
        <v>0</v>
      </c>
      <c r="E216" s="1356"/>
      <c r="F216" s="1356"/>
      <c r="G216" s="1356"/>
      <c r="H216" s="1356"/>
      <c r="I216" s="1356">
        <f>SUMIFS(Sheet1!S71_AdjustmentAmount,Sheet1!S71_SubMunicipalVoteNo,$AC:$AC,Sheet1!S71_A5CapexCode,$AD:$AD)</f>
        <v>0</v>
      </c>
      <c r="J216" s="75">
        <f t="shared" si="30"/>
        <v>0</v>
      </c>
      <c r="K216" s="75">
        <f t="shared" si="27"/>
        <v>0</v>
      </c>
      <c r="L216" s="1356">
        <f>SUMIFS(Sheet1!S71_OY1AdjustedBudget,Sheet1!S71_SubMunicipalVoteNo,$AC:$AC,Sheet1!S71_A5CapexCode,$AD:$AD)</f>
        <v>0</v>
      </c>
      <c r="M216" s="1357">
        <f>SUMIFS(Sheet1!S71_OY2AdjustedBudget,Sheet1!S71_SubMunicipalVoteNo,$AC:$AC,Sheet1!S71_A5CapexCode,$AD:$AD)</f>
        <v>0</v>
      </c>
      <c r="AC216" s="1336">
        <v>46</v>
      </c>
      <c r="AD216" s="1336" t="s">
        <v>1846</v>
      </c>
    </row>
    <row r="217" spans="1:30" x14ac:dyDescent="0.25">
      <c r="A217" s="858" t="str">
        <f>B5B!A48</f>
        <v>4.7 - Agricultural</v>
      </c>
      <c r="B217" s="855"/>
      <c r="C217" s="1360">
        <f>SUMIFS(Sheet1!S71_OriginalBudget,Sheet1!S71_SubMunicipalVoteNo,$AC:$AC,Sheet1!S71_A5CapexCode,$AD:$AD)</f>
        <v>0</v>
      </c>
      <c r="D217" s="1356">
        <f>SUMIFS(Sheet1!S71_SpecialAdjustedBudget,Sheet1!S71_SubMunicipalVoteNo,$AC:$AC,Sheet1!S71_A5CapexCode,$AD:$AD)</f>
        <v>0</v>
      </c>
      <c r="E217" s="1356"/>
      <c r="F217" s="1356"/>
      <c r="G217" s="1356"/>
      <c r="H217" s="1356"/>
      <c r="I217" s="1356">
        <f>SUMIFS(Sheet1!S71_AdjustmentAmount,Sheet1!S71_SubMunicipalVoteNo,$AC:$AC,Sheet1!S71_A5CapexCode,$AD:$AD)</f>
        <v>0</v>
      </c>
      <c r="J217" s="75">
        <f t="shared" si="30"/>
        <v>0</v>
      </c>
      <c r="K217" s="75">
        <f t="shared" si="27"/>
        <v>0</v>
      </c>
      <c r="L217" s="1356">
        <f>SUMIFS(Sheet1!S71_OY1AdjustedBudget,Sheet1!S71_SubMunicipalVoteNo,$AC:$AC,Sheet1!S71_A5CapexCode,$AD:$AD)</f>
        <v>0</v>
      </c>
      <c r="M217" s="1357">
        <f>SUMIFS(Sheet1!S71_OY2AdjustedBudget,Sheet1!S71_SubMunicipalVoteNo,$AC:$AC,Sheet1!S71_A5CapexCode,$AD:$AD)</f>
        <v>0</v>
      </c>
      <c r="AC217" s="1336">
        <v>47</v>
      </c>
      <c r="AD217" s="1336" t="s">
        <v>1846</v>
      </c>
    </row>
    <row r="218" spans="1:30" x14ac:dyDescent="0.25">
      <c r="A218" s="858" t="str">
        <f>B5B!A49</f>
        <v>4.8 - Aged Care</v>
      </c>
      <c r="B218" s="855"/>
      <c r="C218" s="1360">
        <f>SUMIFS(Sheet1!S71_OriginalBudget,Sheet1!S71_SubMunicipalVoteNo,$AC:$AC,Sheet1!S71_A5CapexCode,$AD:$AD)</f>
        <v>0</v>
      </c>
      <c r="D218" s="1356">
        <f>SUMIFS(Sheet1!S71_SpecialAdjustedBudget,Sheet1!S71_SubMunicipalVoteNo,$AC:$AC,Sheet1!S71_A5CapexCode,$AD:$AD)</f>
        <v>0</v>
      </c>
      <c r="E218" s="1356"/>
      <c r="F218" s="1356"/>
      <c r="G218" s="1356"/>
      <c r="H218" s="1356"/>
      <c r="I218" s="1356">
        <f>SUMIFS(Sheet1!S71_AdjustmentAmount,Sheet1!S71_SubMunicipalVoteNo,$AC:$AC,Sheet1!S71_A5CapexCode,$AD:$AD)</f>
        <v>0</v>
      </c>
      <c r="J218" s="75">
        <f t="shared" si="30"/>
        <v>0</v>
      </c>
      <c r="K218" s="75">
        <f t="shared" si="27"/>
        <v>0</v>
      </c>
      <c r="L218" s="1356">
        <f>SUMIFS(Sheet1!S71_OY1AdjustedBudget,Sheet1!S71_SubMunicipalVoteNo,$AC:$AC,Sheet1!S71_A5CapexCode,$AD:$AD)</f>
        <v>0</v>
      </c>
      <c r="M218" s="1357">
        <f>SUMIFS(Sheet1!S71_OY2AdjustedBudget,Sheet1!S71_SubMunicipalVoteNo,$AC:$AC,Sheet1!S71_A5CapexCode,$AD:$AD)</f>
        <v>0</v>
      </c>
      <c r="AC218" s="1336">
        <v>48</v>
      </c>
      <c r="AD218" s="1336" t="s">
        <v>1846</v>
      </c>
    </row>
    <row r="219" spans="1:30" x14ac:dyDescent="0.25">
      <c r="A219" s="858" t="str">
        <f>B5B!A50</f>
        <v>4.9 - Child Care Facilities</v>
      </c>
      <c r="B219" s="855"/>
      <c r="C219" s="1360">
        <f>SUMIFS(Sheet1!S71_OriginalBudget,Sheet1!S71_SubMunicipalVoteNo,$AC:$AC,Sheet1!S71_A5CapexCode,$AD:$AD)</f>
        <v>1538516</v>
      </c>
      <c r="D219" s="1356">
        <f>SUMIFS(Sheet1!S71_SpecialAdjustedBudget,Sheet1!S71_SubMunicipalVoteNo,$AC:$AC,Sheet1!S71_A5CapexCode,$AD:$AD)</f>
        <v>1538516</v>
      </c>
      <c r="E219" s="1356"/>
      <c r="F219" s="1356"/>
      <c r="G219" s="1356"/>
      <c r="H219" s="1356"/>
      <c r="I219" s="1356">
        <f>SUMIFS(Sheet1!S71_AdjustmentAmount,Sheet1!S71_SubMunicipalVoteNo,$AC:$AC,Sheet1!S71_A5CapexCode,$AD:$AD)</f>
        <v>507082</v>
      </c>
      <c r="J219" s="75">
        <f t="shared" si="30"/>
        <v>507082</v>
      </c>
      <c r="K219" s="75">
        <f t="shared" si="27"/>
        <v>2045598</v>
      </c>
      <c r="L219" s="1356">
        <f>SUMIFS(Sheet1!S71_OY1AdjustedBudget,Sheet1!S71_SubMunicipalVoteNo,$AC:$AC,Sheet1!S71_A5CapexCode,$AD:$AD)</f>
        <v>0</v>
      </c>
      <c r="M219" s="1357">
        <f>SUMIFS(Sheet1!S71_OY2AdjustedBudget,Sheet1!S71_SubMunicipalVoteNo,$AC:$AC,Sheet1!S71_A5CapexCode,$AD:$AD)</f>
        <v>0</v>
      </c>
      <c r="AC219" s="1336">
        <v>49</v>
      </c>
      <c r="AD219" s="1336" t="s">
        <v>1846</v>
      </c>
    </row>
    <row r="220" spans="1:30" x14ac:dyDescent="0.25">
      <c r="A220" s="858" t="str">
        <f>B5B!A51</f>
        <v/>
      </c>
      <c r="B220" s="857"/>
      <c r="C220" s="1360">
        <f>SUMIFS(Sheet1!S71_OriginalBudget,Sheet1!S71_SubMunicipalVoteNo,$AC:$AC,Sheet1!S71_A5CapexCode,$AD:$AD)</f>
        <v>0</v>
      </c>
      <c r="D220" s="1356">
        <f>SUMIFS(Sheet1!S71_SpecialAdjustedBudget,Sheet1!S71_SubMunicipalVoteNo,$AC:$AC,Sheet1!S71_A5CapexCode,$AD:$AD)</f>
        <v>0</v>
      </c>
      <c r="E220" s="1356"/>
      <c r="F220" s="1356"/>
      <c r="G220" s="1356"/>
      <c r="H220" s="1356"/>
      <c r="I220" s="1356">
        <f>SUMIFS(Sheet1!S71_AdjustmentAmount,Sheet1!S71_SubMunicipalVoteNo,$AC:$AC,Sheet1!S71_A5CapexCode,$AD:$AD)</f>
        <v>0</v>
      </c>
      <c r="J220" s="75">
        <f t="shared" si="30"/>
        <v>0</v>
      </c>
      <c r="K220" s="75">
        <f t="shared" si="27"/>
        <v>0</v>
      </c>
      <c r="L220" s="1356">
        <f>SUMIFS(Sheet1!S71_OY1AdjustedBudget,Sheet1!S71_SubMunicipalVoteNo,$AC:$AC,Sheet1!S71_A5CapexCode,$AD:$AD)</f>
        <v>0</v>
      </c>
      <c r="M220" s="1357">
        <f>SUMIFS(Sheet1!S71_OY2AdjustedBudget,Sheet1!S71_SubMunicipalVoteNo,$AC:$AC,Sheet1!S71_A5CapexCode,$AD:$AD)</f>
        <v>0</v>
      </c>
      <c r="AC220" s="1336">
        <v>410</v>
      </c>
      <c r="AD220" s="1336" t="s">
        <v>1846</v>
      </c>
    </row>
    <row r="221" spans="1:30" x14ac:dyDescent="0.25">
      <c r="A221" s="856" t="str">
        <f>B5B!A52</f>
        <v>Vote 5 - Community and Social Services2</v>
      </c>
      <c r="B221" s="855"/>
      <c r="C221" s="733">
        <f t="shared" ref="C221:I221" si="32">SUM(C222:C231)</f>
        <v>7990468</v>
      </c>
      <c r="D221" s="732">
        <f t="shared" si="32"/>
        <v>7990468</v>
      </c>
      <c r="E221" s="732">
        <f t="shared" si="32"/>
        <v>0</v>
      </c>
      <c r="F221" s="732">
        <f t="shared" si="32"/>
        <v>0</v>
      </c>
      <c r="G221" s="732">
        <f t="shared" si="32"/>
        <v>0</v>
      </c>
      <c r="H221" s="732">
        <f t="shared" si="32"/>
        <v>0</v>
      </c>
      <c r="I221" s="732">
        <f t="shared" si="32"/>
        <v>1429503</v>
      </c>
      <c r="J221" s="75">
        <f t="shared" si="30"/>
        <v>1429503</v>
      </c>
      <c r="K221" s="75">
        <f t="shared" si="27"/>
        <v>9419971</v>
      </c>
      <c r="L221" s="732">
        <f>SUM(L222:L231)</f>
        <v>0</v>
      </c>
      <c r="M221" s="759">
        <f>SUM(M222:M231)</f>
        <v>0</v>
      </c>
    </row>
    <row r="222" spans="1:30" x14ac:dyDescent="0.25">
      <c r="A222" s="858" t="str">
        <f>B5B!A53</f>
        <v>5.1 - Literacy Programmes</v>
      </c>
      <c r="B222" s="855"/>
      <c r="C222" s="1360">
        <f>SUMIFS(Sheet1!S71_OriginalBudget,Sheet1!S71_SubMunicipalVoteNo,$AC:$AC,Sheet1!S71_A5CapexCode,$AD:$AD)</f>
        <v>0</v>
      </c>
      <c r="D222" s="1356">
        <f>SUMIFS(Sheet1!S71_SpecialAdjustedBudget,Sheet1!S71_SubMunicipalVoteNo,$AC:$AC,Sheet1!S71_A5CapexCode,$AD:$AD)</f>
        <v>0</v>
      </c>
      <c r="E222" s="1356"/>
      <c r="F222" s="1356"/>
      <c r="G222" s="1356"/>
      <c r="H222" s="1356"/>
      <c r="I222" s="1356">
        <f>SUMIFS(Sheet1!S71_AdjustmentAmount,Sheet1!S71_SubMunicipalVoteNo,$AC:$AC,Sheet1!S71_A5CapexCode,$AD:$AD)</f>
        <v>0</v>
      </c>
      <c r="J222" s="75">
        <f t="shared" si="30"/>
        <v>0</v>
      </c>
      <c r="K222" s="75">
        <f t="shared" si="27"/>
        <v>0</v>
      </c>
      <c r="L222" s="1356">
        <f>SUMIFS(Sheet1!S71_OY1AdjustedBudget,Sheet1!S71_SubMunicipalVoteNo,$AC:$AC,Sheet1!S71_A5CapexCode,$AD:$AD)</f>
        <v>0</v>
      </c>
      <c r="M222" s="1357">
        <f>SUMIFS(Sheet1!S71_OY2AdjustedBudget,Sheet1!S71_SubMunicipalVoteNo,$AC:$AC,Sheet1!S71_A5CapexCode,$AD:$AD)</f>
        <v>0</v>
      </c>
      <c r="AC222" s="1336">
        <v>51</v>
      </c>
      <c r="AD222" s="1336" t="s">
        <v>1846</v>
      </c>
    </row>
    <row r="223" spans="1:30" x14ac:dyDescent="0.25">
      <c r="A223" s="858" t="str">
        <f>B5B!A54</f>
        <v>5.2 - Education</v>
      </c>
      <c r="B223" s="855"/>
      <c r="C223" s="1360">
        <f>SUMIFS(Sheet1!S71_OriginalBudget,Sheet1!S71_SubMunicipalVoteNo,$AC:$AC,Sheet1!S71_A5CapexCode,$AD:$AD)</f>
        <v>0</v>
      </c>
      <c r="D223" s="1356">
        <f>SUMIFS(Sheet1!S71_SpecialAdjustedBudget,Sheet1!S71_SubMunicipalVoteNo,$AC:$AC,Sheet1!S71_A5CapexCode,$AD:$AD)</f>
        <v>0</v>
      </c>
      <c r="E223" s="1356"/>
      <c r="F223" s="1356"/>
      <c r="G223" s="1356"/>
      <c r="H223" s="1356"/>
      <c r="I223" s="1356">
        <f>SUMIFS(Sheet1!S71_AdjustmentAmount,Sheet1!S71_SubMunicipalVoteNo,$AC:$AC,Sheet1!S71_A5CapexCode,$AD:$AD)</f>
        <v>0</v>
      </c>
      <c r="J223" s="75">
        <f t="shared" si="30"/>
        <v>0</v>
      </c>
      <c r="K223" s="75">
        <f t="shared" si="27"/>
        <v>0</v>
      </c>
      <c r="L223" s="1356">
        <f>SUMIFS(Sheet1!S71_OY1AdjustedBudget,Sheet1!S71_SubMunicipalVoteNo,$AC:$AC,Sheet1!S71_A5CapexCode,$AD:$AD)</f>
        <v>0</v>
      </c>
      <c r="M223" s="1357">
        <f>SUMIFS(Sheet1!S71_OY2AdjustedBudget,Sheet1!S71_SubMunicipalVoteNo,$AC:$AC,Sheet1!S71_A5CapexCode,$AD:$AD)</f>
        <v>0</v>
      </c>
      <c r="AC223" s="1336">
        <v>52</v>
      </c>
      <c r="AD223" s="1336" t="s">
        <v>1846</v>
      </c>
    </row>
    <row r="224" spans="1:30" x14ac:dyDescent="0.25">
      <c r="A224" s="858" t="str">
        <f>B5B!A55</f>
        <v>5.3 - Community Halls and Facilities</v>
      </c>
      <c r="B224" s="855"/>
      <c r="C224" s="1360">
        <f>SUMIFS(Sheet1!S71_OriginalBudget,Sheet1!S71_SubMunicipalVoteNo,$AC:$AC,Sheet1!S71_A5CapexCode,$AD:$AD)</f>
        <v>7990468</v>
      </c>
      <c r="D224" s="1356">
        <f>SUMIFS(Sheet1!S71_SpecialAdjustedBudget,Sheet1!S71_SubMunicipalVoteNo,$AC:$AC,Sheet1!S71_A5CapexCode,$AD:$AD)</f>
        <v>7990468</v>
      </c>
      <c r="E224" s="1356"/>
      <c r="F224" s="1356"/>
      <c r="G224" s="1356"/>
      <c r="H224" s="1356"/>
      <c r="I224" s="1356">
        <f>SUMIFS(Sheet1!S71_AdjustmentAmount,Sheet1!S71_SubMunicipalVoteNo,$AC:$AC,Sheet1!S71_A5CapexCode,$AD:$AD)</f>
        <v>1429503</v>
      </c>
      <c r="J224" s="75">
        <f t="shared" si="30"/>
        <v>1429503</v>
      </c>
      <c r="K224" s="75">
        <f t="shared" si="27"/>
        <v>9419971</v>
      </c>
      <c r="L224" s="1356">
        <f>SUMIFS(Sheet1!S71_OY1AdjustedBudget,Sheet1!S71_SubMunicipalVoteNo,$AC:$AC,Sheet1!S71_A5CapexCode,$AD:$AD)</f>
        <v>0</v>
      </c>
      <c r="M224" s="1357">
        <f>SUMIFS(Sheet1!S71_OY2AdjustedBudget,Sheet1!S71_SubMunicipalVoteNo,$AC:$AC,Sheet1!S71_A5CapexCode,$AD:$AD)</f>
        <v>0</v>
      </c>
      <c r="AC224" s="1336">
        <v>53</v>
      </c>
      <c r="AD224" s="1336" t="s">
        <v>1846</v>
      </c>
    </row>
    <row r="225" spans="1:30" x14ac:dyDescent="0.25">
      <c r="A225" s="858" t="str">
        <f>B5B!A56</f>
        <v/>
      </c>
      <c r="B225" s="855"/>
      <c r="C225" s="1360">
        <f>SUMIFS(Sheet1!S71_OriginalBudget,Sheet1!S71_SubMunicipalVoteNo,$AC:$AC,Sheet1!S71_A5CapexCode,$AD:$AD)</f>
        <v>0</v>
      </c>
      <c r="D225" s="1356">
        <f>SUMIFS(Sheet1!S71_SpecialAdjustedBudget,Sheet1!S71_SubMunicipalVoteNo,$AC:$AC,Sheet1!S71_A5CapexCode,$AD:$AD)</f>
        <v>0</v>
      </c>
      <c r="E225" s="1356"/>
      <c r="F225" s="1356"/>
      <c r="G225" s="1356"/>
      <c r="H225" s="1356"/>
      <c r="I225" s="1356">
        <f>SUMIFS(Sheet1!S71_AdjustmentAmount,Sheet1!S71_SubMunicipalVoteNo,$AC:$AC,Sheet1!S71_A5CapexCode,$AD:$AD)</f>
        <v>0</v>
      </c>
      <c r="J225" s="75">
        <f t="shared" si="30"/>
        <v>0</v>
      </c>
      <c r="K225" s="75">
        <f t="shared" si="27"/>
        <v>0</v>
      </c>
      <c r="L225" s="1356">
        <f>SUMIFS(Sheet1!S71_OY1AdjustedBudget,Sheet1!S71_SubMunicipalVoteNo,$AC:$AC,Sheet1!S71_A5CapexCode,$AD:$AD)</f>
        <v>0</v>
      </c>
      <c r="M225" s="1357">
        <f>SUMIFS(Sheet1!S71_OY2AdjustedBudget,Sheet1!S71_SubMunicipalVoteNo,$AC:$AC,Sheet1!S71_A5CapexCode,$AD:$AD)</f>
        <v>0</v>
      </c>
      <c r="AC225" s="1336">
        <v>54</v>
      </c>
      <c r="AD225" s="1336" t="s">
        <v>1846</v>
      </c>
    </row>
    <row r="226" spans="1:30" x14ac:dyDescent="0.25">
      <c r="A226" s="858" t="str">
        <f>B5B!A57</f>
        <v/>
      </c>
      <c r="B226" s="855"/>
      <c r="C226" s="1360">
        <f>SUMIFS(Sheet1!S71_OriginalBudget,Sheet1!S71_SubMunicipalVoteNo,$AC:$AC,Sheet1!S71_A5CapexCode,$AD:$AD)</f>
        <v>0</v>
      </c>
      <c r="D226" s="1356">
        <f>SUMIFS(Sheet1!S71_SpecialAdjustedBudget,Sheet1!S71_SubMunicipalVoteNo,$AC:$AC,Sheet1!S71_A5CapexCode,$AD:$AD)</f>
        <v>0</v>
      </c>
      <c r="E226" s="1356"/>
      <c r="F226" s="1356"/>
      <c r="G226" s="1356"/>
      <c r="H226" s="1356"/>
      <c r="I226" s="1356">
        <f>SUMIFS(Sheet1!S71_AdjustmentAmount,Sheet1!S71_SubMunicipalVoteNo,$AC:$AC,Sheet1!S71_A5CapexCode,$AD:$AD)</f>
        <v>0</v>
      </c>
      <c r="J226" s="75">
        <f t="shared" si="30"/>
        <v>0</v>
      </c>
      <c r="K226" s="75">
        <f t="shared" si="27"/>
        <v>0</v>
      </c>
      <c r="L226" s="1356">
        <f>SUMIFS(Sheet1!S71_OY1AdjustedBudget,Sheet1!S71_SubMunicipalVoteNo,$AC:$AC,Sheet1!S71_A5CapexCode,$AD:$AD)</f>
        <v>0</v>
      </c>
      <c r="M226" s="1357">
        <f>SUMIFS(Sheet1!S71_OY2AdjustedBudget,Sheet1!S71_SubMunicipalVoteNo,$AC:$AC,Sheet1!S71_A5CapexCode,$AD:$AD)</f>
        <v>0</v>
      </c>
      <c r="AC226" s="1336">
        <v>55</v>
      </c>
      <c r="AD226" s="1336" t="s">
        <v>1846</v>
      </c>
    </row>
    <row r="227" spans="1:30" x14ac:dyDescent="0.25">
      <c r="A227" s="858" t="str">
        <f>B5B!A58</f>
        <v/>
      </c>
      <c r="B227" s="855"/>
      <c r="C227" s="1360">
        <f>SUMIFS(Sheet1!S71_OriginalBudget,Sheet1!S71_SubMunicipalVoteNo,$AC:$AC,Sheet1!S71_A5CapexCode,$AD:$AD)</f>
        <v>0</v>
      </c>
      <c r="D227" s="1356">
        <f>SUMIFS(Sheet1!S71_SpecialAdjustedBudget,Sheet1!S71_SubMunicipalVoteNo,$AC:$AC,Sheet1!S71_A5CapexCode,$AD:$AD)</f>
        <v>0</v>
      </c>
      <c r="E227" s="1356"/>
      <c r="F227" s="1356"/>
      <c r="G227" s="1356"/>
      <c r="H227" s="1356"/>
      <c r="I227" s="1356">
        <f>SUMIFS(Sheet1!S71_AdjustmentAmount,Sheet1!S71_SubMunicipalVoteNo,$AC:$AC,Sheet1!S71_A5CapexCode,$AD:$AD)</f>
        <v>0</v>
      </c>
      <c r="J227" s="75">
        <f t="shared" si="30"/>
        <v>0</v>
      </c>
      <c r="K227" s="75">
        <f t="shared" si="27"/>
        <v>0</v>
      </c>
      <c r="L227" s="1356">
        <f>SUMIFS(Sheet1!S71_OY1AdjustedBudget,Sheet1!S71_SubMunicipalVoteNo,$AC:$AC,Sheet1!S71_A5CapexCode,$AD:$AD)</f>
        <v>0</v>
      </c>
      <c r="M227" s="1357">
        <f>SUMIFS(Sheet1!S71_OY2AdjustedBudget,Sheet1!S71_SubMunicipalVoteNo,$AC:$AC,Sheet1!S71_A5CapexCode,$AD:$AD)</f>
        <v>0</v>
      </c>
      <c r="AC227" s="1336">
        <v>56</v>
      </c>
      <c r="AD227" s="1336" t="s">
        <v>1846</v>
      </c>
    </row>
    <row r="228" spans="1:30" x14ac:dyDescent="0.25">
      <c r="A228" s="858" t="str">
        <f>B5B!A59</f>
        <v/>
      </c>
      <c r="B228" s="855"/>
      <c r="C228" s="1360">
        <f>SUMIFS(Sheet1!S71_OriginalBudget,Sheet1!S71_SubMunicipalVoteNo,$AC:$AC,Sheet1!S71_A5CapexCode,$AD:$AD)</f>
        <v>0</v>
      </c>
      <c r="D228" s="1356">
        <f>SUMIFS(Sheet1!S71_SpecialAdjustedBudget,Sheet1!S71_SubMunicipalVoteNo,$AC:$AC,Sheet1!S71_A5CapexCode,$AD:$AD)</f>
        <v>0</v>
      </c>
      <c r="E228" s="1356"/>
      <c r="F228" s="1356"/>
      <c r="G228" s="1356"/>
      <c r="H228" s="1356"/>
      <c r="I228" s="1356">
        <f>SUMIFS(Sheet1!S71_AdjustmentAmount,Sheet1!S71_SubMunicipalVoteNo,$AC:$AC,Sheet1!S71_A5CapexCode,$AD:$AD)</f>
        <v>0</v>
      </c>
      <c r="J228" s="75">
        <f t="shared" si="30"/>
        <v>0</v>
      </c>
      <c r="K228" s="75">
        <f t="shared" si="27"/>
        <v>0</v>
      </c>
      <c r="L228" s="1356">
        <f>SUMIFS(Sheet1!S71_OY1AdjustedBudget,Sheet1!S71_SubMunicipalVoteNo,$AC:$AC,Sheet1!S71_A5CapexCode,$AD:$AD)</f>
        <v>0</v>
      </c>
      <c r="M228" s="1357">
        <f>SUMIFS(Sheet1!S71_OY2AdjustedBudget,Sheet1!S71_SubMunicipalVoteNo,$AC:$AC,Sheet1!S71_A5CapexCode,$AD:$AD)</f>
        <v>0</v>
      </c>
      <c r="AC228" s="1336">
        <v>57</v>
      </c>
      <c r="AD228" s="1336" t="s">
        <v>1846</v>
      </c>
    </row>
    <row r="229" spans="1:30" x14ac:dyDescent="0.25">
      <c r="A229" s="858" t="str">
        <f>B5B!A60</f>
        <v/>
      </c>
      <c r="B229" s="855"/>
      <c r="C229" s="1360">
        <f>SUMIFS(Sheet1!S71_OriginalBudget,Sheet1!S71_SubMunicipalVoteNo,$AC:$AC,Sheet1!S71_A5CapexCode,$AD:$AD)</f>
        <v>0</v>
      </c>
      <c r="D229" s="1356">
        <f>SUMIFS(Sheet1!S71_SpecialAdjustedBudget,Sheet1!S71_SubMunicipalVoteNo,$AC:$AC,Sheet1!S71_A5CapexCode,$AD:$AD)</f>
        <v>0</v>
      </c>
      <c r="E229" s="1356"/>
      <c r="F229" s="1356"/>
      <c r="G229" s="1356"/>
      <c r="H229" s="1356"/>
      <c r="I229" s="1356">
        <f>SUMIFS(Sheet1!S71_AdjustmentAmount,Sheet1!S71_SubMunicipalVoteNo,$AC:$AC,Sheet1!S71_A5CapexCode,$AD:$AD)</f>
        <v>0</v>
      </c>
      <c r="J229" s="75">
        <f t="shared" si="30"/>
        <v>0</v>
      </c>
      <c r="K229" s="75">
        <f t="shared" si="27"/>
        <v>0</v>
      </c>
      <c r="L229" s="1356">
        <f>SUMIFS(Sheet1!S71_OY1AdjustedBudget,Sheet1!S71_SubMunicipalVoteNo,$AC:$AC,Sheet1!S71_A5CapexCode,$AD:$AD)</f>
        <v>0</v>
      </c>
      <c r="M229" s="1357">
        <f>SUMIFS(Sheet1!S71_OY2AdjustedBudget,Sheet1!S71_SubMunicipalVoteNo,$AC:$AC,Sheet1!S71_A5CapexCode,$AD:$AD)</f>
        <v>0</v>
      </c>
      <c r="AC229" s="1336">
        <v>58</v>
      </c>
      <c r="AD229" s="1336" t="s">
        <v>1846</v>
      </c>
    </row>
    <row r="230" spans="1:30" x14ac:dyDescent="0.25">
      <c r="A230" s="858" t="str">
        <f>B5B!A61</f>
        <v/>
      </c>
      <c r="B230" s="855"/>
      <c r="C230" s="1360">
        <f>SUMIFS(Sheet1!S71_OriginalBudget,Sheet1!S71_SubMunicipalVoteNo,$AC:$AC,Sheet1!S71_A5CapexCode,$AD:$AD)</f>
        <v>0</v>
      </c>
      <c r="D230" s="1356">
        <f>SUMIFS(Sheet1!S71_SpecialAdjustedBudget,Sheet1!S71_SubMunicipalVoteNo,$AC:$AC,Sheet1!S71_A5CapexCode,$AD:$AD)</f>
        <v>0</v>
      </c>
      <c r="E230" s="1356"/>
      <c r="F230" s="1356"/>
      <c r="G230" s="1356"/>
      <c r="H230" s="1356"/>
      <c r="I230" s="1356">
        <f>SUMIFS(Sheet1!S71_AdjustmentAmount,Sheet1!S71_SubMunicipalVoteNo,$AC:$AC,Sheet1!S71_A5CapexCode,$AD:$AD)</f>
        <v>0</v>
      </c>
      <c r="J230" s="75">
        <f t="shared" si="30"/>
        <v>0</v>
      </c>
      <c r="K230" s="75">
        <f t="shared" si="27"/>
        <v>0</v>
      </c>
      <c r="L230" s="1356">
        <f>SUMIFS(Sheet1!S71_OY1AdjustedBudget,Sheet1!S71_SubMunicipalVoteNo,$AC:$AC,Sheet1!S71_A5CapexCode,$AD:$AD)</f>
        <v>0</v>
      </c>
      <c r="M230" s="1357">
        <f>SUMIFS(Sheet1!S71_OY2AdjustedBudget,Sheet1!S71_SubMunicipalVoteNo,$AC:$AC,Sheet1!S71_A5CapexCode,$AD:$AD)</f>
        <v>0</v>
      </c>
      <c r="AC230" s="1336">
        <v>59</v>
      </c>
      <c r="AD230" s="1336" t="s">
        <v>1846</v>
      </c>
    </row>
    <row r="231" spans="1:30" x14ac:dyDescent="0.25">
      <c r="A231" s="858" t="str">
        <f>B5B!A62</f>
        <v/>
      </c>
      <c r="B231" s="857"/>
      <c r="C231" s="1360">
        <f>SUMIFS(Sheet1!S71_OriginalBudget,Sheet1!S71_SubMunicipalVoteNo,$AC:$AC,Sheet1!S71_A5CapexCode,$AD:$AD)</f>
        <v>0</v>
      </c>
      <c r="D231" s="1356">
        <f>SUMIFS(Sheet1!S71_SpecialAdjustedBudget,Sheet1!S71_SubMunicipalVoteNo,$AC:$AC,Sheet1!S71_A5CapexCode,$AD:$AD)</f>
        <v>0</v>
      </c>
      <c r="E231" s="1356"/>
      <c r="F231" s="1356"/>
      <c r="G231" s="1356"/>
      <c r="H231" s="1356"/>
      <c r="I231" s="1356">
        <f>SUMIFS(Sheet1!S71_AdjustmentAmount,Sheet1!S71_SubMunicipalVoteNo,$AC:$AC,Sheet1!S71_A5CapexCode,$AD:$AD)</f>
        <v>0</v>
      </c>
      <c r="J231" s="75">
        <f t="shared" si="30"/>
        <v>0</v>
      </c>
      <c r="K231" s="75">
        <f t="shared" si="27"/>
        <v>0</v>
      </c>
      <c r="L231" s="1356">
        <f>SUMIFS(Sheet1!S71_OY1AdjustedBudget,Sheet1!S71_SubMunicipalVoteNo,$AC:$AC,Sheet1!S71_A5CapexCode,$AD:$AD)</f>
        <v>0</v>
      </c>
      <c r="M231" s="1357">
        <f>SUMIFS(Sheet1!S71_OY2AdjustedBudget,Sheet1!S71_SubMunicipalVoteNo,$AC:$AC,Sheet1!S71_A5CapexCode,$AD:$AD)</f>
        <v>0</v>
      </c>
      <c r="AC231" s="1336">
        <v>510</v>
      </c>
      <c r="AD231" s="1336" t="s">
        <v>1846</v>
      </c>
    </row>
    <row r="232" spans="1:30" x14ac:dyDescent="0.25">
      <c r="A232" s="856" t="str">
        <f>B5B!A63</f>
        <v>Vote 6 - Energy Sources</v>
      </c>
      <c r="B232" s="855"/>
      <c r="C232" s="733">
        <f t="shared" ref="C232:I232" si="33">SUM(C233:C242)</f>
        <v>0</v>
      </c>
      <c r="D232" s="732">
        <f t="shared" si="33"/>
        <v>0</v>
      </c>
      <c r="E232" s="732">
        <f t="shared" si="33"/>
        <v>0</v>
      </c>
      <c r="F232" s="732">
        <f t="shared" si="33"/>
        <v>0</v>
      </c>
      <c r="G232" s="732">
        <f t="shared" si="33"/>
        <v>0</v>
      </c>
      <c r="H232" s="732">
        <f t="shared" si="33"/>
        <v>0</v>
      </c>
      <c r="I232" s="732">
        <f t="shared" si="33"/>
        <v>0</v>
      </c>
      <c r="J232" s="75">
        <f t="shared" si="30"/>
        <v>0</v>
      </c>
      <c r="K232" s="75">
        <f t="shared" si="27"/>
        <v>0</v>
      </c>
      <c r="L232" s="732">
        <f>SUM(L233:L242)</f>
        <v>0</v>
      </c>
      <c r="M232" s="759">
        <f>SUM(M233:M242)</f>
        <v>0</v>
      </c>
    </row>
    <row r="233" spans="1:30" x14ac:dyDescent="0.25">
      <c r="A233" s="858" t="str">
        <f>B5B!A64</f>
        <v>6.1 - Electricity</v>
      </c>
      <c r="B233" s="855"/>
      <c r="C233" s="1360">
        <f>SUMIFS(Sheet1!S71_OriginalBudget,Sheet1!S71_SubMunicipalVoteNo,$AC:$AC,Sheet1!S71_A5CapexCode,$AD:$AD)</f>
        <v>0</v>
      </c>
      <c r="D233" s="1356">
        <f>SUMIFS(Sheet1!S71_SpecialAdjustedBudget,Sheet1!S71_SubMunicipalVoteNo,$AC:$AC,Sheet1!S71_A5CapexCode,$AD:$AD)</f>
        <v>0</v>
      </c>
      <c r="E233" s="1356"/>
      <c r="F233" s="1356"/>
      <c r="G233" s="1356"/>
      <c r="H233" s="1356"/>
      <c r="I233" s="1356">
        <f>SUMIFS(Sheet1!S71_AdjustmentAmount,Sheet1!S71_SubMunicipalVoteNo,$AC:$AC,Sheet1!S71_A5CapexCode,$AD:$AD)</f>
        <v>0</v>
      </c>
      <c r="J233" s="75">
        <f t="shared" si="30"/>
        <v>0</v>
      </c>
      <c r="K233" s="75">
        <f t="shared" si="27"/>
        <v>0</v>
      </c>
      <c r="L233" s="1356">
        <f>SUMIFS(Sheet1!S71_OY1AdjustedBudget,Sheet1!S71_SubMunicipalVoteNo,$AC:$AC,Sheet1!S71_A5CapexCode,$AD:$AD)</f>
        <v>0</v>
      </c>
      <c r="M233" s="1357">
        <f>SUMIFS(Sheet1!S71_OY2AdjustedBudget,Sheet1!S71_SubMunicipalVoteNo,$AC:$AC,Sheet1!S71_A5CapexCode,$AD:$AD)</f>
        <v>0</v>
      </c>
      <c r="AC233" s="1336">
        <v>61</v>
      </c>
      <c r="AD233" s="1336" t="s">
        <v>1846</v>
      </c>
    </row>
    <row r="234" spans="1:30" x14ac:dyDescent="0.25">
      <c r="A234" s="858" t="str">
        <f>B5B!A65</f>
        <v/>
      </c>
      <c r="B234" s="855"/>
      <c r="C234" s="1360">
        <f>SUMIFS(Sheet1!S71_OriginalBudget,Sheet1!S71_SubMunicipalVoteNo,$AC:$AC,Sheet1!S71_A5CapexCode,$AD:$AD)</f>
        <v>0</v>
      </c>
      <c r="D234" s="1356">
        <f>SUMIFS(Sheet1!S71_SpecialAdjustedBudget,Sheet1!S71_SubMunicipalVoteNo,$AC:$AC,Sheet1!S71_A5CapexCode,$AD:$AD)</f>
        <v>0</v>
      </c>
      <c r="E234" s="1356"/>
      <c r="F234" s="1356"/>
      <c r="G234" s="1356"/>
      <c r="H234" s="1356"/>
      <c r="I234" s="1356">
        <f>SUMIFS(Sheet1!S71_AdjustmentAmount,Sheet1!S71_SubMunicipalVoteNo,$AC:$AC,Sheet1!S71_A5CapexCode,$AD:$AD)</f>
        <v>0</v>
      </c>
      <c r="J234" s="75">
        <f t="shared" si="30"/>
        <v>0</v>
      </c>
      <c r="K234" s="75">
        <f t="shared" si="27"/>
        <v>0</v>
      </c>
      <c r="L234" s="1356">
        <f>SUMIFS(Sheet1!S71_OY1AdjustedBudget,Sheet1!S71_SubMunicipalVoteNo,$AC:$AC,Sheet1!S71_A5CapexCode,$AD:$AD)</f>
        <v>0</v>
      </c>
      <c r="M234" s="1357">
        <f>SUMIFS(Sheet1!S71_OY2AdjustedBudget,Sheet1!S71_SubMunicipalVoteNo,$AC:$AC,Sheet1!S71_A5CapexCode,$AD:$AD)</f>
        <v>0</v>
      </c>
      <c r="AC234" s="1336">
        <v>62</v>
      </c>
      <c r="AD234" s="1336" t="s">
        <v>1846</v>
      </c>
    </row>
    <row r="235" spans="1:30" x14ac:dyDescent="0.25">
      <c r="A235" s="858" t="str">
        <f>B5B!A66</f>
        <v/>
      </c>
      <c r="B235" s="855"/>
      <c r="C235" s="1360">
        <f>SUMIFS(Sheet1!S71_OriginalBudget,Sheet1!S71_SubMunicipalVoteNo,$AC:$AC,Sheet1!S71_A5CapexCode,$AD:$AD)</f>
        <v>0</v>
      </c>
      <c r="D235" s="1356">
        <f>SUMIFS(Sheet1!S71_SpecialAdjustedBudget,Sheet1!S71_SubMunicipalVoteNo,$AC:$AC,Sheet1!S71_A5CapexCode,$AD:$AD)</f>
        <v>0</v>
      </c>
      <c r="E235" s="1356"/>
      <c r="F235" s="1356"/>
      <c r="G235" s="1356"/>
      <c r="H235" s="1356"/>
      <c r="I235" s="1356">
        <f>SUMIFS(Sheet1!S71_AdjustmentAmount,Sheet1!S71_SubMunicipalVoteNo,$AC:$AC,Sheet1!S71_A5CapexCode,$AD:$AD)</f>
        <v>0</v>
      </c>
      <c r="J235" s="75">
        <f t="shared" si="30"/>
        <v>0</v>
      </c>
      <c r="K235" s="75">
        <f t="shared" si="27"/>
        <v>0</v>
      </c>
      <c r="L235" s="1356">
        <f>SUMIFS(Sheet1!S71_OY1AdjustedBudget,Sheet1!S71_SubMunicipalVoteNo,$AC:$AC,Sheet1!S71_A5CapexCode,$AD:$AD)</f>
        <v>0</v>
      </c>
      <c r="M235" s="1357">
        <f>SUMIFS(Sheet1!S71_OY2AdjustedBudget,Sheet1!S71_SubMunicipalVoteNo,$AC:$AC,Sheet1!S71_A5CapexCode,$AD:$AD)</f>
        <v>0</v>
      </c>
      <c r="AC235" s="1336">
        <v>63</v>
      </c>
      <c r="AD235" s="1336" t="s">
        <v>1846</v>
      </c>
    </row>
    <row r="236" spans="1:30" x14ac:dyDescent="0.25">
      <c r="A236" s="858" t="str">
        <f>B5B!A67</f>
        <v/>
      </c>
      <c r="B236" s="855"/>
      <c r="C236" s="1360">
        <f>SUMIFS(Sheet1!S71_OriginalBudget,Sheet1!S71_SubMunicipalVoteNo,$AC:$AC,Sheet1!S71_A5CapexCode,$AD:$AD)</f>
        <v>0</v>
      </c>
      <c r="D236" s="1356">
        <f>SUMIFS(Sheet1!S71_SpecialAdjustedBudget,Sheet1!S71_SubMunicipalVoteNo,$AC:$AC,Sheet1!S71_A5CapexCode,$AD:$AD)</f>
        <v>0</v>
      </c>
      <c r="E236" s="1356"/>
      <c r="F236" s="1356"/>
      <c r="G236" s="1356"/>
      <c r="H236" s="1356"/>
      <c r="I236" s="1356">
        <f>SUMIFS(Sheet1!S71_AdjustmentAmount,Sheet1!S71_SubMunicipalVoteNo,$AC:$AC,Sheet1!S71_A5CapexCode,$AD:$AD)</f>
        <v>0</v>
      </c>
      <c r="J236" s="75">
        <f t="shared" si="30"/>
        <v>0</v>
      </c>
      <c r="K236" s="75">
        <f t="shared" si="27"/>
        <v>0</v>
      </c>
      <c r="L236" s="1356">
        <f>SUMIFS(Sheet1!S71_OY1AdjustedBudget,Sheet1!S71_SubMunicipalVoteNo,$AC:$AC,Sheet1!S71_A5CapexCode,$AD:$AD)</f>
        <v>0</v>
      </c>
      <c r="M236" s="1357">
        <f>SUMIFS(Sheet1!S71_OY2AdjustedBudget,Sheet1!S71_SubMunicipalVoteNo,$AC:$AC,Sheet1!S71_A5CapexCode,$AD:$AD)</f>
        <v>0</v>
      </c>
      <c r="AC236" s="1336">
        <v>64</v>
      </c>
      <c r="AD236" s="1336" t="s">
        <v>1846</v>
      </c>
    </row>
    <row r="237" spans="1:30" x14ac:dyDescent="0.25">
      <c r="A237" s="858" t="str">
        <f>B5B!A68</f>
        <v/>
      </c>
      <c r="B237" s="855"/>
      <c r="C237" s="1360">
        <f>SUMIFS(Sheet1!S71_OriginalBudget,Sheet1!S71_SubMunicipalVoteNo,$AC:$AC,Sheet1!S71_A5CapexCode,$AD:$AD)</f>
        <v>0</v>
      </c>
      <c r="D237" s="1356">
        <f>SUMIFS(Sheet1!S71_SpecialAdjustedBudget,Sheet1!S71_SubMunicipalVoteNo,$AC:$AC,Sheet1!S71_A5CapexCode,$AD:$AD)</f>
        <v>0</v>
      </c>
      <c r="E237" s="1356"/>
      <c r="F237" s="1356"/>
      <c r="G237" s="1356"/>
      <c r="H237" s="1356"/>
      <c r="I237" s="1356">
        <f>SUMIFS(Sheet1!S71_AdjustmentAmount,Sheet1!S71_SubMunicipalVoteNo,$AC:$AC,Sheet1!S71_A5CapexCode,$AD:$AD)</f>
        <v>0</v>
      </c>
      <c r="J237" s="75">
        <f t="shared" si="30"/>
        <v>0</v>
      </c>
      <c r="K237" s="75">
        <f t="shared" si="27"/>
        <v>0</v>
      </c>
      <c r="L237" s="1356">
        <f>SUMIFS(Sheet1!S71_OY1AdjustedBudget,Sheet1!S71_SubMunicipalVoteNo,$AC:$AC,Sheet1!S71_A5CapexCode,$AD:$AD)</f>
        <v>0</v>
      </c>
      <c r="M237" s="1357">
        <f>SUMIFS(Sheet1!S71_OY2AdjustedBudget,Sheet1!S71_SubMunicipalVoteNo,$AC:$AC,Sheet1!S71_A5CapexCode,$AD:$AD)</f>
        <v>0</v>
      </c>
      <c r="AC237" s="1336">
        <v>65</v>
      </c>
      <c r="AD237" s="1336" t="s">
        <v>1846</v>
      </c>
    </row>
    <row r="238" spans="1:30" x14ac:dyDescent="0.25">
      <c r="A238" s="858" t="str">
        <f>B5B!A69</f>
        <v/>
      </c>
      <c r="B238" s="855"/>
      <c r="C238" s="1360">
        <f>SUMIFS(Sheet1!S71_OriginalBudget,Sheet1!S71_SubMunicipalVoteNo,$AC:$AC,Sheet1!S71_A5CapexCode,$AD:$AD)</f>
        <v>0</v>
      </c>
      <c r="D238" s="1356">
        <f>SUMIFS(Sheet1!S71_SpecialAdjustedBudget,Sheet1!S71_SubMunicipalVoteNo,$AC:$AC,Sheet1!S71_A5CapexCode,$AD:$AD)</f>
        <v>0</v>
      </c>
      <c r="E238" s="1356"/>
      <c r="F238" s="1356"/>
      <c r="G238" s="1356"/>
      <c r="H238" s="1356"/>
      <c r="I238" s="1356">
        <f>SUMIFS(Sheet1!S71_AdjustmentAmount,Sheet1!S71_SubMunicipalVoteNo,$AC:$AC,Sheet1!S71_A5CapexCode,$AD:$AD)</f>
        <v>0</v>
      </c>
      <c r="J238" s="75">
        <f t="shared" si="30"/>
        <v>0</v>
      </c>
      <c r="K238" s="75">
        <f t="shared" si="27"/>
        <v>0</v>
      </c>
      <c r="L238" s="1356">
        <f>SUMIFS(Sheet1!S71_OY1AdjustedBudget,Sheet1!S71_SubMunicipalVoteNo,$AC:$AC,Sheet1!S71_A5CapexCode,$AD:$AD)</f>
        <v>0</v>
      </c>
      <c r="M238" s="1357">
        <f>SUMIFS(Sheet1!S71_OY2AdjustedBudget,Sheet1!S71_SubMunicipalVoteNo,$AC:$AC,Sheet1!S71_A5CapexCode,$AD:$AD)</f>
        <v>0</v>
      </c>
      <c r="AC238" s="1336">
        <v>66</v>
      </c>
      <c r="AD238" s="1336" t="s">
        <v>1846</v>
      </c>
    </row>
    <row r="239" spans="1:30" x14ac:dyDescent="0.25">
      <c r="A239" s="858" t="str">
        <f>B5B!A70</f>
        <v/>
      </c>
      <c r="B239" s="855"/>
      <c r="C239" s="1360">
        <f>SUMIFS(Sheet1!S71_OriginalBudget,Sheet1!S71_SubMunicipalVoteNo,$AC:$AC,Sheet1!S71_A5CapexCode,$AD:$AD)</f>
        <v>0</v>
      </c>
      <c r="D239" s="1356">
        <f>SUMIFS(Sheet1!S71_SpecialAdjustedBudget,Sheet1!S71_SubMunicipalVoteNo,$AC:$AC,Sheet1!S71_A5CapexCode,$AD:$AD)</f>
        <v>0</v>
      </c>
      <c r="E239" s="1356"/>
      <c r="F239" s="1356"/>
      <c r="G239" s="1356"/>
      <c r="H239" s="1356"/>
      <c r="I239" s="1356">
        <f>SUMIFS(Sheet1!S71_AdjustmentAmount,Sheet1!S71_SubMunicipalVoteNo,$AC:$AC,Sheet1!S71_A5CapexCode,$AD:$AD)</f>
        <v>0</v>
      </c>
      <c r="J239" s="75">
        <f t="shared" si="30"/>
        <v>0</v>
      </c>
      <c r="K239" s="75">
        <f t="shared" si="27"/>
        <v>0</v>
      </c>
      <c r="L239" s="1356">
        <f>SUMIFS(Sheet1!S71_OY1AdjustedBudget,Sheet1!S71_SubMunicipalVoteNo,$AC:$AC,Sheet1!S71_A5CapexCode,$AD:$AD)</f>
        <v>0</v>
      </c>
      <c r="M239" s="1357">
        <f>SUMIFS(Sheet1!S71_OY2AdjustedBudget,Sheet1!S71_SubMunicipalVoteNo,$AC:$AC,Sheet1!S71_A5CapexCode,$AD:$AD)</f>
        <v>0</v>
      </c>
      <c r="AC239" s="1336">
        <v>67</v>
      </c>
      <c r="AD239" s="1336" t="s">
        <v>1846</v>
      </c>
    </row>
    <row r="240" spans="1:30" x14ac:dyDescent="0.25">
      <c r="A240" s="858" t="str">
        <f>B5B!A71</f>
        <v/>
      </c>
      <c r="B240" s="857"/>
      <c r="C240" s="1360">
        <f>SUMIFS(Sheet1!S71_OriginalBudget,Sheet1!S71_SubMunicipalVoteNo,$AC:$AC,Sheet1!S71_A5CapexCode,$AD:$AD)</f>
        <v>0</v>
      </c>
      <c r="D240" s="1356">
        <f>SUMIFS(Sheet1!S71_SpecialAdjustedBudget,Sheet1!S71_SubMunicipalVoteNo,$AC:$AC,Sheet1!S71_A5CapexCode,$AD:$AD)</f>
        <v>0</v>
      </c>
      <c r="E240" s="1356"/>
      <c r="F240" s="1356"/>
      <c r="G240" s="1356"/>
      <c r="H240" s="1356"/>
      <c r="I240" s="1356">
        <f>SUMIFS(Sheet1!S71_AdjustmentAmount,Sheet1!S71_SubMunicipalVoteNo,$AC:$AC,Sheet1!S71_A5CapexCode,$AD:$AD)</f>
        <v>0</v>
      </c>
      <c r="J240" s="75">
        <f t="shared" si="30"/>
        <v>0</v>
      </c>
      <c r="K240" s="75">
        <f t="shared" si="27"/>
        <v>0</v>
      </c>
      <c r="L240" s="1356">
        <f>SUMIFS(Sheet1!S71_OY1AdjustedBudget,Sheet1!S71_SubMunicipalVoteNo,$AC:$AC,Sheet1!S71_A5CapexCode,$AD:$AD)</f>
        <v>0</v>
      </c>
      <c r="M240" s="1357">
        <f>SUMIFS(Sheet1!S71_OY2AdjustedBudget,Sheet1!S71_SubMunicipalVoteNo,$AC:$AC,Sheet1!S71_A5CapexCode,$AD:$AD)</f>
        <v>0</v>
      </c>
      <c r="AC240" s="1336">
        <v>68</v>
      </c>
      <c r="AD240" s="1336" t="s">
        <v>1846</v>
      </c>
    </row>
    <row r="241" spans="1:30" x14ac:dyDescent="0.25">
      <c r="A241" s="858" t="str">
        <f>B5B!A72</f>
        <v/>
      </c>
      <c r="B241" s="855"/>
      <c r="C241" s="1360">
        <f>SUMIFS(Sheet1!S71_OriginalBudget,Sheet1!S71_SubMunicipalVoteNo,$AC:$AC,Sheet1!S71_A5CapexCode,$AD:$AD)</f>
        <v>0</v>
      </c>
      <c r="D241" s="1356">
        <f>SUMIFS(Sheet1!S71_SpecialAdjustedBudget,Sheet1!S71_SubMunicipalVoteNo,$AC:$AC,Sheet1!S71_A5CapexCode,$AD:$AD)</f>
        <v>0</v>
      </c>
      <c r="E241" s="1356"/>
      <c r="F241" s="1356"/>
      <c r="G241" s="1356"/>
      <c r="H241" s="1356"/>
      <c r="I241" s="1356">
        <f>SUMIFS(Sheet1!S71_AdjustmentAmount,Sheet1!S71_SubMunicipalVoteNo,$AC:$AC,Sheet1!S71_A5CapexCode,$AD:$AD)</f>
        <v>0</v>
      </c>
      <c r="J241" s="75">
        <f t="shared" ref="J241:J272" si="34">SUM(E241:I241)</f>
        <v>0</v>
      </c>
      <c r="K241" s="75">
        <f t="shared" ref="K241:K304" si="35">IF(D241=0,C241+J241,D241+J241)</f>
        <v>0</v>
      </c>
      <c r="L241" s="1356">
        <f>SUMIFS(Sheet1!S71_OY1AdjustedBudget,Sheet1!S71_SubMunicipalVoteNo,$AC:$AC,Sheet1!S71_A5CapexCode,$AD:$AD)</f>
        <v>0</v>
      </c>
      <c r="M241" s="1357">
        <f>SUMIFS(Sheet1!S71_OY2AdjustedBudget,Sheet1!S71_SubMunicipalVoteNo,$AC:$AC,Sheet1!S71_A5CapexCode,$AD:$AD)</f>
        <v>0</v>
      </c>
      <c r="AC241" s="1336">
        <v>69</v>
      </c>
      <c r="AD241" s="1336" t="s">
        <v>1846</v>
      </c>
    </row>
    <row r="242" spans="1:30" x14ac:dyDescent="0.25">
      <c r="A242" s="858" t="str">
        <f>B5B!A73</f>
        <v/>
      </c>
      <c r="B242" s="855"/>
      <c r="C242" s="1360">
        <f>SUMIFS(Sheet1!S71_OriginalBudget,Sheet1!S71_SubMunicipalVoteNo,$AC:$AC,Sheet1!S71_A5CapexCode,$AD:$AD)</f>
        <v>0</v>
      </c>
      <c r="D242" s="1356">
        <f>SUMIFS(Sheet1!S71_SpecialAdjustedBudget,Sheet1!S71_SubMunicipalVoteNo,$AC:$AC,Sheet1!S71_A5CapexCode,$AD:$AD)</f>
        <v>0</v>
      </c>
      <c r="E242" s="1356"/>
      <c r="F242" s="1356"/>
      <c r="G242" s="1356"/>
      <c r="H242" s="1356"/>
      <c r="I242" s="1356">
        <f>SUMIFS(Sheet1!S71_AdjustmentAmount,Sheet1!S71_SubMunicipalVoteNo,$AC:$AC,Sheet1!S71_A5CapexCode,$AD:$AD)</f>
        <v>0</v>
      </c>
      <c r="J242" s="75">
        <f t="shared" si="34"/>
        <v>0</v>
      </c>
      <c r="K242" s="75">
        <f t="shared" si="35"/>
        <v>0</v>
      </c>
      <c r="L242" s="1356">
        <f>SUMIFS(Sheet1!S71_OY1AdjustedBudget,Sheet1!S71_SubMunicipalVoteNo,$AC:$AC,Sheet1!S71_A5CapexCode,$AD:$AD)</f>
        <v>0</v>
      </c>
      <c r="M242" s="1357">
        <f>SUMIFS(Sheet1!S71_OY2AdjustedBudget,Sheet1!S71_SubMunicipalVoteNo,$AC:$AC,Sheet1!S71_A5CapexCode,$AD:$AD)</f>
        <v>0</v>
      </c>
      <c r="AC242" s="1336">
        <v>610</v>
      </c>
      <c r="AD242" s="1336" t="s">
        <v>1846</v>
      </c>
    </row>
    <row r="243" spans="1:30" x14ac:dyDescent="0.25">
      <c r="A243" s="856" t="str">
        <f>B5B!A74</f>
        <v>Vote 7 - Road Transport</v>
      </c>
      <c r="B243" s="855"/>
      <c r="C243" s="733">
        <f t="shared" ref="C243:I243" si="36">SUM(C244:C253)</f>
        <v>9467783</v>
      </c>
      <c r="D243" s="732">
        <f t="shared" si="36"/>
        <v>17191768</v>
      </c>
      <c r="E243" s="732">
        <f t="shared" si="36"/>
        <v>0</v>
      </c>
      <c r="F243" s="732">
        <f t="shared" si="36"/>
        <v>0</v>
      </c>
      <c r="G243" s="732">
        <f t="shared" si="36"/>
        <v>0</v>
      </c>
      <c r="H243" s="732">
        <f t="shared" si="36"/>
        <v>0</v>
      </c>
      <c r="I243" s="732">
        <f t="shared" si="36"/>
        <v>1883200</v>
      </c>
      <c r="J243" s="75">
        <f t="shared" si="34"/>
        <v>1883200</v>
      </c>
      <c r="K243" s="75">
        <f t="shared" si="35"/>
        <v>19074968</v>
      </c>
      <c r="L243" s="732">
        <f>SUM(L244:L253)</f>
        <v>18227000</v>
      </c>
      <c r="M243" s="759">
        <f>SUM(M244:M253)</f>
        <v>17781000</v>
      </c>
    </row>
    <row r="244" spans="1:30" x14ac:dyDescent="0.25">
      <c r="A244" s="858" t="str">
        <f>B5B!A75</f>
        <v>7.1 - Roads</v>
      </c>
      <c r="B244" s="855"/>
      <c r="C244" s="1360">
        <f>SUMIFS(Sheet1!S71_OriginalBudget,Sheet1!S71_SubMunicipalVoteNo,$AC:$AC,Sheet1!S71_A5CapexCode,$AD:$AD)</f>
        <v>9467783</v>
      </c>
      <c r="D244" s="1356">
        <f>SUMIFS(Sheet1!S71_SpecialAdjustedBudget,Sheet1!S71_SubMunicipalVoteNo,$AC:$AC,Sheet1!S71_A5CapexCode,$AD:$AD)</f>
        <v>17191768</v>
      </c>
      <c r="E244" s="1356"/>
      <c r="F244" s="1356"/>
      <c r="G244" s="1356"/>
      <c r="H244" s="1356"/>
      <c r="I244" s="1356">
        <f>SUMIFS(Sheet1!S71_AdjustmentAmount,Sheet1!S71_SubMunicipalVoteNo,$AC:$AC,Sheet1!S71_A5CapexCode,$AD:$AD)</f>
        <v>1883200</v>
      </c>
      <c r="J244" s="75">
        <f t="shared" si="34"/>
        <v>1883200</v>
      </c>
      <c r="K244" s="75">
        <f t="shared" si="35"/>
        <v>19074968</v>
      </c>
      <c r="L244" s="1356">
        <f>SUMIFS(Sheet1!S71_OY1AdjustedBudget,Sheet1!S71_SubMunicipalVoteNo,$AC:$AC,Sheet1!S71_A5CapexCode,$AD:$AD)</f>
        <v>18227000</v>
      </c>
      <c r="M244" s="1357">
        <f>SUMIFS(Sheet1!S71_OY2AdjustedBudget,Sheet1!S71_SubMunicipalVoteNo,$AC:$AC,Sheet1!S71_A5CapexCode,$AD:$AD)</f>
        <v>17781000</v>
      </c>
      <c r="AC244" s="1336">
        <v>71</v>
      </c>
      <c r="AD244" s="1336" t="s">
        <v>1846</v>
      </c>
    </row>
    <row r="245" spans="1:30" x14ac:dyDescent="0.25">
      <c r="A245" s="858" t="str">
        <f>B5B!A76</f>
        <v/>
      </c>
      <c r="B245" s="855"/>
      <c r="C245" s="1360">
        <f>SUMIFS(Sheet1!S71_OriginalBudget,Sheet1!S71_SubMunicipalVoteNo,$AC:$AC,Sheet1!S71_A5CapexCode,$AD:$AD)</f>
        <v>0</v>
      </c>
      <c r="D245" s="1356">
        <f>SUMIFS(Sheet1!S71_SpecialAdjustedBudget,Sheet1!S71_SubMunicipalVoteNo,$AC:$AC,Sheet1!S71_A5CapexCode,$AD:$AD)</f>
        <v>0</v>
      </c>
      <c r="E245" s="1356"/>
      <c r="F245" s="1356"/>
      <c r="G245" s="1356"/>
      <c r="H245" s="1356"/>
      <c r="I245" s="1356">
        <f>SUMIFS(Sheet1!S71_AdjustmentAmount,Sheet1!S71_SubMunicipalVoteNo,$AC:$AC,Sheet1!S71_A5CapexCode,$AD:$AD)</f>
        <v>0</v>
      </c>
      <c r="J245" s="75">
        <f t="shared" si="34"/>
        <v>0</v>
      </c>
      <c r="K245" s="75">
        <f t="shared" si="35"/>
        <v>0</v>
      </c>
      <c r="L245" s="1356">
        <f>SUMIFS(Sheet1!S71_OY1AdjustedBudget,Sheet1!S71_SubMunicipalVoteNo,$AC:$AC,Sheet1!S71_A5CapexCode,$AD:$AD)</f>
        <v>0</v>
      </c>
      <c r="M245" s="1357">
        <f>SUMIFS(Sheet1!S71_OY2AdjustedBudget,Sheet1!S71_SubMunicipalVoteNo,$AC:$AC,Sheet1!S71_A5CapexCode,$AD:$AD)</f>
        <v>0</v>
      </c>
      <c r="AC245" s="1336">
        <v>72</v>
      </c>
      <c r="AD245" s="1336" t="s">
        <v>1846</v>
      </c>
    </row>
    <row r="246" spans="1:30" x14ac:dyDescent="0.25">
      <c r="A246" s="858" t="str">
        <f>B5B!A77</f>
        <v/>
      </c>
      <c r="B246" s="855"/>
      <c r="C246" s="1360">
        <f>SUMIFS(Sheet1!S71_OriginalBudget,Sheet1!S71_SubMunicipalVoteNo,$AC:$AC,Sheet1!S71_A5CapexCode,$AD:$AD)</f>
        <v>0</v>
      </c>
      <c r="D246" s="1356">
        <f>SUMIFS(Sheet1!S71_SpecialAdjustedBudget,Sheet1!S71_SubMunicipalVoteNo,$AC:$AC,Sheet1!S71_A5CapexCode,$AD:$AD)</f>
        <v>0</v>
      </c>
      <c r="E246" s="1356"/>
      <c r="F246" s="1356"/>
      <c r="G246" s="1356"/>
      <c r="H246" s="1356"/>
      <c r="I246" s="1356">
        <f>SUMIFS(Sheet1!S71_AdjustmentAmount,Sheet1!S71_SubMunicipalVoteNo,$AC:$AC,Sheet1!S71_A5CapexCode,$AD:$AD)</f>
        <v>0</v>
      </c>
      <c r="J246" s="75">
        <f t="shared" si="34"/>
        <v>0</v>
      </c>
      <c r="K246" s="75">
        <f t="shared" si="35"/>
        <v>0</v>
      </c>
      <c r="L246" s="1356">
        <f>SUMIFS(Sheet1!S71_OY1AdjustedBudget,Sheet1!S71_SubMunicipalVoteNo,$AC:$AC,Sheet1!S71_A5CapexCode,$AD:$AD)</f>
        <v>0</v>
      </c>
      <c r="M246" s="1357">
        <f>SUMIFS(Sheet1!S71_OY2AdjustedBudget,Sheet1!S71_SubMunicipalVoteNo,$AC:$AC,Sheet1!S71_A5CapexCode,$AD:$AD)</f>
        <v>0</v>
      </c>
      <c r="AC246" s="1336">
        <v>73</v>
      </c>
      <c r="AD246" s="1336" t="s">
        <v>1846</v>
      </c>
    </row>
    <row r="247" spans="1:30" x14ac:dyDescent="0.25">
      <c r="A247" s="858" t="str">
        <f>B5B!A78</f>
        <v/>
      </c>
      <c r="B247" s="855"/>
      <c r="C247" s="1360">
        <f>SUMIFS(Sheet1!S71_OriginalBudget,Sheet1!S71_SubMunicipalVoteNo,$AC:$AC,Sheet1!S71_A5CapexCode,$AD:$AD)</f>
        <v>0</v>
      </c>
      <c r="D247" s="1356">
        <f>SUMIFS(Sheet1!S71_SpecialAdjustedBudget,Sheet1!S71_SubMunicipalVoteNo,$AC:$AC,Sheet1!S71_A5CapexCode,$AD:$AD)</f>
        <v>0</v>
      </c>
      <c r="E247" s="1356"/>
      <c r="F247" s="1356"/>
      <c r="G247" s="1356"/>
      <c r="H247" s="1356"/>
      <c r="I247" s="1356">
        <f>SUMIFS(Sheet1!S71_AdjustmentAmount,Sheet1!S71_SubMunicipalVoteNo,$AC:$AC,Sheet1!S71_A5CapexCode,$AD:$AD)</f>
        <v>0</v>
      </c>
      <c r="J247" s="75">
        <f t="shared" si="34"/>
        <v>0</v>
      </c>
      <c r="K247" s="75">
        <f t="shared" si="35"/>
        <v>0</v>
      </c>
      <c r="L247" s="1356">
        <f>SUMIFS(Sheet1!S71_OY1AdjustedBudget,Sheet1!S71_SubMunicipalVoteNo,$AC:$AC,Sheet1!S71_A5CapexCode,$AD:$AD)</f>
        <v>0</v>
      </c>
      <c r="M247" s="1357">
        <f>SUMIFS(Sheet1!S71_OY2AdjustedBudget,Sheet1!S71_SubMunicipalVoteNo,$AC:$AC,Sheet1!S71_A5CapexCode,$AD:$AD)</f>
        <v>0</v>
      </c>
      <c r="AC247" s="1336">
        <v>74</v>
      </c>
      <c r="AD247" s="1336" t="s">
        <v>1846</v>
      </c>
    </row>
    <row r="248" spans="1:30" x14ac:dyDescent="0.25">
      <c r="A248" s="858" t="str">
        <f>B5B!A79</f>
        <v/>
      </c>
      <c r="B248" s="855"/>
      <c r="C248" s="1360">
        <f>SUMIFS(Sheet1!S71_OriginalBudget,Sheet1!S71_SubMunicipalVoteNo,$AC:$AC,Sheet1!S71_A5CapexCode,$AD:$AD)</f>
        <v>0</v>
      </c>
      <c r="D248" s="1356">
        <f>SUMIFS(Sheet1!S71_SpecialAdjustedBudget,Sheet1!S71_SubMunicipalVoteNo,$AC:$AC,Sheet1!S71_A5CapexCode,$AD:$AD)</f>
        <v>0</v>
      </c>
      <c r="E248" s="1356"/>
      <c r="F248" s="1356"/>
      <c r="G248" s="1356"/>
      <c r="H248" s="1356"/>
      <c r="I248" s="1356">
        <f>SUMIFS(Sheet1!S71_AdjustmentAmount,Sheet1!S71_SubMunicipalVoteNo,$AC:$AC,Sheet1!S71_A5CapexCode,$AD:$AD)</f>
        <v>0</v>
      </c>
      <c r="J248" s="75">
        <f t="shared" si="34"/>
        <v>0</v>
      </c>
      <c r="K248" s="75">
        <f t="shared" si="35"/>
        <v>0</v>
      </c>
      <c r="L248" s="1356">
        <f>SUMIFS(Sheet1!S71_OY1AdjustedBudget,Sheet1!S71_SubMunicipalVoteNo,$AC:$AC,Sheet1!S71_A5CapexCode,$AD:$AD)</f>
        <v>0</v>
      </c>
      <c r="M248" s="1357">
        <f>SUMIFS(Sheet1!S71_OY2AdjustedBudget,Sheet1!S71_SubMunicipalVoteNo,$AC:$AC,Sheet1!S71_A5CapexCode,$AD:$AD)</f>
        <v>0</v>
      </c>
      <c r="AC248" s="1336">
        <v>75</v>
      </c>
      <c r="AD248" s="1336" t="s">
        <v>1846</v>
      </c>
    </row>
    <row r="249" spans="1:30" x14ac:dyDescent="0.25">
      <c r="A249" s="858" t="str">
        <f>B5B!A80</f>
        <v/>
      </c>
      <c r="B249" s="855"/>
      <c r="C249" s="1360">
        <f>SUMIFS(Sheet1!S71_OriginalBudget,Sheet1!S71_SubMunicipalVoteNo,$AC:$AC,Sheet1!S71_A5CapexCode,$AD:$AD)</f>
        <v>0</v>
      </c>
      <c r="D249" s="1356">
        <f>SUMIFS(Sheet1!S71_SpecialAdjustedBudget,Sheet1!S71_SubMunicipalVoteNo,$AC:$AC,Sheet1!S71_A5CapexCode,$AD:$AD)</f>
        <v>0</v>
      </c>
      <c r="E249" s="1356"/>
      <c r="F249" s="1356"/>
      <c r="G249" s="1356"/>
      <c r="H249" s="1356"/>
      <c r="I249" s="1356">
        <f>SUMIFS(Sheet1!S71_AdjustmentAmount,Sheet1!S71_SubMunicipalVoteNo,$AC:$AC,Sheet1!S71_A5CapexCode,$AD:$AD)</f>
        <v>0</v>
      </c>
      <c r="J249" s="75">
        <f t="shared" si="34"/>
        <v>0</v>
      </c>
      <c r="K249" s="75">
        <f t="shared" si="35"/>
        <v>0</v>
      </c>
      <c r="L249" s="1356">
        <f>SUMIFS(Sheet1!S71_OY1AdjustedBudget,Sheet1!S71_SubMunicipalVoteNo,$AC:$AC,Sheet1!S71_A5CapexCode,$AD:$AD)</f>
        <v>0</v>
      </c>
      <c r="M249" s="1357">
        <f>SUMIFS(Sheet1!S71_OY2AdjustedBudget,Sheet1!S71_SubMunicipalVoteNo,$AC:$AC,Sheet1!S71_A5CapexCode,$AD:$AD)</f>
        <v>0</v>
      </c>
      <c r="AC249" s="1336">
        <v>76</v>
      </c>
      <c r="AD249" s="1336" t="s">
        <v>1846</v>
      </c>
    </row>
    <row r="250" spans="1:30" x14ac:dyDescent="0.25">
      <c r="A250" s="858" t="str">
        <f>B5B!A81</f>
        <v/>
      </c>
      <c r="B250" s="855"/>
      <c r="C250" s="1360">
        <f>SUMIFS(Sheet1!S71_OriginalBudget,Sheet1!S71_SubMunicipalVoteNo,$AC:$AC,Sheet1!S71_A5CapexCode,$AD:$AD)</f>
        <v>0</v>
      </c>
      <c r="D250" s="1356">
        <f>SUMIFS(Sheet1!S71_SpecialAdjustedBudget,Sheet1!S71_SubMunicipalVoteNo,$AC:$AC,Sheet1!S71_A5CapexCode,$AD:$AD)</f>
        <v>0</v>
      </c>
      <c r="E250" s="1356"/>
      <c r="F250" s="1356"/>
      <c r="G250" s="1356"/>
      <c r="H250" s="1356"/>
      <c r="I250" s="1356">
        <f>SUMIFS(Sheet1!S71_AdjustmentAmount,Sheet1!S71_SubMunicipalVoteNo,$AC:$AC,Sheet1!S71_A5CapexCode,$AD:$AD)</f>
        <v>0</v>
      </c>
      <c r="J250" s="75">
        <f t="shared" si="34"/>
        <v>0</v>
      </c>
      <c r="K250" s="75">
        <f t="shared" si="35"/>
        <v>0</v>
      </c>
      <c r="L250" s="1356">
        <f>SUMIFS(Sheet1!S71_OY1AdjustedBudget,Sheet1!S71_SubMunicipalVoteNo,$AC:$AC,Sheet1!S71_A5CapexCode,$AD:$AD)</f>
        <v>0</v>
      </c>
      <c r="M250" s="1357">
        <f>SUMIFS(Sheet1!S71_OY2AdjustedBudget,Sheet1!S71_SubMunicipalVoteNo,$AC:$AC,Sheet1!S71_A5CapexCode,$AD:$AD)</f>
        <v>0</v>
      </c>
      <c r="AC250" s="1336">
        <v>77</v>
      </c>
      <c r="AD250" s="1336" t="s">
        <v>1846</v>
      </c>
    </row>
    <row r="251" spans="1:30" x14ac:dyDescent="0.25">
      <c r="A251" s="858" t="str">
        <f>B5B!A82</f>
        <v/>
      </c>
      <c r="B251" s="855"/>
      <c r="C251" s="1360">
        <f>SUMIFS(Sheet1!S71_OriginalBudget,Sheet1!S71_SubMunicipalVoteNo,$AC:$AC,Sheet1!S71_A5CapexCode,$AD:$AD)</f>
        <v>0</v>
      </c>
      <c r="D251" s="1356">
        <f>SUMIFS(Sheet1!S71_SpecialAdjustedBudget,Sheet1!S71_SubMunicipalVoteNo,$AC:$AC,Sheet1!S71_A5CapexCode,$AD:$AD)</f>
        <v>0</v>
      </c>
      <c r="E251" s="1356"/>
      <c r="F251" s="1356"/>
      <c r="G251" s="1356"/>
      <c r="H251" s="1356"/>
      <c r="I251" s="1356">
        <f>SUMIFS(Sheet1!S71_AdjustmentAmount,Sheet1!S71_SubMunicipalVoteNo,$AC:$AC,Sheet1!S71_A5CapexCode,$AD:$AD)</f>
        <v>0</v>
      </c>
      <c r="J251" s="75">
        <f t="shared" si="34"/>
        <v>0</v>
      </c>
      <c r="K251" s="75">
        <f t="shared" si="35"/>
        <v>0</v>
      </c>
      <c r="L251" s="1356">
        <f>SUMIFS(Sheet1!S71_OY1AdjustedBudget,Sheet1!S71_SubMunicipalVoteNo,$AC:$AC,Sheet1!S71_A5CapexCode,$AD:$AD)</f>
        <v>0</v>
      </c>
      <c r="M251" s="1357">
        <f>SUMIFS(Sheet1!S71_OY2AdjustedBudget,Sheet1!S71_SubMunicipalVoteNo,$AC:$AC,Sheet1!S71_A5CapexCode,$AD:$AD)</f>
        <v>0</v>
      </c>
      <c r="AC251" s="1336">
        <v>78</v>
      </c>
      <c r="AD251" s="1336" t="s">
        <v>1846</v>
      </c>
    </row>
    <row r="252" spans="1:30" x14ac:dyDescent="0.25">
      <c r="A252" s="858" t="str">
        <f>B5B!A83</f>
        <v/>
      </c>
      <c r="B252" s="855"/>
      <c r="C252" s="1360">
        <f>SUMIFS(Sheet1!S71_OriginalBudget,Sheet1!S71_SubMunicipalVoteNo,$AC:$AC,Sheet1!S71_A5CapexCode,$AD:$AD)</f>
        <v>0</v>
      </c>
      <c r="D252" s="1356">
        <f>SUMIFS(Sheet1!S71_SpecialAdjustedBudget,Sheet1!S71_SubMunicipalVoteNo,$AC:$AC,Sheet1!S71_A5CapexCode,$AD:$AD)</f>
        <v>0</v>
      </c>
      <c r="E252" s="1356"/>
      <c r="F252" s="1356"/>
      <c r="G252" s="1356"/>
      <c r="H252" s="1356"/>
      <c r="I252" s="1356">
        <f>SUMIFS(Sheet1!S71_AdjustmentAmount,Sheet1!S71_SubMunicipalVoteNo,$AC:$AC,Sheet1!S71_A5CapexCode,$AD:$AD)</f>
        <v>0</v>
      </c>
      <c r="J252" s="75">
        <f t="shared" si="34"/>
        <v>0</v>
      </c>
      <c r="K252" s="75">
        <f t="shared" si="35"/>
        <v>0</v>
      </c>
      <c r="L252" s="1356">
        <f>SUMIFS(Sheet1!S71_OY1AdjustedBudget,Sheet1!S71_SubMunicipalVoteNo,$AC:$AC,Sheet1!S71_A5CapexCode,$AD:$AD)</f>
        <v>0</v>
      </c>
      <c r="M252" s="1357">
        <f>SUMIFS(Sheet1!S71_OY2AdjustedBudget,Sheet1!S71_SubMunicipalVoteNo,$AC:$AC,Sheet1!S71_A5CapexCode,$AD:$AD)</f>
        <v>0</v>
      </c>
      <c r="AC252" s="1336">
        <v>79</v>
      </c>
      <c r="AD252" s="1336" t="s">
        <v>1846</v>
      </c>
    </row>
    <row r="253" spans="1:30" x14ac:dyDescent="0.25">
      <c r="A253" s="858" t="str">
        <f>B5B!A84</f>
        <v/>
      </c>
      <c r="B253" s="855"/>
      <c r="C253" s="1360">
        <f>SUMIFS(Sheet1!S71_OriginalBudget,Sheet1!S71_SubMunicipalVoteNo,$AC:$AC,Sheet1!S71_A5CapexCode,$AD:$AD)</f>
        <v>0</v>
      </c>
      <c r="D253" s="1356">
        <f>SUMIFS(Sheet1!S71_SpecialAdjustedBudget,Sheet1!S71_SubMunicipalVoteNo,$AC:$AC,Sheet1!S71_A5CapexCode,$AD:$AD)</f>
        <v>0</v>
      </c>
      <c r="E253" s="1356"/>
      <c r="F253" s="1356"/>
      <c r="G253" s="1356"/>
      <c r="H253" s="1356"/>
      <c r="I253" s="1356">
        <f>SUMIFS(Sheet1!S71_AdjustmentAmount,Sheet1!S71_SubMunicipalVoteNo,$AC:$AC,Sheet1!S71_A5CapexCode,$AD:$AD)</f>
        <v>0</v>
      </c>
      <c r="J253" s="75">
        <f t="shared" si="34"/>
        <v>0</v>
      </c>
      <c r="K253" s="75">
        <f t="shared" si="35"/>
        <v>0</v>
      </c>
      <c r="L253" s="1356">
        <f>SUMIFS(Sheet1!S71_OY1AdjustedBudget,Sheet1!S71_SubMunicipalVoteNo,$AC:$AC,Sheet1!S71_A5CapexCode,$AD:$AD)</f>
        <v>0</v>
      </c>
      <c r="M253" s="1357">
        <f>SUMIFS(Sheet1!S71_OY2AdjustedBudget,Sheet1!S71_SubMunicipalVoteNo,$AC:$AC,Sheet1!S71_A5CapexCode,$AD:$AD)</f>
        <v>0</v>
      </c>
      <c r="AC253" s="1336">
        <v>710</v>
      </c>
      <c r="AD253" s="1336" t="s">
        <v>1846</v>
      </c>
    </row>
    <row r="254" spans="1:30" x14ac:dyDescent="0.25">
      <c r="A254" s="856" t="str">
        <f>B5B!A85</f>
        <v>Vote 8 - Planning and Development</v>
      </c>
      <c r="B254" s="855"/>
      <c r="C254" s="733">
        <f t="shared" ref="C254:I254" si="37">SUM(C255:C264)</f>
        <v>0</v>
      </c>
      <c r="D254" s="732">
        <f t="shared" si="37"/>
        <v>0</v>
      </c>
      <c r="E254" s="732">
        <f t="shared" si="37"/>
        <v>0</v>
      </c>
      <c r="F254" s="732">
        <f t="shared" si="37"/>
        <v>0</v>
      </c>
      <c r="G254" s="732">
        <f t="shared" si="37"/>
        <v>0</v>
      </c>
      <c r="H254" s="732">
        <f t="shared" si="37"/>
        <v>0</v>
      </c>
      <c r="I254" s="732">
        <f t="shared" si="37"/>
        <v>0</v>
      </c>
      <c r="J254" s="75">
        <f t="shared" si="34"/>
        <v>0</v>
      </c>
      <c r="K254" s="75">
        <f t="shared" si="35"/>
        <v>0</v>
      </c>
      <c r="L254" s="732">
        <f>SUM(L255:L264)</f>
        <v>0</v>
      </c>
      <c r="M254" s="759">
        <f>SUM(M255:M264)</f>
        <v>0</v>
      </c>
    </row>
    <row r="255" spans="1:30" x14ac:dyDescent="0.25">
      <c r="A255" s="858" t="str">
        <f>B5B!A86</f>
        <v>8.1 - Town Planning, Building Regulations and Enforcement, and City Engineer</v>
      </c>
      <c r="B255" s="855"/>
      <c r="C255" s="1360">
        <f>SUMIFS(Sheet1!S71_OriginalBudget,Sheet1!S71_SubMunicipalVoteNo,$AC:$AC,Sheet1!S71_A5CapexCode,$AD:$AD)</f>
        <v>0</v>
      </c>
      <c r="D255" s="1356">
        <f>SUMIFS(Sheet1!S71_SpecialAdjustedBudget,Sheet1!S71_SubMunicipalVoteNo,$AC:$AC,Sheet1!S71_A5CapexCode,$AD:$AD)</f>
        <v>0</v>
      </c>
      <c r="E255" s="1356"/>
      <c r="F255" s="1356"/>
      <c r="G255" s="1356"/>
      <c r="H255" s="1356"/>
      <c r="I255" s="1356">
        <f>SUMIFS(Sheet1!S71_AdjustmentAmount,Sheet1!S71_SubMunicipalVoteNo,$AC:$AC,Sheet1!S71_A5CapexCode,$AD:$AD)</f>
        <v>0</v>
      </c>
      <c r="J255" s="75">
        <f t="shared" si="34"/>
        <v>0</v>
      </c>
      <c r="K255" s="75">
        <f t="shared" si="35"/>
        <v>0</v>
      </c>
      <c r="L255" s="1356">
        <f>SUMIFS(Sheet1!S71_OY1AdjustedBudget,Sheet1!S71_SubMunicipalVoteNo,$AC:$AC,Sheet1!S71_A5CapexCode,$AD:$AD)</f>
        <v>0</v>
      </c>
      <c r="M255" s="1357">
        <f>SUMIFS(Sheet1!S71_OY2AdjustedBudget,Sheet1!S71_SubMunicipalVoteNo,$AC:$AC,Sheet1!S71_A5CapexCode,$AD:$AD)</f>
        <v>0</v>
      </c>
      <c r="AC255" s="1336">
        <v>81</v>
      </c>
      <c r="AD255" s="1336" t="s">
        <v>1846</v>
      </c>
    </row>
    <row r="256" spans="1:30" x14ac:dyDescent="0.25">
      <c r="A256" s="858" t="str">
        <f>B5B!A87</f>
        <v>8.2 - Development Facilitation</v>
      </c>
      <c r="B256" s="855"/>
      <c r="C256" s="1360">
        <f>SUMIFS(Sheet1!S71_OriginalBudget,Sheet1!S71_SubMunicipalVoteNo,$AC:$AC,Sheet1!S71_A5CapexCode,$AD:$AD)</f>
        <v>0</v>
      </c>
      <c r="D256" s="1356">
        <f>SUMIFS(Sheet1!S71_SpecialAdjustedBudget,Sheet1!S71_SubMunicipalVoteNo,$AC:$AC,Sheet1!S71_A5CapexCode,$AD:$AD)</f>
        <v>0</v>
      </c>
      <c r="E256" s="1356"/>
      <c r="F256" s="1356"/>
      <c r="G256" s="1356"/>
      <c r="H256" s="1356"/>
      <c r="I256" s="1356">
        <f>SUMIFS(Sheet1!S71_AdjustmentAmount,Sheet1!S71_SubMunicipalVoteNo,$AC:$AC,Sheet1!S71_A5CapexCode,$AD:$AD)</f>
        <v>0</v>
      </c>
      <c r="J256" s="75">
        <f t="shared" si="34"/>
        <v>0</v>
      </c>
      <c r="K256" s="75">
        <f t="shared" si="35"/>
        <v>0</v>
      </c>
      <c r="L256" s="1356">
        <f>SUMIFS(Sheet1!S71_OY1AdjustedBudget,Sheet1!S71_SubMunicipalVoteNo,$AC:$AC,Sheet1!S71_A5CapexCode,$AD:$AD)</f>
        <v>0</v>
      </c>
      <c r="M256" s="1357">
        <f>SUMIFS(Sheet1!S71_OY2AdjustedBudget,Sheet1!S71_SubMunicipalVoteNo,$AC:$AC,Sheet1!S71_A5CapexCode,$AD:$AD)</f>
        <v>0</v>
      </c>
      <c r="AC256" s="1336">
        <v>82</v>
      </c>
      <c r="AD256" s="1336" t="s">
        <v>1846</v>
      </c>
    </row>
    <row r="257" spans="1:30" x14ac:dyDescent="0.25">
      <c r="A257" s="858" t="str">
        <f>B5B!A88</f>
        <v>8.3 - Economic Development/Planning</v>
      </c>
      <c r="B257" s="855"/>
      <c r="C257" s="1360">
        <f>SUMIFS(Sheet1!S71_OriginalBudget,Sheet1!S71_SubMunicipalVoteNo,$AC:$AC,Sheet1!S71_A5CapexCode,$AD:$AD)</f>
        <v>0</v>
      </c>
      <c r="D257" s="1356">
        <f>SUMIFS(Sheet1!S71_SpecialAdjustedBudget,Sheet1!S71_SubMunicipalVoteNo,$AC:$AC,Sheet1!S71_A5CapexCode,$AD:$AD)</f>
        <v>0</v>
      </c>
      <c r="E257" s="1356"/>
      <c r="F257" s="1356"/>
      <c r="G257" s="1356"/>
      <c r="H257" s="1356"/>
      <c r="I257" s="1356">
        <f>SUMIFS(Sheet1!S71_AdjustmentAmount,Sheet1!S71_SubMunicipalVoteNo,$AC:$AC,Sheet1!S71_A5CapexCode,$AD:$AD)</f>
        <v>0</v>
      </c>
      <c r="J257" s="75">
        <f t="shared" si="34"/>
        <v>0</v>
      </c>
      <c r="K257" s="75">
        <f t="shared" si="35"/>
        <v>0</v>
      </c>
      <c r="L257" s="1356">
        <f>SUMIFS(Sheet1!S71_OY1AdjustedBudget,Sheet1!S71_SubMunicipalVoteNo,$AC:$AC,Sheet1!S71_A5CapexCode,$AD:$AD)</f>
        <v>0</v>
      </c>
      <c r="M257" s="1357">
        <f>SUMIFS(Sheet1!S71_OY2AdjustedBudget,Sheet1!S71_SubMunicipalVoteNo,$AC:$AC,Sheet1!S71_A5CapexCode,$AD:$AD)</f>
        <v>0</v>
      </c>
      <c r="AC257" s="1336">
        <v>83</v>
      </c>
      <c r="AD257" s="1336" t="s">
        <v>1846</v>
      </c>
    </row>
    <row r="258" spans="1:30" x14ac:dyDescent="0.25">
      <c r="A258" s="858" t="str">
        <f>B5B!A89</f>
        <v>8.4 - Regional Planning and Development</v>
      </c>
      <c r="B258" s="855"/>
      <c r="C258" s="1360">
        <f>SUMIFS(Sheet1!S71_OriginalBudget,Sheet1!S71_SubMunicipalVoteNo,$AC:$AC,Sheet1!S71_A5CapexCode,$AD:$AD)</f>
        <v>0</v>
      </c>
      <c r="D258" s="1356">
        <f>SUMIFS(Sheet1!S71_SpecialAdjustedBudget,Sheet1!S71_SubMunicipalVoteNo,$AC:$AC,Sheet1!S71_A5CapexCode,$AD:$AD)</f>
        <v>0</v>
      </c>
      <c r="E258" s="1356"/>
      <c r="F258" s="1356"/>
      <c r="G258" s="1356"/>
      <c r="H258" s="1356"/>
      <c r="I258" s="1356">
        <f>SUMIFS(Sheet1!S71_AdjustmentAmount,Sheet1!S71_SubMunicipalVoteNo,$AC:$AC,Sheet1!S71_A5CapexCode,$AD:$AD)</f>
        <v>0</v>
      </c>
      <c r="J258" s="75">
        <f t="shared" si="34"/>
        <v>0</v>
      </c>
      <c r="K258" s="75">
        <f t="shared" si="35"/>
        <v>0</v>
      </c>
      <c r="L258" s="1356">
        <f>SUMIFS(Sheet1!S71_OY1AdjustedBudget,Sheet1!S71_SubMunicipalVoteNo,$AC:$AC,Sheet1!S71_A5CapexCode,$AD:$AD)</f>
        <v>0</v>
      </c>
      <c r="M258" s="1357">
        <f>SUMIFS(Sheet1!S71_OY2AdjustedBudget,Sheet1!S71_SubMunicipalVoteNo,$AC:$AC,Sheet1!S71_A5CapexCode,$AD:$AD)</f>
        <v>0</v>
      </c>
      <c r="AC258" s="1336">
        <v>84</v>
      </c>
      <c r="AD258" s="1336" t="s">
        <v>1846</v>
      </c>
    </row>
    <row r="259" spans="1:30" x14ac:dyDescent="0.25">
      <c r="A259" s="858" t="str">
        <f>B5B!A90</f>
        <v>8.5 - Corporate Wide Strategic Planning (IDPs, LEDs)</v>
      </c>
      <c r="B259" s="855"/>
      <c r="C259" s="1360">
        <f>SUMIFS(Sheet1!S71_OriginalBudget,Sheet1!S71_SubMunicipalVoteNo,$AC:$AC,Sheet1!S71_A5CapexCode,$AD:$AD)</f>
        <v>0</v>
      </c>
      <c r="D259" s="1356">
        <f>SUMIFS(Sheet1!S71_SpecialAdjustedBudget,Sheet1!S71_SubMunicipalVoteNo,$AC:$AC,Sheet1!S71_A5CapexCode,$AD:$AD)</f>
        <v>0</v>
      </c>
      <c r="E259" s="1356"/>
      <c r="F259" s="1356"/>
      <c r="G259" s="1356"/>
      <c r="H259" s="1356"/>
      <c r="I259" s="1356">
        <f>SUMIFS(Sheet1!S71_AdjustmentAmount,Sheet1!S71_SubMunicipalVoteNo,$AC:$AC,Sheet1!S71_A5CapexCode,$AD:$AD)</f>
        <v>0</v>
      </c>
      <c r="J259" s="75">
        <f t="shared" si="34"/>
        <v>0</v>
      </c>
      <c r="K259" s="75">
        <f t="shared" si="35"/>
        <v>0</v>
      </c>
      <c r="L259" s="1356">
        <f>SUMIFS(Sheet1!S71_OY1AdjustedBudget,Sheet1!S71_SubMunicipalVoteNo,$AC:$AC,Sheet1!S71_A5CapexCode,$AD:$AD)</f>
        <v>0</v>
      </c>
      <c r="M259" s="1357">
        <f>SUMIFS(Sheet1!S71_OY2AdjustedBudget,Sheet1!S71_SubMunicipalVoteNo,$AC:$AC,Sheet1!S71_A5CapexCode,$AD:$AD)</f>
        <v>0</v>
      </c>
      <c r="AC259" s="1336">
        <v>85</v>
      </c>
      <c r="AD259" s="1336" t="s">
        <v>1846</v>
      </c>
    </row>
    <row r="260" spans="1:30" x14ac:dyDescent="0.25">
      <c r="A260" s="858" t="str">
        <f>B5B!A91</f>
        <v>8.6 - Project Management Unit</v>
      </c>
      <c r="B260" s="855"/>
      <c r="C260" s="1360">
        <f>SUMIFS(Sheet1!S71_OriginalBudget,Sheet1!S71_SubMunicipalVoteNo,$AC:$AC,Sheet1!S71_A5CapexCode,$AD:$AD)</f>
        <v>0</v>
      </c>
      <c r="D260" s="1356">
        <f>SUMIFS(Sheet1!S71_SpecialAdjustedBudget,Sheet1!S71_SubMunicipalVoteNo,$AC:$AC,Sheet1!S71_A5CapexCode,$AD:$AD)</f>
        <v>0</v>
      </c>
      <c r="E260" s="1356"/>
      <c r="F260" s="1356"/>
      <c r="G260" s="1356"/>
      <c r="H260" s="1356"/>
      <c r="I260" s="1356">
        <f>SUMIFS(Sheet1!S71_AdjustmentAmount,Sheet1!S71_SubMunicipalVoteNo,$AC:$AC,Sheet1!S71_A5CapexCode,$AD:$AD)</f>
        <v>0</v>
      </c>
      <c r="J260" s="75">
        <f t="shared" si="34"/>
        <v>0</v>
      </c>
      <c r="K260" s="75">
        <f t="shared" si="35"/>
        <v>0</v>
      </c>
      <c r="L260" s="1356">
        <f>SUMIFS(Sheet1!S71_OY1AdjustedBudget,Sheet1!S71_SubMunicipalVoteNo,$AC:$AC,Sheet1!S71_A5CapexCode,$AD:$AD)</f>
        <v>0</v>
      </c>
      <c r="M260" s="1357">
        <f>SUMIFS(Sheet1!S71_OY2AdjustedBudget,Sheet1!S71_SubMunicipalVoteNo,$AC:$AC,Sheet1!S71_A5CapexCode,$AD:$AD)</f>
        <v>0</v>
      </c>
      <c r="AC260" s="1336">
        <v>86</v>
      </c>
      <c r="AD260" s="1336" t="s">
        <v>1846</v>
      </c>
    </row>
    <row r="261" spans="1:30" x14ac:dyDescent="0.25">
      <c r="A261" s="858" t="str">
        <f>B5B!A92</f>
        <v/>
      </c>
      <c r="B261" s="855"/>
      <c r="C261" s="1360">
        <f>SUMIFS(Sheet1!S71_OriginalBudget,Sheet1!S71_SubMunicipalVoteNo,$AC:$AC,Sheet1!S71_A5CapexCode,$AD:$AD)</f>
        <v>0</v>
      </c>
      <c r="D261" s="1356">
        <f>SUMIFS(Sheet1!S71_SpecialAdjustedBudget,Sheet1!S71_SubMunicipalVoteNo,$AC:$AC,Sheet1!S71_A5CapexCode,$AD:$AD)</f>
        <v>0</v>
      </c>
      <c r="E261" s="1356"/>
      <c r="F261" s="1356"/>
      <c r="G261" s="1356"/>
      <c r="H261" s="1356"/>
      <c r="I261" s="1356">
        <f>SUMIFS(Sheet1!S71_AdjustmentAmount,Sheet1!S71_SubMunicipalVoteNo,$AC:$AC,Sheet1!S71_A5CapexCode,$AD:$AD)</f>
        <v>0</v>
      </c>
      <c r="J261" s="75">
        <f t="shared" si="34"/>
        <v>0</v>
      </c>
      <c r="K261" s="75">
        <f t="shared" si="35"/>
        <v>0</v>
      </c>
      <c r="L261" s="1356">
        <f>SUMIFS(Sheet1!S71_OY1AdjustedBudget,Sheet1!S71_SubMunicipalVoteNo,$AC:$AC,Sheet1!S71_A5CapexCode,$AD:$AD)</f>
        <v>0</v>
      </c>
      <c r="M261" s="1357">
        <f>SUMIFS(Sheet1!S71_OY2AdjustedBudget,Sheet1!S71_SubMunicipalVoteNo,$AC:$AC,Sheet1!S71_A5CapexCode,$AD:$AD)</f>
        <v>0</v>
      </c>
      <c r="AC261" s="1336">
        <v>87</v>
      </c>
      <c r="AD261" s="1336" t="s">
        <v>1846</v>
      </c>
    </row>
    <row r="262" spans="1:30" x14ac:dyDescent="0.25">
      <c r="A262" s="858" t="str">
        <f>B5B!A93</f>
        <v/>
      </c>
      <c r="B262" s="855"/>
      <c r="C262" s="1360">
        <f>SUMIFS(Sheet1!S71_OriginalBudget,Sheet1!S71_SubMunicipalVoteNo,$AC:$AC,Sheet1!S71_A5CapexCode,$AD:$AD)</f>
        <v>0</v>
      </c>
      <c r="D262" s="1356">
        <f>SUMIFS(Sheet1!S71_SpecialAdjustedBudget,Sheet1!S71_SubMunicipalVoteNo,$AC:$AC,Sheet1!S71_A5CapexCode,$AD:$AD)</f>
        <v>0</v>
      </c>
      <c r="E262" s="1356"/>
      <c r="F262" s="1356"/>
      <c r="G262" s="1356"/>
      <c r="H262" s="1356"/>
      <c r="I262" s="1356">
        <f>SUMIFS(Sheet1!S71_AdjustmentAmount,Sheet1!S71_SubMunicipalVoteNo,$AC:$AC,Sheet1!S71_A5CapexCode,$AD:$AD)</f>
        <v>0</v>
      </c>
      <c r="J262" s="75">
        <f t="shared" si="34"/>
        <v>0</v>
      </c>
      <c r="K262" s="75">
        <f t="shared" si="35"/>
        <v>0</v>
      </c>
      <c r="L262" s="1356">
        <f>SUMIFS(Sheet1!S71_OY1AdjustedBudget,Sheet1!S71_SubMunicipalVoteNo,$AC:$AC,Sheet1!S71_A5CapexCode,$AD:$AD)</f>
        <v>0</v>
      </c>
      <c r="M262" s="1357">
        <f>SUMIFS(Sheet1!S71_OY2AdjustedBudget,Sheet1!S71_SubMunicipalVoteNo,$AC:$AC,Sheet1!S71_A5CapexCode,$AD:$AD)</f>
        <v>0</v>
      </c>
      <c r="AC262" s="1336">
        <v>88</v>
      </c>
      <c r="AD262" s="1336" t="s">
        <v>1846</v>
      </c>
    </row>
    <row r="263" spans="1:30" x14ac:dyDescent="0.25">
      <c r="A263" s="858" t="str">
        <f>B5B!A94</f>
        <v/>
      </c>
      <c r="B263" s="855"/>
      <c r="C263" s="1360">
        <f>SUMIFS(Sheet1!S71_OriginalBudget,Sheet1!S71_SubMunicipalVoteNo,$AC:$AC,Sheet1!S71_A5CapexCode,$AD:$AD)</f>
        <v>0</v>
      </c>
      <c r="D263" s="1356">
        <f>SUMIFS(Sheet1!S71_SpecialAdjustedBudget,Sheet1!S71_SubMunicipalVoteNo,$AC:$AC,Sheet1!S71_A5CapexCode,$AD:$AD)</f>
        <v>0</v>
      </c>
      <c r="E263" s="1356"/>
      <c r="F263" s="1356"/>
      <c r="G263" s="1356"/>
      <c r="H263" s="1356"/>
      <c r="I263" s="1356">
        <f>SUMIFS(Sheet1!S71_AdjustmentAmount,Sheet1!S71_SubMunicipalVoteNo,$AC:$AC,Sheet1!S71_A5CapexCode,$AD:$AD)</f>
        <v>0</v>
      </c>
      <c r="J263" s="75">
        <f t="shared" si="34"/>
        <v>0</v>
      </c>
      <c r="K263" s="75">
        <f t="shared" si="35"/>
        <v>0</v>
      </c>
      <c r="L263" s="1356">
        <f>SUMIFS(Sheet1!S71_OY1AdjustedBudget,Sheet1!S71_SubMunicipalVoteNo,$AC:$AC,Sheet1!S71_A5CapexCode,$AD:$AD)</f>
        <v>0</v>
      </c>
      <c r="M263" s="1357">
        <f>SUMIFS(Sheet1!S71_OY2AdjustedBudget,Sheet1!S71_SubMunicipalVoteNo,$AC:$AC,Sheet1!S71_A5CapexCode,$AD:$AD)</f>
        <v>0</v>
      </c>
      <c r="AC263" s="1336">
        <v>89</v>
      </c>
      <c r="AD263" s="1336" t="s">
        <v>1846</v>
      </c>
    </row>
    <row r="264" spans="1:30" x14ac:dyDescent="0.25">
      <c r="A264" s="858" t="str">
        <f>B5B!A95</f>
        <v/>
      </c>
      <c r="B264" s="855"/>
      <c r="C264" s="1360">
        <f>SUMIFS(Sheet1!S71_OriginalBudget,Sheet1!S71_SubMunicipalVoteNo,$AC:$AC,Sheet1!S71_A5CapexCode,$AD:$AD)</f>
        <v>0</v>
      </c>
      <c r="D264" s="1356">
        <f>SUMIFS(Sheet1!S71_SpecialAdjustedBudget,Sheet1!S71_SubMunicipalVoteNo,$AC:$AC,Sheet1!S71_A5CapexCode,$AD:$AD)</f>
        <v>0</v>
      </c>
      <c r="E264" s="1356"/>
      <c r="F264" s="1356"/>
      <c r="G264" s="1356"/>
      <c r="H264" s="1356"/>
      <c r="I264" s="1356">
        <f>SUMIFS(Sheet1!S71_AdjustmentAmount,Sheet1!S71_SubMunicipalVoteNo,$AC:$AC,Sheet1!S71_A5CapexCode,$AD:$AD)</f>
        <v>0</v>
      </c>
      <c r="J264" s="75">
        <f t="shared" si="34"/>
        <v>0</v>
      </c>
      <c r="K264" s="75">
        <f t="shared" si="35"/>
        <v>0</v>
      </c>
      <c r="L264" s="1356">
        <f>SUMIFS(Sheet1!S71_OY1AdjustedBudget,Sheet1!S71_SubMunicipalVoteNo,$AC:$AC,Sheet1!S71_A5CapexCode,$AD:$AD)</f>
        <v>0</v>
      </c>
      <c r="M264" s="1357">
        <f>SUMIFS(Sheet1!S71_OY2AdjustedBudget,Sheet1!S71_SubMunicipalVoteNo,$AC:$AC,Sheet1!S71_A5CapexCode,$AD:$AD)</f>
        <v>0</v>
      </c>
      <c r="AC264" s="1336">
        <v>810</v>
      </c>
      <c r="AD264" s="1336" t="s">
        <v>1846</v>
      </c>
    </row>
    <row r="265" spans="1:30" x14ac:dyDescent="0.25">
      <c r="A265" s="856" t="str">
        <f>B5B!A96</f>
        <v>Vote 9 - Sport and Recreation</v>
      </c>
      <c r="B265" s="855"/>
      <c r="C265" s="733">
        <f t="shared" ref="C265:I265" si="38">SUM(C266:C275)</f>
        <v>0</v>
      </c>
      <c r="D265" s="732">
        <f t="shared" si="38"/>
        <v>0</v>
      </c>
      <c r="E265" s="732">
        <f t="shared" si="38"/>
        <v>0</v>
      </c>
      <c r="F265" s="732">
        <f t="shared" si="38"/>
        <v>0</v>
      </c>
      <c r="G265" s="732">
        <f t="shared" si="38"/>
        <v>0</v>
      </c>
      <c r="H265" s="732">
        <f t="shared" si="38"/>
        <v>0</v>
      </c>
      <c r="I265" s="732">
        <f t="shared" si="38"/>
        <v>0</v>
      </c>
      <c r="J265" s="75">
        <f t="shared" si="34"/>
        <v>0</v>
      </c>
      <c r="K265" s="75">
        <f t="shared" si="35"/>
        <v>0</v>
      </c>
      <c r="L265" s="732">
        <f>SUM(L266:L275)</f>
        <v>0</v>
      </c>
      <c r="M265" s="759">
        <f>SUM(M266:M275)</f>
        <v>0</v>
      </c>
    </row>
    <row r="266" spans="1:30" x14ac:dyDescent="0.25">
      <c r="A266" s="858" t="str">
        <f>B5B!A97</f>
        <v>9.1 - Sports Grounds and Stadiums</v>
      </c>
      <c r="B266" s="855"/>
      <c r="C266" s="1360">
        <f>SUMIFS(Sheet1!S71_OriginalBudget,Sheet1!S71_SubMunicipalVoteNo,$AC:$AC,Sheet1!S71_A5CapexCode,$AD:$AD)</f>
        <v>0</v>
      </c>
      <c r="D266" s="1356">
        <f>SUMIFS(Sheet1!S71_SpecialAdjustedBudget,Sheet1!S71_SubMunicipalVoteNo,$AC:$AC,Sheet1!S71_A5CapexCode,$AD:$AD)</f>
        <v>0</v>
      </c>
      <c r="E266" s="1356"/>
      <c r="F266" s="1356"/>
      <c r="G266" s="1356"/>
      <c r="H266" s="1356"/>
      <c r="I266" s="1356">
        <f>SUMIFS(Sheet1!S71_AdjustmentAmount,Sheet1!S71_SubMunicipalVoteNo,$AC:$AC,Sheet1!S71_A5CapexCode,$AD:$AD)</f>
        <v>0</v>
      </c>
      <c r="J266" s="75">
        <f t="shared" si="34"/>
        <v>0</v>
      </c>
      <c r="K266" s="75">
        <f t="shared" si="35"/>
        <v>0</v>
      </c>
      <c r="L266" s="1356">
        <f>SUMIFS(Sheet1!S71_OY1AdjustedBudget,Sheet1!S71_SubMunicipalVoteNo,$AC:$AC,Sheet1!S71_A5CapexCode,$AD:$AD)</f>
        <v>0</v>
      </c>
      <c r="M266" s="1357">
        <f>SUMIFS(Sheet1!S71_OY2AdjustedBudget,Sheet1!S71_SubMunicipalVoteNo,$AC:$AC,Sheet1!S71_A5CapexCode,$AD:$AD)</f>
        <v>0</v>
      </c>
      <c r="AC266" s="1336">
        <v>91</v>
      </c>
      <c r="AD266" s="1336" t="s">
        <v>1846</v>
      </c>
    </row>
    <row r="267" spans="1:30" x14ac:dyDescent="0.25">
      <c r="A267" s="858" t="str">
        <f>B5B!A98</f>
        <v/>
      </c>
      <c r="B267" s="855"/>
      <c r="C267" s="1360">
        <f>SUMIFS(Sheet1!S71_OriginalBudget,Sheet1!S71_SubMunicipalVoteNo,$AC:$AC,Sheet1!S71_A5CapexCode,$AD:$AD)</f>
        <v>0</v>
      </c>
      <c r="D267" s="1356">
        <f>SUMIFS(Sheet1!S71_SpecialAdjustedBudget,Sheet1!S71_SubMunicipalVoteNo,$AC:$AC,Sheet1!S71_A5CapexCode,$AD:$AD)</f>
        <v>0</v>
      </c>
      <c r="E267" s="1356"/>
      <c r="F267" s="1356"/>
      <c r="G267" s="1356"/>
      <c r="H267" s="1356"/>
      <c r="I267" s="1356">
        <f>SUMIFS(Sheet1!S71_AdjustmentAmount,Sheet1!S71_SubMunicipalVoteNo,$AC:$AC,Sheet1!S71_A5CapexCode,$AD:$AD)</f>
        <v>0</v>
      </c>
      <c r="J267" s="75">
        <f t="shared" si="34"/>
        <v>0</v>
      </c>
      <c r="K267" s="75">
        <f t="shared" si="35"/>
        <v>0</v>
      </c>
      <c r="L267" s="1356">
        <f>SUMIFS(Sheet1!S71_OY1AdjustedBudget,Sheet1!S71_SubMunicipalVoteNo,$AC:$AC,Sheet1!S71_A5CapexCode,$AD:$AD)</f>
        <v>0</v>
      </c>
      <c r="M267" s="1357">
        <f>SUMIFS(Sheet1!S71_OY2AdjustedBudget,Sheet1!S71_SubMunicipalVoteNo,$AC:$AC,Sheet1!S71_A5CapexCode,$AD:$AD)</f>
        <v>0</v>
      </c>
      <c r="AC267" s="1336">
        <v>92</v>
      </c>
      <c r="AD267" s="1336" t="s">
        <v>1846</v>
      </c>
    </row>
    <row r="268" spans="1:30" x14ac:dyDescent="0.25">
      <c r="A268" s="858" t="str">
        <f>B5B!A99</f>
        <v/>
      </c>
      <c r="B268" s="855"/>
      <c r="C268" s="1360">
        <f>SUMIFS(Sheet1!S71_OriginalBudget,Sheet1!S71_SubMunicipalVoteNo,$AC:$AC,Sheet1!S71_A5CapexCode,$AD:$AD)</f>
        <v>0</v>
      </c>
      <c r="D268" s="1356">
        <f>SUMIFS(Sheet1!S71_SpecialAdjustedBudget,Sheet1!S71_SubMunicipalVoteNo,$AC:$AC,Sheet1!S71_A5CapexCode,$AD:$AD)</f>
        <v>0</v>
      </c>
      <c r="E268" s="1356"/>
      <c r="F268" s="1356"/>
      <c r="G268" s="1356"/>
      <c r="H268" s="1356"/>
      <c r="I268" s="1356">
        <f>SUMIFS(Sheet1!S71_AdjustmentAmount,Sheet1!S71_SubMunicipalVoteNo,$AC:$AC,Sheet1!S71_A5CapexCode,$AD:$AD)</f>
        <v>0</v>
      </c>
      <c r="J268" s="75">
        <f t="shared" si="34"/>
        <v>0</v>
      </c>
      <c r="K268" s="75">
        <f t="shared" si="35"/>
        <v>0</v>
      </c>
      <c r="L268" s="1356">
        <f>SUMIFS(Sheet1!S71_OY1AdjustedBudget,Sheet1!S71_SubMunicipalVoteNo,$AC:$AC,Sheet1!S71_A5CapexCode,$AD:$AD)</f>
        <v>0</v>
      </c>
      <c r="M268" s="1357">
        <f>SUMIFS(Sheet1!S71_OY2AdjustedBudget,Sheet1!S71_SubMunicipalVoteNo,$AC:$AC,Sheet1!S71_A5CapexCode,$AD:$AD)</f>
        <v>0</v>
      </c>
      <c r="AC268" s="1336">
        <v>93</v>
      </c>
      <c r="AD268" s="1336" t="s">
        <v>1846</v>
      </c>
    </row>
    <row r="269" spans="1:30" x14ac:dyDescent="0.25">
      <c r="A269" s="858" t="str">
        <f>B5B!A100</f>
        <v/>
      </c>
      <c r="B269" s="855"/>
      <c r="C269" s="1360">
        <f>SUMIFS(Sheet1!S71_OriginalBudget,Sheet1!S71_SubMunicipalVoteNo,$AC:$AC,Sheet1!S71_A5CapexCode,$AD:$AD)</f>
        <v>0</v>
      </c>
      <c r="D269" s="1356">
        <f>SUMIFS(Sheet1!S71_SpecialAdjustedBudget,Sheet1!S71_SubMunicipalVoteNo,$AC:$AC,Sheet1!S71_A5CapexCode,$AD:$AD)</f>
        <v>0</v>
      </c>
      <c r="E269" s="1356"/>
      <c r="F269" s="1356"/>
      <c r="G269" s="1356"/>
      <c r="H269" s="1356"/>
      <c r="I269" s="1356">
        <f>SUMIFS(Sheet1!S71_AdjustmentAmount,Sheet1!S71_SubMunicipalVoteNo,$AC:$AC,Sheet1!S71_A5CapexCode,$AD:$AD)</f>
        <v>0</v>
      </c>
      <c r="J269" s="75">
        <f t="shared" si="34"/>
        <v>0</v>
      </c>
      <c r="K269" s="75">
        <f t="shared" si="35"/>
        <v>0</v>
      </c>
      <c r="L269" s="1356">
        <f>SUMIFS(Sheet1!S71_OY1AdjustedBudget,Sheet1!S71_SubMunicipalVoteNo,$AC:$AC,Sheet1!S71_A5CapexCode,$AD:$AD)</f>
        <v>0</v>
      </c>
      <c r="M269" s="1357">
        <f>SUMIFS(Sheet1!S71_OY2AdjustedBudget,Sheet1!S71_SubMunicipalVoteNo,$AC:$AC,Sheet1!S71_A5CapexCode,$AD:$AD)</f>
        <v>0</v>
      </c>
      <c r="AC269" s="1336">
        <v>94</v>
      </c>
      <c r="AD269" s="1336" t="s">
        <v>1846</v>
      </c>
    </row>
    <row r="270" spans="1:30" x14ac:dyDescent="0.25">
      <c r="A270" s="858" t="str">
        <f>B5B!A101</f>
        <v/>
      </c>
      <c r="B270" s="855"/>
      <c r="C270" s="1360">
        <f>SUMIFS(Sheet1!S71_OriginalBudget,Sheet1!S71_SubMunicipalVoteNo,$AC:$AC,Sheet1!S71_A5CapexCode,$AD:$AD)</f>
        <v>0</v>
      </c>
      <c r="D270" s="1356">
        <f>SUMIFS(Sheet1!S71_SpecialAdjustedBudget,Sheet1!S71_SubMunicipalVoteNo,$AC:$AC,Sheet1!S71_A5CapexCode,$AD:$AD)</f>
        <v>0</v>
      </c>
      <c r="E270" s="1356"/>
      <c r="F270" s="1356"/>
      <c r="G270" s="1356"/>
      <c r="H270" s="1356"/>
      <c r="I270" s="1356">
        <f>SUMIFS(Sheet1!S71_AdjustmentAmount,Sheet1!S71_SubMunicipalVoteNo,$AC:$AC,Sheet1!S71_A5CapexCode,$AD:$AD)</f>
        <v>0</v>
      </c>
      <c r="J270" s="75">
        <f t="shared" si="34"/>
        <v>0</v>
      </c>
      <c r="K270" s="75">
        <f t="shared" si="35"/>
        <v>0</v>
      </c>
      <c r="L270" s="1356">
        <f>SUMIFS(Sheet1!S71_OY1AdjustedBudget,Sheet1!S71_SubMunicipalVoteNo,$AC:$AC,Sheet1!S71_A5CapexCode,$AD:$AD)</f>
        <v>0</v>
      </c>
      <c r="M270" s="1357">
        <f>SUMIFS(Sheet1!S71_OY2AdjustedBudget,Sheet1!S71_SubMunicipalVoteNo,$AC:$AC,Sheet1!S71_A5CapexCode,$AD:$AD)</f>
        <v>0</v>
      </c>
      <c r="AC270" s="1336">
        <v>95</v>
      </c>
      <c r="AD270" s="1336" t="s">
        <v>1846</v>
      </c>
    </row>
    <row r="271" spans="1:30" x14ac:dyDescent="0.25">
      <c r="A271" s="858" t="str">
        <f>B5B!A102</f>
        <v/>
      </c>
      <c r="B271" s="855"/>
      <c r="C271" s="1360">
        <f>SUMIFS(Sheet1!S71_OriginalBudget,Sheet1!S71_SubMunicipalVoteNo,$AC:$AC,Sheet1!S71_A5CapexCode,$AD:$AD)</f>
        <v>0</v>
      </c>
      <c r="D271" s="1356">
        <f>SUMIFS(Sheet1!S71_SpecialAdjustedBudget,Sheet1!S71_SubMunicipalVoteNo,$AC:$AC,Sheet1!S71_A5CapexCode,$AD:$AD)</f>
        <v>0</v>
      </c>
      <c r="E271" s="1356"/>
      <c r="F271" s="1356"/>
      <c r="G271" s="1356"/>
      <c r="H271" s="1356"/>
      <c r="I271" s="1356">
        <f>SUMIFS(Sheet1!S71_AdjustmentAmount,Sheet1!S71_SubMunicipalVoteNo,$AC:$AC,Sheet1!S71_A5CapexCode,$AD:$AD)</f>
        <v>0</v>
      </c>
      <c r="J271" s="75">
        <f t="shared" si="34"/>
        <v>0</v>
      </c>
      <c r="K271" s="75">
        <f t="shared" si="35"/>
        <v>0</v>
      </c>
      <c r="L271" s="1356">
        <f>SUMIFS(Sheet1!S71_OY1AdjustedBudget,Sheet1!S71_SubMunicipalVoteNo,$AC:$AC,Sheet1!S71_A5CapexCode,$AD:$AD)</f>
        <v>0</v>
      </c>
      <c r="M271" s="1357">
        <f>SUMIFS(Sheet1!S71_OY2AdjustedBudget,Sheet1!S71_SubMunicipalVoteNo,$AC:$AC,Sheet1!S71_A5CapexCode,$AD:$AD)</f>
        <v>0</v>
      </c>
      <c r="AC271" s="1336">
        <v>96</v>
      </c>
      <c r="AD271" s="1336" t="s">
        <v>1846</v>
      </c>
    </row>
    <row r="272" spans="1:30" x14ac:dyDescent="0.25">
      <c r="A272" s="858" t="str">
        <f>B5B!A103</f>
        <v/>
      </c>
      <c r="B272" s="855"/>
      <c r="C272" s="1360">
        <f>SUMIFS(Sheet1!S71_OriginalBudget,Sheet1!S71_SubMunicipalVoteNo,$AC:$AC,Sheet1!S71_A5CapexCode,$AD:$AD)</f>
        <v>0</v>
      </c>
      <c r="D272" s="1356">
        <f>SUMIFS(Sheet1!S71_SpecialAdjustedBudget,Sheet1!S71_SubMunicipalVoteNo,$AC:$AC,Sheet1!S71_A5CapexCode,$AD:$AD)</f>
        <v>0</v>
      </c>
      <c r="E272" s="1356"/>
      <c r="F272" s="1356"/>
      <c r="G272" s="1356"/>
      <c r="H272" s="1356"/>
      <c r="I272" s="1356">
        <f>SUMIFS(Sheet1!S71_AdjustmentAmount,Sheet1!S71_SubMunicipalVoteNo,$AC:$AC,Sheet1!S71_A5CapexCode,$AD:$AD)</f>
        <v>0</v>
      </c>
      <c r="J272" s="75">
        <f t="shared" si="34"/>
        <v>0</v>
      </c>
      <c r="K272" s="75">
        <f t="shared" si="35"/>
        <v>0</v>
      </c>
      <c r="L272" s="1356">
        <f>SUMIFS(Sheet1!S71_OY1AdjustedBudget,Sheet1!S71_SubMunicipalVoteNo,$AC:$AC,Sheet1!S71_A5CapexCode,$AD:$AD)</f>
        <v>0</v>
      </c>
      <c r="M272" s="1357">
        <f>SUMIFS(Sheet1!S71_OY2AdjustedBudget,Sheet1!S71_SubMunicipalVoteNo,$AC:$AC,Sheet1!S71_A5CapexCode,$AD:$AD)</f>
        <v>0</v>
      </c>
      <c r="AC272" s="1336">
        <v>97</v>
      </c>
      <c r="AD272" s="1336" t="s">
        <v>1846</v>
      </c>
    </row>
    <row r="273" spans="1:30" x14ac:dyDescent="0.25">
      <c r="A273" s="858" t="str">
        <f>B5B!A104</f>
        <v/>
      </c>
      <c r="B273" s="855"/>
      <c r="C273" s="1360">
        <f>SUMIFS(Sheet1!S71_OriginalBudget,Sheet1!S71_SubMunicipalVoteNo,$AC:$AC,Sheet1!S71_A5CapexCode,$AD:$AD)</f>
        <v>0</v>
      </c>
      <c r="D273" s="1356">
        <f>SUMIFS(Sheet1!S71_SpecialAdjustedBudget,Sheet1!S71_SubMunicipalVoteNo,$AC:$AC,Sheet1!S71_A5CapexCode,$AD:$AD)</f>
        <v>0</v>
      </c>
      <c r="E273" s="1356"/>
      <c r="F273" s="1356"/>
      <c r="G273" s="1356"/>
      <c r="H273" s="1356"/>
      <c r="I273" s="1356">
        <f>SUMIFS(Sheet1!S71_AdjustmentAmount,Sheet1!S71_SubMunicipalVoteNo,$AC:$AC,Sheet1!S71_A5CapexCode,$AD:$AD)</f>
        <v>0</v>
      </c>
      <c r="J273" s="75">
        <f t="shared" ref="J273:J304" si="39">SUM(E273:I273)</f>
        <v>0</v>
      </c>
      <c r="K273" s="75">
        <f t="shared" si="35"/>
        <v>0</v>
      </c>
      <c r="L273" s="1356">
        <f>SUMIFS(Sheet1!S71_OY1AdjustedBudget,Sheet1!S71_SubMunicipalVoteNo,$AC:$AC,Sheet1!S71_A5CapexCode,$AD:$AD)</f>
        <v>0</v>
      </c>
      <c r="M273" s="1357">
        <f>SUMIFS(Sheet1!S71_OY2AdjustedBudget,Sheet1!S71_SubMunicipalVoteNo,$AC:$AC,Sheet1!S71_A5CapexCode,$AD:$AD)</f>
        <v>0</v>
      </c>
      <c r="AC273" s="1336">
        <v>98</v>
      </c>
      <c r="AD273" s="1336" t="s">
        <v>1846</v>
      </c>
    </row>
    <row r="274" spans="1:30" x14ac:dyDescent="0.25">
      <c r="A274" s="858" t="str">
        <f>B5B!A105</f>
        <v/>
      </c>
      <c r="B274" s="855"/>
      <c r="C274" s="1360">
        <f>SUMIFS(Sheet1!S71_OriginalBudget,Sheet1!S71_SubMunicipalVoteNo,$AC:$AC,Sheet1!S71_A5CapexCode,$AD:$AD)</f>
        <v>0</v>
      </c>
      <c r="D274" s="1356">
        <f>SUMIFS(Sheet1!S71_SpecialAdjustedBudget,Sheet1!S71_SubMunicipalVoteNo,$AC:$AC,Sheet1!S71_A5CapexCode,$AD:$AD)</f>
        <v>0</v>
      </c>
      <c r="E274" s="1356"/>
      <c r="F274" s="1356"/>
      <c r="G274" s="1356"/>
      <c r="H274" s="1356"/>
      <c r="I274" s="1356">
        <f>SUMIFS(Sheet1!S71_AdjustmentAmount,Sheet1!S71_SubMunicipalVoteNo,$AC:$AC,Sheet1!S71_A5CapexCode,$AD:$AD)</f>
        <v>0</v>
      </c>
      <c r="J274" s="75">
        <f t="shared" si="39"/>
        <v>0</v>
      </c>
      <c r="K274" s="75">
        <f t="shared" si="35"/>
        <v>0</v>
      </c>
      <c r="L274" s="1356">
        <f>SUMIFS(Sheet1!S71_OY1AdjustedBudget,Sheet1!S71_SubMunicipalVoteNo,$AC:$AC,Sheet1!S71_A5CapexCode,$AD:$AD)</f>
        <v>0</v>
      </c>
      <c r="M274" s="1357">
        <f>SUMIFS(Sheet1!S71_OY2AdjustedBudget,Sheet1!S71_SubMunicipalVoteNo,$AC:$AC,Sheet1!S71_A5CapexCode,$AD:$AD)</f>
        <v>0</v>
      </c>
      <c r="AC274" s="1336">
        <v>99</v>
      </c>
      <c r="AD274" s="1336" t="s">
        <v>1846</v>
      </c>
    </row>
    <row r="275" spans="1:30" x14ac:dyDescent="0.25">
      <c r="A275" s="858" t="str">
        <f>B5B!A106</f>
        <v/>
      </c>
      <c r="B275" s="855"/>
      <c r="C275" s="1360">
        <f>SUMIFS(Sheet1!S71_OriginalBudget,Sheet1!S71_SubMunicipalVoteNo,$AC:$AC,Sheet1!S71_A5CapexCode,$AD:$AD)</f>
        <v>0</v>
      </c>
      <c r="D275" s="1356">
        <f>SUMIFS(Sheet1!S71_SpecialAdjustedBudget,Sheet1!S71_SubMunicipalVoteNo,$AC:$AC,Sheet1!S71_A5CapexCode,$AD:$AD)</f>
        <v>0</v>
      </c>
      <c r="E275" s="1356"/>
      <c r="F275" s="1356"/>
      <c r="G275" s="1356"/>
      <c r="H275" s="1356"/>
      <c r="I275" s="1356">
        <f>SUMIFS(Sheet1!S71_AdjustmentAmount,Sheet1!S71_SubMunicipalVoteNo,$AC:$AC,Sheet1!S71_A5CapexCode,$AD:$AD)</f>
        <v>0</v>
      </c>
      <c r="J275" s="75">
        <f t="shared" si="39"/>
        <v>0</v>
      </c>
      <c r="K275" s="75">
        <f t="shared" si="35"/>
        <v>0</v>
      </c>
      <c r="L275" s="1356">
        <f>SUMIFS(Sheet1!S71_OY1AdjustedBudget,Sheet1!S71_SubMunicipalVoteNo,$AC:$AC,Sheet1!S71_A5CapexCode,$AD:$AD)</f>
        <v>0</v>
      </c>
      <c r="M275" s="1357">
        <f>SUMIFS(Sheet1!S71_OY2AdjustedBudget,Sheet1!S71_SubMunicipalVoteNo,$AC:$AC,Sheet1!S71_A5CapexCode,$AD:$AD)</f>
        <v>0</v>
      </c>
      <c r="AC275" s="1336">
        <v>910</v>
      </c>
      <c r="AD275" s="1336" t="s">
        <v>1846</v>
      </c>
    </row>
    <row r="276" spans="1:30" x14ac:dyDescent="0.25">
      <c r="A276" s="856" t="str">
        <f>B5B!A107</f>
        <v>Vote 10 - Public Safety</v>
      </c>
      <c r="B276" s="855"/>
      <c r="C276" s="733">
        <f t="shared" ref="C276:I276" si="40">SUM(C277:C286)</f>
        <v>0</v>
      </c>
      <c r="D276" s="732">
        <f t="shared" si="40"/>
        <v>0</v>
      </c>
      <c r="E276" s="732">
        <f t="shared" si="40"/>
        <v>0</v>
      </c>
      <c r="F276" s="732">
        <f t="shared" si="40"/>
        <v>0</v>
      </c>
      <c r="G276" s="732">
        <f t="shared" si="40"/>
        <v>0</v>
      </c>
      <c r="H276" s="732">
        <f t="shared" si="40"/>
        <v>0</v>
      </c>
      <c r="I276" s="732">
        <f t="shared" si="40"/>
        <v>0</v>
      </c>
      <c r="J276" s="75">
        <f t="shared" si="39"/>
        <v>0</v>
      </c>
      <c r="K276" s="75">
        <f t="shared" si="35"/>
        <v>0</v>
      </c>
      <c r="L276" s="732">
        <f>SUM(L277:L286)</f>
        <v>0</v>
      </c>
      <c r="M276" s="759">
        <f>SUM(M277:M286)</f>
        <v>0</v>
      </c>
    </row>
    <row r="277" spans="1:30" x14ac:dyDescent="0.25">
      <c r="A277" s="858" t="str">
        <f>B5B!A108</f>
        <v>10.1 - Fire Fighting and Protection</v>
      </c>
      <c r="B277" s="855"/>
      <c r="C277" s="1360">
        <f>SUMIFS(Sheet1!S71_OriginalBudget,Sheet1!S71_SubMunicipalVoteNo,$AC:$AC,Sheet1!S71_A5CapexCode,$AD:$AD)</f>
        <v>0</v>
      </c>
      <c r="D277" s="1356">
        <f>SUMIFS(Sheet1!S71_SpecialAdjustedBudget,Sheet1!S71_SubMunicipalVoteNo,$AC:$AC,Sheet1!S71_A5CapexCode,$AD:$AD)</f>
        <v>0</v>
      </c>
      <c r="E277" s="1356"/>
      <c r="F277" s="1356"/>
      <c r="G277" s="1356"/>
      <c r="H277" s="1356"/>
      <c r="I277" s="1356">
        <f>SUMIFS(Sheet1!S71_AdjustmentAmount,Sheet1!S71_SubMunicipalVoteNo,$AC:$AC,Sheet1!S71_A5CapexCode,$AD:$AD)</f>
        <v>0</v>
      </c>
      <c r="J277" s="75">
        <f t="shared" si="39"/>
        <v>0</v>
      </c>
      <c r="K277" s="75">
        <f t="shared" si="35"/>
        <v>0</v>
      </c>
      <c r="L277" s="1356">
        <f>SUMIFS(Sheet1!S71_OY1AdjustedBudget,Sheet1!S71_SubMunicipalVoteNo,$AC:$AC,Sheet1!S71_A5CapexCode,$AD:$AD)</f>
        <v>0</v>
      </c>
      <c r="M277" s="1357">
        <f>SUMIFS(Sheet1!S71_OY2AdjustedBudget,Sheet1!S71_SubMunicipalVoteNo,$AC:$AC,Sheet1!S71_A5CapexCode,$AD:$AD)</f>
        <v>0</v>
      </c>
      <c r="AC277" s="1336">
        <v>101</v>
      </c>
      <c r="AD277" s="1336" t="s">
        <v>1846</v>
      </c>
    </row>
    <row r="278" spans="1:30" x14ac:dyDescent="0.25">
      <c r="A278" s="858" t="str">
        <f>B5B!A109</f>
        <v>10.2 - Fencing and Fences</v>
      </c>
      <c r="B278" s="855"/>
      <c r="C278" s="1360">
        <f>SUMIFS(Sheet1!S71_OriginalBudget,Sheet1!S71_SubMunicipalVoteNo,$AC:$AC,Sheet1!S71_A5CapexCode,$AD:$AD)</f>
        <v>0</v>
      </c>
      <c r="D278" s="1356">
        <f>SUMIFS(Sheet1!S71_SpecialAdjustedBudget,Sheet1!S71_SubMunicipalVoteNo,$AC:$AC,Sheet1!S71_A5CapexCode,$AD:$AD)</f>
        <v>0</v>
      </c>
      <c r="E278" s="1356"/>
      <c r="F278" s="1356"/>
      <c r="G278" s="1356"/>
      <c r="H278" s="1356"/>
      <c r="I278" s="1356">
        <f>SUMIFS(Sheet1!S71_AdjustmentAmount,Sheet1!S71_SubMunicipalVoteNo,$AC:$AC,Sheet1!S71_A5CapexCode,$AD:$AD)</f>
        <v>0</v>
      </c>
      <c r="J278" s="75">
        <f t="shared" si="39"/>
        <v>0</v>
      </c>
      <c r="K278" s="75">
        <f t="shared" si="35"/>
        <v>0</v>
      </c>
      <c r="L278" s="1356">
        <f>SUMIFS(Sheet1!S71_OY1AdjustedBudget,Sheet1!S71_SubMunicipalVoteNo,$AC:$AC,Sheet1!S71_A5CapexCode,$AD:$AD)</f>
        <v>0</v>
      </c>
      <c r="M278" s="1357">
        <f>SUMIFS(Sheet1!S71_OY2AdjustedBudget,Sheet1!S71_SubMunicipalVoteNo,$AC:$AC,Sheet1!S71_A5CapexCode,$AD:$AD)</f>
        <v>0</v>
      </c>
      <c r="AC278" s="1336">
        <v>102</v>
      </c>
      <c r="AD278" s="1336" t="s">
        <v>1846</v>
      </c>
    </row>
    <row r="279" spans="1:30" x14ac:dyDescent="0.25">
      <c r="A279" s="858" t="str">
        <f>B5B!A110</f>
        <v/>
      </c>
      <c r="B279" s="855"/>
      <c r="C279" s="1360">
        <f>SUMIFS(Sheet1!S71_OriginalBudget,Sheet1!S71_SubMunicipalVoteNo,$AC:$AC,Sheet1!S71_A5CapexCode,$AD:$AD)</f>
        <v>0</v>
      </c>
      <c r="D279" s="1356">
        <f>SUMIFS(Sheet1!S71_SpecialAdjustedBudget,Sheet1!S71_SubMunicipalVoteNo,$AC:$AC,Sheet1!S71_A5CapexCode,$AD:$AD)</f>
        <v>0</v>
      </c>
      <c r="E279" s="1356"/>
      <c r="F279" s="1356"/>
      <c r="G279" s="1356"/>
      <c r="H279" s="1356"/>
      <c r="I279" s="1356">
        <f>SUMIFS(Sheet1!S71_AdjustmentAmount,Sheet1!S71_SubMunicipalVoteNo,$AC:$AC,Sheet1!S71_A5CapexCode,$AD:$AD)</f>
        <v>0</v>
      </c>
      <c r="J279" s="75">
        <f t="shared" si="39"/>
        <v>0</v>
      </c>
      <c r="K279" s="75">
        <f t="shared" si="35"/>
        <v>0</v>
      </c>
      <c r="L279" s="1356">
        <f>SUMIFS(Sheet1!S71_OY1AdjustedBudget,Sheet1!S71_SubMunicipalVoteNo,$AC:$AC,Sheet1!S71_A5CapexCode,$AD:$AD)</f>
        <v>0</v>
      </c>
      <c r="M279" s="1357">
        <f>SUMIFS(Sheet1!S71_OY2AdjustedBudget,Sheet1!S71_SubMunicipalVoteNo,$AC:$AC,Sheet1!S71_A5CapexCode,$AD:$AD)</f>
        <v>0</v>
      </c>
      <c r="AC279" s="1336">
        <v>103</v>
      </c>
      <c r="AD279" s="1336" t="s">
        <v>1846</v>
      </c>
    </row>
    <row r="280" spans="1:30" x14ac:dyDescent="0.25">
      <c r="A280" s="858" t="str">
        <f>B5B!A111</f>
        <v/>
      </c>
      <c r="B280" s="855"/>
      <c r="C280" s="1360">
        <f>SUMIFS(Sheet1!S71_OriginalBudget,Sheet1!S71_SubMunicipalVoteNo,$AC:$AC,Sheet1!S71_A5CapexCode,$AD:$AD)</f>
        <v>0</v>
      </c>
      <c r="D280" s="1356">
        <f>SUMIFS(Sheet1!S71_SpecialAdjustedBudget,Sheet1!S71_SubMunicipalVoteNo,$AC:$AC,Sheet1!S71_A5CapexCode,$AD:$AD)</f>
        <v>0</v>
      </c>
      <c r="E280" s="1356"/>
      <c r="F280" s="1356"/>
      <c r="G280" s="1356"/>
      <c r="H280" s="1356"/>
      <c r="I280" s="1356">
        <f>SUMIFS(Sheet1!S71_AdjustmentAmount,Sheet1!S71_SubMunicipalVoteNo,$AC:$AC,Sheet1!S71_A5CapexCode,$AD:$AD)</f>
        <v>0</v>
      </c>
      <c r="J280" s="75">
        <f t="shared" si="39"/>
        <v>0</v>
      </c>
      <c r="K280" s="75">
        <f t="shared" si="35"/>
        <v>0</v>
      </c>
      <c r="L280" s="1356">
        <f>SUMIFS(Sheet1!S71_OY1AdjustedBudget,Sheet1!S71_SubMunicipalVoteNo,$AC:$AC,Sheet1!S71_A5CapexCode,$AD:$AD)</f>
        <v>0</v>
      </c>
      <c r="M280" s="1357">
        <f>SUMIFS(Sheet1!S71_OY2AdjustedBudget,Sheet1!S71_SubMunicipalVoteNo,$AC:$AC,Sheet1!S71_A5CapexCode,$AD:$AD)</f>
        <v>0</v>
      </c>
      <c r="AC280" s="1336">
        <v>104</v>
      </c>
      <c r="AD280" s="1336" t="s">
        <v>1846</v>
      </c>
    </row>
    <row r="281" spans="1:30" x14ac:dyDescent="0.25">
      <c r="A281" s="858" t="str">
        <f>B5B!A112</f>
        <v/>
      </c>
      <c r="B281" s="855"/>
      <c r="C281" s="1360">
        <f>SUMIFS(Sheet1!S71_OriginalBudget,Sheet1!S71_SubMunicipalVoteNo,$AC:$AC,Sheet1!S71_A5CapexCode,$AD:$AD)</f>
        <v>0</v>
      </c>
      <c r="D281" s="1356">
        <f>SUMIFS(Sheet1!S71_SpecialAdjustedBudget,Sheet1!S71_SubMunicipalVoteNo,$AC:$AC,Sheet1!S71_A5CapexCode,$AD:$AD)</f>
        <v>0</v>
      </c>
      <c r="E281" s="1356"/>
      <c r="F281" s="1356"/>
      <c r="G281" s="1356"/>
      <c r="H281" s="1356"/>
      <c r="I281" s="1356">
        <f>SUMIFS(Sheet1!S71_AdjustmentAmount,Sheet1!S71_SubMunicipalVoteNo,$AC:$AC,Sheet1!S71_A5CapexCode,$AD:$AD)</f>
        <v>0</v>
      </c>
      <c r="J281" s="75">
        <f t="shared" si="39"/>
        <v>0</v>
      </c>
      <c r="K281" s="75">
        <f t="shared" si="35"/>
        <v>0</v>
      </c>
      <c r="L281" s="1356">
        <f>SUMIFS(Sheet1!S71_OY1AdjustedBudget,Sheet1!S71_SubMunicipalVoteNo,$AC:$AC,Sheet1!S71_A5CapexCode,$AD:$AD)</f>
        <v>0</v>
      </c>
      <c r="M281" s="1357">
        <f>SUMIFS(Sheet1!S71_OY2AdjustedBudget,Sheet1!S71_SubMunicipalVoteNo,$AC:$AC,Sheet1!S71_A5CapexCode,$AD:$AD)</f>
        <v>0</v>
      </c>
      <c r="AC281" s="1336">
        <v>105</v>
      </c>
      <c r="AD281" s="1336" t="s">
        <v>1846</v>
      </c>
    </row>
    <row r="282" spans="1:30" x14ac:dyDescent="0.25">
      <c r="A282" s="858" t="str">
        <f>B5B!A113</f>
        <v/>
      </c>
      <c r="B282" s="855"/>
      <c r="C282" s="1360">
        <f>SUMIFS(Sheet1!S71_OriginalBudget,Sheet1!S71_SubMunicipalVoteNo,$AC:$AC,Sheet1!S71_A5CapexCode,$AD:$AD)</f>
        <v>0</v>
      </c>
      <c r="D282" s="1356">
        <f>SUMIFS(Sheet1!S71_SpecialAdjustedBudget,Sheet1!S71_SubMunicipalVoteNo,$AC:$AC,Sheet1!S71_A5CapexCode,$AD:$AD)</f>
        <v>0</v>
      </c>
      <c r="E282" s="1356"/>
      <c r="F282" s="1356"/>
      <c r="G282" s="1356"/>
      <c r="H282" s="1356"/>
      <c r="I282" s="1356">
        <f>SUMIFS(Sheet1!S71_AdjustmentAmount,Sheet1!S71_SubMunicipalVoteNo,$AC:$AC,Sheet1!S71_A5CapexCode,$AD:$AD)</f>
        <v>0</v>
      </c>
      <c r="J282" s="75">
        <f t="shared" si="39"/>
        <v>0</v>
      </c>
      <c r="K282" s="75">
        <f t="shared" si="35"/>
        <v>0</v>
      </c>
      <c r="L282" s="1356">
        <f>SUMIFS(Sheet1!S71_OY1AdjustedBudget,Sheet1!S71_SubMunicipalVoteNo,$AC:$AC,Sheet1!S71_A5CapexCode,$AD:$AD)</f>
        <v>0</v>
      </c>
      <c r="M282" s="1357">
        <f>SUMIFS(Sheet1!S71_OY2AdjustedBudget,Sheet1!S71_SubMunicipalVoteNo,$AC:$AC,Sheet1!S71_A5CapexCode,$AD:$AD)</f>
        <v>0</v>
      </c>
      <c r="AC282" s="1336">
        <v>106</v>
      </c>
      <c r="AD282" s="1336" t="s">
        <v>1846</v>
      </c>
    </row>
    <row r="283" spans="1:30" x14ac:dyDescent="0.25">
      <c r="A283" s="858" t="str">
        <f>B5B!A114</f>
        <v/>
      </c>
      <c r="B283" s="855"/>
      <c r="C283" s="1360">
        <f>SUMIFS(Sheet1!S71_OriginalBudget,Sheet1!S71_SubMunicipalVoteNo,$AC:$AC,Sheet1!S71_A5CapexCode,$AD:$AD)</f>
        <v>0</v>
      </c>
      <c r="D283" s="1356">
        <f>SUMIFS(Sheet1!S71_SpecialAdjustedBudget,Sheet1!S71_SubMunicipalVoteNo,$AC:$AC,Sheet1!S71_A5CapexCode,$AD:$AD)</f>
        <v>0</v>
      </c>
      <c r="E283" s="1356"/>
      <c r="F283" s="1356"/>
      <c r="G283" s="1356"/>
      <c r="H283" s="1356"/>
      <c r="I283" s="1356">
        <f>SUMIFS(Sheet1!S71_AdjustmentAmount,Sheet1!S71_SubMunicipalVoteNo,$AC:$AC,Sheet1!S71_A5CapexCode,$AD:$AD)</f>
        <v>0</v>
      </c>
      <c r="J283" s="75">
        <f t="shared" si="39"/>
        <v>0</v>
      </c>
      <c r="K283" s="75">
        <f t="shared" si="35"/>
        <v>0</v>
      </c>
      <c r="L283" s="1356">
        <f>SUMIFS(Sheet1!S71_OY1AdjustedBudget,Sheet1!S71_SubMunicipalVoteNo,$AC:$AC,Sheet1!S71_A5CapexCode,$AD:$AD)</f>
        <v>0</v>
      </c>
      <c r="M283" s="1357">
        <f>SUMIFS(Sheet1!S71_OY2AdjustedBudget,Sheet1!S71_SubMunicipalVoteNo,$AC:$AC,Sheet1!S71_A5CapexCode,$AD:$AD)</f>
        <v>0</v>
      </c>
      <c r="AC283" s="1336">
        <v>107</v>
      </c>
      <c r="AD283" s="1336" t="s">
        <v>1846</v>
      </c>
    </row>
    <row r="284" spans="1:30" x14ac:dyDescent="0.25">
      <c r="A284" s="858" t="str">
        <f>B5B!A115</f>
        <v/>
      </c>
      <c r="B284" s="855"/>
      <c r="C284" s="1360">
        <f>SUMIFS(Sheet1!S71_OriginalBudget,Sheet1!S71_SubMunicipalVoteNo,$AC:$AC,Sheet1!S71_A5CapexCode,$AD:$AD)</f>
        <v>0</v>
      </c>
      <c r="D284" s="1356">
        <f>SUMIFS(Sheet1!S71_SpecialAdjustedBudget,Sheet1!S71_SubMunicipalVoteNo,$AC:$AC,Sheet1!S71_A5CapexCode,$AD:$AD)</f>
        <v>0</v>
      </c>
      <c r="E284" s="1356"/>
      <c r="F284" s="1356"/>
      <c r="G284" s="1356"/>
      <c r="H284" s="1356"/>
      <c r="I284" s="1356">
        <f>SUMIFS(Sheet1!S71_AdjustmentAmount,Sheet1!S71_SubMunicipalVoteNo,$AC:$AC,Sheet1!S71_A5CapexCode,$AD:$AD)</f>
        <v>0</v>
      </c>
      <c r="J284" s="75">
        <f t="shared" si="39"/>
        <v>0</v>
      </c>
      <c r="K284" s="75">
        <f t="shared" si="35"/>
        <v>0</v>
      </c>
      <c r="L284" s="1356">
        <f>SUMIFS(Sheet1!S71_OY1AdjustedBudget,Sheet1!S71_SubMunicipalVoteNo,$AC:$AC,Sheet1!S71_A5CapexCode,$AD:$AD)</f>
        <v>0</v>
      </c>
      <c r="M284" s="1357">
        <f>SUMIFS(Sheet1!S71_OY2AdjustedBudget,Sheet1!S71_SubMunicipalVoteNo,$AC:$AC,Sheet1!S71_A5CapexCode,$AD:$AD)</f>
        <v>0</v>
      </c>
      <c r="AC284" s="1336">
        <v>108</v>
      </c>
      <c r="AD284" s="1336" t="s">
        <v>1846</v>
      </c>
    </row>
    <row r="285" spans="1:30" x14ac:dyDescent="0.25">
      <c r="A285" s="858" t="str">
        <f>B5B!A116</f>
        <v/>
      </c>
      <c r="B285" s="855"/>
      <c r="C285" s="1360">
        <f>SUMIFS(Sheet1!S71_OriginalBudget,Sheet1!S71_SubMunicipalVoteNo,$AC:$AC,Sheet1!S71_A5CapexCode,$AD:$AD)</f>
        <v>0</v>
      </c>
      <c r="D285" s="1356">
        <f>SUMIFS(Sheet1!S71_SpecialAdjustedBudget,Sheet1!S71_SubMunicipalVoteNo,$AC:$AC,Sheet1!S71_A5CapexCode,$AD:$AD)</f>
        <v>0</v>
      </c>
      <c r="E285" s="1356"/>
      <c r="F285" s="1356"/>
      <c r="G285" s="1356"/>
      <c r="H285" s="1356"/>
      <c r="I285" s="1356">
        <f>SUMIFS(Sheet1!S71_AdjustmentAmount,Sheet1!S71_SubMunicipalVoteNo,$AC:$AC,Sheet1!S71_A5CapexCode,$AD:$AD)</f>
        <v>0</v>
      </c>
      <c r="J285" s="75">
        <f t="shared" si="39"/>
        <v>0</v>
      </c>
      <c r="K285" s="75">
        <f t="shared" si="35"/>
        <v>0</v>
      </c>
      <c r="L285" s="1356">
        <f>SUMIFS(Sheet1!S71_OY1AdjustedBudget,Sheet1!S71_SubMunicipalVoteNo,$AC:$AC,Sheet1!S71_A5CapexCode,$AD:$AD)</f>
        <v>0</v>
      </c>
      <c r="M285" s="1357">
        <f>SUMIFS(Sheet1!S71_OY2AdjustedBudget,Sheet1!S71_SubMunicipalVoteNo,$AC:$AC,Sheet1!S71_A5CapexCode,$AD:$AD)</f>
        <v>0</v>
      </c>
      <c r="AC285" s="1336">
        <v>109</v>
      </c>
      <c r="AD285" s="1336" t="s">
        <v>1846</v>
      </c>
    </row>
    <row r="286" spans="1:30" x14ac:dyDescent="0.25">
      <c r="A286" s="858" t="str">
        <f>B5B!A117</f>
        <v/>
      </c>
      <c r="B286" s="855"/>
      <c r="C286" s="1360">
        <f>SUMIFS(Sheet1!S71_OriginalBudget,Sheet1!S71_SubMunicipalVoteNo,$AC:$AC,Sheet1!S71_A5CapexCode,$AD:$AD)</f>
        <v>0</v>
      </c>
      <c r="D286" s="1356">
        <f>SUMIFS(Sheet1!S71_SpecialAdjustedBudget,Sheet1!S71_SubMunicipalVoteNo,$AC:$AC,Sheet1!S71_A5CapexCode,$AD:$AD)</f>
        <v>0</v>
      </c>
      <c r="E286" s="1356"/>
      <c r="F286" s="1356"/>
      <c r="G286" s="1356"/>
      <c r="H286" s="1356"/>
      <c r="I286" s="1356">
        <f>SUMIFS(Sheet1!S71_AdjustmentAmount,Sheet1!S71_SubMunicipalVoteNo,$AC:$AC,Sheet1!S71_A5CapexCode,$AD:$AD)</f>
        <v>0</v>
      </c>
      <c r="J286" s="75">
        <f t="shared" si="39"/>
        <v>0</v>
      </c>
      <c r="K286" s="75">
        <f t="shared" si="35"/>
        <v>0</v>
      </c>
      <c r="L286" s="1356">
        <f>SUMIFS(Sheet1!S71_OY1AdjustedBudget,Sheet1!S71_SubMunicipalVoteNo,$AC:$AC,Sheet1!S71_A5CapexCode,$AD:$AD)</f>
        <v>0</v>
      </c>
      <c r="M286" s="1357">
        <f>SUMIFS(Sheet1!S71_OY2AdjustedBudget,Sheet1!S71_SubMunicipalVoteNo,$AC:$AC,Sheet1!S71_A5CapexCode,$AD:$AD)</f>
        <v>0</v>
      </c>
      <c r="AC286" s="1336">
        <v>1010</v>
      </c>
      <c r="AD286" s="1336" t="s">
        <v>1846</v>
      </c>
    </row>
    <row r="287" spans="1:30" x14ac:dyDescent="0.25">
      <c r="A287" s="856" t="str">
        <f>B5B!A118</f>
        <v>Vote 11 - Other</v>
      </c>
      <c r="B287" s="855"/>
      <c r="C287" s="733">
        <f t="shared" ref="C287:I287" si="41">SUM(C288:C297)</f>
        <v>0</v>
      </c>
      <c r="D287" s="732">
        <f t="shared" si="41"/>
        <v>0</v>
      </c>
      <c r="E287" s="732">
        <f t="shared" si="41"/>
        <v>0</v>
      </c>
      <c r="F287" s="732">
        <f t="shared" si="41"/>
        <v>0</v>
      </c>
      <c r="G287" s="732">
        <f t="shared" si="41"/>
        <v>0</v>
      </c>
      <c r="H287" s="732">
        <f t="shared" si="41"/>
        <v>0</v>
      </c>
      <c r="I287" s="732">
        <f t="shared" si="41"/>
        <v>0</v>
      </c>
      <c r="J287" s="75">
        <f t="shared" si="39"/>
        <v>0</v>
      </c>
      <c r="K287" s="75">
        <f t="shared" si="35"/>
        <v>0</v>
      </c>
      <c r="L287" s="732">
        <f>SUM(L288:L297)</f>
        <v>0</v>
      </c>
      <c r="M287" s="759">
        <f>SUM(M288:M297)</f>
        <v>0</v>
      </c>
    </row>
    <row r="288" spans="1:30" x14ac:dyDescent="0.25">
      <c r="A288" s="858" t="str">
        <f>B5B!A119</f>
        <v>11.1 - Licensing and Regulation</v>
      </c>
      <c r="B288" s="855"/>
      <c r="C288" s="1360">
        <f>SUMIFS(Sheet1!S71_OriginalBudget,Sheet1!S71_SubMunicipalVoteNo,$AC:$AC,Sheet1!S71_A5CapexCode,$AD:$AD)</f>
        <v>0</v>
      </c>
      <c r="D288" s="1356">
        <f>SUMIFS(Sheet1!S71_SpecialAdjustedBudget,Sheet1!S71_SubMunicipalVoteNo,$AC:$AC,Sheet1!S71_A5CapexCode,$AD:$AD)</f>
        <v>0</v>
      </c>
      <c r="E288" s="1356"/>
      <c r="F288" s="1356"/>
      <c r="G288" s="1356"/>
      <c r="H288" s="1356"/>
      <c r="I288" s="1356">
        <f>SUMIFS(Sheet1!S71_AdjustmentAmount,Sheet1!S71_SubMunicipalVoteNo,$AC:$AC,Sheet1!S71_A5CapexCode,$AD:$AD)</f>
        <v>0</v>
      </c>
      <c r="J288" s="75">
        <f t="shared" si="39"/>
        <v>0</v>
      </c>
      <c r="K288" s="75">
        <f t="shared" si="35"/>
        <v>0</v>
      </c>
      <c r="L288" s="1356">
        <f>SUMIFS(Sheet1!S71_OY1AdjustedBudget,Sheet1!S71_SubMunicipalVoteNo,$AC:$AC,Sheet1!S71_A5CapexCode,$AD:$AD)</f>
        <v>0</v>
      </c>
      <c r="M288" s="1357">
        <f>SUMIFS(Sheet1!S71_OY2AdjustedBudget,Sheet1!S71_SubMunicipalVoteNo,$AC:$AC,Sheet1!S71_A5CapexCode,$AD:$AD)</f>
        <v>0</v>
      </c>
      <c r="AC288" s="1336">
        <v>111</v>
      </c>
      <c r="AD288" s="1336" t="s">
        <v>1846</v>
      </c>
    </row>
    <row r="289" spans="1:30" x14ac:dyDescent="0.25">
      <c r="A289" s="858" t="str">
        <f>B5B!A120</f>
        <v/>
      </c>
      <c r="B289" s="855"/>
      <c r="C289" s="1360">
        <f>SUMIFS(Sheet1!S71_OriginalBudget,Sheet1!S71_SubMunicipalVoteNo,$AC:$AC,Sheet1!S71_A5CapexCode,$AD:$AD)</f>
        <v>0</v>
      </c>
      <c r="D289" s="1356">
        <f>SUMIFS(Sheet1!S71_SpecialAdjustedBudget,Sheet1!S71_SubMunicipalVoteNo,$AC:$AC,Sheet1!S71_A5CapexCode,$AD:$AD)</f>
        <v>0</v>
      </c>
      <c r="E289" s="1356"/>
      <c r="F289" s="1356"/>
      <c r="G289" s="1356"/>
      <c r="H289" s="1356"/>
      <c r="I289" s="1356">
        <f>SUMIFS(Sheet1!S71_AdjustmentAmount,Sheet1!S71_SubMunicipalVoteNo,$AC:$AC,Sheet1!S71_A5CapexCode,$AD:$AD)</f>
        <v>0</v>
      </c>
      <c r="J289" s="75">
        <f t="shared" si="39"/>
        <v>0</v>
      </c>
      <c r="K289" s="75">
        <f t="shared" si="35"/>
        <v>0</v>
      </c>
      <c r="L289" s="1356">
        <f>SUMIFS(Sheet1!S71_OY1AdjustedBudget,Sheet1!S71_SubMunicipalVoteNo,$AC:$AC,Sheet1!S71_A5CapexCode,$AD:$AD)</f>
        <v>0</v>
      </c>
      <c r="M289" s="1357">
        <f>SUMIFS(Sheet1!S71_OY2AdjustedBudget,Sheet1!S71_SubMunicipalVoteNo,$AC:$AC,Sheet1!S71_A5CapexCode,$AD:$AD)</f>
        <v>0</v>
      </c>
      <c r="AC289" s="1336">
        <v>112</v>
      </c>
      <c r="AD289" s="1336" t="s">
        <v>1846</v>
      </c>
    </row>
    <row r="290" spans="1:30" x14ac:dyDescent="0.25">
      <c r="A290" s="858" t="str">
        <f>B5B!A121</f>
        <v/>
      </c>
      <c r="B290" s="855"/>
      <c r="C290" s="1360">
        <f>SUMIFS(Sheet1!S71_OriginalBudget,Sheet1!S71_SubMunicipalVoteNo,$AC:$AC,Sheet1!S71_A5CapexCode,$AD:$AD)</f>
        <v>0</v>
      </c>
      <c r="D290" s="1356">
        <f>SUMIFS(Sheet1!S71_SpecialAdjustedBudget,Sheet1!S71_SubMunicipalVoteNo,$AC:$AC,Sheet1!S71_A5CapexCode,$AD:$AD)</f>
        <v>0</v>
      </c>
      <c r="E290" s="1356"/>
      <c r="F290" s="1356"/>
      <c r="G290" s="1356"/>
      <c r="H290" s="1356"/>
      <c r="I290" s="1356">
        <f>SUMIFS(Sheet1!S71_AdjustmentAmount,Sheet1!S71_SubMunicipalVoteNo,$AC:$AC,Sheet1!S71_A5CapexCode,$AD:$AD)</f>
        <v>0</v>
      </c>
      <c r="J290" s="75">
        <f t="shared" si="39"/>
        <v>0</v>
      </c>
      <c r="K290" s="75">
        <f t="shared" si="35"/>
        <v>0</v>
      </c>
      <c r="L290" s="1356">
        <f>SUMIFS(Sheet1!S71_OY1AdjustedBudget,Sheet1!S71_SubMunicipalVoteNo,$AC:$AC,Sheet1!S71_A5CapexCode,$AD:$AD)</f>
        <v>0</v>
      </c>
      <c r="M290" s="1357">
        <f>SUMIFS(Sheet1!S71_OY2AdjustedBudget,Sheet1!S71_SubMunicipalVoteNo,$AC:$AC,Sheet1!S71_A5CapexCode,$AD:$AD)</f>
        <v>0</v>
      </c>
      <c r="AC290" s="1336">
        <v>113</v>
      </c>
      <c r="AD290" s="1336" t="s">
        <v>1846</v>
      </c>
    </row>
    <row r="291" spans="1:30" x14ac:dyDescent="0.25">
      <c r="A291" s="858" t="str">
        <f>B5B!A122</f>
        <v/>
      </c>
      <c r="B291" s="855"/>
      <c r="C291" s="1360">
        <f>SUMIFS(Sheet1!S71_OriginalBudget,Sheet1!S71_SubMunicipalVoteNo,$AC:$AC,Sheet1!S71_A5CapexCode,$AD:$AD)</f>
        <v>0</v>
      </c>
      <c r="D291" s="1356">
        <f>SUMIFS(Sheet1!S71_SpecialAdjustedBudget,Sheet1!S71_SubMunicipalVoteNo,$AC:$AC,Sheet1!S71_A5CapexCode,$AD:$AD)</f>
        <v>0</v>
      </c>
      <c r="E291" s="1356"/>
      <c r="F291" s="1356"/>
      <c r="G291" s="1356"/>
      <c r="H291" s="1356"/>
      <c r="I291" s="1356">
        <f>SUMIFS(Sheet1!S71_AdjustmentAmount,Sheet1!S71_SubMunicipalVoteNo,$AC:$AC,Sheet1!S71_A5CapexCode,$AD:$AD)</f>
        <v>0</v>
      </c>
      <c r="J291" s="75">
        <f t="shared" si="39"/>
        <v>0</v>
      </c>
      <c r="K291" s="75">
        <f t="shared" si="35"/>
        <v>0</v>
      </c>
      <c r="L291" s="1356">
        <f>SUMIFS(Sheet1!S71_OY1AdjustedBudget,Sheet1!S71_SubMunicipalVoteNo,$AC:$AC,Sheet1!S71_A5CapexCode,$AD:$AD)</f>
        <v>0</v>
      </c>
      <c r="M291" s="1357">
        <f>SUMIFS(Sheet1!S71_OY2AdjustedBudget,Sheet1!S71_SubMunicipalVoteNo,$AC:$AC,Sheet1!S71_A5CapexCode,$AD:$AD)</f>
        <v>0</v>
      </c>
      <c r="AC291" s="1336">
        <v>114</v>
      </c>
      <c r="AD291" s="1336" t="s">
        <v>1846</v>
      </c>
    </row>
    <row r="292" spans="1:30" x14ac:dyDescent="0.25">
      <c r="A292" s="858" t="str">
        <f>B5B!A123</f>
        <v/>
      </c>
      <c r="B292" s="855"/>
      <c r="C292" s="1360">
        <f>SUMIFS(Sheet1!S71_OriginalBudget,Sheet1!S71_SubMunicipalVoteNo,$AC:$AC,Sheet1!S71_A5CapexCode,$AD:$AD)</f>
        <v>0</v>
      </c>
      <c r="D292" s="1356">
        <f>SUMIFS(Sheet1!S71_SpecialAdjustedBudget,Sheet1!S71_SubMunicipalVoteNo,$AC:$AC,Sheet1!S71_A5CapexCode,$AD:$AD)</f>
        <v>0</v>
      </c>
      <c r="E292" s="1356"/>
      <c r="F292" s="1356"/>
      <c r="G292" s="1356"/>
      <c r="H292" s="1356"/>
      <c r="I292" s="1356">
        <f>SUMIFS(Sheet1!S71_AdjustmentAmount,Sheet1!S71_SubMunicipalVoteNo,$AC:$AC,Sheet1!S71_A5CapexCode,$AD:$AD)</f>
        <v>0</v>
      </c>
      <c r="J292" s="75">
        <f t="shared" si="39"/>
        <v>0</v>
      </c>
      <c r="K292" s="75">
        <f t="shared" si="35"/>
        <v>0</v>
      </c>
      <c r="L292" s="1356">
        <f>SUMIFS(Sheet1!S71_OY1AdjustedBudget,Sheet1!S71_SubMunicipalVoteNo,$AC:$AC,Sheet1!S71_A5CapexCode,$AD:$AD)</f>
        <v>0</v>
      </c>
      <c r="M292" s="1357">
        <f>SUMIFS(Sheet1!S71_OY2AdjustedBudget,Sheet1!S71_SubMunicipalVoteNo,$AC:$AC,Sheet1!S71_A5CapexCode,$AD:$AD)</f>
        <v>0</v>
      </c>
      <c r="AC292" s="1336">
        <v>115</v>
      </c>
      <c r="AD292" s="1336" t="s">
        <v>1846</v>
      </c>
    </row>
    <row r="293" spans="1:30" x14ac:dyDescent="0.25">
      <c r="A293" s="858" t="str">
        <f>B5B!A124</f>
        <v/>
      </c>
      <c r="B293" s="855"/>
      <c r="C293" s="1360">
        <f>SUMIFS(Sheet1!S71_OriginalBudget,Sheet1!S71_SubMunicipalVoteNo,$AC:$AC,Sheet1!S71_A5CapexCode,$AD:$AD)</f>
        <v>0</v>
      </c>
      <c r="D293" s="1356">
        <f>SUMIFS(Sheet1!S71_SpecialAdjustedBudget,Sheet1!S71_SubMunicipalVoteNo,$AC:$AC,Sheet1!S71_A5CapexCode,$AD:$AD)</f>
        <v>0</v>
      </c>
      <c r="E293" s="1356"/>
      <c r="F293" s="1356"/>
      <c r="G293" s="1356"/>
      <c r="H293" s="1356"/>
      <c r="I293" s="1356">
        <f>SUMIFS(Sheet1!S71_AdjustmentAmount,Sheet1!S71_SubMunicipalVoteNo,$AC:$AC,Sheet1!S71_A5CapexCode,$AD:$AD)</f>
        <v>0</v>
      </c>
      <c r="J293" s="75">
        <f t="shared" si="39"/>
        <v>0</v>
      </c>
      <c r="K293" s="75">
        <f t="shared" si="35"/>
        <v>0</v>
      </c>
      <c r="L293" s="1356">
        <f>SUMIFS(Sheet1!S71_OY1AdjustedBudget,Sheet1!S71_SubMunicipalVoteNo,$AC:$AC,Sheet1!S71_A5CapexCode,$AD:$AD)</f>
        <v>0</v>
      </c>
      <c r="M293" s="1357">
        <f>SUMIFS(Sheet1!S71_OY2AdjustedBudget,Sheet1!S71_SubMunicipalVoteNo,$AC:$AC,Sheet1!S71_A5CapexCode,$AD:$AD)</f>
        <v>0</v>
      </c>
      <c r="AC293" s="1336">
        <v>116</v>
      </c>
      <c r="AD293" s="1336" t="s">
        <v>1846</v>
      </c>
    </row>
    <row r="294" spans="1:30" x14ac:dyDescent="0.25">
      <c r="A294" s="858" t="str">
        <f>B5B!A125</f>
        <v/>
      </c>
      <c r="B294" s="855"/>
      <c r="C294" s="1360">
        <f>SUMIFS(Sheet1!S71_OriginalBudget,Sheet1!S71_SubMunicipalVoteNo,$AC:$AC,Sheet1!S71_A5CapexCode,$AD:$AD)</f>
        <v>0</v>
      </c>
      <c r="D294" s="1356">
        <f>SUMIFS(Sheet1!S71_SpecialAdjustedBudget,Sheet1!S71_SubMunicipalVoteNo,$AC:$AC,Sheet1!S71_A5CapexCode,$AD:$AD)</f>
        <v>0</v>
      </c>
      <c r="E294" s="1356"/>
      <c r="F294" s="1356"/>
      <c r="G294" s="1356"/>
      <c r="H294" s="1356"/>
      <c r="I294" s="1356">
        <f>SUMIFS(Sheet1!S71_AdjustmentAmount,Sheet1!S71_SubMunicipalVoteNo,$AC:$AC,Sheet1!S71_A5CapexCode,$AD:$AD)</f>
        <v>0</v>
      </c>
      <c r="J294" s="75">
        <f t="shared" si="39"/>
        <v>0</v>
      </c>
      <c r="K294" s="75">
        <f t="shared" si="35"/>
        <v>0</v>
      </c>
      <c r="L294" s="1356">
        <f>SUMIFS(Sheet1!S71_OY1AdjustedBudget,Sheet1!S71_SubMunicipalVoteNo,$AC:$AC,Sheet1!S71_A5CapexCode,$AD:$AD)</f>
        <v>0</v>
      </c>
      <c r="M294" s="1357">
        <f>SUMIFS(Sheet1!S71_OY2AdjustedBudget,Sheet1!S71_SubMunicipalVoteNo,$AC:$AC,Sheet1!S71_A5CapexCode,$AD:$AD)</f>
        <v>0</v>
      </c>
      <c r="AC294" s="1336">
        <v>117</v>
      </c>
      <c r="AD294" s="1336" t="s">
        <v>1846</v>
      </c>
    </row>
    <row r="295" spans="1:30" x14ac:dyDescent="0.25">
      <c r="A295" s="858" t="str">
        <f>B5B!A126</f>
        <v/>
      </c>
      <c r="B295" s="855"/>
      <c r="C295" s="1360">
        <f>SUMIFS(Sheet1!S71_OriginalBudget,Sheet1!S71_SubMunicipalVoteNo,$AC:$AC,Sheet1!S71_A5CapexCode,$AD:$AD)</f>
        <v>0</v>
      </c>
      <c r="D295" s="1356">
        <f>SUMIFS(Sheet1!S71_SpecialAdjustedBudget,Sheet1!S71_SubMunicipalVoteNo,$AC:$AC,Sheet1!S71_A5CapexCode,$AD:$AD)</f>
        <v>0</v>
      </c>
      <c r="E295" s="1356"/>
      <c r="F295" s="1356"/>
      <c r="G295" s="1356"/>
      <c r="H295" s="1356"/>
      <c r="I295" s="1356">
        <f>SUMIFS(Sheet1!S71_AdjustmentAmount,Sheet1!S71_SubMunicipalVoteNo,$AC:$AC,Sheet1!S71_A5CapexCode,$AD:$AD)</f>
        <v>0</v>
      </c>
      <c r="J295" s="75">
        <f t="shared" si="39"/>
        <v>0</v>
      </c>
      <c r="K295" s="75">
        <f t="shared" si="35"/>
        <v>0</v>
      </c>
      <c r="L295" s="1356">
        <f>SUMIFS(Sheet1!S71_OY1AdjustedBudget,Sheet1!S71_SubMunicipalVoteNo,$AC:$AC,Sheet1!S71_A5CapexCode,$AD:$AD)</f>
        <v>0</v>
      </c>
      <c r="M295" s="1357">
        <f>SUMIFS(Sheet1!S71_OY2AdjustedBudget,Sheet1!S71_SubMunicipalVoteNo,$AC:$AC,Sheet1!S71_A5CapexCode,$AD:$AD)</f>
        <v>0</v>
      </c>
      <c r="AC295" s="1336">
        <v>118</v>
      </c>
      <c r="AD295" s="1336" t="s">
        <v>1846</v>
      </c>
    </row>
    <row r="296" spans="1:30" x14ac:dyDescent="0.25">
      <c r="A296" s="858" t="str">
        <f>B5B!A127</f>
        <v/>
      </c>
      <c r="B296" s="855"/>
      <c r="C296" s="1360">
        <f>SUMIFS(Sheet1!S71_OriginalBudget,Sheet1!S71_SubMunicipalVoteNo,$AC:$AC,Sheet1!S71_A5CapexCode,$AD:$AD)</f>
        <v>0</v>
      </c>
      <c r="D296" s="1356">
        <f>SUMIFS(Sheet1!S71_SpecialAdjustedBudget,Sheet1!S71_SubMunicipalVoteNo,$AC:$AC,Sheet1!S71_A5CapexCode,$AD:$AD)</f>
        <v>0</v>
      </c>
      <c r="E296" s="1356"/>
      <c r="F296" s="1356"/>
      <c r="G296" s="1356"/>
      <c r="H296" s="1356"/>
      <c r="I296" s="1356">
        <f>SUMIFS(Sheet1!S71_AdjustmentAmount,Sheet1!S71_SubMunicipalVoteNo,$AC:$AC,Sheet1!S71_A5CapexCode,$AD:$AD)</f>
        <v>0</v>
      </c>
      <c r="J296" s="75">
        <f t="shared" si="39"/>
        <v>0</v>
      </c>
      <c r="K296" s="75">
        <f t="shared" si="35"/>
        <v>0</v>
      </c>
      <c r="L296" s="1356">
        <f>SUMIFS(Sheet1!S71_OY1AdjustedBudget,Sheet1!S71_SubMunicipalVoteNo,$AC:$AC,Sheet1!S71_A5CapexCode,$AD:$AD)</f>
        <v>0</v>
      </c>
      <c r="M296" s="1357">
        <f>SUMIFS(Sheet1!S71_OY2AdjustedBudget,Sheet1!S71_SubMunicipalVoteNo,$AC:$AC,Sheet1!S71_A5CapexCode,$AD:$AD)</f>
        <v>0</v>
      </c>
      <c r="AC296" s="1336">
        <v>119</v>
      </c>
      <c r="AD296" s="1336" t="s">
        <v>1846</v>
      </c>
    </row>
    <row r="297" spans="1:30" x14ac:dyDescent="0.25">
      <c r="A297" s="858" t="str">
        <f>B5B!A128</f>
        <v/>
      </c>
      <c r="B297" s="855"/>
      <c r="C297" s="1360">
        <f>SUMIFS(Sheet1!S71_OriginalBudget,Sheet1!S71_SubMunicipalVoteNo,$AC:$AC,Sheet1!S71_A5CapexCode,$AD:$AD)</f>
        <v>0</v>
      </c>
      <c r="D297" s="1356">
        <f>SUMIFS(Sheet1!S71_SpecialAdjustedBudget,Sheet1!S71_SubMunicipalVoteNo,$AC:$AC,Sheet1!S71_A5CapexCode,$AD:$AD)</f>
        <v>0</v>
      </c>
      <c r="E297" s="1356"/>
      <c r="F297" s="1356"/>
      <c r="G297" s="1356"/>
      <c r="H297" s="1356"/>
      <c r="I297" s="1356">
        <f>SUMIFS(Sheet1!S71_AdjustmentAmount,Sheet1!S71_SubMunicipalVoteNo,$AC:$AC,Sheet1!S71_A5CapexCode,$AD:$AD)</f>
        <v>0</v>
      </c>
      <c r="J297" s="75">
        <f t="shared" si="39"/>
        <v>0</v>
      </c>
      <c r="K297" s="75">
        <f t="shared" si="35"/>
        <v>0</v>
      </c>
      <c r="L297" s="1356">
        <f>SUMIFS(Sheet1!S71_OY1AdjustedBudget,Sheet1!S71_SubMunicipalVoteNo,$AC:$AC,Sheet1!S71_A5CapexCode,$AD:$AD)</f>
        <v>0</v>
      </c>
      <c r="M297" s="1357">
        <f>SUMIFS(Sheet1!S71_OY2AdjustedBudget,Sheet1!S71_SubMunicipalVoteNo,$AC:$AC,Sheet1!S71_A5CapexCode,$AD:$AD)</f>
        <v>0</v>
      </c>
      <c r="AC297" s="1336">
        <v>1110</v>
      </c>
      <c r="AD297" s="1336" t="s">
        <v>1846</v>
      </c>
    </row>
    <row r="298" spans="1:30" x14ac:dyDescent="0.25">
      <c r="A298" s="856" t="str">
        <f>B5B!A129</f>
        <v>Vote 12 - Waste Management</v>
      </c>
      <c r="B298" s="855"/>
      <c r="C298" s="733">
        <f t="shared" ref="C298:I298" si="42">SUM(C299:C308)</f>
        <v>0</v>
      </c>
      <c r="D298" s="732">
        <f t="shared" si="42"/>
        <v>0</v>
      </c>
      <c r="E298" s="732">
        <f t="shared" si="42"/>
        <v>0</v>
      </c>
      <c r="F298" s="732">
        <f t="shared" si="42"/>
        <v>0</v>
      </c>
      <c r="G298" s="732">
        <f t="shared" si="42"/>
        <v>0</v>
      </c>
      <c r="H298" s="732">
        <f t="shared" si="42"/>
        <v>0</v>
      </c>
      <c r="I298" s="732">
        <f t="shared" si="42"/>
        <v>0</v>
      </c>
      <c r="J298" s="75">
        <f t="shared" si="39"/>
        <v>0</v>
      </c>
      <c r="K298" s="75">
        <f t="shared" si="35"/>
        <v>0</v>
      </c>
      <c r="L298" s="732">
        <f>SUM(L299:L308)</f>
        <v>0</v>
      </c>
      <c r="M298" s="759">
        <f>SUM(M299:M308)</f>
        <v>0</v>
      </c>
    </row>
    <row r="299" spans="1:30" x14ac:dyDescent="0.25">
      <c r="A299" s="858" t="str">
        <f>B5B!A130</f>
        <v>12.1 - Solid Waste Removal</v>
      </c>
      <c r="B299" s="855"/>
      <c r="C299" s="1360">
        <f>SUMIFS(Sheet1!S71_OriginalBudget,Sheet1!S71_SubMunicipalVoteNo,$AC:$AC,Sheet1!S71_A5CapexCode,$AD:$AD)</f>
        <v>0</v>
      </c>
      <c r="D299" s="1356">
        <f>SUMIFS(Sheet1!S71_SpecialAdjustedBudget,Sheet1!S71_SubMunicipalVoteNo,$AC:$AC,Sheet1!S71_A5CapexCode,$AD:$AD)</f>
        <v>0</v>
      </c>
      <c r="E299" s="1356"/>
      <c r="F299" s="1356"/>
      <c r="G299" s="1356"/>
      <c r="H299" s="1356"/>
      <c r="I299" s="1356">
        <f>SUMIFS(Sheet1!S71_AdjustmentAmount,Sheet1!S71_SubMunicipalVoteNo,$AC:$AC,Sheet1!S71_A5CapexCode,$AD:$AD)</f>
        <v>0</v>
      </c>
      <c r="J299" s="75">
        <f t="shared" si="39"/>
        <v>0</v>
      </c>
      <c r="K299" s="75">
        <f t="shared" si="35"/>
        <v>0</v>
      </c>
      <c r="L299" s="1356">
        <f>SUMIFS(Sheet1!S71_OY1AdjustedBudget,Sheet1!S71_SubMunicipalVoteNo,$AC:$AC,Sheet1!S71_A5CapexCode,$AD:$AD)</f>
        <v>0</v>
      </c>
      <c r="M299" s="1357">
        <f>SUMIFS(Sheet1!S71_OY2AdjustedBudget,Sheet1!S71_SubMunicipalVoteNo,$AC:$AC,Sheet1!S71_A5CapexCode,$AD:$AD)</f>
        <v>0</v>
      </c>
      <c r="AC299" s="1336">
        <v>121</v>
      </c>
      <c r="AD299" s="1336" t="s">
        <v>1846</v>
      </c>
    </row>
    <row r="300" spans="1:30" x14ac:dyDescent="0.25">
      <c r="A300" s="858" t="str">
        <f>B5B!A131</f>
        <v>12.2 - Street Cleaning</v>
      </c>
      <c r="B300" s="855"/>
      <c r="C300" s="1360">
        <f>SUMIFS(Sheet1!S71_OriginalBudget,Sheet1!S71_SubMunicipalVoteNo,$AC:$AC,Sheet1!S71_A5CapexCode,$AD:$AD)</f>
        <v>0</v>
      </c>
      <c r="D300" s="1356">
        <f>SUMIFS(Sheet1!S71_SpecialAdjustedBudget,Sheet1!S71_SubMunicipalVoteNo,$AC:$AC,Sheet1!S71_A5CapexCode,$AD:$AD)</f>
        <v>0</v>
      </c>
      <c r="E300" s="1356"/>
      <c r="F300" s="1356"/>
      <c r="G300" s="1356"/>
      <c r="H300" s="1356"/>
      <c r="I300" s="1356">
        <f>SUMIFS(Sheet1!S71_AdjustmentAmount,Sheet1!S71_SubMunicipalVoteNo,$AC:$AC,Sheet1!S71_A5CapexCode,$AD:$AD)</f>
        <v>0</v>
      </c>
      <c r="J300" s="75">
        <f t="shared" si="39"/>
        <v>0</v>
      </c>
      <c r="K300" s="75">
        <f t="shared" si="35"/>
        <v>0</v>
      </c>
      <c r="L300" s="1356">
        <f>SUMIFS(Sheet1!S71_OY1AdjustedBudget,Sheet1!S71_SubMunicipalVoteNo,$AC:$AC,Sheet1!S71_A5CapexCode,$AD:$AD)</f>
        <v>0</v>
      </c>
      <c r="M300" s="1357">
        <f>SUMIFS(Sheet1!S71_OY2AdjustedBudget,Sheet1!S71_SubMunicipalVoteNo,$AC:$AC,Sheet1!S71_A5CapexCode,$AD:$AD)</f>
        <v>0</v>
      </c>
      <c r="AC300" s="1336">
        <v>122</v>
      </c>
      <c r="AD300" s="1336" t="s">
        <v>1846</v>
      </c>
    </row>
    <row r="301" spans="1:30" x14ac:dyDescent="0.25">
      <c r="A301" s="858" t="str">
        <f>B5B!A132</f>
        <v>12.3 - Solid Waste Disposal (Landfill Sites)</v>
      </c>
      <c r="B301" s="855"/>
      <c r="C301" s="1360">
        <f>SUMIFS(Sheet1!S71_OriginalBudget,Sheet1!S71_SubMunicipalVoteNo,$AC:$AC,Sheet1!S71_A5CapexCode,$AD:$AD)</f>
        <v>0</v>
      </c>
      <c r="D301" s="1356">
        <f>SUMIFS(Sheet1!S71_SpecialAdjustedBudget,Sheet1!S71_SubMunicipalVoteNo,$AC:$AC,Sheet1!S71_A5CapexCode,$AD:$AD)</f>
        <v>0</v>
      </c>
      <c r="E301" s="1356"/>
      <c r="F301" s="1356"/>
      <c r="G301" s="1356"/>
      <c r="H301" s="1356"/>
      <c r="I301" s="1356">
        <f>SUMIFS(Sheet1!S71_AdjustmentAmount,Sheet1!S71_SubMunicipalVoteNo,$AC:$AC,Sheet1!S71_A5CapexCode,$AD:$AD)</f>
        <v>0</v>
      </c>
      <c r="J301" s="75">
        <f t="shared" si="39"/>
        <v>0</v>
      </c>
      <c r="K301" s="75">
        <f t="shared" si="35"/>
        <v>0</v>
      </c>
      <c r="L301" s="1356">
        <f>SUMIFS(Sheet1!S71_OY1AdjustedBudget,Sheet1!S71_SubMunicipalVoteNo,$AC:$AC,Sheet1!S71_A5CapexCode,$AD:$AD)</f>
        <v>0</v>
      </c>
      <c r="M301" s="1357">
        <f>SUMIFS(Sheet1!S71_OY2AdjustedBudget,Sheet1!S71_SubMunicipalVoteNo,$AC:$AC,Sheet1!S71_A5CapexCode,$AD:$AD)</f>
        <v>0</v>
      </c>
      <c r="AC301" s="1336">
        <v>123</v>
      </c>
      <c r="AD301" s="1336" t="s">
        <v>1846</v>
      </c>
    </row>
    <row r="302" spans="1:30" x14ac:dyDescent="0.25">
      <c r="A302" s="858" t="str">
        <f>B5B!A133</f>
        <v/>
      </c>
      <c r="B302" s="855"/>
      <c r="C302" s="1360">
        <f>SUMIFS(Sheet1!S71_OriginalBudget,Sheet1!S71_SubMunicipalVoteNo,$AC:$AC,Sheet1!S71_A5CapexCode,$AD:$AD)</f>
        <v>0</v>
      </c>
      <c r="D302" s="1356">
        <f>SUMIFS(Sheet1!S71_SpecialAdjustedBudget,Sheet1!S71_SubMunicipalVoteNo,$AC:$AC,Sheet1!S71_A5CapexCode,$AD:$AD)</f>
        <v>0</v>
      </c>
      <c r="E302" s="1356"/>
      <c r="F302" s="1356"/>
      <c r="G302" s="1356"/>
      <c r="H302" s="1356"/>
      <c r="I302" s="1356">
        <f>SUMIFS(Sheet1!S71_AdjustmentAmount,Sheet1!S71_SubMunicipalVoteNo,$AC:$AC,Sheet1!S71_A5CapexCode,$AD:$AD)</f>
        <v>0</v>
      </c>
      <c r="J302" s="75">
        <f t="shared" si="39"/>
        <v>0</v>
      </c>
      <c r="K302" s="75">
        <f t="shared" si="35"/>
        <v>0</v>
      </c>
      <c r="L302" s="1356">
        <f>SUMIFS(Sheet1!S71_OY1AdjustedBudget,Sheet1!S71_SubMunicipalVoteNo,$AC:$AC,Sheet1!S71_A5CapexCode,$AD:$AD)</f>
        <v>0</v>
      </c>
      <c r="M302" s="1357">
        <f>SUMIFS(Sheet1!S71_OY2AdjustedBudget,Sheet1!S71_SubMunicipalVoteNo,$AC:$AC,Sheet1!S71_A5CapexCode,$AD:$AD)</f>
        <v>0</v>
      </c>
      <c r="AC302" s="1336">
        <v>124</v>
      </c>
      <c r="AD302" s="1336" t="s">
        <v>1846</v>
      </c>
    </row>
    <row r="303" spans="1:30" x14ac:dyDescent="0.25">
      <c r="A303" s="858" t="str">
        <f>B5B!A134</f>
        <v/>
      </c>
      <c r="B303" s="855"/>
      <c r="C303" s="1360">
        <f>SUMIFS(Sheet1!S71_OriginalBudget,Sheet1!S71_SubMunicipalVoteNo,$AC:$AC,Sheet1!S71_A5CapexCode,$AD:$AD)</f>
        <v>0</v>
      </c>
      <c r="D303" s="1356">
        <f>SUMIFS(Sheet1!S71_SpecialAdjustedBudget,Sheet1!S71_SubMunicipalVoteNo,$AC:$AC,Sheet1!S71_A5CapexCode,$AD:$AD)</f>
        <v>0</v>
      </c>
      <c r="E303" s="1356"/>
      <c r="F303" s="1356"/>
      <c r="G303" s="1356"/>
      <c r="H303" s="1356"/>
      <c r="I303" s="1356">
        <f>SUMIFS(Sheet1!S71_AdjustmentAmount,Sheet1!S71_SubMunicipalVoteNo,$AC:$AC,Sheet1!S71_A5CapexCode,$AD:$AD)</f>
        <v>0</v>
      </c>
      <c r="J303" s="75">
        <f t="shared" si="39"/>
        <v>0</v>
      </c>
      <c r="K303" s="75">
        <f t="shared" si="35"/>
        <v>0</v>
      </c>
      <c r="L303" s="1356">
        <f>SUMIFS(Sheet1!S71_OY1AdjustedBudget,Sheet1!S71_SubMunicipalVoteNo,$AC:$AC,Sheet1!S71_A5CapexCode,$AD:$AD)</f>
        <v>0</v>
      </c>
      <c r="M303" s="1357">
        <f>SUMIFS(Sheet1!S71_OY2AdjustedBudget,Sheet1!S71_SubMunicipalVoteNo,$AC:$AC,Sheet1!S71_A5CapexCode,$AD:$AD)</f>
        <v>0</v>
      </c>
      <c r="AC303" s="1336">
        <v>125</v>
      </c>
      <c r="AD303" s="1336" t="s">
        <v>1846</v>
      </c>
    </row>
    <row r="304" spans="1:30" x14ac:dyDescent="0.25">
      <c r="A304" s="858" t="str">
        <f>B5B!A135</f>
        <v/>
      </c>
      <c r="B304" s="855"/>
      <c r="C304" s="1360">
        <f>SUMIFS(Sheet1!S71_OriginalBudget,Sheet1!S71_SubMunicipalVoteNo,$AC:$AC,Sheet1!S71_A5CapexCode,$AD:$AD)</f>
        <v>0</v>
      </c>
      <c r="D304" s="1356">
        <f>SUMIFS(Sheet1!S71_SpecialAdjustedBudget,Sheet1!S71_SubMunicipalVoteNo,$AC:$AC,Sheet1!S71_A5CapexCode,$AD:$AD)</f>
        <v>0</v>
      </c>
      <c r="E304" s="1356"/>
      <c r="F304" s="1356"/>
      <c r="G304" s="1356"/>
      <c r="H304" s="1356"/>
      <c r="I304" s="1356">
        <f>SUMIFS(Sheet1!S71_AdjustmentAmount,Sheet1!S71_SubMunicipalVoteNo,$AC:$AC,Sheet1!S71_A5CapexCode,$AD:$AD)</f>
        <v>0</v>
      </c>
      <c r="J304" s="75">
        <f t="shared" si="39"/>
        <v>0</v>
      </c>
      <c r="K304" s="75">
        <f t="shared" si="35"/>
        <v>0</v>
      </c>
      <c r="L304" s="1356">
        <f>SUMIFS(Sheet1!S71_OY1AdjustedBudget,Sheet1!S71_SubMunicipalVoteNo,$AC:$AC,Sheet1!S71_A5CapexCode,$AD:$AD)</f>
        <v>0</v>
      </c>
      <c r="M304" s="1357">
        <f>SUMIFS(Sheet1!S71_OY2AdjustedBudget,Sheet1!S71_SubMunicipalVoteNo,$AC:$AC,Sheet1!S71_A5CapexCode,$AD:$AD)</f>
        <v>0</v>
      </c>
      <c r="AC304" s="1336">
        <v>126</v>
      </c>
      <c r="AD304" s="1336" t="s">
        <v>1846</v>
      </c>
    </row>
    <row r="305" spans="1:30" x14ac:dyDescent="0.25">
      <c r="A305" s="858" t="str">
        <f>B5B!A136</f>
        <v/>
      </c>
      <c r="B305" s="855"/>
      <c r="C305" s="1360">
        <f>SUMIFS(Sheet1!S71_OriginalBudget,Sheet1!S71_SubMunicipalVoteNo,$AC:$AC,Sheet1!S71_A5CapexCode,$AD:$AD)</f>
        <v>0</v>
      </c>
      <c r="D305" s="1356">
        <f>SUMIFS(Sheet1!S71_SpecialAdjustedBudget,Sheet1!S71_SubMunicipalVoteNo,$AC:$AC,Sheet1!S71_A5CapexCode,$AD:$AD)</f>
        <v>0</v>
      </c>
      <c r="E305" s="1356"/>
      <c r="F305" s="1356"/>
      <c r="G305" s="1356"/>
      <c r="H305" s="1356"/>
      <c r="I305" s="1356">
        <f>SUMIFS(Sheet1!S71_AdjustmentAmount,Sheet1!S71_SubMunicipalVoteNo,$AC:$AC,Sheet1!S71_A5CapexCode,$AD:$AD)</f>
        <v>0</v>
      </c>
      <c r="J305" s="75">
        <f t="shared" ref="J305:J336" si="43">SUM(E305:I305)</f>
        <v>0</v>
      </c>
      <c r="K305" s="75">
        <f t="shared" ref="K305:K342" si="44">IF(D305=0,C305+J305,D305+J305)</f>
        <v>0</v>
      </c>
      <c r="L305" s="1356">
        <f>SUMIFS(Sheet1!S71_OY1AdjustedBudget,Sheet1!S71_SubMunicipalVoteNo,$AC:$AC,Sheet1!S71_A5CapexCode,$AD:$AD)</f>
        <v>0</v>
      </c>
      <c r="M305" s="1357">
        <f>SUMIFS(Sheet1!S71_OY2AdjustedBudget,Sheet1!S71_SubMunicipalVoteNo,$AC:$AC,Sheet1!S71_A5CapexCode,$AD:$AD)</f>
        <v>0</v>
      </c>
      <c r="AC305" s="1336">
        <v>127</v>
      </c>
      <c r="AD305" s="1336" t="s">
        <v>1846</v>
      </c>
    </row>
    <row r="306" spans="1:30" x14ac:dyDescent="0.25">
      <c r="A306" s="858" t="str">
        <f>B5B!A137</f>
        <v/>
      </c>
      <c r="B306" s="855"/>
      <c r="C306" s="1360">
        <f>SUMIFS(Sheet1!S71_OriginalBudget,Sheet1!S71_SubMunicipalVoteNo,$AC:$AC,Sheet1!S71_A5CapexCode,$AD:$AD)</f>
        <v>0</v>
      </c>
      <c r="D306" s="1356">
        <f>SUMIFS(Sheet1!S71_SpecialAdjustedBudget,Sheet1!S71_SubMunicipalVoteNo,$AC:$AC,Sheet1!S71_A5CapexCode,$AD:$AD)</f>
        <v>0</v>
      </c>
      <c r="E306" s="1356"/>
      <c r="F306" s="1356"/>
      <c r="G306" s="1356"/>
      <c r="H306" s="1356"/>
      <c r="I306" s="1356">
        <f>SUMIFS(Sheet1!S71_AdjustmentAmount,Sheet1!S71_SubMunicipalVoteNo,$AC:$AC,Sheet1!S71_A5CapexCode,$AD:$AD)</f>
        <v>0</v>
      </c>
      <c r="J306" s="75">
        <f t="shared" si="43"/>
        <v>0</v>
      </c>
      <c r="K306" s="75">
        <f t="shared" si="44"/>
        <v>0</v>
      </c>
      <c r="L306" s="1356">
        <f>SUMIFS(Sheet1!S71_OY1AdjustedBudget,Sheet1!S71_SubMunicipalVoteNo,$AC:$AC,Sheet1!S71_A5CapexCode,$AD:$AD)</f>
        <v>0</v>
      </c>
      <c r="M306" s="1357">
        <f>SUMIFS(Sheet1!S71_OY2AdjustedBudget,Sheet1!S71_SubMunicipalVoteNo,$AC:$AC,Sheet1!S71_A5CapexCode,$AD:$AD)</f>
        <v>0</v>
      </c>
      <c r="AC306" s="1336">
        <v>128</v>
      </c>
      <c r="AD306" s="1336" t="s">
        <v>1846</v>
      </c>
    </row>
    <row r="307" spans="1:30" x14ac:dyDescent="0.25">
      <c r="A307" s="858" t="str">
        <f>B5B!A138</f>
        <v/>
      </c>
      <c r="B307" s="855"/>
      <c r="C307" s="1360">
        <f>SUMIFS(Sheet1!S71_OriginalBudget,Sheet1!S71_SubMunicipalVoteNo,$AC:$AC,Sheet1!S71_A5CapexCode,$AD:$AD)</f>
        <v>0</v>
      </c>
      <c r="D307" s="1356">
        <f>SUMIFS(Sheet1!S71_SpecialAdjustedBudget,Sheet1!S71_SubMunicipalVoteNo,$AC:$AC,Sheet1!S71_A5CapexCode,$AD:$AD)</f>
        <v>0</v>
      </c>
      <c r="E307" s="1356"/>
      <c r="F307" s="1356"/>
      <c r="G307" s="1356"/>
      <c r="H307" s="1356"/>
      <c r="I307" s="1356">
        <f>SUMIFS(Sheet1!S71_AdjustmentAmount,Sheet1!S71_SubMunicipalVoteNo,$AC:$AC,Sheet1!S71_A5CapexCode,$AD:$AD)</f>
        <v>0</v>
      </c>
      <c r="J307" s="75">
        <f t="shared" si="43"/>
        <v>0</v>
      </c>
      <c r="K307" s="75">
        <f t="shared" si="44"/>
        <v>0</v>
      </c>
      <c r="L307" s="1356">
        <f>SUMIFS(Sheet1!S71_OY1AdjustedBudget,Sheet1!S71_SubMunicipalVoteNo,$AC:$AC,Sheet1!S71_A5CapexCode,$AD:$AD)</f>
        <v>0</v>
      </c>
      <c r="M307" s="1357">
        <f>SUMIFS(Sheet1!S71_OY2AdjustedBudget,Sheet1!S71_SubMunicipalVoteNo,$AC:$AC,Sheet1!S71_A5CapexCode,$AD:$AD)</f>
        <v>0</v>
      </c>
      <c r="AC307" s="1336">
        <v>129</v>
      </c>
      <c r="AD307" s="1336" t="s">
        <v>1846</v>
      </c>
    </row>
    <row r="308" spans="1:30" x14ac:dyDescent="0.25">
      <c r="A308" s="858" t="str">
        <f>B5B!A139</f>
        <v/>
      </c>
      <c r="B308" s="855"/>
      <c r="C308" s="1360">
        <f>SUMIFS(Sheet1!S71_OriginalBudget,Sheet1!S71_SubMunicipalVoteNo,$AC:$AC,Sheet1!S71_A5CapexCode,$AD:$AD)</f>
        <v>0</v>
      </c>
      <c r="D308" s="1356">
        <f>SUMIFS(Sheet1!S71_SpecialAdjustedBudget,Sheet1!S71_SubMunicipalVoteNo,$AC:$AC,Sheet1!S71_A5CapexCode,$AD:$AD)</f>
        <v>0</v>
      </c>
      <c r="E308" s="1356"/>
      <c r="F308" s="1356"/>
      <c r="G308" s="1356"/>
      <c r="H308" s="1356"/>
      <c r="I308" s="1356">
        <f>SUMIFS(Sheet1!S71_AdjustmentAmount,Sheet1!S71_SubMunicipalVoteNo,$AC:$AC,Sheet1!S71_A5CapexCode,$AD:$AD)</f>
        <v>0</v>
      </c>
      <c r="J308" s="75">
        <f t="shared" si="43"/>
        <v>0</v>
      </c>
      <c r="K308" s="75">
        <f t="shared" si="44"/>
        <v>0</v>
      </c>
      <c r="L308" s="1356">
        <f>SUMIFS(Sheet1!S71_OY1AdjustedBudget,Sheet1!S71_SubMunicipalVoteNo,$AC:$AC,Sheet1!S71_A5CapexCode,$AD:$AD)</f>
        <v>0</v>
      </c>
      <c r="M308" s="1357">
        <f>SUMIFS(Sheet1!S71_OY2AdjustedBudget,Sheet1!S71_SubMunicipalVoteNo,$AC:$AC,Sheet1!S71_A5CapexCode,$AD:$AD)</f>
        <v>0</v>
      </c>
      <c r="AC308" s="1336">
        <v>1210</v>
      </c>
      <c r="AD308" s="1336" t="s">
        <v>1846</v>
      </c>
    </row>
    <row r="309" spans="1:30" x14ac:dyDescent="0.25">
      <c r="A309" s="856" t="str">
        <f>B5B!A140</f>
        <v>Vote 13 - Housing</v>
      </c>
      <c r="B309" s="855"/>
      <c r="C309" s="733">
        <f t="shared" ref="C309:I309" si="45">SUM(C310:C319)</f>
        <v>0</v>
      </c>
      <c r="D309" s="732">
        <f t="shared" si="45"/>
        <v>0</v>
      </c>
      <c r="E309" s="732">
        <f t="shared" si="45"/>
        <v>0</v>
      </c>
      <c r="F309" s="732">
        <f t="shared" si="45"/>
        <v>0</v>
      </c>
      <c r="G309" s="732">
        <f t="shared" si="45"/>
        <v>0</v>
      </c>
      <c r="H309" s="732">
        <f t="shared" si="45"/>
        <v>0</v>
      </c>
      <c r="I309" s="732">
        <f t="shared" si="45"/>
        <v>0</v>
      </c>
      <c r="J309" s="75">
        <f t="shared" si="43"/>
        <v>0</v>
      </c>
      <c r="K309" s="75">
        <f t="shared" si="44"/>
        <v>0</v>
      </c>
      <c r="L309" s="732">
        <f>SUM(L310:L319)</f>
        <v>0</v>
      </c>
      <c r="M309" s="759">
        <f>SUM(M310:M319)</f>
        <v>0</v>
      </c>
    </row>
    <row r="310" spans="1:30" x14ac:dyDescent="0.25">
      <c r="A310" s="858" t="str">
        <f>B5B!A141</f>
        <v>13.1 - Housing</v>
      </c>
      <c r="B310" s="855"/>
      <c r="C310" s="1360">
        <f>SUMIFS(Sheet1!S71_OriginalBudget,Sheet1!S71_SubMunicipalVoteNo,$AC:$AC,Sheet1!S71_A5CapexCode,$AD:$AD)</f>
        <v>0</v>
      </c>
      <c r="D310" s="1356">
        <f>SUMIFS(Sheet1!S71_SpecialAdjustedBudget,Sheet1!S71_SubMunicipalVoteNo,$AC:$AC,Sheet1!S71_A5CapexCode,$AD:$AD)</f>
        <v>0</v>
      </c>
      <c r="E310" s="1356"/>
      <c r="F310" s="1356"/>
      <c r="G310" s="1356"/>
      <c r="H310" s="1356"/>
      <c r="I310" s="1356">
        <f>SUMIFS(Sheet1!S71_AdjustmentAmount,Sheet1!S71_SubMunicipalVoteNo,$AC:$AC,Sheet1!S71_A5CapexCode,$AD:$AD)</f>
        <v>0</v>
      </c>
      <c r="J310" s="75">
        <f t="shared" si="43"/>
        <v>0</v>
      </c>
      <c r="K310" s="75">
        <f t="shared" si="44"/>
        <v>0</v>
      </c>
      <c r="L310" s="1356">
        <f>SUMIFS(Sheet1!S71_OY1AdjustedBudget,Sheet1!S71_SubMunicipalVoteNo,$AC:$AC,Sheet1!S71_A5CapexCode,$AD:$AD)</f>
        <v>0</v>
      </c>
      <c r="M310" s="1357">
        <f>SUMIFS(Sheet1!S71_OY2AdjustedBudget,Sheet1!S71_SubMunicipalVoteNo,$AC:$AC,Sheet1!S71_A5CapexCode,$AD:$AD)</f>
        <v>0</v>
      </c>
      <c r="AC310" s="1336">
        <v>131</v>
      </c>
      <c r="AD310" s="1336" t="s">
        <v>1846</v>
      </c>
    </row>
    <row r="311" spans="1:30" x14ac:dyDescent="0.25">
      <c r="A311" s="858" t="str">
        <f>B5B!A142</f>
        <v/>
      </c>
      <c r="B311" s="855"/>
      <c r="C311" s="1360">
        <f>SUMIFS(Sheet1!S71_OriginalBudget,Sheet1!S71_SubMunicipalVoteNo,$AC:$AC,Sheet1!S71_A5CapexCode,$AD:$AD)</f>
        <v>0</v>
      </c>
      <c r="D311" s="1356">
        <f>SUMIFS(Sheet1!S71_SpecialAdjustedBudget,Sheet1!S71_SubMunicipalVoteNo,$AC:$AC,Sheet1!S71_A5CapexCode,$AD:$AD)</f>
        <v>0</v>
      </c>
      <c r="E311" s="1356"/>
      <c r="F311" s="1356"/>
      <c r="G311" s="1356"/>
      <c r="H311" s="1356"/>
      <c r="I311" s="1356">
        <f>SUMIFS(Sheet1!S71_AdjustmentAmount,Sheet1!S71_SubMunicipalVoteNo,$AC:$AC,Sheet1!S71_A5CapexCode,$AD:$AD)</f>
        <v>0</v>
      </c>
      <c r="J311" s="75">
        <f t="shared" si="43"/>
        <v>0</v>
      </c>
      <c r="K311" s="75">
        <f t="shared" si="44"/>
        <v>0</v>
      </c>
      <c r="L311" s="1356">
        <f>SUMIFS(Sheet1!S71_OY1AdjustedBudget,Sheet1!S71_SubMunicipalVoteNo,$AC:$AC,Sheet1!S71_A5CapexCode,$AD:$AD)</f>
        <v>0</v>
      </c>
      <c r="M311" s="1357">
        <f>SUMIFS(Sheet1!S71_OY2AdjustedBudget,Sheet1!S71_SubMunicipalVoteNo,$AC:$AC,Sheet1!S71_A5CapexCode,$AD:$AD)</f>
        <v>0</v>
      </c>
      <c r="AC311" s="1336">
        <v>132</v>
      </c>
      <c r="AD311" s="1336" t="s">
        <v>1846</v>
      </c>
    </row>
    <row r="312" spans="1:30" x14ac:dyDescent="0.25">
      <c r="A312" s="858" t="str">
        <f>B5B!A143</f>
        <v/>
      </c>
      <c r="B312" s="855"/>
      <c r="C312" s="1360">
        <f>SUMIFS(Sheet1!S71_OriginalBudget,Sheet1!S71_SubMunicipalVoteNo,$AC:$AC,Sheet1!S71_A5CapexCode,$AD:$AD)</f>
        <v>0</v>
      </c>
      <c r="D312" s="1356">
        <f>SUMIFS(Sheet1!S71_SpecialAdjustedBudget,Sheet1!S71_SubMunicipalVoteNo,$AC:$AC,Sheet1!S71_A5CapexCode,$AD:$AD)</f>
        <v>0</v>
      </c>
      <c r="E312" s="1356"/>
      <c r="F312" s="1356"/>
      <c r="G312" s="1356"/>
      <c r="H312" s="1356"/>
      <c r="I312" s="1356">
        <f>SUMIFS(Sheet1!S71_AdjustmentAmount,Sheet1!S71_SubMunicipalVoteNo,$AC:$AC,Sheet1!S71_A5CapexCode,$AD:$AD)</f>
        <v>0</v>
      </c>
      <c r="J312" s="75">
        <f t="shared" si="43"/>
        <v>0</v>
      </c>
      <c r="K312" s="75">
        <f t="shared" si="44"/>
        <v>0</v>
      </c>
      <c r="L312" s="1356">
        <f>SUMIFS(Sheet1!S71_OY1AdjustedBudget,Sheet1!S71_SubMunicipalVoteNo,$AC:$AC,Sheet1!S71_A5CapexCode,$AD:$AD)</f>
        <v>0</v>
      </c>
      <c r="M312" s="1357">
        <f>SUMIFS(Sheet1!S71_OY2AdjustedBudget,Sheet1!S71_SubMunicipalVoteNo,$AC:$AC,Sheet1!S71_A5CapexCode,$AD:$AD)</f>
        <v>0</v>
      </c>
      <c r="AC312" s="1336">
        <v>133</v>
      </c>
      <c r="AD312" s="1336" t="s">
        <v>1846</v>
      </c>
    </row>
    <row r="313" spans="1:30" x14ac:dyDescent="0.25">
      <c r="A313" s="858" t="str">
        <f>B5B!A144</f>
        <v/>
      </c>
      <c r="B313" s="855"/>
      <c r="C313" s="1360">
        <f>SUMIFS(Sheet1!S71_OriginalBudget,Sheet1!S71_SubMunicipalVoteNo,$AC:$AC,Sheet1!S71_A5CapexCode,$AD:$AD)</f>
        <v>0</v>
      </c>
      <c r="D313" s="1356">
        <f>SUMIFS(Sheet1!S71_SpecialAdjustedBudget,Sheet1!S71_SubMunicipalVoteNo,$AC:$AC,Sheet1!S71_A5CapexCode,$AD:$AD)</f>
        <v>0</v>
      </c>
      <c r="E313" s="1356"/>
      <c r="F313" s="1356"/>
      <c r="G313" s="1356"/>
      <c r="H313" s="1356"/>
      <c r="I313" s="1356">
        <f>SUMIFS(Sheet1!S71_AdjustmentAmount,Sheet1!S71_SubMunicipalVoteNo,$AC:$AC,Sheet1!S71_A5CapexCode,$AD:$AD)</f>
        <v>0</v>
      </c>
      <c r="J313" s="75">
        <f t="shared" si="43"/>
        <v>0</v>
      </c>
      <c r="K313" s="75">
        <f t="shared" si="44"/>
        <v>0</v>
      </c>
      <c r="L313" s="1356">
        <f>SUMIFS(Sheet1!S71_OY1AdjustedBudget,Sheet1!S71_SubMunicipalVoteNo,$AC:$AC,Sheet1!S71_A5CapexCode,$AD:$AD)</f>
        <v>0</v>
      </c>
      <c r="M313" s="1357">
        <f>SUMIFS(Sheet1!S71_OY2AdjustedBudget,Sheet1!S71_SubMunicipalVoteNo,$AC:$AC,Sheet1!S71_A5CapexCode,$AD:$AD)</f>
        <v>0</v>
      </c>
      <c r="AC313" s="1336">
        <v>134</v>
      </c>
      <c r="AD313" s="1336" t="s">
        <v>1846</v>
      </c>
    </row>
    <row r="314" spans="1:30" x14ac:dyDescent="0.25">
      <c r="A314" s="858" t="str">
        <f>B5B!A145</f>
        <v/>
      </c>
      <c r="B314" s="855"/>
      <c r="C314" s="1360">
        <f>SUMIFS(Sheet1!S71_OriginalBudget,Sheet1!S71_SubMunicipalVoteNo,$AC:$AC,Sheet1!S71_A5CapexCode,$AD:$AD)</f>
        <v>0</v>
      </c>
      <c r="D314" s="1356">
        <f>SUMIFS(Sheet1!S71_SpecialAdjustedBudget,Sheet1!S71_SubMunicipalVoteNo,$AC:$AC,Sheet1!S71_A5CapexCode,$AD:$AD)</f>
        <v>0</v>
      </c>
      <c r="E314" s="1356"/>
      <c r="F314" s="1356"/>
      <c r="G314" s="1356"/>
      <c r="H314" s="1356"/>
      <c r="I314" s="1356">
        <f>SUMIFS(Sheet1!S71_AdjustmentAmount,Sheet1!S71_SubMunicipalVoteNo,$AC:$AC,Sheet1!S71_A5CapexCode,$AD:$AD)</f>
        <v>0</v>
      </c>
      <c r="J314" s="75">
        <f t="shared" si="43"/>
        <v>0</v>
      </c>
      <c r="K314" s="75">
        <f t="shared" si="44"/>
        <v>0</v>
      </c>
      <c r="L314" s="1356">
        <f>SUMIFS(Sheet1!S71_OY1AdjustedBudget,Sheet1!S71_SubMunicipalVoteNo,$AC:$AC,Sheet1!S71_A5CapexCode,$AD:$AD)</f>
        <v>0</v>
      </c>
      <c r="M314" s="1357">
        <f>SUMIFS(Sheet1!S71_OY2AdjustedBudget,Sheet1!S71_SubMunicipalVoteNo,$AC:$AC,Sheet1!S71_A5CapexCode,$AD:$AD)</f>
        <v>0</v>
      </c>
      <c r="AC314" s="1336">
        <v>135</v>
      </c>
      <c r="AD314" s="1336" t="s">
        <v>1846</v>
      </c>
    </row>
    <row r="315" spans="1:30" x14ac:dyDescent="0.25">
      <c r="A315" s="858" t="str">
        <f>B5B!A146</f>
        <v/>
      </c>
      <c r="B315" s="855"/>
      <c r="C315" s="1360">
        <f>SUMIFS(Sheet1!S71_OriginalBudget,Sheet1!S71_SubMunicipalVoteNo,$AC:$AC,Sheet1!S71_A5CapexCode,$AD:$AD)</f>
        <v>0</v>
      </c>
      <c r="D315" s="1356">
        <f>SUMIFS(Sheet1!S71_SpecialAdjustedBudget,Sheet1!S71_SubMunicipalVoteNo,$AC:$AC,Sheet1!S71_A5CapexCode,$AD:$AD)</f>
        <v>0</v>
      </c>
      <c r="E315" s="1356"/>
      <c r="F315" s="1356"/>
      <c r="G315" s="1356"/>
      <c r="H315" s="1356"/>
      <c r="I315" s="1356">
        <f>SUMIFS(Sheet1!S71_AdjustmentAmount,Sheet1!S71_SubMunicipalVoteNo,$AC:$AC,Sheet1!S71_A5CapexCode,$AD:$AD)</f>
        <v>0</v>
      </c>
      <c r="J315" s="75">
        <f t="shared" si="43"/>
        <v>0</v>
      </c>
      <c r="K315" s="75">
        <f t="shared" si="44"/>
        <v>0</v>
      </c>
      <c r="L315" s="1356">
        <f>SUMIFS(Sheet1!S71_OY1AdjustedBudget,Sheet1!S71_SubMunicipalVoteNo,$AC:$AC,Sheet1!S71_A5CapexCode,$AD:$AD)</f>
        <v>0</v>
      </c>
      <c r="M315" s="1357">
        <f>SUMIFS(Sheet1!S71_OY2AdjustedBudget,Sheet1!S71_SubMunicipalVoteNo,$AC:$AC,Sheet1!S71_A5CapexCode,$AD:$AD)</f>
        <v>0</v>
      </c>
      <c r="AC315" s="1336">
        <v>136</v>
      </c>
      <c r="AD315" s="1336" t="s">
        <v>1846</v>
      </c>
    </row>
    <row r="316" spans="1:30" x14ac:dyDescent="0.25">
      <c r="A316" s="858" t="str">
        <f>B5B!A147</f>
        <v/>
      </c>
      <c r="B316" s="855"/>
      <c r="C316" s="1360">
        <f>SUMIFS(Sheet1!S71_OriginalBudget,Sheet1!S71_SubMunicipalVoteNo,$AC:$AC,Sheet1!S71_A5CapexCode,$AD:$AD)</f>
        <v>0</v>
      </c>
      <c r="D316" s="1356">
        <f>SUMIFS(Sheet1!S71_SpecialAdjustedBudget,Sheet1!S71_SubMunicipalVoteNo,$AC:$AC,Sheet1!S71_A5CapexCode,$AD:$AD)</f>
        <v>0</v>
      </c>
      <c r="E316" s="1356"/>
      <c r="F316" s="1356"/>
      <c r="G316" s="1356"/>
      <c r="H316" s="1356"/>
      <c r="I316" s="1356">
        <f>SUMIFS(Sheet1!S71_AdjustmentAmount,Sheet1!S71_SubMunicipalVoteNo,$AC:$AC,Sheet1!S71_A5CapexCode,$AD:$AD)</f>
        <v>0</v>
      </c>
      <c r="J316" s="75">
        <f t="shared" si="43"/>
        <v>0</v>
      </c>
      <c r="K316" s="75">
        <f t="shared" si="44"/>
        <v>0</v>
      </c>
      <c r="L316" s="1356">
        <f>SUMIFS(Sheet1!S71_OY1AdjustedBudget,Sheet1!S71_SubMunicipalVoteNo,$AC:$AC,Sheet1!S71_A5CapexCode,$AD:$AD)</f>
        <v>0</v>
      </c>
      <c r="M316" s="1357">
        <f>SUMIFS(Sheet1!S71_OY2AdjustedBudget,Sheet1!S71_SubMunicipalVoteNo,$AC:$AC,Sheet1!S71_A5CapexCode,$AD:$AD)</f>
        <v>0</v>
      </c>
      <c r="AC316" s="1336">
        <v>137</v>
      </c>
      <c r="AD316" s="1336" t="s">
        <v>1846</v>
      </c>
    </row>
    <row r="317" spans="1:30" x14ac:dyDescent="0.25">
      <c r="A317" s="858" t="str">
        <f>B5B!A148</f>
        <v/>
      </c>
      <c r="B317" s="855"/>
      <c r="C317" s="1360">
        <f>SUMIFS(Sheet1!S71_OriginalBudget,Sheet1!S71_SubMunicipalVoteNo,$AC:$AC,Sheet1!S71_A5CapexCode,$AD:$AD)</f>
        <v>0</v>
      </c>
      <c r="D317" s="1356">
        <f>SUMIFS(Sheet1!S71_SpecialAdjustedBudget,Sheet1!S71_SubMunicipalVoteNo,$AC:$AC,Sheet1!S71_A5CapexCode,$AD:$AD)</f>
        <v>0</v>
      </c>
      <c r="E317" s="1356"/>
      <c r="F317" s="1356"/>
      <c r="G317" s="1356"/>
      <c r="H317" s="1356"/>
      <c r="I317" s="1356">
        <f>SUMIFS(Sheet1!S71_AdjustmentAmount,Sheet1!S71_SubMunicipalVoteNo,$AC:$AC,Sheet1!S71_A5CapexCode,$AD:$AD)</f>
        <v>0</v>
      </c>
      <c r="J317" s="75">
        <f t="shared" si="43"/>
        <v>0</v>
      </c>
      <c r="K317" s="75">
        <f t="shared" si="44"/>
        <v>0</v>
      </c>
      <c r="L317" s="1356">
        <f>SUMIFS(Sheet1!S71_OY1AdjustedBudget,Sheet1!S71_SubMunicipalVoteNo,$AC:$AC,Sheet1!S71_A5CapexCode,$AD:$AD)</f>
        <v>0</v>
      </c>
      <c r="M317" s="1357">
        <f>SUMIFS(Sheet1!S71_OY2AdjustedBudget,Sheet1!S71_SubMunicipalVoteNo,$AC:$AC,Sheet1!S71_A5CapexCode,$AD:$AD)</f>
        <v>0</v>
      </c>
      <c r="AC317" s="1336">
        <v>138</v>
      </c>
      <c r="AD317" s="1336" t="s">
        <v>1846</v>
      </c>
    </row>
    <row r="318" spans="1:30" x14ac:dyDescent="0.25">
      <c r="A318" s="858" t="str">
        <f>B5B!A149</f>
        <v/>
      </c>
      <c r="B318" s="855"/>
      <c r="C318" s="1360">
        <f>SUMIFS(Sheet1!S71_OriginalBudget,Sheet1!S71_SubMunicipalVoteNo,$AC:$AC,Sheet1!S71_A5CapexCode,$AD:$AD)</f>
        <v>0</v>
      </c>
      <c r="D318" s="1356">
        <f>SUMIFS(Sheet1!S71_SpecialAdjustedBudget,Sheet1!S71_SubMunicipalVoteNo,$AC:$AC,Sheet1!S71_A5CapexCode,$AD:$AD)</f>
        <v>0</v>
      </c>
      <c r="E318" s="1356"/>
      <c r="F318" s="1356"/>
      <c r="G318" s="1356"/>
      <c r="H318" s="1356"/>
      <c r="I318" s="1356">
        <f>SUMIFS(Sheet1!S71_AdjustmentAmount,Sheet1!S71_SubMunicipalVoteNo,$AC:$AC,Sheet1!S71_A5CapexCode,$AD:$AD)</f>
        <v>0</v>
      </c>
      <c r="J318" s="75">
        <f t="shared" si="43"/>
        <v>0</v>
      </c>
      <c r="K318" s="75">
        <f t="shared" si="44"/>
        <v>0</v>
      </c>
      <c r="L318" s="1356">
        <f>SUMIFS(Sheet1!S71_OY1AdjustedBudget,Sheet1!S71_SubMunicipalVoteNo,$AC:$AC,Sheet1!S71_A5CapexCode,$AD:$AD)</f>
        <v>0</v>
      </c>
      <c r="M318" s="1357">
        <f>SUMIFS(Sheet1!S71_OY2AdjustedBudget,Sheet1!S71_SubMunicipalVoteNo,$AC:$AC,Sheet1!S71_A5CapexCode,$AD:$AD)</f>
        <v>0</v>
      </c>
      <c r="AC318" s="1336">
        <v>139</v>
      </c>
      <c r="AD318" s="1336" t="s">
        <v>1846</v>
      </c>
    </row>
    <row r="319" spans="1:30" x14ac:dyDescent="0.25">
      <c r="A319" s="858" t="str">
        <f>B5B!A150</f>
        <v/>
      </c>
      <c r="B319" s="855"/>
      <c r="C319" s="1360">
        <f>SUMIFS(Sheet1!S71_OriginalBudget,Sheet1!S71_SubMunicipalVoteNo,$AC:$AC,Sheet1!S71_A5CapexCode,$AD:$AD)</f>
        <v>0</v>
      </c>
      <c r="D319" s="1356">
        <f>SUMIFS(Sheet1!S71_SpecialAdjustedBudget,Sheet1!S71_SubMunicipalVoteNo,$AC:$AC,Sheet1!S71_A5CapexCode,$AD:$AD)</f>
        <v>0</v>
      </c>
      <c r="E319" s="1356"/>
      <c r="F319" s="1356"/>
      <c r="G319" s="1356"/>
      <c r="H319" s="1356"/>
      <c r="I319" s="1356">
        <f>SUMIFS(Sheet1!S71_AdjustmentAmount,Sheet1!S71_SubMunicipalVoteNo,$AC:$AC,Sheet1!S71_A5CapexCode,$AD:$AD)</f>
        <v>0</v>
      </c>
      <c r="J319" s="75">
        <f t="shared" si="43"/>
        <v>0</v>
      </c>
      <c r="K319" s="75">
        <f t="shared" si="44"/>
        <v>0</v>
      </c>
      <c r="L319" s="1356">
        <f>SUMIFS(Sheet1!S71_OY1AdjustedBudget,Sheet1!S71_SubMunicipalVoteNo,$AC:$AC,Sheet1!S71_A5CapexCode,$AD:$AD)</f>
        <v>0</v>
      </c>
      <c r="M319" s="1357">
        <f>SUMIFS(Sheet1!S71_OY2AdjustedBudget,Sheet1!S71_SubMunicipalVoteNo,$AC:$AC,Sheet1!S71_A5CapexCode,$AD:$AD)</f>
        <v>0</v>
      </c>
      <c r="AC319" s="1336">
        <v>1310</v>
      </c>
      <c r="AD319" s="1336" t="s">
        <v>1846</v>
      </c>
    </row>
    <row r="320" spans="1:30" x14ac:dyDescent="0.25">
      <c r="A320" s="856" t="str">
        <f>B5B!A151</f>
        <v>Vote 14 - Waste Water Management</v>
      </c>
      <c r="B320" s="855"/>
      <c r="C320" s="733">
        <f t="shared" ref="C320:I320" si="46">SUM(C321:C330)</f>
        <v>0</v>
      </c>
      <c r="D320" s="732">
        <f t="shared" si="46"/>
        <v>0</v>
      </c>
      <c r="E320" s="732">
        <f t="shared" si="46"/>
        <v>0</v>
      </c>
      <c r="F320" s="732">
        <f t="shared" si="46"/>
        <v>0</v>
      </c>
      <c r="G320" s="732">
        <f t="shared" si="46"/>
        <v>0</v>
      </c>
      <c r="H320" s="732">
        <f t="shared" si="46"/>
        <v>0</v>
      </c>
      <c r="I320" s="732">
        <f t="shared" si="46"/>
        <v>0</v>
      </c>
      <c r="J320" s="75">
        <f t="shared" si="43"/>
        <v>0</v>
      </c>
      <c r="K320" s="75">
        <f t="shared" si="44"/>
        <v>0</v>
      </c>
      <c r="L320" s="732">
        <f>SUM(L321:L330)</f>
        <v>0</v>
      </c>
      <c r="M320" s="759">
        <f>SUM(M321:M330)</f>
        <v>0</v>
      </c>
    </row>
    <row r="321" spans="1:30" x14ac:dyDescent="0.25">
      <c r="A321" s="858" t="str">
        <f>B5B!A152</f>
        <v>14.1 - Storm Water Management</v>
      </c>
      <c r="B321" s="855"/>
      <c r="C321" s="1360">
        <f>SUMIFS(Sheet1!S71_OriginalBudget,Sheet1!S71_SubMunicipalVoteNo,$AC:$AC,Sheet1!S71_A5CapexCode,$AD:$AD)</f>
        <v>0</v>
      </c>
      <c r="D321" s="1356">
        <f>SUMIFS(Sheet1!S71_SpecialAdjustedBudget,Sheet1!S71_SubMunicipalVoteNo,$AC:$AC,Sheet1!S71_A5CapexCode,$AD:$AD)</f>
        <v>0</v>
      </c>
      <c r="E321" s="1356"/>
      <c r="F321" s="1356"/>
      <c r="G321" s="1356"/>
      <c r="H321" s="1356"/>
      <c r="I321" s="1356">
        <f>SUMIFS(Sheet1!S71_AdjustmentAmount,Sheet1!S71_SubMunicipalVoteNo,$AC:$AC,Sheet1!S71_A5CapexCode,$AD:$AD)</f>
        <v>0</v>
      </c>
      <c r="J321" s="75">
        <f t="shared" si="43"/>
        <v>0</v>
      </c>
      <c r="K321" s="75">
        <f t="shared" si="44"/>
        <v>0</v>
      </c>
      <c r="L321" s="1356">
        <f>SUMIFS(Sheet1!S71_OY1AdjustedBudget,Sheet1!S71_SubMunicipalVoteNo,$AC:$AC,Sheet1!S71_A5CapexCode,$AD:$AD)</f>
        <v>0</v>
      </c>
      <c r="M321" s="1357">
        <f>SUMIFS(Sheet1!S71_OY2AdjustedBudget,Sheet1!S71_SubMunicipalVoteNo,$AC:$AC,Sheet1!S71_A5CapexCode,$AD:$AD)</f>
        <v>0</v>
      </c>
      <c r="AC321" s="1336">
        <v>141</v>
      </c>
      <c r="AD321" s="1336" t="s">
        <v>1846</v>
      </c>
    </row>
    <row r="322" spans="1:30" x14ac:dyDescent="0.25">
      <c r="A322" s="858" t="str">
        <f>B5B!A153</f>
        <v/>
      </c>
      <c r="B322" s="855"/>
      <c r="C322" s="1360">
        <f>SUMIFS(Sheet1!S71_OriginalBudget,Sheet1!S71_SubMunicipalVoteNo,$AC:$AC,Sheet1!S71_A5CapexCode,$AD:$AD)</f>
        <v>0</v>
      </c>
      <c r="D322" s="1356">
        <f>SUMIFS(Sheet1!S71_SpecialAdjustedBudget,Sheet1!S71_SubMunicipalVoteNo,$AC:$AC,Sheet1!S71_A5CapexCode,$AD:$AD)</f>
        <v>0</v>
      </c>
      <c r="E322" s="1356"/>
      <c r="F322" s="1356"/>
      <c r="G322" s="1356"/>
      <c r="H322" s="1356"/>
      <c r="I322" s="1356">
        <f>SUMIFS(Sheet1!S71_AdjustmentAmount,Sheet1!S71_SubMunicipalVoteNo,$AC:$AC,Sheet1!S71_A5CapexCode,$AD:$AD)</f>
        <v>0</v>
      </c>
      <c r="J322" s="75">
        <f t="shared" si="43"/>
        <v>0</v>
      </c>
      <c r="K322" s="75">
        <f t="shared" si="44"/>
        <v>0</v>
      </c>
      <c r="L322" s="1356">
        <f>SUMIFS(Sheet1!S71_OY1AdjustedBudget,Sheet1!S71_SubMunicipalVoteNo,$AC:$AC,Sheet1!S71_A5CapexCode,$AD:$AD)</f>
        <v>0</v>
      </c>
      <c r="M322" s="1357">
        <f>SUMIFS(Sheet1!S71_OY2AdjustedBudget,Sheet1!S71_SubMunicipalVoteNo,$AC:$AC,Sheet1!S71_A5CapexCode,$AD:$AD)</f>
        <v>0</v>
      </c>
      <c r="AC322" s="1336">
        <v>142</v>
      </c>
      <c r="AD322" s="1336" t="s">
        <v>1846</v>
      </c>
    </row>
    <row r="323" spans="1:30" x14ac:dyDescent="0.25">
      <c r="A323" s="858" t="str">
        <f>B5B!A154</f>
        <v/>
      </c>
      <c r="B323" s="855"/>
      <c r="C323" s="1360">
        <f>SUMIFS(Sheet1!S71_OriginalBudget,Sheet1!S71_SubMunicipalVoteNo,$AC:$AC,Sheet1!S71_A5CapexCode,$AD:$AD)</f>
        <v>0</v>
      </c>
      <c r="D323" s="1356">
        <f>SUMIFS(Sheet1!S71_SpecialAdjustedBudget,Sheet1!S71_SubMunicipalVoteNo,$AC:$AC,Sheet1!S71_A5CapexCode,$AD:$AD)</f>
        <v>0</v>
      </c>
      <c r="E323" s="1356"/>
      <c r="F323" s="1356"/>
      <c r="G323" s="1356"/>
      <c r="H323" s="1356"/>
      <c r="I323" s="1356">
        <f>SUMIFS(Sheet1!S71_AdjustmentAmount,Sheet1!S71_SubMunicipalVoteNo,$AC:$AC,Sheet1!S71_A5CapexCode,$AD:$AD)</f>
        <v>0</v>
      </c>
      <c r="J323" s="75">
        <f t="shared" si="43"/>
        <v>0</v>
      </c>
      <c r="K323" s="75">
        <f t="shared" si="44"/>
        <v>0</v>
      </c>
      <c r="L323" s="1356">
        <f>SUMIFS(Sheet1!S71_OY1AdjustedBudget,Sheet1!S71_SubMunicipalVoteNo,$AC:$AC,Sheet1!S71_A5CapexCode,$AD:$AD)</f>
        <v>0</v>
      </c>
      <c r="M323" s="1357">
        <f>SUMIFS(Sheet1!S71_OY2AdjustedBudget,Sheet1!S71_SubMunicipalVoteNo,$AC:$AC,Sheet1!S71_A5CapexCode,$AD:$AD)</f>
        <v>0</v>
      </c>
      <c r="AC323" s="1336">
        <v>143</v>
      </c>
      <c r="AD323" s="1336" t="s">
        <v>1846</v>
      </c>
    </row>
    <row r="324" spans="1:30" x14ac:dyDescent="0.25">
      <c r="A324" s="858" t="str">
        <f>B5B!A155</f>
        <v/>
      </c>
      <c r="B324" s="855"/>
      <c r="C324" s="1360">
        <f>SUMIFS(Sheet1!S71_OriginalBudget,Sheet1!S71_SubMunicipalVoteNo,$AC:$AC,Sheet1!S71_A5CapexCode,$AD:$AD)</f>
        <v>0</v>
      </c>
      <c r="D324" s="1356">
        <f>SUMIFS(Sheet1!S71_SpecialAdjustedBudget,Sheet1!S71_SubMunicipalVoteNo,$AC:$AC,Sheet1!S71_A5CapexCode,$AD:$AD)</f>
        <v>0</v>
      </c>
      <c r="E324" s="1356"/>
      <c r="F324" s="1356"/>
      <c r="G324" s="1356"/>
      <c r="H324" s="1356"/>
      <c r="I324" s="1356">
        <f>SUMIFS(Sheet1!S71_AdjustmentAmount,Sheet1!S71_SubMunicipalVoteNo,$AC:$AC,Sheet1!S71_A5CapexCode,$AD:$AD)</f>
        <v>0</v>
      </c>
      <c r="J324" s="75">
        <f t="shared" si="43"/>
        <v>0</v>
      </c>
      <c r="K324" s="75">
        <f t="shared" si="44"/>
        <v>0</v>
      </c>
      <c r="L324" s="1356">
        <f>SUMIFS(Sheet1!S71_OY1AdjustedBudget,Sheet1!S71_SubMunicipalVoteNo,$AC:$AC,Sheet1!S71_A5CapexCode,$AD:$AD)</f>
        <v>0</v>
      </c>
      <c r="M324" s="1357">
        <f>SUMIFS(Sheet1!S71_OY2AdjustedBudget,Sheet1!S71_SubMunicipalVoteNo,$AC:$AC,Sheet1!S71_A5CapexCode,$AD:$AD)</f>
        <v>0</v>
      </c>
      <c r="AC324" s="1336">
        <v>144</v>
      </c>
      <c r="AD324" s="1336" t="s">
        <v>1846</v>
      </c>
    </row>
    <row r="325" spans="1:30" x14ac:dyDescent="0.25">
      <c r="A325" s="858" t="str">
        <f>B5B!A156</f>
        <v/>
      </c>
      <c r="B325" s="855"/>
      <c r="C325" s="1360">
        <f>SUMIFS(Sheet1!S71_OriginalBudget,Sheet1!S71_SubMunicipalVoteNo,$AC:$AC,Sheet1!S71_A5CapexCode,$AD:$AD)</f>
        <v>0</v>
      </c>
      <c r="D325" s="1356">
        <f>SUMIFS(Sheet1!S71_SpecialAdjustedBudget,Sheet1!S71_SubMunicipalVoteNo,$AC:$AC,Sheet1!S71_A5CapexCode,$AD:$AD)</f>
        <v>0</v>
      </c>
      <c r="E325" s="1356"/>
      <c r="F325" s="1356"/>
      <c r="G325" s="1356"/>
      <c r="H325" s="1356"/>
      <c r="I325" s="1356">
        <f>SUMIFS(Sheet1!S71_AdjustmentAmount,Sheet1!S71_SubMunicipalVoteNo,$AC:$AC,Sheet1!S71_A5CapexCode,$AD:$AD)</f>
        <v>0</v>
      </c>
      <c r="J325" s="75">
        <f t="shared" si="43"/>
        <v>0</v>
      </c>
      <c r="K325" s="75">
        <f t="shared" si="44"/>
        <v>0</v>
      </c>
      <c r="L325" s="1356">
        <f>SUMIFS(Sheet1!S71_OY1AdjustedBudget,Sheet1!S71_SubMunicipalVoteNo,$AC:$AC,Sheet1!S71_A5CapexCode,$AD:$AD)</f>
        <v>0</v>
      </c>
      <c r="M325" s="1357">
        <f>SUMIFS(Sheet1!S71_OY2AdjustedBudget,Sheet1!S71_SubMunicipalVoteNo,$AC:$AC,Sheet1!S71_A5CapexCode,$AD:$AD)</f>
        <v>0</v>
      </c>
      <c r="AC325" s="1336">
        <v>145</v>
      </c>
      <c r="AD325" s="1336" t="s">
        <v>1846</v>
      </c>
    </row>
    <row r="326" spans="1:30" x14ac:dyDescent="0.25">
      <c r="A326" s="858" t="str">
        <f>B5B!A157</f>
        <v/>
      </c>
      <c r="B326" s="855"/>
      <c r="C326" s="1360">
        <f>SUMIFS(Sheet1!S71_OriginalBudget,Sheet1!S71_SubMunicipalVoteNo,$AC:$AC,Sheet1!S71_A5CapexCode,$AD:$AD)</f>
        <v>0</v>
      </c>
      <c r="D326" s="1356">
        <f>SUMIFS(Sheet1!S71_SpecialAdjustedBudget,Sheet1!S71_SubMunicipalVoteNo,$AC:$AC,Sheet1!S71_A5CapexCode,$AD:$AD)</f>
        <v>0</v>
      </c>
      <c r="E326" s="1356"/>
      <c r="F326" s="1356"/>
      <c r="G326" s="1356"/>
      <c r="H326" s="1356"/>
      <c r="I326" s="1356">
        <f>SUMIFS(Sheet1!S71_AdjustmentAmount,Sheet1!S71_SubMunicipalVoteNo,$AC:$AC,Sheet1!S71_A5CapexCode,$AD:$AD)</f>
        <v>0</v>
      </c>
      <c r="J326" s="75">
        <f t="shared" si="43"/>
        <v>0</v>
      </c>
      <c r="K326" s="75">
        <f t="shared" si="44"/>
        <v>0</v>
      </c>
      <c r="L326" s="1356">
        <f>SUMIFS(Sheet1!S71_OY1AdjustedBudget,Sheet1!S71_SubMunicipalVoteNo,$AC:$AC,Sheet1!S71_A5CapexCode,$AD:$AD)</f>
        <v>0</v>
      </c>
      <c r="M326" s="1357">
        <f>SUMIFS(Sheet1!S71_OY2AdjustedBudget,Sheet1!S71_SubMunicipalVoteNo,$AC:$AC,Sheet1!S71_A5CapexCode,$AD:$AD)</f>
        <v>0</v>
      </c>
      <c r="AC326" s="1336">
        <v>146</v>
      </c>
      <c r="AD326" s="1336" t="s">
        <v>1846</v>
      </c>
    </row>
    <row r="327" spans="1:30" x14ac:dyDescent="0.25">
      <c r="A327" s="858" t="str">
        <f>B5B!A158</f>
        <v/>
      </c>
      <c r="B327" s="855"/>
      <c r="C327" s="1360">
        <f>SUMIFS(Sheet1!S71_OriginalBudget,Sheet1!S71_SubMunicipalVoteNo,$AC:$AC,Sheet1!S71_A5CapexCode,$AD:$AD)</f>
        <v>0</v>
      </c>
      <c r="D327" s="1356">
        <f>SUMIFS(Sheet1!S71_SpecialAdjustedBudget,Sheet1!S71_SubMunicipalVoteNo,$AC:$AC,Sheet1!S71_A5CapexCode,$AD:$AD)</f>
        <v>0</v>
      </c>
      <c r="E327" s="1356"/>
      <c r="F327" s="1356"/>
      <c r="G327" s="1356"/>
      <c r="H327" s="1356"/>
      <c r="I327" s="1356">
        <f>SUMIFS(Sheet1!S71_AdjustmentAmount,Sheet1!S71_SubMunicipalVoteNo,$AC:$AC,Sheet1!S71_A5CapexCode,$AD:$AD)</f>
        <v>0</v>
      </c>
      <c r="J327" s="75">
        <f t="shared" si="43"/>
        <v>0</v>
      </c>
      <c r="K327" s="75">
        <f t="shared" si="44"/>
        <v>0</v>
      </c>
      <c r="L327" s="1356">
        <f>SUMIFS(Sheet1!S71_OY1AdjustedBudget,Sheet1!S71_SubMunicipalVoteNo,$AC:$AC,Sheet1!S71_A5CapexCode,$AD:$AD)</f>
        <v>0</v>
      </c>
      <c r="M327" s="1357">
        <f>SUMIFS(Sheet1!S71_OY2AdjustedBudget,Sheet1!S71_SubMunicipalVoteNo,$AC:$AC,Sheet1!S71_A5CapexCode,$AD:$AD)</f>
        <v>0</v>
      </c>
      <c r="AC327" s="1336">
        <v>147</v>
      </c>
      <c r="AD327" s="1336" t="s">
        <v>1846</v>
      </c>
    </row>
    <row r="328" spans="1:30" x14ac:dyDescent="0.25">
      <c r="A328" s="858" t="str">
        <f>B5B!A159</f>
        <v/>
      </c>
      <c r="B328" s="855"/>
      <c r="C328" s="1360">
        <f>SUMIFS(Sheet1!S71_OriginalBudget,Sheet1!S71_SubMunicipalVoteNo,$AC:$AC,Sheet1!S71_A5CapexCode,$AD:$AD)</f>
        <v>0</v>
      </c>
      <c r="D328" s="1356">
        <f>SUMIFS(Sheet1!S71_SpecialAdjustedBudget,Sheet1!S71_SubMunicipalVoteNo,$AC:$AC,Sheet1!S71_A5CapexCode,$AD:$AD)</f>
        <v>0</v>
      </c>
      <c r="E328" s="1356"/>
      <c r="F328" s="1356"/>
      <c r="G328" s="1356"/>
      <c r="H328" s="1356"/>
      <c r="I328" s="1356">
        <f>SUMIFS(Sheet1!S71_AdjustmentAmount,Sheet1!S71_SubMunicipalVoteNo,$AC:$AC,Sheet1!S71_A5CapexCode,$AD:$AD)</f>
        <v>0</v>
      </c>
      <c r="J328" s="75">
        <f t="shared" si="43"/>
        <v>0</v>
      </c>
      <c r="K328" s="75">
        <f t="shared" si="44"/>
        <v>0</v>
      </c>
      <c r="L328" s="1356">
        <f>SUMIFS(Sheet1!S71_OY1AdjustedBudget,Sheet1!S71_SubMunicipalVoteNo,$AC:$AC,Sheet1!S71_A5CapexCode,$AD:$AD)</f>
        <v>0</v>
      </c>
      <c r="M328" s="1357">
        <f>SUMIFS(Sheet1!S71_OY2AdjustedBudget,Sheet1!S71_SubMunicipalVoteNo,$AC:$AC,Sheet1!S71_A5CapexCode,$AD:$AD)</f>
        <v>0</v>
      </c>
      <c r="AC328" s="1336">
        <v>148</v>
      </c>
      <c r="AD328" s="1336" t="s">
        <v>1846</v>
      </c>
    </row>
    <row r="329" spans="1:30" x14ac:dyDescent="0.25">
      <c r="A329" s="858" t="str">
        <f>B5B!A160</f>
        <v/>
      </c>
      <c r="B329" s="855"/>
      <c r="C329" s="1360">
        <f>SUMIFS(Sheet1!S71_OriginalBudget,Sheet1!S71_SubMunicipalVoteNo,$AC:$AC,Sheet1!S71_A5CapexCode,$AD:$AD)</f>
        <v>0</v>
      </c>
      <c r="D329" s="1356">
        <f>SUMIFS(Sheet1!S71_SpecialAdjustedBudget,Sheet1!S71_SubMunicipalVoteNo,$AC:$AC,Sheet1!S71_A5CapexCode,$AD:$AD)</f>
        <v>0</v>
      </c>
      <c r="E329" s="1356"/>
      <c r="F329" s="1356"/>
      <c r="G329" s="1356"/>
      <c r="H329" s="1356"/>
      <c r="I329" s="1356">
        <f>SUMIFS(Sheet1!S71_AdjustmentAmount,Sheet1!S71_SubMunicipalVoteNo,$AC:$AC,Sheet1!S71_A5CapexCode,$AD:$AD)</f>
        <v>0</v>
      </c>
      <c r="J329" s="75">
        <f t="shared" si="43"/>
        <v>0</v>
      </c>
      <c r="K329" s="75">
        <f t="shared" si="44"/>
        <v>0</v>
      </c>
      <c r="L329" s="1356">
        <f>SUMIFS(Sheet1!S71_OY1AdjustedBudget,Sheet1!S71_SubMunicipalVoteNo,$AC:$AC,Sheet1!S71_A5CapexCode,$AD:$AD)</f>
        <v>0</v>
      </c>
      <c r="M329" s="1357">
        <f>SUMIFS(Sheet1!S71_OY2AdjustedBudget,Sheet1!S71_SubMunicipalVoteNo,$AC:$AC,Sheet1!S71_A5CapexCode,$AD:$AD)</f>
        <v>0</v>
      </c>
      <c r="AC329" s="1336">
        <v>149</v>
      </c>
      <c r="AD329" s="1336" t="s">
        <v>1846</v>
      </c>
    </row>
    <row r="330" spans="1:30" x14ac:dyDescent="0.25">
      <c r="A330" s="858" t="str">
        <f>B5B!A161</f>
        <v/>
      </c>
      <c r="B330" s="855"/>
      <c r="C330" s="1360">
        <f>SUMIFS(Sheet1!S71_OriginalBudget,Sheet1!S71_SubMunicipalVoteNo,$AC:$AC,Sheet1!S71_A5CapexCode,$AD:$AD)</f>
        <v>0</v>
      </c>
      <c r="D330" s="1356">
        <f>SUMIFS(Sheet1!S71_SpecialAdjustedBudget,Sheet1!S71_SubMunicipalVoteNo,$AC:$AC,Sheet1!S71_A5CapexCode,$AD:$AD)</f>
        <v>0</v>
      </c>
      <c r="E330" s="1356"/>
      <c r="F330" s="1356"/>
      <c r="G330" s="1356"/>
      <c r="H330" s="1356"/>
      <c r="I330" s="1356">
        <f>SUMIFS(Sheet1!S71_AdjustmentAmount,Sheet1!S71_SubMunicipalVoteNo,$AC:$AC,Sheet1!S71_A5CapexCode,$AD:$AD)</f>
        <v>0</v>
      </c>
      <c r="J330" s="75">
        <f t="shared" si="43"/>
        <v>0</v>
      </c>
      <c r="K330" s="75">
        <f t="shared" si="44"/>
        <v>0</v>
      </c>
      <c r="L330" s="1356">
        <f>SUMIFS(Sheet1!S71_OY1AdjustedBudget,Sheet1!S71_SubMunicipalVoteNo,$AC:$AC,Sheet1!S71_A5CapexCode,$AD:$AD)</f>
        <v>0</v>
      </c>
      <c r="M330" s="1357">
        <f>SUMIFS(Sheet1!S71_OY2AdjustedBudget,Sheet1!S71_SubMunicipalVoteNo,$AC:$AC,Sheet1!S71_A5CapexCode,$AD:$AD)</f>
        <v>0</v>
      </c>
      <c r="AC330" s="1336">
        <v>1410</v>
      </c>
      <c r="AD330" s="1336" t="s">
        <v>1846</v>
      </c>
    </row>
    <row r="331" spans="1:30" x14ac:dyDescent="0.25">
      <c r="A331" s="856" t="str">
        <f>B5B!A162</f>
        <v>Vote 15 - Health</v>
      </c>
      <c r="B331" s="855"/>
      <c r="C331" s="733">
        <f t="shared" ref="C331:I331" si="47">SUM(C332:C341)</f>
        <v>0</v>
      </c>
      <c r="D331" s="732">
        <f t="shared" si="47"/>
        <v>0</v>
      </c>
      <c r="E331" s="732">
        <f t="shared" si="47"/>
        <v>0</v>
      </c>
      <c r="F331" s="732">
        <f t="shared" si="47"/>
        <v>0</v>
      </c>
      <c r="G331" s="732">
        <f t="shared" si="47"/>
        <v>0</v>
      </c>
      <c r="H331" s="732">
        <f t="shared" si="47"/>
        <v>0</v>
      </c>
      <c r="I331" s="732">
        <f t="shared" si="47"/>
        <v>0</v>
      </c>
      <c r="J331" s="75">
        <f t="shared" si="43"/>
        <v>0</v>
      </c>
      <c r="K331" s="75">
        <f t="shared" si="44"/>
        <v>0</v>
      </c>
      <c r="L331" s="732">
        <f>SUM(L332:L341)</f>
        <v>0</v>
      </c>
      <c r="M331" s="759">
        <f>SUM(M332:M341)</f>
        <v>0</v>
      </c>
    </row>
    <row r="332" spans="1:30" x14ac:dyDescent="0.25">
      <c r="A332" s="858" t="str">
        <f>B5B!A163</f>
        <v>15.1 - Health Services</v>
      </c>
      <c r="B332" s="855"/>
      <c r="C332" s="1360">
        <f>SUMIFS(Sheet1!S71_OriginalBudget,Sheet1!S71_SubMunicipalVoteNo,$AC:$AC,Sheet1!S71_A5CapexCode,$AD:$AD)</f>
        <v>0</v>
      </c>
      <c r="D332" s="1356">
        <f>SUMIFS(Sheet1!S71_SpecialAdjustedBudget,Sheet1!S71_SubMunicipalVoteNo,$AC:$AC,Sheet1!S71_A5CapexCode,$AD:$AD)</f>
        <v>0</v>
      </c>
      <c r="E332" s="1356"/>
      <c r="F332" s="1356"/>
      <c r="G332" s="1356"/>
      <c r="H332" s="1356"/>
      <c r="I332" s="1356">
        <f>SUMIFS(Sheet1!S71_AdjustmentAmount,Sheet1!S71_SubMunicipalVoteNo,$AC:$AC,Sheet1!S71_A5CapexCode,$AD:$AD)</f>
        <v>0</v>
      </c>
      <c r="J332" s="75">
        <f t="shared" si="43"/>
        <v>0</v>
      </c>
      <c r="K332" s="75">
        <f t="shared" si="44"/>
        <v>0</v>
      </c>
      <c r="L332" s="1356">
        <f>SUMIFS(Sheet1!S71_OY1AdjustedBudget,Sheet1!S71_SubMunicipalVoteNo,$AC:$AC,Sheet1!S71_A5CapexCode,$AD:$AD)</f>
        <v>0</v>
      </c>
      <c r="M332" s="1357">
        <f>SUMIFS(Sheet1!S71_OY2AdjustedBudget,Sheet1!S71_SubMunicipalVoteNo,$AC:$AC,Sheet1!S71_A5CapexCode,$AD:$AD)</f>
        <v>0</v>
      </c>
      <c r="AC332" s="1336">
        <v>151</v>
      </c>
      <c r="AD332" s="1336" t="s">
        <v>1846</v>
      </c>
    </row>
    <row r="333" spans="1:30" x14ac:dyDescent="0.25">
      <c r="A333" s="858" t="str">
        <f>B5B!A164</f>
        <v/>
      </c>
      <c r="B333" s="855"/>
      <c r="C333" s="1360">
        <f>SUMIFS(Sheet1!S71_OriginalBudget,Sheet1!S71_SubMunicipalVoteNo,$AC:$AC,Sheet1!S71_A5CapexCode,$AD:$AD)</f>
        <v>0</v>
      </c>
      <c r="D333" s="1356">
        <f>SUMIFS(Sheet1!S71_SpecialAdjustedBudget,Sheet1!S71_SubMunicipalVoteNo,$AC:$AC,Sheet1!S71_A5CapexCode,$AD:$AD)</f>
        <v>0</v>
      </c>
      <c r="E333" s="1356"/>
      <c r="F333" s="1356"/>
      <c r="G333" s="1356"/>
      <c r="H333" s="1356"/>
      <c r="I333" s="1356">
        <f>SUMIFS(Sheet1!S71_AdjustmentAmount,Sheet1!S71_SubMunicipalVoteNo,$AC:$AC,Sheet1!S71_A5CapexCode,$AD:$AD)</f>
        <v>0</v>
      </c>
      <c r="J333" s="75">
        <f t="shared" si="43"/>
        <v>0</v>
      </c>
      <c r="K333" s="75">
        <f t="shared" si="44"/>
        <v>0</v>
      </c>
      <c r="L333" s="1356">
        <f>SUMIFS(Sheet1!S71_OY1AdjustedBudget,Sheet1!S71_SubMunicipalVoteNo,$AC:$AC,Sheet1!S71_A5CapexCode,$AD:$AD)</f>
        <v>0</v>
      </c>
      <c r="M333" s="1357">
        <f>SUMIFS(Sheet1!S71_OY2AdjustedBudget,Sheet1!S71_SubMunicipalVoteNo,$AC:$AC,Sheet1!S71_A5CapexCode,$AD:$AD)</f>
        <v>0</v>
      </c>
      <c r="AC333" s="1336">
        <v>152</v>
      </c>
      <c r="AD333" s="1336" t="s">
        <v>1846</v>
      </c>
    </row>
    <row r="334" spans="1:30" x14ac:dyDescent="0.25">
      <c r="A334" s="858" t="str">
        <f>B5B!A165</f>
        <v/>
      </c>
      <c r="B334" s="855"/>
      <c r="C334" s="1360">
        <f>SUMIFS(Sheet1!S71_OriginalBudget,Sheet1!S71_SubMunicipalVoteNo,$AC:$AC,Sheet1!S71_A5CapexCode,$AD:$AD)</f>
        <v>0</v>
      </c>
      <c r="D334" s="1356">
        <f>SUMIFS(Sheet1!S71_SpecialAdjustedBudget,Sheet1!S71_SubMunicipalVoteNo,$AC:$AC,Sheet1!S71_A5CapexCode,$AD:$AD)</f>
        <v>0</v>
      </c>
      <c r="E334" s="1356"/>
      <c r="F334" s="1356"/>
      <c r="G334" s="1356"/>
      <c r="H334" s="1356"/>
      <c r="I334" s="1356">
        <f>SUMIFS(Sheet1!S71_AdjustmentAmount,Sheet1!S71_SubMunicipalVoteNo,$AC:$AC,Sheet1!S71_A5CapexCode,$AD:$AD)</f>
        <v>0</v>
      </c>
      <c r="J334" s="75">
        <f t="shared" si="43"/>
        <v>0</v>
      </c>
      <c r="K334" s="75">
        <f t="shared" si="44"/>
        <v>0</v>
      </c>
      <c r="L334" s="1356">
        <f>SUMIFS(Sheet1!S71_OY1AdjustedBudget,Sheet1!S71_SubMunicipalVoteNo,$AC:$AC,Sheet1!S71_A5CapexCode,$AD:$AD)</f>
        <v>0</v>
      </c>
      <c r="M334" s="1357">
        <f>SUMIFS(Sheet1!S71_OY2AdjustedBudget,Sheet1!S71_SubMunicipalVoteNo,$AC:$AC,Sheet1!S71_A5CapexCode,$AD:$AD)</f>
        <v>0</v>
      </c>
      <c r="AC334" s="1336">
        <v>153</v>
      </c>
      <c r="AD334" s="1336" t="s">
        <v>1846</v>
      </c>
    </row>
    <row r="335" spans="1:30" x14ac:dyDescent="0.25">
      <c r="A335" s="858" t="str">
        <f>B5B!A166</f>
        <v/>
      </c>
      <c r="B335" s="855"/>
      <c r="C335" s="1360">
        <f>SUMIFS(Sheet1!S71_OriginalBudget,Sheet1!S71_SubMunicipalVoteNo,$AC:$AC,Sheet1!S71_A5CapexCode,$AD:$AD)</f>
        <v>0</v>
      </c>
      <c r="D335" s="1356">
        <f>SUMIFS(Sheet1!S71_SpecialAdjustedBudget,Sheet1!S71_SubMunicipalVoteNo,$AC:$AC,Sheet1!S71_A5CapexCode,$AD:$AD)</f>
        <v>0</v>
      </c>
      <c r="E335" s="1356"/>
      <c r="F335" s="1356"/>
      <c r="G335" s="1356"/>
      <c r="H335" s="1356"/>
      <c r="I335" s="1356">
        <f>SUMIFS(Sheet1!S71_AdjustmentAmount,Sheet1!S71_SubMunicipalVoteNo,$AC:$AC,Sheet1!S71_A5CapexCode,$AD:$AD)</f>
        <v>0</v>
      </c>
      <c r="J335" s="75">
        <f t="shared" si="43"/>
        <v>0</v>
      </c>
      <c r="K335" s="75">
        <f t="shared" si="44"/>
        <v>0</v>
      </c>
      <c r="L335" s="1356">
        <f>SUMIFS(Sheet1!S71_OY1AdjustedBudget,Sheet1!S71_SubMunicipalVoteNo,$AC:$AC,Sheet1!S71_A5CapexCode,$AD:$AD)</f>
        <v>0</v>
      </c>
      <c r="M335" s="1357">
        <f>SUMIFS(Sheet1!S71_OY2AdjustedBudget,Sheet1!S71_SubMunicipalVoteNo,$AC:$AC,Sheet1!S71_A5CapexCode,$AD:$AD)</f>
        <v>0</v>
      </c>
      <c r="AC335" s="1336">
        <v>154</v>
      </c>
      <c r="AD335" s="1336" t="s">
        <v>1846</v>
      </c>
    </row>
    <row r="336" spans="1:30" x14ac:dyDescent="0.25">
      <c r="A336" s="858" t="str">
        <f>B5B!A167</f>
        <v/>
      </c>
      <c r="B336" s="855"/>
      <c r="C336" s="1360">
        <f>SUMIFS(Sheet1!S71_OriginalBudget,Sheet1!S71_SubMunicipalVoteNo,$AC:$AC,Sheet1!S71_A5CapexCode,$AD:$AD)</f>
        <v>0</v>
      </c>
      <c r="D336" s="1356">
        <f>SUMIFS(Sheet1!S71_SpecialAdjustedBudget,Sheet1!S71_SubMunicipalVoteNo,$AC:$AC,Sheet1!S71_A5CapexCode,$AD:$AD)</f>
        <v>0</v>
      </c>
      <c r="E336" s="1356"/>
      <c r="F336" s="1356"/>
      <c r="G336" s="1356"/>
      <c r="H336" s="1356"/>
      <c r="I336" s="1356">
        <f>SUMIFS(Sheet1!S71_AdjustmentAmount,Sheet1!S71_SubMunicipalVoteNo,$AC:$AC,Sheet1!S71_A5CapexCode,$AD:$AD)</f>
        <v>0</v>
      </c>
      <c r="J336" s="75">
        <f t="shared" si="43"/>
        <v>0</v>
      </c>
      <c r="K336" s="75">
        <f t="shared" si="44"/>
        <v>0</v>
      </c>
      <c r="L336" s="1356">
        <f>SUMIFS(Sheet1!S71_OY1AdjustedBudget,Sheet1!S71_SubMunicipalVoteNo,$AC:$AC,Sheet1!S71_A5CapexCode,$AD:$AD)</f>
        <v>0</v>
      </c>
      <c r="M336" s="1357">
        <f>SUMIFS(Sheet1!S71_OY2AdjustedBudget,Sheet1!S71_SubMunicipalVoteNo,$AC:$AC,Sheet1!S71_A5CapexCode,$AD:$AD)</f>
        <v>0</v>
      </c>
      <c r="AC336" s="1336">
        <v>155</v>
      </c>
      <c r="AD336" s="1336" t="s">
        <v>1846</v>
      </c>
    </row>
    <row r="337" spans="1:30" x14ac:dyDescent="0.25">
      <c r="A337" s="858" t="str">
        <f>B5B!A168</f>
        <v/>
      </c>
      <c r="B337" s="855"/>
      <c r="C337" s="1360">
        <f>SUMIFS(Sheet1!S71_OriginalBudget,Sheet1!S71_SubMunicipalVoteNo,$AC:$AC,Sheet1!S71_A5CapexCode,$AD:$AD)</f>
        <v>0</v>
      </c>
      <c r="D337" s="1356">
        <f>SUMIFS(Sheet1!S71_SpecialAdjustedBudget,Sheet1!S71_SubMunicipalVoteNo,$AC:$AC,Sheet1!S71_A5CapexCode,$AD:$AD)</f>
        <v>0</v>
      </c>
      <c r="E337" s="1356"/>
      <c r="F337" s="1356"/>
      <c r="G337" s="1356"/>
      <c r="H337" s="1356"/>
      <c r="I337" s="1356">
        <f>SUMIFS(Sheet1!S71_AdjustmentAmount,Sheet1!S71_SubMunicipalVoteNo,$AC:$AC,Sheet1!S71_A5CapexCode,$AD:$AD)</f>
        <v>0</v>
      </c>
      <c r="J337" s="75">
        <f t="shared" ref="J337:J343" si="48">SUM(E337:I337)</f>
        <v>0</v>
      </c>
      <c r="K337" s="75">
        <f t="shared" si="44"/>
        <v>0</v>
      </c>
      <c r="L337" s="1356">
        <f>SUMIFS(Sheet1!S71_OY1AdjustedBudget,Sheet1!S71_SubMunicipalVoteNo,$AC:$AC,Sheet1!S71_A5CapexCode,$AD:$AD)</f>
        <v>0</v>
      </c>
      <c r="M337" s="1357">
        <f>SUMIFS(Sheet1!S71_OY2AdjustedBudget,Sheet1!S71_SubMunicipalVoteNo,$AC:$AC,Sheet1!S71_A5CapexCode,$AD:$AD)</f>
        <v>0</v>
      </c>
      <c r="AC337" s="1336">
        <v>156</v>
      </c>
      <c r="AD337" s="1336" t="s">
        <v>1846</v>
      </c>
    </row>
    <row r="338" spans="1:30" x14ac:dyDescent="0.25">
      <c r="A338" s="858" t="str">
        <f>B5B!A169</f>
        <v/>
      </c>
      <c r="B338" s="855"/>
      <c r="C338" s="1360">
        <f>SUMIFS(Sheet1!S71_OriginalBudget,Sheet1!S71_SubMunicipalVoteNo,$AC:$AC,Sheet1!S71_A5CapexCode,$AD:$AD)</f>
        <v>0</v>
      </c>
      <c r="D338" s="1356">
        <f>SUMIFS(Sheet1!S71_SpecialAdjustedBudget,Sheet1!S71_SubMunicipalVoteNo,$AC:$AC,Sheet1!S71_A5CapexCode,$AD:$AD)</f>
        <v>0</v>
      </c>
      <c r="E338" s="1356"/>
      <c r="F338" s="1356"/>
      <c r="G338" s="1356"/>
      <c r="H338" s="1356"/>
      <c r="I338" s="1356">
        <f>SUMIFS(Sheet1!S71_AdjustmentAmount,Sheet1!S71_SubMunicipalVoteNo,$AC:$AC,Sheet1!S71_A5CapexCode,$AD:$AD)</f>
        <v>0</v>
      </c>
      <c r="J338" s="75">
        <f t="shared" si="48"/>
        <v>0</v>
      </c>
      <c r="K338" s="75">
        <f t="shared" si="44"/>
        <v>0</v>
      </c>
      <c r="L338" s="1356">
        <f>SUMIFS(Sheet1!S71_OY1AdjustedBudget,Sheet1!S71_SubMunicipalVoteNo,$AC:$AC,Sheet1!S71_A5CapexCode,$AD:$AD)</f>
        <v>0</v>
      </c>
      <c r="M338" s="1357">
        <f>SUMIFS(Sheet1!S71_OY2AdjustedBudget,Sheet1!S71_SubMunicipalVoteNo,$AC:$AC,Sheet1!S71_A5CapexCode,$AD:$AD)</f>
        <v>0</v>
      </c>
      <c r="AC338" s="1336">
        <v>157</v>
      </c>
      <c r="AD338" s="1336" t="s">
        <v>1846</v>
      </c>
    </row>
    <row r="339" spans="1:30" x14ac:dyDescent="0.25">
      <c r="A339" s="858" t="str">
        <f>B5B!A170</f>
        <v/>
      </c>
      <c r="B339" s="855"/>
      <c r="C339" s="1360">
        <f>SUMIFS(Sheet1!S71_OriginalBudget,Sheet1!S71_SubMunicipalVoteNo,$AC:$AC,Sheet1!S71_A5CapexCode,$AD:$AD)</f>
        <v>0</v>
      </c>
      <c r="D339" s="1356">
        <f>SUMIFS(Sheet1!S71_SpecialAdjustedBudget,Sheet1!S71_SubMunicipalVoteNo,$AC:$AC,Sheet1!S71_A5CapexCode,$AD:$AD)</f>
        <v>0</v>
      </c>
      <c r="E339" s="1356"/>
      <c r="F339" s="1356"/>
      <c r="G339" s="1356"/>
      <c r="H339" s="1356"/>
      <c r="I339" s="1356">
        <f>SUMIFS(Sheet1!S71_AdjustmentAmount,Sheet1!S71_SubMunicipalVoteNo,$AC:$AC,Sheet1!S71_A5CapexCode,$AD:$AD)</f>
        <v>0</v>
      </c>
      <c r="J339" s="75">
        <f t="shared" si="48"/>
        <v>0</v>
      </c>
      <c r="K339" s="75">
        <f t="shared" si="44"/>
        <v>0</v>
      </c>
      <c r="L339" s="1356">
        <f>SUMIFS(Sheet1!S71_OY1AdjustedBudget,Sheet1!S71_SubMunicipalVoteNo,$AC:$AC,Sheet1!S71_A5CapexCode,$AD:$AD)</f>
        <v>0</v>
      </c>
      <c r="M339" s="1357">
        <f>SUMIFS(Sheet1!S71_OY2AdjustedBudget,Sheet1!S71_SubMunicipalVoteNo,$AC:$AC,Sheet1!S71_A5CapexCode,$AD:$AD)</f>
        <v>0</v>
      </c>
      <c r="AC339" s="1336">
        <v>158</v>
      </c>
      <c r="AD339" s="1336" t="s">
        <v>1846</v>
      </c>
    </row>
    <row r="340" spans="1:30" x14ac:dyDescent="0.25">
      <c r="A340" s="858" t="str">
        <f>B5B!A171</f>
        <v/>
      </c>
      <c r="B340" s="855"/>
      <c r="C340" s="1360">
        <f>SUMIFS(Sheet1!S71_OriginalBudget,Sheet1!S71_SubMunicipalVoteNo,$AC:$AC,Sheet1!S71_A5CapexCode,$AD:$AD)</f>
        <v>0</v>
      </c>
      <c r="D340" s="1356">
        <f>SUMIFS(Sheet1!S71_SpecialAdjustedBudget,Sheet1!S71_SubMunicipalVoteNo,$AC:$AC,Sheet1!S71_A5CapexCode,$AD:$AD)</f>
        <v>0</v>
      </c>
      <c r="E340" s="1356"/>
      <c r="F340" s="1356"/>
      <c r="G340" s="1356"/>
      <c r="H340" s="1356"/>
      <c r="I340" s="1356">
        <f>SUMIFS(Sheet1!S71_AdjustmentAmount,Sheet1!S71_SubMunicipalVoteNo,$AC:$AC,Sheet1!S71_A5CapexCode,$AD:$AD)</f>
        <v>0</v>
      </c>
      <c r="J340" s="75">
        <f t="shared" si="48"/>
        <v>0</v>
      </c>
      <c r="K340" s="75">
        <f t="shared" si="44"/>
        <v>0</v>
      </c>
      <c r="L340" s="1356">
        <f>SUMIFS(Sheet1!S71_OY1AdjustedBudget,Sheet1!S71_SubMunicipalVoteNo,$AC:$AC,Sheet1!S71_A5CapexCode,$AD:$AD)</f>
        <v>0</v>
      </c>
      <c r="M340" s="1357">
        <f>SUMIFS(Sheet1!S71_OY2AdjustedBudget,Sheet1!S71_SubMunicipalVoteNo,$AC:$AC,Sheet1!S71_A5CapexCode,$AD:$AD)</f>
        <v>0</v>
      </c>
      <c r="AC340" s="1336">
        <v>159</v>
      </c>
      <c r="AD340" s="1336" t="s">
        <v>1846</v>
      </c>
    </row>
    <row r="341" spans="1:30" x14ac:dyDescent="0.25">
      <c r="A341" s="858" t="str">
        <f>B5B!A172</f>
        <v/>
      </c>
      <c r="B341" s="855"/>
      <c r="C341" s="1360">
        <f>SUMIFS(Sheet1!S71_OriginalBudget,Sheet1!S71_SubMunicipalVoteNo,$AC:$AC,Sheet1!S71_A5CapexCode,$AD:$AD)</f>
        <v>0</v>
      </c>
      <c r="D341" s="1356">
        <f>SUMIFS(Sheet1!S71_SpecialAdjustedBudget,Sheet1!S71_SubMunicipalVoteNo,$AC:$AC,Sheet1!S71_A5CapexCode,$AD:$AD)</f>
        <v>0</v>
      </c>
      <c r="E341" s="1356"/>
      <c r="F341" s="1356"/>
      <c r="G341" s="1356"/>
      <c r="H341" s="1356"/>
      <c r="I341" s="1356">
        <f>SUMIFS(Sheet1!S71_AdjustmentAmount,Sheet1!S71_SubMunicipalVoteNo,$AC:$AC,Sheet1!S71_A5CapexCode,$AD:$AD)</f>
        <v>0</v>
      </c>
      <c r="J341" s="75">
        <f t="shared" si="48"/>
        <v>0</v>
      </c>
      <c r="K341" s="75">
        <f t="shared" si="44"/>
        <v>0</v>
      </c>
      <c r="L341" s="1356">
        <f>SUMIFS(Sheet1!S71_OY1AdjustedBudget,Sheet1!S71_SubMunicipalVoteNo,$AC:$AC,Sheet1!S71_A5CapexCode,$AD:$AD)</f>
        <v>0</v>
      </c>
      <c r="M341" s="1357">
        <f>SUMIFS(Sheet1!S71_OY2AdjustedBudget,Sheet1!S71_SubMunicipalVoteNo,$AC:$AC,Sheet1!S71_A5CapexCode,$AD:$AD)</f>
        <v>0</v>
      </c>
      <c r="AC341" s="1336">
        <v>1510</v>
      </c>
      <c r="AD341" s="1336" t="s">
        <v>1846</v>
      </c>
    </row>
    <row r="342" spans="1:30" ht="11.25" customHeight="1" x14ac:dyDescent="0.25">
      <c r="A342" s="856" t="s">
        <v>666</v>
      </c>
      <c r="B342" s="855"/>
      <c r="C342" s="300">
        <f>C177+C188+C199+C210+C221+C232+C243+C254+C265+C287+C298+C309+C320+C331+C276</f>
        <v>25696767</v>
      </c>
      <c r="D342" s="149">
        <f t="shared" ref="D342:I342" si="49">D177+D188+D199+D210+D221+D232+D243+D254+D265+D287+D298+D309+D320+D331+D276</f>
        <v>33420752</v>
      </c>
      <c r="E342" s="149">
        <f t="shared" si="49"/>
        <v>0</v>
      </c>
      <c r="F342" s="149">
        <f t="shared" si="49"/>
        <v>0</v>
      </c>
      <c r="G342" s="149">
        <f t="shared" si="49"/>
        <v>0</v>
      </c>
      <c r="H342" s="149">
        <f t="shared" si="49"/>
        <v>0</v>
      </c>
      <c r="I342" s="149">
        <f t="shared" si="49"/>
        <v>341736</v>
      </c>
      <c r="J342" s="478">
        <f t="shared" si="48"/>
        <v>341736</v>
      </c>
      <c r="K342" s="478">
        <f t="shared" si="44"/>
        <v>33762488</v>
      </c>
      <c r="L342" s="149">
        <f>L177+L188+L199+L210+L221+L232+L243+L254+L265+L287+L298+L309+L320+L331+L276</f>
        <v>32227000</v>
      </c>
      <c r="M342" s="150">
        <f>M177+M188+M199+M210+M221+M232+M243+M254+M265+M287+M298+M309+M320+M331+M276</f>
        <v>24381000</v>
      </c>
    </row>
    <row r="343" spans="1:30" ht="14.25" customHeight="1" x14ac:dyDescent="0.25">
      <c r="A343" s="864" t="s">
        <v>476</v>
      </c>
      <c r="B343" s="865"/>
      <c r="C343" s="770">
        <f>C342+C173</f>
        <v>25696767</v>
      </c>
      <c r="D343" s="771">
        <f t="shared" ref="D343:I343" si="50">D342+D173</f>
        <v>33420752</v>
      </c>
      <c r="E343" s="771">
        <f t="shared" si="50"/>
        <v>0</v>
      </c>
      <c r="F343" s="771">
        <f t="shared" si="50"/>
        <v>0</v>
      </c>
      <c r="G343" s="771">
        <f t="shared" si="50"/>
        <v>0</v>
      </c>
      <c r="H343" s="771">
        <f t="shared" si="50"/>
        <v>0</v>
      </c>
      <c r="I343" s="771">
        <f t="shared" si="50"/>
        <v>341736</v>
      </c>
      <c r="J343" s="772">
        <f t="shared" si="48"/>
        <v>341736</v>
      </c>
      <c r="K343" s="772">
        <f>IF(D343=0,C343+J343,D343+J343)</f>
        <v>33762488</v>
      </c>
      <c r="L343" s="771">
        <f>L342+L173</f>
        <v>32227000</v>
      </c>
      <c r="M343" s="773">
        <f>M342+M173</f>
        <v>24381000</v>
      </c>
    </row>
    <row r="344" spans="1:30" x14ac:dyDescent="0.25">
      <c r="B344" s="867"/>
      <c r="C344" s="751"/>
      <c r="D344" s="752"/>
      <c r="E344" s="752"/>
      <c r="F344" s="752"/>
      <c r="G344" s="752"/>
      <c r="H344" s="752"/>
      <c r="I344" s="752"/>
      <c r="J344" s="752"/>
      <c r="K344" s="752"/>
    </row>
    <row r="345" spans="1:30" x14ac:dyDescent="0.25">
      <c r="B345" s="867"/>
      <c r="C345" s="753"/>
      <c r="D345" s="753"/>
      <c r="E345" s="754"/>
      <c r="F345" s="754"/>
      <c r="G345" s="754"/>
      <c r="H345" s="754"/>
      <c r="I345" s="754"/>
      <c r="J345" s="754"/>
      <c r="K345" s="754"/>
    </row>
    <row r="346" spans="1:30" x14ac:dyDescent="0.25">
      <c r="A346" s="868" t="str">
        <f>head27a</f>
        <v>References</v>
      </c>
      <c r="B346" s="867"/>
      <c r="C346" s="753"/>
      <c r="D346" s="753"/>
      <c r="E346" s="754"/>
      <c r="F346" s="754"/>
      <c r="G346" s="754"/>
      <c r="H346" s="754"/>
      <c r="I346" s="754"/>
      <c r="J346" s="754"/>
      <c r="K346" s="754"/>
    </row>
    <row r="347" spans="1:30" x14ac:dyDescent="0.25">
      <c r="A347" s="869" t="s">
        <v>1012</v>
      </c>
      <c r="B347" s="870"/>
      <c r="C347" s="756"/>
      <c r="D347" s="756"/>
      <c r="E347" s="757"/>
      <c r="F347" s="757"/>
      <c r="G347" s="757"/>
      <c r="H347" s="757"/>
      <c r="I347" s="757"/>
      <c r="J347" s="757"/>
      <c r="K347" s="757"/>
    </row>
    <row r="348" spans="1:30" x14ac:dyDescent="0.25">
      <c r="A348" s="871" t="s">
        <v>1013</v>
      </c>
    </row>
    <row r="349" spans="1:30" x14ac:dyDescent="0.25">
      <c r="A349" s="871" t="s">
        <v>1014</v>
      </c>
    </row>
  </sheetData>
  <dataConsolidate/>
  <mergeCells count="3">
    <mergeCell ref="A2:A3"/>
    <mergeCell ref="B2:B5"/>
    <mergeCell ref="C2:K2"/>
  </mergeCells>
  <phoneticPr fontId="4" type="noConversion"/>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6">
    <tabColor indexed="44"/>
    <pageSetUpPr fitToPage="1"/>
  </sheetPr>
  <dimension ref="A1:AD9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C1" sqref="AC1:AF1048576"/>
    </sheetView>
  </sheetViews>
  <sheetFormatPr defaultColWidth="9.140625" defaultRowHeight="12.75" x14ac:dyDescent="0.25"/>
  <cols>
    <col min="1" max="1" width="30.5703125" style="5" customWidth="1"/>
    <col min="2" max="2" width="3.140625" style="58" customWidth="1"/>
    <col min="3" max="3" width="9.42578125" style="5" customWidth="1"/>
    <col min="4" max="5" width="8.5703125" style="5" customWidth="1"/>
    <col min="6" max="7" width="8.5703125" style="5" hidden="1" customWidth="1"/>
    <col min="8" max="9" width="8.5703125" style="5" customWidth="1"/>
    <col min="10" max="10" width="10.140625" style="5" customWidth="1"/>
    <col min="11" max="11" width="11.85546875" style="5" customWidth="1"/>
    <col min="12" max="13" width="8.5703125" style="5" customWidth="1"/>
    <col min="14" max="28" width="8.85546875" style="5" hidden="1" customWidth="1"/>
    <col min="29" max="29" width="11" style="1378" customWidth="1"/>
    <col min="30" max="30" width="5.42578125" style="1336" customWidth="1"/>
    <col min="31" max="16384" width="9.140625" style="5"/>
  </cols>
  <sheetData>
    <row r="1" spans="1:30" ht="13.5" x14ac:dyDescent="0.25">
      <c r="A1" s="57" t="str">
        <f>muni&amp;" - "&amp;_ADJ6&amp;" - "&amp;Date</f>
        <v xml:space="preserve">KZN226 Mkhambathini - Table B6 Adjustments Budget Financial Position - </v>
      </c>
      <c r="B1" s="5"/>
      <c r="C1" s="58"/>
      <c r="AC1" s="1377"/>
      <c r="AD1" s="1346"/>
    </row>
    <row r="2" spans="1:30" ht="38.25" x14ac:dyDescent="0.25">
      <c r="A2" s="1420" t="str">
        <f>desc</f>
        <v>Description</v>
      </c>
      <c r="B2" s="1420" t="str">
        <f>head27</f>
        <v>Ref</v>
      </c>
      <c r="C2" s="1417" t="str">
        <f>Head2</f>
        <v>Budget Year 2020/21</v>
      </c>
      <c r="D2" s="1418"/>
      <c r="E2" s="1418"/>
      <c r="F2" s="1418"/>
      <c r="G2" s="1418"/>
      <c r="H2" s="1418"/>
      <c r="I2" s="1418"/>
      <c r="J2" s="1418"/>
      <c r="K2" s="1419"/>
      <c r="L2" s="167" t="str">
        <f>Head10</f>
        <v>Budget Year +1 2021/22</v>
      </c>
      <c r="M2" s="168" t="str">
        <f>Head11</f>
        <v>Budget Year +2 2022/23</v>
      </c>
      <c r="AC2" s="5"/>
    </row>
    <row r="3" spans="1:30" ht="25.5" x14ac:dyDescent="0.25">
      <c r="A3" s="1421"/>
      <c r="B3" s="14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c r="AC3" s="5"/>
    </row>
    <row r="4" spans="1:30" x14ac:dyDescent="0.25">
      <c r="A4" s="1421"/>
      <c r="B4" s="1421"/>
      <c r="C4" s="65"/>
      <c r="D4" s="15">
        <v>3</v>
      </c>
      <c r="E4" s="15">
        <v>4</v>
      </c>
      <c r="F4" s="15">
        <v>5</v>
      </c>
      <c r="G4" s="15">
        <v>6</v>
      </c>
      <c r="H4" s="15">
        <v>7</v>
      </c>
      <c r="I4" s="15">
        <v>8</v>
      </c>
      <c r="J4" s="15">
        <v>9</v>
      </c>
      <c r="K4" s="15">
        <v>10</v>
      </c>
      <c r="L4" s="15"/>
      <c r="M4" s="17"/>
    </row>
    <row r="5" spans="1:30" x14ac:dyDescent="0.25">
      <c r="A5" s="66" t="s">
        <v>605</v>
      </c>
      <c r="B5" s="104"/>
      <c r="C5" s="67" t="s">
        <v>549</v>
      </c>
      <c r="D5" s="68" t="s">
        <v>550</v>
      </c>
      <c r="E5" s="68" t="s">
        <v>551</v>
      </c>
      <c r="F5" s="69" t="s">
        <v>552</v>
      </c>
      <c r="G5" s="69" t="s">
        <v>553</v>
      </c>
      <c r="H5" s="69" t="s">
        <v>554</v>
      </c>
      <c r="I5" s="70" t="s">
        <v>555</v>
      </c>
      <c r="J5" s="70" t="s">
        <v>556</v>
      </c>
      <c r="K5" s="70" t="s">
        <v>557</v>
      </c>
      <c r="L5" s="70"/>
      <c r="M5" s="71"/>
    </row>
    <row r="6" spans="1:30" ht="12.75" customHeight="1" x14ac:dyDescent="0.25">
      <c r="A6" s="137" t="s">
        <v>674</v>
      </c>
      <c r="B6" s="73"/>
      <c r="C6" s="74"/>
      <c r="D6" s="75"/>
      <c r="E6" s="75"/>
      <c r="F6" s="75"/>
      <c r="G6" s="75"/>
      <c r="H6" s="75"/>
      <c r="I6" s="75"/>
      <c r="J6" s="75"/>
      <c r="K6" s="75"/>
      <c r="L6" s="75"/>
      <c r="M6" s="76"/>
    </row>
    <row r="7" spans="1:30" ht="12.75" customHeight="1" x14ac:dyDescent="0.25">
      <c r="A7" s="137" t="s">
        <v>675</v>
      </c>
      <c r="B7" s="73"/>
      <c r="C7" s="125"/>
      <c r="D7" s="75"/>
      <c r="E7" s="75"/>
      <c r="F7" s="75"/>
      <c r="G7" s="75"/>
      <c r="H7" s="75"/>
      <c r="I7" s="75"/>
      <c r="J7" s="75"/>
      <c r="K7" s="75"/>
      <c r="L7" s="75"/>
      <c r="M7" s="76"/>
    </row>
    <row r="8" spans="1:30" ht="12.75" customHeight="1" x14ac:dyDescent="0.25">
      <c r="A8" s="127" t="s">
        <v>691</v>
      </c>
      <c r="B8" s="73"/>
      <c r="C8" s="1355">
        <f>SUMIFS(Sheet1!S71_OriginalBudget,Sheet1!S71_A6Code,$AC:$AC)</f>
        <v>0</v>
      </c>
      <c r="D8" s="1356">
        <f>SUMIFS(Sheet1!S71_SpecialAdjustedBudget,Sheet1!S71_A6Code,$AC:$AC)</f>
        <v>0</v>
      </c>
      <c r="E8" s="1356"/>
      <c r="F8" s="1356"/>
      <c r="G8" s="1356"/>
      <c r="H8" s="1356"/>
      <c r="I8" s="1356">
        <f>SUMIFS(Sheet1!S71_AdjustmentAmount,Sheet1!S71_A6Code,$AC:$AC)</f>
        <v>42938090</v>
      </c>
      <c r="J8" s="75">
        <f t="shared" ref="J8:J13" si="0">SUM(E8:I8)</f>
        <v>42938090</v>
      </c>
      <c r="K8" s="75">
        <f t="shared" ref="K8:K13" si="1">IF(D8=0,C8+J8,D8+J8)</f>
        <v>42938090</v>
      </c>
      <c r="L8" s="1356">
        <f>SUMIFS(Sheet1!S71_OY1AdjustedBudget,Sheet1!S71_A6Code,$AC:$AC)</f>
        <v>42938090</v>
      </c>
      <c r="M8" s="1357">
        <f>SUMIFS(Sheet1!S71_OY2AdjustedBudget,Sheet1!S71_A6Code,$AC:$AC)</f>
        <v>42938090</v>
      </c>
      <c r="AC8" s="1374" t="s">
        <v>1859</v>
      </c>
      <c r="AD8" s="1336" t="s">
        <v>1811</v>
      </c>
    </row>
    <row r="9" spans="1:30" ht="12.75" customHeight="1" x14ac:dyDescent="0.25">
      <c r="A9" s="127" t="s">
        <v>692</v>
      </c>
      <c r="B9" s="73">
        <v>1</v>
      </c>
      <c r="C9" s="129">
        <f>'SB2'!C10</f>
        <v>60543564</v>
      </c>
      <c r="D9" s="130">
        <f>'SB2'!D10</f>
        <v>60543564</v>
      </c>
      <c r="E9" s="130">
        <f>'SB2'!E10</f>
        <v>0</v>
      </c>
      <c r="F9" s="130">
        <f>'SB2'!F10</f>
        <v>0</v>
      </c>
      <c r="G9" s="130">
        <f>'SB2'!G10</f>
        <v>0</v>
      </c>
      <c r="H9" s="130">
        <f>'SB2'!H10</f>
        <v>0</v>
      </c>
      <c r="I9" s="130">
        <f>'SB2'!I10</f>
        <v>-60543564</v>
      </c>
      <c r="J9" s="169">
        <f t="shared" si="0"/>
        <v>-60543564</v>
      </c>
      <c r="K9" s="169">
        <f t="shared" si="1"/>
        <v>0</v>
      </c>
      <c r="L9" s="130">
        <f>'SB2'!L10</f>
        <v>0</v>
      </c>
      <c r="M9" s="131">
        <f>'SB2'!M10</f>
        <v>0</v>
      </c>
      <c r="AC9" s="1374" t="s">
        <v>1860</v>
      </c>
      <c r="AD9" s="1336" t="s">
        <v>1812</v>
      </c>
    </row>
    <row r="10" spans="1:30" ht="12.75" customHeight="1" x14ac:dyDescent="0.25">
      <c r="A10" s="127" t="s">
        <v>693</v>
      </c>
      <c r="B10" s="73">
        <v>1</v>
      </c>
      <c r="C10" s="129">
        <f>'SB2'!C14</f>
        <v>33409995</v>
      </c>
      <c r="D10" s="130">
        <f>'SB2'!D14</f>
        <v>33409995</v>
      </c>
      <c r="E10" s="130">
        <f>'SB2'!E14</f>
        <v>0</v>
      </c>
      <c r="F10" s="130">
        <f>'SB2'!F14</f>
        <v>0</v>
      </c>
      <c r="G10" s="130">
        <f>'SB2'!G14</f>
        <v>0</v>
      </c>
      <c r="H10" s="130">
        <f>'SB2'!H14</f>
        <v>0</v>
      </c>
      <c r="I10" s="130">
        <f>'SB2'!I14</f>
        <v>-33409995</v>
      </c>
      <c r="J10" s="169">
        <f t="shared" si="0"/>
        <v>-33409995</v>
      </c>
      <c r="K10" s="169">
        <f t="shared" si="1"/>
        <v>0</v>
      </c>
      <c r="L10" s="130">
        <f>'SB2'!L14</f>
        <v>0</v>
      </c>
      <c r="M10" s="131">
        <f>'SB2'!M14</f>
        <v>0</v>
      </c>
      <c r="AC10" s="1374" t="s">
        <v>1861</v>
      </c>
    </row>
    <row r="11" spans="1:30" ht="12.75" customHeight="1" x14ac:dyDescent="0.25">
      <c r="A11" s="127" t="s">
        <v>694</v>
      </c>
      <c r="B11" s="73"/>
      <c r="C11" s="1355">
        <f>SUMIFS(Sheet1!S71_OriginalBudget,Sheet1!S71_A6Code,$AC:$AC)</f>
        <v>543000</v>
      </c>
      <c r="D11" s="1356">
        <f>SUMIFS(Sheet1!S71_SpecialAdjustedBudget,Sheet1!S71_A6Code,$AC:$AC)</f>
        <v>543000</v>
      </c>
      <c r="E11" s="1356"/>
      <c r="F11" s="1356"/>
      <c r="G11" s="1356"/>
      <c r="H11" s="1356"/>
      <c r="I11" s="1356">
        <f>SUMIFS(Sheet1!S71_AdjustmentAmount,Sheet1!S71_A6Code,$AC:$AC)</f>
        <v>-543000</v>
      </c>
      <c r="J11" s="75">
        <f t="shared" si="0"/>
        <v>-543000</v>
      </c>
      <c r="K11" s="75">
        <f t="shared" si="1"/>
        <v>0</v>
      </c>
      <c r="L11" s="1356">
        <f>SUMIFS(Sheet1!S71_OY1AdjustedBudget,Sheet1!S71_A6Code,$AC:$AC)</f>
        <v>0</v>
      </c>
      <c r="M11" s="1357">
        <f>SUMIFS(Sheet1!S71_OY2AdjustedBudget,Sheet1!S71_A6Code,$AC:$AC)</f>
        <v>0</v>
      </c>
      <c r="AC11" s="1374" t="s">
        <v>1862</v>
      </c>
    </row>
    <row r="12" spans="1:30" ht="12.75" customHeight="1" x14ac:dyDescent="0.25">
      <c r="A12" s="127" t="s">
        <v>695</v>
      </c>
      <c r="B12" s="73"/>
      <c r="C12" s="1355">
        <f>SUMIFS(Sheet1!S71_OriginalBudget,Sheet1!S71_A6Code,$AC:$AC)</f>
        <v>0</v>
      </c>
      <c r="D12" s="1356">
        <f>SUMIFS(Sheet1!S71_SpecialAdjustedBudget,Sheet1!S71_A6Code,$AC:$AC)</f>
        <v>0</v>
      </c>
      <c r="E12" s="1356"/>
      <c r="F12" s="1356"/>
      <c r="G12" s="1356"/>
      <c r="H12" s="1356"/>
      <c r="I12" s="1356">
        <f>SUMIFS(Sheet1!S71_AdjustmentAmount,Sheet1!S71_A6Code,$AC:$AC)</f>
        <v>0</v>
      </c>
      <c r="J12" s="75">
        <f t="shared" si="0"/>
        <v>0</v>
      </c>
      <c r="K12" s="75">
        <f t="shared" si="1"/>
        <v>0</v>
      </c>
      <c r="L12" s="1356">
        <f>SUMIFS(Sheet1!S71_OY1AdjustedBudget,Sheet1!S71_A6Code,$AC:$AC)</f>
        <v>0</v>
      </c>
      <c r="M12" s="1357">
        <f>SUMIFS(Sheet1!S71_OY2AdjustedBudget,Sheet1!S71_A6Code,$AC:$AC)</f>
        <v>0</v>
      </c>
      <c r="AC12" s="1374" t="s">
        <v>1863</v>
      </c>
    </row>
    <row r="13" spans="1:30" ht="12.75" customHeight="1" x14ac:dyDescent="0.25">
      <c r="A13" s="127" t="s">
        <v>696</v>
      </c>
      <c r="B13" s="73"/>
      <c r="C13" s="1355">
        <f>SUMIFS(Sheet1!S71_OriginalBudget,Sheet1!S71_A6Code,$AC:$AC)</f>
        <v>0</v>
      </c>
      <c r="D13" s="1356">
        <f>SUMIFS(Sheet1!S71_SpecialAdjustedBudget,Sheet1!S71_A6Code,$AC:$AC)</f>
        <v>0</v>
      </c>
      <c r="E13" s="1356"/>
      <c r="F13" s="1356"/>
      <c r="G13" s="1356"/>
      <c r="H13" s="1356"/>
      <c r="I13" s="1356">
        <f>SUMIFS(Sheet1!S71_AdjustmentAmount,Sheet1!S71_A6Code,$AC:$AC)</f>
        <v>0</v>
      </c>
      <c r="J13" s="75">
        <f t="shared" si="0"/>
        <v>0</v>
      </c>
      <c r="K13" s="75">
        <f t="shared" si="1"/>
        <v>0</v>
      </c>
      <c r="L13" s="1356">
        <f>SUMIFS(Sheet1!S71_OY1AdjustedBudget,Sheet1!S71_A6Code,$AC:$AC)</f>
        <v>0</v>
      </c>
      <c r="M13" s="1357">
        <f>SUMIFS(Sheet1!S71_OY2AdjustedBudget,Sheet1!S71_A6Code,$AC:$AC)</f>
        <v>0</v>
      </c>
      <c r="AC13" s="1374" t="s">
        <v>1864</v>
      </c>
    </row>
    <row r="14" spans="1:30" ht="12.75" customHeight="1" x14ac:dyDescent="0.25">
      <c r="A14" s="160" t="s">
        <v>582</v>
      </c>
      <c r="B14" s="79"/>
      <c r="C14" s="80">
        <f>SUM(C8:C13)</f>
        <v>94496559</v>
      </c>
      <c r="D14" s="81">
        <f t="shared" ref="D14:L14" si="2">SUM(D8:D13)</f>
        <v>94496559</v>
      </c>
      <c r="E14" s="81">
        <f t="shared" si="2"/>
        <v>0</v>
      </c>
      <c r="F14" s="81">
        <f t="shared" si="2"/>
        <v>0</v>
      </c>
      <c r="G14" s="81">
        <f t="shared" si="2"/>
        <v>0</v>
      </c>
      <c r="H14" s="81">
        <f t="shared" si="2"/>
        <v>0</v>
      </c>
      <c r="I14" s="81">
        <f t="shared" si="2"/>
        <v>-51558469</v>
      </c>
      <c r="J14" s="81">
        <f t="shared" si="2"/>
        <v>-51558469</v>
      </c>
      <c r="K14" s="81">
        <f t="shared" si="2"/>
        <v>42938090</v>
      </c>
      <c r="L14" s="81">
        <f t="shared" si="2"/>
        <v>42938090</v>
      </c>
      <c r="M14" s="82">
        <f>SUM(M8:M13)</f>
        <v>42938090</v>
      </c>
    </row>
    <row r="15" spans="1:30" ht="5.0999999999999996" customHeight="1" x14ac:dyDescent="0.25">
      <c r="A15" s="134"/>
      <c r="B15" s="73"/>
      <c r="C15" s="74"/>
      <c r="D15" s="75"/>
      <c r="E15" s="75"/>
      <c r="F15" s="75"/>
      <c r="G15" s="75"/>
      <c r="H15" s="75"/>
      <c r="I15" s="75"/>
      <c r="J15" s="75"/>
      <c r="K15" s="75"/>
      <c r="L15" s="75"/>
      <c r="M15" s="76"/>
    </row>
    <row r="16" spans="1:30" ht="12.75" customHeight="1" x14ac:dyDescent="0.25">
      <c r="A16" s="137" t="s">
        <v>697</v>
      </c>
      <c r="B16" s="73"/>
      <c r="C16" s="74"/>
      <c r="D16" s="75"/>
      <c r="E16" s="75"/>
      <c r="F16" s="75"/>
      <c r="G16" s="75"/>
      <c r="H16" s="75"/>
      <c r="I16" s="75"/>
      <c r="J16" s="75"/>
      <c r="K16" s="75"/>
      <c r="L16" s="75"/>
      <c r="M16" s="76"/>
    </row>
    <row r="17" spans="1:29" ht="12.75" customHeight="1" x14ac:dyDescent="0.25">
      <c r="A17" s="127" t="s">
        <v>698</v>
      </c>
      <c r="B17" s="73"/>
      <c r="C17" s="1355">
        <f>SUMIFS(Sheet1!S71_OriginalBudget,Sheet1!S71_A6Code,$AC:$AC)</f>
        <v>0</v>
      </c>
      <c r="D17" s="1356">
        <f>SUMIFS(Sheet1!S71_SpecialAdjustedBudget,Sheet1!S71_A6Code,$AC:$AC)</f>
        <v>0</v>
      </c>
      <c r="E17" s="1356"/>
      <c r="F17" s="1356"/>
      <c r="G17" s="1356"/>
      <c r="H17" s="1356"/>
      <c r="I17" s="1356">
        <f>SUMIFS(Sheet1!S71_AdjustmentAmount,Sheet1!S71_A6Code,$AC:$AC)</f>
        <v>0</v>
      </c>
      <c r="J17" s="75">
        <f>SUM(E17:I17)</f>
        <v>0</v>
      </c>
      <c r="K17" s="75">
        <f t="shared" ref="K17:K25" si="3">IF(D17=0,C17+J17,D17+J17)</f>
        <v>0</v>
      </c>
      <c r="L17" s="1356">
        <f>SUMIFS(Sheet1!S71_OY1AdjustedBudget,Sheet1!S71_A6Code,$AC:$AC)</f>
        <v>0</v>
      </c>
      <c r="M17" s="1357">
        <f>SUMIFS(Sheet1!S71_OY2AdjustedBudget,Sheet1!S71_A6Code,$AC:$AC)</f>
        <v>0</v>
      </c>
      <c r="AC17" s="1374" t="s">
        <v>1814</v>
      </c>
    </row>
    <row r="18" spans="1:29" ht="12.75" customHeight="1" x14ac:dyDescent="0.25">
      <c r="A18" s="127" t="s">
        <v>699</v>
      </c>
      <c r="B18" s="73"/>
      <c r="C18" s="1355">
        <f>SUMIFS(Sheet1!S71_OriginalBudget,Sheet1!S71_A6Code,$AC:$AC)</f>
        <v>0</v>
      </c>
      <c r="D18" s="1356">
        <f>SUMIFS(Sheet1!S71_SpecialAdjustedBudget,Sheet1!S71_A6Code,$AC:$AC)</f>
        <v>0</v>
      </c>
      <c r="E18" s="1356"/>
      <c r="F18" s="1356"/>
      <c r="G18" s="1356"/>
      <c r="H18" s="1356"/>
      <c r="I18" s="1356">
        <f>SUMIFS(Sheet1!S71_AdjustmentAmount,Sheet1!S71_A6Code,$AC:$AC)</f>
        <v>0</v>
      </c>
      <c r="J18" s="75">
        <f>SUM(E18:I18)</f>
        <v>0</v>
      </c>
      <c r="K18" s="75">
        <f t="shared" si="3"/>
        <v>0</v>
      </c>
      <c r="L18" s="1356">
        <f>SUMIFS(Sheet1!S71_OY1AdjustedBudget,Sheet1!S71_A6Code,$AC:$AC)</f>
        <v>0</v>
      </c>
      <c r="M18" s="1357">
        <f>SUMIFS(Sheet1!S71_OY2AdjustedBudget,Sheet1!S71_A6Code,$AC:$AC)</f>
        <v>0</v>
      </c>
      <c r="AC18" s="1374" t="s">
        <v>1865</v>
      </c>
    </row>
    <row r="19" spans="1:29" ht="12.75" customHeight="1" x14ac:dyDescent="0.25">
      <c r="A19" s="127" t="s">
        <v>700</v>
      </c>
      <c r="B19" s="73"/>
      <c r="C19" s="1355">
        <f>SUMIFS(Sheet1!S71_OriginalBudget,Sheet1!S71_A6Code,$AC:$AC)</f>
        <v>4523600</v>
      </c>
      <c r="D19" s="1356">
        <f>SUMIFS(Sheet1!S71_SpecialAdjustedBudget,Sheet1!S71_A6Code,$AC:$AC)</f>
        <v>4523600</v>
      </c>
      <c r="E19" s="1356"/>
      <c r="F19" s="1356"/>
      <c r="G19" s="1356"/>
      <c r="H19" s="1356"/>
      <c r="I19" s="1356">
        <f>SUMIFS(Sheet1!S71_AdjustmentAmount,Sheet1!S71_A6Code,$AC:$AC)</f>
        <v>-4523600</v>
      </c>
      <c r="J19" s="75">
        <f>SUM(E19:I19)</f>
        <v>-4523600</v>
      </c>
      <c r="K19" s="75">
        <f t="shared" si="3"/>
        <v>0</v>
      </c>
      <c r="L19" s="1356">
        <f>SUMIFS(Sheet1!S71_OY1AdjustedBudget,Sheet1!S71_A6Code,$AC:$AC)</f>
        <v>0</v>
      </c>
      <c r="M19" s="1357">
        <f>SUMIFS(Sheet1!S71_OY2AdjustedBudget,Sheet1!S71_A6Code,$AC:$AC)</f>
        <v>0</v>
      </c>
      <c r="AC19" s="1374" t="s">
        <v>1866</v>
      </c>
    </row>
    <row r="20" spans="1:29" ht="12.75" customHeight="1" x14ac:dyDescent="0.25">
      <c r="A20" s="127" t="s">
        <v>991</v>
      </c>
      <c r="B20" s="73"/>
      <c r="C20" s="1355">
        <f>SUMIFS(Sheet1!S71_OriginalBudget,Sheet1!S71_A6Code,$AC:$AC)</f>
        <v>0</v>
      </c>
      <c r="D20" s="1356">
        <f>SUMIFS(Sheet1!S71_SpecialAdjustedBudget,Sheet1!S71_A6Code,$AC:$AC)</f>
        <v>0</v>
      </c>
      <c r="E20" s="1356"/>
      <c r="F20" s="1356"/>
      <c r="G20" s="1356"/>
      <c r="H20" s="1356"/>
      <c r="I20" s="1356">
        <f>SUMIFS(Sheet1!S71_AdjustmentAmount,Sheet1!S71_A6Code,$AC:$AC)</f>
        <v>0</v>
      </c>
      <c r="J20" s="75">
        <f>SUM(E20:I20)</f>
        <v>0</v>
      </c>
      <c r="K20" s="75">
        <f t="shared" si="3"/>
        <v>0</v>
      </c>
      <c r="L20" s="1356">
        <f>SUMIFS(Sheet1!S71_OY1AdjustedBudget,Sheet1!S71_A6Code,$AC:$AC)</f>
        <v>0</v>
      </c>
      <c r="M20" s="1357">
        <f>SUMIFS(Sheet1!S71_OY2AdjustedBudget,Sheet1!S71_A6Code,$AC:$AC)</f>
        <v>0</v>
      </c>
      <c r="AC20" s="1374" t="s">
        <v>1867</v>
      </c>
    </row>
    <row r="21" spans="1:29" ht="12.75" customHeight="1" x14ac:dyDescent="0.25">
      <c r="A21" s="127" t="s">
        <v>701</v>
      </c>
      <c r="B21" s="73">
        <v>1</v>
      </c>
      <c r="C21" s="129">
        <f>'SB2'!C24</f>
        <v>166122288</v>
      </c>
      <c r="D21" s="130">
        <f>'SB2'!D24</f>
        <v>173846273</v>
      </c>
      <c r="E21" s="130">
        <f>'SB2'!E24</f>
        <v>0</v>
      </c>
      <c r="F21" s="130">
        <f>'SB2'!F24</f>
        <v>0</v>
      </c>
      <c r="G21" s="130">
        <f>'SB2'!G24</f>
        <v>0</v>
      </c>
      <c r="H21" s="130">
        <f>'SB2'!H24</f>
        <v>0</v>
      </c>
      <c r="I21" s="130">
        <f>'SB2'!I24</f>
        <v>-140083785</v>
      </c>
      <c r="J21" s="130">
        <f>SUM(E21:I21)</f>
        <v>-140083785</v>
      </c>
      <c r="K21" s="130">
        <f t="shared" si="3"/>
        <v>33762488</v>
      </c>
      <c r="L21" s="130">
        <f>'SB2'!L24</f>
        <v>32227000</v>
      </c>
      <c r="M21" s="131">
        <f>'SB2'!M24</f>
        <v>24381000</v>
      </c>
      <c r="AC21" s="1374" t="s">
        <v>1868</v>
      </c>
    </row>
    <row r="22" spans="1:29" ht="0.95" customHeight="1" x14ac:dyDescent="0.25">
      <c r="A22" s="127"/>
      <c r="B22" s="73"/>
      <c r="C22" s="129"/>
      <c r="D22" s="130"/>
      <c r="E22" s="130"/>
      <c r="F22" s="130"/>
      <c r="G22" s="130"/>
      <c r="H22" s="130"/>
      <c r="I22" s="130"/>
      <c r="J22" s="130"/>
      <c r="K22" s="130"/>
      <c r="L22" s="130"/>
      <c r="M22" s="131"/>
    </row>
    <row r="23" spans="1:29" ht="12.75" customHeight="1" x14ac:dyDescent="0.25">
      <c r="A23" s="127" t="s">
        <v>703</v>
      </c>
      <c r="B23" s="73"/>
      <c r="C23" s="1355">
        <f>SUMIFS(Sheet1!S71_OriginalBudget,Sheet1!S71_A6Code,$AC:$AC)</f>
        <v>0</v>
      </c>
      <c r="D23" s="1356">
        <f>SUMIFS(Sheet1!S71_SpecialAdjustedBudget,Sheet1!S71_A6Code,$AC:$AC)</f>
        <v>0</v>
      </c>
      <c r="E23" s="1356"/>
      <c r="F23" s="1356"/>
      <c r="G23" s="1356"/>
      <c r="H23" s="1356"/>
      <c r="I23" s="1356">
        <f>SUMIFS(Sheet1!S71_AdjustmentAmount,Sheet1!S71_A6Code,$AC:$AC)</f>
        <v>0</v>
      </c>
      <c r="J23" s="75">
        <f>SUM(E23:I23)</f>
        <v>0</v>
      </c>
      <c r="K23" s="75">
        <f t="shared" si="3"/>
        <v>0</v>
      </c>
      <c r="L23" s="1356">
        <f>SUMIFS(Sheet1!S71_OY1AdjustedBudget,Sheet1!S71_A6Code,$AC:$AC)</f>
        <v>0</v>
      </c>
      <c r="M23" s="1357">
        <f>SUMIFS(Sheet1!S71_OY2AdjustedBudget,Sheet1!S71_A6Code,$AC:$AC)</f>
        <v>0</v>
      </c>
      <c r="AC23" s="1374" t="s">
        <v>1869</v>
      </c>
    </row>
    <row r="24" spans="1:29" ht="12.75" customHeight="1" x14ac:dyDescent="0.25">
      <c r="A24" s="127" t="s">
        <v>704</v>
      </c>
      <c r="B24" s="73"/>
      <c r="C24" s="1355">
        <f>SUMIFS(Sheet1!S71_OriginalBudget,Sheet1!S71_A6Code,$AC:$AC)</f>
        <v>0</v>
      </c>
      <c r="D24" s="1356">
        <f>SUMIFS(Sheet1!S71_SpecialAdjustedBudget,Sheet1!S71_A6Code,$AC:$AC)</f>
        <v>0</v>
      </c>
      <c r="E24" s="1356"/>
      <c r="F24" s="1356"/>
      <c r="G24" s="1356"/>
      <c r="H24" s="1356"/>
      <c r="I24" s="1356">
        <f>SUMIFS(Sheet1!S71_AdjustmentAmount,Sheet1!S71_A6Code,$AC:$AC)</f>
        <v>0</v>
      </c>
      <c r="J24" s="75">
        <f>SUM(E24:I24)</f>
        <v>0</v>
      </c>
      <c r="K24" s="75">
        <f t="shared" si="3"/>
        <v>0</v>
      </c>
      <c r="L24" s="1356">
        <f>SUMIFS(Sheet1!S71_OY1AdjustedBudget,Sheet1!S71_A6Code,$AC:$AC)</f>
        <v>0</v>
      </c>
      <c r="M24" s="1357">
        <f>SUMIFS(Sheet1!S71_OY2AdjustedBudget,Sheet1!S71_A6Code,$AC:$AC)</f>
        <v>0</v>
      </c>
      <c r="AC24" s="1374" t="s">
        <v>1870</v>
      </c>
    </row>
    <row r="25" spans="1:29" ht="12.75" customHeight="1" x14ac:dyDescent="0.25">
      <c r="A25" s="127" t="s">
        <v>705</v>
      </c>
      <c r="B25" s="73"/>
      <c r="C25" s="1355">
        <f>SUMIFS(Sheet1!S71_OriginalBudget,Sheet1!S71_A6Code,$AC:$AC)</f>
        <v>0</v>
      </c>
      <c r="D25" s="1356">
        <f>SUMIFS(Sheet1!S71_SpecialAdjustedBudget,Sheet1!S71_A6Code,$AC:$AC)</f>
        <v>0</v>
      </c>
      <c r="E25" s="1356"/>
      <c r="F25" s="1356"/>
      <c r="G25" s="1356"/>
      <c r="H25" s="1356"/>
      <c r="I25" s="1356">
        <f>SUMIFS(Sheet1!S71_AdjustmentAmount,Sheet1!S71_A6Code,$AC:$AC)</f>
        <v>0</v>
      </c>
      <c r="J25" s="75">
        <f>SUM(E25:I25)</f>
        <v>0</v>
      </c>
      <c r="K25" s="75">
        <f t="shared" si="3"/>
        <v>0</v>
      </c>
      <c r="L25" s="1356">
        <f>SUMIFS(Sheet1!S71_OY1AdjustedBudget,Sheet1!S71_A6Code,$AC:$AC)</f>
        <v>0</v>
      </c>
      <c r="M25" s="1357">
        <f>SUMIFS(Sheet1!S71_OY2AdjustedBudget,Sheet1!S71_A6Code,$AC:$AC)</f>
        <v>0</v>
      </c>
      <c r="AC25" s="1374" t="s">
        <v>1871</v>
      </c>
    </row>
    <row r="26" spans="1:29" ht="12.75" customHeight="1" x14ac:dyDescent="0.25">
      <c r="A26" s="160" t="s">
        <v>583</v>
      </c>
      <c r="B26" s="79"/>
      <c r="C26" s="80">
        <f>SUM(C17:C21)+SUM(C23:C25)</f>
        <v>170645888</v>
      </c>
      <c r="D26" s="81">
        <f t="shared" ref="D26:M26" si="4">SUM(D17:D21)+SUM(D23:D25)</f>
        <v>178369873</v>
      </c>
      <c r="E26" s="81">
        <f t="shared" si="4"/>
        <v>0</v>
      </c>
      <c r="F26" s="81">
        <f t="shared" si="4"/>
        <v>0</v>
      </c>
      <c r="G26" s="81">
        <f t="shared" si="4"/>
        <v>0</v>
      </c>
      <c r="H26" s="81">
        <f t="shared" si="4"/>
        <v>0</v>
      </c>
      <c r="I26" s="81">
        <f t="shared" si="4"/>
        <v>-144607385</v>
      </c>
      <c r="J26" s="81">
        <f t="shared" si="4"/>
        <v>-144607385</v>
      </c>
      <c r="K26" s="81">
        <f>SUM(K17:K21)+SUM(K23:K25)</f>
        <v>33762488</v>
      </c>
      <c r="L26" s="81">
        <f t="shared" si="4"/>
        <v>32227000</v>
      </c>
      <c r="M26" s="82">
        <f t="shared" si="4"/>
        <v>24381000</v>
      </c>
    </row>
    <row r="27" spans="1:29" ht="12.75" customHeight="1" x14ac:dyDescent="0.25">
      <c r="A27" s="160" t="s">
        <v>706</v>
      </c>
      <c r="B27" s="79"/>
      <c r="C27" s="80">
        <f>C14+C26</f>
        <v>265142447</v>
      </c>
      <c r="D27" s="81">
        <f t="shared" ref="D27:M27" si="5">D14+D26</f>
        <v>272866432</v>
      </c>
      <c r="E27" s="81">
        <f t="shared" si="5"/>
        <v>0</v>
      </c>
      <c r="F27" s="81">
        <f t="shared" si="5"/>
        <v>0</v>
      </c>
      <c r="G27" s="81">
        <f t="shared" si="5"/>
        <v>0</v>
      </c>
      <c r="H27" s="81">
        <f t="shared" si="5"/>
        <v>0</v>
      </c>
      <c r="I27" s="81">
        <f t="shared" si="5"/>
        <v>-196165854</v>
      </c>
      <c r="J27" s="81">
        <f t="shared" si="5"/>
        <v>-196165854</v>
      </c>
      <c r="K27" s="81">
        <f>K14+K26</f>
        <v>76700578</v>
      </c>
      <c r="L27" s="81">
        <f t="shared" si="5"/>
        <v>75165090</v>
      </c>
      <c r="M27" s="82">
        <f t="shared" si="5"/>
        <v>67319090</v>
      </c>
    </row>
    <row r="28" spans="1:29" ht="5.0999999999999996" customHeight="1" x14ac:dyDescent="0.25">
      <c r="A28" s="134"/>
      <c r="B28" s="73"/>
      <c r="C28" s="74"/>
      <c r="D28" s="75"/>
      <c r="E28" s="75"/>
      <c r="F28" s="75"/>
      <c r="G28" s="75"/>
      <c r="H28" s="75"/>
      <c r="I28" s="75"/>
      <c r="J28" s="75"/>
      <c r="K28" s="75"/>
      <c r="L28" s="75"/>
      <c r="M28" s="76"/>
    </row>
    <row r="29" spans="1:29" ht="12.75" customHeight="1" x14ac:dyDescent="0.25">
      <c r="A29" s="137" t="s">
        <v>707</v>
      </c>
      <c r="B29" s="73"/>
      <c r="C29" s="74"/>
      <c r="D29" s="75"/>
      <c r="E29" s="75"/>
      <c r="F29" s="75"/>
      <c r="G29" s="75"/>
      <c r="H29" s="75"/>
      <c r="I29" s="75"/>
      <c r="J29" s="75"/>
      <c r="K29" s="75"/>
      <c r="L29" s="75"/>
      <c r="M29" s="76"/>
    </row>
    <row r="30" spans="1:29" ht="12.75" customHeight="1" x14ac:dyDescent="0.25">
      <c r="A30" s="137" t="s">
        <v>708</v>
      </c>
      <c r="B30" s="113"/>
      <c r="C30" s="74"/>
      <c r="D30" s="75"/>
      <c r="E30" s="75"/>
      <c r="F30" s="75"/>
      <c r="G30" s="75"/>
      <c r="H30" s="75"/>
      <c r="I30" s="75"/>
      <c r="J30" s="75"/>
      <c r="K30" s="75"/>
      <c r="L30" s="75"/>
      <c r="M30" s="76"/>
    </row>
    <row r="31" spans="1:29" ht="12.75" customHeight="1" x14ac:dyDescent="0.25">
      <c r="A31" s="127" t="s">
        <v>709</v>
      </c>
      <c r="B31" s="73"/>
      <c r="C31" s="1355">
        <f>-SUMIFS(Sheet1!S71_OriginalBudget,Sheet1!S71_A6Code,$AC:$AC)</f>
        <v>0</v>
      </c>
      <c r="D31" s="1356">
        <f>-SUMIFS(Sheet1!S71_SpecialAdjustedBudget,Sheet1!S71_A6Code,$AC:$AC)</f>
        <v>0</v>
      </c>
      <c r="E31" s="1356"/>
      <c r="F31" s="1356"/>
      <c r="G31" s="1356"/>
      <c r="H31" s="1356"/>
      <c r="I31" s="1356">
        <f>-SUMIFS(Sheet1!S71_AdjustmentAmount,Sheet1!S71_A6Code,$AC:$AC)</f>
        <v>0</v>
      </c>
      <c r="J31" s="75">
        <f>SUM(E31:I31)</f>
        <v>0</v>
      </c>
      <c r="K31" s="75">
        <f>IF(D31=0,C31+J31,D31+J31)</f>
        <v>0</v>
      </c>
      <c r="L31" s="1356">
        <f>-SUMIFS(Sheet1!S71_OY1AdjustedBudget,Sheet1!S71_A6Code,$AC:$AC)</f>
        <v>0</v>
      </c>
      <c r="M31" s="1357">
        <f>-SUMIFS(Sheet1!S71_OY2AdjustedBudget,Sheet1!S71_A6Code,$AC:$AC)</f>
        <v>0</v>
      </c>
      <c r="AC31" s="1374" t="s">
        <v>1872</v>
      </c>
    </row>
    <row r="32" spans="1:29" ht="12.75" customHeight="1" x14ac:dyDescent="0.25">
      <c r="A32" s="127" t="s">
        <v>578</v>
      </c>
      <c r="B32" s="73"/>
      <c r="C32" s="129">
        <f>'SB2'!C30</f>
        <v>0</v>
      </c>
      <c r="D32" s="130">
        <f>'SB2'!D30</f>
        <v>0</v>
      </c>
      <c r="E32" s="130">
        <f>'SB2'!E30</f>
        <v>0</v>
      </c>
      <c r="F32" s="130">
        <f>'SB2'!F30</f>
        <v>0</v>
      </c>
      <c r="G32" s="130">
        <f>'SB2'!G30</f>
        <v>0</v>
      </c>
      <c r="H32" s="130">
        <f>'SB2'!H30</f>
        <v>0</v>
      </c>
      <c r="I32" s="130">
        <f>'SB2'!I30</f>
        <v>0</v>
      </c>
      <c r="J32" s="130">
        <f>SUM(E32:I32)</f>
        <v>0</v>
      </c>
      <c r="K32" s="130">
        <f>IF(D32=0,C32+J32,D32+J32)</f>
        <v>0</v>
      </c>
      <c r="L32" s="130">
        <f>'SB2'!L30</f>
        <v>0</v>
      </c>
      <c r="M32" s="131">
        <f>'SB2'!M30</f>
        <v>0</v>
      </c>
      <c r="AC32" s="1374" t="s">
        <v>1873</v>
      </c>
    </row>
    <row r="33" spans="1:30" ht="12.75" customHeight="1" x14ac:dyDescent="0.25">
      <c r="A33" s="127" t="s">
        <v>710</v>
      </c>
      <c r="B33" s="73"/>
      <c r="C33" s="1355">
        <f>-SUMIFS(Sheet1!S71_OriginalBudget,Sheet1!S71_A6Code,$AC:$AC)</f>
        <v>0</v>
      </c>
      <c r="D33" s="1356">
        <f>-SUMIFS(Sheet1!S71_SpecialAdjustedBudget,Sheet1!S71_A6Code,$AC:$AC)</f>
        <v>0</v>
      </c>
      <c r="E33" s="1356"/>
      <c r="F33" s="1356"/>
      <c r="G33" s="1356"/>
      <c r="H33" s="1356"/>
      <c r="I33" s="1356">
        <f>-SUMIFS(Sheet1!S71_AdjustmentAmount,Sheet1!S71_A6Code,$AC:$AC)</f>
        <v>0</v>
      </c>
      <c r="J33" s="75">
        <f>SUM(E33:I33)</f>
        <v>0</v>
      </c>
      <c r="K33" s="75">
        <f>IF(D33=0,C33+J33,D33+J33)</f>
        <v>0</v>
      </c>
      <c r="L33" s="1356">
        <f>-SUMIFS(Sheet1!S71_OY1AdjustedBudget,Sheet1!S71_A6Code,$AC:$AC)</f>
        <v>0</v>
      </c>
      <c r="M33" s="1357">
        <f>-SUMIFS(Sheet1!S71_OY2AdjustedBudget,Sheet1!S71_A6Code,$AC:$AC)</f>
        <v>0</v>
      </c>
      <c r="AC33" s="1374" t="s">
        <v>1874</v>
      </c>
    </row>
    <row r="34" spans="1:30" ht="12.75" customHeight="1" x14ac:dyDescent="0.25">
      <c r="A34" s="127" t="s">
        <v>711</v>
      </c>
      <c r="B34" s="73"/>
      <c r="C34" s="129">
        <f>'SB2'!C36</f>
        <v>10352812</v>
      </c>
      <c r="D34" s="130">
        <f>'SB2'!D36</f>
        <v>10352812</v>
      </c>
      <c r="E34" s="130">
        <f>'SB2'!E36</f>
        <v>0</v>
      </c>
      <c r="F34" s="130">
        <f>'SB2'!F36</f>
        <v>0</v>
      </c>
      <c r="G34" s="130">
        <f>'SB2'!G36</f>
        <v>0</v>
      </c>
      <c r="H34" s="130">
        <f>'SB2'!H36</f>
        <v>0</v>
      </c>
      <c r="I34" s="130">
        <f>'SB2'!I36</f>
        <v>62455673</v>
      </c>
      <c r="J34" s="130">
        <f>SUM(E34:I34)</f>
        <v>62455673</v>
      </c>
      <c r="K34" s="130">
        <f>IF(D34=0,C34+J34,D34+J34)</f>
        <v>72808485</v>
      </c>
      <c r="L34" s="130">
        <f>'SB2'!L36</f>
        <v>-120203426</v>
      </c>
      <c r="M34" s="131">
        <f>'SB2'!M36</f>
        <v>-120219976</v>
      </c>
      <c r="AC34" s="1374" t="s">
        <v>1875</v>
      </c>
    </row>
    <row r="35" spans="1:30" ht="12.75" customHeight="1" x14ac:dyDescent="0.25">
      <c r="A35" s="127" t="s">
        <v>712</v>
      </c>
      <c r="B35" s="73"/>
      <c r="C35" s="1355">
        <f>-SUMIFS(Sheet1!S71_OriginalBudget,Sheet1!S71_A6Code,$AC:$AC)</f>
        <v>0</v>
      </c>
      <c r="D35" s="1356">
        <f>-SUMIFS(Sheet1!S71_SpecialAdjustedBudget,Sheet1!S71_A6Code,$AC:$AC)</f>
        <v>0</v>
      </c>
      <c r="E35" s="1356"/>
      <c r="F35" s="1356"/>
      <c r="G35" s="1356"/>
      <c r="H35" s="1356"/>
      <c r="I35" s="1356">
        <f>-SUMIFS(Sheet1!S71_AdjustmentAmount,Sheet1!S71_A6Code,$AC:$AC)</f>
        <v>0</v>
      </c>
      <c r="J35" s="75">
        <f>SUM(E35:I35)</f>
        <v>0</v>
      </c>
      <c r="K35" s="75">
        <f>IF(D35=0,C35+J35,D35+J35)</f>
        <v>0</v>
      </c>
      <c r="L35" s="1356">
        <f>-SUMIFS(Sheet1!S71_OY1AdjustedBudget,Sheet1!S71_A6Code,$AC:$AC)</f>
        <v>0</v>
      </c>
      <c r="M35" s="1357">
        <f>-SUMIFS(Sheet1!S71_OY2AdjustedBudget,Sheet1!S71_A6Code,$AC:$AC)</f>
        <v>0</v>
      </c>
      <c r="AC35" s="1374" t="s">
        <v>1876</v>
      </c>
    </row>
    <row r="36" spans="1:30" ht="12.75" customHeight="1" x14ac:dyDescent="0.25">
      <c r="A36" s="160" t="s">
        <v>584</v>
      </c>
      <c r="B36" s="79"/>
      <c r="C36" s="80">
        <f>SUM(C31:C35)</f>
        <v>10352812</v>
      </c>
      <c r="D36" s="80">
        <f t="shared" ref="D36:I36" si="6">SUM(D31:D35)</f>
        <v>10352812</v>
      </c>
      <c r="E36" s="80">
        <f t="shared" si="6"/>
        <v>0</v>
      </c>
      <c r="F36" s="80">
        <f t="shared" si="6"/>
        <v>0</v>
      </c>
      <c r="G36" s="80">
        <f t="shared" si="6"/>
        <v>0</v>
      </c>
      <c r="H36" s="80">
        <f t="shared" si="6"/>
        <v>0</v>
      </c>
      <c r="I36" s="80">
        <f t="shared" si="6"/>
        <v>62455673</v>
      </c>
      <c r="J36" s="81">
        <f t="shared" ref="J36:M36" si="7">SUM(J31:J35)</f>
        <v>62455673</v>
      </c>
      <c r="K36" s="81">
        <f>SUM(K31:K35)</f>
        <v>72808485</v>
      </c>
      <c r="L36" s="81">
        <f t="shared" si="7"/>
        <v>-120203426</v>
      </c>
      <c r="M36" s="82">
        <f t="shared" si="7"/>
        <v>-120219976</v>
      </c>
    </row>
    <row r="37" spans="1:30" ht="5.0999999999999996" customHeight="1" x14ac:dyDescent="0.25">
      <c r="A37" s="134"/>
      <c r="B37" s="73"/>
      <c r="C37" s="74"/>
      <c r="D37" s="75"/>
      <c r="E37" s="75"/>
      <c r="F37" s="75"/>
      <c r="G37" s="75"/>
      <c r="H37" s="75"/>
      <c r="I37" s="75"/>
      <c r="J37" s="75"/>
      <c r="K37" s="75"/>
      <c r="L37" s="75"/>
      <c r="M37" s="76"/>
    </row>
    <row r="38" spans="1:30" ht="12.75" customHeight="1" x14ac:dyDescent="0.25">
      <c r="A38" s="137" t="s">
        <v>713</v>
      </c>
      <c r="B38" s="73"/>
      <c r="C38" s="74"/>
      <c r="D38" s="75"/>
      <c r="E38" s="75"/>
      <c r="F38" s="75"/>
      <c r="G38" s="75"/>
      <c r="H38" s="75"/>
      <c r="I38" s="75"/>
      <c r="J38" s="75"/>
      <c r="K38" s="75"/>
      <c r="L38" s="75"/>
      <c r="M38" s="76"/>
    </row>
    <row r="39" spans="1:30" ht="12.75" customHeight="1" x14ac:dyDescent="0.25">
      <c r="A39" s="127" t="s">
        <v>578</v>
      </c>
      <c r="B39" s="73">
        <v>1</v>
      </c>
      <c r="C39" s="129">
        <f>'SB2'!C40</f>
        <v>0</v>
      </c>
      <c r="D39" s="130">
        <f>'SB2'!D40</f>
        <v>0</v>
      </c>
      <c r="E39" s="130">
        <f>'SB2'!E40</f>
        <v>0</v>
      </c>
      <c r="F39" s="130">
        <f>'SB2'!F40</f>
        <v>0</v>
      </c>
      <c r="G39" s="130">
        <f>'SB2'!G40</f>
        <v>0</v>
      </c>
      <c r="H39" s="130">
        <f>'SB2'!H40</f>
        <v>0</v>
      </c>
      <c r="I39" s="130">
        <f>'SB2'!I40</f>
        <v>0</v>
      </c>
      <c r="J39" s="130">
        <f>SUM(E39:I39)</f>
        <v>0</v>
      </c>
      <c r="K39" s="130">
        <f>IF(D39=0,C39+J39,D39+J39)</f>
        <v>0</v>
      </c>
      <c r="L39" s="130">
        <f>'SB2'!L40</f>
        <v>0</v>
      </c>
      <c r="M39" s="131">
        <f>'SB2'!M40</f>
        <v>0</v>
      </c>
      <c r="AC39" s="1374" t="s">
        <v>1816</v>
      </c>
    </row>
    <row r="40" spans="1:30" ht="12.75" customHeight="1" x14ac:dyDescent="0.25">
      <c r="A40" s="127" t="s">
        <v>712</v>
      </c>
      <c r="B40" s="73">
        <v>1</v>
      </c>
      <c r="C40" s="129">
        <f>'SB2'!C46</f>
        <v>0</v>
      </c>
      <c r="D40" s="130">
        <f>'SB2'!D46</f>
        <v>0</v>
      </c>
      <c r="E40" s="130">
        <f>'SB2'!E46</f>
        <v>0</v>
      </c>
      <c r="F40" s="130">
        <f>'SB2'!F46</f>
        <v>0</v>
      </c>
      <c r="G40" s="130">
        <f>'SB2'!G46</f>
        <v>0</v>
      </c>
      <c r="H40" s="130">
        <f>'SB2'!H46</f>
        <v>0</v>
      </c>
      <c r="I40" s="130">
        <f>'SB2'!I46</f>
        <v>0</v>
      </c>
      <c r="J40" s="130">
        <f>SUM(E40:I40)</f>
        <v>0</v>
      </c>
      <c r="K40" s="130">
        <f>IF(D40=0,C40+J40,D40+J40)</f>
        <v>0</v>
      </c>
      <c r="L40" s="130">
        <f>'SB2'!L46</f>
        <v>0</v>
      </c>
      <c r="M40" s="131">
        <f>'SB2'!M46</f>
        <v>0</v>
      </c>
      <c r="AC40" s="1374" t="s">
        <v>1877</v>
      </c>
    </row>
    <row r="41" spans="1:30" ht="12.75" customHeight="1" x14ac:dyDescent="0.25">
      <c r="A41" s="160" t="s">
        <v>585</v>
      </c>
      <c r="B41" s="79"/>
      <c r="C41" s="80">
        <f t="shared" ref="C41:M41" si="8">SUM(C39:C40)</f>
        <v>0</v>
      </c>
      <c r="D41" s="81">
        <f t="shared" si="8"/>
        <v>0</v>
      </c>
      <c r="E41" s="81">
        <f t="shared" si="8"/>
        <v>0</v>
      </c>
      <c r="F41" s="81">
        <f t="shared" si="8"/>
        <v>0</v>
      </c>
      <c r="G41" s="81">
        <f t="shared" si="8"/>
        <v>0</v>
      </c>
      <c r="H41" s="81">
        <f t="shared" si="8"/>
        <v>0</v>
      </c>
      <c r="I41" s="81">
        <f>SUM(I39:I40)</f>
        <v>0</v>
      </c>
      <c r="J41" s="81">
        <f t="shared" si="8"/>
        <v>0</v>
      </c>
      <c r="K41" s="81">
        <f t="shared" si="8"/>
        <v>0</v>
      </c>
      <c r="L41" s="81">
        <f t="shared" si="8"/>
        <v>0</v>
      </c>
      <c r="M41" s="82">
        <f t="shared" si="8"/>
        <v>0</v>
      </c>
    </row>
    <row r="42" spans="1:30" ht="12.75" customHeight="1" x14ac:dyDescent="0.25">
      <c r="A42" s="160" t="s">
        <v>714</v>
      </c>
      <c r="B42" s="79"/>
      <c r="C42" s="80">
        <f t="shared" ref="C42:M42" si="9">C36+C41</f>
        <v>10352812</v>
      </c>
      <c r="D42" s="81">
        <f t="shared" si="9"/>
        <v>10352812</v>
      </c>
      <c r="E42" s="81">
        <f t="shared" si="9"/>
        <v>0</v>
      </c>
      <c r="F42" s="81">
        <f t="shared" si="9"/>
        <v>0</v>
      </c>
      <c r="G42" s="81">
        <f t="shared" si="9"/>
        <v>0</v>
      </c>
      <c r="H42" s="81">
        <f t="shared" si="9"/>
        <v>0</v>
      </c>
      <c r="I42" s="81">
        <f t="shared" si="9"/>
        <v>62455673</v>
      </c>
      <c r="J42" s="81">
        <f t="shared" si="9"/>
        <v>62455673</v>
      </c>
      <c r="K42" s="81">
        <f t="shared" si="9"/>
        <v>72808485</v>
      </c>
      <c r="L42" s="81">
        <f t="shared" si="9"/>
        <v>-120203426</v>
      </c>
      <c r="M42" s="82">
        <f t="shared" si="9"/>
        <v>-120219976</v>
      </c>
    </row>
    <row r="43" spans="1:30" s="48" customFormat="1" ht="5.0999999999999996" customHeight="1" x14ac:dyDescent="0.25">
      <c r="A43" s="134"/>
      <c r="B43" s="73"/>
      <c r="C43" s="74"/>
      <c r="D43" s="75"/>
      <c r="E43" s="75"/>
      <c r="F43" s="75"/>
      <c r="G43" s="75"/>
      <c r="H43" s="75"/>
      <c r="I43" s="75"/>
      <c r="J43" s="75"/>
      <c r="K43" s="75"/>
      <c r="L43" s="75"/>
      <c r="M43" s="76"/>
      <c r="AC43" s="1378"/>
      <c r="AD43" s="1336"/>
    </row>
    <row r="44" spans="1:30" ht="12.75" customHeight="1" x14ac:dyDescent="0.25">
      <c r="A44" s="301" t="s">
        <v>715</v>
      </c>
      <c r="B44" s="152">
        <v>2</v>
      </c>
      <c r="C44" s="515">
        <f t="shared" ref="C44:M44" si="10">C27-C42</f>
        <v>254789635</v>
      </c>
      <c r="D44" s="235">
        <f t="shared" si="10"/>
        <v>262513620</v>
      </c>
      <c r="E44" s="235">
        <f t="shared" si="10"/>
        <v>0</v>
      </c>
      <c r="F44" s="235">
        <f t="shared" si="10"/>
        <v>0</v>
      </c>
      <c r="G44" s="235">
        <f t="shared" si="10"/>
        <v>0</v>
      </c>
      <c r="H44" s="235">
        <f t="shared" si="10"/>
        <v>0</v>
      </c>
      <c r="I44" s="235">
        <f>I27-I42</f>
        <v>-258621527</v>
      </c>
      <c r="J44" s="235">
        <f t="shared" si="10"/>
        <v>-258621527</v>
      </c>
      <c r="K44" s="235">
        <f>K27-K42</f>
        <v>3892093</v>
      </c>
      <c r="L44" s="235">
        <f t="shared" si="10"/>
        <v>195368516</v>
      </c>
      <c r="M44" s="236">
        <f t="shared" si="10"/>
        <v>187539066</v>
      </c>
    </row>
    <row r="45" spans="1:30" ht="5.0999999999999996" customHeight="1" x14ac:dyDescent="0.25">
      <c r="A45" s="134"/>
      <c r="B45" s="73"/>
      <c r="C45" s="74"/>
      <c r="D45" s="75"/>
      <c r="E45" s="75"/>
      <c r="F45" s="75"/>
      <c r="G45" s="75"/>
      <c r="H45" s="75"/>
      <c r="I45" s="75"/>
      <c r="J45" s="75"/>
      <c r="K45" s="75"/>
      <c r="L45" s="75"/>
      <c r="M45" s="76"/>
    </row>
    <row r="46" spans="1:30" ht="12.75" customHeight="1" x14ac:dyDescent="0.25">
      <c r="A46" s="137" t="s">
        <v>716</v>
      </c>
      <c r="B46" s="73"/>
      <c r="C46" s="74"/>
      <c r="D46" s="75"/>
      <c r="E46" s="75"/>
      <c r="F46" s="75"/>
      <c r="G46" s="75"/>
      <c r="H46" s="75"/>
      <c r="I46" s="75"/>
      <c r="J46" s="75"/>
      <c r="K46" s="75"/>
      <c r="L46" s="75"/>
      <c r="M46" s="76"/>
    </row>
    <row r="47" spans="1:30" ht="12.75" customHeight="1" x14ac:dyDescent="0.25">
      <c r="A47" s="127" t="s">
        <v>717</v>
      </c>
      <c r="B47" s="73"/>
      <c r="C47" s="129">
        <f>'SB2'!C57</f>
        <v>240175353</v>
      </c>
      <c r="D47" s="130">
        <f>'SB2'!D57</f>
        <v>258824588</v>
      </c>
      <c r="E47" s="130">
        <f>'SB2'!E57</f>
        <v>0</v>
      </c>
      <c r="F47" s="130">
        <f>'SB2'!F57</f>
        <v>0</v>
      </c>
      <c r="G47" s="130">
        <f>'SB2'!G57</f>
        <v>0</v>
      </c>
      <c r="H47" s="130">
        <f>'SB2'!H57</f>
        <v>0</v>
      </c>
      <c r="I47" s="130">
        <f>'SB2'!I57</f>
        <v>-265741212</v>
      </c>
      <c r="J47" s="130">
        <f>SUM(E47:I47)</f>
        <v>-265741212</v>
      </c>
      <c r="K47" s="130">
        <f>IF(D47=0,C47+J47,D47+J47)</f>
        <v>-6916624</v>
      </c>
      <c r="L47" s="130">
        <f>'SB2'!L57</f>
        <v>5584299</v>
      </c>
      <c r="M47" s="131">
        <f>'SB2'!M57</f>
        <v>5455423</v>
      </c>
      <c r="AC47" s="1374" t="s">
        <v>1878</v>
      </c>
    </row>
    <row r="48" spans="1:30" ht="12.75" customHeight="1" x14ac:dyDescent="0.25">
      <c r="A48" s="127" t="s">
        <v>718</v>
      </c>
      <c r="B48" s="73"/>
      <c r="C48" s="129">
        <f>'SB2'!C64</f>
        <v>0</v>
      </c>
      <c r="D48" s="130">
        <f>'SB2'!D64</f>
        <v>0</v>
      </c>
      <c r="E48" s="130">
        <f>'SB2'!E64</f>
        <v>0</v>
      </c>
      <c r="F48" s="130">
        <f>'SB2'!F64</f>
        <v>0</v>
      </c>
      <c r="G48" s="130">
        <f>'SB2'!G64</f>
        <v>0</v>
      </c>
      <c r="H48" s="130">
        <f>'SB2'!H64</f>
        <v>0</v>
      </c>
      <c r="I48" s="130">
        <f>'SB2'!I64</f>
        <v>0</v>
      </c>
      <c r="J48" s="130">
        <f>SUM(E48:I48)</f>
        <v>0</v>
      </c>
      <c r="K48" s="130">
        <f>IF(D48=0,C48+J48,D48+J48)</f>
        <v>0</v>
      </c>
      <c r="L48" s="130">
        <f>'SB2'!L64</f>
        <v>0</v>
      </c>
      <c r="M48" s="131">
        <f>'SB2'!M64</f>
        <v>0</v>
      </c>
      <c r="AC48" s="1374" t="s">
        <v>1879</v>
      </c>
    </row>
    <row r="49" spans="1:30" ht="0.95" customHeight="1" x14ac:dyDescent="0.25">
      <c r="A49" s="127"/>
      <c r="B49" s="73"/>
      <c r="C49" s="129"/>
      <c r="D49" s="130"/>
      <c r="E49" s="130"/>
      <c r="F49" s="130"/>
      <c r="G49" s="130"/>
      <c r="H49" s="130"/>
      <c r="I49" s="130"/>
      <c r="J49" s="130"/>
      <c r="K49" s="130"/>
      <c r="L49" s="130"/>
      <c r="M49" s="131"/>
    </row>
    <row r="50" spans="1:30" ht="12.75" customHeight="1" x14ac:dyDescent="0.25">
      <c r="A50" s="153" t="s">
        <v>719</v>
      </c>
      <c r="B50" s="154"/>
      <c r="C50" s="155">
        <f>SUM(C47:C48)</f>
        <v>240175353</v>
      </c>
      <c r="D50" s="115">
        <f t="shared" ref="D50:M50" si="11">SUM(D47:D48)</f>
        <v>258824588</v>
      </c>
      <c r="E50" s="115">
        <f t="shared" si="11"/>
        <v>0</v>
      </c>
      <c r="F50" s="115">
        <f t="shared" si="11"/>
        <v>0</v>
      </c>
      <c r="G50" s="115">
        <f t="shared" si="11"/>
        <v>0</v>
      </c>
      <c r="H50" s="115">
        <f t="shared" si="11"/>
        <v>0</v>
      </c>
      <c r="I50" s="115">
        <f t="shared" si="11"/>
        <v>-265741212</v>
      </c>
      <c r="J50" s="115">
        <f t="shared" si="11"/>
        <v>-265741212</v>
      </c>
      <c r="K50" s="115">
        <f t="shared" si="11"/>
        <v>-6916624</v>
      </c>
      <c r="L50" s="115">
        <f t="shared" si="11"/>
        <v>5584299</v>
      </c>
      <c r="M50" s="116">
        <f t="shared" si="11"/>
        <v>5455423</v>
      </c>
    </row>
    <row r="51" spans="1:30" ht="12.75" customHeight="1" x14ac:dyDescent="0.25">
      <c r="A51" s="156" t="str">
        <f>head27a</f>
        <v>References</v>
      </c>
      <c r="B51" s="93"/>
      <c r="C51" s="96"/>
      <c r="D51" s="96"/>
      <c r="E51" s="96"/>
      <c r="F51" s="96"/>
      <c r="G51" s="96"/>
      <c r="H51" s="96"/>
      <c r="I51" s="96"/>
      <c r="J51" s="96"/>
      <c r="K51" s="96"/>
      <c r="L51" s="96"/>
      <c r="M51" s="96"/>
      <c r="AC51" s="1379"/>
      <c r="AD51" s="1349"/>
    </row>
    <row r="52" spans="1:30" ht="12.75" customHeight="1" x14ac:dyDescent="0.25">
      <c r="A52" s="99" t="s">
        <v>1043</v>
      </c>
      <c r="B52" s="99"/>
      <c r="C52" s="99"/>
      <c r="D52" s="99"/>
      <c r="E52" s="99"/>
      <c r="F52" s="99"/>
      <c r="G52" s="99"/>
      <c r="H52" s="99"/>
      <c r="I52" s="99"/>
      <c r="J52" s="99"/>
      <c r="K52" s="99"/>
      <c r="L52" s="99"/>
      <c r="M52" s="99"/>
      <c r="AC52" s="1379"/>
      <c r="AD52" s="1349"/>
    </row>
    <row r="53" spans="1:30" ht="12.75" customHeight="1" x14ac:dyDescent="0.25">
      <c r="A53" s="99" t="s">
        <v>720</v>
      </c>
      <c r="B53" s="100"/>
      <c r="C53" s="100"/>
      <c r="D53" s="100"/>
      <c r="E53" s="100"/>
      <c r="F53" s="100"/>
      <c r="G53" s="100"/>
      <c r="H53" s="100"/>
      <c r="I53" s="100"/>
      <c r="J53" s="100"/>
      <c r="K53" s="100"/>
      <c r="L53" s="100"/>
      <c r="M53" s="100"/>
      <c r="AC53" s="1379"/>
      <c r="AD53" s="1349"/>
    </row>
    <row r="54" spans="1:30" ht="12.75" customHeight="1" x14ac:dyDescent="0.25">
      <c r="A54" s="1422" t="s">
        <v>988</v>
      </c>
      <c r="B54" s="1422"/>
      <c r="C54" s="1422"/>
      <c r="D54" s="1422"/>
      <c r="E54" s="1422"/>
      <c r="F54" s="1422"/>
      <c r="G54" s="1422"/>
      <c r="H54" s="1422"/>
      <c r="I54" s="1422"/>
      <c r="J54" s="1422"/>
      <c r="K54" s="1422"/>
      <c r="L54" s="1422"/>
      <c r="M54" s="1422"/>
      <c r="AC54" s="1379"/>
      <c r="AD54" s="1349"/>
    </row>
    <row r="55" spans="1:30" ht="25.5" customHeight="1" x14ac:dyDescent="0.25">
      <c r="A55" s="1422" t="s">
        <v>1032</v>
      </c>
      <c r="B55" s="1422"/>
      <c r="C55" s="1422"/>
      <c r="D55" s="1422"/>
      <c r="E55" s="1422"/>
      <c r="F55" s="1422"/>
      <c r="G55" s="1422"/>
      <c r="H55" s="1422"/>
      <c r="I55" s="1422"/>
      <c r="J55" s="1422"/>
      <c r="K55" s="1422"/>
      <c r="L55" s="1422"/>
      <c r="M55" s="1422"/>
      <c r="AC55" s="1379"/>
      <c r="AD55" s="1349"/>
    </row>
    <row r="56" spans="1:30" ht="12.75" customHeight="1" x14ac:dyDescent="0.25">
      <c r="A56" s="1416" t="s">
        <v>1033</v>
      </c>
      <c r="B56" s="1416"/>
      <c r="C56" s="1416"/>
      <c r="D56" s="1416"/>
      <c r="E56" s="1416"/>
      <c r="F56" s="1416"/>
      <c r="G56" s="1416"/>
      <c r="H56" s="1416"/>
      <c r="I56" s="1416"/>
      <c r="J56" s="1416"/>
      <c r="K56" s="1416"/>
      <c r="L56" s="1416"/>
      <c r="M56" s="1416"/>
      <c r="AC56" s="1379"/>
      <c r="AD56" s="1349"/>
    </row>
    <row r="57" spans="1:30" ht="12.75" customHeight="1" x14ac:dyDescent="0.25">
      <c r="A57" s="1416" t="s">
        <v>1034</v>
      </c>
      <c r="B57" s="1416"/>
      <c r="C57" s="1416"/>
      <c r="D57" s="1416"/>
      <c r="E57" s="1416"/>
      <c r="F57" s="1416"/>
      <c r="G57" s="1416"/>
      <c r="H57" s="1416"/>
      <c r="I57" s="1416"/>
      <c r="J57" s="1416"/>
      <c r="K57" s="1416"/>
      <c r="L57" s="1416"/>
      <c r="M57" s="1416"/>
    </row>
    <row r="58" spans="1:30" ht="12.75" customHeight="1" x14ac:dyDescent="0.25">
      <c r="A58" s="99" t="s">
        <v>1035</v>
      </c>
      <c r="B58" s="158"/>
      <c r="C58" s="96"/>
      <c r="D58" s="96"/>
      <c r="E58" s="96"/>
      <c r="F58" s="96"/>
      <c r="G58" s="96"/>
      <c r="H58" s="96"/>
      <c r="I58" s="96"/>
      <c r="J58" s="96"/>
      <c r="K58" s="96"/>
      <c r="L58" s="96"/>
      <c r="M58" s="96"/>
    </row>
    <row r="59" spans="1:30" ht="27.75" customHeight="1" x14ac:dyDescent="0.25">
      <c r="A59" s="1416" t="s">
        <v>1036</v>
      </c>
      <c r="B59" s="1416"/>
      <c r="C59" s="1416"/>
      <c r="D59" s="1416"/>
      <c r="E59" s="1416"/>
      <c r="F59" s="1416"/>
      <c r="G59" s="1416"/>
      <c r="H59" s="1416"/>
      <c r="I59" s="1416"/>
      <c r="J59" s="1416"/>
      <c r="K59" s="1416"/>
      <c r="L59" s="1416"/>
      <c r="M59" s="1416"/>
    </row>
    <row r="60" spans="1:30" ht="12.75" customHeight="1" x14ac:dyDescent="0.25">
      <c r="A60" s="99" t="s">
        <v>610</v>
      </c>
      <c r="B60" s="93"/>
      <c r="C60" s="96"/>
      <c r="D60" s="96"/>
      <c r="E60" s="96"/>
      <c r="F60" s="96"/>
      <c r="G60" s="96"/>
      <c r="H60" s="96"/>
      <c r="I60" s="96"/>
      <c r="J60" s="96"/>
      <c r="K60" s="96"/>
      <c r="L60" s="96"/>
      <c r="M60" s="96"/>
    </row>
    <row r="61" spans="1:30" ht="12.75" customHeight="1" x14ac:dyDescent="0.25">
      <c r="A61" s="1416" t="s">
        <v>611</v>
      </c>
      <c r="B61" s="1416"/>
      <c r="C61" s="1416"/>
      <c r="D61" s="1416"/>
      <c r="E61" s="1416"/>
      <c r="F61" s="1416"/>
      <c r="G61" s="1416"/>
      <c r="H61" s="1416"/>
      <c r="I61" s="1416"/>
      <c r="J61" s="1416"/>
      <c r="K61" s="1416"/>
      <c r="L61" s="1416"/>
      <c r="M61" s="1416"/>
    </row>
    <row r="62" spans="1:30" ht="11.25" customHeight="1" x14ac:dyDescent="0.25">
      <c r="A62" s="48"/>
      <c r="B62" s="119"/>
      <c r="C62" s="53"/>
      <c r="D62" s="53"/>
      <c r="E62" s="53"/>
      <c r="F62" s="53"/>
      <c r="G62" s="53"/>
      <c r="H62" s="53"/>
      <c r="I62" s="53"/>
      <c r="J62" s="53"/>
      <c r="K62" s="53"/>
      <c r="L62" s="53"/>
      <c r="M62" s="53"/>
    </row>
    <row r="63" spans="1:30" ht="11.25" customHeight="1" x14ac:dyDescent="0.25">
      <c r="A63" s="120" t="s">
        <v>673</v>
      </c>
      <c r="B63" s="93"/>
      <c r="C63" s="102">
        <f t="shared" ref="C63:M63" si="12">C44-C50</f>
        <v>14614282</v>
      </c>
      <c r="D63" s="102">
        <f t="shared" si="12"/>
        <v>3689032</v>
      </c>
      <c r="E63" s="102">
        <f t="shared" si="12"/>
        <v>0</v>
      </c>
      <c r="F63" s="102">
        <f t="shared" si="12"/>
        <v>0</v>
      </c>
      <c r="G63" s="102">
        <f t="shared" si="12"/>
        <v>0</v>
      </c>
      <c r="H63" s="102">
        <f t="shared" si="12"/>
        <v>0</v>
      </c>
      <c r="I63" s="102">
        <f>I44-I50</f>
        <v>7119685</v>
      </c>
      <c r="J63" s="102">
        <f t="shared" si="12"/>
        <v>7119685</v>
      </c>
      <c r="K63" s="102">
        <f t="shared" si="12"/>
        <v>10808717</v>
      </c>
      <c r="L63" s="102">
        <f t="shared" si="12"/>
        <v>189784217</v>
      </c>
      <c r="M63" s="102">
        <f t="shared" si="12"/>
        <v>182083643</v>
      </c>
    </row>
    <row r="64" spans="1:30" ht="11.25" customHeight="1" x14ac:dyDescent="0.25">
      <c r="B64" s="5"/>
    </row>
    <row r="65" spans="2:30" ht="11.25" customHeight="1" x14ac:dyDescent="0.25">
      <c r="B65" s="5"/>
    </row>
    <row r="66" spans="2:30" ht="11.25" customHeight="1" x14ac:dyDescent="0.25">
      <c r="B66" s="5"/>
    </row>
    <row r="67" spans="2:30" ht="11.25" customHeight="1" x14ac:dyDescent="0.25">
      <c r="B67" s="5"/>
    </row>
    <row r="68" spans="2:30" ht="11.25" customHeight="1" x14ac:dyDescent="0.25">
      <c r="B68" s="5"/>
    </row>
    <row r="69" spans="2:30" ht="11.25" customHeight="1" x14ac:dyDescent="0.25">
      <c r="B69" s="5"/>
    </row>
    <row r="70" spans="2:30" ht="11.25" customHeight="1" x14ac:dyDescent="0.25">
      <c r="B70" s="5"/>
    </row>
    <row r="71" spans="2:30" ht="11.25" customHeight="1" x14ac:dyDescent="0.25">
      <c r="B71" s="5"/>
    </row>
    <row r="72" spans="2:30" ht="11.25" customHeight="1" x14ac:dyDescent="0.25">
      <c r="B72" s="5"/>
    </row>
    <row r="73" spans="2:30" ht="11.25" customHeight="1" x14ac:dyDescent="0.25">
      <c r="B73" s="5"/>
      <c r="AC73" s="1380"/>
      <c r="AD73" s="1350"/>
    </row>
    <row r="74" spans="2:30" ht="11.25" customHeight="1" x14ac:dyDescent="0.25">
      <c r="B74" s="5"/>
    </row>
    <row r="75" spans="2:30" ht="11.25" customHeight="1" x14ac:dyDescent="0.25">
      <c r="B75" s="5"/>
    </row>
    <row r="76" spans="2:30" ht="11.25" customHeight="1" x14ac:dyDescent="0.25">
      <c r="B76" s="5"/>
    </row>
    <row r="77" spans="2:30" ht="11.25" customHeight="1" x14ac:dyDescent="0.25">
      <c r="B77" s="5"/>
    </row>
    <row r="78" spans="2:30" ht="11.25" customHeight="1" x14ac:dyDescent="0.25">
      <c r="B78" s="5"/>
    </row>
    <row r="79" spans="2:30" ht="11.25" customHeight="1" x14ac:dyDescent="0.25">
      <c r="B79" s="5"/>
    </row>
    <row r="80" spans="2:30"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algorithmName="SHA-512" hashValue="nwFwWrLY2HRWTEWg3iUL/g0t6bS50eCPYGBKvFTEF7hMLepAbCL+EEkVLGaAC1MUMQ2rFQicdwD8nCDLwams8g==" saltValue="CGwONsqpUqu69aNKwg4PCQ==" spinCount="100000" sheet="1" objects="1" scenarios="1"/>
  <mergeCells count="9">
    <mergeCell ref="C2:K2"/>
    <mergeCell ref="A2:A4"/>
    <mergeCell ref="B2:B4"/>
    <mergeCell ref="A61:M61"/>
    <mergeCell ref="A57:M57"/>
    <mergeCell ref="A59:M59"/>
    <mergeCell ref="A55:M55"/>
    <mergeCell ref="A56:M56"/>
    <mergeCell ref="A54:M54"/>
  </mergeCells>
  <phoneticPr fontId="4" type="noConversion"/>
  <printOptions horizontalCentered="1"/>
  <pageMargins left="0.35433070866141736" right="0.15748031496062992" top="0.78740157480314965" bottom="0.59055118110236227" header="0.51181102362204722" footer="0.39370078740157483"/>
  <pageSetup paperSize="9" scale="6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7">
    <tabColor indexed="44"/>
    <pageSetUpPr fitToPage="1"/>
  </sheetPr>
  <dimension ref="A1:AD132"/>
  <sheetViews>
    <sheetView showGridLines="0" zoomScaleNormal="100" workbookViewId="0">
      <pane xSplit="2" ySplit="5" topLeftCell="D24" activePane="bottomRight" state="frozen"/>
      <selection activeCell="C6" sqref="C6"/>
      <selection pane="topRight" activeCell="C6" sqref="C6"/>
      <selection pane="bottomLeft" activeCell="C6" sqref="C6"/>
      <selection pane="bottomRight" activeCell="I28" sqref="I28"/>
    </sheetView>
  </sheetViews>
  <sheetFormatPr defaultColWidth="9.140625" defaultRowHeight="12.75" x14ac:dyDescent="0.25"/>
  <cols>
    <col min="1" max="1" width="36" style="5" bestFit="1" customWidth="1"/>
    <col min="2" max="2" width="3.140625" style="58" customWidth="1"/>
    <col min="3" max="13" width="8.5703125" style="5" customWidth="1"/>
    <col min="14" max="16" width="9.85546875" style="5" hidden="1" customWidth="1"/>
    <col min="17" max="17" width="11" style="5" hidden="1" customWidth="1"/>
    <col min="18" max="18" width="9.5703125" style="5" hidden="1" customWidth="1"/>
    <col min="19" max="19" width="9.85546875" style="5" hidden="1" customWidth="1"/>
    <col min="20" max="22" width="9.5703125" style="5" hidden="1" customWidth="1"/>
    <col min="23" max="23" width="9.85546875" style="5" hidden="1" customWidth="1"/>
    <col min="24" max="26" width="9.5703125" style="5" hidden="1" customWidth="1"/>
    <col min="27" max="28" width="9.85546875" style="5" hidden="1" customWidth="1"/>
    <col min="29" max="29" width="9.140625" style="5" customWidth="1"/>
    <col min="30" max="30" width="9.140625" style="1336" customWidth="1"/>
    <col min="31" max="16384" width="9.140625" style="5"/>
  </cols>
  <sheetData>
    <row r="1" spans="1:29" ht="13.5" x14ac:dyDescent="0.25">
      <c r="A1" s="57" t="str">
        <f>muni&amp;" - "&amp;_ADJ7&amp;" - "&amp;Date</f>
        <v xml:space="preserve">KZN226 Mkhambathini - Table B7 Adjustments Budget Cash Flows - </v>
      </c>
      <c r="B1" s="5"/>
      <c r="C1" s="58"/>
    </row>
    <row r="2" spans="1:29" ht="38.25" x14ac:dyDescent="0.25">
      <c r="A2" s="1420" t="str">
        <f>desc</f>
        <v>Description</v>
      </c>
      <c r="B2" s="1420" t="str">
        <f>head27</f>
        <v>Ref</v>
      </c>
      <c r="C2" s="1417" t="str">
        <f>Head2</f>
        <v>Budget Year 2020/21</v>
      </c>
      <c r="D2" s="1418"/>
      <c r="E2" s="1418"/>
      <c r="F2" s="1418"/>
      <c r="G2" s="1418"/>
      <c r="H2" s="1418"/>
      <c r="I2" s="1418"/>
      <c r="J2" s="1418"/>
      <c r="K2" s="1418"/>
      <c r="L2" s="103" t="str">
        <f>Head10</f>
        <v>Budget Year +1 2021/22</v>
      </c>
      <c r="M2" s="61" t="str">
        <f>Head11</f>
        <v>Budget Year +2 2022/23</v>
      </c>
    </row>
    <row r="3" spans="1:29" ht="25.5" x14ac:dyDescent="0.25">
      <c r="A3" s="1421"/>
      <c r="B3" s="14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9" x14ac:dyDescent="0.25">
      <c r="A4" s="1421"/>
      <c r="B4" s="1421"/>
      <c r="C4" s="65"/>
      <c r="D4" s="15">
        <v>3</v>
      </c>
      <c r="E4" s="15">
        <v>4</v>
      </c>
      <c r="F4" s="15">
        <v>5</v>
      </c>
      <c r="G4" s="15">
        <v>6</v>
      </c>
      <c r="H4" s="15">
        <v>7</v>
      </c>
      <c r="I4" s="15">
        <v>8</v>
      </c>
      <c r="J4" s="15">
        <v>9</v>
      </c>
      <c r="K4" s="15">
        <v>10</v>
      </c>
      <c r="L4" s="15"/>
      <c r="M4" s="17"/>
    </row>
    <row r="5" spans="1:29" ht="13.5" x14ac:dyDescent="0.25">
      <c r="A5" s="66" t="s">
        <v>605</v>
      </c>
      <c r="B5" s="104"/>
      <c r="C5" s="67" t="s">
        <v>549</v>
      </c>
      <c r="D5" s="68" t="s">
        <v>550</v>
      </c>
      <c r="E5" s="68" t="s">
        <v>551</v>
      </c>
      <c r="F5" s="69" t="s">
        <v>552</v>
      </c>
      <c r="G5" s="69" t="s">
        <v>553</v>
      </c>
      <c r="H5" s="69" t="s">
        <v>554</v>
      </c>
      <c r="I5" s="70" t="s">
        <v>555</v>
      </c>
      <c r="J5" s="70" t="s">
        <v>556</v>
      </c>
      <c r="K5" s="70" t="s">
        <v>557</v>
      </c>
      <c r="L5" s="70"/>
      <c r="M5" s="71"/>
      <c r="N5"/>
      <c r="O5"/>
      <c r="P5"/>
      <c r="Q5"/>
      <c r="R5"/>
      <c r="S5"/>
      <c r="T5"/>
      <c r="U5"/>
    </row>
    <row r="6" spans="1:29" ht="12.75" customHeight="1" x14ac:dyDescent="0.25">
      <c r="A6" s="137" t="s">
        <v>721</v>
      </c>
      <c r="B6" s="73"/>
      <c r="C6" s="74"/>
      <c r="D6" s="75"/>
      <c r="E6" s="75"/>
      <c r="F6" s="75"/>
      <c r="G6" s="75"/>
      <c r="H6" s="75"/>
      <c r="I6" s="75"/>
      <c r="J6" s="75"/>
      <c r="K6" s="75"/>
      <c r="L6" s="75"/>
      <c r="M6" s="76"/>
      <c r="N6"/>
      <c r="O6"/>
      <c r="P6"/>
      <c r="Q6"/>
      <c r="R6"/>
      <c r="S6"/>
      <c r="T6"/>
      <c r="U6"/>
    </row>
    <row r="7" spans="1:29" ht="12.75" customHeight="1" x14ac:dyDescent="0.25">
      <c r="A7" s="137" t="s">
        <v>722</v>
      </c>
      <c r="B7" s="73"/>
      <c r="C7" s="74"/>
      <c r="D7" s="75"/>
      <c r="E7" s="75"/>
      <c r="F7" s="75"/>
      <c r="G7" s="75"/>
      <c r="H7" s="75"/>
      <c r="I7" s="75"/>
      <c r="J7" s="75"/>
      <c r="K7" s="75"/>
      <c r="L7" s="75"/>
      <c r="M7" s="76"/>
      <c r="N7"/>
      <c r="O7"/>
      <c r="P7"/>
      <c r="Q7"/>
      <c r="R7"/>
      <c r="S7"/>
      <c r="T7"/>
      <c r="U7"/>
    </row>
    <row r="8" spans="1:29" ht="12.75" customHeight="1" x14ac:dyDescent="0.25">
      <c r="A8" s="584" t="s">
        <v>559</v>
      </c>
      <c r="B8" s="73"/>
      <c r="C8" s="1355">
        <f>SUMIFS(Sheet1!S71_OriginalBudget,Sheet1!S71_A7Code,$AC:$AC)</f>
        <v>16814377</v>
      </c>
      <c r="D8" s="1356">
        <f>SUMIFS(Sheet1!S71_SpecialAdjustedBudget,Sheet1!S71_A7Code,$AC:$AC)</f>
        <v>16814377</v>
      </c>
      <c r="E8" s="1356"/>
      <c r="F8" s="1356"/>
      <c r="G8" s="1356"/>
      <c r="H8" s="1356"/>
      <c r="I8" s="1356">
        <v>0</v>
      </c>
      <c r="J8" s="75">
        <f t="shared" ref="J8:J14" si="0">SUM(E8:I8)</f>
        <v>0</v>
      </c>
      <c r="K8" s="75">
        <f>IF(D8=0,C8+J8,D8+J8)</f>
        <v>16814377</v>
      </c>
      <c r="L8" s="1356">
        <f>SUMIFS(Sheet1!S71_OY1AdjustedBudget,Sheet1!S71_A7Code,$AC:$AC)</f>
        <v>0</v>
      </c>
      <c r="M8" s="1357">
        <f>SUMIFS(Sheet1!S71_OY2AdjustedBudget,Sheet1!S71_A7Code,$AC:$AC)</f>
        <v>0</v>
      </c>
      <c r="N8"/>
      <c r="O8"/>
      <c r="P8"/>
      <c r="Q8"/>
      <c r="R8"/>
      <c r="S8"/>
      <c r="T8"/>
      <c r="U8"/>
      <c r="AC8" s="5" t="s">
        <v>2181</v>
      </c>
    </row>
    <row r="9" spans="1:29" ht="12.75" customHeight="1" x14ac:dyDescent="0.25">
      <c r="A9" s="584" t="s">
        <v>560</v>
      </c>
      <c r="B9" s="73"/>
      <c r="C9" s="1355">
        <f>SUMIFS(Sheet1!S71_OriginalBudget,Sheet1!S71_A7Code,$AC:$AC)</f>
        <v>574284</v>
      </c>
      <c r="D9" s="1356">
        <f>SUMIFS(Sheet1!S71_SpecialAdjustedBudget,Sheet1!S71_A7Code,$AC:$AC)</f>
        <v>574284</v>
      </c>
      <c r="E9" s="1356"/>
      <c r="F9" s="1356"/>
      <c r="G9" s="1356"/>
      <c r="H9" s="1356"/>
      <c r="I9" s="1356">
        <v>0</v>
      </c>
      <c r="J9" s="75">
        <f t="shared" si="0"/>
        <v>0</v>
      </c>
      <c r="K9" s="75">
        <f t="shared" ref="K9:K14" si="1">IF(D9=0,C9+J9,D9+J9)</f>
        <v>574284</v>
      </c>
      <c r="L9" s="1356">
        <f>SUMIFS(Sheet1!S71_OY1AdjustedBudget,Sheet1!S71_A7Code,$AC:$AC)</f>
        <v>0</v>
      </c>
      <c r="M9" s="1357">
        <f>SUMIFS(Sheet1!S71_OY2AdjustedBudget,Sheet1!S71_A7Code,$AC:$AC)</f>
        <v>0</v>
      </c>
      <c r="N9"/>
      <c r="O9"/>
      <c r="P9"/>
      <c r="Q9"/>
      <c r="R9"/>
      <c r="S9"/>
      <c r="T9"/>
      <c r="U9"/>
      <c r="AC9" s="5" t="s">
        <v>2180</v>
      </c>
    </row>
    <row r="10" spans="1:29" ht="12.75" customHeight="1" x14ac:dyDescent="0.25">
      <c r="A10" s="584" t="s">
        <v>650</v>
      </c>
      <c r="B10" s="73"/>
      <c r="C10" s="1355">
        <v>8675000</v>
      </c>
      <c r="D10" s="1356">
        <v>8675000</v>
      </c>
      <c r="E10" s="1356"/>
      <c r="F10" s="1356"/>
      <c r="G10" s="1356"/>
      <c r="H10" s="1356"/>
      <c r="I10" s="1356"/>
      <c r="J10" s="75">
        <f t="shared" si="0"/>
        <v>0</v>
      </c>
      <c r="K10" s="75">
        <f t="shared" si="1"/>
        <v>8675000</v>
      </c>
      <c r="L10" s="1356">
        <f>SUMIFS(Sheet1!S71_OY1AdjustedBudget,Sheet1!S71_A7Code,$AC:$AC)</f>
        <v>0</v>
      </c>
      <c r="M10" s="1357">
        <f>SUMIFS(Sheet1!S71_OY2AdjustedBudget,Sheet1!S71_A7Code,$AC:$AC)</f>
        <v>0</v>
      </c>
      <c r="N10"/>
      <c r="O10"/>
      <c r="P10"/>
      <c r="Q10"/>
      <c r="R10"/>
      <c r="S10"/>
      <c r="T10"/>
      <c r="U10"/>
      <c r="AC10" s="5" t="s">
        <v>2179</v>
      </c>
    </row>
    <row r="11" spans="1:29" ht="12.75" customHeight="1" x14ac:dyDescent="0.25">
      <c r="A11" s="1313" t="s">
        <v>1796</v>
      </c>
      <c r="B11" s="73">
        <v>1</v>
      </c>
      <c r="C11" s="1355">
        <f>SUMIFS(Sheet1!S71_OriginalBudget,Sheet1!S71_A7Code,$AC:$AC)</f>
        <v>76871147</v>
      </c>
      <c r="D11" s="1356">
        <v>85495000</v>
      </c>
      <c r="E11" s="1356"/>
      <c r="F11" s="1356"/>
      <c r="G11" s="1356"/>
      <c r="H11" s="1356"/>
      <c r="I11" s="1356">
        <v>0</v>
      </c>
      <c r="J11" s="75">
        <f t="shared" si="0"/>
        <v>0</v>
      </c>
      <c r="K11" s="75">
        <f t="shared" si="1"/>
        <v>85495000</v>
      </c>
      <c r="L11" s="1356">
        <f>SUMIFS(Sheet1!S71_OY1AdjustedBudget,Sheet1!S71_A7Code,$AC:$AC)</f>
        <v>0</v>
      </c>
      <c r="M11" s="1357">
        <f>SUMIFS(Sheet1!S71_OY2AdjustedBudget,Sheet1!S71_A7Code,$AC:$AC)</f>
        <v>0</v>
      </c>
      <c r="N11"/>
      <c r="O11"/>
      <c r="P11"/>
      <c r="Q11"/>
      <c r="R11"/>
      <c r="S11"/>
      <c r="T11"/>
      <c r="U11"/>
      <c r="AC11" s="5" t="s">
        <v>2178</v>
      </c>
    </row>
    <row r="12" spans="1:29" ht="12.75" customHeight="1" x14ac:dyDescent="0.25">
      <c r="A12" s="1313" t="s">
        <v>1797</v>
      </c>
      <c r="B12" s="73">
        <v>1</v>
      </c>
      <c r="C12" s="1355">
        <f>SUMIFS(Sheet1!S71_OriginalBudget,Sheet1!S71_A7Code,$AC:$AC)</f>
        <v>15996000</v>
      </c>
      <c r="D12" s="1356">
        <f>SUMIFS(Sheet1!S71_SpecialAdjustedBudget,Sheet1!S71_A7Code,$AC:$AC)</f>
        <v>15996000</v>
      </c>
      <c r="E12" s="1356"/>
      <c r="F12" s="1356"/>
      <c r="G12" s="1356"/>
      <c r="H12" s="1356"/>
      <c r="I12" s="1356">
        <v>-196000</v>
      </c>
      <c r="J12" s="75">
        <f t="shared" si="0"/>
        <v>-196000</v>
      </c>
      <c r="K12" s="75">
        <f t="shared" si="1"/>
        <v>15800000</v>
      </c>
      <c r="L12" s="1356">
        <f>SUMIFS(Sheet1!S71_OY1AdjustedBudget,Sheet1!S71_A7Code,$AC:$AC)</f>
        <v>0</v>
      </c>
      <c r="M12" s="1357">
        <f>SUMIFS(Sheet1!S71_OY2AdjustedBudget,Sheet1!S71_A7Code,$AC:$AC)</f>
        <v>0</v>
      </c>
      <c r="N12"/>
      <c r="O12"/>
      <c r="P12"/>
      <c r="Q12"/>
      <c r="R12"/>
      <c r="S12"/>
      <c r="T12"/>
      <c r="U12"/>
      <c r="AC12" s="5" t="s">
        <v>2182</v>
      </c>
    </row>
    <row r="13" spans="1:29" ht="12.75" customHeight="1" x14ac:dyDescent="0.25">
      <c r="A13" s="127" t="s">
        <v>723</v>
      </c>
      <c r="B13" s="73"/>
      <c r="C13" s="1355">
        <v>5733000</v>
      </c>
      <c r="D13" s="1356">
        <v>5733000</v>
      </c>
      <c r="E13" s="1356"/>
      <c r="F13" s="1356"/>
      <c r="G13" s="1356"/>
      <c r="H13" s="1356"/>
      <c r="I13" s="1356">
        <v>-1883000</v>
      </c>
      <c r="J13" s="75">
        <f t="shared" si="0"/>
        <v>-1883000</v>
      </c>
      <c r="K13" s="75">
        <f t="shared" si="1"/>
        <v>3850000</v>
      </c>
      <c r="L13" s="1356">
        <f>SUMIFS(Sheet1!S71_OY1AdjustedBudget,Sheet1!S71_A7Code,$AC:$AC)</f>
        <v>0</v>
      </c>
      <c r="M13" s="1357">
        <f>SUMIFS(Sheet1!S71_OY2AdjustedBudget,Sheet1!S71_A7Code,$AC:$AC)</f>
        <v>0</v>
      </c>
      <c r="N13"/>
      <c r="O13"/>
      <c r="P13"/>
      <c r="Q13"/>
      <c r="R13"/>
      <c r="S13"/>
      <c r="T13"/>
      <c r="U13"/>
      <c r="AC13" s="5" t="s">
        <v>2361</v>
      </c>
    </row>
    <row r="14" spans="1:29" ht="12.75" customHeight="1" x14ac:dyDescent="0.25">
      <c r="A14" s="127" t="s">
        <v>724</v>
      </c>
      <c r="B14" s="73"/>
      <c r="C14" s="1355">
        <f>SUMIFS(Sheet1!S71_OriginalBudget,Sheet1!S71_A7Code,$AC:$AC)</f>
        <v>0</v>
      </c>
      <c r="D14" s="1356">
        <f>SUMIFS(Sheet1!S71_SpecialAdjustedBudget,Sheet1!S71_A7Code,$AC:$AC)</f>
        <v>0</v>
      </c>
      <c r="E14" s="1356"/>
      <c r="F14" s="1356"/>
      <c r="G14" s="1356"/>
      <c r="H14" s="1356"/>
      <c r="I14" s="1356">
        <f>SUMIFS(Sheet1!S71_AdjustmentAmount,Sheet1!S71_A7Code,$AC:$AC)</f>
        <v>0</v>
      </c>
      <c r="J14" s="75">
        <f t="shared" si="0"/>
        <v>0</v>
      </c>
      <c r="K14" s="75">
        <f t="shared" si="1"/>
        <v>0</v>
      </c>
      <c r="L14" s="1356">
        <f>SUMIFS(Sheet1!S71_OY1AdjustedBudget,Sheet1!S71_A7Code,$AC:$AC)</f>
        <v>0</v>
      </c>
      <c r="M14" s="1357">
        <f>SUMIFS(Sheet1!S71_OY2AdjustedBudget,Sheet1!S71_A7Code,$AC:$AC)</f>
        <v>0</v>
      </c>
      <c r="N14"/>
      <c r="O14"/>
      <c r="P14"/>
      <c r="Q14"/>
      <c r="R14"/>
      <c r="S14"/>
      <c r="T14"/>
      <c r="U14"/>
      <c r="AC14" s="5" t="s">
        <v>2183</v>
      </c>
    </row>
    <row r="15" spans="1:29" ht="12.75" customHeight="1" x14ac:dyDescent="0.25">
      <c r="A15" s="137" t="s">
        <v>725</v>
      </c>
      <c r="B15" s="73"/>
      <c r="C15" s="74"/>
      <c r="D15" s="75"/>
      <c r="E15" s="75"/>
      <c r="F15" s="75"/>
      <c r="G15" s="75"/>
      <c r="H15" s="75"/>
      <c r="I15" s="75"/>
      <c r="J15" s="75"/>
      <c r="K15" s="75"/>
      <c r="L15" s="75"/>
      <c r="M15" s="76"/>
      <c r="N15"/>
      <c r="O15"/>
      <c r="P15"/>
      <c r="Q15"/>
      <c r="R15"/>
      <c r="S15"/>
      <c r="T15"/>
      <c r="U15"/>
    </row>
    <row r="16" spans="1:29" ht="12.75" customHeight="1" x14ac:dyDescent="0.25">
      <c r="A16" s="127" t="s">
        <v>726</v>
      </c>
      <c r="B16" s="73"/>
      <c r="C16" s="1355">
        <v>-96134000</v>
      </c>
      <c r="D16" s="1356">
        <v>-104758000</v>
      </c>
      <c r="E16" s="1356"/>
      <c r="F16" s="1356"/>
      <c r="G16" s="1356"/>
      <c r="H16" s="1356"/>
      <c r="I16" s="1356">
        <v>-23463000</v>
      </c>
      <c r="J16" s="75">
        <f>SUM(E16:I16)</f>
        <v>-23463000</v>
      </c>
      <c r="K16" s="75">
        <f>IF(D16=0,C16+J16,D16+J16)</f>
        <v>-128221000</v>
      </c>
      <c r="L16" s="1356">
        <f>-SUMIFS(Sheet1!S71_OY1AdjustedBudget,Sheet1!S71_A7CodePayments,$AC:$AC)</f>
        <v>-120203426</v>
      </c>
      <c r="M16" s="1357">
        <f>-SUMIFS(Sheet1!S71_OY2AdjustedBudget,Sheet1!S71_A7CodePayments,$AC:$AC)</f>
        <v>-120219976</v>
      </c>
      <c r="N16"/>
      <c r="O16"/>
      <c r="P16"/>
      <c r="Q16"/>
      <c r="R16"/>
      <c r="S16"/>
      <c r="T16"/>
      <c r="U16"/>
      <c r="AC16" s="5" t="s">
        <v>1814</v>
      </c>
    </row>
    <row r="17" spans="1:29" ht="12.75" customHeight="1" x14ac:dyDescent="0.25">
      <c r="A17" s="30" t="s">
        <v>567</v>
      </c>
      <c r="B17" s="73"/>
      <c r="C17" s="1355">
        <f>-SUMIFS(Sheet1!S71_OriginalBudget,Sheet1!S71_A7CodePayments,$AC:$AC)</f>
        <v>0</v>
      </c>
      <c r="D17" s="1356">
        <f>-SUMIFS(Sheet1!S71_SpecialAdjustedBudget,Sheet1!S71_A7CodePayments,$AC:$AC)</f>
        <v>0</v>
      </c>
      <c r="E17" s="1356"/>
      <c r="F17" s="1356"/>
      <c r="G17" s="1356"/>
      <c r="H17" s="1356"/>
      <c r="I17" s="1356">
        <f>-SUMIFS(Sheet1!S71_AdjustmentAmount,Sheet1!S71_A7CodePayments,$AC:$AC)</f>
        <v>0</v>
      </c>
      <c r="J17" s="75">
        <f>SUM(E17:I17)</f>
        <v>0</v>
      </c>
      <c r="K17" s="75">
        <f>IF(D17=0,C17+J17,D17+J17)</f>
        <v>0</v>
      </c>
      <c r="L17" s="1356">
        <f>-SUMIFS(Sheet1!S71_OY1AdjustedBudget,Sheet1!S71_A7CodePayments,$AC:$AC)</f>
        <v>0</v>
      </c>
      <c r="M17" s="1357">
        <f>-SUMIFS(Sheet1!S71_OY2AdjustedBudget,Sheet1!S71_A7CodePayments,$AC:$AC)</f>
        <v>0</v>
      </c>
      <c r="N17"/>
      <c r="O17"/>
      <c r="P17"/>
      <c r="Q17"/>
      <c r="R17"/>
      <c r="S17"/>
      <c r="T17"/>
      <c r="U17"/>
      <c r="AC17" s="5" t="s">
        <v>1865</v>
      </c>
    </row>
    <row r="18" spans="1:29" ht="12.75" customHeight="1" x14ac:dyDescent="0.25">
      <c r="A18" s="30" t="s">
        <v>1133</v>
      </c>
      <c r="B18" s="73">
        <v>1</v>
      </c>
      <c r="C18" s="1355">
        <f>-SUMIFS(Sheet1!S71_OriginalBudget,Sheet1!S71_A7CodePayments,$AC:$AC)</f>
        <v>0</v>
      </c>
      <c r="D18" s="1356">
        <f>-SUMIFS(Sheet1!S71_SpecialAdjustedBudget,Sheet1!S71_A7CodePayments,$AC:$AC)</f>
        <v>0</v>
      </c>
      <c r="E18" s="1356"/>
      <c r="F18" s="1356"/>
      <c r="G18" s="1356"/>
      <c r="H18" s="1356"/>
      <c r="I18" s="1356">
        <f>-SUMIFS(Sheet1!S71_AdjustmentAmount,Sheet1!S71_A7CodePayments,$AC:$AC)</f>
        <v>0</v>
      </c>
      <c r="J18" s="75">
        <f>SUM(E18:I18)</f>
        <v>0</v>
      </c>
      <c r="K18" s="75">
        <f>IF(D18=0,C18+J18,D18+J18)</f>
        <v>0</v>
      </c>
      <c r="L18" s="1356">
        <f>-SUMIFS(Sheet1!S71_OY1AdjustedBudget,Sheet1!S71_A7CodePayments,$AC:$AC)</f>
        <v>0</v>
      </c>
      <c r="M18" s="1357">
        <f>-SUMIFS(Sheet1!S71_OY2AdjustedBudget,Sheet1!S71_A7CodePayments,$AC:$AC)</f>
        <v>0</v>
      </c>
      <c r="N18"/>
      <c r="O18"/>
      <c r="P18"/>
      <c r="Q18"/>
      <c r="R18"/>
      <c r="S18"/>
      <c r="T18"/>
      <c r="U18"/>
      <c r="AC18" s="5" t="s">
        <v>1866</v>
      </c>
    </row>
    <row r="19" spans="1:29" ht="12.75" customHeight="1" x14ac:dyDescent="0.25">
      <c r="A19" s="160" t="s">
        <v>727</v>
      </c>
      <c r="B19" s="79"/>
      <c r="C19" s="80">
        <f>SUM(C8:C14)+SUM(C16:C18)</f>
        <v>28529808</v>
      </c>
      <c r="D19" s="81">
        <f t="shared" ref="D19:I19" si="2">SUM(D8:D14)+SUM(D16:D18)</f>
        <v>28529661</v>
      </c>
      <c r="E19" s="81">
        <f t="shared" si="2"/>
        <v>0</v>
      </c>
      <c r="F19" s="81">
        <f t="shared" si="2"/>
        <v>0</v>
      </c>
      <c r="G19" s="81">
        <f t="shared" si="2"/>
        <v>0</v>
      </c>
      <c r="H19" s="81">
        <f t="shared" si="2"/>
        <v>0</v>
      </c>
      <c r="I19" s="81">
        <f t="shared" si="2"/>
        <v>-25542000</v>
      </c>
      <c r="J19" s="81">
        <f>SUM(J8:J18)</f>
        <v>-25542000</v>
      </c>
      <c r="K19" s="81">
        <f>SUM(K8:K18)</f>
        <v>2987661</v>
      </c>
      <c r="L19" s="80">
        <f>SUM(L8:L14)+SUM(L16:L18)</f>
        <v>-120203426</v>
      </c>
      <c r="M19" s="80">
        <f>SUM(M8:M14)+SUM(M16:M18)</f>
        <v>-120219976</v>
      </c>
      <c r="N19"/>
      <c r="O19"/>
      <c r="P19"/>
      <c r="Q19"/>
      <c r="R19"/>
      <c r="S19"/>
      <c r="T19"/>
      <c r="U19"/>
    </row>
    <row r="20" spans="1:29" ht="5.0999999999999996" customHeight="1" x14ac:dyDescent="0.25">
      <c r="A20" s="134"/>
      <c r="B20" s="73"/>
      <c r="C20" s="74"/>
      <c r="D20" s="75"/>
      <c r="E20" s="75"/>
      <c r="F20" s="75"/>
      <c r="G20" s="75"/>
      <c r="H20" s="75"/>
      <c r="I20" s="75"/>
      <c r="J20" s="75"/>
      <c r="K20" s="75"/>
      <c r="L20" s="75"/>
      <c r="M20" s="76"/>
      <c r="N20"/>
      <c r="O20"/>
      <c r="P20"/>
      <c r="Q20"/>
      <c r="R20"/>
      <c r="S20"/>
      <c r="T20"/>
      <c r="U20"/>
    </row>
    <row r="21" spans="1:29" ht="12.75" customHeight="1" x14ac:dyDescent="0.25">
      <c r="A21" s="137" t="s">
        <v>728</v>
      </c>
      <c r="B21" s="73"/>
      <c r="C21" s="74"/>
      <c r="D21" s="75"/>
      <c r="E21" s="75"/>
      <c r="F21" s="75"/>
      <c r="G21" s="75"/>
      <c r="H21" s="75"/>
      <c r="I21" s="75"/>
      <c r="J21" s="75"/>
      <c r="K21" s="75"/>
      <c r="L21" s="75"/>
      <c r="M21" s="76"/>
      <c r="O21"/>
      <c r="P21"/>
      <c r="Q21"/>
      <c r="R21"/>
      <c r="S21"/>
      <c r="T21"/>
      <c r="U21"/>
    </row>
    <row r="22" spans="1:29" ht="12.75" customHeight="1" x14ac:dyDescent="0.25">
      <c r="A22" s="137" t="s">
        <v>722</v>
      </c>
      <c r="B22" s="73"/>
      <c r="C22" s="74"/>
      <c r="D22" s="75"/>
      <c r="E22" s="75"/>
      <c r="F22" s="75"/>
      <c r="G22" s="75"/>
      <c r="H22" s="75"/>
      <c r="I22" s="75"/>
      <c r="J22" s="75"/>
      <c r="K22" s="75"/>
      <c r="L22" s="75"/>
      <c r="M22" s="76"/>
      <c r="O22"/>
      <c r="P22"/>
      <c r="Q22"/>
      <c r="R22"/>
      <c r="S22"/>
      <c r="T22"/>
      <c r="U22"/>
    </row>
    <row r="23" spans="1:29" ht="12.75" customHeight="1" x14ac:dyDescent="0.25">
      <c r="A23" s="127" t="s">
        <v>729</v>
      </c>
      <c r="B23" s="73"/>
      <c r="C23" s="1355">
        <f>SUMIFS(Sheet1!S71_OriginalBudget,Sheet1!S71_A7SubCode,$AC:$AC)</f>
        <v>0</v>
      </c>
      <c r="D23" s="1356">
        <f>SUMIFS(Sheet1!S71_SpecialAdjustedBudget,Sheet1!S71_A7SubCode,$AC:$AC)</f>
        <v>0</v>
      </c>
      <c r="E23" s="1356"/>
      <c r="F23" s="1356"/>
      <c r="G23" s="1356"/>
      <c r="H23" s="1356"/>
      <c r="I23" s="1356">
        <f>SUMIFS(Sheet1!S71_AdjustmentAmount,Sheet1!S71_A7SubCode,$AC:$AC)</f>
        <v>0</v>
      </c>
      <c r="J23" s="75">
        <f>SUM(E23:I23)</f>
        <v>0</v>
      </c>
      <c r="K23" s="75">
        <f>IF(D23=0,C23+J23,D23+J23)</f>
        <v>0</v>
      </c>
      <c r="L23" s="1356">
        <f>SUMIFS(Sheet1!S71_OY1AdjustedBudget,Sheet1!S71_A7SubCode,$AC:$AC)</f>
        <v>0</v>
      </c>
      <c r="M23" s="1357">
        <f>SUMIFS(Sheet1!S71_OY2AdjustedBudget,Sheet1!S71_A7SubCode,$AC:$AC)</f>
        <v>0</v>
      </c>
      <c r="O23"/>
      <c r="P23"/>
      <c r="Q23"/>
      <c r="R23"/>
      <c r="S23"/>
      <c r="T23"/>
      <c r="U23"/>
      <c r="AC23" s="1375" t="s">
        <v>2360</v>
      </c>
    </row>
    <row r="24" spans="1:29" ht="2.1" customHeight="1" x14ac:dyDescent="0.25">
      <c r="A24" s="127"/>
      <c r="B24" s="73"/>
      <c r="C24" s="129"/>
      <c r="D24" s="130"/>
      <c r="E24" s="130"/>
      <c r="F24" s="130"/>
      <c r="G24" s="130"/>
      <c r="H24" s="130"/>
      <c r="I24" s="130"/>
      <c r="J24" s="130"/>
      <c r="K24" s="130"/>
      <c r="L24" s="130"/>
      <c r="M24" s="131"/>
      <c r="O24"/>
      <c r="P24"/>
      <c r="Q24"/>
      <c r="R24"/>
      <c r="S24"/>
      <c r="T24"/>
      <c r="U24"/>
    </row>
    <row r="25" spans="1:29" ht="12.75" customHeight="1" x14ac:dyDescent="0.25">
      <c r="A25" s="1313" t="s">
        <v>1798</v>
      </c>
      <c r="B25" s="113"/>
      <c r="C25" s="1355">
        <f>SUMIFS(Sheet1!S71_OriginalBudget,Sheet1!S71_A7Code,$AC:$AC)</f>
        <v>0</v>
      </c>
      <c r="D25" s="1356">
        <f>SUMIFS(Sheet1!S71_SpecialAdjustedBudget,Sheet1!S71_A7Code,$AC:$AC)</f>
        <v>0</v>
      </c>
      <c r="E25" s="1356"/>
      <c r="F25" s="1356"/>
      <c r="G25" s="1356"/>
      <c r="H25" s="1356"/>
      <c r="I25" s="1356">
        <f>SUMIFS(Sheet1!S71_AdjustmentAmount,Sheet1!S71_A7Code,$AC:$AC)</f>
        <v>0</v>
      </c>
      <c r="J25" s="75">
        <f>SUM(E25:I25)</f>
        <v>0</v>
      </c>
      <c r="K25" s="75">
        <f>IF(D25=0,C25+J25,D25+J25)</f>
        <v>0</v>
      </c>
      <c r="L25" s="1356">
        <f>SUMIFS(Sheet1!S71_OY1AdjustedBudget,Sheet1!S71_A7Code,$AC:$AC)</f>
        <v>0</v>
      </c>
      <c r="M25" s="1357">
        <f>SUMIFS(Sheet1!S71_OY2AdjustedBudget,Sheet1!S71_A7Code,$AC:$AC)</f>
        <v>0</v>
      </c>
      <c r="O25"/>
      <c r="P25"/>
      <c r="Q25"/>
      <c r="R25"/>
      <c r="S25"/>
      <c r="T25"/>
      <c r="U25"/>
    </row>
    <row r="26" spans="1:29" ht="12.75" customHeight="1" x14ac:dyDescent="0.25">
      <c r="A26" s="127" t="s">
        <v>734</v>
      </c>
      <c r="B26" s="73"/>
      <c r="C26" s="1355">
        <f>SUMIFS(Sheet1!S71_OriginalBudget,Sheet1!S71_A7Code,$AC:$AC)</f>
        <v>0</v>
      </c>
      <c r="D26" s="1356">
        <f>SUMIFS(Sheet1!S71_SpecialAdjustedBudget,Sheet1!S71_A7Code,$AC:$AC)</f>
        <v>0</v>
      </c>
      <c r="E26" s="1356"/>
      <c r="F26" s="1356"/>
      <c r="G26" s="1356"/>
      <c r="H26" s="1356"/>
      <c r="I26" s="1356">
        <f>SUMIFS(Sheet1!S71_AdjustmentAmount,Sheet1!S71_A7Code,$AC:$AC)</f>
        <v>0</v>
      </c>
      <c r="J26" s="75">
        <f>SUM(E26:I26)</f>
        <v>0</v>
      </c>
      <c r="K26" s="75">
        <f>IF(D26=0,C26+J26,D26+J26)</f>
        <v>0</v>
      </c>
      <c r="L26" s="1356">
        <f>SUMIFS(Sheet1!S71_OY1AdjustedBudget,Sheet1!S71_A7Code,$AC:$AC)</f>
        <v>0</v>
      </c>
      <c r="M26" s="1357">
        <f>SUMIFS(Sheet1!S71_OY2AdjustedBudget,Sheet1!S71_A7Code,$AC:$AC)</f>
        <v>0</v>
      </c>
      <c r="O26"/>
      <c r="P26"/>
      <c r="Q26"/>
      <c r="R26"/>
      <c r="S26"/>
      <c r="T26"/>
      <c r="U26"/>
    </row>
    <row r="27" spans="1:29" ht="12.75" customHeight="1" x14ac:dyDescent="0.25">
      <c r="A27" s="137" t="s">
        <v>725</v>
      </c>
      <c r="B27" s="73"/>
      <c r="C27" s="74"/>
      <c r="D27" s="75"/>
      <c r="E27" s="75"/>
      <c r="F27" s="75"/>
      <c r="G27" s="75"/>
      <c r="H27" s="75"/>
      <c r="I27" s="75"/>
      <c r="J27" s="75"/>
      <c r="K27" s="75"/>
      <c r="L27" s="75"/>
      <c r="M27" s="76"/>
      <c r="O27"/>
      <c r="P27"/>
      <c r="Q27"/>
      <c r="R27"/>
      <c r="S27"/>
      <c r="T27"/>
      <c r="U27"/>
    </row>
    <row r="28" spans="1:29" ht="12.75" customHeight="1" x14ac:dyDescent="0.25">
      <c r="A28" s="127" t="s">
        <v>735</v>
      </c>
      <c r="B28" s="73"/>
      <c r="C28" s="1355">
        <v>-31941000</v>
      </c>
      <c r="D28" s="1356">
        <v>-31941000</v>
      </c>
      <c r="E28" s="1356"/>
      <c r="F28" s="1356"/>
      <c r="G28" s="1356"/>
      <c r="H28" s="1356"/>
      <c r="I28" s="1356">
        <v>-1731000</v>
      </c>
      <c r="J28" s="75">
        <f>SUM(E28:I28)</f>
        <v>-1731000</v>
      </c>
      <c r="K28" s="75">
        <f>IF(D28=0,C28+J28,D28+J28)</f>
        <v>-33672000</v>
      </c>
      <c r="L28" s="1356">
        <f>SUMIFS(Sheet1!S71_OY1AdjustedBudget,Sheet1!S71_A7CodePayments,$AC:$AC)</f>
        <v>-22516910</v>
      </c>
      <c r="M28" s="1357">
        <f>SUMIFS(Sheet1!S71_OY2AdjustedBudget,Sheet1!S71_A7CodePayments,$AC:$AC)</f>
        <v>-22516910</v>
      </c>
      <c r="O28"/>
      <c r="P28"/>
      <c r="Q28"/>
      <c r="R28"/>
      <c r="S28"/>
      <c r="T28"/>
      <c r="U28"/>
      <c r="AC28" s="1376" t="s">
        <v>1912</v>
      </c>
    </row>
    <row r="29" spans="1:29" ht="12.75" customHeight="1" x14ac:dyDescent="0.25">
      <c r="A29" s="160" t="s">
        <v>736</v>
      </c>
      <c r="B29" s="79"/>
      <c r="C29" s="80">
        <f>+C23+C25+C26+C28</f>
        <v>-31941000</v>
      </c>
      <c r="D29" s="81">
        <f t="shared" ref="D29:M29" si="3">+D23+D25+D26+D28</f>
        <v>-31941000</v>
      </c>
      <c r="E29" s="81">
        <f t="shared" si="3"/>
        <v>0</v>
      </c>
      <c r="F29" s="81">
        <f t="shared" si="3"/>
        <v>0</v>
      </c>
      <c r="G29" s="81">
        <f t="shared" si="3"/>
        <v>0</v>
      </c>
      <c r="H29" s="81">
        <f t="shared" si="3"/>
        <v>0</v>
      </c>
      <c r="I29" s="81">
        <f t="shared" si="3"/>
        <v>-1731000</v>
      </c>
      <c r="J29" s="81">
        <f t="shared" si="3"/>
        <v>-1731000</v>
      </c>
      <c r="K29" s="81">
        <f t="shared" si="3"/>
        <v>-33672000</v>
      </c>
      <c r="L29" s="81">
        <f t="shared" si="3"/>
        <v>-22516910</v>
      </c>
      <c r="M29" s="82">
        <f t="shared" si="3"/>
        <v>-22516910</v>
      </c>
      <c r="O29"/>
      <c r="P29"/>
      <c r="Q29"/>
      <c r="R29"/>
      <c r="S29"/>
      <c r="T29"/>
      <c r="U29"/>
    </row>
    <row r="30" spans="1:29" ht="5.0999999999999996" customHeight="1" x14ac:dyDescent="0.25">
      <c r="A30" s="134"/>
      <c r="B30" s="73"/>
      <c r="C30" s="74"/>
      <c r="D30" s="75"/>
      <c r="E30" s="75"/>
      <c r="F30" s="75"/>
      <c r="G30" s="75"/>
      <c r="H30" s="75"/>
      <c r="I30" s="75"/>
      <c r="J30" s="75"/>
      <c r="K30" s="75"/>
      <c r="L30" s="75"/>
      <c r="M30" s="76"/>
      <c r="O30"/>
      <c r="P30"/>
      <c r="Q30"/>
      <c r="R30"/>
      <c r="S30"/>
      <c r="T30"/>
      <c r="U30"/>
    </row>
    <row r="31" spans="1:29" ht="12.75" customHeight="1" x14ac:dyDescent="0.25">
      <c r="A31" s="137" t="s">
        <v>737</v>
      </c>
      <c r="B31" s="73"/>
      <c r="C31" s="74"/>
      <c r="D31" s="75"/>
      <c r="E31" s="75"/>
      <c r="F31" s="75"/>
      <c r="G31" s="75"/>
      <c r="H31" s="75"/>
      <c r="I31" s="75"/>
      <c r="J31" s="75"/>
      <c r="K31" s="75"/>
      <c r="L31" s="75"/>
      <c r="M31" s="76"/>
      <c r="O31"/>
      <c r="P31"/>
      <c r="Q31"/>
      <c r="R31"/>
      <c r="S31"/>
      <c r="T31"/>
      <c r="U31"/>
    </row>
    <row r="32" spans="1:29" ht="12.75" customHeight="1" x14ac:dyDescent="0.25">
      <c r="A32" s="137" t="s">
        <v>722</v>
      </c>
      <c r="B32" s="73"/>
      <c r="C32" s="74"/>
      <c r="D32" s="75"/>
      <c r="E32" s="75"/>
      <c r="F32" s="75"/>
      <c r="G32" s="75"/>
      <c r="H32" s="75"/>
      <c r="I32" s="75"/>
      <c r="J32" s="75"/>
      <c r="K32" s="75"/>
      <c r="L32" s="75"/>
      <c r="M32" s="76"/>
      <c r="O32"/>
      <c r="P32"/>
      <c r="Q32"/>
      <c r="R32"/>
      <c r="S32"/>
      <c r="T32"/>
      <c r="U32"/>
    </row>
    <row r="33" spans="1:30" ht="12.75" customHeight="1" x14ac:dyDescent="0.25">
      <c r="A33" s="127" t="s">
        <v>738</v>
      </c>
      <c r="B33" s="73"/>
      <c r="C33" s="1355">
        <f>SUMIFS(Sheet1!S71_OriginalBudget,Sheet1!S71_SA30FDSubCode,$AC:$AC,Sheet1!S71_CFCode,$AD:$AD)</f>
        <v>0</v>
      </c>
      <c r="D33" s="1356">
        <f>SUMIFS(Sheet1!S71_SpecialAdjustedBudget,Sheet1!S71_A7Code,$AC:$AC)</f>
        <v>0</v>
      </c>
      <c r="E33" s="1356"/>
      <c r="F33" s="1356"/>
      <c r="G33" s="1356"/>
      <c r="H33" s="1356"/>
      <c r="I33" s="1356">
        <f>SUMIFS(Sheet1!S71_AdjustmentAmount,Sheet1!S71_SA30FDSubCode,$AC:$AC,Sheet1!S71_CFCode,$AD:$AD)</f>
        <v>0</v>
      </c>
      <c r="J33" s="75">
        <f>SUM(E33:I33)</f>
        <v>0</v>
      </c>
      <c r="K33" s="75">
        <f>IF(D33=0,C33+J33,D33+J33)</f>
        <v>0</v>
      </c>
      <c r="L33" s="1356">
        <f>SUMIFS(Sheet1!S71_OY1AdjustedBudget,Sheet1!S71_SA30FDSubCode,$AC:$AC,Sheet1!S71_CFCode,$AD:$AD)</f>
        <v>0</v>
      </c>
      <c r="M33" s="1357">
        <f>SUMIFS(Sheet1!S71_OY2AdjustedBudget,Sheet1!S71_SA30FDSubCode,$AC:$AC,Sheet1!S71_CFCode,$AD:$AD)</f>
        <v>0</v>
      </c>
      <c r="O33"/>
      <c r="P33"/>
      <c r="Q33"/>
      <c r="R33"/>
      <c r="S33"/>
      <c r="T33"/>
      <c r="U33"/>
      <c r="AC33" s="5" t="s">
        <v>1912</v>
      </c>
      <c r="AD33" s="1336" t="s">
        <v>553</v>
      </c>
    </row>
    <row r="34" spans="1:30" ht="12.75" customHeight="1" x14ac:dyDescent="0.25">
      <c r="A34" s="127" t="s">
        <v>739</v>
      </c>
      <c r="B34" s="73"/>
      <c r="C34" s="1355">
        <f>SUMIFS(Sheet1!S71_OriginalBudget,Sheet1!S71_SA30FDSubCode,$AC:$AC,Sheet1!S71_CFCode,$AD:$AD)</f>
        <v>0</v>
      </c>
      <c r="D34" s="1356">
        <f>SUMIFS(Sheet1!S71_SpecialAdjustedBudget,Sheet1!S71_A7Code,$AC:$AC)</f>
        <v>0</v>
      </c>
      <c r="E34" s="1356"/>
      <c r="F34" s="1356"/>
      <c r="G34" s="1356"/>
      <c r="H34" s="1356"/>
      <c r="I34" s="1356">
        <f>SUMIFS(Sheet1!S71_AdjustmentAmount,Sheet1!S71_SA30FDSubCode,$AC:$AC,Sheet1!S71_CFCode,$AD:$AD)</f>
        <v>0</v>
      </c>
      <c r="J34" s="75">
        <f>SUM(E34:I34)</f>
        <v>0</v>
      </c>
      <c r="K34" s="75">
        <f>IF(D34=0,C34+J34,D34+J34)</f>
        <v>0</v>
      </c>
      <c r="L34" s="1356">
        <f>SUMIFS(Sheet1!S71_OY1AdjustedBudget,Sheet1!S71_SA30FDSubCode,$AC:$AC,Sheet1!S71_CFCode,$AD:$AD)</f>
        <v>0</v>
      </c>
      <c r="M34" s="1357">
        <f>SUMIFS(Sheet1!S71_OY2AdjustedBudget,Sheet1!S71_SA30FDSubCode,$AC:$AC,Sheet1!S71_CFCode,$AD:$AD)</f>
        <v>0</v>
      </c>
      <c r="O34"/>
      <c r="P34"/>
      <c r="Q34"/>
      <c r="R34"/>
      <c r="S34"/>
      <c r="T34"/>
      <c r="U34"/>
      <c r="AC34" s="1375" t="s">
        <v>1875</v>
      </c>
      <c r="AD34" s="1336" t="s">
        <v>553</v>
      </c>
    </row>
    <row r="35" spans="1:30" ht="12.75" customHeight="1" x14ac:dyDescent="0.25">
      <c r="A35" s="127" t="s">
        <v>1134</v>
      </c>
      <c r="B35" s="73"/>
      <c r="C35" s="1355">
        <f>SUMIFS(Sheet1!S71_OriginalBudget,Sheet1!S71_A7Code,$AC:$AC)</f>
        <v>0</v>
      </c>
      <c r="D35" s="1356">
        <f>SUMIFS(Sheet1!S71_SpecialAdjustedBudget,Sheet1!S71_A7Code,$AC:$AC)</f>
        <v>0</v>
      </c>
      <c r="E35" s="1356"/>
      <c r="F35" s="1356"/>
      <c r="G35" s="1356"/>
      <c r="H35" s="1356"/>
      <c r="I35" s="1356">
        <f>SUMIFS(Sheet1!S71_AdjustmentAmount,Sheet1!S71_A7Code,$AC:$AC)</f>
        <v>0</v>
      </c>
      <c r="J35" s="75">
        <f>SUM(E35:I35)</f>
        <v>0</v>
      </c>
      <c r="K35" s="75">
        <f>IF(D35=0,C35+J35,D35+J35)</f>
        <v>0</v>
      </c>
      <c r="L35" s="1356">
        <f>SUMIFS(Sheet1!S71_OY1AdjustedBudget,Sheet1!S71_A7Code,$AC:$AC)</f>
        <v>0</v>
      </c>
      <c r="M35" s="1357">
        <f>SUMIFS(Sheet1!S71_OY2AdjustedBudget,Sheet1!S71_A7Code,$AC:$AC)</f>
        <v>0</v>
      </c>
      <c r="O35"/>
      <c r="P35"/>
      <c r="Q35"/>
      <c r="R35"/>
      <c r="S35"/>
      <c r="T35"/>
      <c r="U35"/>
    </row>
    <row r="36" spans="1:30" ht="12.75" customHeight="1" x14ac:dyDescent="0.25">
      <c r="A36" s="137" t="s">
        <v>725</v>
      </c>
      <c r="B36" s="73"/>
      <c r="C36" s="74"/>
      <c r="D36" s="75"/>
      <c r="E36" s="75"/>
      <c r="F36" s="75"/>
      <c r="G36" s="75"/>
      <c r="H36" s="75"/>
      <c r="I36" s="75"/>
      <c r="J36" s="75"/>
      <c r="K36" s="75"/>
      <c r="L36" s="75"/>
      <c r="M36" s="76"/>
      <c r="O36"/>
      <c r="P36"/>
      <c r="Q36"/>
      <c r="R36"/>
      <c r="S36"/>
      <c r="T36"/>
      <c r="U36"/>
    </row>
    <row r="37" spans="1:30" ht="12.75" customHeight="1" x14ac:dyDescent="0.25">
      <c r="A37" s="127" t="s">
        <v>740</v>
      </c>
      <c r="B37" s="73"/>
      <c r="C37" s="1355">
        <f>-SUMIFS(Sheet1!S71_OriginalBudget,Sheet1!S71_A7CodePayments,$AC:$AC)</f>
        <v>0</v>
      </c>
      <c r="D37" s="1356">
        <f>-SUMIFS(Sheet1!S71_SpecialAdjustedBudget,Sheet1!S71_A7CodePayments,$AC:$AC)</f>
        <v>0</v>
      </c>
      <c r="E37" s="1356"/>
      <c r="F37" s="1356"/>
      <c r="G37" s="1356"/>
      <c r="H37" s="1356"/>
      <c r="I37" s="1356">
        <f>-SUMIFS(Sheet1!S71_AdjustmentAmount,Sheet1!S71_A7CodePayments,$AC:$AC)</f>
        <v>0</v>
      </c>
      <c r="J37" s="75">
        <f>SUM(E37:I37)</f>
        <v>0</v>
      </c>
      <c r="K37" s="75">
        <f>IF(D37=0,C37+J37,D37+J37)</f>
        <v>0</v>
      </c>
      <c r="L37" s="1356">
        <f>-SUMIFS(Sheet1!S71_OY1AdjustedBudget,Sheet1!S71_A7CodePayments,$AC:$AC)</f>
        <v>0</v>
      </c>
      <c r="M37" s="1357">
        <f>-SUMIFS(Sheet1!S71_OY2AdjustedBudget,Sheet1!S71_A7CodePayments,$AC:$AC)</f>
        <v>0</v>
      </c>
      <c r="O37"/>
      <c r="P37"/>
      <c r="Q37"/>
      <c r="R37"/>
      <c r="S37"/>
      <c r="T37"/>
      <c r="U37"/>
      <c r="AC37" s="1375" t="s">
        <v>1915</v>
      </c>
    </row>
    <row r="38" spans="1:30" ht="12.75" customHeight="1" x14ac:dyDescent="0.25">
      <c r="A38" s="160" t="s">
        <v>741</v>
      </c>
      <c r="B38" s="79"/>
      <c r="C38" s="80">
        <f>SUM(C33:C35)+C37</f>
        <v>0</v>
      </c>
      <c r="D38" s="81">
        <f t="shared" ref="D38:I38" si="4">SUM(D33:D35)+D37</f>
        <v>0</v>
      </c>
      <c r="E38" s="81">
        <f t="shared" si="4"/>
        <v>0</v>
      </c>
      <c r="F38" s="81">
        <f t="shared" si="4"/>
        <v>0</v>
      </c>
      <c r="G38" s="81">
        <f t="shared" si="4"/>
        <v>0</v>
      </c>
      <c r="H38" s="81">
        <f t="shared" si="4"/>
        <v>0</v>
      </c>
      <c r="I38" s="81">
        <f t="shared" si="4"/>
        <v>0</v>
      </c>
      <c r="J38" s="81">
        <f>SUM(J33:J37)</f>
        <v>0</v>
      </c>
      <c r="K38" s="81">
        <f>SUM(K33:K37)</f>
        <v>0</v>
      </c>
      <c r="L38" s="81">
        <f>SUM(L33:L35)+L37</f>
        <v>0</v>
      </c>
      <c r="M38" s="82">
        <f>SUM(M33:M35)+M37</f>
        <v>0</v>
      </c>
      <c r="O38"/>
      <c r="P38"/>
      <c r="Q38"/>
      <c r="R38"/>
      <c r="S38"/>
      <c r="T38"/>
      <c r="U38"/>
    </row>
    <row r="39" spans="1:30" ht="5.0999999999999996" customHeight="1" x14ac:dyDescent="0.25">
      <c r="A39" s="134"/>
      <c r="B39" s="73"/>
      <c r="C39" s="74"/>
      <c r="D39" s="75"/>
      <c r="E39" s="75"/>
      <c r="F39" s="75"/>
      <c r="G39" s="75"/>
      <c r="H39" s="75"/>
      <c r="I39" s="75"/>
      <c r="J39" s="75"/>
      <c r="K39" s="75"/>
      <c r="L39" s="75"/>
      <c r="M39" s="76"/>
      <c r="O39"/>
      <c r="P39"/>
      <c r="Q39"/>
      <c r="R39"/>
      <c r="S39"/>
      <c r="T39"/>
      <c r="U39"/>
    </row>
    <row r="40" spans="1:30" ht="12.75" customHeight="1" x14ac:dyDescent="0.25">
      <c r="A40" s="137" t="s">
        <v>742</v>
      </c>
      <c r="B40" s="73"/>
      <c r="C40" s="138">
        <f>C19+C29+C38</f>
        <v>-3411192</v>
      </c>
      <c r="D40" s="139">
        <f t="shared" ref="D40:M40" si="5">D19+D29+D38</f>
        <v>-3411339</v>
      </c>
      <c r="E40" s="139">
        <f t="shared" si="5"/>
        <v>0</v>
      </c>
      <c r="F40" s="139">
        <f t="shared" si="5"/>
        <v>0</v>
      </c>
      <c r="G40" s="139">
        <f t="shared" si="5"/>
        <v>0</v>
      </c>
      <c r="H40" s="139">
        <f t="shared" si="5"/>
        <v>0</v>
      </c>
      <c r="I40" s="139">
        <f t="shared" si="5"/>
        <v>-27273000</v>
      </c>
      <c r="J40" s="139">
        <f t="shared" si="5"/>
        <v>-27273000</v>
      </c>
      <c r="K40" s="139">
        <f t="shared" si="5"/>
        <v>-30684339</v>
      </c>
      <c r="L40" s="139">
        <f t="shared" si="5"/>
        <v>-142720336</v>
      </c>
      <c r="M40" s="140">
        <f t="shared" si="5"/>
        <v>-142736886</v>
      </c>
      <c r="O40"/>
      <c r="P40"/>
      <c r="Q40"/>
      <c r="R40"/>
      <c r="S40"/>
      <c r="T40"/>
      <c r="U40"/>
    </row>
    <row r="41" spans="1:30" ht="12.75" customHeight="1" x14ac:dyDescent="0.25">
      <c r="A41" s="127" t="s">
        <v>743</v>
      </c>
      <c r="B41" s="73">
        <v>2</v>
      </c>
      <c r="C41" s="1355">
        <f>SUMIFS(Sheet1!S71_OriginalBudget,Sheet1!S71_A7CodePayments,$AC:$AC)</f>
        <v>0</v>
      </c>
      <c r="D41" s="1356">
        <v>65455000</v>
      </c>
      <c r="E41" s="1356">
        <v>65455000</v>
      </c>
      <c r="F41" s="1356"/>
      <c r="G41" s="1356"/>
      <c r="H41" s="1356"/>
      <c r="I41" s="1356">
        <f>SUMIFS(Sheet1!S71_AdjustmentAmount,Sheet1!S71_A7CodePayments,$AC:$AC)</f>
        <v>0</v>
      </c>
      <c r="J41" s="171">
        <f>SUM(E41:I41)</f>
        <v>65455000</v>
      </c>
      <c r="K41" s="75">
        <f>IF(D41=0,C41+J41,D41+J41)</f>
        <v>130910000</v>
      </c>
      <c r="L41" s="1356">
        <f>SUMIFS(Sheet1!S71_OY1AdjustedBudget,Sheet1!S71_A7CodePayments,$AC:$AC)</f>
        <v>0</v>
      </c>
      <c r="M41" s="1357">
        <f>SUMIFS(Sheet1!S71_OY2AdjustedBudget,Sheet1!S71_A7CodePayments,$AC:$AC)</f>
        <v>0</v>
      </c>
      <c r="N41"/>
      <c r="O41"/>
      <c r="P41"/>
      <c r="Q41"/>
      <c r="R41"/>
      <c r="S41"/>
      <c r="T41"/>
      <c r="U41"/>
      <c r="AC41" s="1375" t="s">
        <v>1916</v>
      </c>
    </row>
    <row r="42" spans="1:30" ht="12.75" customHeight="1" x14ac:dyDescent="0.25">
      <c r="A42" s="173" t="s">
        <v>744</v>
      </c>
      <c r="B42" s="88">
        <v>2</v>
      </c>
      <c r="C42" s="174">
        <f>C40+C41</f>
        <v>-3411192</v>
      </c>
      <c r="D42" s="175">
        <f t="shared" ref="D42:J42" si="6">D40+D41</f>
        <v>62043661</v>
      </c>
      <c r="E42" s="175">
        <f t="shared" si="6"/>
        <v>65455000</v>
      </c>
      <c r="F42" s="175">
        <f t="shared" si="6"/>
        <v>0</v>
      </c>
      <c r="G42" s="175">
        <f t="shared" si="6"/>
        <v>0</v>
      </c>
      <c r="H42" s="175">
        <f t="shared" si="6"/>
        <v>0</v>
      </c>
      <c r="I42" s="175">
        <f t="shared" si="6"/>
        <v>-27273000</v>
      </c>
      <c r="J42" s="175">
        <f t="shared" si="6"/>
        <v>38182000</v>
      </c>
      <c r="K42" s="175">
        <f>K40+K41</f>
        <v>100225661</v>
      </c>
      <c r="L42" s="175">
        <f>L40+L41</f>
        <v>-142720336</v>
      </c>
      <c r="M42" s="176">
        <f>M40+M41</f>
        <v>-142736886</v>
      </c>
      <c r="N42"/>
      <c r="O42"/>
      <c r="P42"/>
      <c r="Q42"/>
      <c r="R42"/>
      <c r="S42"/>
      <c r="T42"/>
      <c r="U42"/>
    </row>
    <row r="43" spans="1:30" ht="12.75" customHeight="1" x14ac:dyDescent="0.25">
      <c r="A43" s="156" t="str">
        <f>head27a</f>
        <v>References</v>
      </c>
      <c r="B43" s="93"/>
      <c r="C43" s="177"/>
      <c r="D43" s="177"/>
      <c r="E43" s="177"/>
      <c r="F43" s="177"/>
      <c r="G43" s="177"/>
      <c r="H43" s="177"/>
      <c r="I43" s="177"/>
      <c r="J43" s="177"/>
      <c r="K43" s="177"/>
      <c r="L43" s="177"/>
      <c r="M43" s="177"/>
      <c r="N43"/>
      <c r="O43"/>
      <c r="P43"/>
      <c r="Q43"/>
      <c r="R43"/>
      <c r="S43"/>
      <c r="T43"/>
      <c r="U43"/>
    </row>
    <row r="44" spans="1:30" ht="12.75" customHeight="1" x14ac:dyDescent="0.25">
      <c r="A44" s="118" t="s">
        <v>1044</v>
      </c>
      <c r="B44" s="93"/>
      <c r="C44" s="96"/>
      <c r="D44" s="94"/>
      <c r="E44" s="96"/>
      <c r="F44" s="96"/>
      <c r="G44" s="96"/>
      <c r="H44" s="96"/>
      <c r="I44" s="96"/>
      <c r="J44" s="96"/>
      <c r="K44" s="96"/>
      <c r="L44" s="96"/>
      <c r="M44" s="96"/>
      <c r="N44"/>
      <c r="O44"/>
      <c r="P44"/>
      <c r="Q44"/>
      <c r="R44"/>
      <c r="S44"/>
      <c r="T44"/>
      <c r="U44"/>
    </row>
    <row r="45" spans="1:30" ht="12.75" customHeight="1" x14ac:dyDescent="0.25">
      <c r="A45" s="118" t="s">
        <v>1045</v>
      </c>
      <c r="B45" s="93"/>
      <c r="C45" s="96"/>
      <c r="D45" s="94"/>
      <c r="E45" s="96"/>
      <c r="F45" s="96"/>
      <c r="G45" s="96"/>
      <c r="H45" s="96"/>
      <c r="I45" s="96"/>
      <c r="J45" s="96"/>
      <c r="K45" s="96"/>
      <c r="L45" s="96"/>
      <c r="M45" s="96"/>
      <c r="N45"/>
      <c r="O45"/>
      <c r="P45"/>
      <c r="Q45"/>
      <c r="R45"/>
      <c r="S45"/>
      <c r="T45"/>
      <c r="U45"/>
    </row>
    <row r="46" spans="1:30" ht="12.75" customHeight="1" x14ac:dyDescent="0.25">
      <c r="A46" s="1422" t="s">
        <v>988</v>
      </c>
      <c r="B46" s="1422"/>
      <c r="C46" s="1422"/>
      <c r="D46" s="1422"/>
      <c r="E46" s="1422"/>
      <c r="F46" s="1422"/>
      <c r="G46" s="1422"/>
      <c r="H46" s="1422"/>
      <c r="I46" s="1422"/>
      <c r="J46" s="1422"/>
      <c r="K46" s="1422"/>
      <c r="L46" s="1422"/>
      <c r="M46" s="1422"/>
      <c r="N46"/>
      <c r="O46"/>
      <c r="P46"/>
      <c r="Q46"/>
      <c r="R46"/>
      <c r="S46"/>
      <c r="T46"/>
      <c r="U46"/>
    </row>
    <row r="47" spans="1:30" ht="25.5" customHeight="1" x14ac:dyDescent="0.25">
      <c r="A47" s="1422" t="s">
        <v>1032</v>
      </c>
      <c r="B47" s="1422"/>
      <c r="C47" s="1422"/>
      <c r="D47" s="1422"/>
      <c r="E47" s="1422"/>
      <c r="F47" s="1422"/>
      <c r="G47" s="1422"/>
      <c r="H47" s="1422"/>
      <c r="I47" s="1422"/>
      <c r="J47" s="1422"/>
      <c r="K47" s="1422"/>
      <c r="L47" s="1422"/>
      <c r="M47" s="1422"/>
      <c r="N47"/>
      <c r="O47"/>
      <c r="P47"/>
      <c r="Q47"/>
      <c r="R47"/>
      <c r="S47"/>
      <c r="T47"/>
      <c r="U47"/>
    </row>
    <row r="48" spans="1:30" ht="12.75" customHeight="1" x14ac:dyDescent="0.25">
      <c r="A48" s="1416" t="s">
        <v>1033</v>
      </c>
      <c r="B48" s="1416"/>
      <c r="C48" s="1416"/>
      <c r="D48" s="1416"/>
      <c r="E48" s="1416"/>
      <c r="F48" s="1416"/>
      <c r="G48" s="1416"/>
      <c r="H48" s="1416"/>
      <c r="I48" s="1416"/>
      <c r="J48" s="1416"/>
      <c r="K48" s="1416"/>
      <c r="L48" s="1416"/>
      <c r="M48" s="1416"/>
      <c r="N48"/>
      <c r="O48"/>
      <c r="P48"/>
      <c r="Q48"/>
      <c r="R48"/>
      <c r="S48"/>
      <c r="T48"/>
      <c r="U48"/>
    </row>
    <row r="49" spans="1:21" ht="12.75" customHeight="1" x14ac:dyDescent="0.25">
      <c r="A49" s="1416" t="s">
        <v>1034</v>
      </c>
      <c r="B49" s="1416"/>
      <c r="C49" s="1416"/>
      <c r="D49" s="1416"/>
      <c r="E49" s="1416"/>
      <c r="F49" s="1416"/>
      <c r="G49" s="1416"/>
      <c r="H49" s="1416"/>
      <c r="I49" s="1416"/>
      <c r="J49" s="1416"/>
      <c r="K49" s="1416"/>
      <c r="L49" s="1416"/>
      <c r="M49" s="1416"/>
      <c r="N49"/>
      <c r="O49"/>
      <c r="P49"/>
      <c r="Q49"/>
      <c r="R49"/>
      <c r="S49"/>
      <c r="T49"/>
      <c r="U49"/>
    </row>
    <row r="50" spans="1:21" ht="12.75" customHeight="1" x14ac:dyDescent="0.25">
      <c r="A50" s="99" t="s">
        <v>1035</v>
      </c>
      <c r="B50" s="93"/>
      <c r="C50" s="96"/>
      <c r="D50" s="96"/>
      <c r="E50" s="96"/>
      <c r="F50" s="96"/>
      <c r="G50" s="96"/>
      <c r="H50" s="96"/>
      <c r="I50" s="96"/>
      <c r="J50" s="96"/>
      <c r="K50" s="96"/>
      <c r="L50" s="96"/>
      <c r="M50" s="96"/>
      <c r="N50"/>
      <c r="O50"/>
      <c r="P50"/>
      <c r="Q50"/>
      <c r="R50"/>
      <c r="S50"/>
      <c r="T50"/>
      <c r="U50"/>
    </row>
    <row r="51" spans="1:21" ht="25.5" customHeight="1" x14ac:dyDescent="0.25">
      <c r="A51" s="1416" t="s">
        <v>1036</v>
      </c>
      <c r="B51" s="1416"/>
      <c r="C51" s="1416"/>
      <c r="D51" s="1416"/>
      <c r="E51" s="1416"/>
      <c r="F51" s="1416"/>
      <c r="G51" s="1416"/>
      <c r="H51" s="1416"/>
      <c r="I51" s="1416"/>
      <c r="J51" s="1416"/>
      <c r="K51" s="1416"/>
      <c r="L51" s="1416"/>
      <c r="M51" s="1416"/>
      <c r="N51"/>
      <c r="O51"/>
      <c r="P51"/>
      <c r="Q51"/>
      <c r="R51"/>
      <c r="S51"/>
      <c r="T51"/>
      <c r="U51"/>
    </row>
    <row r="52" spans="1:21" ht="12.75" customHeight="1" x14ac:dyDescent="0.25">
      <c r="A52" s="99" t="s">
        <v>610</v>
      </c>
      <c r="B52" s="93"/>
      <c r="C52" s="96"/>
      <c r="D52" s="96"/>
      <c r="E52" s="96"/>
      <c r="F52" s="96"/>
      <c r="G52" s="96"/>
      <c r="H52" s="96"/>
      <c r="I52" s="96"/>
      <c r="J52" s="96"/>
      <c r="K52" s="96"/>
      <c r="L52" s="96"/>
      <c r="M52" s="96"/>
      <c r="N52"/>
      <c r="O52"/>
      <c r="P52"/>
      <c r="Q52"/>
      <c r="R52"/>
      <c r="S52"/>
      <c r="T52"/>
      <c r="U52"/>
    </row>
    <row r="53" spans="1:21" ht="12.75" customHeight="1" x14ac:dyDescent="0.25">
      <c r="A53" s="1416" t="s">
        <v>611</v>
      </c>
      <c r="B53" s="1416"/>
      <c r="C53" s="1416"/>
      <c r="D53" s="1416"/>
      <c r="E53" s="1416"/>
      <c r="F53" s="1416"/>
      <c r="G53" s="1416"/>
      <c r="H53" s="1416"/>
      <c r="I53" s="1416"/>
      <c r="J53" s="1416"/>
      <c r="K53" s="1416"/>
      <c r="L53" s="1416"/>
      <c r="M53" s="1416"/>
      <c r="N53"/>
      <c r="O53"/>
      <c r="P53"/>
      <c r="Q53"/>
      <c r="R53"/>
      <c r="S53"/>
      <c r="T53"/>
      <c r="U53"/>
    </row>
    <row r="54" spans="1:21" ht="12.75" customHeight="1" x14ac:dyDescent="0.25">
      <c r="A54" s="48"/>
      <c r="B54" s="119"/>
      <c r="C54" s="53"/>
      <c r="D54" s="53"/>
      <c r="E54" s="53"/>
      <c r="F54" s="53"/>
      <c r="G54" s="53"/>
      <c r="H54" s="53"/>
      <c r="I54" s="53"/>
      <c r="J54" s="53"/>
      <c r="K54" s="53"/>
      <c r="L54" s="53"/>
      <c r="M54" s="53"/>
      <c r="N54" s="53"/>
      <c r="O54" s="53"/>
      <c r="P54" s="53"/>
    </row>
    <row r="55" spans="1:21" ht="12.75" customHeight="1" x14ac:dyDescent="0.25">
      <c r="A55" s="101"/>
      <c r="B55" s="93"/>
      <c r="C55" s="178"/>
      <c r="D55" s="179"/>
      <c r="E55" s="179"/>
      <c r="F55" s="179"/>
      <c r="G55" s="179"/>
      <c r="H55" s="179"/>
      <c r="I55" s="179"/>
      <c r="J55" s="179"/>
      <c r="K55" s="179"/>
      <c r="L55" s="179"/>
      <c r="M55" s="178"/>
      <c r="N55" s="102"/>
      <c r="O55" s="102"/>
      <c r="P55" s="102"/>
    </row>
    <row r="56" spans="1:21" ht="12.75" customHeight="1" x14ac:dyDescent="0.25">
      <c r="A56" s="48"/>
      <c r="B56" s="119"/>
      <c r="C56" s="48"/>
      <c r="D56" s="180"/>
      <c r="E56" s="180"/>
      <c r="F56" s="180"/>
      <c r="G56" s="180"/>
      <c r="H56" s="180"/>
      <c r="I56" s="180"/>
      <c r="J56" s="180"/>
      <c r="K56" s="180"/>
      <c r="L56" s="180"/>
      <c r="M56" s="48"/>
    </row>
    <row r="57" spans="1:21" ht="12.75" customHeight="1" x14ac:dyDescent="0.25">
      <c r="A57" s="48"/>
      <c r="B57" s="119"/>
      <c r="C57" s="48"/>
      <c r="D57" s="48"/>
      <c r="E57" s="48"/>
      <c r="F57" s="48"/>
      <c r="G57" s="48"/>
      <c r="H57" s="48"/>
      <c r="I57" s="48"/>
      <c r="J57" s="48"/>
      <c r="K57" s="48"/>
      <c r="L57" s="48"/>
      <c r="M57" s="48"/>
    </row>
    <row r="58" spans="1:21" ht="12.75" customHeight="1" x14ac:dyDescent="0.25">
      <c r="A58" s="48"/>
      <c r="B58" s="781"/>
      <c r="C58" s="48"/>
      <c r="D58" s="84"/>
      <c r="E58" s="84"/>
      <c r="F58" s="84"/>
      <c r="G58" s="84"/>
      <c r="H58" s="84"/>
      <c r="I58" s="84"/>
      <c r="J58" s="84"/>
      <c r="K58" s="84"/>
      <c r="L58" s="84"/>
      <c r="M58" s="48"/>
    </row>
    <row r="59" spans="1:21" ht="12.75" customHeight="1" x14ac:dyDescent="0.25">
      <c r="A59" s="48"/>
      <c r="B59" s="119"/>
      <c r="C59" s="48"/>
      <c r="D59" s="48"/>
      <c r="E59" s="48"/>
      <c r="F59" s="48"/>
      <c r="G59" s="48"/>
      <c r="H59" s="48"/>
      <c r="I59" s="48"/>
      <c r="J59" s="48"/>
      <c r="K59" s="48"/>
      <c r="L59" s="48"/>
      <c r="M59" s="48"/>
    </row>
    <row r="60" spans="1:21" ht="12.75" customHeight="1" x14ac:dyDescent="0.25">
      <c r="A60" s="48"/>
      <c r="B60" s="119"/>
      <c r="C60" s="48"/>
      <c r="D60" s="48"/>
      <c r="E60" s="48"/>
      <c r="F60" s="48"/>
      <c r="G60" s="48"/>
      <c r="H60" s="48"/>
      <c r="I60" s="48"/>
      <c r="J60" s="48"/>
      <c r="K60" s="48"/>
      <c r="L60" s="48"/>
      <c r="M60" s="48"/>
    </row>
    <row r="61" spans="1:21" ht="12.75" customHeight="1" x14ac:dyDescent="0.25">
      <c r="A61" s="48"/>
      <c r="B61" s="119"/>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algorithmName="SHA-512" hashValue="bSfGWZMTn2TqoFZzgT299s2DTf6Ql+dC5uXf0dt8z/tgp2oCnT+fxQtFNINhq6ktpyA1DXE5gqxrI+7Z0beSow==" saltValue="VGaXyXl4r8hhHhvr8ejzvg==" spinCount="100000" sheet="1" objects="1" scenarios="1"/>
  <mergeCells count="9">
    <mergeCell ref="A53:M53"/>
    <mergeCell ref="A47:M47"/>
    <mergeCell ref="A51:M51"/>
    <mergeCell ref="A2:A4"/>
    <mergeCell ref="B2:B4"/>
    <mergeCell ref="C2:K2"/>
    <mergeCell ref="A46:M46"/>
    <mergeCell ref="A48:M48"/>
    <mergeCell ref="A49:M49"/>
  </mergeCells>
  <phoneticPr fontId="4"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G18" sqref="G18"/>
    </sheetView>
  </sheetViews>
  <sheetFormatPr defaultColWidth="9.140625" defaultRowHeight="12.75" x14ac:dyDescent="0.25"/>
  <cols>
    <col min="1" max="1" width="36" style="182" bestFit="1" customWidth="1"/>
    <col min="2" max="2" width="3.140625" style="183" customWidth="1"/>
    <col min="3" max="13" width="8.5703125" style="182" customWidth="1"/>
    <col min="14" max="14" width="9.85546875" style="182" customWidth="1"/>
    <col min="15" max="15" width="9.5703125" style="182" customWidth="1"/>
    <col min="16" max="16" width="9.85546875" style="182" customWidth="1"/>
    <col min="17" max="19" width="9.5703125" style="182" customWidth="1"/>
    <col min="20" max="20" width="9.85546875" style="182" customWidth="1"/>
    <col min="21" max="23" width="9.5703125" style="182" customWidth="1"/>
    <col min="24" max="25" width="9.85546875" style="182" customWidth="1"/>
    <col min="26" max="16384" width="9.140625" style="182"/>
  </cols>
  <sheetData>
    <row r="1" spans="1:14" ht="13.5" x14ac:dyDescent="0.25">
      <c r="A1" s="181" t="str">
        <f>muni&amp;" - "&amp;_ADJ8&amp;" - "&amp;Date</f>
        <v xml:space="preserve">KZN226 Mkhambathini - Table B8 Cash backed reserves/accumulated surplus reconciliation - </v>
      </c>
      <c r="B1" s="182"/>
      <c r="C1" s="183"/>
    </row>
    <row r="2" spans="1:14" ht="38.25" x14ac:dyDescent="0.25">
      <c r="A2" s="1441" t="str">
        <f>desc</f>
        <v>Description</v>
      </c>
      <c r="B2" s="1441" t="str">
        <f>head27</f>
        <v>Ref</v>
      </c>
      <c r="C2" s="1443" t="str">
        <f>Head2</f>
        <v>Budget Year 2020/21</v>
      </c>
      <c r="D2" s="1444"/>
      <c r="E2" s="1444"/>
      <c r="F2" s="1444"/>
      <c r="G2" s="1444"/>
      <c r="H2" s="1444"/>
      <c r="I2" s="1444"/>
      <c r="J2" s="1444"/>
      <c r="K2" s="1444"/>
      <c r="L2" s="184" t="str">
        <f>Head10</f>
        <v>Budget Year +1 2021/22</v>
      </c>
      <c r="M2" s="185" t="str">
        <f>Head11</f>
        <v>Budget Year +2 2022/23</v>
      </c>
    </row>
    <row r="3" spans="1:14" ht="25.5" x14ac:dyDescent="0.25">
      <c r="A3" s="1442"/>
      <c r="B3" s="1442"/>
      <c r="C3" s="186" t="str">
        <f>Head6</f>
        <v>Original Budget</v>
      </c>
      <c r="D3" s="187" t="str">
        <f>Head54</f>
        <v>Prior Adjusted</v>
      </c>
      <c r="E3" s="187" t="str">
        <f>Head51</f>
        <v>Accum. Funds</v>
      </c>
      <c r="F3" s="187" t="str">
        <f>Head52</f>
        <v>Multi-year capital</v>
      </c>
      <c r="G3" s="187" t="str">
        <f>Head53</f>
        <v>Unfore. Unavoid.</v>
      </c>
      <c r="H3" s="187" t="str">
        <f>Head55</f>
        <v>Nat. or Prov. Govt</v>
      </c>
      <c r="I3" s="188" t="str">
        <f>Head50</f>
        <v>Other Adjusts.</v>
      </c>
      <c r="J3" s="188" t="str">
        <f>Head56</f>
        <v>Total Adjusts.</v>
      </c>
      <c r="K3" s="188" t="str">
        <f>Head7</f>
        <v>Adjusted Budget</v>
      </c>
      <c r="L3" s="188" t="str">
        <f>Head7</f>
        <v>Adjusted Budget</v>
      </c>
      <c r="M3" s="189" t="str">
        <f>Head7</f>
        <v>Adjusted Budget</v>
      </c>
    </row>
    <row r="4" spans="1:14" x14ac:dyDescent="0.25">
      <c r="A4" s="1442"/>
      <c r="B4" s="1442"/>
      <c r="C4" s="190"/>
      <c r="D4" s="191">
        <v>3</v>
      </c>
      <c r="E4" s="191">
        <v>4</v>
      </c>
      <c r="F4" s="191">
        <v>5</v>
      </c>
      <c r="G4" s="191">
        <v>6</v>
      </c>
      <c r="H4" s="191">
        <v>7</v>
      </c>
      <c r="I4" s="191">
        <v>8</v>
      </c>
      <c r="J4" s="191">
        <v>9</v>
      </c>
      <c r="K4" s="191">
        <v>10</v>
      </c>
      <c r="L4" s="191"/>
      <c r="M4" s="192"/>
    </row>
    <row r="5" spans="1:14" x14ac:dyDescent="0.25">
      <c r="A5" s="193" t="s">
        <v>605</v>
      </c>
      <c r="B5" s="194"/>
      <c r="C5" s="195" t="s">
        <v>549</v>
      </c>
      <c r="D5" s="196" t="s">
        <v>550</v>
      </c>
      <c r="E5" s="196" t="s">
        <v>551</v>
      </c>
      <c r="F5" s="197" t="s">
        <v>552</v>
      </c>
      <c r="G5" s="197" t="s">
        <v>553</v>
      </c>
      <c r="H5" s="197" t="s">
        <v>554</v>
      </c>
      <c r="I5" s="198" t="s">
        <v>555</v>
      </c>
      <c r="J5" s="198" t="s">
        <v>556</v>
      </c>
      <c r="K5" s="198" t="s">
        <v>557</v>
      </c>
      <c r="L5" s="198"/>
      <c r="M5" s="199"/>
    </row>
    <row r="6" spans="1:14" ht="12.75" customHeight="1" x14ac:dyDescent="0.25">
      <c r="A6" s="200" t="s">
        <v>592</v>
      </c>
      <c r="B6" s="201"/>
      <c r="C6" s="202"/>
      <c r="D6" s="136"/>
      <c r="E6" s="136"/>
      <c r="F6" s="136"/>
      <c r="G6" s="136"/>
      <c r="H6" s="136"/>
      <c r="I6" s="136"/>
      <c r="J6" s="136"/>
      <c r="K6" s="136"/>
      <c r="L6" s="136"/>
      <c r="M6" s="203"/>
    </row>
    <row r="7" spans="1:14" ht="12.75" customHeight="1" x14ac:dyDescent="0.25">
      <c r="A7" s="204" t="s">
        <v>590</v>
      </c>
      <c r="B7" s="201">
        <v>1</v>
      </c>
      <c r="C7" s="129">
        <f>'B7-CFlow'!C42</f>
        <v>-3411192</v>
      </c>
      <c r="D7" s="130">
        <f>'B7-CFlow'!D42</f>
        <v>62043661</v>
      </c>
      <c r="E7" s="130">
        <f>'B7-CFlow'!E42</f>
        <v>65455000</v>
      </c>
      <c r="F7" s="130">
        <f>'B7-CFlow'!F42</f>
        <v>0</v>
      </c>
      <c r="G7" s="130">
        <f>'B7-CFlow'!G42</f>
        <v>0</v>
      </c>
      <c r="H7" s="130">
        <f>'B7-CFlow'!H42</f>
        <v>0</v>
      </c>
      <c r="I7" s="130">
        <f>'B7-CFlow'!I42</f>
        <v>-27273000</v>
      </c>
      <c r="J7" s="136">
        <f>SUM(E7:I7)</f>
        <v>38182000</v>
      </c>
      <c r="K7" s="136">
        <f>IF(D7=0,C7+J7,D7+J7)</f>
        <v>100225661</v>
      </c>
      <c r="L7" s="130">
        <f>'B7-CFlow'!L42</f>
        <v>-142720336</v>
      </c>
      <c r="M7" s="131">
        <f>'B7-CFlow'!M42</f>
        <v>-142736886</v>
      </c>
    </row>
    <row r="8" spans="1:14" ht="12.75" customHeight="1" x14ac:dyDescent="0.25">
      <c r="A8" s="127" t="s">
        <v>730</v>
      </c>
      <c r="B8" s="629"/>
      <c r="C8" s="129">
        <f>'B6-FinPos'!C8+'B6-FinPos'!C9-'B6-FinPos'!C31-'B8-ResRecon'!C7</f>
        <v>63954756</v>
      </c>
      <c r="D8" s="129">
        <f>'B6-FinPos'!D8+'B6-FinPos'!D9-'B6-FinPos'!D31-'B8-ResRecon'!D7</f>
        <v>-1500097</v>
      </c>
      <c r="E8" s="129">
        <f>'B6-FinPos'!E8+'B6-FinPos'!E9-'B6-FinPos'!E31-'B8-ResRecon'!E7</f>
        <v>-65455000</v>
      </c>
      <c r="F8" s="129">
        <f>'B6-FinPos'!F8+'B6-FinPos'!F9-'B6-FinPos'!F31-'B8-ResRecon'!F7</f>
        <v>0</v>
      </c>
      <c r="G8" s="129">
        <f>'B6-FinPos'!G8+'B6-FinPos'!G9-'B6-FinPos'!G31-'B8-ResRecon'!G7</f>
        <v>0</v>
      </c>
      <c r="H8" s="129">
        <f>'B6-FinPos'!H8+'B6-FinPos'!H9-'B6-FinPos'!H31-'B8-ResRecon'!H7</f>
        <v>0</v>
      </c>
      <c r="I8" s="129">
        <f>'B6-FinPos'!I8+'B6-FinPos'!I9-'B6-FinPos'!I31-'B8-ResRecon'!I7</f>
        <v>9667526</v>
      </c>
      <c r="J8" s="130">
        <f>SUM(E8:I8)</f>
        <v>-55787474</v>
      </c>
      <c r="K8" s="130">
        <f>IF(D8=0,C8+J8,D8+J8)</f>
        <v>-57287571</v>
      </c>
      <c r="L8" s="130">
        <f>'B6-FinPos'!L8+'B6-FinPos'!L9-'B6-FinPos'!L31-'B8-ResRecon'!L7</f>
        <v>185658426</v>
      </c>
      <c r="M8" s="131">
        <f>'B6-FinPos'!M8+'B6-FinPos'!M9-'B6-FinPos'!M31-'B8-ResRecon'!M7</f>
        <v>185674976</v>
      </c>
    </row>
    <row r="9" spans="1:14" ht="12.75" customHeight="1" x14ac:dyDescent="0.25">
      <c r="A9" s="204" t="s">
        <v>746</v>
      </c>
      <c r="B9" s="201">
        <v>1</v>
      </c>
      <c r="C9" s="129">
        <f>'B6-FinPos'!C18</f>
        <v>0</v>
      </c>
      <c r="D9" s="130">
        <f>'B6-FinPos'!D18</f>
        <v>0</v>
      </c>
      <c r="E9" s="130">
        <f>'B6-FinPos'!E18</f>
        <v>0</v>
      </c>
      <c r="F9" s="130">
        <f>'B6-FinPos'!F18</f>
        <v>0</v>
      </c>
      <c r="G9" s="130">
        <f>'B6-FinPos'!G18</f>
        <v>0</v>
      </c>
      <c r="H9" s="130">
        <f>'B6-FinPos'!H18</f>
        <v>0</v>
      </c>
      <c r="I9" s="130">
        <f>'B6-FinPos'!I18</f>
        <v>0</v>
      </c>
      <c r="J9" s="130">
        <f>SUM(E9:I9)</f>
        <v>0</v>
      </c>
      <c r="K9" s="130">
        <f>IF(D9=0,C9+J9,D9+J9)</f>
        <v>0</v>
      </c>
      <c r="L9" s="130">
        <f>'B6-FinPos'!L18</f>
        <v>0</v>
      </c>
      <c r="M9" s="131">
        <f>'B6-FinPos'!M18</f>
        <v>0</v>
      </c>
    </row>
    <row r="10" spans="1:14" ht="12.75" customHeight="1" x14ac:dyDescent="0.25">
      <c r="A10" s="205" t="s">
        <v>747</v>
      </c>
      <c r="B10" s="206"/>
      <c r="C10" s="207">
        <f t="shared" ref="C10:M10" si="0">SUM(C7:C9)</f>
        <v>60543564</v>
      </c>
      <c r="D10" s="208">
        <f t="shared" si="0"/>
        <v>60543564</v>
      </c>
      <c r="E10" s="208">
        <f t="shared" si="0"/>
        <v>0</v>
      </c>
      <c r="F10" s="208">
        <f t="shared" si="0"/>
        <v>0</v>
      </c>
      <c r="G10" s="208">
        <f t="shared" si="0"/>
        <v>0</v>
      </c>
      <c r="H10" s="208">
        <f t="shared" si="0"/>
        <v>0</v>
      </c>
      <c r="I10" s="208">
        <f t="shared" si="0"/>
        <v>-17605474</v>
      </c>
      <c r="J10" s="208">
        <f t="shared" si="0"/>
        <v>-17605474</v>
      </c>
      <c r="K10" s="208">
        <f t="shared" si="0"/>
        <v>42938090</v>
      </c>
      <c r="L10" s="208">
        <f t="shared" si="0"/>
        <v>42938090</v>
      </c>
      <c r="M10" s="209">
        <f t="shared" si="0"/>
        <v>42938090</v>
      </c>
    </row>
    <row r="11" spans="1:14" ht="5.0999999999999996" customHeight="1" x14ac:dyDescent="0.25">
      <c r="A11" s="210"/>
      <c r="B11" s="201"/>
      <c r="C11" s="202"/>
      <c r="D11" s="136"/>
      <c r="E11" s="136"/>
      <c r="F11" s="136"/>
      <c r="G11" s="136"/>
      <c r="H11" s="136"/>
      <c r="I11" s="136"/>
      <c r="J11" s="136"/>
      <c r="K11" s="136"/>
      <c r="L11" s="136"/>
      <c r="M11" s="203"/>
    </row>
    <row r="12" spans="1:14" ht="12.75" customHeight="1" x14ac:dyDescent="0.25">
      <c r="A12" s="200" t="s">
        <v>1131</v>
      </c>
      <c r="B12" s="201"/>
      <c r="C12" s="202"/>
      <c r="D12" s="136"/>
      <c r="E12" s="136"/>
      <c r="F12" s="136"/>
      <c r="G12" s="136"/>
      <c r="H12" s="136"/>
      <c r="I12" s="136"/>
      <c r="J12" s="136"/>
      <c r="K12" s="136"/>
      <c r="L12" s="136"/>
      <c r="M12" s="203"/>
    </row>
    <row r="13" spans="1:14" ht="12.75" customHeight="1" x14ac:dyDescent="0.25">
      <c r="A13" s="204" t="s">
        <v>748</v>
      </c>
      <c r="B13" s="201"/>
      <c r="C13" s="129">
        <f>'SB2'!C34</f>
        <v>5000000</v>
      </c>
      <c r="D13" s="130">
        <f>'SB2'!D34</f>
        <v>5000000</v>
      </c>
      <c r="E13" s="130">
        <f>'SB2'!E34</f>
        <v>0</v>
      </c>
      <c r="F13" s="130">
        <f>'SB2'!F34</f>
        <v>0</v>
      </c>
      <c r="G13" s="130">
        <f>'SB2'!G34</f>
        <v>0</v>
      </c>
      <c r="H13" s="130">
        <f>'SB2'!H34</f>
        <v>0</v>
      </c>
      <c r="I13" s="130">
        <f>'SB2'!I34</f>
        <v>-48512000</v>
      </c>
      <c r="J13" s="130">
        <f t="shared" ref="J13:J19" si="1">SUM(E13:I13)</f>
        <v>-48512000</v>
      </c>
      <c r="K13" s="130">
        <f>IF(D13=0,C13+J13,D13+J13)</f>
        <v>-43512000</v>
      </c>
      <c r="L13" s="130">
        <f>'SB2'!L34</f>
        <v>0</v>
      </c>
      <c r="M13" s="131">
        <f>'SB2'!M34</f>
        <v>0</v>
      </c>
    </row>
    <row r="14" spans="1:14" ht="12.75" customHeight="1" x14ac:dyDescent="0.25">
      <c r="A14" s="204" t="s">
        <v>749</v>
      </c>
      <c r="B14" s="201"/>
      <c r="C14" s="128"/>
      <c r="D14" s="109"/>
      <c r="E14" s="109"/>
      <c r="F14" s="109"/>
      <c r="G14" s="109"/>
      <c r="H14" s="109"/>
      <c r="I14" s="109"/>
      <c r="J14" s="130">
        <f t="shared" si="1"/>
        <v>0</v>
      </c>
      <c r="K14" s="130">
        <f>IF(D14=0,C14+J14,D14+J14)</f>
        <v>0</v>
      </c>
      <c r="L14" s="109"/>
      <c r="M14" s="110"/>
      <c r="N14" s="834"/>
    </row>
    <row r="15" spans="1:14" ht="12.75" customHeight="1" x14ac:dyDescent="0.25">
      <c r="A15" s="204" t="s">
        <v>750</v>
      </c>
      <c r="B15" s="201"/>
      <c r="C15" s="128"/>
      <c r="D15" s="128"/>
      <c r="E15" s="128"/>
      <c r="F15" s="128"/>
      <c r="G15" s="128"/>
      <c r="H15" s="128"/>
      <c r="I15" s="128"/>
      <c r="J15" s="130">
        <f t="shared" si="1"/>
        <v>0</v>
      </c>
      <c r="K15" s="130">
        <f>IF(D15=0,C15+J15,D15+J15)</f>
        <v>0</v>
      </c>
      <c r="L15" s="109"/>
      <c r="M15" s="110"/>
    </row>
    <row r="16" spans="1:14" ht="12.75" customHeight="1" x14ac:dyDescent="0.25">
      <c r="A16" s="204" t="s">
        <v>751</v>
      </c>
      <c r="B16" s="201">
        <v>2</v>
      </c>
      <c r="C16" s="129">
        <f>-C40</f>
        <v>-23273074</v>
      </c>
      <c r="D16" s="130">
        <f>-D40</f>
        <v>-23273074</v>
      </c>
      <c r="E16" s="171"/>
      <c r="F16" s="171"/>
      <c r="G16" s="171"/>
      <c r="H16" s="171"/>
      <c r="I16" s="130">
        <f>IF(D16=0,(K16-C16)-SUM(E16:H16),(K16-D16)-SUM(E16:H16))</f>
        <v>139593559</v>
      </c>
      <c r="J16" s="136">
        <f t="shared" si="1"/>
        <v>139593559</v>
      </c>
      <c r="K16" s="136">
        <f>-K40</f>
        <v>116320485</v>
      </c>
      <c r="L16" s="130">
        <f>-L40</f>
        <v>-120203426</v>
      </c>
      <c r="M16" s="131">
        <f>-M40</f>
        <v>-120219976</v>
      </c>
    </row>
    <row r="17" spans="1:14" ht="12.75" customHeight="1" x14ac:dyDescent="0.25">
      <c r="A17" s="204" t="s">
        <v>752</v>
      </c>
      <c r="B17" s="201"/>
      <c r="C17" s="128"/>
      <c r="D17" s="109"/>
      <c r="E17" s="109"/>
      <c r="F17" s="109"/>
      <c r="G17" s="109"/>
      <c r="H17" s="109"/>
      <c r="I17" s="109"/>
      <c r="J17" s="136">
        <f t="shared" si="1"/>
        <v>0</v>
      </c>
      <c r="K17" s="136">
        <f>IF(D17=0,C17+J17,D17+J17)</f>
        <v>0</v>
      </c>
      <c r="L17" s="109"/>
      <c r="M17" s="110"/>
    </row>
    <row r="18" spans="1:14" ht="12.75" customHeight="1" x14ac:dyDescent="0.25">
      <c r="A18" s="204" t="s">
        <v>1132</v>
      </c>
      <c r="B18" s="201"/>
      <c r="C18" s="202">
        <f>C50</f>
        <v>0</v>
      </c>
      <c r="D18" s="136">
        <f>D50</f>
        <v>0</v>
      </c>
      <c r="E18" s="171"/>
      <c r="F18" s="171"/>
      <c r="G18" s="171"/>
      <c r="H18" s="171"/>
      <c r="I18" s="130">
        <f>IF(D18=0,(K18-C18)-SUM(E18:H18),(K18-D18)-SUM(E18:H18))</f>
        <v>0</v>
      </c>
      <c r="J18" s="136">
        <f t="shared" si="1"/>
        <v>0</v>
      </c>
      <c r="K18" s="136">
        <f>K50</f>
        <v>0</v>
      </c>
      <c r="L18" s="136">
        <f>L50</f>
        <v>0</v>
      </c>
      <c r="M18" s="203">
        <f>M50</f>
        <v>0</v>
      </c>
    </row>
    <row r="19" spans="1:14" ht="12.75" customHeight="1" x14ac:dyDescent="0.25">
      <c r="A19" s="204" t="s">
        <v>753</v>
      </c>
      <c r="B19" s="201"/>
      <c r="C19" s="202">
        <f>C57</f>
        <v>0</v>
      </c>
      <c r="D19" s="136">
        <f>D57</f>
        <v>0</v>
      </c>
      <c r="E19" s="171"/>
      <c r="F19" s="171"/>
      <c r="G19" s="171"/>
      <c r="H19" s="171"/>
      <c r="I19" s="136">
        <f>IF(D19=0,(K19-C19)-SUM(E19:H19),(K19-D19)-SUM(E19:H19))</f>
        <v>0</v>
      </c>
      <c r="J19" s="136">
        <f t="shared" si="1"/>
        <v>0</v>
      </c>
      <c r="K19" s="136">
        <f>K57</f>
        <v>0</v>
      </c>
      <c r="L19" s="136">
        <f>L57</f>
        <v>0</v>
      </c>
      <c r="M19" s="203">
        <f>M57</f>
        <v>0</v>
      </c>
    </row>
    <row r="20" spans="1:14" ht="12.75" customHeight="1" x14ac:dyDescent="0.25">
      <c r="A20" s="211" t="s">
        <v>1382</v>
      </c>
      <c r="B20" s="212"/>
      <c r="C20" s="213">
        <f t="shared" ref="C20:M20" si="2">SUM(C13:C19)</f>
        <v>-18273074</v>
      </c>
      <c r="D20" s="214">
        <f t="shared" si="2"/>
        <v>-18273074</v>
      </c>
      <c r="E20" s="214">
        <f t="shared" si="2"/>
        <v>0</v>
      </c>
      <c r="F20" s="214">
        <f t="shared" si="2"/>
        <v>0</v>
      </c>
      <c r="G20" s="214">
        <f t="shared" si="2"/>
        <v>0</v>
      </c>
      <c r="H20" s="214">
        <f t="shared" si="2"/>
        <v>0</v>
      </c>
      <c r="I20" s="214">
        <f t="shared" si="2"/>
        <v>91081559</v>
      </c>
      <c r="J20" s="214">
        <f t="shared" si="2"/>
        <v>91081559</v>
      </c>
      <c r="K20" s="214">
        <f t="shared" si="2"/>
        <v>72808485</v>
      </c>
      <c r="L20" s="214">
        <f t="shared" si="2"/>
        <v>-120203426</v>
      </c>
      <c r="M20" s="215">
        <f t="shared" si="2"/>
        <v>-120219976</v>
      </c>
    </row>
    <row r="21" spans="1:14" ht="12.75" customHeight="1" x14ac:dyDescent="0.25">
      <c r="A21" s="211" t="s">
        <v>754</v>
      </c>
      <c r="B21" s="212"/>
      <c r="C21" s="213">
        <f t="shared" ref="C21:M21" si="3">C10-C20</f>
        <v>78816638</v>
      </c>
      <c r="D21" s="214">
        <f t="shared" si="3"/>
        <v>78816638</v>
      </c>
      <c r="E21" s="214">
        <f t="shared" si="3"/>
        <v>0</v>
      </c>
      <c r="F21" s="214">
        <f t="shared" si="3"/>
        <v>0</v>
      </c>
      <c r="G21" s="214">
        <f t="shared" si="3"/>
        <v>0</v>
      </c>
      <c r="H21" s="214">
        <f t="shared" si="3"/>
        <v>0</v>
      </c>
      <c r="I21" s="214">
        <f t="shared" si="3"/>
        <v>-108687033</v>
      </c>
      <c r="J21" s="214">
        <f t="shared" si="3"/>
        <v>-108687033</v>
      </c>
      <c r="K21" s="214">
        <f t="shared" si="3"/>
        <v>-29870395</v>
      </c>
      <c r="L21" s="214">
        <f t="shared" si="3"/>
        <v>163141516</v>
      </c>
      <c r="M21" s="215">
        <f t="shared" si="3"/>
        <v>163158066</v>
      </c>
    </row>
    <row r="22" spans="1:14" ht="12.75" customHeight="1" x14ac:dyDescent="0.25">
      <c r="A22" s="216" t="str">
        <f>head27a</f>
        <v>References</v>
      </c>
      <c r="B22" s="118"/>
      <c r="C22" s="118"/>
      <c r="D22" s="118"/>
      <c r="E22" s="118"/>
      <c r="F22" s="118"/>
      <c r="G22" s="118"/>
      <c r="H22" s="118"/>
      <c r="I22" s="118"/>
      <c r="J22" s="118"/>
      <c r="K22" s="118"/>
      <c r="L22" s="118"/>
      <c r="M22" s="217"/>
      <c r="N22" s="218"/>
    </row>
    <row r="23" spans="1:14" ht="12.75" customHeight="1" x14ac:dyDescent="0.25">
      <c r="A23" s="219" t="s">
        <v>1046</v>
      </c>
      <c r="B23" s="118"/>
      <c r="C23" s="118"/>
      <c r="D23" s="118"/>
      <c r="E23" s="118"/>
      <c r="F23" s="118"/>
      <c r="G23" s="118"/>
      <c r="H23" s="118"/>
      <c r="I23" s="118"/>
      <c r="J23" s="118"/>
      <c r="K23" s="118"/>
      <c r="L23" s="118"/>
      <c r="M23" s="118"/>
      <c r="N23" s="218"/>
    </row>
    <row r="24" spans="1:14" ht="12.75" customHeight="1" x14ac:dyDescent="0.25">
      <c r="A24" s="284" t="s">
        <v>1047</v>
      </c>
      <c r="B24" s="118"/>
      <c r="C24" s="118"/>
      <c r="D24" s="118"/>
      <c r="E24" s="118"/>
      <c r="F24" s="118"/>
      <c r="G24" s="118"/>
      <c r="H24" s="118"/>
      <c r="I24" s="118"/>
      <c r="J24" s="118"/>
      <c r="K24" s="118"/>
      <c r="L24" s="118"/>
      <c r="M24" s="118"/>
      <c r="N24" s="218"/>
    </row>
    <row r="25" spans="1:14" ht="12.75" customHeight="1" x14ac:dyDescent="0.25">
      <c r="A25" s="1254" t="s">
        <v>988</v>
      </c>
      <c r="B25" s="1254"/>
      <c r="C25" s="1254"/>
      <c r="D25" s="1254"/>
      <c r="E25" s="1254"/>
      <c r="F25" s="1254"/>
      <c r="G25" s="1254"/>
      <c r="H25" s="1254"/>
      <c r="I25" s="1254"/>
      <c r="J25" s="1254"/>
      <c r="K25" s="1254"/>
      <c r="L25" s="1254"/>
      <c r="M25" s="1254"/>
      <c r="N25" s="218"/>
    </row>
    <row r="26" spans="1:14" ht="25.5" customHeight="1" x14ac:dyDescent="0.25">
      <c r="A26" s="1254" t="s">
        <v>1032</v>
      </c>
      <c r="B26" s="1254"/>
      <c r="C26" s="1254"/>
      <c r="D26" s="1254"/>
      <c r="E26" s="1254"/>
      <c r="F26" s="1254"/>
      <c r="G26" s="1254"/>
      <c r="H26" s="1254"/>
      <c r="I26" s="1254"/>
      <c r="J26" s="1254"/>
      <c r="K26" s="1254"/>
      <c r="L26" s="1254"/>
      <c r="M26" s="1254"/>
      <c r="N26" s="218"/>
    </row>
    <row r="27" spans="1:14" ht="12.75" customHeight="1" x14ac:dyDescent="0.25">
      <c r="A27" s="100" t="s">
        <v>1033</v>
      </c>
      <c r="B27" s="100"/>
      <c r="C27" s="100"/>
      <c r="D27" s="100"/>
      <c r="E27" s="100"/>
      <c r="F27" s="100"/>
      <c r="G27" s="100"/>
      <c r="H27" s="100"/>
      <c r="I27" s="100"/>
      <c r="J27" s="100"/>
      <c r="K27" s="100"/>
      <c r="L27" s="100"/>
      <c r="M27" s="100"/>
      <c r="N27" s="218"/>
    </row>
    <row r="28" spans="1:14" ht="12.75" customHeight="1" x14ac:dyDescent="0.25">
      <c r="A28" s="1255" t="s">
        <v>1034</v>
      </c>
      <c r="B28" s="1255"/>
      <c r="C28" s="1255"/>
      <c r="D28" s="1255"/>
      <c r="E28" s="1255"/>
      <c r="F28" s="1255"/>
      <c r="G28" s="1255"/>
      <c r="H28" s="1255"/>
      <c r="I28" s="1255"/>
      <c r="J28" s="1255"/>
      <c r="K28" s="1255"/>
      <c r="L28" s="1255"/>
      <c r="M28" s="1255"/>
      <c r="N28" s="218"/>
    </row>
    <row r="29" spans="1:14" ht="12.75" customHeight="1" x14ac:dyDescent="0.25">
      <c r="A29" s="99" t="s">
        <v>1035</v>
      </c>
      <c r="B29" s="93"/>
      <c r="C29" s="96"/>
      <c r="D29" s="96"/>
      <c r="E29" s="96"/>
      <c r="F29" s="96"/>
      <c r="G29" s="96"/>
      <c r="H29" s="96"/>
      <c r="I29" s="96"/>
      <c r="J29" s="96"/>
      <c r="K29" s="96"/>
      <c r="L29" s="96"/>
      <c r="M29" s="96"/>
      <c r="N29" s="218"/>
    </row>
    <row r="30" spans="1:14" ht="12.75" customHeight="1" x14ac:dyDescent="0.25">
      <c r="A30" s="1255" t="s">
        <v>1036</v>
      </c>
      <c r="B30" s="1255"/>
      <c r="C30" s="1255"/>
      <c r="D30" s="1255"/>
      <c r="E30" s="1255"/>
      <c r="F30" s="1255"/>
      <c r="G30" s="1255"/>
      <c r="H30" s="1255"/>
      <c r="I30" s="1255"/>
      <c r="J30" s="1255"/>
      <c r="K30" s="1255"/>
      <c r="L30" s="1255"/>
      <c r="M30" s="1255"/>
      <c r="N30" s="218"/>
    </row>
    <row r="31" spans="1:14" ht="12.75" customHeight="1" x14ac:dyDescent="0.25">
      <c r="A31" s="99" t="s">
        <v>610</v>
      </c>
      <c r="B31" s="93"/>
      <c r="C31" s="96"/>
      <c r="D31" s="96"/>
      <c r="E31" s="96"/>
      <c r="F31" s="96"/>
      <c r="G31" s="96"/>
      <c r="H31" s="96"/>
      <c r="I31" s="96"/>
      <c r="J31" s="96"/>
      <c r="K31" s="96"/>
      <c r="L31" s="96"/>
      <c r="M31" s="96"/>
      <c r="N31" s="218"/>
    </row>
    <row r="32" spans="1:14" ht="12.75" customHeight="1" x14ac:dyDescent="0.25">
      <c r="A32" s="1255" t="s">
        <v>611</v>
      </c>
      <c r="B32" s="1255"/>
      <c r="C32" s="1255"/>
      <c r="D32" s="1255"/>
      <c r="E32" s="1255"/>
      <c r="F32" s="1255"/>
      <c r="G32" s="1255"/>
      <c r="H32" s="1255"/>
      <c r="I32" s="1255"/>
      <c r="J32" s="1255"/>
      <c r="K32" s="1255"/>
      <c r="L32" s="1255"/>
      <c r="M32" s="1255"/>
      <c r="N32" s="218"/>
    </row>
    <row r="33" spans="1:14" ht="12.75" customHeight="1" x14ac:dyDescent="0.25">
      <c r="A33" s="218"/>
      <c r="B33" s="218"/>
      <c r="C33" s="218"/>
      <c r="D33" s="218"/>
      <c r="E33" s="218"/>
      <c r="F33" s="218"/>
      <c r="G33" s="218"/>
      <c r="H33" s="218"/>
      <c r="I33" s="218"/>
      <c r="J33" s="218"/>
      <c r="K33" s="218"/>
      <c r="L33" s="218"/>
      <c r="M33" s="218"/>
      <c r="N33" s="218"/>
    </row>
    <row r="34" spans="1:14" ht="12.75" customHeight="1" x14ac:dyDescent="0.25">
      <c r="A34" s="220"/>
      <c r="B34" s="218"/>
      <c r="C34" s="218"/>
      <c r="D34" s="218"/>
      <c r="E34" s="218"/>
      <c r="F34" s="218"/>
      <c r="G34" s="218"/>
      <c r="H34" s="218"/>
      <c r="I34" s="218"/>
      <c r="J34" s="218"/>
      <c r="K34" s="218"/>
      <c r="L34" s="218"/>
      <c r="M34" s="218"/>
      <c r="N34" s="218"/>
    </row>
    <row r="35" spans="1:14" ht="12.75" customHeight="1" x14ac:dyDescent="0.25">
      <c r="A35" s="221"/>
      <c r="B35" s="218"/>
      <c r="C35" s="222"/>
      <c r="D35" s="222"/>
      <c r="E35" s="222"/>
      <c r="F35" s="222"/>
      <c r="G35" s="222"/>
      <c r="H35" s="222"/>
      <c r="I35" s="222"/>
      <c r="J35" s="222"/>
      <c r="K35" s="222"/>
      <c r="L35" s="222"/>
      <c r="M35" s="222"/>
    </row>
    <row r="36" spans="1:14" ht="12.75" customHeight="1" x14ac:dyDescent="0.25">
      <c r="A36" s="223"/>
      <c r="B36" s="218"/>
      <c r="C36" s="222"/>
      <c r="D36" s="222"/>
      <c r="E36" s="222"/>
      <c r="F36" s="222"/>
      <c r="G36" s="222"/>
      <c r="H36" s="222"/>
      <c r="I36" s="222"/>
      <c r="J36" s="222"/>
      <c r="K36" s="222"/>
      <c r="L36" s="222"/>
      <c r="M36" s="222"/>
    </row>
    <row r="37" spans="1:14" ht="12.75" customHeight="1" x14ac:dyDescent="0.25">
      <c r="A37" s="220" t="str">
        <f>A16</f>
        <v>Other working capital requirements</v>
      </c>
      <c r="B37" s="218"/>
      <c r="C37" s="222"/>
      <c r="D37" s="222"/>
      <c r="E37" s="222"/>
      <c r="F37" s="222"/>
      <c r="G37" s="222"/>
      <c r="H37" s="222"/>
      <c r="I37" s="222"/>
      <c r="J37" s="222"/>
      <c r="K37" s="222"/>
      <c r="L37" s="222"/>
      <c r="M37" s="222"/>
    </row>
    <row r="38" spans="1:14" ht="12.75" customHeight="1" x14ac:dyDescent="0.25">
      <c r="A38" s="223" t="s">
        <v>1399</v>
      </c>
      <c r="B38" s="218"/>
      <c r="C38" s="884">
        <f>IF(ISERROR(ROUND(C43*C44,0)),0,(ROUND(C43*C44,0)))</f>
        <v>28625886</v>
      </c>
      <c r="D38" s="884">
        <f>IF(ISERROR(ROUND(D43*D44,0)),0,(ROUND(D43*D44,0)))</f>
        <v>28625886</v>
      </c>
      <c r="E38" s="222"/>
      <c r="F38" s="222"/>
      <c r="G38" s="222"/>
      <c r="H38" s="222"/>
      <c r="I38" s="222"/>
      <c r="J38" s="222"/>
      <c r="K38" s="884">
        <f>IF(ISERROR(ROUND(K43*K44,0)),0,(ROUND(K43*K44,0)))</f>
        <v>0</v>
      </c>
      <c r="L38" s="884">
        <f>IF(ISERROR(ROUND(L43*L44,0)),0,(ROUND(L43*L44,0)))</f>
        <v>0</v>
      </c>
      <c r="M38" s="884">
        <f>IF(ISERROR(ROUND(M43*M44,0)),0,(ROUND(M43*M44,0)))</f>
        <v>0</v>
      </c>
    </row>
    <row r="39" spans="1:14" ht="12.75" customHeight="1" x14ac:dyDescent="0.25">
      <c r="A39" s="223" t="s">
        <v>1400</v>
      </c>
      <c r="B39" s="218"/>
      <c r="C39" s="884">
        <f>'SB2'!C32</f>
        <v>5352812</v>
      </c>
      <c r="D39" s="884">
        <f>'SB2'!D32</f>
        <v>5352812</v>
      </c>
      <c r="E39" s="223"/>
      <c r="F39" s="223"/>
      <c r="G39" s="223"/>
      <c r="H39" s="223"/>
      <c r="I39" s="223"/>
      <c r="J39" s="223"/>
      <c r="K39" s="884">
        <f>'SB2'!K32</f>
        <v>116320485</v>
      </c>
      <c r="L39" s="884">
        <f>'SB2'!L32</f>
        <v>-120203426</v>
      </c>
      <c r="M39" s="884">
        <f>'SB2'!M32</f>
        <v>-120219976</v>
      </c>
    </row>
    <row r="40" spans="1:14" ht="12.75" customHeight="1" thickBot="1" x14ac:dyDescent="0.3">
      <c r="A40" s="223" t="s">
        <v>762</v>
      </c>
      <c r="B40" s="218"/>
      <c r="C40" s="885">
        <f>C38-C39</f>
        <v>23273074</v>
      </c>
      <c r="D40" s="885">
        <f>D38-D39</f>
        <v>23273074</v>
      </c>
      <c r="E40" s="222"/>
      <c r="F40" s="222"/>
      <c r="G40" s="222"/>
      <c r="H40" s="222"/>
      <c r="I40" s="222"/>
      <c r="J40" s="222"/>
      <c r="K40" s="885">
        <f>K38-K39</f>
        <v>-116320485</v>
      </c>
      <c r="L40" s="885">
        <f>L38-L39</f>
        <v>120203426</v>
      </c>
      <c r="M40" s="885">
        <f>M38-M39</f>
        <v>120219976</v>
      </c>
    </row>
    <row r="41" spans="1:14" ht="12.75" customHeight="1" thickTop="1" x14ac:dyDescent="0.25">
      <c r="A41" s="223"/>
      <c r="B41" s="218"/>
      <c r="C41" s="224"/>
      <c r="D41" s="224"/>
      <c r="E41" s="1174"/>
      <c r="F41" s="1174"/>
      <c r="G41" s="1174"/>
      <c r="H41" s="1174"/>
      <c r="I41" s="1174"/>
      <c r="J41" s="1174"/>
      <c r="K41" s="224"/>
      <c r="L41" s="224"/>
      <c r="M41" s="224"/>
    </row>
    <row r="42" spans="1:14" ht="12.75" customHeight="1" x14ac:dyDescent="0.25">
      <c r="A42" s="225" t="s">
        <v>763</v>
      </c>
      <c r="B42" s="218"/>
      <c r="C42" s="222"/>
      <c r="D42" s="222"/>
      <c r="E42" s="222"/>
      <c r="F42" s="222"/>
      <c r="G42" s="222"/>
      <c r="H42" s="222"/>
      <c r="I42" s="222"/>
      <c r="J42" s="222"/>
      <c r="K42" s="222"/>
      <c r="L42" s="222"/>
      <c r="M42" s="222"/>
    </row>
    <row r="43" spans="1:14" ht="12.75" customHeight="1" x14ac:dyDescent="0.25">
      <c r="A43" s="223" t="s">
        <v>1398</v>
      </c>
      <c r="B43" s="218"/>
      <c r="C43" s="884">
        <f>'B6-FinPos'!C10+'B6-FinPos'!C11+'B6-FinPos'!C17</f>
        <v>33952995</v>
      </c>
      <c r="D43" s="884">
        <f>'B6-FinPos'!D10+'B6-FinPos'!D11+'B6-FinPos'!D17</f>
        <v>33952995</v>
      </c>
      <c r="E43" s="1174"/>
      <c r="F43" s="1174"/>
      <c r="G43" s="1174"/>
      <c r="H43" s="1174"/>
      <c r="I43" s="1174"/>
      <c r="J43" s="1174"/>
      <c r="K43" s="884">
        <f>'B6-FinPos'!K10+'B6-FinPos'!K11+'B6-FinPos'!K17</f>
        <v>0</v>
      </c>
      <c r="L43" s="884">
        <f>'B6-FinPos'!L10+'B6-FinPos'!L11+'B6-FinPos'!L17</f>
        <v>0</v>
      </c>
      <c r="M43" s="884">
        <f>'B6-FinPos'!M10+'B6-FinPos'!M11+'B6-FinPos'!M17</f>
        <v>0</v>
      </c>
    </row>
    <row r="44" spans="1:14" ht="12.75" customHeight="1" x14ac:dyDescent="0.25">
      <c r="A44" s="218" t="s">
        <v>1401</v>
      </c>
      <c r="B44" s="218"/>
      <c r="C44" s="224">
        <f>IF(ISERROR('SB6'!G10),0,('SB6'!G10))</f>
        <v>0.84310341397598587</v>
      </c>
      <c r="D44" s="224">
        <f>IF(ISERROR('SB6'!H10),0,('SB6'!H10))</f>
        <v>0.84310341397598587</v>
      </c>
      <c r="E44" s="223"/>
      <c r="F44" s="223"/>
      <c r="G44" s="223"/>
      <c r="H44" s="223"/>
      <c r="I44" s="223"/>
      <c r="J44" s="223"/>
      <c r="K44" s="224">
        <f>IF(ISERROR('SB6'!I10),0,('SB6'!I10))</f>
        <v>0.85292305185099371</v>
      </c>
      <c r="L44" s="224">
        <f>IF(ISERROR('SB6'!J10),0,('SB6'!J10))</f>
        <v>0</v>
      </c>
      <c r="M44" s="224">
        <f>IF(ISERROR('SB6'!K10),0,('SB6'!K10))</f>
        <v>0</v>
      </c>
    </row>
    <row r="45" spans="1:14" ht="12.75" customHeight="1" x14ac:dyDescent="0.25">
      <c r="A45" s="218"/>
      <c r="B45" s="218"/>
      <c r="C45" s="218"/>
      <c r="D45" s="218"/>
      <c r="E45" s="223"/>
      <c r="F45" s="223"/>
      <c r="G45" s="223"/>
      <c r="H45" s="223"/>
      <c r="I45" s="223"/>
      <c r="J45" s="223"/>
      <c r="K45" s="218"/>
      <c r="L45" s="218"/>
      <c r="M45" s="218"/>
    </row>
    <row r="46" spans="1:14" ht="12.75" customHeight="1" x14ac:dyDescent="0.25">
      <c r="A46" s="226" t="str">
        <f>A18</f>
        <v>Long term investments committed</v>
      </c>
      <c r="B46" s="218"/>
      <c r="C46" s="218"/>
      <c r="D46" s="218"/>
      <c r="E46" s="223"/>
      <c r="F46" s="223"/>
      <c r="G46" s="223"/>
      <c r="H46" s="223"/>
      <c r="I46" s="223"/>
      <c r="J46" s="223"/>
      <c r="K46" s="218"/>
      <c r="L46" s="218"/>
      <c r="M46" s="218"/>
    </row>
    <row r="47" spans="1:14" ht="12.75" customHeight="1" x14ac:dyDescent="0.25">
      <c r="A47" s="795" t="s">
        <v>764</v>
      </c>
      <c r="B47" s="227"/>
      <c r="C47" s="228"/>
      <c r="D47" s="228"/>
      <c r="E47" s="223"/>
      <c r="F47" s="223"/>
      <c r="G47" s="223"/>
      <c r="H47" s="223"/>
      <c r="I47" s="223"/>
      <c r="J47" s="223"/>
      <c r="K47" s="228"/>
      <c r="L47" s="228"/>
      <c r="M47" s="228"/>
    </row>
    <row r="48" spans="1:14" ht="12.75" customHeight="1" x14ac:dyDescent="0.25">
      <c r="A48" s="229"/>
      <c r="B48" s="227"/>
      <c r="C48" s="228"/>
      <c r="D48" s="228"/>
      <c r="E48" s="223"/>
      <c r="F48" s="223"/>
      <c r="G48" s="223"/>
      <c r="H48" s="223"/>
      <c r="I48" s="223"/>
      <c r="J48" s="223"/>
      <c r="K48" s="228"/>
      <c r="L48" s="228"/>
      <c r="M48" s="228"/>
    </row>
    <row r="49" spans="1:13" ht="12.75" customHeight="1" x14ac:dyDescent="0.25">
      <c r="A49" s="229"/>
      <c r="B49" s="227"/>
      <c r="C49" s="228"/>
      <c r="D49" s="228"/>
      <c r="E49" s="223"/>
      <c r="F49" s="223"/>
      <c r="G49" s="223"/>
      <c r="H49" s="223"/>
      <c r="I49" s="223"/>
      <c r="J49" s="223"/>
      <c r="K49" s="228"/>
      <c r="L49" s="228"/>
      <c r="M49" s="228"/>
    </row>
    <row r="50" spans="1:13" ht="12.75" customHeight="1" thickBot="1" x14ac:dyDescent="0.3">
      <c r="A50" s="218"/>
      <c r="B50" s="218"/>
      <c r="C50" s="885">
        <f>SUM(C47:C49)</f>
        <v>0</v>
      </c>
      <c r="D50" s="885">
        <f>SUM(D47:D49)</f>
        <v>0</v>
      </c>
      <c r="E50" s="222"/>
      <c r="F50" s="222"/>
      <c r="G50" s="222"/>
      <c r="H50" s="222"/>
      <c r="I50" s="222"/>
      <c r="J50" s="222"/>
      <c r="K50" s="885">
        <f>SUM(K47:K49)</f>
        <v>0</v>
      </c>
      <c r="L50" s="885">
        <f>SUM(L47:L49)</f>
        <v>0</v>
      </c>
      <c r="M50" s="885">
        <f>SUM(M47:M49)</f>
        <v>0</v>
      </c>
    </row>
    <row r="51" spans="1:13" ht="12.75" customHeight="1" thickTop="1" x14ac:dyDescent="0.25">
      <c r="A51" s="218"/>
      <c r="B51" s="218"/>
      <c r="C51" s="218"/>
      <c r="D51" s="218"/>
      <c r="E51" s="223"/>
      <c r="F51" s="223"/>
      <c r="G51" s="223"/>
      <c r="H51" s="223"/>
      <c r="I51" s="223"/>
      <c r="J51" s="223"/>
      <c r="K51" s="218"/>
      <c r="L51" s="218"/>
      <c r="M51" s="218"/>
    </row>
    <row r="52" spans="1:13" ht="12.75" customHeight="1" x14ac:dyDescent="0.25">
      <c r="A52" s="226" t="str">
        <f>A19</f>
        <v>Reserves to be backed by cash/investments</v>
      </c>
      <c r="B52" s="218"/>
      <c r="C52" s="218"/>
      <c r="D52" s="218"/>
      <c r="E52" s="223"/>
      <c r="F52" s="223"/>
      <c r="G52" s="223"/>
      <c r="H52" s="223"/>
      <c r="I52" s="223"/>
      <c r="J52" s="223"/>
      <c r="K52" s="218"/>
      <c r="L52" s="218"/>
      <c r="M52" s="218"/>
    </row>
    <row r="53" spans="1:13" ht="12.75" customHeight="1" x14ac:dyDescent="0.25">
      <c r="A53" s="229" t="str">
        <f>'SB2'!A59</f>
        <v>Housing Development Fund</v>
      </c>
      <c r="B53" s="223"/>
      <c r="C53" s="228">
        <f>'SB2'!C59</f>
        <v>0</v>
      </c>
      <c r="D53" s="228">
        <f>'SB2'!D59</f>
        <v>0</v>
      </c>
      <c r="E53" s="223"/>
      <c r="F53" s="223"/>
      <c r="G53" s="223"/>
      <c r="H53" s="223"/>
      <c r="I53" s="223"/>
      <c r="J53" s="223"/>
      <c r="K53" s="228">
        <f>'SB2'!K59</f>
        <v>0</v>
      </c>
      <c r="L53" s="228">
        <f>'SB2'!L59</f>
        <v>0</v>
      </c>
      <c r="M53" s="228">
        <f>'SB2'!M59</f>
        <v>0</v>
      </c>
    </row>
    <row r="54" spans="1:13" ht="12.75" customHeight="1" x14ac:dyDescent="0.25">
      <c r="A54" s="229" t="str">
        <f>'SB2'!A60</f>
        <v>Capital replacement</v>
      </c>
      <c r="B54" s="218"/>
      <c r="C54" s="228">
        <f>'SB2'!C60</f>
        <v>0</v>
      </c>
      <c r="D54" s="228">
        <f>'SB2'!D60</f>
        <v>0</v>
      </c>
      <c r="E54" s="223"/>
      <c r="F54" s="223"/>
      <c r="G54" s="223"/>
      <c r="H54" s="223"/>
      <c r="I54" s="223"/>
      <c r="J54" s="223"/>
      <c r="K54" s="228">
        <f>'SB2'!K60</f>
        <v>0</v>
      </c>
      <c r="L54" s="228">
        <f>'SB2'!L60</f>
        <v>0</v>
      </c>
      <c r="M54" s="228">
        <f>'SB2'!M60</f>
        <v>0</v>
      </c>
    </row>
    <row r="55" spans="1:13" ht="12.75" customHeight="1" x14ac:dyDescent="0.25">
      <c r="A55" s="229" t="str">
        <f>'SB2'!A61</f>
        <v>Self-insurance</v>
      </c>
      <c r="B55" s="218"/>
      <c r="C55" s="228">
        <f>'SB2'!C61</f>
        <v>0</v>
      </c>
      <c r="D55" s="228">
        <f>'SB2'!D61</f>
        <v>0</v>
      </c>
      <c r="E55" s="223"/>
      <c r="F55" s="223"/>
      <c r="G55" s="223"/>
      <c r="H55" s="223"/>
      <c r="I55" s="223"/>
      <c r="J55" s="223"/>
      <c r="K55" s="228">
        <f>'SB2'!K61</f>
        <v>0</v>
      </c>
      <c r="L55" s="228">
        <f>'SB2'!L61</f>
        <v>0</v>
      </c>
      <c r="M55" s="228">
        <f>'SB2'!M61</f>
        <v>0</v>
      </c>
    </row>
    <row r="56" spans="1:13" ht="12.75" customHeight="1" x14ac:dyDescent="0.25">
      <c r="A56" s="229" t="str">
        <f>'SB2'!A62</f>
        <v>Other reserves</v>
      </c>
      <c r="B56" s="218"/>
      <c r="C56" s="228">
        <f>'SB2'!C62</f>
        <v>0</v>
      </c>
      <c r="D56" s="228">
        <f>'SB2'!D62</f>
        <v>0</v>
      </c>
      <c r="E56" s="223"/>
      <c r="F56" s="223"/>
      <c r="G56" s="223"/>
      <c r="H56" s="223"/>
      <c r="I56" s="223"/>
      <c r="J56" s="223"/>
      <c r="K56" s="228">
        <f>'SB2'!K62</f>
        <v>0</v>
      </c>
      <c r="L56" s="228">
        <f>'SB2'!L62</f>
        <v>0</v>
      </c>
      <c r="M56" s="228">
        <f>'SB2'!M62</f>
        <v>0</v>
      </c>
    </row>
    <row r="57" spans="1:13" ht="12.75" customHeight="1" thickBot="1" x14ac:dyDescent="0.3">
      <c r="A57" s="218"/>
      <c r="B57" s="218"/>
      <c r="C57" s="885">
        <f>SUM(C53:C56)</f>
        <v>0</v>
      </c>
      <c r="D57" s="885">
        <f>SUM(D53:D56)</f>
        <v>0</v>
      </c>
      <c r="E57" s="223"/>
      <c r="F57" s="223"/>
      <c r="G57" s="223"/>
      <c r="H57" s="223"/>
      <c r="I57" s="223"/>
      <c r="J57" s="223"/>
      <c r="K57" s="885">
        <f>SUM(K53:K56)</f>
        <v>0</v>
      </c>
      <c r="L57" s="885">
        <f>SUM(L53:L56)</f>
        <v>0</v>
      </c>
      <c r="M57" s="885">
        <f>SUM(M53:M56)</f>
        <v>0</v>
      </c>
    </row>
    <row r="58" spans="1:13" ht="12.75" customHeight="1" thickTop="1" x14ac:dyDescent="0.25">
      <c r="A58" s="218"/>
      <c r="B58" s="230"/>
      <c r="C58" s="218"/>
      <c r="D58" s="218"/>
      <c r="E58" s="218"/>
      <c r="F58" s="218"/>
      <c r="G58" s="218"/>
      <c r="H58" s="218"/>
      <c r="I58" s="218"/>
      <c r="J58" s="218"/>
      <c r="K58" s="218"/>
      <c r="L58" s="218"/>
      <c r="M58" s="218"/>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algorithmName="SHA-512" hashValue="yYE/J2Si2TEI9yowS81s/lkpy6R4ki1RWWWFseRqqinbVN+0XLAwUYmN/BIORII3EMgG1H6lvLM+M8e9rVH+Ow==" saltValue="yuvCxUS/iylgkM3h9Ak2/g==" spinCount="100000" sheet="1" objects="1" scenarios="1"/>
  <mergeCells count="3">
    <mergeCell ref="B2:B4"/>
    <mergeCell ref="A2:A4"/>
    <mergeCell ref="C2:K2"/>
  </mergeCells>
  <phoneticPr fontId="4" type="noConversion"/>
  <printOptions horizontalCentered="1"/>
  <pageMargins left="0.36" right="0.17" top="0.79" bottom="0.59" header="0.51181102362204722" footer="0.41"/>
  <pageSetup paperSize="9" scale="69" orientation="portrait" r:id="rId1"/>
  <headerFooter alignWithMargins="0"/>
  <ignoredErrors>
    <ignoredError sqref="K16"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9">
    <tabColor indexed="44"/>
    <pageSetUpPr fitToPage="1"/>
  </sheetPr>
  <dimension ref="A1:AD277"/>
  <sheetViews>
    <sheetView showGridLines="0" zoomScaleNormal="100" workbookViewId="0">
      <pane xSplit="2" ySplit="5" topLeftCell="C102" activePane="bottomRight" state="frozen"/>
      <selection activeCell="C6" sqref="C6"/>
      <selection pane="topRight" activeCell="C6" sqref="C6"/>
      <selection pane="bottomLeft" activeCell="C6" sqref="C6"/>
      <selection pane="bottomRight" activeCell="I137" sqref="I137"/>
    </sheetView>
  </sheetViews>
  <sheetFormatPr defaultColWidth="9.140625" defaultRowHeight="12.75" x14ac:dyDescent="0.25"/>
  <cols>
    <col min="1" max="1" width="32.5703125" style="5" customWidth="1"/>
    <col min="2" max="2" width="3.140625" style="58" customWidth="1"/>
    <col min="3" max="13" width="8.570312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26" width="9.140625" style="5" customWidth="1"/>
    <col min="27" max="27" width="9.140625" style="5"/>
    <col min="28" max="30" width="9.140625" style="1336"/>
    <col min="31" max="16384" width="9.140625" style="5"/>
  </cols>
  <sheetData>
    <row r="1" spans="1:14" ht="13.5" x14ac:dyDescent="0.25">
      <c r="A1" s="57" t="str">
        <f>muni&amp;" - "&amp;_ADJ9&amp;" - "&amp;Date</f>
        <v xml:space="preserve">KZN226 Mkhambathini - Table B9 Asset Management - </v>
      </c>
      <c r="B1" s="5"/>
      <c r="C1" s="58"/>
    </row>
    <row r="2" spans="1:14" ht="38.25" x14ac:dyDescent="0.25">
      <c r="A2" s="1420" t="str">
        <f>desc</f>
        <v>Description</v>
      </c>
      <c r="B2" s="1420" t="str">
        <f>head27</f>
        <v>Ref</v>
      </c>
      <c r="C2" s="1417" t="str">
        <f>Head2</f>
        <v>Budget Year 2020/21</v>
      </c>
      <c r="D2" s="1418"/>
      <c r="E2" s="1418"/>
      <c r="F2" s="1418"/>
      <c r="G2" s="1418"/>
      <c r="H2" s="1418"/>
      <c r="I2" s="1418"/>
      <c r="J2" s="1418"/>
      <c r="K2" s="1418"/>
      <c r="L2" s="103" t="str">
        <f>Head10</f>
        <v>Budget Year +1 2021/22</v>
      </c>
      <c r="M2" s="61" t="str">
        <f>Head11</f>
        <v>Budget Year +2 2022/23</v>
      </c>
    </row>
    <row r="3" spans="1:14" ht="25.5" x14ac:dyDescent="0.25">
      <c r="A3" s="1421"/>
      <c r="B3" s="14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21"/>
      <c r="B4" s="1421"/>
      <c r="C4" s="65"/>
      <c r="D4" s="15">
        <v>7</v>
      </c>
      <c r="E4" s="15">
        <v>8</v>
      </c>
      <c r="F4" s="15">
        <v>9</v>
      </c>
      <c r="G4" s="15">
        <v>10</v>
      </c>
      <c r="H4" s="15">
        <v>11</v>
      </c>
      <c r="I4" s="15">
        <v>12</v>
      </c>
      <c r="J4" s="15">
        <v>13</v>
      </c>
      <c r="K4" s="15">
        <v>14</v>
      </c>
      <c r="L4" s="15"/>
      <c r="M4" s="17"/>
    </row>
    <row r="5" spans="1:14" x14ac:dyDescent="0.25">
      <c r="A5" s="66" t="s">
        <v>605</v>
      </c>
      <c r="B5" s="104"/>
      <c r="C5" s="67" t="s">
        <v>549</v>
      </c>
      <c r="D5" s="68" t="s">
        <v>550</v>
      </c>
      <c r="E5" s="68" t="s">
        <v>551</v>
      </c>
      <c r="F5" s="69" t="s">
        <v>552</v>
      </c>
      <c r="G5" s="69" t="s">
        <v>553</v>
      </c>
      <c r="H5" s="69" t="s">
        <v>554</v>
      </c>
      <c r="I5" s="70" t="s">
        <v>555</v>
      </c>
      <c r="J5" s="70" t="s">
        <v>556</v>
      </c>
      <c r="K5" s="70" t="s">
        <v>557</v>
      </c>
      <c r="L5" s="70"/>
      <c r="M5" s="71"/>
    </row>
    <row r="6" spans="1:14" ht="12.75" customHeight="1" x14ac:dyDescent="0.25">
      <c r="A6" s="137" t="s">
        <v>765</v>
      </c>
      <c r="B6" s="73"/>
      <c r="C6" s="138"/>
      <c r="D6" s="75"/>
      <c r="E6" s="75"/>
      <c r="F6" s="75"/>
      <c r="G6" s="75"/>
      <c r="H6" s="75"/>
      <c r="I6" s="75"/>
      <c r="J6" s="75"/>
      <c r="K6" s="139"/>
      <c r="L6" s="139"/>
      <c r="M6" s="140"/>
      <c r="N6" s="126"/>
    </row>
    <row r="7" spans="1:14" ht="12.75" customHeight="1" x14ac:dyDescent="0.25">
      <c r="A7" s="231" t="s">
        <v>1126</v>
      </c>
      <c r="B7" s="73">
        <v>1</v>
      </c>
      <c r="C7" s="138">
        <f>C17+C20+C21+C24+C27+C28+SUM(C31:C37)</f>
        <v>24696767</v>
      </c>
      <c r="D7" s="139">
        <f t="shared" ref="D7:M7" si="0">D17+D20+D21+D24+D27+D28+SUM(D31:D37)</f>
        <v>32420752</v>
      </c>
      <c r="E7" s="139">
        <f t="shared" si="0"/>
        <v>0</v>
      </c>
      <c r="F7" s="139">
        <f t="shared" si="0"/>
        <v>0</v>
      </c>
      <c r="G7" s="139">
        <f t="shared" si="0"/>
        <v>0</v>
      </c>
      <c r="H7" s="139">
        <f t="shared" si="0"/>
        <v>0</v>
      </c>
      <c r="I7" s="139">
        <f t="shared" si="0"/>
        <v>-208264</v>
      </c>
      <c r="J7" s="139">
        <f t="shared" si="0"/>
        <v>-208264</v>
      </c>
      <c r="K7" s="139">
        <f t="shared" si="0"/>
        <v>32212488</v>
      </c>
      <c r="L7" s="139">
        <f t="shared" si="0"/>
        <v>31027000</v>
      </c>
      <c r="M7" s="140">
        <f t="shared" si="0"/>
        <v>24381000</v>
      </c>
      <c r="N7" s="126"/>
    </row>
    <row r="8" spans="1:14" ht="12.75" customHeight="1" x14ac:dyDescent="0.25">
      <c r="A8" s="1218" t="s">
        <v>1568</v>
      </c>
      <c r="B8" s="73"/>
      <c r="C8" s="129">
        <f>SB18a!C9</f>
        <v>9467783</v>
      </c>
      <c r="D8" s="130">
        <f>SB18a!D9</f>
        <v>17191768</v>
      </c>
      <c r="E8" s="130">
        <f>SB18a!E9</f>
        <v>0</v>
      </c>
      <c r="F8" s="130">
        <f>SB18a!F9</f>
        <v>0</v>
      </c>
      <c r="G8" s="130">
        <f>SB18a!G9</f>
        <v>0</v>
      </c>
      <c r="H8" s="130">
        <f>SB18a!H9</f>
        <v>0</v>
      </c>
      <c r="I8" s="130">
        <f>SB18a!I9</f>
        <v>1333200</v>
      </c>
      <c r="J8" s="169">
        <f>SB18a!J9</f>
        <v>1333200</v>
      </c>
      <c r="K8" s="169">
        <f>SB18a!K9</f>
        <v>18524968</v>
      </c>
      <c r="L8" s="130">
        <f>SB18a!L9</f>
        <v>17027000</v>
      </c>
      <c r="M8" s="131">
        <f>SB18a!M9</f>
        <v>17781000</v>
      </c>
      <c r="N8" s="126"/>
    </row>
    <row r="9" spans="1:14" ht="12.75" customHeight="1" x14ac:dyDescent="0.25">
      <c r="A9" s="1218" t="s">
        <v>1572</v>
      </c>
      <c r="B9" s="73"/>
      <c r="C9" s="129">
        <f>SB18a!C14</f>
        <v>0</v>
      </c>
      <c r="D9" s="130">
        <f>SB18a!D14</f>
        <v>0</v>
      </c>
      <c r="E9" s="130">
        <f>SB18a!E14</f>
        <v>0</v>
      </c>
      <c r="F9" s="130">
        <f>SB18a!F14</f>
        <v>0</v>
      </c>
      <c r="G9" s="130">
        <f>SB18a!G14</f>
        <v>0</v>
      </c>
      <c r="H9" s="130">
        <f>SB18a!H14</f>
        <v>0</v>
      </c>
      <c r="I9" s="130">
        <f>SB18a!I14</f>
        <v>0</v>
      </c>
      <c r="J9" s="169">
        <f>SB18a!J14</f>
        <v>0</v>
      </c>
      <c r="K9" s="169">
        <f>SB18a!K14</f>
        <v>0</v>
      </c>
      <c r="L9" s="130">
        <f>SB18a!L14</f>
        <v>0</v>
      </c>
      <c r="M9" s="131">
        <f>SB18a!M14</f>
        <v>0</v>
      </c>
      <c r="N9" s="126"/>
    </row>
    <row r="10" spans="1:14" ht="12.75" customHeight="1" x14ac:dyDescent="0.25">
      <c r="A10" s="1218" t="s">
        <v>1576</v>
      </c>
      <c r="B10" s="73"/>
      <c r="C10" s="129">
        <f>SB18a!C18</f>
        <v>0</v>
      </c>
      <c r="D10" s="130">
        <f>SB18a!D18</f>
        <v>0</v>
      </c>
      <c r="E10" s="130">
        <f>SB18a!E18</f>
        <v>0</v>
      </c>
      <c r="F10" s="130">
        <f>SB18a!F18</f>
        <v>0</v>
      </c>
      <c r="G10" s="130">
        <f>SB18a!G18</f>
        <v>0</v>
      </c>
      <c r="H10" s="130">
        <f>SB18a!H18</f>
        <v>0</v>
      </c>
      <c r="I10" s="130">
        <f>SB18a!I18</f>
        <v>0</v>
      </c>
      <c r="J10" s="169">
        <f>SB18a!J18</f>
        <v>0</v>
      </c>
      <c r="K10" s="169">
        <f>SB18a!K18</f>
        <v>0</v>
      </c>
      <c r="L10" s="130">
        <f>SB18a!L18</f>
        <v>0</v>
      </c>
      <c r="M10" s="131">
        <f>SB18a!M18</f>
        <v>0</v>
      </c>
      <c r="N10" s="126"/>
    </row>
    <row r="11" spans="1:14" ht="12.75" customHeight="1" x14ac:dyDescent="0.25">
      <c r="A11" s="1218" t="s">
        <v>1585</v>
      </c>
      <c r="B11" s="73"/>
      <c r="C11" s="129">
        <f>SB18a!C28</f>
        <v>0</v>
      </c>
      <c r="D11" s="130">
        <f>SB18a!D28</f>
        <v>0</v>
      </c>
      <c r="E11" s="130">
        <f>SB18a!E28</f>
        <v>0</v>
      </c>
      <c r="F11" s="130">
        <f>SB18a!F28</f>
        <v>0</v>
      </c>
      <c r="G11" s="130">
        <f>SB18a!G28</f>
        <v>0</v>
      </c>
      <c r="H11" s="130">
        <f>SB18a!H28</f>
        <v>0</v>
      </c>
      <c r="I11" s="130">
        <f>SB18a!I28</f>
        <v>0</v>
      </c>
      <c r="J11" s="169">
        <f>SB18a!J28</f>
        <v>0</v>
      </c>
      <c r="K11" s="169">
        <f>SB18a!K28</f>
        <v>0</v>
      </c>
      <c r="L11" s="130">
        <f>SB18a!L28</f>
        <v>0</v>
      </c>
      <c r="M11" s="131">
        <f>SB18a!M28</f>
        <v>0</v>
      </c>
      <c r="N11" s="126"/>
    </row>
    <row r="12" spans="1:14" ht="12.75" customHeight="1" x14ac:dyDescent="0.25">
      <c r="A12" s="1218" t="s">
        <v>1595</v>
      </c>
      <c r="B12" s="73"/>
      <c r="C12" s="129">
        <f>SB18a!C39</f>
        <v>0</v>
      </c>
      <c r="D12" s="130">
        <f>SB18a!D39</f>
        <v>0</v>
      </c>
      <c r="E12" s="130">
        <f>SB18a!E39</f>
        <v>0</v>
      </c>
      <c r="F12" s="130">
        <f>SB18a!F39</f>
        <v>0</v>
      </c>
      <c r="G12" s="130">
        <f>SB18a!G39</f>
        <v>0</v>
      </c>
      <c r="H12" s="130">
        <f>SB18a!H39</f>
        <v>0</v>
      </c>
      <c r="I12" s="130">
        <f>SB18a!I39</f>
        <v>0</v>
      </c>
      <c r="J12" s="169">
        <f>SB18a!J39</f>
        <v>0</v>
      </c>
      <c r="K12" s="169">
        <f>SB18a!K39</f>
        <v>0</v>
      </c>
      <c r="L12" s="130">
        <f>SB18a!L39</f>
        <v>0</v>
      </c>
      <c r="M12" s="131">
        <f>SB18a!M39</f>
        <v>0</v>
      </c>
      <c r="N12" s="126"/>
    </row>
    <row r="13" spans="1:14" ht="12.75" customHeight="1" x14ac:dyDescent="0.25">
      <c r="A13" s="1218" t="s">
        <v>1600</v>
      </c>
      <c r="B13" s="73"/>
      <c r="C13" s="129">
        <f>SB18a!C46</f>
        <v>0</v>
      </c>
      <c r="D13" s="130">
        <f>SB18a!D46</f>
        <v>0</v>
      </c>
      <c r="E13" s="130">
        <f>SB18a!E46</f>
        <v>0</v>
      </c>
      <c r="F13" s="130">
        <f>SB18a!F46</f>
        <v>0</v>
      </c>
      <c r="G13" s="130">
        <f>SB18a!G46</f>
        <v>0</v>
      </c>
      <c r="H13" s="130">
        <f>SB18a!H46</f>
        <v>0</v>
      </c>
      <c r="I13" s="130">
        <f>SB18a!I46</f>
        <v>0</v>
      </c>
      <c r="J13" s="169">
        <f>SB18a!J46</f>
        <v>0</v>
      </c>
      <c r="K13" s="169">
        <f>SB18a!K46</f>
        <v>0</v>
      </c>
      <c r="L13" s="130">
        <f>SB18a!L46</f>
        <v>0</v>
      </c>
      <c r="M13" s="131">
        <f>SB18a!M46</f>
        <v>0</v>
      </c>
      <c r="N13" s="126"/>
    </row>
    <row r="14" spans="1:14" ht="12.75" customHeight="1" x14ac:dyDescent="0.25">
      <c r="A14" s="1218" t="s">
        <v>1607</v>
      </c>
      <c r="B14" s="73"/>
      <c r="C14" s="129">
        <f>SB18a!C54</f>
        <v>0</v>
      </c>
      <c r="D14" s="130">
        <f>SB18a!D54</f>
        <v>0</v>
      </c>
      <c r="E14" s="130">
        <f>SB18a!E54</f>
        <v>0</v>
      </c>
      <c r="F14" s="130">
        <f>SB18a!F54</f>
        <v>0</v>
      </c>
      <c r="G14" s="130">
        <f>SB18a!G54</f>
        <v>0</v>
      </c>
      <c r="H14" s="130">
        <f>SB18a!H54</f>
        <v>0</v>
      </c>
      <c r="I14" s="130">
        <f>SB18a!I54</f>
        <v>0</v>
      </c>
      <c r="J14" s="169">
        <f>SB18a!J54</f>
        <v>0</v>
      </c>
      <c r="K14" s="169">
        <f>SB18a!K54</f>
        <v>0</v>
      </c>
      <c r="L14" s="130">
        <f>SB18a!L54</f>
        <v>0</v>
      </c>
      <c r="M14" s="131">
        <f>SB18a!M54</f>
        <v>0</v>
      </c>
      <c r="N14" s="126"/>
    </row>
    <row r="15" spans="1:14" ht="12.75" customHeight="1" x14ac:dyDescent="0.25">
      <c r="A15" s="1218" t="s">
        <v>1611</v>
      </c>
      <c r="B15" s="73"/>
      <c r="C15" s="129">
        <f>SB18a!C64</f>
        <v>0</v>
      </c>
      <c r="D15" s="130">
        <f>SB18a!D64</f>
        <v>0</v>
      </c>
      <c r="E15" s="130">
        <f>SB18a!E64</f>
        <v>0</v>
      </c>
      <c r="F15" s="130">
        <f>SB18a!F64</f>
        <v>0</v>
      </c>
      <c r="G15" s="130">
        <f>SB18a!G64</f>
        <v>0</v>
      </c>
      <c r="H15" s="130">
        <f>SB18a!H64</f>
        <v>0</v>
      </c>
      <c r="I15" s="130">
        <f>SB18a!I64</f>
        <v>0</v>
      </c>
      <c r="J15" s="169">
        <f>SB18a!J64</f>
        <v>0</v>
      </c>
      <c r="K15" s="169">
        <f>SB18a!K64</f>
        <v>0</v>
      </c>
      <c r="L15" s="130">
        <f>SB18a!L64</f>
        <v>0</v>
      </c>
      <c r="M15" s="131">
        <f>SB18a!M64</f>
        <v>0</v>
      </c>
      <c r="N15" s="126"/>
    </row>
    <row r="16" spans="1:14" ht="12.75" customHeight="1" x14ac:dyDescent="0.25">
      <c r="A16" s="1218" t="s">
        <v>1616</v>
      </c>
      <c r="B16" s="73"/>
      <c r="C16" s="129">
        <f>SB18a!C70</f>
        <v>0</v>
      </c>
      <c r="D16" s="130">
        <f>SB18a!D70</f>
        <v>0</v>
      </c>
      <c r="E16" s="130">
        <f>SB18a!E70</f>
        <v>0</v>
      </c>
      <c r="F16" s="130">
        <f>SB18a!F70</f>
        <v>0</v>
      </c>
      <c r="G16" s="130">
        <f>SB18a!G70</f>
        <v>0</v>
      </c>
      <c r="H16" s="130">
        <f>SB18a!H70</f>
        <v>0</v>
      </c>
      <c r="I16" s="130">
        <f>SB18a!I70</f>
        <v>0</v>
      </c>
      <c r="J16" s="169">
        <f>SB18a!J70</f>
        <v>0</v>
      </c>
      <c r="K16" s="169">
        <f>SB18a!K70</f>
        <v>0</v>
      </c>
      <c r="L16" s="130">
        <f>SB18a!L70</f>
        <v>0</v>
      </c>
      <c r="M16" s="131">
        <f>SB18a!M70</f>
        <v>0</v>
      </c>
      <c r="N16" s="126"/>
    </row>
    <row r="17" spans="1:14" ht="12.75" customHeight="1" x14ac:dyDescent="0.25">
      <c r="A17" s="1219" t="s">
        <v>766</v>
      </c>
      <c r="B17" s="73"/>
      <c r="C17" s="700">
        <f>SUM(C8:C16)</f>
        <v>9467783</v>
      </c>
      <c r="D17" s="263">
        <f t="shared" ref="D17:M17" si="1">SUM(D8:D16)</f>
        <v>17191768</v>
      </c>
      <c r="E17" s="263">
        <f t="shared" si="1"/>
        <v>0</v>
      </c>
      <c r="F17" s="263">
        <f t="shared" si="1"/>
        <v>0</v>
      </c>
      <c r="G17" s="263">
        <f t="shared" si="1"/>
        <v>0</v>
      </c>
      <c r="H17" s="263">
        <f t="shared" si="1"/>
        <v>0</v>
      </c>
      <c r="I17" s="263">
        <f t="shared" si="1"/>
        <v>1333200</v>
      </c>
      <c r="J17" s="576">
        <f t="shared" si="1"/>
        <v>1333200</v>
      </c>
      <c r="K17" s="576">
        <f t="shared" si="1"/>
        <v>18524968</v>
      </c>
      <c r="L17" s="263">
        <f t="shared" si="1"/>
        <v>17027000</v>
      </c>
      <c r="M17" s="264">
        <f t="shared" si="1"/>
        <v>17781000</v>
      </c>
      <c r="N17" s="126"/>
    </row>
    <row r="18" spans="1:14" ht="12.75" customHeight="1" x14ac:dyDescent="0.25">
      <c r="A18" s="1220" t="s">
        <v>1621</v>
      </c>
      <c r="B18" s="73"/>
      <c r="C18" s="129">
        <f>SB18a!C77</f>
        <v>9528984</v>
      </c>
      <c r="D18" s="130">
        <f>SB18a!D77</f>
        <v>9528984</v>
      </c>
      <c r="E18" s="130">
        <f>SB18a!E77</f>
        <v>0</v>
      </c>
      <c r="F18" s="130">
        <f>SB18a!F77</f>
        <v>0</v>
      </c>
      <c r="G18" s="130">
        <f>SB18a!G77</f>
        <v>0</v>
      </c>
      <c r="H18" s="130">
        <f>SB18a!H77</f>
        <v>0</v>
      </c>
      <c r="I18" s="130">
        <f>SB18a!I77</f>
        <v>1936585</v>
      </c>
      <c r="J18" s="169">
        <f>SB18a!J77</f>
        <v>1936585</v>
      </c>
      <c r="K18" s="169">
        <f>SB18a!K77</f>
        <v>11465569</v>
      </c>
      <c r="L18" s="130">
        <f>SB18a!L77</f>
        <v>0</v>
      </c>
      <c r="M18" s="131">
        <f>SB18a!M77</f>
        <v>0</v>
      </c>
      <c r="N18" s="126"/>
    </row>
    <row r="19" spans="1:14" ht="12.75" customHeight="1" x14ac:dyDescent="0.25">
      <c r="A19" s="1220" t="s">
        <v>1639</v>
      </c>
      <c r="B19" s="73"/>
      <c r="C19" s="129">
        <f>SB18a!C100</f>
        <v>0</v>
      </c>
      <c r="D19" s="130">
        <f>SB18a!D100</f>
        <v>0</v>
      </c>
      <c r="E19" s="130">
        <f>SB18a!E100</f>
        <v>0</v>
      </c>
      <c r="F19" s="130">
        <f>SB18a!F100</f>
        <v>0</v>
      </c>
      <c r="G19" s="130">
        <f>SB18a!G100</f>
        <v>0</v>
      </c>
      <c r="H19" s="130">
        <f>SB18a!H100</f>
        <v>0</v>
      </c>
      <c r="I19" s="130">
        <f>SB18a!I100</f>
        <v>0</v>
      </c>
      <c r="J19" s="169">
        <f>SB18a!J100</f>
        <v>0</v>
      </c>
      <c r="K19" s="169">
        <f>SB18a!K100</f>
        <v>0</v>
      </c>
      <c r="L19" s="130">
        <f>SB18a!L100</f>
        <v>0</v>
      </c>
      <c r="M19" s="131">
        <f>SB18a!M100</f>
        <v>0</v>
      </c>
      <c r="N19" s="126"/>
    </row>
    <row r="20" spans="1:14" ht="12.75" customHeight="1" x14ac:dyDescent="0.25">
      <c r="A20" s="1219" t="s">
        <v>1620</v>
      </c>
      <c r="B20" s="73"/>
      <c r="C20" s="700">
        <f>SUM(C18:C19)</f>
        <v>9528984</v>
      </c>
      <c r="D20" s="263">
        <f t="shared" ref="D20:M20" si="2">SUM(D18:D19)</f>
        <v>9528984</v>
      </c>
      <c r="E20" s="263">
        <f t="shared" si="2"/>
        <v>0</v>
      </c>
      <c r="F20" s="263">
        <f t="shared" si="2"/>
        <v>0</v>
      </c>
      <c r="G20" s="263">
        <f t="shared" si="2"/>
        <v>0</v>
      </c>
      <c r="H20" s="263">
        <f t="shared" si="2"/>
        <v>0</v>
      </c>
      <c r="I20" s="263">
        <f t="shared" si="2"/>
        <v>1936585</v>
      </c>
      <c r="J20" s="576">
        <f t="shared" si="2"/>
        <v>1936585</v>
      </c>
      <c r="K20" s="576">
        <f t="shared" si="2"/>
        <v>11465569</v>
      </c>
      <c r="L20" s="263">
        <f t="shared" si="2"/>
        <v>0</v>
      </c>
      <c r="M20" s="264">
        <f t="shared" si="2"/>
        <v>0</v>
      </c>
      <c r="N20" s="126"/>
    </row>
    <row r="21" spans="1:14" ht="12.75" customHeight="1" x14ac:dyDescent="0.25">
      <c r="A21" s="1221" t="s">
        <v>1367</v>
      </c>
      <c r="B21" s="73"/>
      <c r="C21" s="129">
        <f>SB18a!C105</f>
        <v>0</v>
      </c>
      <c r="D21" s="130">
        <f>SB18a!D105</f>
        <v>0</v>
      </c>
      <c r="E21" s="130">
        <f>SB18a!E105</f>
        <v>0</v>
      </c>
      <c r="F21" s="130">
        <f>SB18a!F105</f>
        <v>0</v>
      </c>
      <c r="G21" s="130">
        <f>SB18a!G105</f>
        <v>0</v>
      </c>
      <c r="H21" s="130">
        <f>SB18a!H105</f>
        <v>0</v>
      </c>
      <c r="I21" s="130">
        <f>SB18a!I105</f>
        <v>0</v>
      </c>
      <c r="J21" s="169">
        <f>SB18a!J105</f>
        <v>0</v>
      </c>
      <c r="K21" s="169">
        <f>SB18a!K105</f>
        <v>0</v>
      </c>
      <c r="L21" s="130">
        <f>SB18a!L105</f>
        <v>0</v>
      </c>
      <c r="M21" s="131">
        <f>SB18a!M105</f>
        <v>0</v>
      </c>
      <c r="N21" s="126"/>
    </row>
    <row r="22" spans="1:14" ht="12.75" customHeight="1" x14ac:dyDescent="0.25">
      <c r="A22" s="1220" t="s">
        <v>1647</v>
      </c>
      <c r="B22" s="73"/>
      <c r="C22" s="129">
        <f>SB18a!C113</f>
        <v>0</v>
      </c>
      <c r="D22" s="130">
        <f>SB18a!D113</f>
        <v>0</v>
      </c>
      <c r="E22" s="130">
        <f>SB18a!E113</f>
        <v>0</v>
      </c>
      <c r="F22" s="130">
        <f>SB18a!F113</f>
        <v>0</v>
      </c>
      <c r="G22" s="130">
        <f>SB18a!G113</f>
        <v>0</v>
      </c>
      <c r="H22" s="130">
        <f>SB18a!H113</f>
        <v>0</v>
      </c>
      <c r="I22" s="130">
        <f>SB18a!I113</f>
        <v>0</v>
      </c>
      <c r="J22" s="169">
        <f>SB18a!J113</f>
        <v>0</v>
      </c>
      <c r="K22" s="169">
        <f>SB18a!K113</f>
        <v>0</v>
      </c>
      <c r="L22" s="130">
        <f>SB18a!L113</f>
        <v>0</v>
      </c>
      <c r="M22" s="131">
        <f>SB18a!M113</f>
        <v>0</v>
      </c>
      <c r="N22" s="126"/>
    </row>
    <row r="23" spans="1:14" ht="12.75" customHeight="1" x14ac:dyDescent="0.25">
      <c r="A23" s="1220" t="s">
        <v>1650</v>
      </c>
      <c r="B23" s="73"/>
      <c r="C23" s="129">
        <f>SB18a!C116</f>
        <v>0</v>
      </c>
      <c r="D23" s="130">
        <f>SB18a!D116</f>
        <v>0</v>
      </c>
      <c r="E23" s="130">
        <f>SB18a!E116</f>
        <v>0</v>
      </c>
      <c r="F23" s="130">
        <f>SB18a!F116</f>
        <v>0</v>
      </c>
      <c r="G23" s="130">
        <f>SB18a!G116</f>
        <v>0</v>
      </c>
      <c r="H23" s="130">
        <f>SB18a!H116</f>
        <v>0</v>
      </c>
      <c r="I23" s="130">
        <f>SB18a!I116</f>
        <v>0</v>
      </c>
      <c r="J23" s="169">
        <f>SB18a!J116</f>
        <v>0</v>
      </c>
      <c r="K23" s="169">
        <f>SB18a!K116</f>
        <v>0</v>
      </c>
      <c r="L23" s="130">
        <f>SB18a!L116</f>
        <v>0</v>
      </c>
      <c r="M23" s="131">
        <f>SB18a!M116</f>
        <v>0</v>
      </c>
      <c r="N23" s="126"/>
    </row>
    <row r="24" spans="1:14" ht="12.75" customHeight="1" x14ac:dyDescent="0.25">
      <c r="A24" s="1219" t="s">
        <v>768</v>
      </c>
      <c r="B24" s="73"/>
      <c r="C24" s="700">
        <f>SUM(C22:C23)</f>
        <v>0</v>
      </c>
      <c r="D24" s="263">
        <f t="shared" ref="D24:M24" si="3">SUM(D22:D23)</f>
        <v>0</v>
      </c>
      <c r="E24" s="263">
        <f t="shared" si="3"/>
        <v>0</v>
      </c>
      <c r="F24" s="263">
        <f t="shared" si="3"/>
        <v>0</v>
      </c>
      <c r="G24" s="263">
        <f t="shared" si="3"/>
        <v>0</v>
      </c>
      <c r="H24" s="263">
        <f t="shared" si="3"/>
        <v>0</v>
      </c>
      <c r="I24" s="263">
        <f t="shared" si="3"/>
        <v>0</v>
      </c>
      <c r="J24" s="576">
        <f t="shared" si="3"/>
        <v>0</v>
      </c>
      <c r="K24" s="576">
        <f t="shared" si="3"/>
        <v>0</v>
      </c>
      <c r="L24" s="263">
        <f t="shared" si="3"/>
        <v>0</v>
      </c>
      <c r="M24" s="264">
        <f t="shared" si="3"/>
        <v>0</v>
      </c>
      <c r="N24" s="126"/>
    </row>
    <row r="25" spans="1:14" ht="12.75" customHeight="1" x14ac:dyDescent="0.25">
      <c r="A25" s="1220" t="s">
        <v>1651</v>
      </c>
      <c r="B25" s="73"/>
      <c r="C25" s="129">
        <f>SB18a!C121</f>
        <v>5000000</v>
      </c>
      <c r="D25" s="130">
        <f>SB18a!D121</f>
        <v>5000000</v>
      </c>
      <c r="E25" s="130">
        <f>SB18a!E121</f>
        <v>0</v>
      </c>
      <c r="F25" s="130">
        <f>SB18a!F121</f>
        <v>0</v>
      </c>
      <c r="G25" s="130">
        <f>SB18a!G121</f>
        <v>0</v>
      </c>
      <c r="H25" s="130">
        <f>SB18a!H121</f>
        <v>0</v>
      </c>
      <c r="I25" s="130">
        <f>SB18a!I121</f>
        <v>-3478049</v>
      </c>
      <c r="J25" s="169">
        <f>SB18a!J121</f>
        <v>-3478049</v>
      </c>
      <c r="K25" s="169">
        <f>SB18a!K121</f>
        <v>1521951</v>
      </c>
      <c r="L25" s="130">
        <f>SB18a!L121</f>
        <v>14000000</v>
      </c>
      <c r="M25" s="131">
        <f>SB18a!M121</f>
        <v>5000000</v>
      </c>
      <c r="N25" s="126"/>
    </row>
    <row r="26" spans="1:14" ht="12.75" customHeight="1" x14ac:dyDescent="0.25">
      <c r="A26" s="1220" t="s">
        <v>621</v>
      </c>
      <c r="B26" s="73"/>
      <c r="C26" s="129">
        <f>SB18a!C133</f>
        <v>0</v>
      </c>
      <c r="D26" s="130">
        <f>SB18a!D133</f>
        <v>0</v>
      </c>
      <c r="E26" s="130">
        <f>SB18a!E133</f>
        <v>0</v>
      </c>
      <c r="F26" s="130">
        <f>SB18a!F133</f>
        <v>0</v>
      </c>
      <c r="G26" s="130">
        <f>SB18a!G133</f>
        <v>0</v>
      </c>
      <c r="H26" s="130">
        <f>SB18a!H133</f>
        <v>0</v>
      </c>
      <c r="I26" s="130">
        <f>SB18a!I133</f>
        <v>0</v>
      </c>
      <c r="J26" s="169">
        <f>SB18a!J133</f>
        <v>0</v>
      </c>
      <c r="K26" s="169">
        <f>SB18a!K133</f>
        <v>0</v>
      </c>
      <c r="L26" s="130">
        <f>SB18a!L133</f>
        <v>0</v>
      </c>
      <c r="M26" s="131">
        <f>SB18a!M133</f>
        <v>0</v>
      </c>
      <c r="N26" s="126"/>
    </row>
    <row r="27" spans="1:14" ht="12.75" customHeight="1" x14ac:dyDescent="0.25">
      <c r="A27" s="1219" t="s">
        <v>1368</v>
      </c>
      <c r="B27" s="73">
        <v>6</v>
      </c>
      <c r="C27" s="700">
        <f>SUM(C25:C26)</f>
        <v>5000000</v>
      </c>
      <c r="D27" s="263">
        <f t="shared" ref="D27:M27" si="4">SUM(D25:D26)</f>
        <v>5000000</v>
      </c>
      <c r="E27" s="263">
        <f t="shared" si="4"/>
        <v>0</v>
      </c>
      <c r="F27" s="263">
        <f t="shared" si="4"/>
        <v>0</v>
      </c>
      <c r="G27" s="263">
        <f t="shared" si="4"/>
        <v>0</v>
      </c>
      <c r="H27" s="263">
        <f t="shared" si="4"/>
        <v>0</v>
      </c>
      <c r="I27" s="263">
        <f t="shared" si="4"/>
        <v>-3478049</v>
      </c>
      <c r="J27" s="576">
        <f t="shared" si="4"/>
        <v>-3478049</v>
      </c>
      <c r="K27" s="576">
        <f t="shared" si="4"/>
        <v>1521951</v>
      </c>
      <c r="L27" s="263">
        <f t="shared" si="4"/>
        <v>14000000</v>
      </c>
      <c r="M27" s="264">
        <f t="shared" si="4"/>
        <v>5000000</v>
      </c>
      <c r="N27" s="126"/>
    </row>
    <row r="28" spans="1:14" ht="12.75" customHeight="1" x14ac:dyDescent="0.25">
      <c r="A28" s="1221" t="s">
        <v>1664</v>
      </c>
      <c r="B28" s="73"/>
      <c r="C28" s="129">
        <f>SB18a!C138</f>
        <v>0</v>
      </c>
      <c r="D28" s="130">
        <f>SB18a!D138</f>
        <v>0</v>
      </c>
      <c r="E28" s="130">
        <f>SB18a!E138</f>
        <v>0</v>
      </c>
      <c r="F28" s="130">
        <f>SB18a!F138</f>
        <v>0</v>
      </c>
      <c r="G28" s="130">
        <f>SB18a!G138</f>
        <v>0</v>
      </c>
      <c r="H28" s="130">
        <f>SB18a!H138</f>
        <v>0</v>
      </c>
      <c r="I28" s="130">
        <f>SB18a!I138</f>
        <v>0</v>
      </c>
      <c r="J28" s="169">
        <f>SB18a!J138</f>
        <v>0</v>
      </c>
      <c r="K28" s="169">
        <f>SB18a!K138</f>
        <v>0</v>
      </c>
      <c r="L28" s="130">
        <f>SB18a!L138</f>
        <v>0</v>
      </c>
      <c r="M28" s="131">
        <f>SB18a!M138</f>
        <v>0</v>
      </c>
      <c r="N28" s="126"/>
    </row>
    <row r="29" spans="1:14" ht="12.75" customHeight="1" x14ac:dyDescent="0.25">
      <c r="A29" s="1220" t="s">
        <v>1666</v>
      </c>
      <c r="B29" s="73"/>
      <c r="C29" s="129">
        <f>SB18a!C142</f>
        <v>0</v>
      </c>
      <c r="D29" s="130">
        <f>SB18a!D142</f>
        <v>0</v>
      </c>
      <c r="E29" s="130">
        <f>SB18a!E142</f>
        <v>0</v>
      </c>
      <c r="F29" s="130">
        <f>SB18a!F142</f>
        <v>0</v>
      </c>
      <c r="G29" s="130">
        <f>SB18a!G142</f>
        <v>0</v>
      </c>
      <c r="H29" s="130">
        <f>SB18a!H142</f>
        <v>0</v>
      </c>
      <c r="I29" s="130">
        <f>SB18a!I142</f>
        <v>0</v>
      </c>
      <c r="J29" s="169">
        <f>SB18a!J142</f>
        <v>0</v>
      </c>
      <c r="K29" s="169">
        <f>SB18a!K142</f>
        <v>0</v>
      </c>
      <c r="L29" s="130">
        <f>SB18a!L142</f>
        <v>0</v>
      </c>
      <c r="M29" s="131">
        <f>SB18a!M142</f>
        <v>0</v>
      </c>
      <c r="N29" s="126"/>
    </row>
    <row r="30" spans="1:14" ht="12.75" customHeight="1" x14ac:dyDescent="0.25">
      <c r="A30" s="1220" t="s">
        <v>1667</v>
      </c>
      <c r="B30" s="73"/>
      <c r="C30" s="129">
        <f>SB18a!C143</f>
        <v>0</v>
      </c>
      <c r="D30" s="130">
        <f>SB18a!D143</f>
        <v>0</v>
      </c>
      <c r="E30" s="130">
        <f>SB18a!E143</f>
        <v>0</v>
      </c>
      <c r="F30" s="130">
        <f>SB18a!F143</f>
        <v>0</v>
      </c>
      <c r="G30" s="130">
        <f>SB18a!G143</f>
        <v>0</v>
      </c>
      <c r="H30" s="130">
        <f>SB18a!H143</f>
        <v>0</v>
      </c>
      <c r="I30" s="130">
        <f>SB18a!I143</f>
        <v>0</v>
      </c>
      <c r="J30" s="169">
        <f>SB18a!J143</f>
        <v>0</v>
      </c>
      <c r="K30" s="169">
        <f>SB18a!K143</f>
        <v>0</v>
      </c>
      <c r="L30" s="130">
        <f>SB18a!L143</f>
        <v>0</v>
      </c>
      <c r="M30" s="131">
        <f>SB18a!M143</f>
        <v>0</v>
      </c>
      <c r="N30" s="126"/>
    </row>
    <row r="31" spans="1:14" ht="12.75" customHeight="1" x14ac:dyDescent="0.25">
      <c r="A31" s="1219" t="s">
        <v>1665</v>
      </c>
      <c r="B31" s="73"/>
      <c r="C31" s="700">
        <f>SUM(C29:C30)</f>
        <v>0</v>
      </c>
      <c r="D31" s="263">
        <f t="shared" ref="D31:M31" si="5">SUM(D29:D30)</f>
        <v>0</v>
      </c>
      <c r="E31" s="263">
        <f t="shared" si="5"/>
        <v>0</v>
      </c>
      <c r="F31" s="263">
        <f t="shared" si="5"/>
        <v>0</v>
      </c>
      <c r="G31" s="263">
        <f t="shared" si="5"/>
        <v>0</v>
      </c>
      <c r="H31" s="263">
        <f t="shared" si="5"/>
        <v>0</v>
      </c>
      <c r="I31" s="263">
        <f t="shared" si="5"/>
        <v>0</v>
      </c>
      <c r="J31" s="576">
        <f t="shared" si="5"/>
        <v>0</v>
      </c>
      <c r="K31" s="576">
        <f t="shared" si="5"/>
        <v>0</v>
      </c>
      <c r="L31" s="263">
        <f t="shared" si="5"/>
        <v>0</v>
      </c>
      <c r="M31" s="264">
        <f t="shared" si="5"/>
        <v>0</v>
      </c>
      <c r="N31" s="126"/>
    </row>
    <row r="32" spans="1:14" ht="12.75" customHeight="1" x14ac:dyDescent="0.25">
      <c r="A32" s="1222" t="s">
        <v>1674</v>
      </c>
      <c r="B32" s="73"/>
      <c r="C32" s="129">
        <f>SB18a!C151</f>
        <v>300000</v>
      </c>
      <c r="D32" s="130">
        <f>SB18a!D151</f>
        <v>300000</v>
      </c>
      <c r="E32" s="130">
        <f>SB18a!E151</f>
        <v>0</v>
      </c>
      <c r="F32" s="130">
        <f>SB18a!F151</f>
        <v>0</v>
      </c>
      <c r="G32" s="130">
        <f>SB18a!G151</f>
        <v>0</v>
      </c>
      <c r="H32" s="130">
        <f>SB18a!H151</f>
        <v>0</v>
      </c>
      <c r="I32" s="130">
        <f>SB18a!I151</f>
        <v>0</v>
      </c>
      <c r="J32" s="169">
        <f>SB18a!J151</f>
        <v>0</v>
      </c>
      <c r="K32" s="169">
        <f>SB18a!K151</f>
        <v>300000</v>
      </c>
      <c r="L32" s="130">
        <f>SB18a!L151</f>
        <v>0</v>
      </c>
      <c r="M32" s="131">
        <f>SB18a!M151</f>
        <v>400000</v>
      </c>
      <c r="N32" s="126"/>
    </row>
    <row r="33" spans="1:14" ht="12.75" customHeight="1" x14ac:dyDescent="0.25">
      <c r="A33" s="1221" t="s">
        <v>1675</v>
      </c>
      <c r="B33" s="73"/>
      <c r="C33" s="129">
        <f>SB18a!C154</f>
        <v>400000</v>
      </c>
      <c r="D33" s="130">
        <f>SB18a!D154</f>
        <v>400000</v>
      </c>
      <c r="E33" s="130">
        <f>SB18a!E154</f>
        <v>0</v>
      </c>
      <c r="F33" s="130">
        <f>SB18a!F154</f>
        <v>0</v>
      </c>
      <c r="G33" s="130">
        <f>SB18a!G154</f>
        <v>0</v>
      </c>
      <c r="H33" s="130">
        <f>SB18a!H154</f>
        <v>0</v>
      </c>
      <c r="I33" s="130">
        <f>SB18a!I154</f>
        <v>0</v>
      </c>
      <c r="J33" s="169">
        <f>SB18a!J154</f>
        <v>0</v>
      </c>
      <c r="K33" s="169">
        <f>SB18a!K154</f>
        <v>400000</v>
      </c>
      <c r="L33" s="130">
        <f>SB18a!L154</f>
        <v>0</v>
      </c>
      <c r="M33" s="131">
        <f>SB18a!M154</f>
        <v>1200000</v>
      </c>
      <c r="N33" s="126"/>
    </row>
    <row r="34" spans="1:14" ht="12.75" customHeight="1" x14ac:dyDescent="0.25">
      <c r="A34" s="1221" t="s">
        <v>1676</v>
      </c>
      <c r="B34" s="73"/>
      <c r="C34" s="129">
        <f>SB18a!C157</f>
        <v>0</v>
      </c>
      <c r="D34" s="130">
        <f>SB18a!D157</f>
        <v>0</v>
      </c>
      <c r="E34" s="130">
        <f>SB18a!E157</f>
        <v>0</v>
      </c>
      <c r="F34" s="130">
        <f>SB18a!F157</f>
        <v>0</v>
      </c>
      <c r="G34" s="130">
        <f>SB18a!G157</f>
        <v>0</v>
      </c>
      <c r="H34" s="130">
        <f>SB18a!H157</f>
        <v>0</v>
      </c>
      <c r="I34" s="130">
        <f>SB18a!I157</f>
        <v>0</v>
      </c>
      <c r="J34" s="169">
        <f>SB18a!J157</f>
        <v>0</v>
      </c>
      <c r="K34" s="169">
        <f>SB18a!K157</f>
        <v>0</v>
      </c>
      <c r="L34" s="130">
        <f>SB18a!L157</f>
        <v>0</v>
      </c>
      <c r="M34" s="131">
        <f>SB18a!M157</f>
        <v>0</v>
      </c>
      <c r="N34" s="126"/>
    </row>
    <row r="35" spans="1:14" ht="12.75" customHeight="1" x14ac:dyDescent="0.25">
      <c r="A35" s="1222" t="s">
        <v>1677</v>
      </c>
      <c r="B35" s="73"/>
      <c r="C35" s="129">
        <f>SB18a!C160</f>
        <v>0</v>
      </c>
      <c r="D35" s="130">
        <f>SB18a!D160</f>
        <v>0</v>
      </c>
      <c r="E35" s="130">
        <f>SB18a!E160</f>
        <v>0</v>
      </c>
      <c r="F35" s="130">
        <f>SB18a!F160</f>
        <v>0</v>
      </c>
      <c r="G35" s="130">
        <f>SB18a!G160</f>
        <v>0</v>
      </c>
      <c r="H35" s="130">
        <f>SB18a!H160</f>
        <v>0</v>
      </c>
      <c r="I35" s="130">
        <f>SB18a!I160</f>
        <v>0</v>
      </c>
      <c r="J35" s="169">
        <f>SB18a!J160</f>
        <v>0</v>
      </c>
      <c r="K35" s="169">
        <f>SB18a!K160</f>
        <v>0</v>
      </c>
      <c r="L35" s="130">
        <f>SB18a!L160</f>
        <v>0</v>
      </c>
      <c r="M35" s="131">
        <f>SB18a!M160</f>
        <v>0</v>
      </c>
      <c r="N35" s="126"/>
    </row>
    <row r="36" spans="1:14" ht="12.75" customHeight="1" x14ac:dyDescent="0.25">
      <c r="A36" s="1221" t="s">
        <v>1734</v>
      </c>
      <c r="B36" s="73"/>
      <c r="C36" s="129">
        <f>SB18a!C163</f>
        <v>0</v>
      </c>
      <c r="D36" s="130">
        <f>SB18a!D163</f>
        <v>0</v>
      </c>
      <c r="E36" s="130">
        <f>SB18a!E163</f>
        <v>0</v>
      </c>
      <c r="F36" s="130">
        <f>SB18a!F163</f>
        <v>0</v>
      </c>
      <c r="G36" s="130">
        <f>SB18a!G163</f>
        <v>0</v>
      </c>
      <c r="H36" s="130">
        <f>SB18a!H163</f>
        <v>0</v>
      </c>
      <c r="I36" s="130">
        <f>SB18a!I163</f>
        <v>0</v>
      </c>
      <c r="J36" s="169">
        <f>SB18a!J163</f>
        <v>0</v>
      </c>
      <c r="K36" s="169">
        <f>SB18a!K163</f>
        <v>0</v>
      </c>
      <c r="L36" s="130">
        <f>SB18a!L163</f>
        <v>0</v>
      </c>
      <c r="M36" s="131">
        <f>SB18a!M163</f>
        <v>0</v>
      </c>
      <c r="N36" s="126"/>
    </row>
    <row r="37" spans="1:14" ht="12.75" customHeight="1" x14ac:dyDescent="0.25">
      <c r="A37" s="1221" t="s">
        <v>1678</v>
      </c>
      <c r="B37" s="73"/>
      <c r="C37" s="129">
        <f>SB18a!C166</f>
        <v>0</v>
      </c>
      <c r="D37" s="130">
        <f>SB18a!D166</f>
        <v>0</v>
      </c>
      <c r="E37" s="130">
        <f>SB18a!E166</f>
        <v>0</v>
      </c>
      <c r="F37" s="130">
        <f>SB18a!F166</f>
        <v>0</v>
      </c>
      <c r="G37" s="130">
        <f>SB18a!G166</f>
        <v>0</v>
      </c>
      <c r="H37" s="130">
        <f>SB18a!H166</f>
        <v>0</v>
      </c>
      <c r="I37" s="130">
        <f>SB18a!I166</f>
        <v>0</v>
      </c>
      <c r="J37" s="169">
        <f>SB18a!J166</f>
        <v>0</v>
      </c>
      <c r="K37" s="169">
        <f>SB18a!K166</f>
        <v>0</v>
      </c>
      <c r="L37" s="130">
        <f>SB18a!L166</f>
        <v>0</v>
      </c>
      <c r="M37" s="131">
        <f>SB18a!M166</f>
        <v>0</v>
      </c>
      <c r="N37" s="126"/>
    </row>
    <row r="38" spans="1:14" ht="3.75" customHeight="1" x14ac:dyDescent="0.25">
      <c r="A38" s="161"/>
      <c r="B38" s="73"/>
      <c r="C38" s="170"/>
      <c r="D38" s="171"/>
      <c r="E38" s="171"/>
      <c r="F38" s="171"/>
      <c r="G38" s="171"/>
      <c r="H38" s="171"/>
      <c r="I38" s="171"/>
      <c r="J38" s="169"/>
      <c r="K38" s="169"/>
      <c r="L38" s="171"/>
      <c r="M38" s="172"/>
      <c r="N38" s="841"/>
    </row>
    <row r="39" spans="1:14" ht="12.75" customHeight="1" x14ac:dyDescent="0.25">
      <c r="A39" s="231" t="s">
        <v>1127</v>
      </c>
      <c r="B39" s="113">
        <v>2</v>
      </c>
      <c r="C39" s="138">
        <f>C49+C52+C53+C56+C59+C60+SUM(C63:C69)</f>
        <v>0</v>
      </c>
      <c r="D39" s="139">
        <f t="shared" ref="D39:M39" si="6">D49+D52+D53+D56+D59+D60+SUM(D63:D69)</f>
        <v>0</v>
      </c>
      <c r="E39" s="139">
        <f t="shared" si="6"/>
        <v>0</v>
      </c>
      <c r="F39" s="139">
        <f t="shared" si="6"/>
        <v>0</v>
      </c>
      <c r="G39" s="139">
        <f t="shared" si="6"/>
        <v>0</v>
      </c>
      <c r="H39" s="139">
        <f t="shared" si="6"/>
        <v>0</v>
      </c>
      <c r="I39" s="139">
        <f t="shared" si="6"/>
        <v>550000</v>
      </c>
      <c r="J39" s="139">
        <f t="shared" si="6"/>
        <v>550000</v>
      </c>
      <c r="K39" s="139">
        <f t="shared" si="6"/>
        <v>550000</v>
      </c>
      <c r="L39" s="139">
        <f t="shared" si="6"/>
        <v>1200000</v>
      </c>
      <c r="M39" s="140">
        <f t="shared" si="6"/>
        <v>0</v>
      </c>
      <c r="N39" s="126"/>
    </row>
    <row r="40" spans="1:14" ht="12.75" customHeight="1" x14ac:dyDescent="0.25">
      <c r="A40" s="1218" t="s">
        <v>1568</v>
      </c>
      <c r="B40" s="73"/>
      <c r="C40" s="129">
        <f>SB18b!C9</f>
        <v>0</v>
      </c>
      <c r="D40" s="130">
        <f>SB18b!D9</f>
        <v>0</v>
      </c>
      <c r="E40" s="130">
        <f>SB18b!E9</f>
        <v>0</v>
      </c>
      <c r="F40" s="130">
        <f>SB18b!F9</f>
        <v>0</v>
      </c>
      <c r="G40" s="130">
        <f>SB18b!G9</f>
        <v>0</v>
      </c>
      <c r="H40" s="130">
        <f>SB18b!H9</f>
        <v>0</v>
      </c>
      <c r="I40" s="130">
        <f>SB18b!I9</f>
        <v>0</v>
      </c>
      <c r="J40" s="169">
        <f>SB18b!J9</f>
        <v>0</v>
      </c>
      <c r="K40" s="169">
        <f>SB18b!K9</f>
        <v>0</v>
      </c>
      <c r="L40" s="130">
        <f>SB18b!L9</f>
        <v>0</v>
      </c>
      <c r="M40" s="131">
        <f>SB18b!M9</f>
        <v>0</v>
      </c>
      <c r="N40" s="126"/>
    </row>
    <row r="41" spans="1:14" ht="12.75" customHeight="1" x14ac:dyDescent="0.25">
      <c r="A41" s="1218" t="s">
        <v>1572</v>
      </c>
      <c r="B41" s="73"/>
      <c r="C41" s="129">
        <f>SB18b!C14</f>
        <v>0</v>
      </c>
      <c r="D41" s="130">
        <f>SB18b!D14</f>
        <v>0</v>
      </c>
      <c r="E41" s="130">
        <f>SB18b!E14</f>
        <v>0</v>
      </c>
      <c r="F41" s="130">
        <f>SB18b!F14</f>
        <v>0</v>
      </c>
      <c r="G41" s="130">
        <f>SB18b!G14</f>
        <v>0</v>
      </c>
      <c r="H41" s="130">
        <f>SB18b!H14</f>
        <v>0</v>
      </c>
      <c r="I41" s="130">
        <f>SB18b!I14</f>
        <v>0</v>
      </c>
      <c r="J41" s="169">
        <f>SB18b!J14</f>
        <v>0</v>
      </c>
      <c r="K41" s="169">
        <f>SB18b!K14</f>
        <v>0</v>
      </c>
      <c r="L41" s="130">
        <f>SB18b!L14</f>
        <v>0</v>
      </c>
      <c r="M41" s="131">
        <f>SB18b!M14</f>
        <v>0</v>
      </c>
      <c r="N41" s="126"/>
    </row>
    <row r="42" spans="1:14" ht="12.75" customHeight="1" x14ac:dyDescent="0.25">
      <c r="A42" s="1218" t="s">
        <v>1576</v>
      </c>
      <c r="B42" s="73"/>
      <c r="C42" s="129">
        <f>SB18b!C18</f>
        <v>0</v>
      </c>
      <c r="D42" s="130">
        <f>SB18b!D18</f>
        <v>0</v>
      </c>
      <c r="E42" s="130">
        <f>SB18b!E18</f>
        <v>0</v>
      </c>
      <c r="F42" s="130">
        <f>SB18b!F18</f>
        <v>0</v>
      </c>
      <c r="G42" s="130">
        <f>SB18b!G18</f>
        <v>0</v>
      </c>
      <c r="H42" s="130">
        <f>SB18b!H18</f>
        <v>0</v>
      </c>
      <c r="I42" s="130">
        <f>SB18b!I18</f>
        <v>0</v>
      </c>
      <c r="J42" s="169">
        <f>SB18b!J18</f>
        <v>0</v>
      </c>
      <c r="K42" s="169">
        <f>SB18b!K18</f>
        <v>0</v>
      </c>
      <c r="L42" s="130">
        <f>SB18b!L18</f>
        <v>0</v>
      </c>
      <c r="M42" s="131">
        <f>SB18b!M18</f>
        <v>0</v>
      </c>
      <c r="N42" s="126"/>
    </row>
    <row r="43" spans="1:14" ht="12.75" customHeight="1" x14ac:dyDescent="0.25">
      <c r="A43" s="1218" t="s">
        <v>1585</v>
      </c>
      <c r="B43" s="73"/>
      <c r="C43" s="129">
        <f>SB18b!C28</f>
        <v>0</v>
      </c>
      <c r="D43" s="130">
        <f>SB18b!D28</f>
        <v>0</v>
      </c>
      <c r="E43" s="130">
        <f>SB18b!E28</f>
        <v>0</v>
      </c>
      <c r="F43" s="130">
        <f>SB18b!F28</f>
        <v>0</v>
      </c>
      <c r="G43" s="130">
        <f>SB18b!G28</f>
        <v>0</v>
      </c>
      <c r="H43" s="130">
        <f>SB18b!H28</f>
        <v>0</v>
      </c>
      <c r="I43" s="130">
        <f>SB18b!I28</f>
        <v>0</v>
      </c>
      <c r="J43" s="169">
        <f>SB18b!J28</f>
        <v>0</v>
      </c>
      <c r="K43" s="169">
        <f>SB18b!K28</f>
        <v>0</v>
      </c>
      <c r="L43" s="130">
        <f>SB18b!L28</f>
        <v>0</v>
      </c>
      <c r="M43" s="131">
        <f>SB18b!M28</f>
        <v>0</v>
      </c>
      <c r="N43" s="126"/>
    </row>
    <row r="44" spans="1:14" ht="12.75" customHeight="1" x14ac:dyDescent="0.25">
      <c r="A44" s="1218" t="s">
        <v>1595</v>
      </c>
      <c r="B44" s="73"/>
      <c r="C44" s="129">
        <f>SB18b!C39</f>
        <v>0</v>
      </c>
      <c r="D44" s="130">
        <f>SB18b!D39</f>
        <v>0</v>
      </c>
      <c r="E44" s="130">
        <f>SB18b!E39</f>
        <v>0</v>
      </c>
      <c r="F44" s="130">
        <f>SB18b!F39</f>
        <v>0</v>
      </c>
      <c r="G44" s="130">
        <f>SB18b!G39</f>
        <v>0</v>
      </c>
      <c r="H44" s="130">
        <f>SB18b!H39</f>
        <v>0</v>
      </c>
      <c r="I44" s="130">
        <f>SB18b!I39</f>
        <v>0</v>
      </c>
      <c r="J44" s="169">
        <f>SB18b!J39</f>
        <v>0</v>
      </c>
      <c r="K44" s="169">
        <f>SB18b!K39</f>
        <v>0</v>
      </c>
      <c r="L44" s="130">
        <f>SB18b!L39</f>
        <v>0</v>
      </c>
      <c r="M44" s="131">
        <f>SB18b!M39</f>
        <v>0</v>
      </c>
      <c r="N44" s="126"/>
    </row>
    <row r="45" spans="1:14" ht="12.75" customHeight="1" x14ac:dyDescent="0.25">
      <c r="A45" s="1218" t="s">
        <v>1600</v>
      </c>
      <c r="B45" s="73"/>
      <c r="C45" s="129">
        <f>SB18b!C46</f>
        <v>0</v>
      </c>
      <c r="D45" s="130">
        <f>SB18b!D46</f>
        <v>0</v>
      </c>
      <c r="E45" s="130">
        <f>SB18b!E46</f>
        <v>0</v>
      </c>
      <c r="F45" s="130">
        <f>SB18b!F46</f>
        <v>0</v>
      </c>
      <c r="G45" s="130">
        <f>SB18b!G46</f>
        <v>0</v>
      </c>
      <c r="H45" s="130">
        <f>SB18b!H46</f>
        <v>0</v>
      </c>
      <c r="I45" s="130">
        <f>SB18b!I46</f>
        <v>0</v>
      </c>
      <c r="J45" s="169">
        <f>SB18b!J46</f>
        <v>0</v>
      </c>
      <c r="K45" s="169">
        <f>SB18b!K46</f>
        <v>0</v>
      </c>
      <c r="L45" s="130">
        <f>SB18b!L46</f>
        <v>0</v>
      </c>
      <c r="M45" s="131">
        <f>SB18b!M46</f>
        <v>0</v>
      </c>
      <c r="N45" s="126"/>
    </row>
    <row r="46" spans="1:14" ht="12.75" customHeight="1" x14ac:dyDescent="0.25">
      <c r="A46" s="1218" t="s">
        <v>1607</v>
      </c>
      <c r="B46" s="73"/>
      <c r="C46" s="129">
        <f>SB18b!C54</f>
        <v>0</v>
      </c>
      <c r="D46" s="130">
        <f>SB18b!D54</f>
        <v>0</v>
      </c>
      <c r="E46" s="130">
        <f>SB18b!E54</f>
        <v>0</v>
      </c>
      <c r="F46" s="130">
        <f>SB18b!F54</f>
        <v>0</v>
      </c>
      <c r="G46" s="130">
        <f>SB18b!G54</f>
        <v>0</v>
      </c>
      <c r="H46" s="130">
        <f>SB18b!H54</f>
        <v>0</v>
      </c>
      <c r="I46" s="130">
        <f>SB18b!I54</f>
        <v>0</v>
      </c>
      <c r="J46" s="169">
        <f>SB18b!J54</f>
        <v>0</v>
      </c>
      <c r="K46" s="169">
        <f>SB18b!K54</f>
        <v>0</v>
      </c>
      <c r="L46" s="130">
        <f>SB18b!L54</f>
        <v>0</v>
      </c>
      <c r="M46" s="131">
        <f>SB18b!M54</f>
        <v>0</v>
      </c>
      <c r="N46" s="126"/>
    </row>
    <row r="47" spans="1:14" ht="12.75" customHeight="1" x14ac:dyDescent="0.25">
      <c r="A47" s="1218" t="s">
        <v>1611</v>
      </c>
      <c r="B47" s="73"/>
      <c r="C47" s="129">
        <f>SB18b!C64</f>
        <v>0</v>
      </c>
      <c r="D47" s="130">
        <f>SB18b!D64</f>
        <v>0</v>
      </c>
      <c r="E47" s="130">
        <f>SB18b!E64</f>
        <v>0</v>
      </c>
      <c r="F47" s="130">
        <f>SB18b!F64</f>
        <v>0</v>
      </c>
      <c r="G47" s="130">
        <f>SB18b!G64</f>
        <v>0</v>
      </c>
      <c r="H47" s="130">
        <f>SB18b!H64</f>
        <v>0</v>
      </c>
      <c r="I47" s="130">
        <f>SB18b!I64</f>
        <v>0</v>
      </c>
      <c r="J47" s="169">
        <f>SB18b!J64</f>
        <v>0</v>
      </c>
      <c r="K47" s="169">
        <f>SB18b!K64</f>
        <v>0</v>
      </c>
      <c r="L47" s="130">
        <f>SB18b!L64</f>
        <v>0</v>
      </c>
      <c r="M47" s="131">
        <f>SB18b!M64</f>
        <v>0</v>
      </c>
      <c r="N47" s="126"/>
    </row>
    <row r="48" spans="1:14" ht="12.75" customHeight="1" x14ac:dyDescent="0.25">
      <c r="A48" s="1218" t="s">
        <v>1616</v>
      </c>
      <c r="B48" s="73"/>
      <c r="C48" s="129">
        <f>SB18b!C70</f>
        <v>0</v>
      </c>
      <c r="D48" s="130">
        <f>SB18b!D70</f>
        <v>0</v>
      </c>
      <c r="E48" s="130">
        <f>SB18b!E70</f>
        <v>0</v>
      </c>
      <c r="F48" s="130">
        <f>SB18b!F70</f>
        <v>0</v>
      </c>
      <c r="G48" s="130">
        <f>SB18b!G70</f>
        <v>0</v>
      </c>
      <c r="H48" s="130">
        <f>SB18b!H70</f>
        <v>0</v>
      </c>
      <c r="I48" s="130">
        <f>SB18b!I70</f>
        <v>0</v>
      </c>
      <c r="J48" s="169">
        <f>SB18b!J70</f>
        <v>0</v>
      </c>
      <c r="K48" s="169">
        <f>SB18b!K70</f>
        <v>0</v>
      </c>
      <c r="L48" s="130">
        <f>SB18b!L70</f>
        <v>0</v>
      </c>
      <c r="M48" s="131">
        <f>SB18b!M70</f>
        <v>0</v>
      </c>
      <c r="N48" s="126"/>
    </row>
    <row r="49" spans="1:14" ht="12.75" customHeight="1" x14ac:dyDescent="0.25">
      <c r="A49" s="1219" t="s">
        <v>766</v>
      </c>
      <c r="B49" s="73"/>
      <c r="C49" s="700">
        <f>SUM(C40:C48)</f>
        <v>0</v>
      </c>
      <c r="D49" s="263">
        <f t="shared" ref="D49:M49" si="7">SUM(D40:D48)</f>
        <v>0</v>
      </c>
      <c r="E49" s="263">
        <f t="shared" si="7"/>
        <v>0</v>
      </c>
      <c r="F49" s="263">
        <f t="shared" si="7"/>
        <v>0</v>
      </c>
      <c r="G49" s="263">
        <f t="shared" si="7"/>
        <v>0</v>
      </c>
      <c r="H49" s="263">
        <f t="shared" si="7"/>
        <v>0</v>
      </c>
      <c r="I49" s="263">
        <f t="shared" si="7"/>
        <v>0</v>
      </c>
      <c r="J49" s="576">
        <f t="shared" si="7"/>
        <v>0</v>
      </c>
      <c r="K49" s="576">
        <f t="shared" si="7"/>
        <v>0</v>
      </c>
      <c r="L49" s="263">
        <f t="shared" si="7"/>
        <v>0</v>
      </c>
      <c r="M49" s="264">
        <f t="shared" si="7"/>
        <v>0</v>
      </c>
      <c r="N49" s="126"/>
    </row>
    <row r="50" spans="1:14" ht="12.75" customHeight="1" x14ac:dyDescent="0.25">
      <c r="A50" s="1220" t="s">
        <v>1621</v>
      </c>
      <c r="B50" s="73"/>
      <c r="C50" s="129">
        <f>SB18b!C77</f>
        <v>0</v>
      </c>
      <c r="D50" s="130">
        <f>SB18b!D77</f>
        <v>0</v>
      </c>
      <c r="E50" s="130">
        <f>SB18b!E77</f>
        <v>0</v>
      </c>
      <c r="F50" s="130">
        <f>SB18b!F77</f>
        <v>0</v>
      </c>
      <c r="G50" s="130">
        <f>SB18b!G77</f>
        <v>0</v>
      </c>
      <c r="H50" s="130">
        <f>SB18b!H77</f>
        <v>0</v>
      </c>
      <c r="I50" s="130">
        <f>SB18b!I77</f>
        <v>0</v>
      </c>
      <c r="J50" s="169">
        <f>SB18b!J77</f>
        <v>0</v>
      </c>
      <c r="K50" s="169">
        <f>SB18b!K77</f>
        <v>0</v>
      </c>
      <c r="L50" s="130">
        <f>SB18b!L77</f>
        <v>0</v>
      </c>
      <c r="M50" s="131">
        <f>SB18b!M77</f>
        <v>0</v>
      </c>
      <c r="N50" s="126"/>
    </row>
    <row r="51" spans="1:14" ht="12.75" customHeight="1" x14ac:dyDescent="0.25">
      <c r="A51" s="1220" t="s">
        <v>1639</v>
      </c>
      <c r="B51" s="73"/>
      <c r="C51" s="129">
        <f>SB18b!C100</f>
        <v>0</v>
      </c>
      <c r="D51" s="130">
        <f>SB18b!D100</f>
        <v>0</v>
      </c>
      <c r="E51" s="130">
        <f>SB18b!E100</f>
        <v>0</v>
      </c>
      <c r="F51" s="130">
        <f>SB18b!F100</f>
        <v>0</v>
      </c>
      <c r="G51" s="130">
        <f>SB18b!G100</f>
        <v>0</v>
      </c>
      <c r="H51" s="130">
        <f>SB18b!H100</f>
        <v>0</v>
      </c>
      <c r="I51" s="130">
        <f>SB18b!I100</f>
        <v>0</v>
      </c>
      <c r="J51" s="169">
        <f>SB18b!J100</f>
        <v>0</v>
      </c>
      <c r="K51" s="169">
        <f>SB18b!K100</f>
        <v>0</v>
      </c>
      <c r="L51" s="130">
        <f>SB18b!L100</f>
        <v>0</v>
      </c>
      <c r="M51" s="131">
        <f>SB18b!M100</f>
        <v>0</v>
      </c>
      <c r="N51" s="126"/>
    </row>
    <row r="52" spans="1:14" ht="12.75" customHeight="1" x14ac:dyDescent="0.25">
      <c r="A52" s="1219" t="s">
        <v>1620</v>
      </c>
      <c r="B52" s="73"/>
      <c r="C52" s="700">
        <f>SUM(C50:C51)</f>
        <v>0</v>
      </c>
      <c r="D52" s="263">
        <f t="shared" ref="D52:M52" si="8">SUM(D50:D51)</f>
        <v>0</v>
      </c>
      <c r="E52" s="263">
        <f t="shared" si="8"/>
        <v>0</v>
      </c>
      <c r="F52" s="263">
        <f t="shared" si="8"/>
        <v>0</v>
      </c>
      <c r="G52" s="263">
        <f t="shared" si="8"/>
        <v>0</v>
      </c>
      <c r="H52" s="263">
        <f t="shared" si="8"/>
        <v>0</v>
      </c>
      <c r="I52" s="263">
        <f t="shared" si="8"/>
        <v>0</v>
      </c>
      <c r="J52" s="576">
        <f t="shared" si="8"/>
        <v>0</v>
      </c>
      <c r="K52" s="576">
        <f t="shared" si="8"/>
        <v>0</v>
      </c>
      <c r="L52" s="263">
        <f t="shared" si="8"/>
        <v>0</v>
      </c>
      <c r="M52" s="264">
        <f t="shared" si="8"/>
        <v>0</v>
      </c>
      <c r="N52" s="126"/>
    </row>
    <row r="53" spans="1:14" ht="12.75" customHeight="1" x14ac:dyDescent="0.25">
      <c r="A53" s="1221" t="s">
        <v>1367</v>
      </c>
      <c r="B53" s="73"/>
      <c r="C53" s="129">
        <f>SB18b!C105</f>
        <v>0</v>
      </c>
      <c r="D53" s="130">
        <f>SB18b!D105</f>
        <v>0</v>
      </c>
      <c r="E53" s="130">
        <f>SB18b!E105</f>
        <v>0</v>
      </c>
      <c r="F53" s="130">
        <f>SB18b!F105</f>
        <v>0</v>
      </c>
      <c r="G53" s="130">
        <f>SB18b!G105</f>
        <v>0</v>
      </c>
      <c r="H53" s="130">
        <f>SB18b!H105</f>
        <v>0</v>
      </c>
      <c r="I53" s="130">
        <f>SB18b!I105</f>
        <v>0</v>
      </c>
      <c r="J53" s="169">
        <f>SB18b!J105</f>
        <v>0</v>
      </c>
      <c r="K53" s="169">
        <f>SB18b!K105</f>
        <v>0</v>
      </c>
      <c r="L53" s="130">
        <f>SB18b!L105</f>
        <v>0</v>
      </c>
      <c r="M53" s="131">
        <f>SB18b!M105</f>
        <v>0</v>
      </c>
      <c r="N53" s="126"/>
    </row>
    <row r="54" spans="1:14" ht="12.75" customHeight="1" x14ac:dyDescent="0.25">
      <c r="A54" s="1220" t="s">
        <v>1647</v>
      </c>
      <c r="B54" s="73"/>
      <c r="C54" s="129">
        <f>SB18b!C113</f>
        <v>0</v>
      </c>
      <c r="D54" s="130">
        <f>SB18b!D113</f>
        <v>0</v>
      </c>
      <c r="E54" s="130">
        <f>SB18b!E113</f>
        <v>0</v>
      </c>
      <c r="F54" s="130">
        <f>SB18b!F113</f>
        <v>0</v>
      </c>
      <c r="G54" s="130">
        <f>SB18b!G113</f>
        <v>0</v>
      </c>
      <c r="H54" s="130">
        <f>SB18b!H113</f>
        <v>0</v>
      </c>
      <c r="I54" s="130">
        <f>SB18b!I113</f>
        <v>0</v>
      </c>
      <c r="J54" s="169">
        <f>SB18b!J113</f>
        <v>0</v>
      </c>
      <c r="K54" s="169">
        <f>SB18b!K113</f>
        <v>0</v>
      </c>
      <c r="L54" s="130">
        <f>SB18b!L113</f>
        <v>0</v>
      </c>
      <c r="M54" s="131">
        <f>SB18b!M113</f>
        <v>0</v>
      </c>
      <c r="N54" s="126"/>
    </row>
    <row r="55" spans="1:14" ht="12.75" customHeight="1" x14ac:dyDescent="0.25">
      <c r="A55" s="1220" t="s">
        <v>1650</v>
      </c>
      <c r="B55" s="73"/>
      <c r="C55" s="129">
        <f>SB18b!C116</f>
        <v>0</v>
      </c>
      <c r="D55" s="130">
        <f>SB18b!D116</f>
        <v>0</v>
      </c>
      <c r="E55" s="130">
        <f>SB18b!E116</f>
        <v>0</v>
      </c>
      <c r="F55" s="130">
        <f>SB18b!F116</f>
        <v>0</v>
      </c>
      <c r="G55" s="130">
        <f>SB18b!G116</f>
        <v>0</v>
      </c>
      <c r="H55" s="130">
        <f>SB18b!H116</f>
        <v>0</v>
      </c>
      <c r="I55" s="130">
        <f>SB18b!I116</f>
        <v>0</v>
      </c>
      <c r="J55" s="169">
        <f>SB18b!J116</f>
        <v>0</v>
      </c>
      <c r="K55" s="169">
        <f>SB18b!K116</f>
        <v>0</v>
      </c>
      <c r="L55" s="130">
        <f>SB18b!L116</f>
        <v>0</v>
      </c>
      <c r="M55" s="131">
        <f>SB18b!M116</f>
        <v>0</v>
      </c>
      <c r="N55" s="126"/>
    </row>
    <row r="56" spans="1:14" ht="12.75" customHeight="1" x14ac:dyDescent="0.25">
      <c r="A56" s="1219" t="s">
        <v>768</v>
      </c>
      <c r="B56" s="73"/>
      <c r="C56" s="700">
        <f>SUM(C54:C55)</f>
        <v>0</v>
      </c>
      <c r="D56" s="263">
        <f t="shared" ref="D56:M56" si="9">SUM(D54:D55)</f>
        <v>0</v>
      </c>
      <c r="E56" s="263">
        <f t="shared" si="9"/>
        <v>0</v>
      </c>
      <c r="F56" s="263">
        <f t="shared" si="9"/>
        <v>0</v>
      </c>
      <c r="G56" s="263">
        <f t="shared" si="9"/>
        <v>0</v>
      </c>
      <c r="H56" s="263">
        <f t="shared" si="9"/>
        <v>0</v>
      </c>
      <c r="I56" s="263">
        <f t="shared" si="9"/>
        <v>0</v>
      </c>
      <c r="J56" s="576">
        <f t="shared" si="9"/>
        <v>0</v>
      </c>
      <c r="K56" s="576">
        <f t="shared" si="9"/>
        <v>0</v>
      </c>
      <c r="L56" s="263">
        <f t="shared" si="9"/>
        <v>0</v>
      </c>
      <c r="M56" s="264">
        <f t="shared" si="9"/>
        <v>0</v>
      </c>
      <c r="N56" s="126"/>
    </row>
    <row r="57" spans="1:14" ht="12.75" customHeight="1" x14ac:dyDescent="0.25">
      <c r="A57" s="1220" t="s">
        <v>1651</v>
      </c>
      <c r="B57" s="73"/>
      <c r="C57" s="129">
        <f>SB18b!C121</f>
        <v>0</v>
      </c>
      <c r="D57" s="130">
        <f>SB18b!D121</f>
        <v>0</v>
      </c>
      <c r="E57" s="130">
        <f>SB18b!E121</f>
        <v>0</v>
      </c>
      <c r="F57" s="130">
        <f>SB18b!F121</f>
        <v>0</v>
      </c>
      <c r="G57" s="130">
        <f>SB18b!G121</f>
        <v>0</v>
      </c>
      <c r="H57" s="130">
        <f>SB18b!H121</f>
        <v>0</v>
      </c>
      <c r="I57" s="130">
        <f>SB18b!I121</f>
        <v>550000</v>
      </c>
      <c r="J57" s="169">
        <f>SB18b!J121</f>
        <v>550000</v>
      </c>
      <c r="K57" s="169">
        <f>SB18b!K121</f>
        <v>550000</v>
      </c>
      <c r="L57" s="130">
        <f>SB18b!L121</f>
        <v>1200000</v>
      </c>
      <c r="M57" s="131">
        <f>SB18b!M121</f>
        <v>0</v>
      </c>
      <c r="N57" s="126"/>
    </row>
    <row r="58" spans="1:14" ht="12.75" customHeight="1" x14ac:dyDescent="0.25">
      <c r="A58" s="1220" t="s">
        <v>621</v>
      </c>
      <c r="B58" s="73"/>
      <c r="C58" s="129">
        <f>SB18b!C133</f>
        <v>0</v>
      </c>
      <c r="D58" s="130">
        <f>SB18b!D133</f>
        <v>0</v>
      </c>
      <c r="E58" s="130">
        <f>SB18b!E133</f>
        <v>0</v>
      </c>
      <c r="F58" s="130">
        <f>SB18b!F133</f>
        <v>0</v>
      </c>
      <c r="G58" s="130">
        <f>SB18b!G133</f>
        <v>0</v>
      </c>
      <c r="H58" s="130">
        <f>SB18b!H133</f>
        <v>0</v>
      </c>
      <c r="I58" s="130">
        <f>SB18b!I133</f>
        <v>0</v>
      </c>
      <c r="J58" s="169">
        <f>SB18b!J133</f>
        <v>0</v>
      </c>
      <c r="K58" s="169">
        <f>SB18b!K133</f>
        <v>0</v>
      </c>
      <c r="L58" s="130">
        <f>SB18b!L133</f>
        <v>0</v>
      </c>
      <c r="M58" s="131">
        <f>SB18b!M133</f>
        <v>0</v>
      </c>
      <c r="N58" s="126"/>
    </row>
    <row r="59" spans="1:14" ht="12.75" customHeight="1" x14ac:dyDescent="0.25">
      <c r="A59" s="1219" t="s">
        <v>1368</v>
      </c>
      <c r="B59" s="73">
        <v>6</v>
      </c>
      <c r="C59" s="700">
        <f>SUM(C57:C58)</f>
        <v>0</v>
      </c>
      <c r="D59" s="263">
        <f t="shared" ref="D59:M59" si="10">SUM(D57:D58)</f>
        <v>0</v>
      </c>
      <c r="E59" s="263">
        <f t="shared" si="10"/>
        <v>0</v>
      </c>
      <c r="F59" s="263">
        <f t="shared" si="10"/>
        <v>0</v>
      </c>
      <c r="G59" s="263">
        <f t="shared" si="10"/>
        <v>0</v>
      </c>
      <c r="H59" s="263">
        <f t="shared" si="10"/>
        <v>0</v>
      </c>
      <c r="I59" s="263">
        <f t="shared" si="10"/>
        <v>550000</v>
      </c>
      <c r="J59" s="576">
        <f t="shared" si="10"/>
        <v>550000</v>
      </c>
      <c r="K59" s="576">
        <f t="shared" si="10"/>
        <v>550000</v>
      </c>
      <c r="L59" s="263">
        <f t="shared" si="10"/>
        <v>1200000</v>
      </c>
      <c r="M59" s="264">
        <f t="shared" si="10"/>
        <v>0</v>
      </c>
      <c r="N59" s="126"/>
    </row>
    <row r="60" spans="1:14" ht="12.75" customHeight="1" x14ac:dyDescent="0.25">
      <c r="A60" s="1221" t="s">
        <v>1664</v>
      </c>
      <c r="B60" s="73"/>
      <c r="C60" s="129">
        <f>SB18b!C138</f>
        <v>0</v>
      </c>
      <c r="D60" s="130">
        <f>SB18b!D138</f>
        <v>0</v>
      </c>
      <c r="E60" s="130">
        <f>SB18b!E138</f>
        <v>0</v>
      </c>
      <c r="F60" s="130">
        <f>SB18b!F138</f>
        <v>0</v>
      </c>
      <c r="G60" s="130">
        <f>SB18b!G138</f>
        <v>0</v>
      </c>
      <c r="H60" s="130">
        <f>SB18b!H138</f>
        <v>0</v>
      </c>
      <c r="I60" s="130">
        <f>SB18b!I138</f>
        <v>0</v>
      </c>
      <c r="J60" s="169">
        <f>SB18b!J138</f>
        <v>0</v>
      </c>
      <c r="K60" s="169">
        <f>SB18b!K138</f>
        <v>0</v>
      </c>
      <c r="L60" s="130">
        <f>SB18b!L138</f>
        <v>0</v>
      </c>
      <c r="M60" s="131">
        <f>SB18b!M138</f>
        <v>0</v>
      </c>
      <c r="N60" s="126"/>
    </row>
    <row r="61" spans="1:14" ht="12.75" customHeight="1" x14ac:dyDescent="0.25">
      <c r="A61" s="1220" t="s">
        <v>1666</v>
      </c>
      <c r="B61" s="73"/>
      <c r="C61" s="129">
        <f>SB18b!C142</f>
        <v>0</v>
      </c>
      <c r="D61" s="130">
        <f>SB18b!D142</f>
        <v>0</v>
      </c>
      <c r="E61" s="130">
        <f>SB18b!E142</f>
        <v>0</v>
      </c>
      <c r="F61" s="130">
        <f>SB18b!F142</f>
        <v>0</v>
      </c>
      <c r="G61" s="130">
        <f>SB18b!G142</f>
        <v>0</v>
      </c>
      <c r="H61" s="130">
        <f>SB18b!H142</f>
        <v>0</v>
      </c>
      <c r="I61" s="130">
        <f>SB18b!I142</f>
        <v>0</v>
      </c>
      <c r="J61" s="169">
        <f>SB18b!J142</f>
        <v>0</v>
      </c>
      <c r="K61" s="169">
        <f>SB18b!K142</f>
        <v>0</v>
      </c>
      <c r="L61" s="130">
        <f>SB18b!L142</f>
        <v>0</v>
      </c>
      <c r="M61" s="131">
        <f>SB18b!M142</f>
        <v>0</v>
      </c>
      <c r="N61" s="126"/>
    </row>
    <row r="62" spans="1:14" ht="12.75" customHeight="1" x14ac:dyDescent="0.25">
      <c r="A62" s="1220" t="s">
        <v>1667</v>
      </c>
      <c r="B62" s="73"/>
      <c r="C62" s="129">
        <f>SB18b!C143</f>
        <v>0</v>
      </c>
      <c r="D62" s="130">
        <f>SB18b!D143</f>
        <v>0</v>
      </c>
      <c r="E62" s="130">
        <f>SB18b!E143</f>
        <v>0</v>
      </c>
      <c r="F62" s="130">
        <f>SB18b!F143</f>
        <v>0</v>
      </c>
      <c r="G62" s="130">
        <f>SB18b!G143</f>
        <v>0</v>
      </c>
      <c r="H62" s="130">
        <f>SB18b!H143</f>
        <v>0</v>
      </c>
      <c r="I62" s="130">
        <f>SB18b!I143</f>
        <v>0</v>
      </c>
      <c r="J62" s="169">
        <f>SB18b!J143</f>
        <v>0</v>
      </c>
      <c r="K62" s="169">
        <f>SB18b!K143</f>
        <v>0</v>
      </c>
      <c r="L62" s="130">
        <f>SB18b!L143</f>
        <v>0</v>
      </c>
      <c r="M62" s="131">
        <f>SB18b!M143</f>
        <v>0</v>
      </c>
      <c r="N62" s="126"/>
    </row>
    <row r="63" spans="1:14" ht="12.75" customHeight="1" x14ac:dyDescent="0.25">
      <c r="A63" s="1219" t="s">
        <v>1665</v>
      </c>
      <c r="B63" s="73"/>
      <c r="C63" s="700">
        <f>SUM(C61:C62)</f>
        <v>0</v>
      </c>
      <c r="D63" s="263">
        <f t="shared" ref="D63:M63" si="11">SUM(D61:D62)</f>
        <v>0</v>
      </c>
      <c r="E63" s="263">
        <f t="shared" si="11"/>
        <v>0</v>
      </c>
      <c r="F63" s="263">
        <f t="shared" si="11"/>
        <v>0</v>
      </c>
      <c r="G63" s="263">
        <f t="shared" si="11"/>
        <v>0</v>
      </c>
      <c r="H63" s="263">
        <f t="shared" si="11"/>
        <v>0</v>
      </c>
      <c r="I63" s="263">
        <f t="shared" si="11"/>
        <v>0</v>
      </c>
      <c r="J63" s="576">
        <f t="shared" si="11"/>
        <v>0</v>
      </c>
      <c r="K63" s="576">
        <f t="shared" si="11"/>
        <v>0</v>
      </c>
      <c r="L63" s="263">
        <f t="shared" si="11"/>
        <v>0</v>
      </c>
      <c r="M63" s="264">
        <f t="shared" si="11"/>
        <v>0</v>
      </c>
      <c r="N63" s="126"/>
    </row>
    <row r="64" spans="1:14" ht="12.75" customHeight="1" x14ac:dyDescent="0.25">
      <c r="A64" s="1222" t="s">
        <v>1674</v>
      </c>
      <c r="B64" s="73"/>
      <c r="C64" s="129">
        <f>SB18b!C151</f>
        <v>0</v>
      </c>
      <c r="D64" s="130">
        <f>SB18b!D151</f>
        <v>0</v>
      </c>
      <c r="E64" s="130">
        <f>SB18b!E151</f>
        <v>0</v>
      </c>
      <c r="F64" s="130">
        <f>SB18b!F151</f>
        <v>0</v>
      </c>
      <c r="G64" s="130">
        <f>SB18b!G151</f>
        <v>0</v>
      </c>
      <c r="H64" s="130">
        <f>SB18b!H151</f>
        <v>0</v>
      </c>
      <c r="I64" s="130">
        <f>SB18b!I151</f>
        <v>0</v>
      </c>
      <c r="J64" s="169">
        <f>SB18b!J151</f>
        <v>0</v>
      </c>
      <c r="K64" s="169">
        <f>SB18b!K151</f>
        <v>0</v>
      </c>
      <c r="L64" s="130">
        <f>SB18b!L151</f>
        <v>0</v>
      </c>
      <c r="M64" s="131">
        <f>SB18b!M151</f>
        <v>0</v>
      </c>
      <c r="N64" s="126"/>
    </row>
    <row r="65" spans="1:14" ht="12.75" customHeight="1" x14ac:dyDescent="0.25">
      <c r="A65" s="1221" t="s">
        <v>1675</v>
      </c>
      <c r="B65" s="73"/>
      <c r="C65" s="129">
        <f>SB18b!C154</f>
        <v>0</v>
      </c>
      <c r="D65" s="130">
        <f>SB18b!D154</f>
        <v>0</v>
      </c>
      <c r="E65" s="130">
        <f>SB18b!E154</f>
        <v>0</v>
      </c>
      <c r="F65" s="130">
        <f>SB18b!F154</f>
        <v>0</v>
      </c>
      <c r="G65" s="130">
        <f>SB18b!G154</f>
        <v>0</v>
      </c>
      <c r="H65" s="130">
        <f>SB18b!H154</f>
        <v>0</v>
      </c>
      <c r="I65" s="130">
        <f>SB18b!I154</f>
        <v>0</v>
      </c>
      <c r="J65" s="169">
        <f>SB18b!J154</f>
        <v>0</v>
      </c>
      <c r="K65" s="169">
        <f>SB18b!K154</f>
        <v>0</v>
      </c>
      <c r="L65" s="130">
        <f>SB18b!L154</f>
        <v>0</v>
      </c>
      <c r="M65" s="131">
        <f>SB18b!M154</f>
        <v>0</v>
      </c>
      <c r="N65" s="126"/>
    </row>
    <row r="66" spans="1:14" ht="12.75" customHeight="1" x14ac:dyDescent="0.25">
      <c r="A66" s="1221" t="s">
        <v>1676</v>
      </c>
      <c r="B66" s="73"/>
      <c r="C66" s="129">
        <f>SB18b!C157</f>
        <v>0</v>
      </c>
      <c r="D66" s="130">
        <f>SB18b!D157</f>
        <v>0</v>
      </c>
      <c r="E66" s="130">
        <f>SB18b!E157</f>
        <v>0</v>
      </c>
      <c r="F66" s="130">
        <f>SB18b!F157</f>
        <v>0</v>
      </c>
      <c r="G66" s="130">
        <f>SB18b!G157</f>
        <v>0</v>
      </c>
      <c r="H66" s="130">
        <f>SB18b!H157</f>
        <v>0</v>
      </c>
      <c r="I66" s="130">
        <f>SB18b!I157</f>
        <v>0</v>
      </c>
      <c r="J66" s="169">
        <f>SB18b!J157</f>
        <v>0</v>
      </c>
      <c r="K66" s="169">
        <f>SB18b!K157</f>
        <v>0</v>
      </c>
      <c r="L66" s="130">
        <f>SB18b!L157</f>
        <v>0</v>
      </c>
      <c r="M66" s="131">
        <f>SB18b!M157</f>
        <v>0</v>
      </c>
      <c r="N66" s="126"/>
    </row>
    <row r="67" spans="1:14" ht="12.75" customHeight="1" x14ac:dyDescent="0.25">
      <c r="A67" s="1222" t="s">
        <v>1677</v>
      </c>
      <c r="B67" s="73"/>
      <c r="C67" s="129">
        <f>SB18b!C160</f>
        <v>0</v>
      </c>
      <c r="D67" s="130">
        <f>SB18b!D160</f>
        <v>0</v>
      </c>
      <c r="E67" s="130">
        <f>SB18b!E160</f>
        <v>0</v>
      </c>
      <c r="F67" s="130">
        <f>SB18b!F160</f>
        <v>0</v>
      </c>
      <c r="G67" s="130">
        <f>SB18b!G160</f>
        <v>0</v>
      </c>
      <c r="H67" s="130">
        <f>SB18b!H160</f>
        <v>0</v>
      </c>
      <c r="I67" s="130">
        <f>SB18b!I160</f>
        <v>0</v>
      </c>
      <c r="J67" s="169">
        <f>SB18b!J160</f>
        <v>0</v>
      </c>
      <c r="K67" s="169">
        <f>SB18b!K160</f>
        <v>0</v>
      </c>
      <c r="L67" s="130">
        <f>SB18b!L160</f>
        <v>0</v>
      </c>
      <c r="M67" s="131">
        <f>SB18b!M160</f>
        <v>0</v>
      </c>
      <c r="N67" s="126"/>
    </row>
    <row r="68" spans="1:14" ht="12.75" customHeight="1" x14ac:dyDescent="0.25">
      <c r="A68" s="1221" t="s">
        <v>1734</v>
      </c>
      <c r="B68" s="73"/>
      <c r="C68" s="129">
        <f>SB18b!C163</f>
        <v>0</v>
      </c>
      <c r="D68" s="130">
        <f>SB18b!D163</f>
        <v>0</v>
      </c>
      <c r="E68" s="130">
        <f>SB18b!E163</f>
        <v>0</v>
      </c>
      <c r="F68" s="130">
        <f>SB18b!F163</f>
        <v>0</v>
      </c>
      <c r="G68" s="130">
        <f>SB18b!G163</f>
        <v>0</v>
      </c>
      <c r="H68" s="130">
        <f>SB18b!H163</f>
        <v>0</v>
      </c>
      <c r="I68" s="130">
        <f>SB18b!I163</f>
        <v>0</v>
      </c>
      <c r="J68" s="169">
        <f>SB18b!J163</f>
        <v>0</v>
      </c>
      <c r="K68" s="169">
        <f>SB18b!K163</f>
        <v>0</v>
      </c>
      <c r="L68" s="130">
        <f>SB18b!L163</f>
        <v>0</v>
      </c>
      <c r="M68" s="131">
        <f>SB18b!M163</f>
        <v>0</v>
      </c>
      <c r="N68" s="126"/>
    </row>
    <row r="69" spans="1:14" ht="12.75" customHeight="1" x14ac:dyDescent="0.25">
      <c r="A69" s="1221" t="s">
        <v>1678</v>
      </c>
      <c r="B69" s="73"/>
      <c r="C69" s="129">
        <f>SB18b!C166</f>
        <v>0</v>
      </c>
      <c r="D69" s="130">
        <f>SB18b!D166</f>
        <v>0</v>
      </c>
      <c r="E69" s="130">
        <f>SB18b!E166</f>
        <v>0</v>
      </c>
      <c r="F69" s="130">
        <f>SB18b!F166</f>
        <v>0</v>
      </c>
      <c r="G69" s="130">
        <f>SB18b!G166</f>
        <v>0</v>
      </c>
      <c r="H69" s="130">
        <f>SB18b!H166</f>
        <v>0</v>
      </c>
      <c r="I69" s="130">
        <f>SB18b!I166</f>
        <v>0</v>
      </c>
      <c r="J69" s="169">
        <f>SB18b!J166</f>
        <v>0</v>
      </c>
      <c r="K69" s="169">
        <f>SB18b!K166</f>
        <v>0</v>
      </c>
      <c r="L69" s="130">
        <f>SB18b!L166</f>
        <v>0</v>
      </c>
      <c r="M69" s="131">
        <f>SB18b!M166</f>
        <v>0</v>
      </c>
      <c r="N69" s="126"/>
    </row>
    <row r="70" spans="1:14" ht="4.5" customHeight="1" x14ac:dyDescent="0.25">
      <c r="B70" s="113"/>
      <c r="C70" s="170"/>
      <c r="D70" s="171"/>
      <c r="E70" s="171"/>
      <c r="F70" s="171"/>
      <c r="G70" s="171"/>
      <c r="H70" s="171"/>
      <c r="I70" s="171"/>
      <c r="J70" s="169"/>
      <c r="K70" s="169"/>
      <c r="L70" s="171"/>
      <c r="M70" s="172"/>
      <c r="N70" s="126"/>
    </row>
    <row r="71" spans="1:14" ht="12.75" customHeight="1" x14ac:dyDescent="0.25">
      <c r="A71" s="231" t="s">
        <v>1685</v>
      </c>
      <c r="B71" s="113" t="s">
        <v>1686</v>
      </c>
      <c r="C71" s="138">
        <f>C81+C84+C85+C88+C91+C92+SUM(C95:C101)</f>
        <v>1000000</v>
      </c>
      <c r="D71" s="139">
        <f t="shared" ref="D71:M71" si="12">D81+D84+D85+D88+D91+D92+SUM(D95:D101)</f>
        <v>1000000</v>
      </c>
      <c r="E71" s="139">
        <f t="shared" si="12"/>
        <v>0</v>
      </c>
      <c r="F71" s="139">
        <f t="shared" si="12"/>
        <v>0</v>
      </c>
      <c r="G71" s="139">
        <f t="shared" si="12"/>
        <v>0</v>
      </c>
      <c r="H71" s="139">
        <f t="shared" si="12"/>
        <v>0</v>
      </c>
      <c r="I71" s="139">
        <f t="shared" si="12"/>
        <v>0</v>
      </c>
      <c r="J71" s="139">
        <f t="shared" si="12"/>
        <v>0</v>
      </c>
      <c r="K71" s="139">
        <f t="shared" si="12"/>
        <v>1000000</v>
      </c>
      <c r="L71" s="139">
        <f t="shared" si="12"/>
        <v>0</v>
      </c>
      <c r="M71" s="140">
        <f t="shared" si="12"/>
        <v>0</v>
      </c>
      <c r="N71" s="126"/>
    </row>
    <row r="72" spans="1:14" ht="12.75" customHeight="1" x14ac:dyDescent="0.25">
      <c r="A72" s="1218" t="s">
        <v>1568</v>
      </c>
      <c r="B72" s="73"/>
      <c r="C72" s="129">
        <f>SB18e!C9</f>
        <v>0</v>
      </c>
      <c r="D72" s="130">
        <f>SB18e!D9</f>
        <v>0</v>
      </c>
      <c r="E72" s="130">
        <f>SB18e!E9</f>
        <v>0</v>
      </c>
      <c r="F72" s="130">
        <f>SB18e!F9</f>
        <v>0</v>
      </c>
      <c r="G72" s="130">
        <f>SB18e!G9</f>
        <v>0</v>
      </c>
      <c r="H72" s="130">
        <f>SB18e!H9</f>
        <v>0</v>
      </c>
      <c r="I72" s="130">
        <f>SB18e!I9</f>
        <v>0</v>
      </c>
      <c r="J72" s="169">
        <f>SB18e!J9</f>
        <v>0</v>
      </c>
      <c r="K72" s="169">
        <f>SB18e!K9</f>
        <v>0</v>
      </c>
      <c r="L72" s="130">
        <f>SB18e!L9</f>
        <v>0</v>
      </c>
      <c r="M72" s="131">
        <f>SB18e!M9</f>
        <v>0</v>
      </c>
      <c r="N72" s="126"/>
    </row>
    <row r="73" spans="1:14" ht="12.75" customHeight="1" x14ac:dyDescent="0.25">
      <c r="A73" s="1218" t="s">
        <v>1572</v>
      </c>
      <c r="B73" s="73"/>
      <c r="C73" s="129">
        <f>SB18e!C14</f>
        <v>0</v>
      </c>
      <c r="D73" s="130">
        <f>SB18e!D14</f>
        <v>0</v>
      </c>
      <c r="E73" s="130">
        <f>SB18e!E14</f>
        <v>0</v>
      </c>
      <c r="F73" s="130">
        <f>SB18e!F14</f>
        <v>0</v>
      </c>
      <c r="G73" s="130">
        <f>SB18e!G14</f>
        <v>0</v>
      </c>
      <c r="H73" s="130">
        <f>SB18e!H14</f>
        <v>0</v>
      </c>
      <c r="I73" s="130">
        <f>SB18e!I14</f>
        <v>0</v>
      </c>
      <c r="J73" s="169">
        <f>SB18e!J14</f>
        <v>0</v>
      </c>
      <c r="K73" s="169">
        <f>SB18e!K14</f>
        <v>0</v>
      </c>
      <c r="L73" s="130">
        <f>SB18e!L14</f>
        <v>0</v>
      </c>
      <c r="M73" s="131">
        <f>SB18e!M14</f>
        <v>0</v>
      </c>
      <c r="N73" s="126"/>
    </row>
    <row r="74" spans="1:14" ht="12.75" customHeight="1" x14ac:dyDescent="0.25">
      <c r="A74" s="1218" t="s">
        <v>1576</v>
      </c>
      <c r="B74" s="73"/>
      <c r="C74" s="129">
        <f>SB18e!C18</f>
        <v>0</v>
      </c>
      <c r="D74" s="130">
        <f>SB18e!D18</f>
        <v>0</v>
      </c>
      <c r="E74" s="130">
        <f>SB18e!E18</f>
        <v>0</v>
      </c>
      <c r="F74" s="130">
        <f>SB18e!F18</f>
        <v>0</v>
      </c>
      <c r="G74" s="130">
        <f>SB18e!G18</f>
        <v>0</v>
      </c>
      <c r="H74" s="130">
        <f>SB18e!H18</f>
        <v>0</v>
      </c>
      <c r="I74" s="130">
        <f>SB18e!I18</f>
        <v>0</v>
      </c>
      <c r="J74" s="169">
        <f>SB18e!J18</f>
        <v>0</v>
      </c>
      <c r="K74" s="169">
        <f>SB18e!K18</f>
        <v>0</v>
      </c>
      <c r="L74" s="130">
        <f>SB18e!L18</f>
        <v>0</v>
      </c>
      <c r="M74" s="131">
        <f>SB18e!M18</f>
        <v>0</v>
      </c>
      <c r="N74" s="126"/>
    </row>
    <row r="75" spans="1:14" ht="12.75" customHeight="1" x14ac:dyDescent="0.25">
      <c r="A75" s="1218" t="s">
        <v>1585</v>
      </c>
      <c r="B75" s="73"/>
      <c r="C75" s="129">
        <f>SB18e!C28</f>
        <v>0</v>
      </c>
      <c r="D75" s="130">
        <f>SB18e!D28</f>
        <v>0</v>
      </c>
      <c r="E75" s="130">
        <f>SB18e!E28</f>
        <v>0</v>
      </c>
      <c r="F75" s="130">
        <f>SB18e!F28</f>
        <v>0</v>
      </c>
      <c r="G75" s="130">
        <f>SB18e!G28</f>
        <v>0</v>
      </c>
      <c r="H75" s="130">
        <f>SB18e!H28</f>
        <v>0</v>
      </c>
      <c r="I75" s="130">
        <f>SB18e!I28</f>
        <v>0</v>
      </c>
      <c r="J75" s="169">
        <f>SB18e!J28</f>
        <v>0</v>
      </c>
      <c r="K75" s="169">
        <f>SB18e!K28</f>
        <v>0</v>
      </c>
      <c r="L75" s="130">
        <f>SB18e!L28</f>
        <v>0</v>
      </c>
      <c r="M75" s="131">
        <f>SB18e!M28</f>
        <v>0</v>
      </c>
      <c r="N75" s="126"/>
    </row>
    <row r="76" spans="1:14" ht="12.75" customHeight="1" x14ac:dyDescent="0.25">
      <c r="A76" s="1218" t="s">
        <v>1595</v>
      </c>
      <c r="B76" s="73"/>
      <c r="C76" s="129">
        <f>SB18e!C39</f>
        <v>0</v>
      </c>
      <c r="D76" s="130">
        <f>SB18e!D39</f>
        <v>0</v>
      </c>
      <c r="E76" s="130">
        <f>SB18e!E39</f>
        <v>0</v>
      </c>
      <c r="F76" s="130">
        <f>SB18e!F39</f>
        <v>0</v>
      </c>
      <c r="G76" s="130">
        <f>SB18e!G39</f>
        <v>0</v>
      </c>
      <c r="H76" s="130">
        <f>SB18e!H39</f>
        <v>0</v>
      </c>
      <c r="I76" s="130">
        <f>SB18e!I39</f>
        <v>0</v>
      </c>
      <c r="J76" s="169">
        <f>SB18e!J39</f>
        <v>0</v>
      </c>
      <c r="K76" s="169">
        <f>SB18e!K39</f>
        <v>0</v>
      </c>
      <c r="L76" s="130">
        <f>SB18e!L39</f>
        <v>0</v>
      </c>
      <c r="M76" s="131">
        <f>SB18e!M39</f>
        <v>0</v>
      </c>
      <c r="N76" s="126"/>
    </row>
    <row r="77" spans="1:14" ht="12.75" customHeight="1" x14ac:dyDescent="0.25">
      <c r="A77" s="1218" t="s">
        <v>1600</v>
      </c>
      <c r="B77" s="73"/>
      <c r="C77" s="129">
        <f>SB18e!C46</f>
        <v>0</v>
      </c>
      <c r="D77" s="130">
        <f>SB18e!D46</f>
        <v>0</v>
      </c>
      <c r="E77" s="130">
        <f>SB18e!E46</f>
        <v>0</v>
      </c>
      <c r="F77" s="130">
        <f>SB18e!F46</f>
        <v>0</v>
      </c>
      <c r="G77" s="130">
        <f>SB18e!G46</f>
        <v>0</v>
      </c>
      <c r="H77" s="130">
        <f>SB18e!H46</f>
        <v>0</v>
      </c>
      <c r="I77" s="130">
        <f>SB18e!I46</f>
        <v>0</v>
      </c>
      <c r="J77" s="169">
        <f>SB18e!J46</f>
        <v>0</v>
      </c>
      <c r="K77" s="169">
        <f>SB18e!K46</f>
        <v>0</v>
      </c>
      <c r="L77" s="130">
        <f>SB18e!L46</f>
        <v>0</v>
      </c>
      <c r="M77" s="131">
        <f>SB18e!M46</f>
        <v>0</v>
      </c>
      <c r="N77" s="126"/>
    </row>
    <row r="78" spans="1:14" ht="12.75" customHeight="1" x14ac:dyDescent="0.25">
      <c r="A78" s="1218" t="s">
        <v>1607</v>
      </c>
      <c r="B78" s="73"/>
      <c r="C78" s="129">
        <f>SB18e!C54</f>
        <v>0</v>
      </c>
      <c r="D78" s="130">
        <f>SB18e!D54</f>
        <v>0</v>
      </c>
      <c r="E78" s="130">
        <f>SB18e!E54</f>
        <v>0</v>
      </c>
      <c r="F78" s="130">
        <f>SB18e!F54</f>
        <v>0</v>
      </c>
      <c r="G78" s="130">
        <f>SB18e!G54</f>
        <v>0</v>
      </c>
      <c r="H78" s="130">
        <f>SB18e!H54</f>
        <v>0</v>
      </c>
      <c r="I78" s="130">
        <f>SB18e!I54</f>
        <v>0</v>
      </c>
      <c r="J78" s="169">
        <f>SB18e!J54</f>
        <v>0</v>
      </c>
      <c r="K78" s="169">
        <f>SB18e!K54</f>
        <v>0</v>
      </c>
      <c r="L78" s="130">
        <f>SB18e!L54</f>
        <v>0</v>
      </c>
      <c r="M78" s="131">
        <f>SB18e!M54</f>
        <v>0</v>
      </c>
      <c r="N78" s="126"/>
    </row>
    <row r="79" spans="1:14" ht="12.75" customHeight="1" x14ac:dyDescent="0.25">
      <c r="A79" s="1218" t="s">
        <v>1611</v>
      </c>
      <c r="B79" s="73"/>
      <c r="C79" s="129">
        <f>SB18e!C64</f>
        <v>0</v>
      </c>
      <c r="D79" s="130">
        <f>SB18e!D64</f>
        <v>0</v>
      </c>
      <c r="E79" s="130">
        <f>SB18e!E64</f>
        <v>0</v>
      </c>
      <c r="F79" s="130">
        <f>SB18e!F64</f>
        <v>0</v>
      </c>
      <c r="G79" s="130">
        <f>SB18e!G64</f>
        <v>0</v>
      </c>
      <c r="H79" s="130">
        <f>SB18e!H64</f>
        <v>0</v>
      </c>
      <c r="I79" s="130">
        <f>SB18e!I64</f>
        <v>0</v>
      </c>
      <c r="J79" s="169">
        <f>SB18e!J64</f>
        <v>0</v>
      </c>
      <c r="K79" s="169">
        <f>SB18e!K64</f>
        <v>0</v>
      </c>
      <c r="L79" s="130">
        <f>SB18e!L64</f>
        <v>0</v>
      </c>
      <c r="M79" s="131">
        <f>SB18e!M64</f>
        <v>0</v>
      </c>
      <c r="N79" s="126"/>
    </row>
    <row r="80" spans="1:14" ht="12.75" customHeight="1" x14ac:dyDescent="0.25">
      <c r="A80" s="1218" t="s">
        <v>1616</v>
      </c>
      <c r="B80" s="73"/>
      <c r="C80" s="129">
        <f>SB18e!C70</f>
        <v>0</v>
      </c>
      <c r="D80" s="130">
        <f>SB18e!D70</f>
        <v>0</v>
      </c>
      <c r="E80" s="130">
        <f>SB18e!E70</f>
        <v>0</v>
      </c>
      <c r="F80" s="130">
        <f>SB18e!F70</f>
        <v>0</v>
      </c>
      <c r="G80" s="130">
        <f>SB18e!G70</f>
        <v>0</v>
      </c>
      <c r="H80" s="130">
        <f>SB18e!H70</f>
        <v>0</v>
      </c>
      <c r="I80" s="130">
        <f>SB18e!I70</f>
        <v>0</v>
      </c>
      <c r="J80" s="169">
        <f>SB18e!J70</f>
        <v>0</v>
      </c>
      <c r="K80" s="169">
        <f>SB18e!K70</f>
        <v>0</v>
      </c>
      <c r="L80" s="130">
        <f>SB18e!L70</f>
        <v>0</v>
      </c>
      <c r="M80" s="131">
        <f>SB18e!M70</f>
        <v>0</v>
      </c>
      <c r="N80" s="126"/>
    </row>
    <row r="81" spans="1:14" ht="12.75" customHeight="1" x14ac:dyDescent="0.25">
      <c r="A81" s="1219" t="s">
        <v>766</v>
      </c>
      <c r="B81" s="73"/>
      <c r="C81" s="700">
        <f>SUM(C72:C80)</f>
        <v>0</v>
      </c>
      <c r="D81" s="263">
        <f t="shared" ref="D81:M81" si="13">SUM(D72:D80)</f>
        <v>0</v>
      </c>
      <c r="E81" s="263">
        <f t="shared" si="13"/>
        <v>0</v>
      </c>
      <c r="F81" s="263">
        <f t="shared" si="13"/>
        <v>0</v>
      </c>
      <c r="G81" s="263">
        <f t="shared" si="13"/>
        <v>0</v>
      </c>
      <c r="H81" s="263">
        <f t="shared" si="13"/>
        <v>0</v>
      </c>
      <c r="I81" s="263">
        <f t="shared" si="13"/>
        <v>0</v>
      </c>
      <c r="J81" s="576">
        <f t="shared" si="13"/>
        <v>0</v>
      </c>
      <c r="K81" s="576">
        <f t="shared" si="13"/>
        <v>0</v>
      </c>
      <c r="L81" s="263">
        <f t="shared" si="13"/>
        <v>0</v>
      </c>
      <c r="M81" s="264">
        <f t="shared" si="13"/>
        <v>0</v>
      </c>
      <c r="N81" s="126"/>
    </row>
    <row r="82" spans="1:14" ht="12.75" customHeight="1" x14ac:dyDescent="0.25">
      <c r="A82" s="1220" t="s">
        <v>1621</v>
      </c>
      <c r="B82" s="73"/>
      <c r="C82" s="129">
        <f>SB18e!C77</f>
        <v>0</v>
      </c>
      <c r="D82" s="130">
        <f>SB18e!D77</f>
        <v>0</v>
      </c>
      <c r="E82" s="130">
        <f>SB18e!E77</f>
        <v>0</v>
      </c>
      <c r="F82" s="130">
        <f>SB18e!F77</f>
        <v>0</v>
      </c>
      <c r="G82" s="130">
        <f>SB18e!G77</f>
        <v>0</v>
      </c>
      <c r="H82" s="130">
        <f>SB18e!H77</f>
        <v>0</v>
      </c>
      <c r="I82" s="130">
        <f>SB18e!I77</f>
        <v>0</v>
      </c>
      <c r="J82" s="169">
        <f>SB18e!J77</f>
        <v>0</v>
      </c>
      <c r="K82" s="169">
        <f>SB18e!K77</f>
        <v>0</v>
      </c>
      <c r="L82" s="130">
        <f>SB18e!L77</f>
        <v>0</v>
      </c>
      <c r="M82" s="131">
        <f>SB18e!M77</f>
        <v>0</v>
      </c>
      <c r="N82" s="126"/>
    </row>
    <row r="83" spans="1:14" ht="12.75" customHeight="1" x14ac:dyDescent="0.25">
      <c r="A83" s="1220" t="s">
        <v>1639</v>
      </c>
      <c r="B83" s="73"/>
      <c r="C83" s="129">
        <f>SB18e!C100</f>
        <v>0</v>
      </c>
      <c r="D83" s="130">
        <f>SB18e!D100</f>
        <v>0</v>
      </c>
      <c r="E83" s="130">
        <f>SB18e!E100</f>
        <v>0</v>
      </c>
      <c r="F83" s="130">
        <f>SB18e!F100</f>
        <v>0</v>
      </c>
      <c r="G83" s="130">
        <f>SB18e!G100</f>
        <v>0</v>
      </c>
      <c r="H83" s="130">
        <f>SB18e!H100</f>
        <v>0</v>
      </c>
      <c r="I83" s="130">
        <f>SB18e!I100</f>
        <v>0</v>
      </c>
      <c r="J83" s="169">
        <f>SB18e!J100</f>
        <v>0</v>
      </c>
      <c r="K83" s="169">
        <f>SB18e!K100</f>
        <v>0</v>
      </c>
      <c r="L83" s="130">
        <f>SB18e!L100</f>
        <v>0</v>
      </c>
      <c r="M83" s="131">
        <f>SB18e!M100</f>
        <v>0</v>
      </c>
      <c r="N83" s="126"/>
    </row>
    <row r="84" spans="1:14" ht="12.75" customHeight="1" x14ac:dyDescent="0.25">
      <c r="A84" s="1219" t="s">
        <v>1620</v>
      </c>
      <c r="B84" s="73"/>
      <c r="C84" s="700">
        <f>SUM(C82:C83)</f>
        <v>0</v>
      </c>
      <c r="D84" s="263">
        <f t="shared" ref="D84:M84" si="14">SUM(D82:D83)</f>
        <v>0</v>
      </c>
      <c r="E84" s="263">
        <f t="shared" si="14"/>
        <v>0</v>
      </c>
      <c r="F84" s="263">
        <f t="shared" si="14"/>
        <v>0</v>
      </c>
      <c r="G84" s="263">
        <f t="shared" si="14"/>
        <v>0</v>
      </c>
      <c r="H84" s="263">
        <f t="shared" si="14"/>
        <v>0</v>
      </c>
      <c r="I84" s="263">
        <f t="shared" si="14"/>
        <v>0</v>
      </c>
      <c r="J84" s="576">
        <f t="shared" si="14"/>
        <v>0</v>
      </c>
      <c r="K84" s="576">
        <f t="shared" si="14"/>
        <v>0</v>
      </c>
      <c r="L84" s="263">
        <f t="shared" si="14"/>
        <v>0</v>
      </c>
      <c r="M84" s="264">
        <f t="shared" si="14"/>
        <v>0</v>
      </c>
      <c r="N84" s="126"/>
    </row>
    <row r="85" spans="1:14" ht="12.75" customHeight="1" x14ac:dyDescent="0.25">
      <c r="A85" s="1221" t="s">
        <v>1367</v>
      </c>
      <c r="B85" s="73"/>
      <c r="C85" s="129">
        <f>SB18e!C105</f>
        <v>0</v>
      </c>
      <c r="D85" s="130">
        <f>SB18e!D105</f>
        <v>0</v>
      </c>
      <c r="E85" s="130">
        <f>SB18e!E105</f>
        <v>0</v>
      </c>
      <c r="F85" s="130">
        <f>SB18e!F105</f>
        <v>0</v>
      </c>
      <c r="G85" s="130">
        <f>SB18e!G105</f>
        <v>0</v>
      </c>
      <c r="H85" s="130">
        <f>SB18e!H105</f>
        <v>0</v>
      </c>
      <c r="I85" s="130">
        <f>SB18e!I105</f>
        <v>0</v>
      </c>
      <c r="J85" s="169">
        <f>SB18e!J105</f>
        <v>0</v>
      </c>
      <c r="K85" s="169">
        <f>SB18e!K105</f>
        <v>0</v>
      </c>
      <c r="L85" s="130">
        <f>SB18e!L105</f>
        <v>0</v>
      </c>
      <c r="M85" s="131">
        <f>SB18e!M105</f>
        <v>0</v>
      </c>
      <c r="N85" s="126"/>
    </row>
    <row r="86" spans="1:14" ht="12.75" customHeight="1" x14ac:dyDescent="0.25">
      <c r="A86" s="1220" t="s">
        <v>1647</v>
      </c>
      <c r="B86" s="73"/>
      <c r="C86" s="129">
        <f>SB18e!C113</f>
        <v>0</v>
      </c>
      <c r="D86" s="130">
        <f>SB18e!D113</f>
        <v>0</v>
      </c>
      <c r="E86" s="130">
        <f>SB18e!E113</f>
        <v>0</v>
      </c>
      <c r="F86" s="130">
        <f>SB18e!F113</f>
        <v>0</v>
      </c>
      <c r="G86" s="130">
        <f>SB18e!G113</f>
        <v>0</v>
      </c>
      <c r="H86" s="130">
        <f>SB18e!H113</f>
        <v>0</v>
      </c>
      <c r="I86" s="130">
        <f>SB18e!I113</f>
        <v>0</v>
      </c>
      <c r="J86" s="169">
        <f>SB18e!J113</f>
        <v>0</v>
      </c>
      <c r="K86" s="169">
        <f>SB18e!K113</f>
        <v>0</v>
      </c>
      <c r="L86" s="130">
        <f>SB18e!L113</f>
        <v>0</v>
      </c>
      <c r="M86" s="131">
        <f>SB18e!M113</f>
        <v>0</v>
      </c>
      <c r="N86" s="126"/>
    </row>
    <row r="87" spans="1:14" ht="12.75" customHeight="1" x14ac:dyDescent="0.25">
      <c r="A87" s="1220" t="s">
        <v>1650</v>
      </c>
      <c r="B87" s="73"/>
      <c r="C87" s="129">
        <f>SB18e!C116</f>
        <v>0</v>
      </c>
      <c r="D87" s="130">
        <f>SB18e!D116</f>
        <v>0</v>
      </c>
      <c r="E87" s="130">
        <f>SB18e!E116</f>
        <v>0</v>
      </c>
      <c r="F87" s="130">
        <f>SB18e!F116</f>
        <v>0</v>
      </c>
      <c r="G87" s="130">
        <f>SB18e!G116</f>
        <v>0</v>
      </c>
      <c r="H87" s="130">
        <f>SB18e!H116</f>
        <v>0</v>
      </c>
      <c r="I87" s="130">
        <f>SB18e!I116</f>
        <v>0</v>
      </c>
      <c r="J87" s="169">
        <f>SB18e!J116</f>
        <v>0</v>
      </c>
      <c r="K87" s="169">
        <f>SB18e!K116</f>
        <v>0</v>
      </c>
      <c r="L87" s="130">
        <f>SB18e!L116</f>
        <v>0</v>
      </c>
      <c r="M87" s="131">
        <f>SB18e!M116</f>
        <v>0</v>
      </c>
      <c r="N87" s="126"/>
    </row>
    <row r="88" spans="1:14" ht="12.75" customHeight="1" x14ac:dyDescent="0.25">
      <c r="A88" s="1219" t="s">
        <v>768</v>
      </c>
      <c r="B88" s="73"/>
      <c r="C88" s="700">
        <f>SUM(C86:C87)</f>
        <v>0</v>
      </c>
      <c r="D88" s="263">
        <f t="shared" ref="D88:M88" si="15">SUM(D86:D87)</f>
        <v>0</v>
      </c>
      <c r="E88" s="263">
        <f t="shared" si="15"/>
        <v>0</v>
      </c>
      <c r="F88" s="263">
        <f t="shared" si="15"/>
        <v>0</v>
      </c>
      <c r="G88" s="263">
        <f t="shared" si="15"/>
        <v>0</v>
      </c>
      <c r="H88" s="263">
        <f t="shared" si="15"/>
        <v>0</v>
      </c>
      <c r="I88" s="263">
        <f t="shared" si="15"/>
        <v>0</v>
      </c>
      <c r="J88" s="576">
        <f t="shared" si="15"/>
        <v>0</v>
      </c>
      <c r="K88" s="576">
        <f t="shared" si="15"/>
        <v>0</v>
      </c>
      <c r="L88" s="263">
        <f t="shared" si="15"/>
        <v>0</v>
      </c>
      <c r="M88" s="264">
        <f t="shared" si="15"/>
        <v>0</v>
      </c>
      <c r="N88" s="126"/>
    </row>
    <row r="89" spans="1:14" ht="12.75" customHeight="1" x14ac:dyDescent="0.25">
      <c r="A89" s="1220" t="s">
        <v>1651</v>
      </c>
      <c r="B89" s="73"/>
      <c r="C89" s="129">
        <f>SB18e!C121</f>
        <v>1000000</v>
      </c>
      <c r="D89" s="130">
        <f>SB18e!D121</f>
        <v>1000000</v>
      </c>
      <c r="E89" s="130">
        <f>SB18e!E121</f>
        <v>0</v>
      </c>
      <c r="F89" s="130">
        <f>SB18e!F121</f>
        <v>0</v>
      </c>
      <c r="G89" s="130">
        <f>SB18e!G121</f>
        <v>0</v>
      </c>
      <c r="H89" s="130">
        <f>SB18e!H121</f>
        <v>0</v>
      </c>
      <c r="I89" s="130">
        <f>SB18e!I121</f>
        <v>0</v>
      </c>
      <c r="J89" s="169">
        <f>SB18e!J121</f>
        <v>0</v>
      </c>
      <c r="K89" s="169">
        <f>SB18e!K121</f>
        <v>1000000</v>
      </c>
      <c r="L89" s="130">
        <f>SB18e!L121</f>
        <v>0</v>
      </c>
      <c r="M89" s="131">
        <f>SB18e!M121</f>
        <v>0</v>
      </c>
      <c r="N89" s="126"/>
    </row>
    <row r="90" spans="1:14" ht="12.75" customHeight="1" x14ac:dyDescent="0.25">
      <c r="A90" s="1220" t="s">
        <v>621</v>
      </c>
      <c r="B90" s="73"/>
      <c r="C90" s="129">
        <f>SB18e!C133</f>
        <v>0</v>
      </c>
      <c r="D90" s="130">
        <f>SB18e!D133</f>
        <v>0</v>
      </c>
      <c r="E90" s="130">
        <f>SB18e!E133</f>
        <v>0</v>
      </c>
      <c r="F90" s="130">
        <f>SB18e!F133</f>
        <v>0</v>
      </c>
      <c r="G90" s="130">
        <f>SB18e!G133</f>
        <v>0</v>
      </c>
      <c r="H90" s="130">
        <f>SB18e!H133</f>
        <v>0</v>
      </c>
      <c r="I90" s="130">
        <f>SB18e!I133</f>
        <v>0</v>
      </c>
      <c r="J90" s="169">
        <f>SB18e!J133</f>
        <v>0</v>
      </c>
      <c r="K90" s="169">
        <f>SB18e!K133</f>
        <v>0</v>
      </c>
      <c r="L90" s="130">
        <f>SB18e!L133</f>
        <v>0</v>
      </c>
      <c r="M90" s="131">
        <f>SB18e!M133</f>
        <v>0</v>
      </c>
      <c r="N90" s="126"/>
    </row>
    <row r="91" spans="1:14" ht="12.75" customHeight="1" x14ac:dyDescent="0.25">
      <c r="A91" s="1219" t="s">
        <v>1368</v>
      </c>
      <c r="B91" s="73">
        <v>6</v>
      </c>
      <c r="C91" s="700">
        <f>SUM(C89:C90)</f>
        <v>1000000</v>
      </c>
      <c r="D91" s="263">
        <f t="shared" ref="D91:M91" si="16">SUM(D89:D90)</f>
        <v>1000000</v>
      </c>
      <c r="E91" s="263">
        <f t="shared" si="16"/>
        <v>0</v>
      </c>
      <c r="F91" s="263">
        <f t="shared" si="16"/>
        <v>0</v>
      </c>
      <c r="G91" s="263">
        <f t="shared" si="16"/>
        <v>0</v>
      </c>
      <c r="H91" s="263">
        <f t="shared" si="16"/>
        <v>0</v>
      </c>
      <c r="I91" s="263">
        <f t="shared" si="16"/>
        <v>0</v>
      </c>
      <c r="J91" s="576">
        <f t="shared" si="16"/>
        <v>0</v>
      </c>
      <c r="K91" s="576">
        <f t="shared" si="16"/>
        <v>1000000</v>
      </c>
      <c r="L91" s="263">
        <f t="shared" si="16"/>
        <v>0</v>
      </c>
      <c r="M91" s="264">
        <f t="shared" si="16"/>
        <v>0</v>
      </c>
      <c r="N91" s="126"/>
    </row>
    <row r="92" spans="1:14" ht="12.75" customHeight="1" x14ac:dyDescent="0.25">
      <c r="A92" s="1221" t="s">
        <v>1664</v>
      </c>
      <c r="B92" s="73"/>
      <c r="C92" s="129">
        <f>SB18e!C138</f>
        <v>0</v>
      </c>
      <c r="D92" s="130">
        <f>SB18e!D138</f>
        <v>0</v>
      </c>
      <c r="E92" s="130">
        <f>SB18e!E138</f>
        <v>0</v>
      </c>
      <c r="F92" s="130">
        <f>SB18e!F138</f>
        <v>0</v>
      </c>
      <c r="G92" s="130">
        <f>SB18e!G138</f>
        <v>0</v>
      </c>
      <c r="H92" s="130">
        <f>SB18e!H138</f>
        <v>0</v>
      </c>
      <c r="I92" s="130">
        <f>SB18e!I138</f>
        <v>0</v>
      </c>
      <c r="J92" s="169">
        <f>SB18e!J138</f>
        <v>0</v>
      </c>
      <c r="K92" s="169">
        <f>SB18e!K138</f>
        <v>0</v>
      </c>
      <c r="L92" s="130">
        <f>SB18e!L138</f>
        <v>0</v>
      </c>
      <c r="M92" s="131">
        <f>SB18e!M138</f>
        <v>0</v>
      </c>
      <c r="N92" s="126"/>
    </row>
    <row r="93" spans="1:14" ht="12.75" customHeight="1" x14ac:dyDescent="0.25">
      <c r="A93" s="1220" t="s">
        <v>1666</v>
      </c>
      <c r="B93" s="73"/>
      <c r="C93" s="129">
        <f>SB18e!C142</f>
        <v>0</v>
      </c>
      <c r="D93" s="130">
        <f>SB18e!D142</f>
        <v>0</v>
      </c>
      <c r="E93" s="130">
        <f>SB18e!E142</f>
        <v>0</v>
      </c>
      <c r="F93" s="130">
        <f>SB18e!F142</f>
        <v>0</v>
      </c>
      <c r="G93" s="130">
        <f>SB18e!G142</f>
        <v>0</v>
      </c>
      <c r="H93" s="130">
        <f>SB18e!H142</f>
        <v>0</v>
      </c>
      <c r="I93" s="130">
        <f>SB18e!I142</f>
        <v>0</v>
      </c>
      <c r="J93" s="169">
        <f>SB18e!J142</f>
        <v>0</v>
      </c>
      <c r="K93" s="169">
        <f>SB18e!K142</f>
        <v>0</v>
      </c>
      <c r="L93" s="130">
        <f>SB18e!L142</f>
        <v>0</v>
      </c>
      <c r="M93" s="131">
        <f>SB18e!M142</f>
        <v>0</v>
      </c>
      <c r="N93" s="126"/>
    </row>
    <row r="94" spans="1:14" ht="12.75" customHeight="1" x14ac:dyDescent="0.25">
      <c r="A94" s="1220" t="s">
        <v>1667</v>
      </c>
      <c r="B94" s="73"/>
      <c r="C94" s="129">
        <f>SB18e!C143</f>
        <v>0</v>
      </c>
      <c r="D94" s="130">
        <f>SB18e!D143</f>
        <v>0</v>
      </c>
      <c r="E94" s="130">
        <f>SB18e!E143</f>
        <v>0</v>
      </c>
      <c r="F94" s="130">
        <f>SB18e!F143</f>
        <v>0</v>
      </c>
      <c r="G94" s="130">
        <f>SB18e!G143</f>
        <v>0</v>
      </c>
      <c r="H94" s="130">
        <f>SB18e!H143</f>
        <v>0</v>
      </c>
      <c r="I94" s="130">
        <f>SB18e!I143</f>
        <v>0</v>
      </c>
      <c r="J94" s="169">
        <f>SB18e!J143</f>
        <v>0</v>
      </c>
      <c r="K94" s="169">
        <f>SB18e!K143</f>
        <v>0</v>
      </c>
      <c r="L94" s="130">
        <f>SB18e!L143</f>
        <v>0</v>
      </c>
      <c r="M94" s="131">
        <f>SB18e!M143</f>
        <v>0</v>
      </c>
      <c r="N94" s="126"/>
    </row>
    <row r="95" spans="1:14" ht="12.75" customHeight="1" x14ac:dyDescent="0.25">
      <c r="A95" s="1219" t="s">
        <v>1665</v>
      </c>
      <c r="B95" s="73"/>
      <c r="C95" s="700">
        <f>SUM(C93:C94)</f>
        <v>0</v>
      </c>
      <c r="D95" s="263">
        <f t="shared" ref="D95:M95" si="17">SUM(D93:D94)</f>
        <v>0</v>
      </c>
      <c r="E95" s="263">
        <f t="shared" si="17"/>
        <v>0</v>
      </c>
      <c r="F95" s="263">
        <f t="shared" si="17"/>
        <v>0</v>
      </c>
      <c r="G95" s="263">
        <f t="shared" si="17"/>
        <v>0</v>
      </c>
      <c r="H95" s="263">
        <f t="shared" si="17"/>
        <v>0</v>
      </c>
      <c r="I95" s="263">
        <f t="shared" si="17"/>
        <v>0</v>
      </c>
      <c r="J95" s="576">
        <f t="shared" si="17"/>
        <v>0</v>
      </c>
      <c r="K95" s="576">
        <f t="shared" si="17"/>
        <v>0</v>
      </c>
      <c r="L95" s="263">
        <f t="shared" si="17"/>
        <v>0</v>
      </c>
      <c r="M95" s="264">
        <f t="shared" si="17"/>
        <v>0</v>
      </c>
      <c r="N95" s="126"/>
    </row>
    <row r="96" spans="1:14" ht="12.75" customHeight="1" x14ac:dyDescent="0.25">
      <c r="A96" s="1222" t="s">
        <v>1674</v>
      </c>
      <c r="B96" s="73"/>
      <c r="C96" s="129">
        <f>SB18e!C151</f>
        <v>0</v>
      </c>
      <c r="D96" s="130">
        <f>SB18e!D151</f>
        <v>0</v>
      </c>
      <c r="E96" s="130">
        <f>SB18e!E151</f>
        <v>0</v>
      </c>
      <c r="F96" s="130">
        <f>SB18e!F151</f>
        <v>0</v>
      </c>
      <c r="G96" s="130">
        <f>SB18e!G151</f>
        <v>0</v>
      </c>
      <c r="H96" s="130">
        <f>SB18e!H151</f>
        <v>0</v>
      </c>
      <c r="I96" s="130">
        <f>SB18e!I151</f>
        <v>0</v>
      </c>
      <c r="J96" s="169">
        <f>SB18e!J151</f>
        <v>0</v>
      </c>
      <c r="K96" s="169">
        <f>SB18e!K151</f>
        <v>0</v>
      </c>
      <c r="L96" s="130">
        <f>SB18e!L151</f>
        <v>0</v>
      </c>
      <c r="M96" s="131">
        <f>SB18e!M151</f>
        <v>0</v>
      </c>
      <c r="N96" s="126"/>
    </row>
    <row r="97" spans="1:14" ht="12.75" customHeight="1" x14ac:dyDescent="0.25">
      <c r="A97" s="1221" t="s">
        <v>1675</v>
      </c>
      <c r="B97" s="73"/>
      <c r="C97" s="129">
        <f>SB18e!C154</f>
        <v>0</v>
      </c>
      <c r="D97" s="130">
        <f>SB18e!D154</f>
        <v>0</v>
      </c>
      <c r="E97" s="130">
        <f>SB18e!E154</f>
        <v>0</v>
      </c>
      <c r="F97" s="130">
        <f>SB18e!F154</f>
        <v>0</v>
      </c>
      <c r="G97" s="130">
        <f>SB18e!G154</f>
        <v>0</v>
      </c>
      <c r="H97" s="130">
        <f>SB18e!H154</f>
        <v>0</v>
      </c>
      <c r="I97" s="130">
        <f>SB18e!I154</f>
        <v>0</v>
      </c>
      <c r="J97" s="169">
        <f>SB18e!J154</f>
        <v>0</v>
      </c>
      <c r="K97" s="169">
        <f>SB18e!K154</f>
        <v>0</v>
      </c>
      <c r="L97" s="130">
        <f>SB18e!L154</f>
        <v>0</v>
      </c>
      <c r="M97" s="131">
        <f>SB18e!M154</f>
        <v>0</v>
      </c>
      <c r="N97" s="126"/>
    </row>
    <row r="98" spans="1:14" ht="12.75" customHeight="1" x14ac:dyDescent="0.25">
      <c r="A98" s="1221" t="s">
        <v>1676</v>
      </c>
      <c r="B98" s="73"/>
      <c r="C98" s="129">
        <f>SB18e!C157</f>
        <v>0</v>
      </c>
      <c r="D98" s="130">
        <f>SB18e!D157</f>
        <v>0</v>
      </c>
      <c r="E98" s="130">
        <f>SB18e!E157</f>
        <v>0</v>
      </c>
      <c r="F98" s="130">
        <f>SB18e!F157</f>
        <v>0</v>
      </c>
      <c r="G98" s="130">
        <f>SB18e!G157</f>
        <v>0</v>
      </c>
      <c r="H98" s="130">
        <f>SB18e!H157</f>
        <v>0</v>
      </c>
      <c r="I98" s="130">
        <f>SB18e!I157</f>
        <v>0</v>
      </c>
      <c r="J98" s="169">
        <f>SB18e!J157</f>
        <v>0</v>
      </c>
      <c r="K98" s="169">
        <f>SB18e!K157</f>
        <v>0</v>
      </c>
      <c r="L98" s="130">
        <f>SB18e!L157</f>
        <v>0</v>
      </c>
      <c r="M98" s="131">
        <f>SB18e!M157</f>
        <v>0</v>
      </c>
      <c r="N98" s="126"/>
    </row>
    <row r="99" spans="1:14" ht="12.75" customHeight="1" x14ac:dyDescent="0.25">
      <c r="A99" s="1222" t="s">
        <v>1677</v>
      </c>
      <c r="B99" s="73"/>
      <c r="C99" s="129">
        <f>SB18e!C160</f>
        <v>0</v>
      </c>
      <c r="D99" s="130">
        <f>SB18e!D160</f>
        <v>0</v>
      </c>
      <c r="E99" s="130">
        <f>SB18e!E160</f>
        <v>0</v>
      </c>
      <c r="F99" s="130">
        <f>SB18e!F160</f>
        <v>0</v>
      </c>
      <c r="G99" s="130">
        <f>SB18e!G160</f>
        <v>0</v>
      </c>
      <c r="H99" s="130">
        <f>SB18e!H160</f>
        <v>0</v>
      </c>
      <c r="I99" s="130">
        <f>SB18e!I160</f>
        <v>0</v>
      </c>
      <c r="J99" s="169">
        <f>SB18e!J160</f>
        <v>0</v>
      </c>
      <c r="K99" s="169">
        <f>SB18e!K160</f>
        <v>0</v>
      </c>
      <c r="L99" s="130">
        <f>SB18e!L160</f>
        <v>0</v>
      </c>
      <c r="M99" s="131">
        <f>SB18e!M160</f>
        <v>0</v>
      </c>
      <c r="N99" s="126"/>
    </row>
    <row r="100" spans="1:14" ht="12.75" customHeight="1" x14ac:dyDescent="0.25">
      <c r="A100" s="1221" t="s">
        <v>1734</v>
      </c>
      <c r="B100" s="73"/>
      <c r="C100" s="129">
        <f>SB18e!C163</f>
        <v>0</v>
      </c>
      <c r="D100" s="130">
        <f>SB18e!D163</f>
        <v>0</v>
      </c>
      <c r="E100" s="130">
        <f>SB18e!E163</f>
        <v>0</v>
      </c>
      <c r="F100" s="130">
        <f>SB18e!F163</f>
        <v>0</v>
      </c>
      <c r="G100" s="130">
        <f>SB18e!G163</f>
        <v>0</v>
      </c>
      <c r="H100" s="130">
        <f>SB18e!H163</f>
        <v>0</v>
      </c>
      <c r="I100" s="130">
        <f>SB18e!I163</f>
        <v>0</v>
      </c>
      <c r="J100" s="169">
        <f>SB18e!J163</f>
        <v>0</v>
      </c>
      <c r="K100" s="169">
        <f>SB18e!K163</f>
        <v>0</v>
      </c>
      <c r="L100" s="130">
        <f>SB18e!L163</f>
        <v>0</v>
      </c>
      <c r="M100" s="131">
        <f>SB18e!M163</f>
        <v>0</v>
      </c>
      <c r="N100" s="126"/>
    </row>
    <row r="101" spans="1:14" ht="12.75" customHeight="1" x14ac:dyDescent="0.25">
      <c r="A101" s="1221" t="s">
        <v>1678</v>
      </c>
      <c r="B101" s="73"/>
      <c r="C101" s="129">
        <f>SB18e!C166</f>
        <v>0</v>
      </c>
      <c r="D101" s="130">
        <f>SB18e!D166</f>
        <v>0</v>
      </c>
      <c r="E101" s="130">
        <f>SB18e!E166</f>
        <v>0</v>
      </c>
      <c r="F101" s="130">
        <f>SB18e!F166</f>
        <v>0</v>
      </c>
      <c r="G101" s="130">
        <f>SB18e!G166</f>
        <v>0</v>
      </c>
      <c r="H101" s="130">
        <f>SB18e!H166</f>
        <v>0</v>
      </c>
      <c r="I101" s="130">
        <f>SB18e!I166</f>
        <v>0</v>
      </c>
      <c r="J101" s="169">
        <f>SB18e!J166</f>
        <v>0</v>
      </c>
      <c r="K101" s="169">
        <f>SB18e!K166</f>
        <v>0</v>
      </c>
      <c r="L101" s="130">
        <f>SB18e!L166</f>
        <v>0</v>
      </c>
      <c r="M101" s="131">
        <f>SB18e!M166</f>
        <v>0</v>
      </c>
      <c r="N101" s="126"/>
    </row>
    <row r="102" spans="1:14" ht="4.5" customHeight="1" x14ac:dyDescent="0.25">
      <c r="B102" s="113"/>
      <c r="C102" s="170"/>
      <c r="D102" s="171"/>
      <c r="E102" s="171"/>
      <c r="F102" s="171"/>
      <c r="G102" s="171"/>
      <c r="H102" s="171"/>
      <c r="I102" s="171"/>
      <c r="J102" s="169"/>
      <c r="K102" s="169"/>
      <c r="L102" s="171"/>
      <c r="M102" s="172"/>
      <c r="N102" s="126"/>
    </row>
    <row r="103" spans="1:14" ht="12.75" customHeight="1" x14ac:dyDescent="0.25">
      <c r="A103" s="231" t="s">
        <v>1128</v>
      </c>
      <c r="B103" s="73">
        <v>4</v>
      </c>
      <c r="C103" s="74">
        <f>C7+C39+C71</f>
        <v>25696767</v>
      </c>
      <c r="D103" s="75">
        <f t="shared" ref="D103:M103" si="18">D7+D39+D71</f>
        <v>33420752</v>
      </c>
      <c r="E103" s="75">
        <f t="shared" si="18"/>
        <v>0</v>
      </c>
      <c r="F103" s="75">
        <f t="shared" si="18"/>
        <v>0</v>
      </c>
      <c r="G103" s="75">
        <f t="shared" si="18"/>
        <v>0</v>
      </c>
      <c r="H103" s="75">
        <f t="shared" si="18"/>
        <v>0</v>
      </c>
      <c r="I103" s="75">
        <f t="shared" si="18"/>
        <v>341736</v>
      </c>
      <c r="J103" s="75">
        <f t="shared" si="18"/>
        <v>341736</v>
      </c>
      <c r="K103" s="75">
        <f t="shared" si="18"/>
        <v>33762488</v>
      </c>
      <c r="L103" s="75">
        <f t="shared" si="18"/>
        <v>32227000</v>
      </c>
      <c r="M103" s="76">
        <f t="shared" si="18"/>
        <v>24381000</v>
      </c>
      <c r="N103" s="126"/>
    </row>
    <row r="104" spans="1:14" ht="12" customHeight="1" x14ac:dyDescent="0.25">
      <c r="A104" s="1218" t="s">
        <v>1568</v>
      </c>
      <c r="B104" s="73"/>
      <c r="C104" s="74">
        <f t="shared" ref="C104:C133" si="19">C8+C40+C72</f>
        <v>9467783</v>
      </c>
      <c r="D104" s="75">
        <f t="shared" ref="D104:M106" si="20">D8+D40+D72</f>
        <v>17191768</v>
      </c>
      <c r="E104" s="75">
        <f t="shared" si="20"/>
        <v>0</v>
      </c>
      <c r="F104" s="75">
        <f t="shared" si="20"/>
        <v>0</v>
      </c>
      <c r="G104" s="75">
        <f t="shared" si="20"/>
        <v>0</v>
      </c>
      <c r="H104" s="75">
        <f t="shared" si="20"/>
        <v>0</v>
      </c>
      <c r="I104" s="75">
        <f t="shared" si="20"/>
        <v>1333200</v>
      </c>
      <c r="J104" s="75">
        <f t="shared" si="20"/>
        <v>1333200</v>
      </c>
      <c r="K104" s="75">
        <f t="shared" si="20"/>
        <v>18524968</v>
      </c>
      <c r="L104" s="75">
        <f t="shared" si="20"/>
        <v>17027000</v>
      </c>
      <c r="M104" s="76">
        <f t="shared" si="20"/>
        <v>17781000</v>
      </c>
      <c r="N104" s="126"/>
    </row>
    <row r="105" spans="1:14" ht="12" customHeight="1" x14ac:dyDescent="0.25">
      <c r="A105" s="1218" t="s">
        <v>1572</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6"/>
    </row>
    <row r="106" spans="1:14" ht="12" customHeight="1" x14ac:dyDescent="0.25">
      <c r="A106" s="1218" t="s">
        <v>1576</v>
      </c>
      <c r="B106" s="73"/>
      <c r="C106" s="74">
        <f t="shared" si="19"/>
        <v>0</v>
      </c>
      <c r="D106" s="75">
        <f t="shared" si="20"/>
        <v>0</v>
      </c>
      <c r="E106" s="75">
        <f t="shared" si="20"/>
        <v>0</v>
      </c>
      <c r="F106" s="75">
        <f t="shared" si="20"/>
        <v>0</v>
      </c>
      <c r="G106" s="75">
        <f t="shared" si="20"/>
        <v>0</v>
      </c>
      <c r="H106" s="75">
        <f t="shared" si="20"/>
        <v>0</v>
      </c>
      <c r="I106" s="75">
        <f t="shared" si="20"/>
        <v>0</v>
      </c>
      <c r="J106" s="75">
        <f t="shared" si="20"/>
        <v>0</v>
      </c>
      <c r="K106" s="75">
        <f t="shared" si="20"/>
        <v>0</v>
      </c>
      <c r="L106" s="75">
        <f t="shared" si="20"/>
        <v>0</v>
      </c>
      <c r="M106" s="76">
        <f t="shared" si="20"/>
        <v>0</v>
      </c>
      <c r="N106" s="126"/>
    </row>
    <row r="107" spans="1:14" ht="12" customHeight="1" x14ac:dyDescent="0.25">
      <c r="A107" s="1218" t="s">
        <v>1585</v>
      </c>
      <c r="B107" s="73"/>
      <c r="C107" s="74">
        <f t="shared" si="19"/>
        <v>0</v>
      </c>
      <c r="D107" s="75">
        <f t="shared" ref="D107:M107" si="21">D11+D43+D75</f>
        <v>0</v>
      </c>
      <c r="E107" s="75">
        <f t="shared" si="21"/>
        <v>0</v>
      </c>
      <c r="F107" s="75">
        <f t="shared" si="21"/>
        <v>0</v>
      </c>
      <c r="G107" s="75">
        <f t="shared" si="21"/>
        <v>0</v>
      </c>
      <c r="H107" s="75">
        <f t="shared" si="21"/>
        <v>0</v>
      </c>
      <c r="I107" s="75">
        <f t="shared" si="21"/>
        <v>0</v>
      </c>
      <c r="J107" s="75">
        <f t="shared" si="21"/>
        <v>0</v>
      </c>
      <c r="K107" s="75">
        <f t="shared" si="21"/>
        <v>0</v>
      </c>
      <c r="L107" s="75">
        <f t="shared" si="21"/>
        <v>0</v>
      </c>
      <c r="M107" s="76">
        <f t="shared" si="21"/>
        <v>0</v>
      </c>
      <c r="N107" s="126"/>
    </row>
    <row r="108" spans="1:14" ht="12" customHeight="1" x14ac:dyDescent="0.25">
      <c r="A108" s="1218" t="s">
        <v>1595</v>
      </c>
      <c r="B108" s="73"/>
      <c r="C108" s="74">
        <f t="shared" si="19"/>
        <v>0</v>
      </c>
      <c r="D108" s="75">
        <f t="shared" ref="D108:M108" si="22">D12+D44+D76</f>
        <v>0</v>
      </c>
      <c r="E108" s="75">
        <f t="shared" si="22"/>
        <v>0</v>
      </c>
      <c r="F108" s="75">
        <f t="shared" si="22"/>
        <v>0</v>
      </c>
      <c r="G108" s="75">
        <f t="shared" si="22"/>
        <v>0</v>
      </c>
      <c r="H108" s="75">
        <f t="shared" si="22"/>
        <v>0</v>
      </c>
      <c r="I108" s="75">
        <f t="shared" si="22"/>
        <v>0</v>
      </c>
      <c r="J108" s="75">
        <f t="shared" si="22"/>
        <v>0</v>
      </c>
      <c r="K108" s="75">
        <f t="shared" si="22"/>
        <v>0</v>
      </c>
      <c r="L108" s="75">
        <f t="shared" si="22"/>
        <v>0</v>
      </c>
      <c r="M108" s="76">
        <f t="shared" si="22"/>
        <v>0</v>
      </c>
      <c r="N108" s="126"/>
    </row>
    <row r="109" spans="1:14" ht="12" customHeight="1" x14ac:dyDescent="0.25">
      <c r="A109" s="1218" t="s">
        <v>1600</v>
      </c>
      <c r="B109" s="73"/>
      <c r="C109" s="74">
        <f t="shared" si="19"/>
        <v>0</v>
      </c>
      <c r="D109" s="75">
        <f t="shared" ref="D109:M109" si="23">D13+D45+D77</f>
        <v>0</v>
      </c>
      <c r="E109" s="75">
        <f t="shared" si="23"/>
        <v>0</v>
      </c>
      <c r="F109" s="75">
        <f t="shared" si="23"/>
        <v>0</v>
      </c>
      <c r="G109" s="75">
        <f t="shared" si="23"/>
        <v>0</v>
      </c>
      <c r="H109" s="75">
        <f t="shared" si="23"/>
        <v>0</v>
      </c>
      <c r="I109" s="75">
        <f t="shared" si="23"/>
        <v>0</v>
      </c>
      <c r="J109" s="75">
        <f t="shared" si="23"/>
        <v>0</v>
      </c>
      <c r="K109" s="75">
        <f t="shared" si="23"/>
        <v>0</v>
      </c>
      <c r="L109" s="75">
        <f t="shared" si="23"/>
        <v>0</v>
      </c>
      <c r="M109" s="76">
        <f t="shared" si="23"/>
        <v>0</v>
      </c>
      <c r="N109" s="126"/>
    </row>
    <row r="110" spans="1:14" ht="12" customHeight="1" x14ac:dyDescent="0.25">
      <c r="A110" s="1218" t="s">
        <v>1607</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6"/>
    </row>
    <row r="111" spans="1:14" ht="12" customHeight="1" x14ac:dyDescent="0.25">
      <c r="A111" s="1218" t="s">
        <v>1611</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6"/>
    </row>
    <row r="112" spans="1:14" ht="12" customHeight="1" x14ac:dyDescent="0.25">
      <c r="A112" s="1218" t="s">
        <v>1616</v>
      </c>
      <c r="B112" s="73"/>
      <c r="C112" s="74">
        <f t="shared" si="19"/>
        <v>0</v>
      </c>
      <c r="D112" s="75">
        <f t="shared" ref="D112:M112" si="26">D16+D48+D80</f>
        <v>0</v>
      </c>
      <c r="E112" s="75">
        <f t="shared" si="26"/>
        <v>0</v>
      </c>
      <c r="F112" s="75">
        <f t="shared" si="26"/>
        <v>0</v>
      </c>
      <c r="G112" s="75">
        <f t="shared" si="26"/>
        <v>0</v>
      </c>
      <c r="H112" s="75">
        <f t="shared" si="26"/>
        <v>0</v>
      </c>
      <c r="I112" s="75">
        <f t="shared" si="26"/>
        <v>0</v>
      </c>
      <c r="J112" s="75">
        <f t="shared" si="26"/>
        <v>0</v>
      </c>
      <c r="K112" s="75">
        <f t="shared" si="26"/>
        <v>0</v>
      </c>
      <c r="L112" s="75">
        <f t="shared" si="26"/>
        <v>0</v>
      </c>
      <c r="M112" s="76">
        <f t="shared" si="26"/>
        <v>0</v>
      </c>
      <c r="N112" s="126"/>
    </row>
    <row r="113" spans="1:14" ht="12" customHeight="1" x14ac:dyDescent="0.25">
      <c r="A113" s="1219" t="s">
        <v>766</v>
      </c>
      <c r="B113" s="73"/>
      <c r="C113" s="74">
        <f t="shared" si="19"/>
        <v>9467783</v>
      </c>
      <c r="D113" s="75">
        <f t="shared" ref="D113:M113" si="27">D17+D49+D81</f>
        <v>17191768</v>
      </c>
      <c r="E113" s="75">
        <f t="shared" si="27"/>
        <v>0</v>
      </c>
      <c r="F113" s="75">
        <f t="shared" si="27"/>
        <v>0</v>
      </c>
      <c r="G113" s="75">
        <f t="shared" si="27"/>
        <v>0</v>
      </c>
      <c r="H113" s="75">
        <f t="shared" si="27"/>
        <v>0</v>
      </c>
      <c r="I113" s="75">
        <f t="shared" si="27"/>
        <v>1333200</v>
      </c>
      <c r="J113" s="75">
        <f t="shared" si="27"/>
        <v>1333200</v>
      </c>
      <c r="K113" s="75">
        <f t="shared" si="27"/>
        <v>18524968</v>
      </c>
      <c r="L113" s="75">
        <f t="shared" si="27"/>
        <v>17027000</v>
      </c>
      <c r="M113" s="76">
        <f t="shared" si="27"/>
        <v>17781000</v>
      </c>
      <c r="N113" s="126"/>
    </row>
    <row r="114" spans="1:14" ht="12" customHeight="1" x14ac:dyDescent="0.25">
      <c r="A114" s="1220" t="s">
        <v>1621</v>
      </c>
      <c r="B114" s="73"/>
      <c r="C114" s="74">
        <f t="shared" si="19"/>
        <v>9528984</v>
      </c>
      <c r="D114" s="75">
        <f t="shared" ref="D114:M114" si="28">D18+D50+D82</f>
        <v>9528984</v>
      </c>
      <c r="E114" s="75">
        <f t="shared" si="28"/>
        <v>0</v>
      </c>
      <c r="F114" s="75">
        <f t="shared" si="28"/>
        <v>0</v>
      </c>
      <c r="G114" s="75">
        <f t="shared" si="28"/>
        <v>0</v>
      </c>
      <c r="H114" s="75">
        <f t="shared" si="28"/>
        <v>0</v>
      </c>
      <c r="I114" s="75">
        <f t="shared" si="28"/>
        <v>1936585</v>
      </c>
      <c r="J114" s="75">
        <f t="shared" si="28"/>
        <v>1936585</v>
      </c>
      <c r="K114" s="75">
        <f t="shared" si="28"/>
        <v>11465569</v>
      </c>
      <c r="L114" s="75">
        <f t="shared" si="28"/>
        <v>0</v>
      </c>
      <c r="M114" s="76">
        <f t="shared" si="28"/>
        <v>0</v>
      </c>
      <c r="N114" s="126"/>
    </row>
    <row r="115" spans="1:14" ht="12" customHeight="1" x14ac:dyDescent="0.25">
      <c r="A115" s="1220" t="s">
        <v>1639</v>
      </c>
      <c r="B115" s="73"/>
      <c r="C115" s="74">
        <f t="shared" si="19"/>
        <v>0</v>
      </c>
      <c r="D115" s="75">
        <f t="shared" ref="D115:M115" si="29">D19+D51+D83</f>
        <v>0</v>
      </c>
      <c r="E115" s="75">
        <f t="shared" si="29"/>
        <v>0</v>
      </c>
      <c r="F115" s="75">
        <f t="shared" si="29"/>
        <v>0</v>
      </c>
      <c r="G115" s="75">
        <f t="shared" si="29"/>
        <v>0</v>
      </c>
      <c r="H115" s="75">
        <f t="shared" si="29"/>
        <v>0</v>
      </c>
      <c r="I115" s="75">
        <f t="shared" si="29"/>
        <v>0</v>
      </c>
      <c r="J115" s="75">
        <f t="shared" si="29"/>
        <v>0</v>
      </c>
      <c r="K115" s="75">
        <f t="shared" si="29"/>
        <v>0</v>
      </c>
      <c r="L115" s="75">
        <f t="shared" si="29"/>
        <v>0</v>
      </c>
      <c r="M115" s="76">
        <f t="shared" si="29"/>
        <v>0</v>
      </c>
      <c r="N115" s="126"/>
    </row>
    <row r="116" spans="1:14" ht="12" customHeight="1" x14ac:dyDescent="0.25">
      <c r="A116" s="1219" t="s">
        <v>1620</v>
      </c>
      <c r="B116" s="73"/>
      <c r="C116" s="74">
        <f t="shared" si="19"/>
        <v>9528984</v>
      </c>
      <c r="D116" s="75">
        <f t="shared" ref="D116:M116" si="30">D20+D52+D84</f>
        <v>9528984</v>
      </c>
      <c r="E116" s="75">
        <f t="shared" si="30"/>
        <v>0</v>
      </c>
      <c r="F116" s="75">
        <f t="shared" si="30"/>
        <v>0</v>
      </c>
      <c r="G116" s="75">
        <f t="shared" si="30"/>
        <v>0</v>
      </c>
      <c r="H116" s="75">
        <f t="shared" si="30"/>
        <v>0</v>
      </c>
      <c r="I116" s="75">
        <f t="shared" si="30"/>
        <v>1936585</v>
      </c>
      <c r="J116" s="75">
        <f t="shared" si="30"/>
        <v>1936585</v>
      </c>
      <c r="K116" s="75">
        <f t="shared" si="30"/>
        <v>11465569</v>
      </c>
      <c r="L116" s="75">
        <f t="shared" si="30"/>
        <v>0</v>
      </c>
      <c r="M116" s="76">
        <f t="shared" si="30"/>
        <v>0</v>
      </c>
      <c r="N116" s="126"/>
    </row>
    <row r="117" spans="1:14" ht="12" customHeight="1" x14ac:dyDescent="0.25">
      <c r="A117" s="1221" t="s">
        <v>1367</v>
      </c>
      <c r="B117" s="73"/>
      <c r="C117" s="74">
        <f t="shared" si="19"/>
        <v>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0</v>
      </c>
      <c r="L117" s="75">
        <f t="shared" si="31"/>
        <v>0</v>
      </c>
      <c r="M117" s="76">
        <f t="shared" si="31"/>
        <v>0</v>
      </c>
      <c r="N117" s="126"/>
    </row>
    <row r="118" spans="1:14" ht="12" customHeight="1" x14ac:dyDescent="0.25">
      <c r="A118" s="1220" t="s">
        <v>1647</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6"/>
    </row>
    <row r="119" spans="1:14" ht="12" customHeight="1" x14ac:dyDescent="0.25">
      <c r="A119" s="1220" t="s">
        <v>1650</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6"/>
    </row>
    <row r="120" spans="1:14" ht="12" customHeight="1" x14ac:dyDescent="0.25">
      <c r="A120" s="1219" t="s">
        <v>768</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6"/>
    </row>
    <row r="121" spans="1:14" ht="12" customHeight="1" x14ac:dyDescent="0.25">
      <c r="A121" s="1220" t="s">
        <v>1651</v>
      </c>
      <c r="B121" s="73"/>
      <c r="C121" s="74">
        <f t="shared" si="19"/>
        <v>6000000</v>
      </c>
      <c r="D121" s="75">
        <f t="shared" ref="D121:M121" si="35">D25+D57+D89</f>
        <v>6000000</v>
      </c>
      <c r="E121" s="75">
        <f t="shared" si="35"/>
        <v>0</v>
      </c>
      <c r="F121" s="75">
        <f t="shared" si="35"/>
        <v>0</v>
      </c>
      <c r="G121" s="75">
        <f t="shared" si="35"/>
        <v>0</v>
      </c>
      <c r="H121" s="75">
        <f t="shared" si="35"/>
        <v>0</v>
      </c>
      <c r="I121" s="75">
        <f t="shared" si="35"/>
        <v>-2928049</v>
      </c>
      <c r="J121" s="75">
        <f t="shared" si="35"/>
        <v>-2928049</v>
      </c>
      <c r="K121" s="75">
        <f t="shared" si="35"/>
        <v>3071951</v>
      </c>
      <c r="L121" s="75">
        <f t="shared" si="35"/>
        <v>15200000</v>
      </c>
      <c r="M121" s="76">
        <f t="shared" si="35"/>
        <v>5000000</v>
      </c>
      <c r="N121" s="126"/>
    </row>
    <row r="122" spans="1:14" ht="12" customHeight="1" x14ac:dyDescent="0.25">
      <c r="A122" s="1220" t="s">
        <v>621</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6"/>
    </row>
    <row r="123" spans="1:14" ht="12" customHeight="1" x14ac:dyDescent="0.25">
      <c r="A123" s="1219" t="s">
        <v>1368</v>
      </c>
      <c r="B123" s="73"/>
      <c r="C123" s="74">
        <f t="shared" si="19"/>
        <v>6000000</v>
      </c>
      <c r="D123" s="75">
        <f t="shared" ref="D123:M123" si="37">D27+D59+D91</f>
        <v>6000000</v>
      </c>
      <c r="E123" s="75">
        <f t="shared" si="37"/>
        <v>0</v>
      </c>
      <c r="F123" s="75">
        <f t="shared" si="37"/>
        <v>0</v>
      </c>
      <c r="G123" s="75">
        <f t="shared" si="37"/>
        <v>0</v>
      </c>
      <c r="H123" s="75">
        <f t="shared" si="37"/>
        <v>0</v>
      </c>
      <c r="I123" s="75">
        <f t="shared" si="37"/>
        <v>-2928049</v>
      </c>
      <c r="J123" s="75">
        <f t="shared" si="37"/>
        <v>-2928049</v>
      </c>
      <c r="K123" s="75">
        <f t="shared" si="37"/>
        <v>3071951</v>
      </c>
      <c r="L123" s="75">
        <f t="shared" si="37"/>
        <v>15200000</v>
      </c>
      <c r="M123" s="76">
        <f t="shared" si="37"/>
        <v>5000000</v>
      </c>
      <c r="N123" s="126"/>
    </row>
    <row r="124" spans="1:14" ht="12" customHeight="1" x14ac:dyDescent="0.25">
      <c r="A124" s="1221" t="s">
        <v>1664</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6"/>
    </row>
    <row r="125" spans="1:14" ht="12" customHeight="1" x14ac:dyDescent="0.25">
      <c r="A125" s="1220" t="s">
        <v>1666</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6"/>
    </row>
    <row r="126" spans="1:14" ht="12" customHeight="1" x14ac:dyDescent="0.25">
      <c r="A126" s="1220" t="s">
        <v>1667</v>
      </c>
      <c r="B126" s="73"/>
      <c r="C126" s="74">
        <f t="shared" si="19"/>
        <v>0</v>
      </c>
      <c r="D126" s="75">
        <f t="shared" ref="D126:M126" si="40">D30+D62+D94</f>
        <v>0</v>
      </c>
      <c r="E126" s="75">
        <f t="shared" si="40"/>
        <v>0</v>
      </c>
      <c r="F126" s="75">
        <f t="shared" si="40"/>
        <v>0</v>
      </c>
      <c r="G126" s="75">
        <f t="shared" si="40"/>
        <v>0</v>
      </c>
      <c r="H126" s="75">
        <f t="shared" si="40"/>
        <v>0</v>
      </c>
      <c r="I126" s="75">
        <f t="shared" si="40"/>
        <v>0</v>
      </c>
      <c r="J126" s="75">
        <f t="shared" si="40"/>
        <v>0</v>
      </c>
      <c r="K126" s="75">
        <f t="shared" si="40"/>
        <v>0</v>
      </c>
      <c r="L126" s="75">
        <f t="shared" si="40"/>
        <v>0</v>
      </c>
      <c r="M126" s="76">
        <f t="shared" si="40"/>
        <v>0</v>
      </c>
      <c r="N126" s="126"/>
    </row>
    <row r="127" spans="1:14" ht="12" customHeight="1" x14ac:dyDescent="0.25">
      <c r="A127" s="1219" t="s">
        <v>1665</v>
      </c>
      <c r="B127" s="73"/>
      <c r="C127" s="74">
        <f t="shared" si="19"/>
        <v>0</v>
      </c>
      <c r="D127" s="75">
        <f t="shared" ref="D127:M127" si="41">D31+D63+D95</f>
        <v>0</v>
      </c>
      <c r="E127" s="75">
        <f t="shared" si="41"/>
        <v>0</v>
      </c>
      <c r="F127" s="75">
        <f t="shared" si="41"/>
        <v>0</v>
      </c>
      <c r="G127" s="75">
        <f t="shared" si="41"/>
        <v>0</v>
      </c>
      <c r="H127" s="75">
        <f t="shared" si="41"/>
        <v>0</v>
      </c>
      <c r="I127" s="75">
        <f t="shared" si="41"/>
        <v>0</v>
      </c>
      <c r="J127" s="75">
        <f t="shared" si="41"/>
        <v>0</v>
      </c>
      <c r="K127" s="75">
        <f t="shared" si="41"/>
        <v>0</v>
      </c>
      <c r="L127" s="75">
        <f t="shared" si="41"/>
        <v>0</v>
      </c>
      <c r="M127" s="76">
        <f t="shared" si="41"/>
        <v>0</v>
      </c>
      <c r="N127" s="126"/>
    </row>
    <row r="128" spans="1:14" ht="12" customHeight="1" x14ac:dyDescent="0.25">
      <c r="A128" s="1222" t="s">
        <v>1674</v>
      </c>
      <c r="B128" s="73"/>
      <c r="C128" s="74">
        <f t="shared" si="19"/>
        <v>300000</v>
      </c>
      <c r="D128" s="75">
        <f t="shared" ref="D128:M128" si="42">D32+D64+D96</f>
        <v>300000</v>
      </c>
      <c r="E128" s="75">
        <f t="shared" si="42"/>
        <v>0</v>
      </c>
      <c r="F128" s="75">
        <f t="shared" si="42"/>
        <v>0</v>
      </c>
      <c r="G128" s="75">
        <f t="shared" si="42"/>
        <v>0</v>
      </c>
      <c r="H128" s="75">
        <f t="shared" si="42"/>
        <v>0</v>
      </c>
      <c r="I128" s="75">
        <f t="shared" si="42"/>
        <v>0</v>
      </c>
      <c r="J128" s="75">
        <f t="shared" si="42"/>
        <v>0</v>
      </c>
      <c r="K128" s="75">
        <f t="shared" si="42"/>
        <v>300000</v>
      </c>
      <c r="L128" s="75">
        <f t="shared" si="42"/>
        <v>0</v>
      </c>
      <c r="M128" s="76">
        <f t="shared" si="42"/>
        <v>400000</v>
      </c>
      <c r="N128" s="126"/>
    </row>
    <row r="129" spans="1:29" ht="12" customHeight="1" x14ac:dyDescent="0.25">
      <c r="A129" s="1221" t="s">
        <v>1675</v>
      </c>
      <c r="B129" s="73"/>
      <c r="C129" s="74">
        <f t="shared" si="19"/>
        <v>400000</v>
      </c>
      <c r="D129" s="75">
        <f t="shared" ref="D129:M129" si="43">D33+D65+D97</f>
        <v>400000</v>
      </c>
      <c r="E129" s="75">
        <f t="shared" si="43"/>
        <v>0</v>
      </c>
      <c r="F129" s="75">
        <f t="shared" si="43"/>
        <v>0</v>
      </c>
      <c r="G129" s="75">
        <f t="shared" si="43"/>
        <v>0</v>
      </c>
      <c r="H129" s="75">
        <f t="shared" si="43"/>
        <v>0</v>
      </c>
      <c r="I129" s="75">
        <f t="shared" si="43"/>
        <v>0</v>
      </c>
      <c r="J129" s="75">
        <f t="shared" si="43"/>
        <v>0</v>
      </c>
      <c r="K129" s="75">
        <f t="shared" si="43"/>
        <v>400000</v>
      </c>
      <c r="L129" s="75">
        <f t="shared" si="43"/>
        <v>0</v>
      </c>
      <c r="M129" s="76">
        <f t="shared" si="43"/>
        <v>1200000</v>
      </c>
      <c r="N129" s="126"/>
    </row>
    <row r="130" spans="1:29" ht="12" customHeight="1" x14ac:dyDescent="0.25">
      <c r="A130" s="1221" t="s">
        <v>1676</v>
      </c>
      <c r="B130" s="73"/>
      <c r="C130" s="74">
        <f t="shared" si="19"/>
        <v>0</v>
      </c>
      <c r="D130" s="75">
        <f t="shared" ref="D130:M130" si="44">D34+D66+D98</f>
        <v>0</v>
      </c>
      <c r="E130" s="75">
        <f t="shared" si="44"/>
        <v>0</v>
      </c>
      <c r="F130" s="75">
        <f t="shared" si="44"/>
        <v>0</v>
      </c>
      <c r="G130" s="75">
        <f t="shared" si="44"/>
        <v>0</v>
      </c>
      <c r="H130" s="75">
        <f t="shared" si="44"/>
        <v>0</v>
      </c>
      <c r="I130" s="75">
        <f t="shared" si="44"/>
        <v>0</v>
      </c>
      <c r="J130" s="75">
        <f t="shared" si="44"/>
        <v>0</v>
      </c>
      <c r="K130" s="75">
        <f t="shared" si="44"/>
        <v>0</v>
      </c>
      <c r="L130" s="75">
        <f t="shared" si="44"/>
        <v>0</v>
      </c>
      <c r="M130" s="76">
        <f t="shared" si="44"/>
        <v>0</v>
      </c>
      <c r="N130" s="126"/>
    </row>
    <row r="131" spans="1:29" ht="12" customHeight="1" x14ac:dyDescent="0.25">
      <c r="A131" s="1222" t="s">
        <v>1677</v>
      </c>
      <c r="B131" s="73"/>
      <c r="C131" s="74">
        <f t="shared" si="19"/>
        <v>0</v>
      </c>
      <c r="D131" s="75">
        <f t="shared" ref="D131:M131" si="45">D35+D67+D99</f>
        <v>0</v>
      </c>
      <c r="E131" s="75">
        <f t="shared" si="45"/>
        <v>0</v>
      </c>
      <c r="F131" s="75">
        <f t="shared" si="45"/>
        <v>0</v>
      </c>
      <c r="G131" s="75">
        <f t="shared" si="45"/>
        <v>0</v>
      </c>
      <c r="H131" s="75">
        <f t="shared" si="45"/>
        <v>0</v>
      </c>
      <c r="I131" s="75">
        <f t="shared" si="45"/>
        <v>0</v>
      </c>
      <c r="J131" s="75">
        <f t="shared" si="45"/>
        <v>0</v>
      </c>
      <c r="K131" s="75">
        <f t="shared" si="45"/>
        <v>0</v>
      </c>
      <c r="L131" s="75">
        <f t="shared" si="45"/>
        <v>0</v>
      </c>
      <c r="M131" s="76">
        <f t="shared" si="45"/>
        <v>0</v>
      </c>
      <c r="N131" s="126"/>
    </row>
    <row r="132" spans="1:29" ht="12" customHeight="1" x14ac:dyDescent="0.25">
      <c r="A132" s="1221" t="s">
        <v>1734</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6"/>
    </row>
    <row r="133" spans="1:29" ht="12" customHeight="1" x14ac:dyDescent="0.25">
      <c r="A133" s="1221" t="s">
        <v>1678</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6"/>
    </row>
    <row r="134" spans="1:29" ht="12.75" customHeight="1" x14ac:dyDescent="0.25">
      <c r="A134" s="160" t="s">
        <v>1129</v>
      </c>
      <c r="B134" s="79">
        <v>4</v>
      </c>
      <c r="C134" s="80">
        <f>C7+C39+C71</f>
        <v>25696767</v>
      </c>
      <c r="D134" s="81">
        <f t="shared" ref="D134:M134" si="48">D7+D39+D71</f>
        <v>33420752</v>
      </c>
      <c r="E134" s="81">
        <f t="shared" si="48"/>
        <v>0</v>
      </c>
      <c r="F134" s="81">
        <f t="shared" si="48"/>
        <v>0</v>
      </c>
      <c r="G134" s="81">
        <f t="shared" si="48"/>
        <v>0</v>
      </c>
      <c r="H134" s="81">
        <f t="shared" si="48"/>
        <v>0</v>
      </c>
      <c r="I134" s="81">
        <f t="shared" si="48"/>
        <v>341736</v>
      </c>
      <c r="J134" s="81">
        <f t="shared" si="48"/>
        <v>341736</v>
      </c>
      <c r="K134" s="81">
        <f t="shared" si="48"/>
        <v>33762488</v>
      </c>
      <c r="L134" s="81">
        <f t="shared" si="48"/>
        <v>32227000</v>
      </c>
      <c r="M134" s="82">
        <f t="shared" si="48"/>
        <v>24381000</v>
      </c>
      <c r="N134" s="126"/>
    </row>
    <row r="135" spans="1:29" ht="5.0999999999999996" customHeight="1" x14ac:dyDescent="0.25">
      <c r="A135" s="134"/>
      <c r="B135" s="73"/>
      <c r="C135" s="74"/>
      <c r="D135" s="75"/>
      <c r="E135" s="75"/>
      <c r="F135" s="75"/>
      <c r="G135" s="75"/>
      <c r="H135" s="75"/>
      <c r="I135" s="75"/>
      <c r="J135" s="75"/>
      <c r="K135" s="75"/>
      <c r="L135" s="75"/>
      <c r="M135" s="76"/>
      <c r="N135" s="126"/>
    </row>
    <row r="136" spans="1:29" ht="12.75" customHeight="1" x14ac:dyDescent="0.25">
      <c r="A136" s="137" t="s">
        <v>770</v>
      </c>
      <c r="B136" s="73">
        <v>5</v>
      </c>
      <c r="C136" s="129">
        <f>C146+C149+C150+C153+C156+C157+SUM(C160:C166)</f>
        <v>148004742</v>
      </c>
      <c r="D136" s="171">
        <f t="shared" ref="D136:M136" si="49">D146+D149+D150+D153+D156+D157+SUM(D160:D166)</f>
        <v>154249742</v>
      </c>
      <c r="E136" s="171">
        <f t="shared" si="49"/>
        <v>0</v>
      </c>
      <c r="F136" s="171">
        <f t="shared" si="49"/>
        <v>0</v>
      </c>
      <c r="G136" s="171">
        <f t="shared" si="49"/>
        <v>0</v>
      </c>
      <c r="H136" s="171">
        <f t="shared" si="49"/>
        <v>0</v>
      </c>
      <c r="I136" s="171">
        <f t="shared" si="49"/>
        <v>-136229941</v>
      </c>
      <c r="J136" s="75">
        <f t="shared" si="49"/>
        <v>-136229941</v>
      </c>
      <c r="K136" s="75">
        <f t="shared" si="49"/>
        <v>18019801</v>
      </c>
      <c r="L136" s="171">
        <f t="shared" si="49"/>
        <v>15200000</v>
      </c>
      <c r="M136" s="172">
        <f t="shared" si="49"/>
        <v>6600000</v>
      </c>
      <c r="N136" s="126"/>
    </row>
    <row r="137" spans="1:29" ht="12.75" customHeight="1" x14ac:dyDescent="0.25">
      <c r="A137" s="1218" t="str">
        <f>+A8</f>
        <v>Roads Infrastructure</v>
      </c>
      <c r="B137" s="73"/>
      <c r="C137" s="1355">
        <f>SUMIFS(Sheet1!S71_OriginalBudget,Sheet1!S71_A9Code,$AC:$AC)</f>
        <v>50661924</v>
      </c>
      <c r="D137" s="1356">
        <f>SUMIFS(Sheet1!S71_SpecialAdjustedBudget,Sheet1!S71_A9Code,$AC:$AC)</f>
        <v>56906924</v>
      </c>
      <c r="E137" s="1356"/>
      <c r="F137" s="1356"/>
      <c r="G137" s="1356"/>
      <c r="H137" s="1356"/>
      <c r="I137" s="1356">
        <f>SUMIFS(Sheet1!S71_AdjustmentAmount,Sheet1!S71_A9Code,$AC:$AC)</f>
        <v>-41659074</v>
      </c>
      <c r="J137" s="75">
        <f t="shared" ref="J137:J145" si="50">SUM(E137:I137)</f>
        <v>-41659074</v>
      </c>
      <c r="K137" s="75">
        <f t="shared" ref="K137:K150" si="51">IF(D137=0,C137+J137,D137+J137)</f>
        <v>15247850</v>
      </c>
      <c r="L137" s="1356">
        <f>SUMIFS(Sheet1!S71_OY1AdjustedBudget,Sheet1!S71_A9Code,$AC:$AC)</f>
        <v>0</v>
      </c>
      <c r="M137" s="1357">
        <f>SUMIFS(Sheet1!S71_OY2AdjustedBudget,Sheet1!S71_A9Code,$AC:$AC)</f>
        <v>0</v>
      </c>
      <c r="N137" s="126"/>
      <c r="AC137" s="1336" t="s">
        <v>2134</v>
      </c>
    </row>
    <row r="138" spans="1:29" ht="12.75" customHeight="1" x14ac:dyDescent="0.25">
      <c r="A138" s="1218" t="str">
        <f t="shared" ref="A138:A166" si="52">+A9</f>
        <v>Storm water Infrastructure</v>
      </c>
      <c r="B138" s="73"/>
      <c r="C138" s="1355">
        <f>SUMIFS(Sheet1!S71_OriginalBudget,Sheet1!S71_A9Code,$AC:$AC)</f>
        <v>0</v>
      </c>
      <c r="D138" s="1356">
        <f>SUMIFS(Sheet1!S71_SpecialAdjustedBudget,Sheet1!S71_A9Code,$AC:$AC)</f>
        <v>0</v>
      </c>
      <c r="E138" s="1356"/>
      <c r="F138" s="1356"/>
      <c r="G138" s="1356"/>
      <c r="H138" s="1356"/>
      <c r="I138" s="1356">
        <f>SUMIFS(Sheet1!S71_AdjustmentAmount,Sheet1!S71_A9Code,$AC:$AC)</f>
        <v>0</v>
      </c>
      <c r="J138" s="75">
        <f t="shared" si="50"/>
        <v>0</v>
      </c>
      <c r="K138" s="75">
        <f>IF(D138=0,C138+J138,D138+J138)</f>
        <v>0</v>
      </c>
      <c r="L138" s="1356">
        <f>SUMIFS(Sheet1!S71_OY1AdjustedBudget,Sheet1!S71_A9Code,$AC:$AC)</f>
        <v>0</v>
      </c>
      <c r="M138" s="1357">
        <f>SUMIFS(Sheet1!S71_OY2AdjustedBudget,Sheet1!S71_A9Code,$AC:$AC)</f>
        <v>0</v>
      </c>
      <c r="N138" s="126"/>
      <c r="AC138" s="1336" t="s">
        <v>1863</v>
      </c>
    </row>
    <row r="139" spans="1:29" ht="12.75" customHeight="1" x14ac:dyDescent="0.25">
      <c r="A139" s="1218" t="str">
        <f t="shared" si="52"/>
        <v>Electrical Infrastructure</v>
      </c>
      <c r="B139" s="135"/>
      <c r="C139" s="1355">
        <f>SUMIFS(Sheet1!S71_OriginalBudget,Sheet1!S71_A9Code,$AC:$AC)</f>
        <v>0</v>
      </c>
      <c r="D139" s="1356">
        <f>SUMIFS(Sheet1!S71_SpecialAdjustedBudget,Sheet1!S71_A9Code,$AC:$AC)</f>
        <v>0</v>
      </c>
      <c r="E139" s="1356"/>
      <c r="F139" s="1356"/>
      <c r="G139" s="1356"/>
      <c r="H139" s="1356"/>
      <c r="I139" s="1356">
        <f>SUMIFS(Sheet1!S71_AdjustmentAmount,Sheet1!S71_A9Code,$AC:$AC)</f>
        <v>0</v>
      </c>
      <c r="J139" s="75">
        <f t="shared" si="50"/>
        <v>0</v>
      </c>
      <c r="K139" s="75">
        <f>IF(D139=0,C139+J139,D139+J139)</f>
        <v>0</v>
      </c>
      <c r="L139" s="1356">
        <f>SUMIFS(Sheet1!S71_OY1AdjustedBudget,Sheet1!S71_A9Code,$AC:$AC)</f>
        <v>0</v>
      </c>
      <c r="M139" s="1357">
        <f>SUMIFS(Sheet1!S71_OY2AdjustedBudget,Sheet1!S71_A9Code,$AC:$AC)</f>
        <v>0</v>
      </c>
      <c r="N139" s="126"/>
      <c r="AC139" s="1336" t="s">
        <v>1814</v>
      </c>
    </row>
    <row r="140" spans="1:29" ht="12.75" customHeight="1" x14ac:dyDescent="0.25">
      <c r="A140" s="1218" t="str">
        <f t="shared" si="52"/>
        <v>Water Supply Infrastructure</v>
      </c>
      <c r="B140" s="73"/>
      <c r="C140" s="1355">
        <f>SUMIFS(Sheet1!S71_OriginalBudget,Sheet1!S71_A9Code,$AC:$AC)</f>
        <v>0</v>
      </c>
      <c r="D140" s="1356">
        <f>SUMIFS(Sheet1!S71_SpecialAdjustedBudget,Sheet1!S71_A9Code,$AC:$AC)</f>
        <v>0</v>
      </c>
      <c r="E140" s="1356"/>
      <c r="F140" s="1356"/>
      <c r="G140" s="1356"/>
      <c r="H140" s="1356"/>
      <c r="I140" s="1356">
        <f>SUMIFS(Sheet1!S71_AdjustmentAmount,Sheet1!S71_A9Code,$AC:$AC)</f>
        <v>0</v>
      </c>
      <c r="J140" s="75">
        <f t="shared" si="50"/>
        <v>0</v>
      </c>
      <c r="K140" s="75">
        <f>IF(D140=0,C140+J140,D140+J140)</f>
        <v>0</v>
      </c>
      <c r="L140" s="1356">
        <f>SUMIFS(Sheet1!S71_OY1AdjustedBudget,Sheet1!S71_A9Code,$AC:$AC)</f>
        <v>0</v>
      </c>
      <c r="M140" s="1357">
        <f>SUMIFS(Sheet1!S71_OY2AdjustedBudget,Sheet1!S71_A9Code,$AC:$AC)</f>
        <v>0</v>
      </c>
      <c r="N140" s="126"/>
      <c r="AC140" s="1336" t="s">
        <v>1815</v>
      </c>
    </row>
    <row r="141" spans="1:29" ht="12.75" customHeight="1" x14ac:dyDescent="0.25">
      <c r="A141" s="1218" t="str">
        <f t="shared" si="52"/>
        <v>Sanitation Infrastructure</v>
      </c>
      <c r="B141" s="73"/>
      <c r="C141" s="1355">
        <f>SUMIFS(Sheet1!S71_OriginalBudget,Sheet1!S71_A9Code,$AC:$AC)</f>
        <v>0</v>
      </c>
      <c r="D141" s="1356">
        <f>SUMIFS(Sheet1!S71_SpecialAdjustedBudget,Sheet1!S71_A9Code,$AC:$AC)</f>
        <v>0</v>
      </c>
      <c r="E141" s="1356"/>
      <c r="F141" s="1356"/>
      <c r="G141" s="1356"/>
      <c r="H141" s="1356"/>
      <c r="I141" s="1356">
        <f>SUMIFS(Sheet1!S71_AdjustmentAmount,Sheet1!S71_A9Code,$AC:$AC)</f>
        <v>0</v>
      </c>
      <c r="J141" s="75">
        <f t="shared" si="50"/>
        <v>0</v>
      </c>
      <c r="K141" s="75">
        <f>IF(D141=0,C141+J141,D141+J141)</f>
        <v>0</v>
      </c>
      <c r="L141" s="1356">
        <f>SUMIFS(Sheet1!S71_OY1AdjustedBudget,Sheet1!S71_A9Code,$AC:$AC)</f>
        <v>0</v>
      </c>
      <c r="M141" s="1357">
        <f>SUMIFS(Sheet1!S71_OY2AdjustedBudget,Sheet1!S71_A9Code,$AC:$AC)</f>
        <v>0</v>
      </c>
      <c r="N141" s="126"/>
      <c r="AC141" s="1336" t="s">
        <v>1877</v>
      </c>
    </row>
    <row r="142" spans="1:29" ht="12.75" customHeight="1" x14ac:dyDescent="0.25">
      <c r="A142" s="1218" t="str">
        <f t="shared" si="52"/>
        <v>Solid Waste Infrastructure</v>
      </c>
      <c r="B142" s="73"/>
      <c r="C142" s="1355">
        <f>SUMIFS(Sheet1!S71_OriginalBudget,Sheet1!S71_A9Code,$AC:$AC)</f>
        <v>0</v>
      </c>
      <c r="D142" s="1356">
        <f>SUMIFS(Sheet1!S71_SpecialAdjustedBudget,Sheet1!S71_A9Code,$AC:$AC)</f>
        <v>0</v>
      </c>
      <c r="E142" s="1356"/>
      <c r="F142" s="1356"/>
      <c r="G142" s="1356"/>
      <c r="H142" s="1356"/>
      <c r="I142" s="1356">
        <f>SUMIFS(Sheet1!S71_AdjustmentAmount,Sheet1!S71_A9Code,$AC:$AC)</f>
        <v>0</v>
      </c>
      <c r="J142" s="75">
        <f t="shared" si="50"/>
        <v>0</v>
      </c>
      <c r="K142" s="75">
        <f t="shared" si="51"/>
        <v>0</v>
      </c>
      <c r="L142" s="1356">
        <f>SUMIFS(Sheet1!S71_OY1AdjustedBudget,Sheet1!S71_A9Code,$AC:$AC)</f>
        <v>0</v>
      </c>
      <c r="M142" s="1357">
        <f>SUMIFS(Sheet1!S71_OY2AdjustedBudget,Sheet1!S71_A9Code,$AC:$AC)</f>
        <v>0</v>
      </c>
      <c r="N142" s="126"/>
      <c r="AC142" s="1336" t="s">
        <v>2135</v>
      </c>
    </row>
    <row r="143" spans="1:29" ht="12.75" customHeight="1" x14ac:dyDescent="0.25">
      <c r="A143" s="1218" t="str">
        <f t="shared" si="52"/>
        <v>Rail Infrastructure</v>
      </c>
      <c r="B143" s="135"/>
      <c r="C143" s="1355">
        <f>SUMIFS(Sheet1!S71_OriginalBudget,Sheet1!S71_A9Code,$AC:$AC)</f>
        <v>0</v>
      </c>
      <c r="D143" s="1356">
        <f>SUMIFS(Sheet1!S71_SpecialAdjustedBudget,Sheet1!S71_A9Code,$AC:$AC)</f>
        <v>0</v>
      </c>
      <c r="E143" s="1356"/>
      <c r="F143" s="1356"/>
      <c r="G143" s="1356"/>
      <c r="H143" s="1356"/>
      <c r="I143" s="1356">
        <f>SUMIFS(Sheet1!S71_AdjustmentAmount,Sheet1!S71_A9Code,$AC:$AC)</f>
        <v>0</v>
      </c>
      <c r="J143" s="75">
        <f t="shared" si="50"/>
        <v>0</v>
      </c>
      <c r="K143" s="75">
        <f t="shared" si="51"/>
        <v>0</v>
      </c>
      <c r="L143" s="1356">
        <f>SUMIFS(Sheet1!S71_OY1AdjustedBudget,Sheet1!S71_A9Code,$AC:$AC)</f>
        <v>0</v>
      </c>
      <c r="M143" s="1357">
        <f>SUMIFS(Sheet1!S71_OY2AdjustedBudget,Sheet1!S71_A9Code,$AC:$AC)</f>
        <v>0</v>
      </c>
      <c r="N143" s="126"/>
      <c r="AC143" s="1336" t="s">
        <v>2136</v>
      </c>
    </row>
    <row r="144" spans="1:29" ht="12.75" customHeight="1" x14ac:dyDescent="0.25">
      <c r="A144" s="1218" t="str">
        <f t="shared" si="52"/>
        <v>Coastal Infrastructure</v>
      </c>
      <c r="B144" s="73"/>
      <c r="C144" s="1355">
        <f>SUMIFS(Sheet1!S71_OriginalBudget,Sheet1!S71_A9Code,$AC:$AC)</f>
        <v>0</v>
      </c>
      <c r="D144" s="1356">
        <f>SUMIFS(Sheet1!S71_SpecialAdjustedBudget,Sheet1!S71_A9Code,$AC:$AC)</f>
        <v>0</v>
      </c>
      <c r="E144" s="1356"/>
      <c r="F144" s="1356"/>
      <c r="G144" s="1356"/>
      <c r="H144" s="1356"/>
      <c r="I144" s="1356">
        <f>SUMIFS(Sheet1!S71_AdjustmentAmount,Sheet1!S71_A9Code,$AC:$AC)</f>
        <v>0</v>
      </c>
      <c r="J144" s="75">
        <f t="shared" si="50"/>
        <v>0</v>
      </c>
      <c r="K144" s="75">
        <f t="shared" si="51"/>
        <v>0</v>
      </c>
      <c r="L144" s="1356">
        <f>SUMIFS(Sheet1!S71_OY1AdjustedBudget,Sheet1!S71_A9Code,$AC:$AC)</f>
        <v>0</v>
      </c>
      <c r="M144" s="1357">
        <f>SUMIFS(Sheet1!S71_OY2AdjustedBudget,Sheet1!S71_A9Code,$AC:$AC)</f>
        <v>0</v>
      </c>
      <c r="N144" s="126"/>
      <c r="AC144" s="1336" t="s">
        <v>2137</v>
      </c>
    </row>
    <row r="145" spans="1:30" ht="12.75" customHeight="1" x14ac:dyDescent="0.25">
      <c r="A145" s="1218" t="str">
        <f t="shared" si="52"/>
        <v>Information and Communication Infrastructure</v>
      </c>
      <c r="B145" s="73"/>
      <c r="C145" s="1355">
        <f>SUMIFS(Sheet1!S71_OriginalBudget,Sheet1!S71_A9Code,$AC:$AC)</f>
        <v>0</v>
      </c>
      <c r="D145" s="1356">
        <f>SUMIFS(Sheet1!S71_SpecialAdjustedBudget,Sheet1!S71_A9Code,$AC:$AC)</f>
        <v>0</v>
      </c>
      <c r="E145" s="1356"/>
      <c r="F145" s="1356"/>
      <c r="G145" s="1356"/>
      <c r="H145" s="1356"/>
      <c r="I145" s="1356">
        <f>SUMIFS(Sheet1!S71_AdjustmentAmount,Sheet1!S71_A9Code,$AC:$AC)</f>
        <v>0</v>
      </c>
      <c r="J145" s="75">
        <f t="shared" si="50"/>
        <v>0</v>
      </c>
      <c r="K145" s="75">
        <f t="shared" si="51"/>
        <v>0</v>
      </c>
      <c r="L145" s="1356">
        <f>SUMIFS(Sheet1!S71_OY1AdjustedBudget,Sheet1!S71_A9Code,$AC:$AC)</f>
        <v>0</v>
      </c>
      <c r="M145" s="1357">
        <f>SUMIFS(Sheet1!S71_OY2AdjustedBudget,Sheet1!S71_A9Code,$AC:$AC)</f>
        <v>0</v>
      </c>
      <c r="N145" s="126"/>
      <c r="AC145" s="1336" t="s">
        <v>2138</v>
      </c>
    </row>
    <row r="146" spans="1:30" ht="12.75" customHeight="1" x14ac:dyDescent="0.25">
      <c r="A146" s="1219" t="str">
        <f t="shared" si="52"/>
        <v>Infrastructure</v>
      </c>
      <c r="B146" s="73"/>
      <c r="C146" s="700">
        <f t="shared" ref="C146:J146" si="53">SUM(C137:C145)</f>
        <v>50661924</v>
      </c>
      <c r="D146" s="263">
        <f t="shared" si="53"/>
        <v>56906924</v>
      </c>
      <c r="E146" s="263">
        <f t="shared" si="53"/>
        <v>0</v>
      </c>
      <c r="F146" s="263">
        <f t="shared" si="53"/>
        <v>0</v>
      </c>
      <c r="G146" s="263">
        <f t="shared" si="53"/>
        <v>0</v>
      </c>
      <c r="H146" s="263">
        <f t="shared" si="53"/>
        <v>0</v>
      </c>
      <c r="I146" s="263">
        <f t="shared" si="53"/>
        <v>-41659074</v>
      </c>
      <c r="J146" s="576">
        <f t="shared" si="53"/>
        <v>-41659074</v>
      </c>
      <c r="K146" s="576">
        <f t="shared" si="51"/>
        <v>15247850</v>
      </c>
      <c r="L146" s="263">
        <f>SUM(L137:L145)</f>
        <v>0</v>
      </c>
      <c r="M146" s="264">
        <f>SUM(M137:M145)</f>
        <v>0</v>
      </c>
      <c r="N146" s="126"/>
    </row>
    <row r="147" spans="1:30" s="182" customFormat="1" ht="0.95" customHeight="1" x14ac:dyDescent="0.25">
      <c r="A147" s="1306"/>
      <c r="B147" s="1307"/>
      <c r="C147" s="129"/>
      <c r="D147" s="130"/>
      <c r="E147" s="130"/>
      <c r="F147" s="130"/>
      <c r="G147" s="130"/>
      <c r="H147" s="130"/>
      <c r="I147" s="130"/>
      <c r="J147" s="130"/>
      <c r="K147" s="130"/>
      <c r="L147" s="130"/>
      <c r="M147" s="131"/>
      <c r="N147" s="834"/>
      <c r="AB147" s="1344"/>
      <c r="AC147" s="1344"/>
      <c r="AD147" s="1344"/>
    </row>
    <row r="148" spans="1:30" s="182" customFormat="1" ht="0.95" customHeight="1" x14ac:dyDescent="0.25">
      <c r="A148" s="1306"/>
      <c r="B148" s="1307"/>
      <c r="C148" s="129"/>
      <c r="D148" s="130"/>
      <c r="E148" s="130"/>
      <c r="F148" s="130"/>
      <c r="G148" s="130"/>
      <c r="H148" s="130"/>
      <c r="I148" s="130"/>
      <c r="J148" s="130"/>
      <c r="K148" s="130"/>
      <c r="L148" s="130"/>
      <c r="M148" s="131"/>
      <c r="N148" s="834"/>
      <c r="AB148" s="1344"/>
      <c r="AC148" s="1344"/>
      <c r="AD148" s="1344"/>
    </row>
    <row r="149" spans="1:30" ht="12.75" customHeight="1" x14ac:dyDescent="0.25">
      <c r="A149" s="1219" t="str">
        <f t="shared" si="52"/>
        <v>Community Assets</v>
      </c>
      <c r="B149" s="73"/>
      <c r="C149" s="1355">
        <f>SUMIFS(Sheet1!S71_OriginalBudget,Sheet1!S71_A9Code,$AC:$AC)</f>
        <v>67688578</v>
      </c>
      <c r="D149" s="1356">
        <f>SUMIFS(Sheet1!S71_SpecialAdjustedBudget,Sheet1!S71_A9Code,$AC:$AC)</f>
        <v>67688578</v>
      </c>
      <c r="E149" s="1356"/>
      <c r="F149" s="1356"/>
      <c r="G149" s="1356"/>
      <c r="H149" s="1356"/>
      <c r="I149" s="1356">
        <f>SUMIFS(Sheet1!S71_AdjustmentAmount,Sheet1!S71_A9Code,$AC:$AC)</f>
        <v>-67688578</v>
      </c>
      <c r="J149" s="75">
        <f>SUM(E149:I149)</f>
        <v>-67688578</v>
      </c>
      <c r="K149" s="75">
        <f>IF(D149=0,C149+J149,D149+J149)</f>
        <v>0</v>
      </c>
      <c r="L149" s="1356">
        <f>SUMIFS(Sheet1!S71_OY1AdjustedBudget,Sheet1!S71_A9Code,$AC:$AC)</f>
        <v>0</v>
      </c>
      <c r="M149" s="1357">
        <f>SUMIFS(Sheet1!S71_OY2AdjustedBudget,Sheet1!S71_A9Code,$AC:$AC)</f>
        <v>0</v>
      </c>
      <c r="N149" s="126"/>
      <c r="AC149" s="1336" t="s">
        <v>2139</v>
      </c>
    </row>
    <row r="150" spans="1:30" ht="12.75" customHeight="1" x14ac:dyDescent="0.25">
      <c r="A150" s="1221" t="str">
        <f t="shared" si="52"/>
        <v>Heritage Assets</v>
      </c>
      <c r="B150" s="73"/>
      <c r="C150" s="1355">
        <f>SUMIFS(Sheet1!S71_OriginalBudget,Sheet1!S71_A9Code,$AC:$AC)</f>
        <v>0</v>
      </c>
      <c r="D150" s="1356">
        <f>SUMIFS(Sheet1!S71_SpecialAdjustedBudget,Sheet1!S71_A9Code,$AC:$AC)</f>
        <v>0</v>
      </c>
      <c r="E150" s="1356"/>
      <c r="F150" s="1356"/>
      <c r="G150" s="1356"/>
      <c r="H150" s="1356"/>
      <c r="I150" s="1356">
        <f>SUMIFS(Sheet1!S71_AdjustmentAmount,Sheet1!S71_A9Code,$AC:$AC)</f>
        <v>0</v>
      </c>
      <c r="J150" s="75">
        <f>SUM(E150:I150)</f>
        <v>0</v>
      </c>
      <c r="K150" s="75">
        <f t="shared" si="51"/>
        <v>0</v>
      </c>
      <c r="L150" s="1356">
        <f>SUMIFS(Sheet1!S71_OY1AdjustedBudget,Sheet1!S71_A9Code,$AC:$AC)</f>
        <v>0</v>
      </c>
      <c r="M150" s="1357">
        <f>SUMIFS(Sheet1!S71_OY2AdjustedBudget,Sheet1!S71_A9Code,$AC:$AC)</f>
        <v>0</v>
      </c>
      <c r="N150" s="126"/>
      <c r="AC150" s="1336" t="s">
        <v>2140</v>
      </c>
    </row>
    <row r="151" spans="1:30" s="182" customFormat="1" ht="0.95" customHeight="1" x14ac:dyDescent="0.25">
      <c r="A151" s="1306"/>
      <c r="B151" s="1307"/>
      <c r="C151" s="1355">
        <f>SUMIFS(Sheet1!S71_OriginalBudget,Sheet1!S71_A9Code,$AC:$AC)</f>
        <v>0</v>
      </c>
      <c r="D151" s="1356">
        <f>SUMIFS(Sheet1!S71_SpecialAdjustedBudget,Sheet1!S71_A9Code,$AC:$AC)</f>
        <v>0</v>
      </c>
      <c r="E151" s="1356"/>
      <c r="F151" s="1356"/>
      <c r="G151" s="1356"/>
      <c r="H151" s="1356"/>
      <c r="I151" s="1356">
        <f>SUMIFS(Sheet1!S71_AdjustmentAmount,Sheet1!S71_A9Code,$AC:$AC)</f>
        <v>0</v>
      </c>
      <c r="J151" s="130"/>
      <c r="K151" s="130"/>
      <c r="L151" s="1356">
        <f>SUMIFS(Sheet1!S71_OY1AdjustedBudget,Sheet1!S71_A9Code,$AC:$AC)</f>
        <v>0</v>
      </c>
      <c r="M151" s="1357">
        <f>SUMIFS(Sheet1!S71_OY2AdjustedBudget,Sheet1!S71_A9Code,$AC:$AC)</f>
        <v>0</v>
      </c>
      <c r="N151" s="834"/>
      <c r="AB151" s="1344"/>
      <c r="AC151" s="1344"/>
      <c r="AD151" s="1344"/>
    </row>
    <row r="152" spans="1:30" s="182" customFormat="1" ht="0.95" customHeight="1" x14ac:dyDescent="0.25">
      <c r="A152" s="1306"/>
      <c r="B152" s="1307"/>
      <c r="C152" s="1355">
        <f>SUMIFS(Sheet1!S71_OriginalBudget,Sheet1!S71_A9Code,$AC:$AC)</f>
        <v>0</v>
      </c>
      <c r="D152" s="1356">
        <f>SUMIFS(Sheet1!S71_SpecialAdjustedBudget,Sheet1!S71_A9Code,$AC:$AC)</f>
        <v>0</v>
      </c>
      <c r="E152" s="1356"/>
      <c r="F152" s="1356"/>
      <c r="G152" s="1356"/>
      <c r="H152" s="1356"/>
      <c r="I152" s="1356">
        <f>SUMIFS(Sheet1!S71_AdjustmentAmount,Sheet1!S71_A9Code,$AC:$AC)</f>
        <v>0</v>
      </c>
      <c r="J152" s="130"/>
      <c r="K152" s="130"/>
      <c r="L152" s="1356">
        <f>SUMIFS(Sheet1!S71_OY1AdjustedBudget,Sheet1!S71_A9Code,$AC:$AC)</f>
        <v>0</v>
      </c>
      <c r="M152" s="1357">
        <f>SUMIFS(Sheet1!S71_OY2AdjustedBudget,Sheet1!S71_A9Code,$AC:$AC)</f>
        <v>0</v>
      </c>
      <c r="N152" s="834"/>
      <c r="AB152" s="1344"/>
      <c r="AC152" s="1344"/>
      <c r="AD152" s="1344"/>
    </row>
    <row r="153" spans="1:30" ht="12.75" customHeight="1" x14ac:dyDescent="0.25">
      <c r="A153" s="1219" t="str">
        <f t="shared" si="52"/>
        <v>Investment properties</v>
      </c>
      <c r="B153" s="73"/>
      <c r="C153" s="1355">
        <f>SUMIFS(Sheet1!S71_OriginalBudget,Sheet1!S71_A9Code,$AC:$AC)</f>
        <v>4523600</v>
      </c>
      <c r="D153" s="1356">
        <f>SUMIFS(Sheet1!S71_SpecialAdjustedBudget,Sheet1!S71_A9Code,$AC:$AC)</f>
        <v>4523600</v>
      </c>
      <c r="E153" s="1356"/>
      <c r="F153" s="1356"/>
      <c r="G153" s="1356"/>
      <c r="H153" s="1356"/>
      <c r="I153" s="1356">
        <f>SUMIFS(Sheet1!S71_AdjustmentAmount,Sheet1!S71_A9Code,$AC:$AC)</f>
        <v>-4523600</v>
      </c>
      <c r="J153" s="75">
        <f>SUM(E153:I153)</f>
        <v>-4523600</v>
      </c>
      <c r="K153" s="75">
        <f>IF(D153=0,C153+J153,D153+J153)</f>
        <v>0</v>
      </c>
      <c r="L153" s="1356">
        <f>SUMIFS(Sheet1!S71_OY1AdjustedBudget,Sheet1!S71_A9Code,$AC:$AC)</f>
        <v>0</v>
      </c>
      <c r="M153" s="1357">
        <f>SUMIFS(Sheet1!S71_OY2AdjustedBudget,Sheet1!S71_A9Code,$AC:$AC)</f>
        <v>0</v>
      </c>
      <c r="N153" s="126"/>
      <c r="AC153" s="1336" t="s">
        <v>2141</v>
      </c>
    </row>
    <row r="154" spans="1:30" s="182" customFormat="1" ht="0.95" customHeight="1" x14ac:dyDescent="0.25">
      <c r="A154" s="1306"/>
      <c r="B154" s="1307"/>
      <c r="C154" s="1355">
        <f>SUMIFS(Sheet1!S71_OriginalBudget,Sheet1!S71_A9Code,$AC:$AC)</f>
        <v>0</v>
      </c>
      <c r="D154" s="1356">
        <f>SUMIFS(Sheet1!S71_SpecialAdjustedBudget,Sheet1!S71_A9Code,$AC:$AC)</f>
        <v>0</v>
      </c>
      <c r="E154" s="1356"/>
      <c r="F154" s="1356"/>
      <c r="G154" s="1356"/>
      <c r="H154" s="1356"/>
      <c r="I154" s="1356">
        <f>SUMIFS(Sheet1!S71_AdjustmentAmount,Sheet1!S71_A9Code,$AC:$AC)</f>
        <v>0</v>
      </c>
      <c r="J154" s="130"/>
      <c r="K154" s="130"/>
      <c r="L154" s="1356">
        <f>SUMIFS(Sheet1!S71_OY1AdjustedBudget,Sheet1!S71_A9Code,$AC:$AC)</f>
        <v>0</v>
      </c>
      <c r="M154" s="1357">
        <f>SUMIFS(Sheet1!S71_OY2AdjustedBudget,Sheet1!S71_A9Code,$AC:$AC)</f>
        <v>0</v>
      </c>
      <c r="N154" s="834"/>
      <c r="AB154" s="1344"/>
      <c r="AC154" s="1344"/>
      <c r="AD154" s="1344"/>
    </row>
    <row r="155" spans="1:30" s="182" customFormat="1" ht="0.95" customHeight="1" x14ac:dyDescent="0.25">
      <c r="A155" s="1306"/>
      <c r="B155" s="1307"/>
      <c r="C155" s="1355">
        <f>SUMIFS(Sheet1!S71_OriginalBudget,Sheet1!S71_A9Code,$AC:$AC)</f>
        <v>0</v>
      </c>
      <c r="D155" s="1356">
        <f>SUMIFS(Sheet1!S71_SpecialAdjustedBudget,Sheet1!S71_A9Code,$AC:$AC)</f>
        <v>0</v>
      </c>
      <c r="E155" s="1356"/>
      <c r="F155" s="1356"/>
      <c r="G155" s="1356"/>
      <c r="H155" s="1356"/>
      <c r="I155" s="1356">
        <f>SUMIFS(Sheet1!S71_AdjustmentAmount,Sheet1!S71_A9Code,$AC:$AC)</f>
        <v>0</v>
      </c>
      <c r="J155" s="130"/>
      <c r="K155" s="130"/>
      <c r="L155" s="1356">
        <f>SUMIFS(Sheet1!S71_OY1AdjustedBudget,Sheet1!S71_A9Code,$AC:$AC)</f>
        <v>0</v>
      </c>
      <c r="M155" s="1357">
        <f>SUMIFS(Sheet1!S71_OY2AdjustedBudget,Sheet1!S71_A9Code,$AC:$AC)</f>
        <v>0</v>
      </c>
      <c r="N155" s="834"/>
      <c r="AB155" s="1344"/>
      <c r="AC155" s="1344"/>
      <c r="AD155" s="1344"/>
    </row>
    <row r="156" spans="1:30" ht="12.75" customHeight="1" x14ac:dyDescent="0.25">
      <c r="A156" s="1219" t="str">
        <f t="shared" si="52"/>
        <v>Other Assets</v>
      </c>
      <c r="B156" s="73"/>
      <c r="C156" s="1355">
        <f>SUMIFS(Sheet1!S71_OriginalBudget,Sheet1!S71_A9Code,$AC:$AC)</f>
        <v>17980672</v>
      </c>
      <c r="D156" s="1356">
        <f>SUMIFS(Sheet1!S71_SpecialAdjustedBudget,Sheet1!S71_A9Code,$AC:$AC)</f>
        <v>17980672</v>
      </c>
      <c r="E156" s="1356"/>
      <c r="F156" s="1356"/>
      <c r="G156" s="1356"/>
      <c r="H156" s="1356"/>
      <c r="I156" s="1356">
        <f>SUMIFS(Sheet1!S71_AdjustmentAmount,Sheet1!S71_A9Code,$AC:$AC)</f>
        <v>-15908721</v>
      </c>
      <c r="J156" s="75">
        <f>SUM(E156:I156)</f>
        <v>-15908721</v>
      </c>
      <c r="K156" s="75">
        <f>IF(D156=0,C156+J156,D156+J156)</f>
        <v>2071951</v>
      </c>
      <c r="L156" s="1356">
        <f>SUMIFS(Sheet1!S71_OY1AdjustedBudget,Sheet1!S71_A9Code,$AC:$AC)</f>
        <v>15200000</v>
      </c>
      <c r="M156" s="1357">
        <f>SUMIFS(Sheet1!S71_OY2AdjustedBudget,Sheet1!S71_A9Code,$AC:$AC)</f>
        <v>5000000</v>
      </c>
      <c r="N156" s="126"/>
      <c r="AC156" s="1336" t="s">
        <v>2142</v>
      </c>
    </row>
    <row r="157" spans="1:30" ht="12.75" customHeight="1" x14ac:dyDescent="0.25">
      <c r="A157" s="1221" t="str">
        <f t="shared" si="52"/>
        <v>Biological or Cultivated Assets</v>
      </c>
      <c r="B157" s="73"/>
      <c r="C157" s="1355">
        <f>SUMIFS(Sheet1!S71_OriginalBudget,Sheet1!S71_A9Code,$AC:$AC)</f>
        <v>0</v>
      </c>
      <c r="D157" s="1356">
        <f>SUMIFS(Sheet1!S71_SpecialAdjustedBudget,Sheet1!S71_A9Code,$AC:$AC)</f>
        <v>0</v>
      </c>
      <c r="E157" s="1356"/>
      <c r="F157" s="1356"/>
      <c r="G157" s="1356"/>
      <c r="H157" s="1356"/>
      <c r="I157" s="1356">
        <f>SUMIFS(Sheet1!S71_AdjustmentAmount,Sheet1!S71_A9Code,$AC:$AC)</f>
        <v>0</v>
      </c>
      <c r="J157" s="75">
        <f>SUM(E157:I157)</f>
        <v>0</v>
      </c>
      <c r="K157" s="75">
        <f>IF(D157=0,C157+J157,D157+J157)</f>
        <v>0</v>
      </c>
      <c r="L157" s="1356">
        <f>SUMIFS(Sheet1!S71_OY1AdjustedBudget,Sheet1!S71_A9Code,$AC:$AC)</f>
        <v>0</v>
      </c>
      <c r="M157" s="1357">
        <f>SUMIFS(Sheet1!S71_OY2AdjustedBudget,Sheet1!S71_A9Code,$AC:$AC)</f>
        <v>0</v>
      </c>
      <c r="N157" s="126"/>
      <c r="AC157" s="1336" t="s">
        <v>1986</v>
      </c>
    </row>
    <row r="158" spans="1:30" s="182" customFormat="1" ht="0.95" customHeight="1" x14ac:dyDescent="0.25">
      <c r="A158" s="1306"/>
      <c r="B158" s="1307"/>
      <c r="C158" s="1355">
        <f>SUMIFS(Sheet1!S71_OriginalBudget,Sheet1!S71_A9Code,$AC:$AC)</f>
        <v>0</v>
      </c>
      <c r="D158" s="1356">
        <f>SUMIFS(Sheet1!S71_SpecialAdjustedBudget,Sheet1!S71_A9Code,$AC:$AC)</f>
        <v>0</v>
      </c>
      <c r="E158" s="1356"/>
      <c r="F158" s="1356"/>
      <c r="G158" s="1356"/>
      <c r="H158" s="1356"/>
      <c r="I158" s="1356">
        <f>SUMIFS(Sheet1!S71_AdjustmentAmount,Sheet1!S71_A9Code,$AC:$AC)</f>
        <v>0</v>
      </c>
      <c r="J158" s="130"/>
      <c r="K158" s="130"/>
      <c r="L158" s="1356">
        <f>SUMIFS(Sheet1!S71_OY1AdjustedBudget,Sheet1!S71_A9Code,$AC:$AC)</f>
        <v>0</v>
      </c>
      <c r="M158" s="1357">
        <f>SUMIFS(Sheet1!S71_OY2AdjustedBudget,Sheet1!S71_A9Code,$AC:$AC)</f>
        <v>0</v>
      </c>
      <c r="N158" s="834"/>
      <c r="AB158" s="1344"/>
      <c r="AC158" s="1344"/>
      <c r="AD158" s="1344"/>
    </row>
    <row r="159" spans="1:30" s="182" customFormat="1" ht="0.95" customHeight="1" x14ac:dyDescent="0.25">
      <c r="A159" s="1306"/>
      <c r="B159" s="1307"/>
      <c r="C159" s="1355">
        <f>SUMIFS(Sheet1!S71_OriginalBudget,Sheet1!S71_A9Code,$AC:$AC)</f>
        <v>0</v>
      </c>
      <c r="D159" s="1356">
        <f>SUMIFS(Sheet1!S71_SpecialAdjustedBudget,Sheet1!S71_A9Code,$AC:$AC)</f>
        <v>0</v>
      </c>
      <c r="E159" s="1356"/>
      <c r="F159" s="1356"/>
      <c r="G159" s="1356"/>
      <c r="H159" s="1356"/>
      <c r="I159" s="1356">
        <f>SUMIFS(Sheet1!S71_AdjustmentAmount,Sheet1!S71_A9Code,$AC:$AC)</f>
        <v>0</v>
      </c>
      <c r="J159" s="130"/>
      <c r="K159" s="130"/>
      <c r="L159" s="1356">
        <f>SUMIFS(Sheet1!S71_OY1AdjustedBudget,Sheet1!S71_A9Code,$AC:$AC)</f>
        <v>0</v>
      </c>
      <c r="M159" s="1357">
        <f>SUMIFS(Sheet1!S71_OY2AdjustedBudget,Sheet1!S71_A9Code,$AC:$AC)</f>
        <v>0</v>
      </c>
      <c r="N159" s="834"/>
      <c r="AB159" s="1344"/>
      <c r="AC159" s="1344"/>
      <c r="AD159" s="1344"/>
    </row>
    <row r="160" spans="1:30" ht="12.75" customHeight="1" x14ac:dyDescent="0.25">
      <c r="A160" s="1219" t="str">
        <f t="shared" si="52"/>
        <v>Intangible Assets</v>
      </c>
      <c r="B160" s="73"/>
      <c r="C160" s="1355">
        <f>SUMIFS(Sheet1!S71_OriginalBudget,Sheet1!S71_A9Code,$AC:$AC)</f>
        <v>0</v>
      </c>
      <c r="D160" s="1356">
        <f>SUMIFS(Sheet1!S71_SpecialAdjustedBudget,Sheet1!S71_A9Code,$AC:$AC)</f>
        <v>0</v>
      </c>
      <c r="E160" s="1356"/>
      <c r="F160" s="1356"/>
      <c r="G160" s="1356"/>
      <c r="H160" s="1356"/>
      <c r="I160" s="1356">
        <f>SUMIFS(Sheet1!S71_AdjustmentAmount,Sheet1!S71_A9Code,$AC:$AC)</f>
        <v>0</v>
      </c>
      <c r="J160" s="75">
        <f t="shared" ref="J160:J166" si="54">SUM(E160:I160)</f>
        <v>0</v>
      </c>
      <c r="K160" s="75">
        <f>IF(D160=0,C160+J160,D160+J160)</f>
        <v>0</v>
      </c>
      <c r="L160" s="1356">
        <f>SUMIFS(Sheet1!S71_OY1AdjustedBudget,Sheet1!S71_A9Code,$AC:$AC)</f>
        <v>0</v>
      </c>
      <c r="M160" s="1357">
        <f>SUMIFS(Sheet1!S71_OY2AdjustedBudget,Sheet1!S71_A9Code,$AC:$AC)</f>
        <v>0</v>
      </c>
      <c r="N160" s="126"/>
      <c r="AC160" s="1336" t="s">
        <v>2143</v>
      </c>
    </row>
    <row r="161" spans="1:29" ht="12.75" customHeight="1" x14ac:dyDescent="0.25">
      <c r="A161" s="1222" t="str">
        <f t="shared" si="52"/>
        <v>Computer Equipment</v>
      </c>
      <c r="B161" s="73"/>
      <c r="C161" s="1355">
        <f>SUMIFS(Sheet1!S71_OriginalBudget,Sheet1!S71_A9Code,$AC:$AC)</f>
        <v>868270</v>
      </c>
      <c r="D161" s="1356">
        <f>SUMIFS(Sheet1!S71_SpecialAdjustedBudget,Sheet1!S71_A9Code,$AC:$AC)</f>
        <v>868270</v>
      </c>
      <c r="E161" s="1356"/>
      <c r="F161" s="1356"/>
      <c r="G161" s="1356"/>
      <c r="H161" s="1356"/>
      <c r="I161" s="1356">
        <f>SUMIFS(Sheet1!S71_AdjustmentAmount,Sheet1!S71_A9Code,$AC:$AC)</f>
        <v>-568270</v>
      </c>
      <c r="J161" s="75">
        <f t="shared" si="54"/>
        <v>-568270</v>
      </c>
      <c r="K161" s="75">
        <f t="shared" ref="K161:K166" si="55">IF(D161=0,C161+J161,D161+J161)</f>
        <v>300000</v>
      </c>
      <c r="L161" s="1356">
        <f>SUMIFS(Sheet1!S71_OY1AdjustedBudget,Sheet1!S71_A9Code,$AC:$AC)</f>
        <v>0</v>
      </c>
      <c r="M161" s="1357">
        <f>SUMIFS(Sheet1!S71_OY2AdjustedBudget,Sheet1!S71_A9Code,$AC:$AC)</f>
        <v>400000</v>
      </c>
      <c r="N161" s="126"/>
      <c r="AC161" s="1336" t="s">
        <v>1993</v>
      </c>
    </row>
    <row r="162" spans="1:29" ht="12.75" customHeight="1" x14ac:dyDescent="0.25">
      <c r="A162" s="1221" t="str">
        <f t="shared" si="52"/>
        <v>Furniture and Office Equipment</v>
      </c>
      <c r="B162" s="73"/>
      <c r="C162" s="1355">
        <f>SUMIFS(Sheet1!S71_OriginalBudget,Sheet1!S71_A9Code,$AC:$AC)</f>
        <v>849009</v>
      </c>
      <c r="D162" s="1356">
        <f>SUMIFS(Sheet1!S71_SpecialAdjustedBudget,Sheet1!S71_A9Code,$AC:$AC)</f>
        <v>849009</v>
      </c>
      <c r="E162" s="1356"/>
      <c r="F162" s="1356"/>
      <c r="G162" s="1356"/>
      <c r="H162" s="1356"/>
      <c r="I162" s="1356">
        <f>SUMIFS(Sheet1!S71_AdjustmentAmount,Sheet1!S71_A9Code,$AC:$AC)</f>
        <v>-449009</v>
      </c>
      <c r="J162" s="75">
        <f t="shared" si="54"/>
        <v>-449009</v>
      </c>
      <c r="K162" s="75">
        <f t="shared" si="55"/>
        <v>400000</v>
      </c>
      <c r="L162" s="1356">
        <f>SUMIFS(Sheet1!S71_OY1AdjustedBudget,Sheet1!S71_A9Code,$AC:$AC)</f>
        <v>0</v>
      </c>
      <c r="M162" s="1357">
        <f>SUMIFS(Sheet1!S71_OY2AdjustedBudget,Sheet1!S71_A9Code,$AC:$AC)</f>
        <v>1200000</v>
      </c>
      <c r="N162" s="126"/>
      <c r="AC162" s="1336" t="s">
        <v>1994</v>
      </c>
    </row>
    <row r="163" spans="1:29" ht="12.75" customHeight="1" x14ac:dyDescent="0.25">
      <c r="A163" s="1221" t="str">
        <f t="shared" si="52"/>
        <v>Machinery and Equipment</v>
      </c>
      <c r="B163" s="73"/>
      <c r="C163" s="1355">
        <f>SUMIFS(Sheet1!S71_OriginalBudget,Sheet1!S71_A9Code,$AC:$AC)</f>
        <v>100226</v>
      </c>
      <c r="D163" s="1356">
        <f>SUMIFS(Sheet1!S71_SpecialAdjustedBudget,Sheet1!S71_A9Code,$AC:$AC)</f>
        <v>100226</v>
      </c>
      <c r="E163" s="1356"/>
      <c r="F163" s="1356"/>
      <c r="G163" s="1356"/>
      <c r="H163" s="1356"/>
      <c r="I163" s="1356">
        <f>SUMIFS(Sheet1!S71_AdjustmentAmount,Sheet1!S71_A9Code,$AC:$AC)</f>
        <v>-100226</v>
      </c>
      <c r="J163" s="75">
        <f t="shared" si="54"/>
        <v>-100226</v>
      </c>
      <c r="K163" s="75">
        <f t="shared" si="55"/>
        <v>0</v>
      </c>
      <c r="L163" s="1356">
        <f>SUMIFS(Sheet1!S71_OY1AdjustedBudget,Sheet1!S71_A9Code,$AC:$AC)</f>
        <v>0</v>
      </c>
      <c r="M163" s="1357">
        <f>SUMIFS(Sheet1!S71_OY2AdjustedBudget,Sheet1!S71_A9Code,$AC:$AC)</f>
        <v>0</v>
      </c>
      <c r="N163" s="126"/>
      <c r="AC163" s="1336" t="s">
        <v>1995</v>
      </c>
    </row>
    <row r="164" spans="1:29" ht="12.75" customHeight="1" x14ac:dyDescent="0.25">
      <c r="A164" s="1222" t="str">
        <f t="shared" si="52"/>
        <v>Transport Assets</v>
      </c>
      <c r="B164" s="73"/>
      <c r="C164" s="1355">
        <f>SUMIFS(Sheet1!S71_OriginalBudget,Sheet1!S71_A9Code,$AC:$AC)</f>
        <v>4604463</v>
      </c>
      <c r="D164" s="1356">
        <f>SUMIFS(Sheet1!S71_SpecialAdjustedBudget,Sheet1!S71_A9Code,$AC:$AC)</f>
        <v>4604463</v>
      </c>
      <c r="E164" s="1356"/>
      <c r="F164" s="1356"/>
      <c r="G164" s="1356"/>
      <c r="H164" s="1356"/>
      <c r="I164" s="1356">
        <f>SUMIFS(Sheet1!S71_AdjustmentAmount,Sheet1!S71_A9Code,$AC:$AC)</f>
        <v>-4604463</v>
      </c>
      <c r="J164" s="75">
        <f t="shared" si="54"/>
        <v>-4604463</v>
      </c>
      <c r="K164" s="75">
        <f t="shared" si="55"/>
        <v>0</v>
      </c>
      <c r="L164" s="1356">
        <f>SUMIFS(Sheet1!S71_OY1AdjustedBudget,Sheet1!S71_A9Code,$AC:$AC)</f>
        <v>0</v>
      </c>
      <c r="M164" s="1357">
        <f>SUMIFS(Sheet1!S71_OY2AdjustedBudget,Sheet1!S71_A9Code,$AC:$AC)</f>
        <v>0</v>
      </c>
      <c r="N164" s="126"/>
      <c r="AC164" s="1336" t="s">
        <v>1996</v>
      </c>
    </row>
    <row r="165" spans="1:29" ht="12.75" customHeight="1" x14ac:dyDescent="0.25">
      <c r="A165" s="1221" t="str">
        <f t="shared" si="52"/>
        <v>Land</v>
      </c>
      <c r="B165" s="73"/>
      <c r="C165" s="1355">
        <f>SUMIFS(Sheet1!S71_OriginalBudget,Sheet1!S71_A9Code,$AC:$AC)</f>
        <v>728000</v>
      </c>
      <c r="D165" s="1356">
        <f>SUMIFS(Sheet1!S71_SpecialAdjustedBudget,Sheet1!S71_A9Code,$AC:$AC)</f>
        <v>728000</v>
      </c>
      <c r="E165" s="1356"/>
      <c r="F165" s="1356"/>
      <c r="G165" s="1356"/>
      <c r="H165" s="1356"/>
      <c r="I165" s="1356">
        <f>SUMIFS(Sheet1!S71_AdjustmentAmount,Sheet1!S71_A9Code,$AC:$AC)</f>
        <v>-728000</v>
      </c>
      <c r="J165" s="75">
        <f t="shared" si="54"/>
        <v>-728000</v>
      </c>
      <c r="K165" s="75">
        <f t="shared" si="55"/>
        <v>0</v>
      </c>
      <c r="L165" s="1356">
        <f>SUMIFS(Sheet1!S71_OY1AdjustedBudget,Sheet1!S71_A9Code,$AC:$AC)</f>
        <v>0</v>
      </c>
      <c r="M165" s="1357">
        <f>SUMIFS(Sheet1!S71_OY2AdjustedBudget,Sheet1!S71_A9Code,$AC:$AC)</f>
        <v>0</v>
      </c>
      <c r="N165" s="126"/>
      <c r="AC165" s="1336" t="s">
        <v>1997</v>
      </c>
    </row>
    <row r="166" spans="1:29" ht="12.75" customHeight="1" x14ac:dyDescent="0.25">
      <c r="A166" s="1221" t="str">
        <f t="shared" si="52"/>
        <v>Zoo's, Marine and Non-biological Animals</v>
      </c>
      <c r="B166" s="73"/>
      <c r="C166" s="1355">
        <f>SUMIFS(Sheet1!S71_OriginalBudget,Sheet1!S71_A9Code,$AC:$AC)</f>
        <v>0</v>
      </c>
      <c r="D166" s="1356">
        <f>SUMIFS(Sheet1!S71_SpecialAdjustedBudget,Sheet1!S71_A9Code,$AC:$AC)</f>
        <v>0</v>
      </c>
      <c r="E166" s="1356"/>
      <c r="F166" s="1356"/>
      <c r="G166" s="1356"/>
      <c r="H166" s="1356"/>
      <c r="I166" s="1356">
        <f>SUMIFS(Sheet1!S71_AdjustmentAmount,Sheet1!S71_A9Code,$AC:$AC)</f>
        <v>0</v>
      </c>
      <c r="J166" s="75">
        <f t="shared" si="54"/>
        <v>0</v>
      </c>
      <c r="K166" s="75">
        <f t="shared" si="55"/>
        <v>0</v>
      </c>
      <c r="L166" s="1356">
        <f>SUMIFS(Sheet1!S71_OY1AdjustedBudget,Sheet1!S71_A9Code,$AC:$AC)</f>
        <v>0</v>
      </c>
      <c r="M166" s="1357">
        <f>SUMIFS(Sheet1!S71_OY2AdjustedBudget,Sheet1!S71_A9Code,$AC:$AC)</f>
        <v>0</v>
      </c>
      <c r="N166" s="126"/>
      <c r="AC166" s="1336" t="s">
        <v>1998</v>
      </c>
    </row>
    <row r="167" spans="1:29" ht="12.75" customHeight="1" x14ac:dyDescent="0.25">
      <c r="A167" s="160" t="s">
        <v>1130</v>
      </c>
      <c r="B167" s="79">
        <v>5</v>
      </c>
      <c r="C167" s="80">
        <f>C146+C149+C150+C153+C156+C157+SUM(C160:C166)</f>
        <v>148004742</v>
      </c>
      <c r="D167" s="81">
        <f t="shared" ref="D167:M167" si="56">D146+D149+D150+D153+D156+D157+SUM(D160:D166)</f>
        <v>154249742</v>
      </c>
      <c r="E167" s="81">
        <f t="shared" si="56"/>
        <v>0</v>
      </c>
      <c r="F167" s="81">
        <f t="shared" si="56"/>
        <v>0</v>
      </c>
      <c r="G167" s="81">
        <f t="shared" si="56"/>
        <v>0</v>
      </c>
      <c r="H167" s="81">
        <f t="shared" si="56"/>
        <v>0</v>
      </c>
      <c r="I167" s="81">
        <f t="shared" si="56"/>
        <v>-136229941</v>
      </c>
      <c r="J167" s="81">
        <f t="shared" si="56"/>
        <v>-136229941</v>
      </c>
      <c r="K167" s="81">
        <f t="shared" si="56"/>
        <v>18019801</v>
      </c>
      <c r="L167" s="81">
        <f t="shared" si="56"/>
        <v>15200000</v>
      </c>
      <c r="M167" s="82">
        <f t="shared" si="56"/>
        <v>6600000</v>
      </c>
      <c r="N167" s="126"/>
    </row>
    <row r="168" spans="1:29" ht="5.0999999999999996" customHeight="1" x14ac:dyDescent="0.25">
      <c r="A168" s="134"/>
      <c r="B168" s="73"/>
      <c r="C168" s="74"/>
      <c r="D168" s="75"/>
      <c r="E168" s="75"/>
      <c r="F168" s="75"/>
      <c r="G168" s="75"/>
      <c r="H168" s="75"/>
      <c r="I168" s="75"/>
      <c r="J168" s="75"/>
      <c r="K168" s="75"/>
      <c r="L168" s="75"/>
      <c r="M168" s="76"/>
      <c r="N168" s="126"/>
    </row>
    <row r="169" spans="1:29" ht="12.75" customHeight="1" x14ac:dyDescent="0.25">
      <c r="A169" s="827" t="s">
        <v>771</v>
      </c>
      <c r="B169" s="73"/>
      <c r="C169" s="74"/>
      <c r="D169" s="75"/>
      <c r="E169" s="75"/>
      <c r="F169" s="75"/>
      <c r="G169" s="75"/>
      <c r="H169" s="75"/>
      <c r="I169" s="75"/>
      <c r="J169" s="75"/>
      <c r="K169" s="75"/>
      <c r="L169" s="75"/>
      <c r="M169" s="76"/>
      <c r="N169" s="126"/>
    </row>
    <row r="170" spans="1:29" ht="12.75" customHeight="1" x14ac:dyDescent="0.25">
      <c r="A170" s="232" t="s">
        <v>566</v>
      </c>
      <c r="B170" s="73"/>
      <c r="C170" s="129">
        <f>SB18d!C169</f>
        <v>11173339</v>
      </c>
      <c r="D170" s="75">
        <f>SB18d!D169</f>
        <v>11173339</v>
      </c>
      <c r="E170" s="75">
        <f>SB18d!E169</f>
        <v>0</v>
      </c>
      <c r="F170" s="75">
        <f>SB18d!F169</f>
        <v>0</v>
      </c>
      <c r="G170" s="75">
        <f>SB18d!G169</f>
        <v>0</v>
      </c>
      <c r="H170" s="75">
        <f>SB18d!H169</f>
        <v>0</v>
      </c>
      <c r="I170" s="75">
        <f>SB18d!I169</f>
        <v>0</v>
      </c>
      <c r="J170" s="75">
        <f>SB18e!J169</f>
        <v>0</v>
      </c>
      <c r="K170" s="75">
        <f>SB18d!K169</f>
        <v>11173339</v>
      </c>
      <c r="L170" s="169">
        <f>SB18d!L169</f>
        <v>12290674</v>
      </c>
      <c r="M170" s="233">
        <f>SB18d!M169</f>
        <v>13519740</v>
      </c>
      <c r="N170" s="126"/>
    </row>
    <row r="171" spans="1:29" ht="12.75" customHeight="1" x14ac:dyDescent="0.25">
      <c r="A171" s="232" t="s">
        <v>772</v>
      </c>
      <c r="B171" s="73">
        <v>3</v>
      </c>
      <c r="C171" s="234">
        <f>C181+C184+C185+C188+C191+C192+SUM(C195:C201)</f>
        <v>16880000</v>
      </c>
      <c r="D171" s="235">
        <f>D181+D184+D185+D188+D191+D192+SUM(D195:D201)</f>
        <v>16880000</v>
      </c>
      <c r="E171" s="235">
        <f>E181+E184+E185+E188+E191+E192+SUM(E195:E201)</f>
        <v>0</v>
      </c>
      <c r="F171" s="235">
        <f t="shared" ref="F171:K171" si="57">F181+F184+F185+F188+F191+F192+SUM(F195:F201)</f>
        <v>0</v>
      </c>
      <c r="G171" s="235">
        <f t="shared" si="57"/>
        <v>0</v>
      </c>
      <c r="H171" s="235">
        <f t="shared" si="57"/>
        <v>0</v>
      </c>
      <c r="I171" s="235">
        <f t="shared" si="57"/>
        <v>13950520</v>
      </c>
      <c r="J171" s="235">
        <f t="shared" si="57"/>
        <v>13950520</v>
      </c>
      <c r="K171" s="235">
        <f t="shared" si="57"/>
        <v>30830520</v>
      </c>
      <c r="L171" s="235">
        <f>L181+L184+L185+L188+L191+L192+SUM(L195:L201)</f>
        <v>13592800</v>
      </c>
      <c r="M171" s="236">
        <f>M181+M184+M185+M188+M191+M192+SUM(M195:M201)</f>
        <v>14485968</v>
      </c>
      <c r="N171" s="126"/>
    </row>
    <row r="172" spans="1:29" ht="12.75" customHeight="1" x14ac:dyDescent="0.25">
      <c r="A172" s="1218" t="str">
        <f>+A8</f>
        <v>Roads Infrastructure</v>
      </c>
      <c r="B172" s="73"/>
      <c r="C172" s="129">
        <f>SB18c!C9</f>
        <v>11000000</v>
      </c>
      <c r="D172" s="129">
        <f>SB18c!D9</f>
        <v>11000000</v>
      </c>
      <c r="E172" s="129">
        <f>SB18c!E9</f>
        <v>0</v>
      </c>
      <c r="F172" s="129">
        <f>SB18c!F9</f>
        <v>0</v>
      </c>
      <c r="G172" s="129">
        <f>SB18c!G9</f>
        <v>0</v>
      </c>
      <c r="H172" s="129">
        <f>SB18c!H9</f>
        <v>0</v>
      </c>
      <c r="I172" s="129">
        <f>SB18c!I9</f>
        <v>4551245</v>
      </c>
      <c r="J172" s="169">
        <f>SB18c!J9</f>
        <v>4551245</v>
      </c>
      <c r="K172" s="169">
        <f>SB18c!K9</f>
        <v>15551245</v>
      </c>
      <c r="L172" s="130">
        <f>SB18c!L9</f>
        <v>7140000</v>
      </c>
      <c r="M172" s="264">
        <f>SB18c!M9</f>
        <v>7404000</v>
      </c>
      <c r="N172" s="126"/>
    </row>
    <row r="173" spans="1:29" ht="12.75" customHeight="1" x14ac:dyDescent="0.25">
      <c r="A173" s="1218" t="str">
        <f t="shared" ref="A173:A201" si="58">+A9</f>
        <v>Storm water Infrastructure</v>
      </c>
      <c r="B173" s="73"/>
      <c r="C173" s="129">
        <f>SB18c!C14</f>
        <v>0</v>
      </c>
      <c r="D173" s="129">
        <f>SB18c!D14</f>
        <v>0</v>
      </c>
      <c r="E173" s="129">
        <f>SB18c!E14</f>
        <v>0</v>
      </c>
      <c r="F173" s="129">
        <f>SB18c!F14</f>
        <v>0</v>
      </c>
      <c r="G173" s="129">
        <f>SB18c!G14</f>
        <v>0</v>
      </c>
      <c r="H173" s="129">
        <f>SB18c!H14</f>
        <v>0</v>
      </c>
      <c r="I173" s="129">
        <f>SB18c!I14</f>
        <v>0</v>
      </c>
      <c r="J173" s="169">
        <f>SB18c!J14</f>
        <v>0</v>
      </c>
      <c r="K173" s="169">
        <f>SB18c!K14</f>
        <v>0</v>
      </c>
      <c r="L173" s="129">
        <f>SB18c!L14</f>
        <v>0</v>
      </c>
      <c r="M173" s="131">
        <f>SB18c!M14</f>
        <v>0</v>
      </c>
      <c r="N173" s="126"/>
    </row>
    <row r="174" spans="1:29" ht="12.75" customHeight="1" x14ac:dyDescent="0.25">
      <c r="A174" s="1218" t="str">
        <f t="shared" si="58"/>
        <v>Electrical Infrastructure</v>
      </c>
      <c r="B174" s="73"/>
      <c r="C174" s="129">
        <f>SB18c!C18</f>
        <v>0</v>
      </c>
      <c r="D174" s="129">
        <f>SB18c!D18</f>
        <v>0</v>
      </c>
      <c r="E174" s="129">
        <f>SB18c!E18</f>
        <v>0</v>
      </c>
      <c r="F174" s="129">
        <f>SB18c!F18</f>
        <v>0</v>
      </c>
      <c r="G174" s="129">
        <f>SB18c!G18</f>
        <v>0</v>
      </c>
      <c r="H174" s="129">
        <f>SB18c!H18</f>
        <v>0</v>
      </c>
      <c r="I174" s="129">
        <f>SB18c!I18</f>
        <v>0</v>
      </c>
      <c r="J174" s="169">
        <f>SB18c!J18</f>
        <v>0</v>
      </c>
      <c r="K174" s="169">
        <f>SB18c!K18</f>
        <v>0</v>
      </c>
      <c r="L174" s="130">
        <f>SB18c!L18</f>
        <v>0</v>
      </c>
      <c r="M174" s="131">
        <f>SB18c!M18</f>
        <v>0</v>
      </c>
      <c r="N174" s="126"/>
    </row>
    <row r="175" spans="1:29" ht="12.75" customHeight="1" x14ac:dyDescent="0.25">
      <c r="A175" s="1218" t="str">
        <f t="shared" si="58"/>
        <v>Water Supply Infrastructure</v>
      </c>
      <c r="B175" s="73"/>
      <c r="C175" s="129">
        <f>SB18c!C28</f>
        <v>0</v>
      </c>
      <c r="D175" s="129">
        <f>SB18c!D28</f>
        <v>0</v>
      </c>
      <c r="E175" s="129">
        <f>SB18c!E28</f>
        <v>0</v>
      </c>
      <c r="F175" s="129">
        <f>SB18c!F28</f>
        <v>0</v>
      </c>
      <c r="G175" s="129">
        <f>SB18c!G28</f>
        <v>0</v>
      </c>
      <c r="H175" s="129">
        <f>SB18c!H28</f>
        <v>0</v>
      </c>
      <c r="I175" s="129">
        <f>SB18c!I28</f>
        <v>0</v>
      </c>
      <c r="J175" s="169">
        <f>SB18c!J28</f>
        <v>0</v>
      </c>
      <c r="K175" s="169">
        <f>SB18c!K28</f>
        <v>0</v>
      </c>
      <c r="L175" s="130">
        <f>SB18c!L28</f>
        <v>0</v>
      </c>
      <c r="M175" s="131">
        <f>SB18c!M28</f>
        <v>0</v>
      </c>
      <c r="N175" s="126"/>
    </row>
    <row r="176" spans="1:29" ht="12.75" customHeight="1" x14ac:dyDescent="0.25">
      <c r="A176" s="1218" t="str">
        <f t="shared" si="58"/>
        <v>Sanitation Infrastructure</v>
      </c>
      <c r="B176" s="73"/>
      <c r="C176" s="129">
        <f>SB18c!C39</f>
        <v>0</v>
      </c>
      <c r="D176" s="129">
        <f>SB18c!D39</f>
        <v>0</v>
      </c>
      <c r="E176" s="129">
        <f>SB18c!E39</f>
        <v>0</v>
      </c>
      <c r="F176" s="129">
        <f>SB18c!F39</f>
        <v>0</v>
      </c>
      <c r="G176" s="129">
        <f>SB18c!G39</f>
        <v>0</v>
      </c>
      <c r="H176" s="129">
        <f>SB18c!H39</f>
        <v>0</v>
      </c>
      <c r="I176" s="129">
        <f>SB18c!I39</f>
        <v>0</v>
      </c>
      <c r="J176" s="169">
        <f>SB18c!J39</f>
        <v>0</v>
      </c>
      <c r="K176" s="169">
        <f>SB18c!K39</f>
        <v>0</v>
      </c>
      <c r="L176" s="130">
        <f>SB18c!L39</f>
        <v>0</v>
      </c>
      <c r="M176" s="131">
        <f>SB18c!M39</f>
        <v>0</v>
      </c>
      <c r="N176" s="126"/>
    </row>
    <row r="177" spans="1:14" ht="12.75" customHeight="1" x14ac:dyDescent="0.25">
      <c r="A177" s="1218" t="str">
        <f t="shared" si="58"/>
        <v>Solid Waste Infrastructure</v>
      </c>
      <c r="B177" s="73"/>
      <c r="C177" s="129">
        <f>SB18c!C46</f>
        <v>0</v>
      </c>
      <c r="D177" s="129">
        <f>SB18c!D46</f>
        <v>0</v>
      </c>
      <c r="E177" s="129">
        <f>SB18c!E46</f>
        <v>0</v>
      </c>
      <c r="F177" s="129">
        <f>SB18c!F46</f>
        <v>0</v>
      </c>
      <c r="G177" s="129">
        <f>SB18c!G46</f>
        <v>0</v>
      </c>
      <c r="H177" s="129">
        <f>SB18c!H46</f>
        <v>0</v>
      </c>
      <c r="I177" s="129">
        <f>SB18c!I46</f>
        <v>0</v>
      </c>
      <c r="J177" s="169">
        <f>SB18c!J46</f>
        <v>0</v>
      </c>
      <c r="K177" s="169">
        <f>SB18c!K46</f>
        <v>0</v>
      </c>
      <c r="L177" s="129">
        <f>SB18c!L46</f>
        <v>0</v>
      </c>
      <c r="M177" s="131">
        <f>SB18c!M46</f>
        <v>0</v>
      </c>
      <c r="N177" s="126"/>
    </row>
    <row r="178" spans="1:14" ht="12.75" customHeight="1" x14ac:dyDescent="0.25">
      <c r="A178" s="1218" t="str">
        <f t="shared" si="58"/>
        <v>Rail Infrastructure</v>
      </c>
      <c r="B178" s="73"/>
      <c r="C178" s="129">
        <f>SB18c!C54</f>
        <v>0</v>
      </c>
      <c r="D178" s="129">
        <f>SB18c!D54</f>
        <v>0</v>
      </c>
      <c r="E178" s="129">
        <f>SB18c!E54</f>
        <v>0</v>
      </c>
      <c r="F178" s="129">
        <f>SB18c!F54</f>
        <v>0</v>
      </c>
      <c r="G178" s="129">
        <f>SB18c!G54</f>
        <v>0</v>
      </c>
      <c r="H178" s="129">
        <f>SB18c!H54</f>
        <v>0</v>
      </c>
      <c r="I178" s="129">
        <f>SB18c!I54</f>
        <v>0</v>
      </c>
      <c r="J178" s="169">
        <f>SB18c!J54</f>
        <v>0</v>
      </c>
      <c r="K178" s="169">
        <f>SB18c!K54</f>
        <v>0</v>
      </c>
      <c r="L178" s="130">
        <f>SB18c!L54</f>
        <v>0</v>
      </c>
      <c r="M178" s="131">
        <f>SB18c!M54</f>
        <v>0</v>
      </c>
      <c r="N178" s="126"/>
    </row>
    <row r="179" spans="1:14" ht="12.75" customHeight="1" x14ac:dyDescent="0.25">
      <c r="A179" s="1218" t="str">
        <f t="shared" si="58"/>
        <v>Coastal Infrastructure</v>
      </c>
      <c r="B179" s="73"/>
      <c r="C179" s="129">
        <f>SB18c!C64</f>
        <v>0</v>
      </c>
      <c r="D179" s="129">
        <f>SB18c!D64</f>
        <v>0</v>
      </c>
      <c r="E179" s="129">
        <f>SB18c!E64</f>
        <v>0</v>
      </c>
      <c r="F179" s="129">
        <f>SB18c!F64</f>
        <v>0</v>
      </c>
      <c r="G179" s="129">
        <f>SB18c!G64</f>
        <v>0</v>
      </c>
      <c r="H179" s="129">
        <f>SB18c!H64</f>
        <v>0</v>
      </c>
      <c r="I179" s="129">
        <f>SB18c!I64</f>
        <v>0</v>
      </c>
      <c r="J179" s="169">
        <f>SB18c!J64</f>
        <v>0</v>
      </c>
      <c r="K179" s="169">
        <f>SB18c!K64</f>
        <v>0</v>
      </c>
      <c r="L179" s="130">
        <f>SB18c!L64</f>
        <v>0</v>
      </c>
      <c r="M179" s="131">
        <f>SB18c!M64</f>
        <v>0</v>
      </c>
      <c r="N179" s="126"/>
    </row>
    <row r="180" spans="1:14" ht="12.75" customHeight="1" x14ac:dyDescent="0.25">
      <c r="A180" s="1218" t="str">
        <f t="shared" si="58"/>
        <v>Information and Communication Infrastructure</v>
      </c>
      <c r="B180" s="73"/>
      <c r="C180" s="129">
        <f>SB18c!C70</f>
        <v>0</v>
      </c>
      <c r="D180" s="129">
        <f>SB18c!D70</f>
        <v>0</v>
      </c>
      <c r="E180" s="129">
        <f>SB18c!E70</f>
        <v>0</v>
      </c>
      <c r="F180" s="129">
        <f>SB18c!F70</f>
        <v>0</v>
      </c>
      <c r="G180" s="129">
        <f>SB18c!G70</f>
        <v>0</v>
      </c>
      <c r="H180" s="129">
        <f>SB18c!H70</f>
        <v>0</v>
      </c>
      <c r="I180" s="129">
        <f>SB18c!I70</f>
        <v>0</v>
      </c>
      <c r="J180" s="169">
        <f>SB18c!J70</f>
        <v>0</v>
      </c>
      <c r="K180" s="169">
        <f>SB18c!K70</f>
        <v>0</v>
      </c>
      <c r="L180" s="130">
        <f>SB18c!L70</f>
        <v>0</v>
      </c>
      <c r="M180" s="131">
        <f>SB18c!M70</f>
        <v>0</v>
      </c>
      <c r="N180" s="126"/>
    </row>
    <row r="181" spans="1:14" ht="12.75" customHeight="1" x14ac:dyDescent="0.25">
      <c r="A181" s="1219" t="str">
        <f t="shared" si="58"/>
        <v>Infrastructure</v>
      </c>
      <c r="B181" s="73"/>
      <c r="C181" s="700">
        <f>SUM(C172:C180)</f>
        <v>11000000</v>
      </c>
      <c r="D181" s="263">
        <f t="shared" ref="D181:M181" si="59">SUM(D172:D180)</f>
        <v>11000000</v>
      </c>
      <c r="E181" s="263">
        <f t="shared" si="59"/>
        <v>0</v>
      </c>
      <c r="F181" s="263">
        <f t="shared" si="59"/>
        <v>0</v>
      </c>
      <c r="G181" s="263">
        <f t="shared" si="59"/>
        <v>0</v>
      </c>
      <c r="H181" s="263">
        <f t="shared" si="59"/>
        <v>0</v>
      </c>
      <c r="I181" s="263">
        <f t="shared" si="59"/>
        <v>4551245</v>
      </c>
      <c r="J181" s="576">
        <f t="shared" si="59"/>
        <v>4551245</v>
      </c>
      <c r="K181" s="576">
        <f t="shared" si="59"/>
        <v>15551245</v>
      </c>
      <c r="L181" s="263">
        <f t="shared" si="59"/>
        <v>7140000</v>
      </c>
      <c r="M181" s="264">
        <f t="shared" si="59"/>
        <v>7404000</v>
      </c>
      <c r="N181" s="126"/>
    </row>
    <row r="182" spans="1:14" ht="12.75" customHeight="1" x14ac:dyDescent="0.25">
      <c r="A182" s="1220" t="str">
        <f t="shared" si="58"/>
        <v>Community Facilities</v>
      </c>
      <c r="B182" s="73"/>
      <c r="C182" s="129">
        <f>SB18c!C77</f>
        <v>2000000</v>
      </c>
      <c r="D182" s="129">
        <f>SB18c!D77</f>
        <v>2000000</v>
      </c>
      <c r="E182" s="129">
        <f>SB18c!E77</f>
        <v>0</v>
      </c>
      <c r="F182" s="129">
        <f>SB18c!F77</f>
        <v>0</v>
      </c>
      <c r="G182" s="129">
        <f>SB18c!G77</f>
        <v>0</v>
      </c>
      <c r="H182" s="129">
        <f>SB18c!H77</f>
        <v>0</v>
      </c>
      <c r="I182" s="129">
        <f>SB18c!I77</f>
        <v>2979775</v>
      </c>
      <c r="J182" s="169">
        <f>SB18c!J77</f>
        <v>2979775</v>
      </c>
      <c r="K182" s="169">
        <f>SB18c!K77</f>
        <v>4979775</v>
      </c>
      <c r="L182" s="130">
        <f>SB18c!L77</f>
        <v>2200000</v>
      </c>
      <c r="M182" s="131">
        <f>SB18c!M77</f>
        <v>2420000</v>
      </c>
      <c r="N182" s="126"/>
    </row>
    <row r="183" spans="1:14" ht="12.75" customHeight="1" x14ac:dyDescent="0.25">
      <c r="A183" s="1220" t="str">
        <f t="shared" si="58"/>
        <v>Sport and Recreation Facilities</v>
      </c>
      <c r="B183" s="73"/>
      <c r="C183" s="129">
        <f>SB18c!C100</f>
        <v>1500000</v>
      </c>
      <c r="D183" s="270">
        <f>SB18c!D100</f>
        <v>1500000</v>
      </c>
      <c r="E183" s="1223">
        <f>SB18c!E100</f>
        <v>0</v>
      </c>
      <c r="F183" s="1223">
        <f>SB18c!F100</f>
        <v>0</v>
      </c>
      <c r="G183" s="1223">
        <f>SB18c!G100</f>
        <v>0</v>
      </c>
      <c r="H183" s="1223">
        <f>SB18c!H100</f>
        <v>0</v>
      </c>
      <c r="I183" s="1223">
        <f>SB18c!I100</f>
        <v>0</v>
      </c>
      <c r="J183" s="1224">
        <f>SB18c!J100</f>
        <v>0</v>
      </c>
      <c r="K183" s="1224">
        <f>SB18c!K100</f>
        <v>1500000</v>
      </c>
      <c r="L183" s="270">
        <f>SB18c!L100</f>
        <v>1650000</v>
      </c>
      <c r="M183" s="273">
        <f>SB18c!M100</f>
        <v>1815000</v>
      </c>
      <c r="N183" s="126"/>
    </row>
    <row r="184" spans="1:14" ht="12.75" customHeight="1" x14ac:dyDescent="0.25">
      <c r="A184" s="1219" t="str">
        <f t="shared" si="58"/>
        <v>Community Assets</v>
      </c>
      <c r="B184" s="73"/>
      <c r="C184" s="700">
        <f>SUM(C182:C183)</f>
        <v>3500000</v>
      </c>
      <c r="D184" s="129">
        <f t="shared" ref="D184:M184" si="60">SUM(D182:D183)</f>
        <v>3500000</v>
      </c>
      <c r="E184" s="129">
        <f t="shared" si="60"/>
        <v>0</v>
      </c>
      <c r="F184" s="129">
        <f t="shared" si="60"/>
        <v>0</v>
      </c>
      <c r="G184" s="129">
        <f t="shared" si="60"/>
        <v>0</v>
      </c>
      <c r="H184" s="129">
        <f t="shared" si="60"/>
        <v>0</v>
      </c>
      <c r="I184" s="129">
        <f t="shared" si="60"/>
        <v>2979775</v>
      </c>
      <c r="J184" s="169">
        <f t="shared" si="60"/>
        <v>2979775</v>
      </c>
      <c r="K184" s="169">
        <f t="shared" si="60"/>
        <v>6479775</v>
      </c>
      <c r="L184" s="130">
        <f t="shared" si="60"/>
        <v>3850000</v>
      </c>
      <c r="M184" s="131">
        <f t="shared" si="60"/>
        <v>4235000</v>
      </c>
      <c r="N184" s="126"/>
    </row>
    <row r="185" spans="1:14" ht="12.75" customHeight="1" x14ac:dyDescent="0.25">
      <c r="A185" s="1221" t="str">
        <f t="shared" si="58"/>
        <v>Heritage Assets</v>
      </c>
      <c r="B185" s="73"/>
      <c r="C185" s="129">
        <f>SB18c!C105</f>
        <v>0</v>
      </c>
      <c r="D185" s="129">
        <f>SB18c!D105</f>
        <v>0</v>
      </c>
      <c r="E185" s="129">
        <f>SB18c!E105</f>
        <v>0</v>
      </c>
      <c r="F185" s="129">
        <f>SB18c!F105</f>
        <v>0</v>
      </c>
      <c r="G185" s="129">
        <f>SB18c!G105</f>
        <v>0</v>
      </c>
      <c r="H185" s="129">
        <f>SB18c!H105</f>
        <v>0</v>
      </c>
      <c r="I185" s="129">
        <f>SB18c!I105</f>
        <v>0</v>
      </c>
      <c r="J185" s="169">
        <f>SB18c!J105</f>
        <v>0</v>
      </c>
      <c r="K185" s="169">
        <f>SB18c!K105</f>
        <v>0</v>
      </c>
      <c r="L185" s="130">
        <f>SB18c!L105</f>
        <v>0</v>
      </c>
      <c r="M185" s="131">
        <f>SB18c!M105</f>
        <v>0</v>
      </c>
      <c r="N185" s="126"/>
    </row>
    <row r="186" spans="1:14" ht="12.75" customHeight="1" x14ac:dyDescent="0.25">
      <c r="A186" s="1220" t="str">
        <f t="shared" si="58"/>
        <v>Revenue Generating</v>
      </c>
      <c r="B186" s="73"/>
      <c r="C186" s="129">
        <f>SB18c!C113</f>
        <v>0</v>
      </c>
      <c r="D186" s="129">
        <f>SB18c!D113</f>
        <v>0</v>
      </c>
      <c r="E186" s="129">
        <f>SB18c!E113</f>
        <v>0</v>
      </c>
      <c r="F186" s="129">
        <f>SB18c!F113</f>
        <v>0</v>
      </c>
      <c r="G186" s="129">
        <f>SB18c!G113</f>
        <v>0</v>
      </c>
      <c r="H186" s="129">
        <f>SB18c!H113</f>
        <v>0</v>
      </c>
      <c r="I186" s="129">
        <f>SB18c!I113</f>
        <v>0</v>
      </c>
      <c r="J186" s="169">
        <f>SB18c!J113</f>
        <v>0</v>
      </c>
      <c r="K186" s="169">
        <f>SB18c!K113</f>
        <v>0</v>
      </c>
      <c r="L186" s="130">
        <f>SB18c!L113</f>
        <v>0</v>
      </c>
      <c r="M186" s="131">
        <f>SB18c!M113</f>
        <v>0</v>
      </c>
      <c r="N186" s="126"/>
    </row>
    <row r="187" spans="1:14" ht="12.75" customHeight="1" x14ac:dyDescent="0.25">
      <c r="A187" s="1220" t="str">
        <f t="shared" si="58"/>
        <v>Non-revenue Generating</v>
      </c>
      <c r="B187" s="73"/>
      <c r="C187" s="129">
        <f>SB18c!C116</f>
        <v>0</v>
      </c>
      <c r="D187" s="270">
        <f>SB18c!D116</f>
        <v>0</v>
      </c>
      <c r="E187" s="1223">
        <f>SB18c!E116</f>
        <v>0</v>
      </c>
      <c r="F187" s="1223">
        <f>SB18c!F116</f>
        <v>0</v>
      </c>
      <c r="G187" s="1223">
        <f>SB18c!G116</f>
        <v>0</v>
      </c>
      <c r="H187" s="1223">
        <f>SB18c!H116</f>
        <v>0</v>
      </c>
      <c r="I187" s="1223">
        <f>SB18c!I116</f>
        <v>0</v>
      </c>
      <c r="J187" s="1224">
        <f>SB18c!J116</f>
        <v>0</v>
      </c>
      <c r="K187" s="1224">
        <f>SB18c!K116</f>
        <v>0</v>
      </c>
      <c r="L187" s="270">
        <f>SB18c!L116</f>
        <v>0</v>
      </c>
      <c r="M187" s="273">
        <f>SB18c!M116</f>
        <v>0</v>
      </c>
      <c r="N187" s="126"/>
    </row>
    <row r="188" spans="1:14" ht="12.75" customHeight="1" x14ac:dyDescent="0.25">
      <c r="A188" s="1219" t="str">
        <f t="shared" si="58"/>
        <v>Investment properties</v>
      </c>
      <c r="B188" s="73"/>
      <c r="C188" s="700">
        <f>SUM(C186:C187)</f>
        <v>0</v>
      </c>
      <c r="D188" s="129">
        <f t="shared" ref="D188:M188" si="61">SUM(D186:D187)</f>
        <v>0</v>
      </c>
      <c r="E188" s="129">
        <f t="shared" si="61"/>
        <v>0</v>
      </c>
      <c r="F188" s="129">
        <f t="shared" si="61"/>
        <v>0</v>
      </c>
      <c r="G188" s="129">
        <f t="shared" si="61"/>
        <v>0</v>
      </c>
      <c r="H188" s="129">
        <f t="shared" si="61"/>
        <v>0</v>
      </c>
      <c r="I188" s="129">
        <f t="shared" si="61"/>
        <v>0</v>
      </c>
      <c r="J188" s="169">
        <f t="shared" si="61"/>
        <v>0</v>
      </c>
      <c r="K188" s="169">
        <f t="shared" si="61"/>
        <v>0</v>
      </c>
      <c r="L188" s="130">
        <f t="shared" si="61"/>
        <v>0</v>
      </c>
      <c r="M188" s="131">
        <f t="shared" si="61"/>
        <v>0</v>
      </c>
      <c r="N188" s="126"/>
    </row>
    <row r="189" spans="1:14" ht="12.75" customHeight="1" x14ac:dyDescent="0.25">
      <c r="A189" s="1220" t="str">
        <f t="shared" si="58"/>
        <v>Operational Buildings</v>
      </c>
      <c r="B189" s="73"/>
      <c r="C189" s="129">
        <f>SB18c!C121</f>
        <v>2000000</v>
      </c>
      <c r="D189" s="129">
        <f>SB18c!D121</f>
        <v>2000000</v>
      </c>
      <c r="E189" s="129">
        <f>SB18c!E121</f>
        <v>0</v>
      </c>
      <c r="F189" s="129">
        <f>SB18c!F121</f>
        <v>0</v>
      </c>
      <c r="G189" s="129">
        <f>SB18c!G121</f>
        <v>0</v>
      </c>
      <c r="H189" s="129">
        <f>SB18c!H121</f>
        <v>0</v>
      </c>
      <c r="I189" s="129">
        <f>SB18c!I121</f>
        <v>5819500</v>
      </c>
      <c r="J189" s="169">
        <f>SB18c!J121</f>
        <v>5819500</v>
      </c>
      <c r="K189" s="169">
        <f>SB18c!K121</f>
        <v>7819500</v>
      </c>
      <c r="L189" s="130">
        <f>SB18c!L121</f>
        <v>2200000</v>
      </c>
      <c r="M189" s="131">
        <f>SB18c!M121</f>
        <v>2420000</v>
      </c>
      <c r="N189" s="126"/>
    </row>
    <row r="190" spans="1:14" ht="12.75" customHeight="1" x14ac:dyDescent="0.25">
      <c r="A190" s="1220" t="str">
        <f t="shared" si="58"/>
        <v>Housing</v>
      </c>
      <c r="B190" s="73"/>
      <c r="C190" s="1143">
        <f>SB18c!C133</f>
        <v>0</v>
      </c>
      <c r="D190" s="1223">
        <f>SB18c!D133</f>
        <v>0</v>
      </c>
      <c r="E190" s="1223">
        <f>SB18c!E133</f>
        <v>0</v>
      </c>
      <c r="F190" s="1223">
        <f>SB18c!F133</f>
        <v>0</v>
      </c>
      <c r="G190" s="1223">
        <f>SB18c!G133</f>
        <v>0</v>
      </c>
      <c r="H190" s="1223">
        <f>SB18c!H133</f>
        <v>0</v>
      </c>
      <c r="I190" s="1223">
        <f>SB18c!I133</f>
        <v>0</v>
      </c>
      <c r="J190" s="1224">
        <f>SB18c!J133</f>
        <v>0</v>
      </c>
      <c r="K190" s="1224">
        <f>SB18c!K133</f>
        <v>0</v>
      </c>
      <c r="L190" s="270">
        <f>SB18c!L133</f>
        <v>0</v>
      </c>
      <c r="M190" s="273">
        <f>SB18c!M133</f>
        <v>0</v>
      </c>
      <c r="N190" s="126"/>
    </row>
    <row r="191" spans="1:14" ht="12.75" customHeight="1" x14ac:dyDescent="0.25">
      <c r="A191" s="1219" t="str">
        <f t="shared" si="58"/>
        <v>Other Assets</v>
      </c>
      <c r="B191" s="73"/>
      <c r="C191" s="1110">
        <f>SUM(C189:C190)</f>
        <v>2000000</v>
      </c>
      <c r="D191" s="129">
        <f t="shared" ref="D191:M191" si="62">SUM(D189:D190)</f>
        <v>2000000</v>
      </c>
      <c r="E191" s="129">
        <f t="shared" si="62"/>
        <v>0</v>
      </c>
      <c r="F191" s="129">
        <f t="shared" si="62"/>
        <v>0</v>
      </c>
      <c r="G191" s="129">
        <f t="shared" si="62"/>
        <v>0</v>
      </c>
      <c r="H191" s="129">
        <f t="shared" si="62"/>
        <v>0</v>
      </c>
      <c r="I191" s="129">
        <f t="shared" si="62"/>
        <v>5819500</v>
      </c>
      <c r="J191" s="169">
        <f t="shared" si="62"/>
        <v>5819500</v>
      </c>
      <c r="K191" s="169">
        <f t="shared" si="62"/>
        <v>7819500</v>
      </c>
      <c r="L191" s="130">
        <f t="shared" si="62"/>
        <v>2200000</v>
      </c>
      <c r="M191" s="131">
        <f t="shared" si="62"/>
        <v>2420000</v>
      </c>
      <c r="N191" s="126"/>
    </row>
    <row r="192" spans="1:14" ht="12.75" customHeight="1" x14ac:dyDescent="0.25">
      <c r="A192" s="1221" t="str">
        <f t="shared" si="58"/>
        <v>Biological or Cultivated Assets</v>
      </c>
      <c r="B192" s="73"/>
      <c r="C192" s="129">
        <f>SB18c!C138</f>
        <v>0</v>
      </c>
      <c r="D192" s="129">
        <f>SB18c!D138</f>
        <v>0</v>
      </c>
      <c r="E192" s="129">
        <f>SB18c!E138</f>
        <v>0</v>
      </c>
      <c r="F192" s="129">
        <f>SB18c!F138</f>
        <v>0</v>
      </c>
      <c r="G192" s="129">
        <f>SB18c!G138</f>
        <v>0</v>
      </c>
      <c r="H192" s="129">
        <f>SB18c!H138</f>
        <v>0</v>
      </c>
      <c r="I192" s="129">
        <f>SB18c!I138</f>
        <v>0</v>
      </c>
      <c r="J192" s="169">
        <f>SB18c!J138</f>
        <v>0</v>
      </c>
      <c r="K192" s="169">
        <f>SB18c!K138</f>
        <v>0</v>
      </c>
      <c r="L192" s="130">
        <f>SB18c!L138</f>
        <v>0</v>
      </c>
      <c r="M192" s="131">
        <f>SB18c!M138</f>
        <v>0</v>
      </c>
      <c r="N192" s="126"/>
    </row>
    <row r="193" spans="1:14" ht="12.75" customHeight="1" x14ac:dyDescent="0.25">
      <c r="A193" s="1220" t="str">
        <f t="shared" si="58"/>
        <v>Servitudes</v>
      </c>
      <c r="B193" s="73"/>
      <c r="C193" s="129">
        <f>SB18c!C142</f>
        <v>0</v>
      </c>
      <c r="D193" s="129">
        <f>SB18c!D142</f>
        <v>0</v>
      </c>
      <c r="E193" s="129">
        <f>SB18c!E142</f>
        <v>0</v>
      </c>
      <c r="F193" s="129">
        <f>SB18c!F142</f>
        <v>0</v>
      </c>
      <c r="G193" s="129">
        <f>SB18c!G142</f>
        <v>0</v>
      </c>
      <c r="H193" s="129">
        <f>SB18c!H142</f>
        <v>0</v>
      </c>
      <c r="I193" s="129">
        <f>SB18c!I142</f>
        <v>0</v>
      </c>
      <c r="J193" s="169">
        <f>SB18c!J142</f>
        <v>0</v>
      </c>
      <c r="K193" s="169">
        <f>SB18c!K142</f>
        <v>0</v>
      </c>
      <c r="L193" s="130">
        <f>SB18c!L142</f>
        <v>0</v>
      </c>
      <c r="M193" s="131">
        <f>SB18c!M142</f>
        <v>0</v>
      </c>
      <c r="N193" s="126"/>
    </row>
    <row r="194" spans="1:14" ht="12.75" customHeight="1" x14ac:dyDescent="0.25">
      <c r="A194" s="1220" t="str">
        <f t="shared" si="58"/>
        <v>Licences and Rights</v>
      </c>
      <c r="B194" s="73"/>
      <c r="C194" s="1143">
        <f>SB18c!C143</f>
        <v>0</v>
      </c>
      <c r="D194" s="1223">
        <f>SB18c!D143</f>
        <v>0</v>
      </c>
      <c r="E194" s="1223">
        <f>SB18c!E143</f>
        <v>0</v>
      </c>
      <c r="F194" s="1223">
        <f>SB18c!F143</f>
        <v>0</v>
      </c>
      <c r="G194" s="1223">
        <f>SB18c!G143</f>
        <v>0</v>
      </c>
      <c r="H194" s="1223">
        <f>SB18c!H143</f>
        <v>0</v>
      </c>
      <c r="I194" s="1223">
        <f>SB18c!I143</f>
        <v>0</v>
      </c>
      <c r="J194" s="1224">
        <f>SB18c!J143</f>
        <v>0</v>
      </c>
      <c r="K194" s="1224">
        <f>SB18c!K143</f>
        <v>0</v>
      </c>
      <c r="L194" s="270">
        <f>SB18c!L143</f>
        <v>0</v>
      </c>
      <c r="M194" s="273">
        <f>SB18c!M143</f>
        <v>0</v>
      </c>
      <c r="N194" s="126"/>
    </row>
    <row r="195" spans="1:14" ht="12.75" customHeight="1" x14ac:dyDescent="0.25">
      <c r="A195" s="1219" t="str">
        <f t="shared" si="58"/>
        <v>Intangible Assets</v>
      </c>
      <c r="B195" s="73"/>
      <c r="C195" s="1110">
        <f>SUM(C193:C194)</f>
        <v>0</v>
      </c>
      <c r="D195" s="129">
        <f t="shared" ref="D195:M195" si="63">SUM(D193:D194)</f>
        <v>0</v>
      </c>
      <c r="E195" s="129">
        <f t="shared" si="63"/>
        <v>0</v>
      </c>
      <c r="F195" s="129">
        <f t="shared" si="63"/>
        <v>0</v>
      </c>
      <c r="G195" s="129">
        <f t="shared" si="63"/>
        <v>0</v>
      </c>
      <c r="H195" s="129">
        <f t="shared" si="63"/>
        <v>0</v>
      </c>
      <c r="I195" s="129">
        <f t="shared" si="63"/>
        <v>0</v>
      </c>
      <c r="J195" s="169">
        <f t="shared" si="63"/>
        <v>0</v>
      </c>
      <c r="K195" s="169">
        <f t="shared" si="63"/>
        <v>0</v>
      </c>
      <c r="L195" s="130">
        <f t="shared" si="63"/>
        <v>0</v>
      </c>
      <c r="M195" s="131">
        <f t="shared" si="63"/>
        <v>0</v>
      </c>
      <c r="N195" s="126"/>
    </row>
    <row r="196" spans="1:14" ht="12.75" customHeight="1" x14ac:dyDescent="0.25">
      <c r="A196" s="1222" t="str">
        <f t="shared" si="58"/>
        <v>Computer Equipment</v>
      </c>
      <c r="B196" s="73"/>
      <c r="C196" s="129">
        <f>SB18c!C151</f>
        <v>0</v>
      </c>
      <c r="D196" s="129">
        <f>SB18c!D151</f>
        <v>0</v>
      </c>
      <c r="E196" s="129">
        <f>SB18c!E151</f>
        <v>0</v>
      </c>
      <c r="F196" s="129">
        <f>SB18c!F151</f>
        <v>0</v>
      </c>
      <c r="G196" s="129">
        <f>SB18c!G151</f>
        <v>0</v>
      </c>
      <c r="H196" s="129">
        <f>SB18c!H151</f>
        <v>0</v>
      </c>
      <c r="I196" s="129">
        <f>SB18c!I151</f>
        <v>0</v>
      </c>
      <c r="J196" s="169">
        <f>SB18c!J151</f>
        <v>0</v>
      </c>
      <c r="K196" s="169">
        <f>SB18c!K151</f>
        <v>0</v>
      </c>
      <c r="L196" s="130">
        <f>SB18c!L151</f>
        <v>0</v>
      </c>
      <c r="M196" s="131">
        <f>SB18c!M151</f>
        <v>0</v>
      </c>
      <c r="N196" s="126"/>
    </row>
    <row r="197" spans="1:14" ht="12.75" customHeight="1" x14ac:dyDescent="0.25">
      <c r="A197" s="1221" t="str">
        <f t="shared" si="58"/>
        <v>Furniture and Office Equipment</v>
      </c>
      <c r="B197" s="73"/>
      <c r="C197" s="129">
        <f>SB18c!C154</f>
        <v>0</v>
      </c>
      <c r="D197" s="129">
        <f>SB18c!D154</f>
        <v>0</v>
      </c>
      <c r="E197" s="129">
        <f>SB18c!E154</f>
        <v>0</v>
      </c>
      <c r="F197" s="129">
        <f>SB18c!F154</f>
        <v>0</v>
      </c>
      <c r="G197" s="129">
        <f>SB18c!G154</f>
        <v>0</v>
      </c>
      <c r="H197" s="129">
        <f>SB18c!H154</f>
        <v>0</v>
      </c>
      <c r="I197" s="129">
        <f>SB18c!I154</f>
        <v>0</v>
      </c>
      <c r="J197" s="169">
        <f>SB18c!J154</f>
        <v>0</v>
      </c>
      <c r="K197" s="169">
        <f>SB18c!K154</f>
        <v>0</v>
      </c>
      <c r="L197" s="130">
        <f>SB18c!L154</f>
        <v>0</v>
      </c>
      <c r="M197" s="131">
        <f>SB18c!M154</f>
        <v>0</v>
      </c>
      <c r="N197" s="126"/>
    </row>
    <row r="198" spans="1:14" ht="12.75" customHeight="1" x14ac:dyDescent="0.25">
      <c r="A198" s="1221" t="str">
        <f t="shared" si="58"/>
        <v>Machinery and Equipment</v>
      </c>
      <c r="B198" s="73"/>
      <c r="C198" s="129">
        <f>SB18c!C157</f>
        <v>0</v>
      </c>
      <c r="D198" s="129">
        <f>SB18c!D157</f>
        <v>0</v>
      </c>
      <c r="E198" s="129">
        <f>SB18c!E157</f>
        <v>0</v>
      </c>
      <c r="F198" s="129">
        <f>SB18c!F157</f>
        <v>0</v>
      </c>
      <c r="G198" s="129">
        <f>SB18c!G157</f>
        <v>0</v>
      </c>
      <c r="H198" s="129">
        <f>SB18c!H157</f>
        <v>0</v>
      </c>
      <c r="I198" s="129">
        <f>SB18c!I157</f>
        <v>0</v>
      </c>
      <c r="J198" s="169">
        <f>SB18c!J157</f>
        <v>0</v>
      </c>
      <c r="K198" s="169">
        <f>SB18c!K157</f>
        <v>0</v>
      </c>
      <c r="L198" s="130">
        <f>SB18c!L157</f>
        <v>0</v>
      </c>
      <c r="M198" s="131">
        <f>SB18c!M157</f>
        <v>0</v>
      </c>
      <c r="N198" s="126"/>
    </row>
    <row r="199" spans="1:14" ht="12.75" customHeight="1" x14ac:dyDescent="0.25">
      <c r="A199" s="1222" t="str">
        <f t="shared" si="58"/>
        <v>Transport Assets</v>
      </c>
      <c r="B199" s="73"/>
      <c r="C199" s="129">
        <f>SB18c!C160</f>
        <v>380000</v>
      </c>
      <c r="D199" s="129">
        <f>SB18c!D160</f>
        <v>380000</v>
      </c>
      <c r="E199" s="129">
        <f>SB18c!E160</f>
        <v>0</v>
      </c>
      <c r="F199" s="129">
        <f>SB18c!F160</f>
        <v>0</v>
      </c>
      <c r="G199" s="129">
        <f>SB18c!G160</f>
        <v>0</v>
      </c>
      <c r="H199" s="129">
        <f>SB18c!H160</f>
        <v>0</v>
      </c>
      <c r="I199" s="129">
        <f>SB18c!I160</f>
        <v>600000</v>
      </c>
      <c r="J199" s="169">
        <f>SB18c!J160</f>
        <v>600000</v>
      </c>
      <c r="K199" s="169">
        <f>SB18c!K160</f>
        <v>980000</v>
      </c>
      <c r="L199" s="130">
        <f>SB18c!L160</f>
        <v>402800</v>
      </c>
      <c r="M199" s="131">
        <f>SB18c!M160</f>
        <v>426968</v>
      </c>
      <c r="N199" s="126"/>
    </row>
    <row r="200" spans="1:14" ht="12.75" customHeight="1" x14ac:dyDescent="0.25">
      <c r="A200" s="1221" t="str">
        <f t="shared" si="58"/>
        <v>Land</v>
      </c>
      <c r="B200" s="73"/>
      <c r="C200" s="129">
        <f>SB18c!C163</f>
        <v>0</v>
      </c>
      <c r="D200" s="129">
        <f>SB18c!D163</f>
        <v>0</v>
      </c>
      <c r="E200" s="129">
        <f>SB18c!E163</f>
        <v>0</v>
      </c>
      <c r="F200" s="129">
        <f>SB18c!F163</f>
        <v>0</v>
      </c>
      <c r="G200" s="129">
        <f>SB18c!G163</f>
        <v>0</v>
      </c>
      <c r="H200" s="129">
        <f>SB18c!H163</f>
        <v>0</v>
      </c>
      <c r="I200" s="129">
        <f>SB18c!I163</f>
        <v>0</v>
      </c>
      <c r="J200" s="169">
        <f>SB18c!J163</f>
        <v>0</v>
      </c>
      <c r="K200" s="169">
        <f>SB18c!K163</f>
        <v>0</v>
      </c>
      <c r="L200" s="130">
        <f>SB18c!L163</f>
        <v>0</v>
      </c>
      <c r="M200" s="131">
        <f>SB18c!M163</f>
        <v>0</v>
      </c>
      <c r="N200" s="126"/>
    </row>
    <row r="201" spans="1:14" ht="12.75" customHeight="1" x14ac:dyDescent="0.25">
      <c r="A201" s="1221" t="str">
        <f t="shared" si="58"/>
        <v>Zoo's, Marine and Non-biological Animals</v>
      </c>
      <c r="B201" s="73">
        <v>6</v>
      </c>
      <c r="C201" s="129">
        <f>SB18c!C166</f>
        <v>0</v>
      </c>
      <c r="D201" s="129">
        <f>SB18c!D166</f>
        <v>0</v>
      </c>
      <c r="E201" s="129">
        <f>SB18c!E166</f>
        <v>0</v>
      </c>
      <c r="F201" s="129">
        <f>SB18c!F166</f>
        <v>0</v>
      </c>
      <c r="G201" s="129">
        <f>SB18c!G166</f>
        <v>0</v>
      </c>
      <c r="H201" s="129">
        <f>SB18c!H166</f>
        <v>0</v>
      </c>
      <c r="I201" s="129">
        <f>SB18c!I166</f>
        <v>0</v>
      </c>
      <c r="J201" s="169">
        <f>SB18c!J166</f>
        <v>0</v>
      </c>
      <c r="K201" s="169">
        <f>SB18c!K166</f>
        <v>0</v>
      </c>
      <c r="L201" s="130">
        <f>SB18c!L166</f>
        <v>0</v>
      </c>
      <c r="M201" s="131">
        <f>SB18c!M166</f>
        <v>0</v>
      </c>
      <c r="N201" s="126"/>
    </row>
    <row r="202" spans="1:14" ht="12.75" customHeight="1" x14ac:dyDescent="0.25">
      <c r="A202" s="160" t="s">
        <v>983</v>
      </c>
      <c r="B202" s="79"/>
      <c r="C202" s="114">
        <f>+C170+C171</f>
        <v>28053339</v>
      </c>
      <c r="D202" s="115">
        <f t="shared" ref="D202:M202" si="64">+D170+D171</f>
        <v>28053339</v>
      </c>
      <c r="E202" s="115">
        <f t="shared" si="64"/>
        <v>0</v>
      </c>
      <c r="F202" s="115">
        <f t="shared" si="64"/>
        <v>0</v>
      </c>
      <c r="G202" s="115">
        <f t="shared" si="64"/>
        <v>0</v>
      </c>
      <c r="H202" s="115">
        <f t="shared" si="64"/>
        <v>0</v>
      </c>
      <c r="I202" s="115">
        <f t="shared" si="64"/>
        <v>13950520</v>
      </c>
      <c r="J202" s="115">
        <f t="shared" si="64"/>
        <v>13950520</v>
      </c>
      <c r="K202" s="115">
        <f t="shared" si="64"/>
        <v>42003859</v>
      </c>
      <c r="L202" s="155">
        <f t="shared" si="64"/>
        <v>25883474</v>
      </c>
      <c r="M202" s="237">
        <f t="shared" si="64"/>
        <v>28005708</v>
      </c>
      <c r="N202" s="126"/>
    </row>
    <row r="203" spans="1:14" ht="5.0999999999999996" customHeight="1" x14ac:dyDescent="0.25">
      <c r="A203" s="134"/>
      <c r="B203" s="73"/>
      <c r="C203" s="238"/>
      <c r="D203" s="75"/>
      <c r="E203" s="75"/>
      <c r="F203" s="75"/>
      <c r="G203" s="75"/>
      <c r="H203" s="75"/>
      <c r="I203" s="75"/>
      <c r="J203" s="75"/>
      <c r="K203" s="75"/>
      <c r="L203" s="75"/>
      <c r="M203" s="76"/>
      <c r="N203" s="126"/>
    </row>
    <row r="204" spans="1:14" ht="12.75" customHeight="1" x14ac:dyDescent="0.25">
      <c r="A204" s="239" t="s">
        <v>1687</v>
      </c>
      <c r="B204" s="73"/>
      <c r="C204" s="240">
        <f>IF(ISERROR((C39+C71)/C134),0,((C39+C71)/C134))</f>
        <v>3.891540130320674E-2</v>
      </c>
      <c r="D204" s="241">
        <f>IF(ISERROR((D39+D71)/D134),0,((D39+D71)/D134))</f>
        <v>2.9921528994919084E-2</v>
      </c>
      <c r="E204" s="242"/>
      <c r="F204" s="242"/>
      <c r="G204" s="242"/>
      <c r="H204" s="242"/>
      <c r="I204" s="242"/>
      <c r="J204" s="242"/>
      <c r="K204" s="241">
        <f>IF(ISERROR((K39+K71)/K134),0,((K39+K71)/K134))</f>
        <v>4.5908938938386296E-2</v>
      </c>
      <c r="L204" s="241">
        <f>IF(ISERROR((L39+L71)/L134),0,((L39+L71)/L134))</f>
        <v>3.7235858131380521E-2</v>
      </c>
      <c r="M204" s="243">
        <f>IF(ISERROR((M39+M71)/M134),0,((M39+M71)/M134))</f>
        <v>0</v>
      </c>
      <c r="N204" s="126"/>
    </row>
    <row r="205" spans="1:14" ht="12.75" customHeight="1" x14ac:dyDescent="0.25">
      <c r="A205" s="239" t="s">
        <v>1688</v>
      </c>
      <c r="B205" s="73"/>
      <c r="C205" s="240">
        <f>IF(ISERROR((C39+C71)/C170),0,((C39+C71)/C170))</f>
        <v>8.9498761292394327E-2</v>
      </c>
      <c r="D205" s="241">
        <f>IF(ISERROR((D39+D71)/D170),0,((D39+D71)/D170))</f>
        <v>8.9498761292394327E-2</v>
      </c>
      <c r="E205" s="242"/>
      <c r="F205" s="242"/>
      <c r="G205" s="242"/>
      <c r="H205" s="242"/>
      <c r="I205" s="242"/>
      <c r="J205" s="242"/>
      <c r="K205" s="241">
        <f>IF(ISERROR((K39+K71)/K170),0,((K39+K71)/K170))</f>
        <v>0.13872308000321121</v>
      </c>
      <c r="L205" s="241">
        <f>IF(ISERROR((L39+L71)/L170),0,((L39+L71)/L170))</f>
        <v>9.7635003580763755E-2</v>
      </c>
      <c r="M205" s="243">
        <f>IF(ISERROR((M39+M71)/M170),0,((M39+M71)/M170))</f>
        <v>0</v>
      </c>
      <c r="N205" s="126"/>
    </row>
    <row r="206" spans="1:14" ht="12.75" customHeight="1" x14ac:dyDescent="0.25">
      <c r="A206" s="239" t="s">
        <v>984</v>
      </c>
      <c r="B206" s="73"/>
      <c r="C206" s="240">
        <f>IF(ISERROR(C171/C167),0,(C171/C167))</f>
        <v>0.11405039981759503</v>
      </c>
      <c r="D206" s="241">
        <f>IF(ISERROR(D171/D167),0,(D171/D167))</f>
        <v>0.10943292209850179</v>
      </c>
      <c r="E206" s="242"/>
      <c r="F206" s="242"/>
      <c r="G206" s="242"/>
      <c r="H206" s="242"/>
      <c r="I206" s="242"/>
      <c r="J206" s="242"/>
      <c r="K206" s="241">
        <f>IF(ISERROR(K171/K167),0,(K171/K167))</f>
        <v>1.7109245546052367</v>
      </c>
      <c r="L206" s="241">
        <f>IF(ISERROR(L171/L167),0,(L171/L167))</f>
        <v>0.89426315789473687</v>
      </c>
      <c r="M206" s="243">
        <f>IF(ISERROR(M171/M167),0,(M171/M167))</f>
        <v>2.1948436363636366</v>
      </c>
      <c r="N206" s="126"/>
    </row>
    <row r="207" spans="1:14" ht="12.75" customHeight="1" x14ac:dyDescent="0.25">
      <c r="A207" s="239" t="s">
        <v>1689</v>
      </c>
      <c r="B207" s="73"/>
      <c r="C207" s="240">
        <f>IF(ISERROR((C39+C71+C171)/C167),0,((C39+C71+C171)/C167))</f>
        <v>0.12080694009114924</v>
      </c>
      <c r="D207" s="241">
        <f>IF(ISERROR((D39+D71+D171)/D167),0,((D39+D71+D171)/D167))</f>
        <v>0.11591591511381588</v>
      </c>
      <c r="E207" s="242"/>
      <c r="F207" s="242"/>
      <c r="G207" s="242"/>
      <c r="H207" s="242"/>
      <c r="I207" s="242"/>
      <c r="J207" s="242"/>
      <c r="K207" s="241">
        <f>IF(ISERROR((K39+K71+K171)/K167),0,((K39+K71+K171)/K167))</f>
        <v>1.7969410428006392</v>
      </c>
      <c r="L207" s="241">
        <f>IF(ISERROR((L39+L71+L171)/L167),0,((L39+L71+L171)/L167))</f>
        <v>0.97321052631578953</v>
      </c>
      <c r="M207" s="243">
        <f>IF(ISERROR((M39+M71+M171)/M167),0,((M39+M71+M171)/M167))</f>
        <v>2.1948436363636366</v>
      </c>
      <c r="N207" s="126"/>
    </row>
    <row r="208" spans="1:14" ht="12" customHeight="1" x14ac:dyDescent="0.25">
      <c r="A208" s="244"/>
      <c r="B208" s="88"/>
      <c r="C208" s="245"/>
      <c r="D208" s="246"/>
      <c r="E208" s="247"/>
      <c r="F208" s="247"/>
      <c r="G208" s="247"/>
      <c r="H208" s="247"/>
      <c r="I208" s="247"/>
      <c r="J208" s="247"/>
      <c r="K208" s="246"/>
      <c r="L208" s="246"/>
      <c r="M208" s="248"/>
      <c r="N208" s="126"/>
    </row>
    <row r="209" spans="1:14" ht="12.75" customHeight="1" x14ac:dyDescent="0.25">
      <c r="A209" s="156" t="str">
        <f>head27a</f>
        <v>References</v>
      </c>
      <c r="B209" s="93"/>
      <c r="C209" s="96"/>
      <c r="D209" s="96"/>
      <c r="E209" s="96"/>
      <c r="F209" s="96"/>
      <c r="G209" s="96"/>
      <c r="H209" s="96"/>
      <c r="I209" s="96"/>
      <c r="J209" s="96"/>
      <c r="K209" s="96"/>
      <c r="L209" s="96"/>
      <c r="M209" s="96"/>
      <c r="N209" s="126"/>
    </row>
    <row r="210" spans="1:14" ht="12.75" customHeight="1" x14ac:dyDescent="0.25">
      <c r="A210" s="638" t="s">
        <v>1690</v>
      </c>
      <c r="B210" s="99"/>
      <c r="C210" s="99"/>
      <c r="D210" s="99"/>
      <c r="E210" s="99"/>
      <c r="F210" s="99"/>
      <c r="G210" s="99"/>
      <c r="H210" s="99"/>
      <c r="I210" s="99"/>
      <c r="J210" s="99"/>
      <c r="K210" s="99"/>
      <c r="L210" s="99"/>
      <c r="M210" s="99"/>
      <c r="N210" s="126"/>
    </row>
    <row r="211" spans="1:14" ht="12.75" customHeight="1" x14ac:dyDescent="0.25">
      <c r="A211" s="638" t="s">
        <v>1691</v>
      </c>
      <c r="B211" s="99"/>
      <c r="C211" s="157"/>
      <c r="D211" s="157"/>
      <c r="E211" s="157"/>
      <c r="F211" s="157"/>
      <c r="G211" s="157"/>
      <c r="H211" s="157"/>
      <c r="I211" s="157"/>
      <c r="J211" s="157"/>
      <c r="K211" s="157"/>
      <c r="L211" s="157"/>
      <c r="M211" s="99"/>
      <c r="N211" s="126"/>
    </row>
    <row r="212" spans="1:14" ht="12.75" customHeight="1" x14ac:dyDescent="0.25">
      <c r="A212" s="638" t="s">
        <v>1692</v>
      </c>
      <c r="B212" s="99"/>
      <c r="C212" s="157"/>
      <c r="D212" s="157"/>
      <c r="E212" s="157"/>
      <c r="F212" s="157"/>
      <c r="G212" s="157"/>
      <c r="H212" s="157"/>
      <c r="I212" s="157"/>
      <c r="J212" s="157"/>
      <c r="K212" s="157"/>
      <c r="L212" s="157"/>
      <c r="M212" s="99"/>
      <c r="N212" s="126"/>
    </row>
    <row r="213" spans="1:14" ht="12.75" customHeight="1" x14ac:dyDescent="0.25">
      <c r="A213" s="638" t="s">
        <v>1693</v>
      </c>
      <c r="B213" s="93"/>
      <c r="C213" s="96"/>
      <c r="D213" s="96"/>
      <c r="E213" s="96"/>
      <c r="F213" s="96"/>
      <c r="G213" s="96"/>
      <c r="H213" s="96"/>
      <c r="I213" s="96"/>
      <c r="J213" s="96"/>
      <c r="K213" s="96"/>
      <c r="L213" s="96"/>
      <c r="M213" s="96"/>
      <c r="N213" s="126"/>
    </row>
    <row r="214" spans="1:14" ht="12.75" customHeight="1" x14ac:dyDescent="0.25">
      <c r="A214" s="118" t="s">
        <v>1048</v>
      </c>
      <c r="B214" s="93"/>
      <c r="C214" s="96"/>
      <c r="D214" s="96"/>
      <c r="E214" s="96"/>
      <c r="F214" s="96"/>
      <c r="G214" s="96"/>
      <c r="H214" s="96"/>
      <c r="I214" s="96"/>
      <c r="J214" s="96"/>
      <c r="K214" s="96"/>
      <c r="L214" s="96"/>
      <c r="M214" s="96"/>
      <c r="N214" s="126"/>
    </row>
    <row r="215" spans="1:14" ht="12.75" customHeight="1" x14ac:dyDescent="0.25">
      <c r="A215" s="638" t="s">
        <v>547</v>
      </c>
      <c r="B215" s="93"/>
      <c r="C215" s="96"/>
      <c r="D215" s="96"/>
      <c r="E215" s="96"/>
      <c r="F215" s="96"/>
      <c r="G215" s="96"/>
      <c r="H215" s="96"/>
      <c r="I215" s="96"/>
      <c r="J215" s="96"/>
      <c r="K215" s="96"/>
      <c r="L215" s="96"/>
      <c r="M215" s="96"/>
      <c r="N215" s="126"/>
    </row>
    <row r="216" spans="1:14" ht="12.75" customHeight="1" x14ac:dyDescent="0.25">
      <c r="A216" s="118" t="s">
        <v>1049</v>
      </c>
      <c r="B216" s="93"/>
      <c r="C216" s="96"/>
      <c r="D216" s="96"/>
      <c r="E216" s="96"/>
      <c r="F216" s="96"/>
      <c r="G216" s="96"/>
      <c r="H216" s="96"/>
      <c r="I216" s="96"/>
      <c r="J216" s="96"/>
      <c r="K216" s="96"/>
      <c r="L216" s="96"/>
      <c r="M216" s="96"/>
    </row>
    <row r="217" spans="1:14" ht="12.75" customHeight="1" x14ac:dyDescent="0.25">
      <c r="A217" s="1422" t="s">
        <v>986</v>
      </c>
      <c r="B217" s="1422"/>
      <c r="C217" s="1422"/>
      <c r="D217" s="1422"/>
      <c r="E217" s="1422"/>
      <c r="F217" s="1422"/>
      <c r="G217" s="1422"/>
      <c r="H217" s="1422"/>
      <c r="I217" s="1422"/>
      <c r="J217" s="1422"/>
      <c r="K217" s="1422"/>
      <c r="L217" s="1422"/>
      <c r="M217" s="1422"/>
    </row>
    <row r="218" spans="1:14" ht="24.95" customHeight="1" x14ac:dyDescent="0.25">
      <c r="A218" s="1422" t="s">
        <v>1050</v>
      </c>
      <c r="B218" s="1422"/>
      <c r="C218" s="1422"/>
      <c r="D218" s="1422"/>
      <c r="E218" s="1422"/>
      <c r="F218" s="1422"/>
      <c r="G218" s="1422"/>
      <c r="H218" s="1422"/>
      <c r="I218" s="1422"/>
      <c r="J218" s="1422"/>
      <c r="K218" s="1422"/>
      <c r="L218" s="1422"/>
      <c r="M218" s="1422"/>
    </row>
    <row r="219" spans="1:14" ht="12.75" customHeight="1" x14ac:dyDescent="0.25">
      <c r="A219" s="1416" t="s">
        <v>1051</v>
      </c>
      <c r="B219" s="1416"/>
      <c r="C219" s="1416"/>
      <c r="D219" s="1416"/>
      <c r="E219" s="1416"/>
      <c r="F219" s="1416"/>
      <c r="G219" s="1416"/>
      <c r="H219" s="1416"/>
      <c r="I219" s="1416"/>
      <c r="J219" s="1416"/>
      <c r="K219" s="1416"/>
      <c r="L219" s="1416"/>
      <c r="M219" s="1416"/>
    </row>
    <row r="220" spans="1:14" ht="12.75" customHeight="1" x14ac:dyDescent="0.25">
      <c r="A220" s="1416" t="s">
        <v>1052</v>
      </c>
      <c r="B220" s="1416"/>
      <c r="C220" s="1416"/>
      <c r="D220" s="1416"/>
      <c r="E220" s="1416"/>
      <c r="F220" s="1416"/>
      <c r="G220" s="1416"/>
      <c r="H220" s="1416"/>
      <c r="I220" s="1416"/>
      <c r="J220" s="1416"/>
      <c r="K220" s="1416"/>
      <c r="L220" s="1416"/>
      <c r="M220" s="1416"/>
    </row>
    <row r="221" spans="1:14" ht="12.75" customHeight="1" x14ac:dyDescent="0.25">
      <c r="A221" s="99" t="s">
        <v>1053</v>
      </c>
      <c r="B221" s="93"/>
      <c r="C221" s="96"/>
      <c r="D221" s="96"/>
      <c r="E221" s="96"/>
      <c r="F221" s="96"/>
      <c r="G221" s="96"/>
      <c r="H221" s="96"/>
      <c r="I221" s="96"/>
      <c r="J221" s="96"/>
      <c r="K221" s="96"/>
      <c r="L221" s="96"/>
      <c r="M221" s="96"/>
    </row>
    <row r="222" spans="1:14" ht="27" customHeight="1" x14ac:dyDescent="0.25">
      <c r="A222" s="1416" t="s">
        <v>1054</v>
      </c>
      <c r="B222" s="1416"/>
      <c r="C222" s="1416"/>
      <c r="D222" s="1416"/>
      <c r="E222" s="1416"/>
      <c r="F222" s="1416"/>
      <c r="G222" s="1416"/>
      <c r="H222" s="1416"/>
      <c r="I222" s="1416"/>
      <c r="J222" s="1416"/>
      <c r="K222" s="1416"/>
      <c r="L222" s="1416"/>
      <c r="M222" s="1416"/>
    </row>
    <row r="223" spans="1:14" ht="12.75" customHeight="1" x14ac:dyDescent="0.25">
      <c r="A223" s="99" t="s">
        <v>1019</v>
      </c>
      <c r="B223" s="93"/>
      <c r="C223" s="96"/>
      <c r="D223" s="96"/>
      <c r="E223" s="96"/>
      <c r="F223" s="96"/>
      <c r="G223" s="96"/>
      <c r="H223" s="96"/>
      <c r="I223" s="96"/>
      <c r="J223" s="96"/>
      <c r="K223" s="96"/>
      <c r="L223" s="96"/>
      <c r="M223" s="96"/>
    </row>
    <row r="224" spans="1:14" ht="12.75" customHeight="1" x14ac:dyDescent="0.25">
      <c r="A224" s="1416" t="s">
        <v>1020</v>
      </c>
      <c r="B224" s="1416"/>
      <c r="C224" s="1416"/>
      <c r="D224" s="1416"/>
      <c r="E224" s="1416"/>
      <c r="F224" s="1416"/>
      <c r="G224" s="1416"/>
      <c r="H224" s="1416"/>
      <c r="I224" s="1416"/>
      <c r="J224" s="1416"/>
      <c r="K224" s="1416"/>
      <c r="L224" s="1416"/>
      <c r="M224" s="1416"/>
    </row>
    <row r="225" spans="1:15" ht="12.75" customHeight="1" x14ac:dyDescent="0.25"/>
    <row r="226" spans="1:15" ht="12.75" customHeight="1" x14ac:dyDescent="0.25">
      <c r="A226" s="126"/>
      <c r="B226" s="1026"/>
      <c r="C226" s="1027"/>
      <c r="D226" s="1027"/>
      <c r="E226" s="1027"/>
      <c r="F226" s="1027"/>
      <c r="G226" s="1027"/>
      <c r="H226" s="1027"/>
      <c r="I226" s="1027"/>
      <c r="J226" s="1027"/>
      <c r="K226" s="1027"/>
      <c r="L226" s="1027"/>
      <c r="M226" s="1027"/>
      <c r="N226" s="126"/>
      <c r="O226" s="126"/>
    </row>
    <row r="227" spans="1:15" ht="12.75" customHeight="1" x14ac:dyDescent="0.25">
      <c r="B227" s="249" t="s">
        <v>1021</v>
      </c>
      <c r="C227" s="250">
        <f>SUM('B6-FinPos'!C21:C24)-'B9-Asset'!C167</f>
        <v>18117546</v>
      </c>
      <c r="D227" s="250">
        <f>SUM('B6-FinPos'!D21:D24)-'B9-Asset'!D167</f>
        <v>19596531</v>
      </c>
      <c r="E227" s="250">
        <f>SUM('B6-FinPos'!E21:E24)-'B9-Asset'!E167</f>
        <v>0</v>
      </c>
      <c r="F227" s="250">
        <f>SUM('B6-FinPos'!F21:F24)-'B9-Asset'!F167</f>
        <v>0</v>
      </c>
      <c r="G227" s="250">
        <f>SUM('B6-FinPos'!G21:G24)-'B9-Asset'!G167</f>
        <v>0</v>
      </c>
      <c r="H227" s="250">
        <f>SUM('B6-FinPos'!H21:H24)-'B9-Asset'!H167</f>
        <v>0</v>
      </c>
      <c r="I227" s="250">
        <f>SUM('B6-FinPos'!I21:I24)-'B9-Asset'!I167</f>
        <v>-3853844</v>
      </c>
      <c r="J227" s="250">
        <f>SUM('B6-FinPos'!J21:J24)-'B9-Asset'!J167</f>
        <v>-3853844</v>
      </c>
      <c r="K227" s="250">
        <f>SUM('B6-FinPos'!K21:K24)-'B9-Asset'!K167</f>
        <v>15742687</v>
      </c>
      <c r="L227" s="250">
        <f>SUM('B6-FinPos'!L21:L24)-'B9-Asset'!L167</f>
        <v>17027000</v>
      </c>
      <c r="M227" s="250">
        <f>SUM('B6-FinPos'!M21:M24)-'B9-Asset'!M167</f>
        <v>17781000</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algorithmName="SHA-512" hashValue="HIeoAbsWvwz8HUQak2QI0Os1wHLc/1z6zqgnc43e4wS9YcYIzHYZ4WKeD33qJdt/4uTyg+f4Rqc2El7b2sIvYQ==" saltValue="70SPOlv9mbP/aI6mNPH4lw==" spinCount="100000" sheet="1" objects="1" scenarios="1"/>
  <mergeCells count="9">
    <mergeCell ref="A224:M224"/>
    <mergeCell ref="A218:M218"/>
    <mergeCell ref="A222:M222"/>
    <mergeCell ref="C2:K2"/>
    <mergeCell ref="A2:A4"/>
    <mergeCell ref="B2:B4"/>
    <mergeCell ref="A217:M217"/>
    <mergeCell ref="A219:M219"/>
    <mergeCell ref="A220:M220"/>
  </mergeCells>
  <phoneticPr fontId="4" type="noConversion"/>
  <printOptions horizontalCentered="1"/>
  <pageMargins left="0.35433070866141736" right="0.15748031496062992" top="0.78740157480314965" bottom="0.59055118110236227" header="0.51181102362204722" footer="0.39370078740157483"/>
  <pageSetup paperSize="9" scale="63" fitToHeight="3" orientation="portrait" r:id="rId1"/>
  <headerFooter alignWithMargins="0"/>
  <ignoredErrors>
    <ignoredError sqref="J146:K146 K38"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indexed="46"/>
  </sheetPr>
  <dimension ref="A1:A40"/>
  <sheetViews>
    <sheetView showGridLines="0" topLeftCell="A10" zoomScaleNormal="100" workbookViewId="0"/>
  </sheetViews>
  <sheetFormatPr defaultRowHeight="12.75" x14ac:dyDescent="0.2"/>
  <sheetData>
    <row r="1" spans="1:1" x14ac:dyDescent="0.2">
      <c r="A1" t="str">
        <f>muni</f>
        <v>KZN226 Mkhambathini</v>
      </c>
    </row>
    <row r="14" spans="1:1" ht="36" customHeight="1" x14ac:dyDescent="0.2"/>
    <row r="36" ht="51.75" customHeight="1" x14ac:dyDescent="0.2"/>
    <row r="40" ht="34.5" customHeight="1" x14ac:dyDescent="0.2"/>
  </sheetData>
  <phoneticPr fontId="4" type="noConversion"/>
  <pageMargins left="0.75" right="0.75" top="1" bottom="1" header="0.5" footer="0.5"/>
  <pageSetup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indexed="44"/>
    <pageSetUpPr fitToPage="1"/>
  </sheetPr>
  <dimension ref="A1:N135"/>
  <sheetViews>
    <sheetView showGridLines="0" zoomScaleNormal="100" workbookViewId="0">
      <pane xSplit="2" ySplit="5" topLeftCell="C51" activePane="bottomRight" state="frozen"/>
      <selection activeCell="C6" sqref="C6"/>
      <selection pane="topRight" activeCell="C6" sqref="C6"/>
      <selection pane="bottomLeft" activeCell="C6" sqref="C6"/>
      <selection pane="bottomRight" activeCell="C9" sqref="C9"/>
    </sheetView>
  </sheetViews>
  <sheetFormatPr defaultColWidth="9.140625" defaultRowHeight="12.75" x14ac:dyDescent="0.25"/>
  <cols>
    <col min="1" max="1" width="34.85546875" style="182" customWidth="1"/>
    <col min="2" max="2" width="3" style="183" customWidth="1"/>
    <col min="3" max="13" width="9.140625" style="182"/>
    <col min="14" max="14" width="9.5703125" style="182" customWidth="1"/>
    <col min="15" max="15" width="9.85546875" style="182" customWidth="1"/>
    <col min="16" max="18" width="9.5703125" style="182" customWidth="1"/>
    <col min="19" max="20" width="9.85546875" style="182" customWidth="1"/>
    <col min="21" max="16384" width="9.140625" style="182"/>
  </cols>
  <sheetData>
    <row r="1" spans="1:14" s="252" customFormat="1" x14ac:dyDescent="0.2">
      <c r="A1" s="251" t="str">
        <f>muni&amp;" - "&amp;_ADJ10&amp;" - "&amp;Date</f>
        <v xml:space="preserve">KZN226 Mkhambathini - Table B10 Basic service delivery measurement - </v>
      </c>
      <c r="B1" s="251"/>
      <c r="C1" s="251"/>
      <c r="D1" s="251"/>
      <c r="E1" s="251"/>
      <c r="F1" s="251"/>
      <c r="G1" s="251"/>
      <c r="H1" s="251"/>
    </row>
    <row r="2" spans="1:14" ht="28.5" customHeight="1" x14ac:dyDescent="0.25">
      <c r="A2" s="1445" t="str">
        <f>desc</f>
        <v>Description</v>
      </c>
      <c r="B2" s="1448" t="str">
        <f>head27</f>
        <v>Ref</v>
      </c>
      <c r="C2" s="1451" t="str">
        <f>Head2</f>
        <v>Budget Year 2020/21</v>
      </c>
      <c r="D2" s="1451"/>
      <c r="E2" s="1451"/>
      <c r="F2" s="1451"/>
      <c r="G2" s="1451"/>
      <c r="H2" s="1451"/>
      <c r="I2" s="1451"/>
      <c r="J2" s="1451"/>
      <c r="K2" s="1452"/>
      <c r="L2" s="103" t="str">
        <f>Head10</f>
        <v>Budget Year +1 2021/22</v>
      </c>
      <c r="M2" s="61" t="str">
        <f>Head11</f>
        <v>Budget Year +2 2022/23</v>
      </c>
    </row>
    <row r="3" spans="1:14" ht="28.5" customHeight="1" x14ac:dyDescent="0.25">
      <c r="A3" s="1446"/>
      <c r="B3" s="1449"/>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446"/>
      <c r="B4" s="1449"/>
      <c r="C4" s="15"/>
      <c r="D4" s="15">
        <v>7</v>
      </c>
      <c r="E4" s="15">
        <v>8</v>
      </c>
      <c r="F4" s="15">
        <v>9</v>
      </c>
      <c r="G4" s="15">
        <v>10</v>
      </c>
      <c r="H4" s="15">
        <v>11</v>
      </c>
      <c r="I4" s="15">
        <v>12</v>
      </c>
      <c r="J4" s="15">
        <v>13</v>
      </c>
      <c r="K4" s="15">
        <v>14</v>
      </c>
      <c r="L4" s="15"/>
      <c r="M4" s="17"/>
    </row>
    <row r="5" spans="1:14" x14ac:dyDescent="0.25">
      <c r="A5" s="1447"/>
      <c r="B5" s="1450"/>
      <c r="C5" s="69" t="s">
        <v>549</v>
      </c>
      <c r="D5" s="68" t="s">
        <v>550</v>
      </c>
      <c r="E5" s="68" t="s">
        <v>551</v>
      </c>
      <c r="F5" s="69" t="s">
        <v>552</v>
      </c>
      <c r="G5" s="69" t="s">
        <v>553</v>
      </c>
      <c r="H5" s="69" t="s">
        <v>554</v>
      </c>
      <c r="I5" s="70" t="s">
        <v>555</v>
      </c>
      <c r="J5" s="70" t="s">
        <v>556</v>
      </c>
      <c r="K5" s="70" t="s">
        <v>557</v>
      </c>
      <c r="L5" s="70"/>
      <c r="M5" s="71"/>
    </row>
    <row r="6" spans="1:14" ht="11.25" customHeight="1" x14ac:dyDescent="0.25">
      <c r="A6" s="253" t="s">
        <v>1421</v>
      </c>
      <c r="B6" s="254">
        <v>1</v>
      </c>
      <c r="C6" s="255"/>
      <c r="D6" s="255"/>
      <c r="E6" s="255"/>
      <c r="F6" s="255"/>
      <c r="G6" s="255"/>
      <c r="H6" s="255"/>
      <c r="I6" s="256"/>
      <c r="J6" s="256"/>
      <c r="K6" s="256"/>
      <c r="L6" s="256"/>
      <c r="M6" s="257"/>
    </row>
    <row r="7" spans="1:14" x14ac:dyDescent="0.25">
      <c r="A7" s="258" t="s">
        <v>600</v>
      </c>
      <c r="B7" s="254"/>
      <c r="C7" s="130"/>
      <c r="D7" s="130"/>
      <c r="E7" s="130"/>
      <c r="F7" s="130"/>
      <c r="G7" s="130"/>
      <c r="H7" s="130"/>
      <c r="I7" s="256"/>
      <c r="J7" s="256"/>
      <c r="K7" s="256"/>
      <c r="L7" s="256"/>
      <c r="M7" s="259"/>
      <c r="N7" s="834"/>
    </row>
    <row r="8" spans="1:14" ht="11.25" customHeight="1" x14ac:dyDescent="0.25">
      <c r="A8" s="260" t="s">
        <v>1055</v>
      </c>
      <c r="B8" s="254"/>
      <c r="C8" s="610"/>
      <c r="D8" s="610"/>
      <c r="E8" s="610"/>
      <c r="F8" s="610"/>
      <c r="G8" s="610"/>
      <c r="H8" s="610"/>
      <c r="I8" s="610"/>
      <c r="J8" s="130">
        <f t="shared" ref="J8:J15" si="0">SUM(E8:I8)</f>
        <v>0</v>
      </c>
      <c r="K8" s="130">
        <f t="shared" ref="K8:K15" si="1">IF(D8=0,C8+J8,D8+J8)</f>
        <v>0</v>
      </c>
      <c r="L8" s="261"/>
      <c r="M8" s="262"/>
      <c r="N8" s="834"/>
    </row>
    <row r="9" spans="1:14" ht="11.25" customHeight="1" x14ac:dyDescent="0.25">
      <c r="A9" s="260" t="s">
        <v>1056</v>
      </c>
      <c r="B9" s="254"/>
      <c r="C9" s="610"/>
      <c r="D9" s="610"/>
      <c r="E9" s="610"/>
      <c r="F9" s="610"/>
      <c r="G9" s="610"/>
      <c r="H9" s="610"/>
      <c r="I9" s="610"/>
      <c r="J9" s="130">
        <f t="shared" si="0"/>
        <v>0</v>
      </c>
      <c r="K9" s="130">
        <f t="shared" si="1"/>
        <v>0</v>
      </c>
      <c r="L9" s="261"/>
      <c r="M9" s="262"/>
      <c r="N9" s="834"/>
    </row>
    <row r="10" spans="1:14" ht="11.25" customHeight="1" x14ac:dyDescent="0.25">
      <c r="A10" s="260" t="s">
        <v>1057</v>
      </c>
      <c r="B10" s="254">
        <v>2</v>
      </c>
      <c r="C10" s="610"/>
      <c r="D10" s="610"/>
      <c r="E10" s="610"/>
      <c r="F10" s="610"/>
      <c r="G10" s="610"/>
      <c r="H10" s="610"/>
      <c r="I10" s="610"/>
      <c r="J10" s="130">
        <f t="shared" si="0"/>
        <v>0</v>
      </c>
      <c r="K10" s="130">
        <f t="shared" si="1"/>
        <v>0</v>
      </c>
      <c r="L10" s="261"/>
      <c r="M10" s="262"/>
      <c r="N10" s="834"/>
    </row>
    <row r="11" spans="1:14" ht="11.25" customHeight="1" x14ac:dyDescent="0.25">
      <c r="A11" s="260" t="s">
        <v>1058</v>
      </c>
      <c r="B11" s="254"/>
      <c r="C11" s="610"/>
      <c r="D11" s="610"/>
      <c r="E11" s="610"/>
      <c r="F11" s="610"/>
      <c r="G11" s="610"/>
      <c r="H11" s="610"/>
      <c r="I11" s="610"/>
      <c r="J11" s="130">
        <f t="shared" si="0"/>
        <v>0</v>
      </c>
      <c r="K11" s="130">
        <f t="shared" si="1"/>
        <v>0</v>
      </c>
      <c r="L11" s="109"/>
      <c r="M11" s="110"/>
      <c r="N11" s="834"/>
    </row>
    <row r="12" spans="1:14" ht="11.25" customHeight="1" x14ac:dyDescent="0.25">
      <c r="A12" s="825" t="s">
        <v>1119</v>
      </c>
      <c r="B12" s="254"/>
      <c r="C12" s="263">
        <f t="shared" ref="C12:M12" si="2">SUM(C8:C11)</f>
        <v>0</v>
      </c>
      <c r="D12" s="263">
        <f t="shared" si="2"/>
        <v>0</v>
      </c>
      <c r="E12" s="263">
        <f t="shared" si="2"/>
        <v>0</v>
      </c>
      <c r="F12" s="263">
        <f t="shared" si="2"/>
        <v>0</v>
      </c>
      <c r="G12" s="263">
        <f t="shared" si="2"/>
        <v>0</v>
      </c>
      <c r="H12" s="263">
        <f t="shared" si="2"/>
        <v>0</v>
      </c>
      <c r="I12" s="263">
        <f t="shared" si="2"/>
        <v>0</v>
      </c>
      <c r="J12" s="263">
        <f t="shared" si="0"/>
        <v>0</v>
      </c>
      <c r="K12" s="263">
        <f t="shared" si="1"/>
        <v>0</v>
      </c>
      <c r="L12" s="263">
        <f t="shared" si="2"/>
        <v>0</v>
      </c>
      <c r="M12" s="264">
        <f t="shared" si="2"/>
        <v>0</v>
      </c>
      <c r="N12" s="834"/>
    </row>
    <row r="13" spans="1:14" ht="11.25" customHeight="1" x14ac:dyDescent="0.25">
      <c r="A13" s="260" t="s">
        <v>1059</v>
      </c>
      <c r="B13" s="254">
        <v>3</v>
      </c>
      <c r="C13" s="610"/>
      <c r="D13" s="610"/>
      <c r="E13" s="610"/>
      <c r="F13" s="610"/>
      <c r="G13" s="610"/>
      <c r="H13" s="610"/>
      <c r="I13" s="610"/>
      <c r="J13" s="130">
        <f t="shared" si="0"/>
        <v>0</v>
      </c>
      <c r="K13" s="130">
        <f t="shared" si="1"/>
        <v>0</v>
      </c>
      <c r="L13" s="261"/>
      <c r="M13" s="262"/>
      <c r="N13" s="834"/>
    </row>
    <row r="14" spans="1:14" ht="11.25" customHeight="1" x14ac:dyDescent="0.25">
      <c r="A14" s="260" t="s">
        <v>1060</v>
      </c>
      <c r="B14" s="254" t="s">
        <v>1061</v>
      </c>
      <c r="C14" s="610"/>
      <c r="D14" s="610"/>
      <c r="E14" s="610"/>
      <c r="F14" s="610"/>
      <c r="G14" s="610"/>
      <c r="H14" s="610"/>
      <c r="I14" s="610"/>
      <c r="J14" s="130">
        <f t="shared" si="0"/>
        <v>0</v>
      </c>
      <c r="K14" s="130">
        <f t="shared" si="1"/>
        <v>0</v>
      </c>
      <c r="L14" s="261"/>
      <c r="M14" s="262"/>
      <c r="N14" s="834"/>
    </row>
    <row r="15" spans="1:14" ht="11.25" customHeight="1" x14ac:dyDescent="0.25">
      <c r="A15" s="260" t="s">
        <v>1062</v>
      </c>
      <c r="B15" s="254"/>
      <c r="C15" s="610"/>
      <c r="D15" s="610"/>
      <c r="E15" s="610"/>
      <c r="F15" s="610"/>
      <c r="G15" s="610"/>
      <c r="H15" s="610"/>
      <c r="I15" s="610"/>
      <c r="J15" s="130">
        <f t="shared" si="0"/>
        <v>0</v>
      </c>
      <c r="K15" s="130">
        <f t="shared" si="1"/>
        <v>0</v>
      </c>
      <c r="L15" s="261"/>
      <c r="M15" s="262"/>
      <c r="N15" s="834"/>
    </row>
    <row r="16" spans="1:14" ht="11.25" customHeight="1" x14ac:dyDescent="0.25">
      <c r="A16" s="825" t="s">
        <v>1120</v>
      </c>
      <c r="B16" s="254"/>
      <c r="C16" s="265">
        <f t="shared" ref="C16:M16" si="3">SUM(C13:C15)</f>
        <v>0</v>
      </c>
      <c r="D16" s="265">
        <f t="shared" si="3"/>
        <v>0</v>
      </c>
      <c r="E16" s="265">
        <f t="shared" si="3"/>
        <v>0</v>
      </c>
      <c r="F16" s="265">
        <f t="shared" si="3"/>
        <v>0</v>
      </c>
      <c r="G16" s="265">
        <f t="shared" si="3"/>
        <v>0</v>
      </c>
      <c r="H16" s="265">
        <f t="shared" si="3"/>
        <v>0</v>
      </c>
      <c r="I16" s="265">
        <f t="shared" si="3"/>
        <v>0</v>
      </c>
      <c r="J16" s="265">
        <f t="shared" si="3"/>
        <v>0</v>
      </c>
      <c r="K16" s="265">
        <f t="shared" si="3"/>
        <v>0</v>
      </c>
      <c r="L16" s="265">
        <f t="shared" si="3"/>
        <v>0</v>
      </c>
      <c r="M16" s="266">
        <f t="shared" si="3"/>
        <v>0</v>
      </c>
      <c r="N16" s="834"/>
    </row>
    <row r="17" spans="1:14" ht="11.25" customHeight="1" x14ac:dyDescent="0.25">
      <c r="A17" s="267" t="s">
        <v>1063</v>
      </c>
      <c r="B17" s="254">
        <v>5</v>
      </c>
      <c r="C17" s="268">
        <f t="shared" ref="C17:M17" si="4">C12+C16</f>
        <v>0</v>
      </c>
      <c r="D17" s="268">
        <f t="shared" si="4"/>
        <v>0</v>
      </c>
      <c r="E17" s="268">
        <f t="shared" si="4"/>
        <v>0</v>
      </c>
      <c r="F17" s="268">
        <f t="shared" si="4"/>
        <v>0</v>
      </c>
      <c r="G17" s="268">
        <f t="shared" si="4"/>
        <v>0</v>
      </c>
      <c r="H17" s="268">
        <f t="shared" si="4"/>
        <v>0</v>
      </c>
      <c r="I17" s="268">
        <f t="shared" si="4"/>
        <v>0</v>
      </c>
      <c r="J17" s="268">
        <f t="shared" si="4"/>
        <v>0</v>
      </c>
      <c r="K17" s="268">
        <f t="shared" si="4"/>
        <v>0</v>
      </c>
      <c r="L17" s="268">
        <f t="shared" si="4"/>
        <v>0</v>
      </c>
      <c r="M17" s="269">
        <f t="shared" si="4"/>
        <v>0</v>
      </c>
      <c r="N17" s="834"/>
    </row>
    <row r="18" spans="1:14" ht="15.75" customHeight="1" x14ac:dyDescent="0.25">
      <c r="A18" s="258" t="s">
        <v>601</v>
      </c>
      <c r="B18" s="254"/>
      <c r="C18" s="130"/>
      <c r="D18" s="130"/>
      <c r="E18" s="130"/>
      <c r="F18" s="130"/>
      <c r="G18" s="130"/>
      <c r="H18" s="130"/>
      <c r="I18" s="256"/>
      <c r="J18" s="256"/>
      <c r="K18" s="256"/>
      <c r="L18" s="256"/>
      <c r="M18" s="259"/>
      <c r="N18" s="834"/>
    </row>
    <row r="19" spans="1:14" ht="11.25" customHeight="1" x14ac:dyDescent="0.25">
      <c r="A19" s="260" t="s">
        <v>1064</v>
      </c>
      <c r="B19" s="254"/>
      <c r="C19" s="610"/>
      <c r="D19" s="610"/>
      <c r="E19" s="610"/>
      <c r="F19" s="610"/>
      <c r="G19" s="610"/>
      <c r="H19" s="610"/>
      <c r="I19" s="610"/>
      <c r="J19" s="887">
        <f t="shared" ref="J19:J27" si="5">SUM(E19:I19)</f>
        <v>0</v>
      </c>
      <c r="K19" s="887">
        <f t="shared" ref="K19:K27" si="6">IF(D19=0,C19+J19,D19+J19)</f>
        <v>0</v>
      </c>
      <c r="L19" s="610"/>
      <c r="M19" s="1044"/>
      <c r="N19" s="834"/>
    </row>
    <row r="20" spans="1:14" ht="11.25" customHeight="1" x14ac:dyDescent="0.25">
      <c r="A20" s="260" t="s">
        <v>1065</v>
      </c>
      <c r="B20" s="254"/>
      <c r="C20" s="610"/>
      <c r="D20" s="610"/>
      <c r="E20" s="610"/>
      <c r="F20" s="610"/>
      <c r="G20" s="610"/>
      <c r="H20" s="610"/>
      <c r="I20" s="610"/>
      <c r="J20" s="887">
        <f t="shared" si="5"/>
        <v>0</v>
      </c>
      <c r="K20" s="887">
        <f t="shared" si="6"/>
        <v>0</v>
      </c>
      <c r="L20" s="610"/>
      <c r="M20" s="1044"/>
      <c r="N20" s="834"/>
    </row>
    <row r="21" spans="1:14" ht="11.25" customHeight="1" x14ac:dyDescent="0.25">
      <c r="A21" s="260" t="s">
        <v>1066</v>
      </c>
      <c r="B21" s="254"/>
      <c r="C21" s="610"/>
      <c r="D21" s="610"/>
      <c r="E21" s="610"/>
      <c r="F21" s="610"/>
      <c r="G21" s="610"/>
      <c r="H21" s="610"/>
      <c r="I21" s="610"/>
      <c r="J21" s="887">
        <f t="shared" si="5"/>
        <v>0</v>
      </c>
      <c r="K21" s="887">
        <f t="shared" si="6"/>
        <v>0</v>
      </c>
      <c r="L21" s="610"/>
      <c r="M21" s="1044"/>
      <c r="N21" s="834"/>
    </row>
    <row r="22" spans="1:14" ht="11.25" customHeight="1" x14ac:dyDescent="0.25">
      <c r="A22" s="260" t="s">
        <v>296</v>
      </c>
      <c r="B22" s="254"/>
      <c r="C22" s="610"/>
      <c r="D22" s="610"/>
      <c r="E22" s="610"/>
      <c r="F22" s="610"/>
      <c r="G22" s="610"/>
      <c r="H22" s="610"/>
      <c r="I22" s="610"/>
      <c r="J22" s="887">
        <f t="shared" si="5"/>
        <v>0</v>
      </c>
      <c r="K22" s="887">
        <f t="shared" si="6"/>
        <v>0</v>
      </c>
      <c r="L22" s="610"/>
      <c r="M22" s="1044"/>
      <c r="N22" s="834"/>
    </row>
    <row r="23" spans="1:14" ht="11.25" customHeight="1" x14ac:dyDescent="0.25">
      <c r="A23" s="260" t="s">
        <v>298</v>
      </c>
      <c r="B23" s="254"/>
      <c r="C23" s="610"/>
      <c r="D23" s="610"/>
      <c r="E23" s="610"/>
      <c r="F23" s="610"/>
      <c r="G23" s="610"/>
      <c r="H23" s="610"/>
      <c r="I23" s="610"/>
      <c r="J23" s="888">
        <f t="shared" si="5"/>
        <v>0</v>
      </c>
      <c r="K23" s="888">
        <f t="shared" si="6"/>
        <v>0</v>
      </c>
      <c r="L23" s="610"/>
      <c r="M23" s="1044"/>
      <c r="N23" s="834"/>
    </row>
    <row r="24" spans="1:14" ht="11.25" customHeight="1" x14ac:dyDescent="0.25">
      <c r="A24" s="825" t="str">
        <f>$A$12</f>
        <v>Minimum Service Level and Above sub-total</v>
      </c>
      <c r="B24" s="254"/>
      <c r="C24" s="701">
        <f t="shared" ref="C24:M24" si="7">SUM(C19:C23)</f>
        <v>0</v>
      </c>
      <c r="D24" s="701">
        <f t="shared" si="7"/>
        <v>0</v>
      </c>
      <c r="E24" s="701">
        <f t="shared" si="7"/>
        <v>0</v>
      </c>
      <c r="F24" s="701">
        <f t="shared" si="7"/>
        <v>0</v>
      </c>
      <c r="G24" s="701">
        <f t="shared" si="7"/>
        <v>0</v>
      </c>
      <c r="H24" s="701">
        <f t="shared" si="7"/>
        <v>0</v>
      </c>
      <c r="I24" s="701">
        <f t="shared" si="7"/>
        <v>0</v>
      </c>
      <c r="J24" s="887">
        <f t="shared" si="5"/>
        <v>0</v>
      </c>
      <c r="K24" s="887">
        <f t="shared" si="6"/>
        <v>0</v>
      </c>
      <c r="L24" s="701">
        <f t="shared" si="7"/>
        <v>0</v>
      </c>
      <c r="M24" s="702">
        <f t="shared" si="7"/>
        <v>0</v>
      </c>
      <c r="N24" s="834"/>
    </row>
    <row r="25" spans="1:14" ht="11.25" customHeight="1" x14ac:dyDescent="0.25">
      <c r="A25" s="260" t="s">
        <v>297</v>
      </c>
      <c r="B25" s="254"/>
      <c r="C25" s="610"/>
      <c r="D25" s="610"/>
      <c r="E25" s="610"/>
      <c r="F25" s="610"/>
      <c r="G25" s="610"/>
      <c r="H25" s="610"/>
      <c r="I25" s="610"/>
      <c r="J25" s="887">
        <f t="shared" si="5"/>
        <v>0</v>
      </c>
      <c r="K25" s="887">
        <f t="shared" si="6"/>
        <v>0</v>
      </c>
      <c r="L25" s="610"/>
      <c r="M25" s="1044"/>
      <c r="N25" s="834"/>
    </row>
    <row r="26" spans="1:14" ht="11.25" customHeight="1" x14ac:dyDescent="0.25">
      <c r="A26" s="260" t="s">
        <v>299</v>
      </c>
      <c r="B26" s="254"/>
      <c r="C26" s="610"/>
      <c r="D26" s="610"/>
      <c r="E26" s="610"/>
      <c r="F26" s="610"/>
      <c r="G26" s="610"/>
      <c r="H26" s="610"/>
      <c r="I26" s="610"/>
      <c r="J26" s="887">
        <f t="shared" si="5"/>
        <v>0</v>
      </c>
      <c r="K26" s="887">
        <f t="shared" si="6"/>
        <v>0</v>
      </c>
      <c r="L26" s="610"/>
      <c r="M26" s="1044"/>
      <c r="N26" s="834"/>
    </row>
    <row r="27" spans="1:14" ht="11.25" customHeight="1" x14ac:dyDescent="0.25">
      <c r="A27" s="260" t="s">
        <v>1067</v>
      </c>
      <c r="B27" s="254"/>
      <c r="C27" s="610"/>
      <c r="D27" s="610"/>
      <c r="E27" s="610"/>
      <c r="F27" s="610"/>
      <c r="G27" s="610"/>
      <c r="H27" s="610"/>
      <c r="I27" s="610"/>
      <c r="J27" s="887">
        <f t="shared" si="5"/>
        <v>0</v>
      </c>
      <c r="K27" s="887">
        <f t="shared" si="6"/>
        <v>0</v>
      </c>
      <c r="L27" s="610"/>
      <c r="M27" s="1044"/>
      <c r="N27" s="834"/>
    </row>
    <row r="28" spans="1:14" ht="11.25" customHeight="1" x14ac:dyDescent="0.25">
      <c r="A28" s="825" t="str">
        <f>$A$16</f>
        <v>Below Minimum Servic Level sub-total</v>
      </c>
      <c r="B28" s="254"/>
      <c r="C28" s="889">
        <f t="shared" ref="C28:M28" si="8">SUM(C25:C27)</f>
        <v>0</v>
      </c>
      <c r="D28" s="889">
        <f t="shared" si="8"/>
        <v>0</v>
      </c>
      <c r="E28" s="889">
        <f t="shared" si="8"/>
        <v>0</v>
      </c>
      <c r="F28" s="889">
        <f t="shared" si="8"/>
        <v>0</v>
      </c>
      <c r="G28" s="889">
        <f t="shared" si="8"/>
        <v>0</v>
      </c>
      <c r="H28" s="889">
        <f t="shared" si="8"/>
        <v>0</v>
      </c>
      <c r="I28" s="889">
        <f t="shared" si="8"/>
        <v>0</v>
      </c>
      <c r="J28" s="889">
        <f t="shared" si="8"/>
        <v>0</v>
      </c>
      <c r="K28" s="889">
        <f t="shared" si="8"/>
        <v>0</v>
      </c>
      <c r="L28" s="889">
        <f t="shared" si="8"/>
        <v>0</v>
      </c>
      <c r="M28" s="890">
        <f t="shared" si="8"/>
        <v>0</v>
      </c>
      <c r="N28" s="834"/>
    </row>
    <row r="29" spans="1:14" ht="11.25" customHeight="1" x14ac:dyDescent="0.25">
      <c r="A29" s="267" t="str">
        <f>$A$17</f>
        <v>Total number of households</v>
      </c>
      <c r="B29" s="254">
        <f>$B$17</f>
        <v>5</v>
      </c>
      <c r="C29" s="891">
        <f t="shared" ref="C29:M29" si="9">C24+C28</f>
        <v>0</v>
      </c>
      <c r="D29" s="891">
        <f t="shared" si="9"/>
        <v>0</v>
      </c>
      <c r="E29" s="891">
        <f t="shared" si="9"/>
        <v>0</v>
      </c>
      <c r="F29" s="891">
        <f t="shared" si="9"/>
        <v>0</v>
      </c>
      <c r="G29" s="891">
        <f t="shared" si="9"/>
        <v>0</v>
      </c>
      <c r="H29" s="891">
        <f t="shared" si="9"/>
        <v>0</v>
      </c>
      <c r="I29" s="891">
        <f t="shared" si="9"/>
        <v>0</v>
      </c>
      <c r="J29" s="891">
        <f t="shared" si="9"/>
        <v>0</v>
      </c>
      <c r="K29" s="891">
        <f t="shared" si="9"/>
        <v>0</v>
      </c>
      <c r="L29" s="891">
        <f t="shared" si="9"/>
        <v>0</v>
      </c>
      <c r="M29" s="892">
        <f t="shared" si="9"/>
        <v>0</v>
      </c>
      <c r="N29" s="834"/>
    </row>
    <row r="30" spans="1:14" ht="15.75" customHeight="1" x14ac:dyDescent="0.25">
      <c r="A30" s="258" t="s">
        <v>602</v>
      </c>
      <c r="B30" s="254"/>
      <c r="C30" s="130"/>
      <c r="D30" s="130"/>
      <c r="E30" s="130"/>
      <c r="F30" s="130"/>
      <c r="G30" s="130"/>
      <c r="H30" s="130"/>
      <c r="I30" s="130"/>
      <c r="J30" s="130"/>
      <c r="K30" s="130"/>
      <c r="L30" s="130"/>
      <c r="M30" s="131"/>
      <c r="N30" s="834"/>
    </row>
    <row r="31" spans="1:14" ht="11.25" customHeight="1" x14ac:dyDescent="0.25">
      <c r="A31" s="260" t="s">
        <v>300</v>
      </c>
      <c r="B31" s="254"/>
      <c r="C31" s="610"/>
      <c r="D31" s="610"/>
      <c r="E31" s="610"/>
      <c r="F31" s="610"/>
      <c r="G31" s="610"/>
      <c r="H31" s="610"/>
      <c r="I31" s="610"/>
      <c r="J31" s="887">
        <f t="shared" ref="J31:J36" si="10">SUM(E31:I31)</f>
        <v>0</v>
      </c>
      <c r="K31" s="887">
        <f t="shared" ref="K31:K36" si="11">IF(D31=0,C31+J31,D31+J31)</f>
        <v>0</v>
      </c>
      <c r="L31" s="610"/>
      <c r="M31" s="1044"/>
      <c r="N31" s="834"/>
    </row>
    <row r="32" spans="1:14" ht="11.25" customHeight="1" x14ac:dyDescent="0.25">
      <c r="A32" s="260" t="s">
        <v>301</v>
      </c>
      <c r="B32" s="254"/>
      <c r="C32" s="610"/>
      <c r="D32" s="610"/>
      <c r="E32" s="610"/>
      <c r="F32" s="610"/>
      <c r="G32" s="610"/>
      <c r="H32" s="610"/>
      <c r="I32" s="610"/>
      <c r="J32" s="887">
        <f t="shared" si="10"/>
        <v>0</v>
      </c>
      <c r="K32" s="887">
        <f t="shared" si="11"/>
        <v>0</v>
      </c>
      <c r="L32" s="610"/>
      <c r="M32" s="1044"/>
      <c r="N32" s="834"/>
    </row>
    <row r="33" spans="1:14" ht="11.25" customHeight="1" x14ac:dyDescent="0.25">
      <c r="A33" s="825" t="str">
        <f>$A$12</f>
        <v>Minimum Service Level and Above sub-total</v>
      </c>
      <c r="B33" s="254"/>
      <c r="C33" s="701">
        <f t="shared" ref="C33:M33" si="12">SUM(C31:C32)</f>
        <v>0</v>
      </c>
      <c r="D33" s="701">
        <f t="shared" si="12"/>
        <v>0</v>
      </c>
      <c r="E33" s="701">
        <f t="shared" si="12"/>
        <v>0</v>
      </c>
      <c r="F33" s="701">
        <f t="shared" si="12"/>
        <v>0</v>
      </c>
      <c r="G33" s="701">
        <f t="shared" si="12"/>
        <v>0</v>
      </c>
      <c r="H33" s="701">
        <f t="shared" si="12"/>
        <v>0</v>
      </c>
      <c r="I33" s="701">
        <f t="shared" si="12"/>
        <v>0</v>
      </c>
      <c r="J33" s="701">
        <f t="shared" si="10"/>
        <v>0</v>
      </c>
      <c r="K33" s="701">
        <f t="shared" si="11"/>
        <v>0</v>
      </c>
      <c r="L33" s="701">
        <f t="shared" si="12"/>
        <v>0</v>
      </c>
      <c r="M33" s="702">
        <f t="shared" si="12"/>
        <v>0</v>
      </c>
      <c r="N33" s="834"/>
    </row>
    <row r="34" spans="1:14" ht="11.25" customHeight="1" x14ac:dyDescent="0.25">
      <c r="A34" s="260" t="s">
        <v>1068</v>
      </c>
      <c r="B34" s="254"/>
      <c r="C34" s="610"/>
      <c r="D34" s="610"/>
      <c r="E34" s="610"/>
      <c r="F34" s="610"/>
      <c r="G34" s="610"/>
      <c r="H34" s="610"/>
      <c r="I34" s="610"/>
      <c r="J34" s="887">
        <f t="shared" si="10"/>
        <v>0</v>
      </c>
      <c r="K34" s="887">
        <f t="shared" si="11"/>
        <v>0</v>
      </c>
      <c r="L34" s="610"/>
      <c r="M34" s="1044"/>
      <c r="N34" s="834"/>
    </row>
    <row r="35" spans="1:14" ht="11.25" customHeight="1" x14ac:dyDescent="0.25">
      <c r="A35" s="260" t="s">
        <v>1069</v>
      </c>
      <c r="B35" s="254"/>
      <c r="C35" s="610"/>
      <c r="D35" s="610"/>
      <c r="E35" s="610"/>
      <c r="F35" s="610"/>
      <c r="G35" s="610"/>
      <c r="H35" s="610"/>
      <c r="I35" s="610"/>
      <c r="J35" s="887">
        <f t="shared" si="10"/>
        <v>0</v>
      </c>
      <c r="K35" s="887">
        <f t="shared" si="11"/>
        <v>0</v>
      </c>
      <c r="L35" s="610"/>
      <c r="M35" s="1044"/>
      <c r="N35" s="834"/>
    </row>
    <row r="36" spans="1:14" ht="11.25" customHeight="1" x14ac:dyDescent="0.25">
      <c r="A36" s="260" t="s">
        <v>1070</v>
      </c>
      <c r="B36" s="254"/>
      <c r="C36" s="610"/>
      <c r="D36" s="610"/>
      <c r="E36" s="610"/>
      <c r="F36" s="610"/>
      <c r="G36" s="610"/>
      <c r="H36" s="610"/>
      <c r="I36" s="610"/>
      <c r="J36" s="887">
        <f t="shared" si="10"/>
        <v>0</v>
      </c>
      <c r="K36" s="887">
        <f t="shared" si="11"/>
        <v>0</v>
      </c>
      <c r="L36" s="610"/>
      <c r="M36" s="1044"/>
      <c r="N36" s="834"/>
    </row>
    <row r="37" spans="1:14" ht="11.25" customHeight="1" x14ac:dyDescent="0.25">
      <c r="A37" s="825" t="str">
        <f>$A$16</f>
        <v>Below Minimum Servic Level sub-total</v>
      </c>
      <c r="B37" s="254"/>
      <c r="C37" s="889">
        <f t="shared" ref="C37:M37" si="13">SUM(C34:C36)</f>
        <v>0</v>
      </c>
      <c r="D37" s="889">
        <f t="shared" si="13"/>
        <v>0</v>
      </c>
      <c r="E37" s="889">
        <f t="shared" si="13"/>
        <v>0</v>
      </c>
      <c r="F37" s="889">
        <f t="shared" si="13"/>
        <v>0</v>
      </c>
      <c r="G37" s="889">
        <f t="shared" si="13"/>
        <v>0</v>
      </c>
      <c r="H37" s="889">
        <f t="shared" si="13"/>
        <v>0</v>
      </c>
      <c r="I37" s="889">
        <f t="shared" si="13"/>
        <v>0</v>
      </c>
      <c r="J37" s="889">
        <f t="shared" si="13"/>
        <v>0</v>
      </c>
      <c r="K37" s="889">
        <f t="shared" si="13"/>
        <v>0</v>
      </c>
      <c r="L37" s="889">
        <f t="shared" si="13"/>
        <v>0</v>
      </c>
      <c r="M37" s="890">
        <f t="shared" si="13"/>
        <v>0</v>
      </c>
      <c r="N37" s="834"/>
    </row>
    <row r="38" spans="1:14" ht="11.25" customHeight="1" x14ac:dyDescent="0.25">
      <c r="A38" s="267" t="str">
        <f>$A$17</f>
        <v>Total number of households</v>
      </c>
      <c r="B38" s="254">
        <f>$B$17</f>
        <v>5</v>
      </c>
      <c r="C38" s="701">
        <f t="shared" ref="C38:M38" si="14">C33+C37</f>
        <v>0</v>
      </c>
      <c r="D38" s="701">
        <f t="shared" si="14"/>
        <v>0</v>
      </c>
      <c r="E38" s="701">
        <f t="shared" si="14"/>
        <v>0</v>
      </c>
      <c r="F38" s="701">
        <f t="shared" si="14"/>
        <v>0</v>
      </c>
      <c r="G38" s="701">
        <f t="shared" si="14"/>
        <v>0</v>
      </c>
      <c r="H38" s="701">
        <f t="shared" si="14"/>
        <v>0</v>
      </c>
      <c r="I38" s="701">
        <f t="shared" si="14"/>
        <v>0</v>
      </c>
      <c r="J38" s="701">
        <f t="shared" si="14"/>
        <v>0</v>
      </c>
      <c r="K38" s="701">
        <f t="shared" si="14"/>
        <v>0</v>
      </c>
      <c r="L38" s="701">
        <f t="shared" si="14"/>
        <v>0</v>
      </c>
      <c r="M38" s="702">
        <f t="shared" si="14"/>
        <v>0</v>
      </c>
      <c r="N38" s="834"/>
    </row>
    <row r="39" spans="1:14" ht="15.75" customHeight="1" x14ac:dyDescent="0.25">
      <c r="A39" s="258" t="s">
        <v>603</v>
      </c>
      <c r="B39" s="254"/>
      <c r="C39" s="130"/>
      <c r="D39" s="130"/>
      <c r="E39" s="130"/>
      <c r="F39" s="130"/>
      <c r="G39" s="130"/>
      <c r="H39" s="130"/>
      <c r="I39" s="130"/>
      <c r="J39" s="130"/>
      <c r="K39" s="130"/>
      <c r="L39" s="130"/>
      <c r="M39" s="131"/>
      <c r="N39" s="834"/>
    </row>
    <row r="40" spans="1:14" ht="11.25" customHeight="1" x14ac:dyDescent="0.25">
      <c r="A40" s="260" t="s">
        <v>1071</v>
      </c>
      <c r="B40" s="254"/>
      <c r="C40" s="613"/>
      <c r="D40" s="613"/>
      <c r="E40" s="613"/>
      <c r="F40" s="613"/>
      <c r="G40" s="613"/>
      <c r="H40" s="613"/>
      <c r="I40" s="613"/>
      <c r="J40" s="888">
        <f t="shared" ref="J40:J46" si="15">SUM(E40:I40)</f>
        <v>0</v>
      </c>
      <c r="K40" s="888">
        <f t="shared" ref="K40:K46" si="16">IF(D40=0,C40+J40,D40+J40)</f>
        <v>0</v>
      </c>
      <c r="L40" s="613"/>
      <c r="M40" s="1045"/>
      <c r="N40" s="834"/>
    </row>
    <row r="41" spans="1:14" ht="11.25" customHeight="1" x14ac:dyDescent="0.25">
      <c r="A41" s="260" t="str">
        <f>$A$12</f>
        <v>Minimum Service Level and Above sub-total</v>
      </c>
      <c r="B41" s="254"/>
      <c r="C41" s="887">
        <f t="shared" ref="C41:I41" si="17">SUM(C40)</f>
        <v>0</v>
      </c>
      <c r="D41" s="887">
        <f t="shared" si="17"/>
        <v>0</v>
      </c>
      <c r="E41" s="887">
        <f t="shared" si="17"/>
        <v>0</v>
      </c>
      <c r="F41" s="887">
        <f t="shared" si="17"/>
        <v>0</v>
      </c>
      <c r="G41" s="887">
        <f t="shared" si="17"/>
        <v>0</v>
      </c>
      <c r="H41" s="887">
        <f t="shared" si="17"/>
        <v>0</v>
      </c>
      <c r="I41" s="887">
        <f t="shared" si="17"/>
        <v>0</v>
      </c>
      <c r="J41" s="887">
        <f>SUM(E41:I41)</f>
        <v>0</v>
      </c>
      <c r="K41" s="887">
        <f t="shared" si="16"/>
        <v>0</v>
      </c>
      <c r="L41" s="887">
        <f>SUM(L40)</f>
        <v>0</v>
      </c>
      <c r="M41" s="893">
        <f>SUM(M40)</f>
        <v>0</v>
      </c>
      <c r="N41" s="834"/>
    </row>
    <row r="42" spans="1:14" ht="11.25" customHeight="1" x14ac:dyDescent="0.25">
      <c r="A42" s="260" t="s">
        <v>1072</v>
      </c>
      <c r="B42" s="254"/>
      <c r="C42" s="610"/>
      <c r="D42" s="610"/>
      <c r="E42" s="610"/>
      <c r="F42" s="610"/>
      <c r="G42" s="610"/>
      <c r="H42" s="610"/>
      <c r="I42" s="610"/>
      <c r="J42" s="887">
        <f t="shared" si="15"/>
        <v>0</v>
      </c>
      <c r="K42" s="887">
        <f t="shared" si="16"/>
        <v>0</v>
      </c>
      <c r="L42" s="610"/>
      <c r="M42" s="1044"/>
      <c r="N42" s="834"/>
    </row>
    <row r="43" spans="1:14" ht="11.25" customHeight="1" x14ac:dyDescent="0.25">
      <c r="A43" s="260" t="s">
        <v>1073</v>
      </c>
      <c r="B43" s="254"/>
      <c r="C43" s="610"/>
      <c r="D43" s="610"/>
      <c r="E43" s="610"/>
      <c r="F43" s="610"/>
      <c r="G43" s="610"/>
      <c r="H43" s="610"/>
      <c r="I43" s="610"/>
      <c r="J43" s="887">
        <f t="shared" si="15"/>
        <v>0</v>
      </c>
      <c r="K43" s="887">
        <f t="shared" si="16"/>
        <v>0</v>
      </c>
      <c r="L43" s="610"/>
      <c r="M43" s="1044"/>
      <c r="N43" s="834"/>
    </row>
    <row r="44" spans="1:14" ht="11.25" customHeight="1" x14ac:dyDescent="0.25">
      <c r="A44" s="260" t="s">
        <v>1074</v>
      </c>
      <c r="B44" s="254"/>
      <c r="C44" s="610"/>
      <c r="D44" s="610"/>
      <c r="E44" s="610"/>
      <c r="F44" s="610"/>
      <c r="G44" s="610"/>
      <c r="H44" s="610"/>
      <c r="I44" s="610"/>
      <c r="J44" s="887">
        <f t="shared" si="15"/>
        <v>0</v>
      </c>
      <c r="K44" s="887">
        <f t="shared" si="16"/>
        <v>0</v>
      </c>
      <c r="L44" s="610"/>
      <c r="M44" s="1044"/>
      <c r="N44" s="834"/>
    </row>
    <row r="45" spans="1:14" ht="11.25" customHeight="1" x14ac:dyDescent="0.25">
      <c r="A45" s="260" t="s">
        <v>1075</v>
      </c>
      <c r="B45" s="254"/>
      <c r="C45" s="610"/>
      <c r="D45" s="610"/>
      <c r="E45" s="610"/>
      <c r="F45" s="610"/>
      <c r="G45" s="610"/>
      <c r="H45" s="610"/>
      <c r="I45" s="610"/>
      <c r="J45" s="887">
        <f t="shared" si="15"/>
        <v>0</v>
      </c>
      <c r="K45" s="887">
        <f t="shared" si="16"/>
        <v>0</v>
      </c>
      <c r="L45" s="610"/>
      <c r="M45" s="1044"/>
      <c r="N45" s="834"/>
    </row>
    <row r="46" spans="1:14" ht="11.25" customHeight="1" x14ac:dyDescent="0.25">
      <c r="A46" s="260" t="s">
        <v>1076</v>
      </c>
      <c r="B46" s="254"/>
      <c r="C46" s="610"/>
      <c r="D46" s="610"/>
      <c r="E46" s="610"/>
      <c r="F46" s="610"/>
      <c r="G46" s="610"/>
      <c r="H46" s="610"/>
      <c r="I46" s="610"/>
      <c r="J46" s="887">
        <f t="shared" si="15"/>
        <v>0</v>
      </c>
      <c r="K46" s="887">
        <f t="shared" si="16"/>
        <v>0</v>
      </c>
      <c r="L46" s="610"/>
      <c r="M46" s="1044"/>
      <c r="N46" s="834"/>
    </row>
    <row r="47" spans="1:14" ht="11.25" customHeight="1" x14ac:dyDescent="0.25">
      <c r="A47" s="825" t="str">
        <f>$A$16</f>
        <v>Below Minimum Servic Level sub-total</v>
      </c>
      <c r="B47" s="254"/>
      <c r="C47" s="889">
        <f t="shared" ref="C47:M47" si="18">SUM(C42:C46)</f>
        <v>0</v>
      </c>
      <c r="D47" s="889">
        <f t="shared" si="18"/>
        <v>0</v>
      </c>
      <c r="E47" s="889">
        <f t="shared" si="18"/>
        <v>0</v>
      </c>
      <c r="F47" s="889">
        <f t="shared" si="18"/>
        <v>0</v>
      </c>
      <c r="G47" s="889">
        <f t="shared" si="18"/>
        <v>0</v>
      </c>
      <c r="H47" s="889">
        <f t="shared" si="18"/>
        <v>0</v>
      </c>
      <c r="I47" s="889">
        <f t="shared" si="18"/>
        <v>0</v>
      </c>
      <c r="J47" s="889">
        <f t="shared" si="18"/>
        <v>0</v>
      </c>
      <c r="K47" s="889">
        <f t="shared" si="18"/>
        <v>0</v>
      </c>
      <c r="L47" s="889">
        <f t="shared" si="18"/>
        <v>0</v>
      </c>
      <c r="M47" s="890">
        <f t="shared" si="18"/>
        <v>0</v>
      </c>
      <c r="N47" s="834"/>
    </row>
    <row r="48" spans="1:14" ht="11.25" customHeight="1" x14ac:dyDescent="0.25">
      <c r="A48" s="267" t="str">
        <f>$A$17</f>
        <v>Total number of households</v>
      </c>
      <c r="B48" s="254">
        <f>$B$17</f>
        <v>5</v>
      </c>
      <c r="C48" s="891">
        <f t="shared" ref="C48:I48" si="19">C41+C47</f>
        <v>0</v>
      </c>
      <c r="D48" s="891">
        <f t="shared" si="19"/>
        <v>0</v>
      </c>
      <c r="E48" s="891">
        <f t="shared" si="19"/>
        <v>0</v>
      </c>
      <c r="F48" s="891">
        <f t="shared" si="19"/>
        <v>0</v>
      </c>
      <c r="G48" s="891">
        <f t="shared" si="19"/>
        <v>0</v>
      </c>
      <c r="H48" s="891">
        <f t="shared" si="19"/>
        <v>0</v>
      </c>
      <c r="I48" s="891">
        <f t="shared" si="19"/>
        <v>0</v>
      </c>
      <c r="J48" s="891">
        <f>J40+J47</f>
        <v>0</v>
      </c>
      <c r="K48" s="891">
        <f>K40+K47</f>
        <v>0</v>
      </c>
      <c r="L48" s="891">
        <f>L41+L47</f>
        <v>0</v>
      </c>
      <c r="M48" s="892">
        <f>M41+M47</f>
        <v>0</v>
      </c>
      <c r="N48" s="834"/>
    </row>
    <row r="49" spans="1:14" ht="5.0999999999999996" customHeight="1" x14ac:dyDescent="0.25">
      <c r="A49" s="271"/>
      <c r="B49" s="272"/>
      <c r="C49" s="270"/>
      <c r="D49" s="270"/>
      <c r="E49" s="270"/>
      <c r="F49" s="270"/>
      <c r="G49" s="270"/>
      <c r="H49" s="270"/>
      <c r="I49" s="270"/>
      <c r="J49" s="270"/>
      <c r="K49" s="270"/>
      <c r="L49" s="270"/>
      <c r="M49" s="273"/>
      <c r="N49" s="834"/>
    </row>
    <row r="50" spans="1:14" ht="15.75" customHeight="1" x14ac:dyDescent="0.25">
      <c r="A50" s="253" t="s">
        <v>1077</v>
      </c>
      <c r="B50" s="254">
        <v>15</v>
      </c>
      <c r="C50" s="263"/>
      <c r="D50" s="130"/>
      <c r="E50" s="130"/>
      <c r="F50" s="130"/>
      <c r="G50" s="130"/>
      <c r="H50" s="130"/>
      <c r="I50" s="130"/>
      <c r="J50" s="130"/>
      <c r="K50" s="130"/>
      <c r="L50" s="130"/>
      <c r="M50" s="131"/>
      <c r="N50" s="834"/>
    </row>
    <row r="51" spans="1:14" ht="11.25" customHeight="1" x14ac:dyDescent="0.25">
      <c r="A51" s="260" t="s">
        <v>1079</v>
      </c>
      <c r="B51" s="254"/>
      <c r="C51" s="130">
        <f>'SB5'!E263</f>
        <v>0</v>
      </c>
      <c r="D51" s="130">
        <f>'SB5'!F263</f>
        <v>0</v>
      </c>
      <c r="E51" s="130">
        <f>'SB5'!G263</f>
        <v>0</v>
      </c>
      <c r="F51" s="130">
        <f>'SB5'!H263</f>
        <v>0</v>
      </c>
      <c r="G51" s="130">
        <f>'SB5'!I263</f>
        <v>0</v>
      </c>
      <c r="H51" s="130">
        <f>'SB5'!J263</f>
        <v>0</v>
      </c>
      <c r="I51" s="130">
        <f>'SB5'!K263</f>
        <v>0</v>
      </c>
      <c r="J51" s="130">
        <f>SUM(E51:I51)</f>
        <v>0</v>
      </c>
      <c r="K51" s="130">
        <f>IF(D51=0,C51+J51,D51+J51)</f>
        <v>0</v>
      </c>
      <c r="L51" s="130">
        <f>'SB5'!N263</f>
        <v>0</v>
      </c>
      <c r="M51" s="131">
        <f>'SB5'!O263</f>
        <v>0</v>
      </c>
      <c r="N51" s="834"/>
    </row>
    <row r="52" spans="1:14" ht="11.25" customHeight="1" x14ac:dyDescent="0.25">
      <c r="A52" s="260" t="s">
        <v>1121</v>
      </c>
      <c r="B52" s="254"/>
      <c r="C52" s="130">
        <f>'SB5'!E275</f>
        <v>0</v>
      </c>
      <c r="D52" s="130">
        <f>'SB5'!F275</f>
        <v>0</v>
      </c>
      <c r="E52" s="130">
        <f>'SB5'!G275</f>
        <v>0</v>
      </c>
      <c r="F52" s="130">
        <f>'SB5'!H275</f>
        <v>0</v>
      </c>
      <c r="G52" s="130">
        <f>'SB5'!I275</f>
        <v>0</v>
      </c>
      <c r="H52" s="130">
        <f>'SB5'!J275</f>
        <v>0</v>
      </c>
      <c r="I52" s="130">
        <f>'SB5'!K275</f>
        <v>0</v>
      </c>
      <c r="J52" s="130">
        <f>SUM(E52:I52)</f>
        <v>0</v>
      </c>
      <c r="K52" s="130">
        <f>IF(D52=0,C52+J52,D52+J52)</f>
        <v>0</v>
      </c>
      <c r="L52" s="130">
        <f>'SB5'!N275</f>
        <v>0</v>
      </c>
      <c r="M52" s="131">
        <f>'SB5'!O275</f>
        <v>0</v>
      </c>
      <c r="N52" s="834"/>
    </row>
    <row r="53" spans="1:14" ht="11.25" customHeight="1" x14ac:dyDescent="0.25">
      <c r="A53" s="260" t="s">
        <v>1080</v>
      </c>
      <c r="B53" s="254"/>
      <c r="C53" s="130">
        <f>'SB5'!E251</f>
        <v>0</v>
      </c>
      <c r="D53" s="130">
        <f>'SB5'!F251</f>
        <v>0</v>
      </c>
      <c r="E53" s="130">
        <f>'SB5'!G251</f>
        <v>0</v>
      </c>
      <c r="F53" s="130">
        <f>'SB5'!H251</f>
        <v>0</v>
      </c>
      <c r="G53" s="130">
        <f>'SB5'!I251</f>
        <v>0</v>
      </c>
      <c r="H53" s="130">
        <f>'SB5'!J251</f>
        <v>0</v>
      </c>
      <c r="I53" s="130">
        <f>'SB5'!K251</f>
        <v>0</v>
      </c>
      <c r="J53" s="130">
        <f>SUM(E53:I53)</f>
        <v>0</v>
      </c>
      <c r="K53" s="130">
        <f>IF(D53=0,C53+J53,D53+J53)</f>
        <v>0</v>
      </c>
      <c r="L53" s="130">
        <f>'SB5'!N251</f>
        <v>0</v>
      </c>
      <c r="M53" s="131">
        <f>'SB5'!O251</f>
        <v>0</v>
      </c>
      <c r="N53" s="834"/>
    </row>
    <row r="54" spans="1:14" ht="11.25" customHeight="1" x14ac:dyDescent="0.25">
      <c r="A54" s="274" t="s">
        <v>1122</v>
      </c>
      <c r="B54" s="272"/>
      <c r="C54" s="270">
        <f>'SB5'!E287</f>
        <v>0</v>
      </c>
      <c r="D54" s="270">
        <f>'SB5'!F287</f>
        <v>0</v>
      </c>
      <c r="E54" s="270">
        <f>'SB5'!G287</f>
        <v>0</v>
      </c>
      <c r="F54" s="270">
        <f>'SB5'!H287</f>
        <v>0</v>
      </c>
      <c r="G54" s="270">
        <f>'SB5'!I287</f>
        <v>0</v>
      </c>
      <c r="H54" s="270">
        <f>'SB5'!J287</f>
        <v>0</v>
      </c>
      <c r="I54" s="270">
        <f>'SB5'!K287</f>
        <v>0</v>
      </c>
      <c r="J54" s="270">
        <f>SUM(E54:I54)</f>
        <v>0</v>
      </c>
      <c r="K54" s="270">
        <f>IF(D54=0,C54+J54,D54+J54)</f>
        <v>0</v>
      </c>
      <c r="L54" s="270">
        <f>'SB5'!N287</f>
        <v>0</v>
      </c>
      <c r="M54" s="273">
        <f>'SB5'!O287</f>
        <v>0</v>
      </c>
      <c r="N54" s="834"/>
    </row>
    <row r="55" spans="1:14" ht="5.0999999999999996" customHeight="1" x14ac:dyDescent="0.25">
      <c r="A55" s="275"/>
      <c r="B55" s="254"/>
      <c r="C55" s="130"/>
      <c r="D55" s="130"/>
      <c r="E55" s="130"/>
      <c r="F55" s="130"/>
      <c r="G55" s="130"/>
      <c r="H55" s="130"/>
      <c r="I55" s="130"/>
      <c r="J55" s="130"/>
      <c r="K55" s="130"/>
      <c r="L55" s="130"/>
      <c r="M55" s="131"/>
      <c r="N55" s="834"/>
    </row>
    <row r="56" spans="1:14" ht="11.25" customHeight="1" x14ac:dyDescent="0.25">
      <c r="A56" s="253" t="s">
        <v>1078</v>
      </c>
      <c r="B56" s="254">
        <v>16</v>
      </c>
      <c r="C56" s="673" t="s">
        <v>1733</v>
      </c>
      <c r="D56" s="674"/>
      <c r="E56" s="674"/>
      <c r="F56" s="674"/>
      <c r="G56" s="674"/>
      <c r="H56" s="674"/>
      <c r="I56" s="674"/>
      <c r="J56" s="130"/>
      <c r="K56" s="130"/>
      <c r="L56" s="674"/>
      <c r="M56" s="675"/>
      <c r="N56" s="834"/>
    </row>
    <row r="57" spans="1:14" x14ac:dyDescent="0.25">
      <c r="A57" s="1260" t="s">
        <v>1712</v>
      </c>
      <c r="B57" s="254"/>
      <c r="C57" s="779">
        <f>'SB1'!C21</f>
        <v>0</v>
      </c>
      <c r="D57" s="779">
        <f>'SB1'!D21</f>
        <v>0</v>
      </c>
      <c r="E57" s="779">
        <f>'SB1'!E21</f>
        <v>0</v>
      </c>
      <c r="F57" s="779">
        <f>'SB1'!F21</f>
        <v>0</v>
      </c>
      <c r="G57" s="779">
        <f>'SB1'!G21</f>
        <v>0</v>
      </c>
      <c r="H57" s="779">
        <f>'SB1'!H21</f>
        <v>0</v>
      </c>
      <c r="I57" s="779">
        <f>'SB1'!I21</f>
        <v>0</v>
      </c>
      <c r="J57" s="130">
        <f>SUM(E57:I57)</f>
        <v>0</v>
      </c>
      <c r="K57" s="130">
        <f>IF(D57=0,C57+J57,D57+J57)</f>
        <v>0</v>
      </c>
      <c r="L57" s="130">
        <f>'SB1'!L21</f>
        <v>0</v>
      </c>
      <c r="M57" s="131">
        <f>'SB1'!M21</f>
        <v>0</v>
      </c>
      <c r="N57" s="834"/>
    </row>
    <row r="58" spans="1:14" ht="14.1" customHeight="1" x14ac:dyDescent="0.25">
      <c r="A58" s="1260" t="s">
        <v>1713</v>
      </c>
      <c r="B58" s="254"/>
      <c r="C58" s="779">
        <f>'SB1'!C27</f>
        <v>0</v>
      </c>
      <c r="D58" s="130">
        <f>'SB1'!D27</f>
        <v>0</v>
      </c>
      <c r="E58" s="130">
        <f>'SB1'!E27</f>
        <v>0</v>
      </c>
      <c r="F58" s="130">
        <f>'SB1'!F27</f>
        <v>0</v>
      </c>
      <c r="G58" s="130">
        <f>'SB1'!G27</f>
        <v>0</v>
      </c>
      <c r="H58" s="130">
        <f>'SB1'!H27</f>
        <v>0</v>
      </c>
      <c r="I58" s="130">
        <f>'SB1'!I27</f>
        <v>0</v>
      </c>
      <c r="J58" s="130">
        <f>SUM(E58:I58)</f>
        <v>0</v>
      </c>
      <c r="K58" s="130">
        <f>IF(D58=0,C58+J58,D58+J58)</f>
        <v>0</v>
      </c>
      <c r="L58" s="130">
        <f>'SB1'!L27</f>
        <v>0</v>
      </c>
      <c r="M58" s="131">
        <f>'SB1'!M27</f>
        <v>0</v>
      </c>
      <c r="N58" s="834"/>
    </row>
    <row r="59" spans="1:14" ht="12.6" customHeight="1" x14ac:dyDescent="0.25">
      <c r="A59" s="1260" t="s">
        <v>1714</v>
      </c>
      <c r="B59" s="254"/>
      <c r="C59" s="779">
        <f>'SB1'!C15</f>
        <v>0</v>
      </c>
      <c r="D59" s="130">
        <f>'SB1'!D15</f>
        <v>0</v>
      </c>
      <c r="E59" s="130">
        <f>'SB1'!E15</f>
        <v>0</v>
      </c>
      <c r="F59" s="130">
        <f>'SB1'!F15</f>
        <v>0</v>
      </c>
      <c r="G59" s="130">
        <f>'SB1'!G15</f>
        <v>0</v>
      </c>
      <c r="H59" s="130">
        <f>'SB1'!H15</f>
        <v>0</v>
      </c>
      <c r="I59" s="130">
        <f>'SB1'!I15</f>
        <v>0</v>
      </c>
      <c r="J59" s="130">
        <f>SUM(E59:I59)</f>
        <v>0</v>
      </c>
      <c r="K59" s="130">
        <f>IF(D59=0,C59+J59,D59+J59)</f>
        <v>0</v>
      </c>
      <c r="L59" s="130">
        <f>'SB1'!L15</f>
        <v>0</v>
      </c>
      <c r="M59" s="131">
        <f>'SB1'!M15</f>
        <v>0</v>
      </c>
      <c r="N59" s="834"/>
    </row>
    <row r="60" spans="1:14" ht="12" customHeight="1" x14ac:dyDescent="0.25">
      <c r="A60" s="1260" t="s">
        <v>1715</v>
      </c>
      <c r="B60" s="254"/>
      <c r="C60" s="779">
        <f>'SB1'!C34</f>
        <v>0</v>
      </c>
      <c r="D60" s="130">
        <f>'SB1'!D34</f>
        <v>0</v>
      </c>
      <c r="E60" s="130">
        <f>'SB1'!E34</f>
        <v>0</v>
      </c>
      <c r="F60" s="130">
        <f>'SB1'!F34</f>
        <v>0</v>
      </c>
      <c r="G60" s="130">
        <f>'SB1'!G34</f>
        <v>0</v>
      </c>
      <c r="H60" s="130">
        <f>'SB1'!H34</f>
        <v>0</v>
      </c>
      <c r="I60" s="130">
        <f>'SB1'!I34</f>
        <v>0</v>
      </c>
      <c r="J60" s="130">
        <f>SUM(E60:I60)</f>
        <v>0</v>
      </c>
      <c r="K60" s="130">
        <f>IF(D60=0,C60+J60,D60+J60)</f>
        <v>0</v>
      </c>
      <c r="L60" s="130">
        <f>'SB1'!L34</f>
        <v>0</v>
      </c>
      <c r="M60" s="131">
        <f>'SB1'!M34</f>
        <v>0</v>
      </c>
      <c r="N60" s="834"/>
    </row>
    <row r="61" spans="1:14" ht="25.5" x14ac:dyDescent="0.25">
      <c r="A61" s="1262" t="s">
        <v>1716</v>
      </c>
      <c r="B61" s="254"/>
      <c r="C61" s="779">
        <f>'SB5'!E260+'SB5'!E272+'SB5'!E284+'SB5'!E296</f>
        <v>0</v>
      </c>
      <c r="D61" s="130">
        <f>'SB5'!F260+'SB5'!F272+'SB5'!F284+'SB5'!F296</f>
        <v>0</v>
      </c>
      <c r="E61" s="130">
        <f>'SB5'!G260+'SB5'!G272+'SB5'!G284+'SB5'!G296</f>
        <v>0</v>
      </c>
      <c r="F61" s="130">
        <f>'SB5'!H260+'SB5'!H272+'SB5'!H284+'SB5'!H296</f>
        <v>0</v>
      </c>
      <c r="G61" s="130">
        <f>'SB5'!I260+'SB5'!I272+'SB5'!I284+'SB5'!I296</f>
        <v>0</v>
      </c>
      <c r="H61" s="130">
        <f>'SB5'!J260+'SB5'!J272+'SB5'!J284+'SB5'!J296</f>
        <v>0</v>
      </c>
      <c r="I61" s="130">
        <f>'SB5'!K260+'SB5'!K272+'SB5'!K284+'SB5'!K296</f>
        <v>0</v>
      </c>
      <c r="J61" s="130">
        <f>SUM(E61:I61)</f>
        <v>0</v>
      </c>
      <c r="K61" s="130">
        <f>IF(D61=0,C61+J61,D61+J61)</f>
        <v>0</v>
      </c>
      <c r="L61" s="130">
        <f>'SB5'!N260+'SB5'!N272+'SB5'!N284+'SB5'!N296</f>
        <v>0</v>
      </c>
      <c r="M61" s="131">
        <f>'SB5'!O260+'SB5'!O272+'SB5'!O284+'SB5'!O296</f>
        <v>0</v>
      </c>
      <c r="N61" s="834"/>
    </row>
    <row r="62" spans="1:14" ht="12" customHeight="1" x14ac:dyDescent="0.25">
      <c r="A62" s="1261" t="s">
        <v>1717</v>
      </c>
      <c r="B62" s="254"/>
      <c r="C62" s="886">
        <f>SUM(C57:C61)</f>
        <v>0</v>
      </c>
      <c r="D62" s="263">
        <f t="shared" ref="D62:M62" si="20">SUM(D57:D61)</f>
        <v>0</v>
      </c>
      <c r="E62" s="263">
        <f t="shared" si="20"/>
        <v>0</v>
      </c>
      <c r="F62" s="263">
        <f t="shared" si="20"/>
        <v>0</v>
      </c>
      <c r="G62" s="263">
        <f t="shared" si="20"/>
        <v>0</v>
      </c>
      <c r="H62" s="263">
        <f t="shared" si="20"/>
        <v>0</v>
      </c>
      <c r="I62" s="263">
        <f t="shared" si="20"/>
        <v>0</v>
      </c>
      <c r="J62" s="263">
        <f t="shared" si="20"/>
        <v>0</v>
      </c>
      <c r="K62" s="263">
        <f t="shared" si="20"/>
        <v>0</v>
      </c>
      <c r="L62" s="263">
        <f t="shared" si="20"/>
        <v>0</v>
      </c>
      <c r="M62" s="264">
        <f t="shared" si="20"/>
        <v>0</v>
      </c>
      <c r="N62" s="834"/>
    </row>
    <row r="63" spans="1:14" ht="15.6" customHeight="1" x14ac:dyDescent="0.25">
      <c r="A63" s="277"/>
      <c r="B63" s="254"/>
      <c r="C63" s="130"/>
      <c r="D63" s="130"/>
      <c r="E63" s="130"/>
      <c r="F63" s="130"/>
      <c r="G63" s="130"/>
      <c r="H63" s="130"/>
      <c r="I63" s="130"/>
      <c r="J63" s="130"/>
      <c r="K63" s="130"/>
      <c r="L63" s="130"/>
      <c r="M63" s="131"/>
      <c r="N63" s="834"/>
    </row>
    <row r="64" spans="1:14" ht="11.25" customHeight="1" x14ac:dyDescent="0.25">
      <c r="A64" s="253" t="s">
        <v>1081</v>
      </c>
      <c r="B64" s="278"/>
      <c r="C64" s="263"/>
      <c r="D64" s="263"/>
      <c r="E64" s="263"/>
      <c r="F64" s="263"/>
      <c r="G64" s="263"/>
      <c r="H64" s="263"/>
      <c r="I64" s="263"/>
      <c r="J64" s="263"/>
      <c r="K64" s="263"/>
      <c r="L64" s="263"/>
      <c r="M64" s="264"/>
      <c r="N64" s="834"/>
    </row>
    <row r="65" spans="1:14" ht="11.25" customHeight="1" x14ac:dyDescent="0.25">
      <c r="A65" s="260" t="s">
        <v>1082</v>
      </c>
      <c r="B65" s="254"/>
      <c r="C65" s="1046"/>
      <c r="D65" s="610"/>
      <c r="E65" s="610"/>
      <c r="F65" s="610"/>
      <c r="G65" s="610"/>
      <c r="H65" s="610"/>
      <c r="I65" s="610"/>
      <c r="J65" s="887">
        <f t="shared" ref="J65:J70" si="21">SUM(E65:I65)</f>
        <v>0</v>
      </c>
      <c r="K65" s="887">
        <f t="shared" ref="K65:K70" si="22">IF(D65=0,C65+J65,D65+J65)</f>
        <v>0</v>
      </c>
      <c r="L65" s="610"/>
      <c r="M65" s="1044"/>
      <c r="N65" s="834"/>
    </row>
    <row r="66" spans="1:14" ht="11.25" customHeight="1" x14ac:dyDescent="0.25">
      <c r="A66" s="260" t="s">
        <v>1083</v>
      </c>
      <c r="B66" s="254"/>
      <c r="C66" s="1046"/>
      <c r="D66" s="1046"/>
      <c r="E66" s="1046"/>
      <c r="F66" s="1046"/>
      <c r="G66" s="610"/>
      <c r="H66" s="610"/>
      <c r="I66" s="610"/>
      <c r="J66" s="887">
        <f t="shared" si="21"/>
        <v>0</v>
      </c>
      <c r="K66" s="887">
        <f t="shared" si="22"/>
        <v>0</v>
      </c>
      <c r="L66" s="610"/>
      <c r="M66" s="1044"/>
      <c r="N66" s="834"/>
    </row>
    <row r="67" spans="1:14" ht="11.25" customHeight="1" x14ac:dyDescent="0.25">
      <c r="A67" s="260" t="s">
        <v>1084</v>
      </c>
      <c r="B67" s="254"/>
      <c r="C67" s="1046"/>
      <c r="D67" s="1046"/>
      <c r="E67" s="1046"/>
      <c r="F67" s="610"/>
      <c r="G67" s="610"/>
      <c r="H67" s="610"/>
      <c r="I67" s="610"/>
      <c r="J67" s="887">
        <f t="shared" si="21"/>
        <v>0</v>
      </c>
      <c r="K67" s="887">
        <f t="shared" si="22"/>
        <v>0</v>
      </c>
      <c r="L67" s="610"/>
      <c r="M67" s="1044"/>
      <c r="N67" s="834"/>
    </row>
    <row r="68" spans="1:14" ht="11.25" customHeight="1" x14ac:dyDescent="0.25">
      <c r="A68" s="260" t="s">
        <v>1085</v>
      </c>
      <c r="B68" s="254"/>
      <c r="C68" s="1046"/>
      <c r="D68" s="1046"/>
      <c r="E68" s="1046"/>
      <c r="F68" s="610"/>
      <c r="G68" s="610"/>
      <c r="H68" s="610"/>
      <c r="I68" s="610"/>
      <c r="J68" s="887">
        <f t="shared" si="21"/>
        <v>0</v>
      </c>
      <c r="K68" s="887">
        <f t="shared" si="22"/>
        <v>0</v>
      </c>
      <c r="L68" s="610"/>
      <c r="M68" s="1044"/>
      <c r="N68" s="834"/>
    </row>
    <row r="69" spans="1:14" ht="11.25" customHeight="1" x14ac:dyDescent="0.25">
      <c r="A69" s="260" t="s">
        <v>1086</v>
      </c>
      <c r="B69" s="254"/>
      <c r="C69" s="1046"/>
      <c r="D69" s="1046"/>
      <c r="E69" s="1046"/>
      <c r="F69" s="1046"/>
      <c r="G69" s="610"/>
      <c r="H69" s="610"/>
      <c r="I69" s="610"/>
      <c r="J69" s="887">
        <f t="shared" si="21"/>
        <v>0</v>
      </c>
      <c r="K69" s="887">
        <f t="shared" si="22"/>
        <v>0</v>
      </c>
      <c r="L69" s="610"/>
      <c r="M69" s="1044"/>
      <c r="N69" s="834"/>
    </row>
    <row r="70" spans="1:14" ht="11.25" customHeight="1" x14ac:dyDescent="0.25">
      <c r="A70" s="279" t="s">
        <v>1087</v>
      </c>
      <c r="B70" s="272"/>
      <c r="C70" s="1047"/>
      <c r="D70" s="1047"/>
      <c r="E70" s="1047"/>
      <c r="F70" s="613"/>
      <c r="G70" s="613"/>
      <c r="H70" s="613"/>
      <c r="I70" s="613"/>
      <c r="J70" s="888">
        <f t="shared" si="21"/>
        <v>0</v>
      </c>
      <c r="K70" s="888">
        <f t="shared" si="22"/>
        <v>0</v>
      </c>
      <c r="L70" s="613"/>
      <c r="M70" s="1045"/>
      <c r="N70" s="834"/>
    </row>
    <row r="71" spans="1:14" ht="15.75" customHeight="1" x14ac:dyDescent="0.25">
      <c r="A71" s="253" t="s">
        <v>1123</v>
      </c>
      <c r="B71" s="278">
        <v>17</v>
      </c>
      <c r="C71" s="130"/>
      <c r="D71" s="130"/>
      <c r="E71" s="130"/>
      <c r="F71" s="130"/>
      <c r="G71" s="130"/>
      <c r="H71" s="130"/>
      <c r="I71" s="130"/>
      <c r="J71" s="130"/>
      <c r="K71" s="130"/>
      <c r="L71" s="130"/>
      <c r="M71" s="131"/>
      <c r="N71" s="834"/>
    </row>
    <row r="72" spans="1:14" ht="25.5" x14ac:dyDescent="0.25">
      <c r="A72" s="1260" t="s">
        <v>1718</v>
      </c>
      <c r="B72" s="256"/>
      <c r="C72" s="109"/>
      <c r="D72" s="109"/>
      <c r="E72" s="109"/>
      <c r="F72" s="109"/>
      <c r="G72" s="109"/>
      <c r="H72" s="109"/>
      <c r="I72" s="109"/>
      <c r="J72" s="130">
        <f t="shared" ref="J72:J80" si="23">SUM(E72:I72)</f>
        <v>0</v>
      </c>
      <c r="K72" s="130">
        <f t="shared" ref="K72:K80" si="24">IF(D72=0,C72+J72,D72+J72)</f>
        <v>0</v>
      </c>
      <c r="L72" s="109"/>
      <c r="M72" s="110"/>
      <c r="N72" s="834"/>
    </row>
    <row r="73" spans="1:14" ht="38.25" x14ac:dyDescent="0.25">
      <c r="A73" s="1260" t="s">
        <v>1719</v>
      </c>
      <c r="B73" s="254"/>
      <c r="C73" s="130">
        <f>'SB1'!C9</f>
        <v>1507430</v>
      </c>
      <c r="D73" s="130">
        <f>'SB1'!D9</f>
        <v>1507430</v>
      </c>
      <c r="E73" s="130">
        <f>'SB1'!E9</f>
        <v>0</v>
      </c>
      <c r="F73" s="130">
        <f>'SB1'!F9</f>
        <v>0</v>
      </c>
      <c r="G73" s="130">
        <f>'SB1'!G9</f>
        <v>0</v>
      </c>
      <c r="H73" s="130">
        <f>'SB1'!H9</f>
        <v>0</v>
      </c>
      <c r="I73" s="130">
        <f>'SB1'!I9</f>
        <v>0</v>
      </c>
      <c r="J73" s="130">
        <f t="shared" si="23"/>
        <v>0</v>
      </c>
      <c r="K73" s="130">
        <f t="shared" si="24"/>
        <v>1507430</v>
      </c>
      <c r="L73" s="130">
        <f>'SB1'!L9</f>
        <v>1523840</v>
      </c>
      <c r="M73" s="131">
        <f>'SB1'!M9</f>
        <v>1541234</v>
      </c>
      <c r="N73" s="834"/>
    </row>
    <row r="74" spans="1:14" ht="25.5" x14ac:dyDescent="0.25">
      <c r="A74" s="1260" t="s">
        <v>1720</v>
      </c>
      <c r="B74" s="254"/>
      <c r="C74" s="130">
        <f>'SB1'!C20</f>
        <v>0</v>
      </c>
      <c r="D74" s="130">
        <f>'SB1'!D20</f>
        <v>0</v>
      </c>
      <c r="E74" s="130">
        <f>'SB1'!E20</f>
        <v>0</v>
      </c>
      <c r="F74" s="130">
        <f>'SB1'!F20</f>
        <v>0</v>
      </c>
      <c r="G74" s="130">
        <f>'SB1'!G20</f>
        <v>0</v>
      </c>
      <c r="H74" s="130">
        <f>'SB1'!H20</f>
        <v>0</v>
      </c>
      <c r="I74" s="130">
        <f>'SB1'!I20</f>
        <v>0</v>
      </c>
      <c r="J74" s="130">
        <f t="shared" si="23"/>
        <v>0</v>
      </c>
      <c r="K74" s="130">
        <f t="shared" si="24"/>
        <v>0</v>
      </c>
      <c r="L74" s="130">
        <f>'SB1'!L20</f>
        <v>0</v>
      </c>
      <c r="M74" s="131">
        <f>'SB1'!M20</f>
        <v>0</v>
      </c>
      <c r="N74" s="834"/>
    </row>
    <row r="75" spans="1:14" ht="25.5" x14ac:dyDescent="0.25">
      <c r="A75" s="1260" t="s">
        <v>1721</v>
      </c>
      <c r="B75" s="254"/>
      <c r="C75" s="130">
        <f>'SB1'!C26</f>
        <v>0</v>
      </c>
      <c r="D75" s="130">
        <f>'SB1'!D26</f>
        <v>0</v>
      </c>
      <c r="E75" s="130">
        <f>'SB1'!E26</f>
        <v>0</v>
      </c>
      <c r="F75" s="130">
        <f>'SB1'!F26</f>
        <v>0</v>
      </c>
      <c r="G75" s="130">
        <f>'SB1'!G26</f>
        <v>0</v>
      </c>
      <c r="H75" s="130">
        <f>'SB1'!H26</f>
        <v>0</v>
      </c>
      <c r="I75" s="130">
        <f>'SB1'!I26</f>
        <v>0</v>
      </c>
      <c r="J75" s="130">
        <f t="shared" si="23"/>
        <v>0</v>
      </c>
      <c r="K75" s="130">
        <f t="shared" si="24"/>
        <v>0</v>
      </c>
      <c r="L75" s="130">
        <f>'SB1'!L26</f>
        <v>0</v>
      </c>
      <c r="M75" s="131">
        <f>'SB1'!M26</f>
        <v>0</v>
      </c>
      <c r="N75" s="834"/>
    </row>
    <row r="76" spans="1:14" ht="25.5" x14ac:dyDescent="0.25">
      <c r="A76" s="1260" t="s">
        <v>1722</v>
      </c>
      <c r="B76" s="254"/>
      <c r="C76" s="130">
        <f>'SB1'!C14</f>
        <v>0</v>
      </c>
      <c r="D76" s="130">
        <f>'SB1'!D14</f>
        <v>0</v>
      </c>
      <c r="E76" s="130">
        <f>'SB1'!E14</f>
        <v>0</v>
      </c>
      <c r="F76" s="130">
        <f>'SB1'!F14</f>
        <v>0</v>
      </c>
      <c r="G76" s="130">
        <f>'SB1'!G14</f>
        <v>0</v>
      </c>
      <c r="H76" s="130">
        <f>'SB1'!H14</f>
        <v>0</v>
      </c>
      <c r="I76" s="130">
        <f>'SB1'!I14</f>
        <v>0</v>
      </c>
      <c r="J76" s="130">
        <f t="shared" si="23"/>
        <v>0</v>
      </c>
      <c r="K76" s="130">
        <f t="shared" si="24"/>
        <v>0</v>
      </c>
      <c r="L76" s="130">
        <f>'SB1'!L14</f>
        <v>0</v>
      </c>
      <c r="M76" s="131">
        <f>'SB1'!M14</f>
        <v>0</v>
      </c>
      <c r="N76" s="834"/>
    </row>
    <row r="77" spans="1:14" ht="14.45" customHeight="1" x14ac:dyDescent="0.25">
      <c r="A77" s="1260" t="s">
        <v>1723</v>
      </c>
      <c r="B77" s="254"/>
      <c r="C77" s="130">
        <f>'SB1'!C33</f>
        <v>0</v>
      </c>
      <c r="D77" s="130">
        <f>'SB1'!D33</f>
        <v>0</v>
      </c>
      <c r="E77" s="130">
        <f>'SB1'!E33</f>
        <v>0</v>
      </c>
      <c r="F77" s="130">
        <f>'SB1'!F33</f>
        <v>0</v>
      </c>
      <c r="G77" s="130">
        <f>'SB1'!G33</f>
        <v>0</v>
      </c>
      <c r="H77" s="130">
        <f>'SB1'!H33</f>
        <v>0</v>
      </c>
      <c r="I77" s="130">
        <f>'SB1'!I33</f>
        <v>0</v>
      </c>
      <c r="J77" s="130">
        <f t="shared" si="23"/>
        <v>0</v>
      </c>
      <c r="K77" s="130">
        <f t="shared" si="24"/>
        <v>0</v>
      </c>
      <c r="L77" s="130">
        <f>'SB1'!L33</f>
        <v>0</v>
      </c>
      <c r="M77" s="131">
        <f>'SB1'!M33</f>
        <v>0</v>
      </c>
      <c r="N77" s="834"/>
    </row>
    <row r="78" spans="1:14" ht="11.45" customHeight="1" x14ac:dyDescent="0.25">
      <c r="A78" s="1260" t="s">
        <v>1124</v>
      </c>
      <c r="B78" s="254"/>
      <c r="C78" s="109"/>
      <c r="D78" s="109"/>
      <c r="E78" s="109"/>
      <c r="F78" s="109"/>
      <c r="G78" s="109"/>
      <c r="H78" s="109"/>
      <c r="I78" s="109"/>
      <c r="J78" s="130">
        <f t="shared" si="23"/>
        <v>0</v>
      </c>
      <c r="K78" s="130">
        <f t="shared" si="24"/>
        <v>0</v>
      </c>
      <c r="L78" s="109"/>
      <c r="M78" s="110"/>
      <c r="N78" s="834"/>
    </row>
    <row r="79" spans="1:14" ht="11.25" customHeight="1" x14ac:dyDescent="0.25">
      <c r="A79" s="1260" t="s">
        <v>1125</v>
      </c>
      <c r="B79" s="254">
        <v>6</v>
      </c>
      <c r="C79" s="109"/>
      <c r="D79" s="109"/>
      <c r="E79" s="109"/>
      <c r="F79" s="109"/>
      <c r="G79" s="109"/>
      <c r="H79" s="109"/>
      <c r="I79" s="109"/>
      <c r="J79" s="130">
        <f t="shared" si="23"/>
        <v>0</v>
      </c>
      <c r="K79" s="130">
        <f t="shared" si="24"/>
        <v>0</v>
      </c>
      <c r="L79" s="109"/>
      <c r="M79" s="110"/>
      <c r="N79" s="834"/>
    </row>
    <row r="80" spans="1:14" ht="11.25" customHeight="1" x14ac:dyDescent="0.25">
      <c r="A80" s="1260" t="s">
        <v>632</v>
      </c>
      <c r="B80" s="254"/>
      <c r="C80" s="109"/>
      <c r="D80" s="109"/>
      <c r="E80" s="109"/>
      <c r="F80" s="109"/>
      <c r="G80" s="109"/>
      <c r="H80" s="109"/>
      <c r="I80" s="109"/>
      <c r="J80" s="130">
        <f t="shared" si="23"/>
        <v>0</v>
      </c>
      <c r="K80" s="130">
        <f t="shared" si="24"/>
        <v>0</v>
      </c>
      <c r="L80" s="109"/>
      <c r="M80" s="110"/>
      <c r="N80" s="834"/>
    </row>
    <row r="81" spans="1:14" ht="25.5" x14ac:dyDescent="0.25">
      <c r="A81" s="1263" t="s">
        <v>1724</v>
      </c>
      <c r="B81" s="280"/>
      <c r="C81" s="281">
        <f t="shared" ref="C81:M81" si="25">SUM(C72:C80)</f>
        <v>1507430</v>
      </c>
      <c r="D81" s="281">
        <f t="shared" si="25"/>
        <v>1507430</v>
      </c>
      <c r="E81" s="281">
        <f t="shared" si="25"/>
        <v>0</v>
      </c>
      <c r="F81" s="281">
        <f t="shared" si="25"/>
        <v>0</v>
      </c>
      <c r="G81" s="281">
        <f t="shared" si="25"/>
        <v>0</v>
      </c>
      <c r="H81" s="281">
        <f t="shared" si="25"/>
        <v>0</v>
      </c>
      <c r="I81" s="281">
        <f t="shared" si="25"/>
        <v>0</v>
      </c>
      <c r="J81" s="281">
        <f t="shared" si="25"/>
        <v>0</v>
      </c>
      <c r="K81" s="281">
        <f t="shared" si="25"/>
        <v>1507430</v>
      </c>
      <c r="L81" s="281">
        <f t="shared" si="25"/>
        <v>1523840</v>
      </c>
      <c r="M81" s="682">
        <f t="shared" si="25"/>
        <v>1541234</v>
      </c>
      <c r="N81" s="834"/>
    </row>
    <row r="82" spans="1:14" ht="11.25" customHeight="1" x14ac:dyDescent="0.25">
      <c r="A82" s="282" t="str">
        <f>head27a</f>
        <v>References</v>
      </c>
      <c r="B82" s="182"/>
      <c r="N82" s="834"/>
    </row>
    <row r="83" spans="1:14" ht="11.25" customHeight="1" x14ac:dyDescent="0.25">
      <c r="A83" s="283" t="s">
        <v>1089</v>
      </c>
      <c r="B83" s="182"/>
      <c r="N83" s="834"/>
    </row>
    <row r="84" spans="1:14" ht="11.25" customHeight="1" x14ac:dyDescent="0.25">
      <c r="A84" s="284" t="s">
        <v>1090</v>
      </c>
      <c r="B84" s="285"/>
      <c r="C84" s="285"/>
      <c r="D84" s="285"/>
      <c r="E84" s="285"/>
      <c r="F84" s="285"/>
      <c r="G84" s="285"/>
      <c r="H84" s="285"/>
      <c r="I84" s="285"/>
      <c r="J84" s="285"/>
      <c r="K84" s="285"/>
      <c r="L84" s="285"/>
      <c r="M84" s="285"/>
    </row>
    <row r="85" spans="1:14" ht="11.25" customHeight="1" x14ac:dyDescent="0.25">
      <c r="A85" s="157" t="s">
        <v>1091</v>
      </c>
      <c r="B85" s="285"/>
      <c r="C85" s="285"/>
      <c r="D85" s="285"/>
      <c r="E85" s="285"/>
      <c r="F85" s="285"/>
      <c r="G85" s="285"/>
      <c r="H85" s="285"/>
      <c r="I85" s="285"/>
      <c r="J85" s="285"/>
      <c r="K85" s="285"/>
      <c r="L85" s="285"/>
      <c r="M85" s="285"/>
    </row>
    <row r="86" spans="1:14" ht="11.25" customHeight="1" x14ac:dyDescent="0.25">
      <c r="A86" s="157" t="s">
        <v>1092</v>
      </c>
      <c r="B86" s="157"/>
      <c r="C86" s="157"/>
      <c r="D86" s="157"/>
      <c r="E86" s="157"/>
      <c r="F86" s="157"/>
      <c r="G86" s="157"/>
      <c r="H86" s="157"/>
      <c r="I86" s="157"/>
      <c r="J86" s="157"/>
      <c r="K86" s="157"/>
      <c r="L86" s="157"/>
      <c r="M86" s="157"/>
    </row>
    <row r="87" spans="1:14" ht="11.25" customHeight="1" x14ac:dyDescent="0.25">
      <c r="A87" s="157" t="s">
        <v>1093</v>
      </c>
      <c r="B87" s="157"/>
      <c r="C87" s="157"/>
      <c r="D87" s="157"/>
      <c r="E87" s="157"/>
      <c r="F87" s="157"/>
      <c r="G87" s="157"/>
      <c r="H87" s="157"/>
      <c r="I87" s="157"/>
      <c r="J87" s="157"/>
      <c r="K87" s="157"/>
      <c r="L87" s="157"/>
      <c r="M87" s="157"/>
    </row>
    <row r="88" spans="1:14" ht="11.25" customHeight="1" x14ac:dyDescent="0.25">
      <c r="A88" s="157" t="s">
        <v>1094</v>
      </c>
      <c r="B88" s="157"/>
      <c r="C88" s="157"/>
      <c r="D88" s="157"/>
      <c r="E88" s="157"/>
      <c r="F88" s="157"/>
      <c r="G88" s="157"/>
      <c r="H88" s="157"/>
      <c r="I88" s="157"/>
      <c r="J88" s="157"/>
      <c r="K88" s="157"/>
      <c r="L88" s="157"/>
      <c r="M88" s="157"/>
    </row>
    <row r="89" spans="1:14" s="5" customFormat="1" ht="12.75" customHeight="1" x14ac:dyDescent="0.25">
      <c r="A89" s="1422" t="s">
        <v>986</v>
      </c>
      <c r="B89" s="1422"/>
      <c r="C89" s="1422"/>
      <c r="D89" s="1422"/>
      <c r="E89" s="1422"/>
      <c r="F89" s="1422"/>
      <c r="G89" s="1422"/>
      <c r="H89" s="1422"/>
      <c r="I89" s="1422"/>
      <c r="J89" s="1422"/>
      <c r="K89" s="1422"/>
      <c r="L89" s="1422"/>
      <c r="M89" s="1422"/>
    </row>
    <row r="90" spans="1:14" s="5" customFormat="1" ht="24.95" customHeight="1" x14ac:dyDescent="0.25">
      <c r="A90" s="1422" t="s">
        <v>1050</v>
      </c>
      <c r="B90" s="1422"/>
      <c r="C90" s="1422"/>
      <c r="D90" s="1422"/>
      <c r="E90" s="1422"/>
      <c r="F90" s="1422"/>
      <c r="G90" s="1422"/>
      <c r="H90" s="1422"/>
      <c r="I90" s="1422"/>
      <c r="J90" s="1422"/>
      <c r="K90" s="1422"/>
      <c r="L90" s="1422"/>
      <c r="M90" s="1422"/>
    </row>
    <row r="91" spans="1:14" s="5" customFormat="1" ht="12.75" customHeight="1" x14ac:dyDescent="0.25">
      <c r="A91" s="1416" t="s">
        <v>1051</v>
      </c>
      <c r="B91" s="1416"/>
      <c r="C91" s="1416"/>
      <c r="D91" s="1416"/>
      <c r="E91" s="1416"/>
      <c r="F91" s="1416"/>
      <c r="G91" s="1416"/>
      <c r="H91" s="1416"/>
      <c r="I91" s="1416"/>
      <c r="J91" s="1416"/>
      <c r="K91" s="1416"/>
      <c r="L91" s="1416"/>
      <c r="M91" s="1416"/>
    </row>
    <row r="92" spans="1:14" s="5" customFormat="1" ht="12.75" customHeight="1" x14ac:dyDescent="0.25">
      <c r="A92" s="1416" t="s">
        <v>1052</v>
      </c>
      <c r="B92" s="1416"/>
      <c r="C92" s="1416"/>
      <c r="D92" s="1416"/>
      <c r="E92" s="1416"/>
      <c r="F92" s="1416"/>
      <c r="G92" s="1416"/>
      <c r="H92" s="1416"/>
      <c r="I92" s="1416"/>
      <c r="J92" s="1416"/>
      <c r="K92" s="1416"/>
      <c r="L92" s="1416"/>
      <c r="M92" s="1416"/>
    </row>
    <row r="93" spans="1:14" s="5" customFormat="1" ht="12.75" customHeight="1" x14ac:dyDescent="0.25">
      <c r="A93" s="99" t="s">
        <v>1053</v>
      </c>
      <c r="B93" s="93"/>
      <c r="C93" s="96"/>
      <c r="D93" s="96"/>
      <c r="E93" s="96"/>
      <c r="F93" s="96"/>
      <c r="G93" s="96"/>
      <c r="H93" s="96"/>
      <c r="I93" s="96"/>
      <c r="J93" s="96"/>
      <c r="K93" s="96"/>
      <c r="L93" s="96"/>
      <c r="M93" s="96"/>
    </row>
    <row r="94" spans="1:14" s="5" customFormat="1" ht="27" customHeight="1" x14ac:dyDescent="0.25">
      <c r="A94" s="1416" t="s">
        <v>1054</v>
      </c>
      <c r="B94" s="1416"/>
      <c r="C94" s="1416"/>
      <c r="D94" s="1416"/>
      <c r="E94" s="1416"/>
      <c r="F94" s="1416"/>
      <c r="G94" s="1416"/>
      <c r="H94" s="1416"/>
      <c r="I94" s="1416"/>
      <c r="J94" s="1416"/>
      <c r="K94" s="1416"/>
      <c r="L94" s="1416"/>
      <c r="M94" s="1416"/>
    </row>
    <row r="95" spans="1:14" s="5" customFormat="1" ht="12.75" customHeight="1" x14ac:dyDescent="0.25">
      <c r="A95" s="99" t="s">
        <v>1019</v>
      </c>
      <c r="B95" s="93"/>
      <c r="C95" s="96"/>
      <c r="D95" s="96"/>
      <c r="E95" s="96"/>
      <c r="F95" s="96"/>
      <c r="G95" s="96"/>
      <c r="H95" s="96"/>
      <c r="I95" s="96"/>
      <c r="J95" s="96"/>
      <c r="K95" s="96"/>
      <c r="L95" s="96"/>
      <c r="M95" s="96"/>
    </row>
    <row r="96" spans="1:14" s="5" customFormat="1" ht="12.75" customHeight="1" x14ac:dyDescent="0.25">
      <c r="A96" s="1416" t="s">
        <v>1020</v>
      </c>
      <c r="B96" s="1416"/>
      <c r="C96" s="1416"/>
      <c r="D96" s="1416"/>
      <c r="E96" s="1416"/>
      <c r="F96" s="1416"/>
      <c r="G96" s="1416"/>
      <c r="H96" s="1416"/>
      <c r="I96" s="1416"/>
      <c r="J96" s="1416"/>
      <c r="K96" s="1416"/>
      <c r="L96" s="1416"/>
      <c r="M96" s="1416"/>
    </row>
    <row r="97" spans="1:8" ht="11.25" customHeight="1" x14ac:dyDescent="0.25">
      <c r="A97" s="826" t="s">
        <v>1095</v>
      </c>
      <c r="B97" s="223"/>
      <c r="C97" s="223"/>
      <c r="D97" s="223"/>
      <c r="E97" s="223"/>
      <c r="F97" s="223"/>
      <c r="G97" s="223"/>
      <c r="H97" s="223"/>
    </row>
    <row r="98" spans="1:8" ht="11.25" customHeight="1" x14ac:dyDescent="0.25">
      <c r="A98" s="826" t="s">
        <v>1141</v>
      </c>
      <c r="B98" s="223"/>
      <c r="C98" s="223"/>
      <c r="D98" s="223"/>
      <c r="E98" s="223"/>
      <c r="F98" s="223"/>
      <c r="G98" s="223"/>
      <c r="H98" s="223"/>
    </row>
    <row r="99" spans="1:8" ht="11.25" customHeight="1" x14ac:dyDescent="0.25">
      <c r="A99" s="826" t="s">
        <v>1142</v>
      </c>
      <c r="B99" s="223"/>
      <c r="C99" s="223"/>
      <c r="D99" s="223"/>
      <c r="E99" s="223"/>
      <c r="F99" s="223"/>
      <c r="G99" s="223"/>
      <c r="H99" s="223"/>
    </row>
    <row r="100" spans="1:8" ht="11.25" customHeight="1" x14ac:dyDescent="0.25">
      <c r="A100" s="223"/>
      <c r="B100" s="223"/>
      <c r="C100" s="223"/>
      <c r="D100" s="223"/>
      <c r="E100" s="223"/>
      <c r="F100" s="223"/>
      <c r="G100" s="223"/>
      <c r="H100" s="223"/>
    </row>
    <row r="101" spans="1:8" ht="11.25" customHeight="1" x14ac:dyDescent="0.25">
      <c r="B101" s="182"/>
    </row>
    <row r="102" spans="1:8" ht="11.25" customHeight="1" x14ac:dyDescent="0.25">
      <c r="B102" s="182"/>
    </row>
    <row r="103" spans="1:8" ht="11.25" customHeight="1" x14ac:dyDescent="0.25">
      <c r="B103" s="182"/>
    </row>
    <row r="104" spans="1:8" ht="11.25" customHeight="1" x14ac:dyDescent="0.25">
      <c r="B104" s="182"/>
    </row>
    <row r="105" spans="1:8" ht="11.25" customHeight="1" x14ac:dyDescent="0.25">
      <c r="B105" s="182"/>
    </row>
    <row r="106" spans="1:8" ht="11.25" customHeight="1" x14ac:dyDescent="0.25">
      <c r="B106" s="182"/>
    </row>
    <row r="107" spans="1:8" ht="11.25" customHeight="1" x14ac:dyDescent="0.25">
      <c r="B107" s="182"/>
    </row>
    <row r="108" spans="1:8" ht="11.25" customHeight="1" x14ac:dyDescent="0.25">
      <c r="B108" s="182"/>
    </row>
    <row r="109" spans="1:8" ht="11.25" customHeight="1" x14ac:dyDescent="0.25">
      <c r="B109" s="182"/>
    </row>
    <row r="110" spans="1:8" ht="11.25" customHeight="1" x14ac:dyDescent="0.25">
      <c r="B110" s="182"/>
    </row>
    <row r="111" spans="1:8" ht="11.25" customHeight="1" x14ac:dyDescent="0.25">
      <c r="B111" s="182"/>
    </row>
    <row r="112" spans="1:8" ht="11.25" customHeight="1" x14ac:dyDescent="0.25">
      <c r="B112" s="182"/>
    </row>
    <row r="113" spans="2:2" ht="11.25" customHeight="1" x14ac:dyDescent="0.25">
      <c r="B113" s="182"/>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algorithmName="SHA-512" hashValue="JSa1wBnNTY0fZOJZlJ2V1WdFfyaR99yCuZgIaXtQNOxy37dwn5t5TxGdL41nawJoXlNW8eoevTqZ9FnWfTJ4CA==" saltValue="0azDiPQwhMRnvP7raZfexQ==" spinCount="100000" sheet="1" objects="1" scenarios="1"/>
  <mergeCells count="9">
    <mergeCell ref="A96:M96"/>
    <mergeCell ref="A94:M94"/>
    <mergeCell ref="A2:A5"/>
    <mergeCell ref="B2:B5"/>
    <mergeCell ref="C2:K2"/>
    <mergeCell ref="A90:M90"/>
    <mergeCell ref="A89:M89"/>
    <mergeCell ref="A91:M91"/>
    <mergeCell ref="A92:M92"/>
  </mergeCells>
  <phoneticPr fontId="4" type="noConversion"/>
  <printOptions horizontalCentered="1"/>
  <pageMargins left="0.35" right="0.16" top="0.79" bottom="0.59" header="0.51181102362204722" footer="0.51181102362204722"/>
  <pageSetup paperSize="9" scale="5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1">
    <tabColor indexed="42"/>
    <pageSetUpPr fitToPage="1"/>
  </sheetPr>
  <dimension ref="A1:AD29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I83" sqref="I83"/>
    </sheetView>
  </sheetViews>
  <sheetFormatPr defaultColWidth="9.140625" defaultRowHeight="12.75" x14ac:dyDescent="0.25"/>
  <cols>
    <col min="1" max="1" width="34.140625" style="5" bestFit="1" customWidth="1"/>
    <col min="2" max="2" width="3.140625" style="58" customWidth="1"/>
    <col min="3" max="13" width="8.5703125" style="5" customWidth="1"/>
    <col min="14" max="14" width="9.85546875" style="5" hidden="1" customWidth="1"/>
    <col min="15" max="15" width="9.5703125" style="5" hidden="1" customWidth="1"/>
    <col min="16" max="16" width="9.85546875" style="5" hidden="1" customWidth="1"/>
    <col min="17" max="19" width="9.5703125" style="5" hidden="1" customWidth="1"/>
    <col min="20" max="20" width="9.85546875" style="5" hidden="1" customWidth="1"/>
    <col min="21" max="23" width="9.5703125" style="5" hidden="1" customWidth="1"/>
    <col min="24" max="25" width="9.85546875" style="5" hidden="1" customWidth="1"/>
    <col min="26" max="28" width="9.140625" style="5" hidden="1" customWidth="1"/>
    <col min="29" max="30" width="9.140625" style="1336"/>
    <col min="31" max="16384" width="9.140625" style="5"/>
  </cols>
  <sheetData>
    <row r="1" spans="1:30" ht="13.5" x14ac:dyDescent="0.25">
      <c r="A1" s="57" t="str">
        <f>muni&amp;" - "&amp;ADJB1&amp;" - "&amp;Date</f>
        <v xml:space="preserve">KZN226 Mkhambathini - Supporting Table SB1 Supporting detail to 'Budgeted Financial Performance' - </v>
      </c>
      <c r="B1" s="5"/>
      <c r="C1" s="58"/>
    </row>
    <row r="2" spans="1:30" ht="31.5" customHeight="1" x14ac:dyDescent="0.25">
      <c r="A2" s="1423" t="str">
        <f>desc</f>
        <v>Description</v>
      </c>
      <c r="B2" s="1453" t="str">
        <f>head27</f>
        <v>Ref</v>
      </c>
      <c r="C2" s="1418" t="str">
        <f>Head2</f>
        <v>Budget Year 2020/21</v>
      </c>
      <c r="D2" s="1418"/>
      <c r="E2" s="1418"/>
      <c r="F2" s="1418"/>
      <c r="G2" s="1418"/>
      <c r="H2" s="1418"/>
      <c r="I2" s="1418"/>
      <c r="J2" s="1418"/>
      <c r="K2" s="1418"/>
      <c r="L2" s="103" t="str">
        <f>Head10</f>
        <v>Budget Year +1 2021/22</v>
      </c>
      <c r="M2" s="61" t="str">
        <f>Head11</f>
        <v>Budget Year +2 2022/23</v>
      </c>
    </row>
    <row r="3" spans="1:30" ht="25.5" x14ac:dyDescent="0.25">
      <c r="A3" s="1424"/>
      <c r="B3" s="145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30" x14ac:dyDescent="0.25">
      <c r="A4" s="1424"/>
      <c r="B4" s="1454"/>
      <c r="C4" s="65"/>
      <c r="D4" s="15">
        <v>6</v>
      </c>
      <c r="E4" s="15">
        <v>7</v>
      </c>
      <c r="F4" s="15">
        <v>8</v>
      </c>
      <c r="G4" s="15">
        <v>9</v>
      </c>
      <c r="H4" s="15">
        <v>10</v>
      </c>
      <c r="I4" s="15">
        <v>11</v>
      </c>
      <c r="J4" s="15">
        <v>12</v>
      </c>
      <c r="K4" s="15">
        <v>13</v>
      </c>
      <c r="L4" s="15"/>
      <c r="M4" s="17"/>
    </row>
    <row r="5" spans="1:30" x14ac:dyDescent="0.25">
      <c r="A5" s="66" t="s">
        <v>605</v>
      </c>
      <c r="B5" s="69"/>
      <c r="C5" s="67" t="s">
        <v>549</v>
      </c>
      <c r="D5" s="68" t="s">
        <v>550</v>
      </c>
      <c r="E5" s="68" t="s">
        <v>551</v>
      </c>
      <c r="F5" s="69" t="s">
        <v>552</v>
      </c>
      <c r="G5" s="69" t="s">
        <v>553</v>
      </c>
      <c r="H5" s="69" t="s">
        <v>554</v>
      </c>
      <c r="I5" s="70" t="s">
        <v>555</v>
      </c>
      <c r="J5" s="70" t="s">
        <v>556</v>
      </c>
      <c r="K5" s="70" t="s">
        <v>557</v>
      </c>
      <c r="L5" s="70"/>
      <c r="M5" s="71"/>
    </row>
    <row r="6" spans="1:30" ht="12.75" customHeight="1" x14ac:dyDescent="0.25">
      <c r="A6" s="124" t="s">
        <v>1143</v>
      </c>
      <c r="B6" s="286"/>
      <c r="C6" s="74"/>
      <c r="D6" s="75"/>
      <c r="E6" s="75"/>
      <c r="F6" s="75"/>
      <c r="G6" s="75"/>
      <c r="H6" s="75"/>
      <c r="I6" s="75"/>
      <c r="J6" s="75"/>
      <c r="K6" s="75"/>
      <c r="L6" s="75"/>
      <c r="M6" s="76"/>
    </row>
    <row r="7" spans="1:30" ht="12.75" customHeight="1" x14ac:dyDescent="0.25">
      <c r="A7" s="52" t="s">
        <v>559</v>
      </c>
      <c r="B7" s="286"/>
      <c r="C7" s="74"/>
      <c r="D7" s="75"/>
      <c r="E7" s="75"/>
      <c r="F7" s="75"/>
      <c r="G7" s="75"/>
      <c r="H7" s="75"/>
      <c r="I7" s="75"/>
      <c r="J7" s="75"/>
      <c r="K7" s="75"/>
      <c r="L7" s="75"/>
      <c r="M7" s="76"/>
      <c r="N7" s="126"/>
    </row>
    <row r="8" spans="1:30" ht="12.75" customHeight="1" x14ac:dyDescent="0.25">
      <c r="A8" s="55" t="s">
        <v>1144</v>
      </c>
      <c r="B8" s="286"/>
      <c r="C8" s="1355">
        <f>-SUMIFS(Sheet1!S71_OriginalBudget,Sheet1!S71_A4Code,$AC:$AC,Sheet1!S71_ProjectType,$AD:$AD)</f>
        <v>21289052</v>
      </c>
      <c r="D8" s="1356">
        <f>-SUMIFS(Sheet1!S71_SpecialAdjustedBudget,Sheet1!S71_A4Code,$AC:$AC,Sheet1!S71_ProjectType,$AD:$AD)</f>
        <v>21289052</v>
      </c>
      <c r="E8" s="1356"/>
      <c r="F8" s="1356"/>
      <c r="G8" s="1356"/>
      <c r="H8" s="1356"/>
      <c r="I8" s="1356">
        <f>SUMIFS(Sheet1!S71_AdjustmentAmount,Sheet1!S71_A4Code,$AC:$AC,Sheet1!S71_ProjectType,$AD:$AD)</f>
        <v>0</v>
      </c>
      <c r="J8" s="130">
        <f>SUM(E8:I8)</f>
        <v>0</v>
      </c>
      <c r="K8" s="130">
        <f>IF(D8=0,C8+J8,D8+J8)</f>
        <v>21289052</v>
      </c>
      <c r="L8" s="1356">
        <f>-SUMIFS(Sheet1!S71_OY1AdjustedBudget,Sheet1!S71_A4Code,$AC:$AC,Sheet1!S71_ProjectType,$AD:$AD)</f>
        <v>22566396</v>
      </c>
      <c r="M8" s="1357">
        <f>-SUMIFS(Sheet1!S71_OY2AdjustedBudget,Sheet1!S71_A4Code,$AC:$AC,Sheet1!S71_ProjectType,$AD:$AD)</f>
        <v>23920380</v>
      </c>
      <c r="N8" s="126"/>
      <c r="AC8" s="1353" t="s">
        <v>1814</v>
      </c>
      <c r="AD8" s="1336" t="s">
        <v>553</v>
      </c>
    </row>
    <row r="9" spans="1:30" ht="32.1" customHeight="1" x14ac:dyDescent="0.25">
      <c r="A9" s="1248" t="s">
        <v>1703</v>
      </c>
      <c r="B9" s="286"/>
      <c r="C9" s="1355">
        <f>SUMIFS(Sheet1!S71_OriginalBudget,Sheet1!S71_A4Code,$AC:$AC,Sheet1!S71_ProjectType,$AD:$AD)</f>
        <v>1507430</v>
      </c>
      <c r="D9" s="1356">
        <f>SUMIFS(Sheet1!S71_SpecialAdjustedBudget,Sheet1!S71_A4Code,$AC:$AC,Sheet1!S71_ProjectType,$AD:$AD)</f>
        <v>1507430</v>
      </c>
      <c r="E9" s="1356"/>
      <c r="F9" s="1356"/>
      <c r="G9" s="1356"/>
      <c r="H9" s="1356"/>
      <c r="I9" s="1356">
        <f>SUMIFS(Sheet1!S71_AdjustmentAmount,Sheet1!S71_A4Code,$AC:$AC,Sheet1!S71_ProjectType,$AD:$AD)</f>
        <v>0</v>
      </c>
      <c r="J9" s="130">
        <f>SUM(E9:I9)</f>
        <v>0</v>
      </c>
      <c r="K9" s="130">
        <f>IF(D9=0,C9+J9,D9+J9)</f>
        <v>1507430</v>
      </c>
      <c r="L9" s="1356">
        <f>SUMIFS(Sheet1!S71_OY1AdjustedBudget,Sheet1!S71_A4Code,$AC:$AC,Sheet1!S71_ProjectType,$AD:$AD)</f>
        <v>1523840</v>
      </c>
      <c r="M9" s="1357">
        <f>SUMIFS(Sheet1!S71_OY2AdjustedBudget,Sheet1!S71_A4Code,$AC:$AC,Sheet1!S71_ProjectType,$AD:$AD)</f>
        <v>1541234</v>
      </c>
      <c r="N9" s="126"/>
      <c r="AC9" s="1353" t="s">
        <v>1814</v>
      </c>
      <c r="AD9" s="1336" t="s">
        <v>1881</v>
      </c>
    </row>
    <row r="10" spans="1:30" ht="12.75" customHeight="1" x14ac:dyDescent="0.25">
      <c r="A10" s="163" t="s">
        <v>1145</v>
      </c>
      <c r="B10" s="286"/>
      <c r="C10" s="1268">
        <f>C8-C9</f>
        <v>19781622</v>
      </c>
      <c r="D10" s="707">
        <f t="shared" ref="D10:M10" si="0">D8-D9</f>
        <v>19781622</v>
      </c>
      <c r="E10" s="707">
        <f t="shared" si="0"/>
        <v>0</v>
      </c>
      <c r="F10" s="707">
        <f t="shared" si="0"/>
        <v>0</v>
      </c>
      <c r="G10" s="707">
        <f t="shared" si="0"/>
        <v>0</v>
      </c>
      <c r="H10" s="707">
        <f t="shared" si="0"/>
        <v>0</v>
      </c>
      <c r="I10" s="707">
        <f t="shared" si="0"/>
        <v>0</v>
      </c>
      <c r="J10" s="707">
        <f t="shared" si="0"/>
        <v>0</v>
      </c>
      <c r="K10" s="707">
        <f t="shared" si="0"/>
        <v>19781622</v>
      </c>
      <c r="L10" s="707">
        <f t="shared" si="0"/>
        <v>21042556</v>
      </c>
      <c r="M10" s="709">
        <f t="shared" si="0"/>
        <v>22379146</v>
      </c>
      <c r="N10" s="126"/>
      <c r="AC10" s="1339"/>
    </row>
    <row r="11" spans="1:30" ht="4.5" customHeight="1" x14ac:dyDescent="0.25">
      <c r="A11" s="30"/>
      <c r="B11" s="286"/>
      <c r="C11" s="74"/>
      <c r="D11" s="75"/>
      <c r="E11" s="75"/>
      <c r="F11" s="75"/>
      <c r="G11" s="75"/>
      <c r="H11" s="75"/>
      <c r="I11" s="75"/>
      <c r="J11" s="169"/>
      <c r="K11" s="169"/>
      <c r="L11" s="75"/>
      <c r="M11" s="76"/>
      <c r="N11" s="126"/>
      <c r="AC11" s="1339"/>
    </row>
    <row r="12" spans="1:30" ht="12.75" customHeight="1" x14ac:dyDescent="0.25">
      <c r="A12" s="52" t="s">
        <v>641</v>
      </c>
      <c r="B12" s="286"/>
      <c r="C12" s="74"/>
      <c r="D12" s="75"/>
      <c r="E12" s="75"/>
      <c r="F12" s="75"/>
      <c r="G12" s="75"/>
      <c r="H12" s="75"/>
      <c r="I12" s="75"/>
      <c r="J12" s="169"/>
      <c r="K12" s="169"/>
      <c r="L12" s="75"/>
      <c r="M12" s="76"/>
      <c r="N12" s="126"/>
      <c r="AC12" s="1339"/>
    </row>
    <row r="13" spans="1:30" ht="12.75" customHeight="1" x14ac:dyDescent="0.25">
      <c r="A13" s="55" t="s">
        <v>1146</v>
      </c>
      <c r="B13" s="286"/>
      <c r="C13" s="1355">
        <f>-SUMIFS(Sheet1!S71_OriginalBudget,Sheet1!S71_A4Code,$AC:$AC,Sheet1!S71_ProjectType,$AD:$AD)</f>
        <v>0</v>
      </c>
      <c r="D13" s="1356">
        <f>-SUMIFS(Sheet1!S71_SpecialAdjustedBudget,Sheet1!S71_A4Code,$AC:$AC,Sheet1!S71_ProjectType,$AD:$AD)</f>
        <v>0</v>
      </c>
      <c r="E13" s="1356"/>
      <c r="F13" s="1356"/>
      <c r="G13" s="1356"/>
      <c r="H13" s="1356"/>
      <c r="I13" s="1356">
        <f>SUMIFS(Sheet1!S71_AdjustmentAmount,Sheet1!S71_A4Code,$AC:$AC,Sheet1!S71_ProjectType,$AD:$AD)</f>
        <v>0</v>
      </c>
      <c r="J13" s="130">
        <f>SUM(E13:I13)</f>
        <v>0</v>
      </c>
      <c r="K13" s="130">
        <f>IF(D13=0,C13+J13,D13+J13)</f>
        <v>0</v>
      </c>
      <c r="L13" s="1356">
        <f>-SUMIFS(Sheet1!S71_OY1AdjustedBudget,Sheet1!S71_A4Code,$AC:$AC,Sheet1!S71_ProjectType,$AD:$AD)</f>
        <v>0</v>
      </c>
      <c r="M13" s="1357">
        <f>-SUMIFS(Sheet1!S71_OY2AdjustedBudget,Sheet1!S71_A4Code,$AC:$AC,Sheet1!S71_ProjectType,$AD:$AD)</f>
        <v>0</v>
      </c>
      <c r="N13" s="126"/>
      <c r="AC13" s="1353" t="s">
        <v>1815</v>
      </c>
      <c r="AD13" s="1336" t="s">
        <v>553</v>
      </c>
    </row>
    <row r="14" spans="1:30" ht="21" customHeight="1" x14ac:dyDescent="0.25">
      <c r="A14" s="1248" t="s">
        <v>1704</v>
      </c>
      <c r="B14" s="286"/>
      <c r="C14" s="1355">
        <f>SUMIFS(Sheet1!S71_OriginalBudget,Sheet1!S71_A4Code,$AC:$AC,Sheet1!S71_ProjectType,$AD:$AD)</f>
        <v>0</v>
      </c>
      <c r="D14" s="1356">
        <f>SUMIFS(Sheet1!S71_SpecialAdjustedBudget,Sheet1!S71_A4Code,$AC:$AC,Sheet1!S71_ProjectType,$AD:$AD)</f>
        <v>0</v>
      </c>
      <c r="E14" s="1356"/>
      <c r="F14" s="1356"/>
      <c r="G14" s="1356"/>
      <c r="H14" s="1356"/>
      <c r="I14" s="1356">
        <f>SUMIFS(Sheet1!S71_AdjustmentAmount,Sheet1!S71_A4Code,$AC:$AC,Sheet1!S71_ProjectType,$AD:$AD)</f>
        <v>0</v>
      </c>
      <c r="J14" s="130">
        <f>SUM(E14:I14)</f>
        <v>0</v>
      </c>
      <c r="K14" s="130">
        <f>IF(D14=0,C14+J14,D14+J14)</f>
        <v>0</v>
      </c>
      <c r="L14" s="1356">
        <f>SUMIFS(Sheet1!S71_OY1AdjustedBudget,Sheet1!S71_A4Code,$AC:$AC,Sheet1!S71_ProjectType,$AD:$AD)</f>
        <v>0</v>
      </c>
      <c r="M14" s="1357">
        <f>SUMIFS(Sheet1!S71_OY2AdjustedBudget,Sheet1!S71_A4Code,$AC:$AC,Sheet1!S71_ProjectType,$AD:$AD)</f>
        <v>0</v>
      </c>
      <c r="N14" s="126"/>
      <c r="AC14" s="1353" t="s">
        <v>1815</v>
      </c>
      <c r="AD14" s="1336" t="s">
        <v>1881</v>
      </c>
    </row>
    <row r="15" spans="1:30" s="126" customFormat="1" ht="23.1" customHeight="1" x14ac:dyDescent="0.25">
      <c r="A15" s="1253" t="s">
        <v>1705</v>
      </c>
      <c r="B15" s="835"/>
      <c r="C15" s="129">
        <f>'SB5'!E250</f>
        <v>0</v>
      </c>
      <c r="D15" s="129">
        <f>'SB5'!F250</f>
        <v>0</v>
      </c>
      <c r="E15" s="129">
        <f>'SB5'!G250</f>
        <v>0</v>
      </c>
      <c r="F15" s="129">
        <f>'SB5'!H250</f>
        <v>0</v>
      </c>
      <c r="G15" s="129">
        <f>'SB5'!I250</f>
        <v>0</v>
      </c>
      <c r="H15" s="129">
        <f>'SB5'!J250</f>
        <v>0</v>
      </c>
      <c r="I15" s="129">
        <f>'SB5'!K250</f>
        <v>0</v>
      </c>
      <c r="J15" s="130">
        <f>SUM(E15:I15)</f>
        <v>0</v>
      </c>
      <c r="K15" s="130">
        <f>IF(D15=0,C15+J15,D15+J15)</f>
        <v>0</v>
      </c>
      <c r="L15" s="129">
        <f>'SB5'!N250</f>
        <v>0</v>
      </c>
      <c r="M15" s="131">
        <f>'SB5'!O250</f>
        <v>0</v>
      </c>
      <c r="AC15" s="1353" t="s">
        <v>1815</v>
      </c>
      <c r="AD15" s="1336" t="s">
        <v>1881</v>
      </c>
    </row>
    <row r="16" spans="1:30" ht="12.75" customHeight="1" x14ac:dyDescent="0.25">
      <c r="A16" s="163" t="s">
        <v>1147</v>
      </c>
      <c r="B16" s="286"/>
      <c r="C16" s="1268">
        <f>C13-C14-C15</f>
        <v>0</v>
      </c>
      <c r="D16" s="707">
        <f t="shared" ref="D16:M16" si="1">D13-D14-D15</f>
        <v>0</v>
      </c>
      <c r="E16" s="707">
        <f t="shared" si="1"/>
        <v>0</v>
      </c>
      <c r="F16" s="707">
        <f t="shared" si="1"/>
        <v>0</v>
      </c>
      <c r="G16" s="707">
        <f t="shared" si="1"/>
        <v>0</v>
      </c>
      <c r="H16" s="707">
        <f t="shared" si="1"/>
        <v>0</v>
      </c>
      <c r="I16" s="707">
        <f t="shared" si="1"/>
        <v>0</v>
      </c>
      <c r="J16" s="707">
        <f t="shared" si="1"/>
        <v>0</v>
      </c>
      <c r="K16" s="707">
        <f t="shared" si="1"/>
        <v>0</v>
      </c>
      <c r="L16" s="707">
        <f t="shared" si="1"/>
        <v>0</v>
      </c>
      <c r="M16" s="709">
        <f t="shared" si="1"/>
        <v>0</v>
      </c>
      <c r="N16" s="126"/>
      <c r="AC16" s="1339"/>
    </row>
    <row r="17" spans="1:30" ht="5.25" customHeight="1" x14ac:dyDescent="0.25">
      <c r="B17" s="286"/>
      <c r="C17" s="74"/>
      <c r="D17" s="75"/>
      <c r="E17" s="75"/>
      <c r="F17" s="75"/>
      <c r="G17" s="75"/>
      <c r="H17" s="75"/>
      <c r="I17" s="75"/>
      <c r="J17" s="169"/>
      <c r="K17" s="169"/>
      <c r="L17" s="75"/>
      <c r="M17" s="76"/>
      <c r="N17" s="126"/>
      <c r="AC17" s="1339"/>
    </row>
    <row r="18" spans="1:30" ht="12.75" customHeight="1" x14ac:dyDescent="0.25">
      <c r="A18" s="287" t="s">
        <v>642</v>
      </c>
      <c r="B18" s="286"/>
      <c r="C18" s="74"/>
      <c r="D18" s="75"/>
      <c r="E18" s="75"/>
      <c r="F18" s="75"/>
      <c r="G18" s="75"/>
      <c r="H18" s="75"/>
      <c r="I18" s="75"/>
      <c r="J18" s="169"/>
      <c r="K18" s="169"/>
      <c r="L18" s="75"/>
      <c r="M18" s="76"/>
      <c r="N18" s="126"/>
      <c r="AC18" s="1339"/>
    </row>
    <row r="19" spans="1:30" ht="12.75" customHeight="1" x14ac:dyDescent="0.25">
      <c r="A19" s="1256" t="s">
        <v>1148</v>
      </c>
      <c r="B19" s="286"/>
      <c r="C19" s="1355">
        <f>-SUMIFS(Sheet1!S71_OriginalBudget,Sheet1!S71_A4Code,$AC:$AC,Sheet1!S71_ProjectType,$AD:$AD)</f>
        <v>0</v>
      </c>
      <c r="D19" s="1356">
        <f>-SUMIFS(Sheet1!S71_SpecialAdjustedBudget,Sheet1!S71_A4Code,$AC:$AC,Sheet1!S71_ProjectType,$AD:$AD)</f>
        <v>0</v>
      </c>
      <c r="E19" s="1356"/>
      <c r="F19" s="1356"/>
      <c r="G19" s="1356"/>
      <c r="H19" s="1356"/>
      <c r="I19" s="1356">
        <f>SUMIFS(Sheet1!S71_AdjustmentAmount,Sheet1!S71_A4Code,$AC:$AC,Sheet1!S71_ProjectType,$AD:$AD)</f>
        <v>0</v>
      </c>
      <c r="J19" s="130">
        <f>SUM(E19:I19)</f>
        <v>0</v>
      </c>
      <c r="K19" s="130">
        <f>IF(D19=0,C19+J19,D19+J19)</f>
        <v>0</v>
      </c>
      <c r="L19" s="1356">
        <f>-SUMIFS(Sheet1!S71_OY1AdjustedBudget,Sheet1!S71_A4Code,$AC:$AC,Sheet1!S71_ProjectType,$AD:$AD)</f>
        <v>0</v>
      </c>
      <c r="M19" s="1357">
        <f>-SUMIFS(Sheet1!S71_OY2AdjustedBudget,Sheet1!S71_A4Code,$AC:$AC,Sheet1!S71_ProjectType,$AD:$AD)</f>
        <v>0</v>
      </c>
      <c r="N19" s="126"/>
      <c r="AC19" s="1353" t="s">
        <v>1816</v>
      </c>
      <c r="AD19" s="1336" t="s">
        <v>553</v>
      </c>
    </row>
    <row r="20" spans="1:30" ht="38.25" x14ac:dyDescent="0.25">
      <c r="A20" s="1256" t="s">
        <v>1706</v>
      </c>
      <c r="B20" s="286"/>
      <c r="C20" s="1355">
        <f>SUMIFS(Sheet1!S71_OriginalBudget,Sheet1!S71_A4Code,$AC:$AC,Sheet1!S71_ProjectType,$AD:$AD)</f>
        <v>0</v>
      </c>
      <c r="D20" s="1356">
        <f>SUMIFS(Sheet1!S71_SpecialAdjustedBudget,Sheet1!S71_A4Code,$AC:$AC,Sheet1!S71_ProjectType,$AD:$AD)</f>
        <v>0</v>
      </c>
      <c r="E20" s="1356"/>
      <c r="F20" s="1356"/>
      <c r="G20" s="1356"/>
      <c r="H20" s="1356"/>
      <c r="I20" s="1356">
        <f>SUMIFS(Sheet1!S71_AdjustmentAmount,Sheet1!S71_A4Code,$AC:$AC,Sheet1!S71_ProjectType,$AD:$AD)</f>
        <v>0</v>
      </c>
      <c r="J20" s="130">
        <f>SUM(E20:I20)</f>
        <v>0</v>
      </c>
      <c r="K20" s="130">
        <f>IF(D20=0,C20+J20,D20+J20)</f>
        <v>0</v>
      </c>
      <c r="L20" s="1356">
        <f>SUMIFS(Sheet1!S71_OY1AdjustedBudget,Sheet1!S71_A4Code,$AC:$AC,Sheet1!S71_ProjectType,$AD:$AD)</f>
        <v>0</v>
      </c>
      <c r="M20" s="1357">
        <f>SUMIFS(Sheet1!S71_OY2AdjustedBudget,Sheet1!S71_A4Code,$AC:$AC,Sheet1!S71_ProjectType,$AD:$AD)</f>
        <v>0</v>
      </c>
      <c r="N20" s="126"/>
      <c r="AC20" s="1353" t="s">
        <v>1816</v>
      </c>
      <c r="AD20" s="1336" t="s">
        <v>1881</v>
      </c>
    </row>
    <row r="21" spans="1:30" s="126" customFormat="1" ht="25.5" x14ac:dyDescent="0.25">
      <c r="A21" s="1257" t="s">
        <v>1707</v>
      </c>
      <c r="B21" s="835"/>
      <c r="C21" s="129">
        <f>'SB5'!E262</f>
        <v>0</v>
      </c>
      <c r="D21" s="129">
        <f>'SB5'!F262</f>
        <v>0</v>
      </c>
      <c r="E21" s="129">
        <f>'SB5'!G262</f>
        <v>0</v>
      </c>
      <c r="F21" s="129">
        <f>'SB5'!H262</f>
        <v>0</v>
      </c>
      <c r="G21" s="129">
        <f>'SB5'!I262</f>
        <v>0</v>
      </c>
      <c r="H21" s="129">
        <f>'SB5'!J262</f>
        <v>0</v>
      </c>
      <c r="I21" s="129">
        <f>'SB5'!K262</f>
        <v>0</v>
      </c>
      <c r="J21" s="130">
        <f>SUM(E21:I21)</f>
        <v>0</v>
      </c>
      <c r="K21" s="130">
        <f>IF(D21=0,C21+J21,D21+J21)</f>
        <v>0</v>
      </c>
      <c r="L21" s="130">
        <f>'SB5'!N262</f>
        <v>0</v>
      </c>
      <c r="M21" s="131">
        <f>'SB5'!O262</f>
        <v>0</v>
      </c>
      <c r="AC21" s="1353" t="s">
        <v>1816</v>
      </c>
      <c r="AD21" s="1336" t="s">
        <v>1881</v>
      </c>
    </row>
    <row r="22" spans="1:30" ht="12.75" customHeight="1" x14ac:dyDescent="0.25">
      <c r="A22" s="1258" t="s">
        <v>1149</v>
      </c>
      <c r="B22" s="286"/>
      <c r="C22" s="1268">
        <f>C19-C20-C21</f>
        <v>0</v>
      </c>
      <c r="D22" s="1268">
        <f t="shared" ref="D22:M22" si="2">D19-D20-D21</f>
        <v>0</v>
      </c>
      <c r="E22" s="1268">
        <f t="shared" si="2"/>
        <v>0</v>
      </c>
      <c r="F22" s="1268">
        <f t="shared" si="2"/>
        <v>0</v>
      </c>
      <c r="G22" s="1268">
        <f t="shared" si="2"/>
        <v>0</v>
      </c>
      <c r="H22" s="1268">
        <f t="shared" si="2"/>
        <v>0</v>
      </c>
      <c r="I22" s="1268">
        <f t="shared" si="2"/>
        <v>0</v>
      </c>
      <c r="J22" s="1268">
        <f>J19-J20-J21</f>
        <v>0</v>
      </c>
      <c r="K22" s="1268">
        <f t="shared" si="2"/>
        <v>0</v>
      </c>
      <c r="L22" s="1268">
        <f t="shared" si="2"/>
        <v>0</v>
      </c>
      <c r="M22" s="709">
        <f t="shared" si="2"/>
        <v>0</v>
      </c>
      <c r="N22" s="126"/>
      <c r="AC22" s="1339"/>
    </row>
    <row r="23" spans="1:30" ht="3.75" customHeight="1" x14ac:dyDescent="0.25">
      <c r="A23" s="163"/>
      <c r="B23" s="286"/>
      <c r="C23" s="74"/>
      <c r="D23" s="75"/>
      <c r="E23" s="75"/>
      <c r="F23" s="75"/>
      <c r="G23" s="75"/>
      <c r="H23" s="75"/>
      <c r="I23" s="75"/>
      <c r="J23" s="169"/>
      <c r="K23" s="169"/>
      <c r="L23" s="75"/>
      <c r="M23" s="76"/>
      <c r="N23" s="126"/>
      <c r="AC23" s="1339"/>
    </row>
    <row r="24" spans="1:30" ht="12.75" customHeight="1" x14ac:dyDescent="0.25">
      <c r="A24" s="287" t="s">
        <v>643</v>
      </c>
      <c r="B24" s="286"/>
      <c r="C24" s="74"/>
      <c r="D24" s="75"/>
      <c r="E24" s="75"/>
      <c r="F24" s="75"/>
      <c r="G24" s="75"/>
      <c r="H24" s="75"/>
      <c r="I24" s="75"/>
      <c r="J24" s="169"/>
      <c r="K24" s="169"/>
      <c r="L24" s="75"/>
      <c r="M24" s="76"/>
      <c r="N24" s="126"/>
      <c r="AC24" s="1339"/>
    </row>
    <row r="25" spans="1:30" x14ac:dyDescent="0.25">
      <c r="A25" s="55" t="s">
        <v>1150</v>
      </c>
      <c r="B25" s="286"/>
      <c r="C25" s="1355">
        <f>-SUMIFS(Sheet1!S71_OriginalBudget,Sheet1!S71_A4Code,$AC:$AC,Sheet1!S71_ProjectType,$AD:$AD)</f>
        <v>0</v>
      </c>
      <c r="D25" s="1356">
        <f>-SUMIFS(Sheet1!S71_SpecialAdjustedBudget,Sheet1!S71_A4Code,$AC:$AC,Sheet1!S71_ProjectType,$AD:$AD)</f>
        <v>0</v>
      </c>
      <c r="E25" s="1356"/>
      <c r="F25" s="1356"/>
      <c r="G25" s="1356"/>
      <c r="H25" s="1356"/>
      <c r="I25" s="1356">
        <f>SUMIFS(Sheet1!S71_AdjustmentAmount,Sheet1!S71_A4Code,$AC:$AC,Sheet1!S71_ProjectType,$AD:$AD)</f>
        <v>0</v>
      </c>
      <c r="J25" s="130">
        <f>SUM(E25:I25)</f>
        <v>0</v>
      </c>
      <c r="K25" s="130">
        <f>IF(D25=0,C25+J25,D25+J25)</f>
        <v>0</v>
      </c>
      <c r="L25" s="1356">
        <f>-SUMIFS(Sheet1!S71_OY1AdjustedBudget,Sheet1!S71_A4Code,$AC:$AC,Sheet1!S71_ProjectType,$AD:$AD)</f>
        <v>0</v>
      </c>
      <c r="M25" s="1357">
        <f>-SUMIFS(Sheet1!S71_OY2AdjustedBudget,Sheet1!S71_A4Code,$AC:$AC,Sheet1!S71_ProjectType,$AD:$AD)</f>
        <v>0</v>
      </c>
      <c r="N25" s="126"/>
      <c r="AC25" s="1353" t="s">
        <v>1817</v>
      </c>
      <c r="AD25" s="1336" t="s">
        <v>553</v>
      </c>
    </row>
    <row r="26" spans="1:30" ht="25.5" x14ac:dyDescent="0.25">
      <c r="A26" s="1257" t="s">
        <v>1708</v>
      </c>
      <c r="B26" s="286"/>
      <c r="C26" s="1355">
        <f>SUMIFS(Sheet1!S71_OriginalBudget,Sheet1!S71_A4Code,$AC:$AC,Sheet1!S71_ProjectType,$AD:$AD)</f>
        <v>0</v>
      </c>
      <c r="D26" s="1356">
        <f>SUMIFS(Sheet1!S71_SpecialAdjustedBudget,Sheet1!S71_A4Code,$AC:$AC,Sheet1!S71_ProjectType,$AD:$AD)</f>
        <v>0</v>
      </c>
      <c r="E26" s="1356"/>
      <c r="F26" s="1356"/>
      <c r="G26" s="1356"/>
      <c r="H26" s="1356"/>
      <c r="I26" s="1356">
        <f>SUMIFS(Sheet1!S71_AdjustmentAmount,Sheet1!S71_A4Code,$AC:$AC,Sheet1!S71_ProjectType,$AD:$AD)</f>
        <v>0</v>
      </c>
      <c r="J26" s="130">
        <f>SUM(E26:I26)</f>
        <v>0</v>
      </c>
      <c r="K26" s="130">
        <f>IF(D26=0,C26+J26,D26+J26)</f>
        <v>0</v>
      </c>
      <c r="L26" s="1356">
        <f>-SUMIFS(Sheet1!S71_OY1AdjustedBudget,Sheet1!S71_A4Code,$AC:$AC,Sheet1!S71_ProjectType,$AD:$AD)</f>
        <v>0</v>
      </c>
      <c r="M26" s="1357">
        <f>-SUMIFS(Sheet1!S71_OY2AdjustedBudget,Sheet1!S71_A4Code,$AC:$AC,Sheet1!S71_ProjectType,$AD:$AD)</f>
        <v>0</v>
      </c>
      <c r="N26" s="126"/>
      <c r="AC26" s="1353" t="s">
        <v>1817</v>
      </c>
      <c r="AD26" s="1336" t="s">
        <v>1881</v>
      </c>
    </row>
    <row r="27" spans="1:30" s="126" customFormat="1" ht="25.5" x14ac:dyDescent="0.25">
      <c r="A27" s="1259" t="s">
        <v>1709</v>
      </c>
      <c r="B27" s="835"/>
      <c r="C27" s="129">
        <f>'SB5'!E274</f>
        <v>0</v>
      </c>
      <c r="D27" s="129">
        <f>'SB5'!F274</f>
        <v>0</v>
      </c>
      <c r="E27" s="129">
        <f>'SB5'!G274</f>
        <v>0</v>
      </c>
      <c r="F27" s="129">
        <f>'SB5'!H274</f>
        <v>0</v>
      </c>
      <c r="G27" s="129">
        <f>'SB5'!I274</f>
        <v>0</v>
      </c>
      <c r="H27" s="129">
        <f>'SB5'!J274</f>
        <v>0</v>
      </c>
      <c r="I27" s="129">
        <f>'SB5'!K274</f>
        <v>0</v>
      </c>
      <c r="J27" s="130">
        <f>SUM(E27:I27)</f>
        <v>0</v>
      </c>
      <c r="K27" s="130">
        <f>IF(D27=0,C27+J27,D27+J27)</f>
        <v>0</v>
      </c>
      <c r="L27" s="130">
        <f>'SB5'!N274</f>
        <v>0</v>
      </c>
      <c r="M27" s="131">
        <f>'SB5'!O274</f>
        <v>0</v>
      </c>
      <c r="AC27" s="1353" t="s">
        <v>1817</v>
      </c>
      <c r="AD27" s="1336" t="s">
        <v>1881</v>
      </c>
    </row>
    <row r="28" spans="1:30" ht="12.75" customHeight="1" x14ac:dyDescent="0.25">
      <c r="A28" s="163" t="s">
        <v>1151</v>
      </c>
      <c r="B28" s="286"/>
      <c r="C28" s="1268">
        <f>C25-C26-C27</f>
        <v>0</v>
      </c>
      <c r="D28" s="707">
        <f t="shared" ref="D28:M28" si="3">D25-D26-D27</f>
        <v>0</v>
      </c>
      <c r="E28" s="707">
        <f t="shared" si="3"/>
        <v>0</v>
      </c>
      <c r="F28" s="707">
        <f t="shared" si="3"/>
        <v>0</v>
      </c>
      <c r="G28" s="707">
        <f t="shared" si="3"/>
        <v>0</v>
      </c>
      <c r="H28" s="707">
        <f t="shared" si="3"/>
        <v>0</v>
      </c>
      <c r="I28" s="707">
        <f t="shared" si="3"/>
        <v>0</v>
      </c>
      <c r="J28" s="707">
        <f t="shared" si="3"/>
        <v>0</v>
      </c>
      <c r="K28" s="707">
        <f t="shared" si="3"/>
        <v>0</v>
      </c>
      <c r="L28" s="707">
        <f t="shared" si="3"/>
        <v>0</v>
      </c>
      <c r="M28" s="709">
        <f t="shared" si="3"/>
        <v>0</v>
      </c>
      <c r="N28" s="126"/>
      <c r="AC28" s="1339"/>
    </row>
    <row r="29" spans="1:30" ht="4.5" customHeight="1" x14ac:dyDescent="0.25">
      <c r="A29" s="163"/>
      <c r="B29" s="286"/>
      <c r="C29" s="74" t="s">
        <v>1271</v>
      </c>
      <c r="D29" s="75"/>
      <c r="E29" s="75"/>
      <c r="F29" s="75"/>
      <c r="G29" s="75"/>
      <c r="H29" s="75"/>
      <c r="I29" s="75"/>
      <c r="J29" s="169"/>
      <c r="K29" s="169"/>
      <c r="L29" s="75"/>
      <c r="M29" s="76"/>
      <c r="N29" s="126"/>
      <c r="AC29" s="1339"/>
    </row>
    <row r="30" spans="1:30" ht="12.75" customHeight="1" x14ac:dyDescent="0.25">
      <c r="A30" s="52" t="s">
        <v>1152</v>
      </c>
      <c r="B30" s="286"/>
      <c r="C30" s="74"/>
      <c r="D30" s="75"/>
      <c r="E30" s="75"/>
      <c r="F30" s="75"/>
      <c r="G30" s="75"/>
      <c r="H30" s="75"/>
      <c r="I30" s="75"/>
      <c r="J30" s="169"/>
      <c r="K30" s="169"/>
      <c r="L30" s="75"/>
      <c r="M30" s="76"/>
      <c r="N30" s="126"/>
      <c r="AC30" s="1339"/>
    </row>
    <row r="31" spans="1:30" ht="12.75" customHeight="1" x14ac:dyDescent="0.25">
      <c r="A31" s="1256" t="s">
        <v>731</v>
      </c>
      <c r="B31" s="286"/>
      <c r="C31" s="1355">
        <f>-SUMIFS(Sheet1!S71_OriginalBudget,Sheet1!S71_A4Code,$AC:$AC,Sheet1!S71_ProjectType,$AD:$AD)</f>
        <v>574287</v>
      </c>
      <c r="D31" s="1356">
        <f>-SUMIFS(Sheet1!S71_SpecialAdjustedBudget,Sheet1!S71_A4Code,$AC:$AC,Sheet1!S71_ProjectType,$AD:$AD)</f>
        <v>574287</v>
      </c>
      <c r="E31" s="1356"/>
      <c r="F31" s="1356"/>
      <c r="G31" s="1356"/>
      <c r="H31" s="1356"/>
      <c r="I31" s="1356">
        <f>SUMIFS(Sheet1!S71_AdjustmentAmount,Sheet1!S71_A4Code,$AC:$AC,Sheet1!S71_ProjectType,$AD:$AD)</f>
        <v>0</v>
      </c>
      <c r="J31" s="130">
        <f>SUM(E31:I31)</f>
        <v>0</v>
      </c>
      <c r="K31" s="130">
        <f>IF(D31=0,C31+J31,D31+J31)</f>
        <v>574287</v>
      </c>
      <c r="L31" s="1356">
        <f>-SUMIFS(Sheet1!S71_OY1AdjustedBudget,Sheet1!S71_A4Code,$AC:$AC,Sheet1!S71_ProjectType,$AD:$AD)</f>
        <v>608744</v>
      </c>
      <c r="M31" s="1357">
        <f>-SUMIFS(Sheet1!S71_OY2AdjustedBudget,Sheet1!S71_A4Code,$AC:$AC,Sheet1!S71_ProjectType,$AD:$AD)</f>
        <v>645269</v>
      </c>
      <c r="N31" s="126"/>
      <c r="AC31" s="1353" t="s">
        <v>1818</v>
      </c>
      <c r="AD31" s="1336" t="s">
        <v>553</v>
      </c>
    </row>
    <row r="32" spans="1:30" ht="12" customHeight="1" x14ac:dyDescent="0.25">
      <c r="A32" s="1256" t="s">
        <v>732</v>
      </c>
      <c r="B32" s="286"/>
      <c r="C32" s="1355">
        <f>-SUMIFS(Sheet1!S71_OriginalBudget,Sheet1!S71_A4Code,$AC:$AC,Sheet1!S71_ProjectType,$AD:$AD)</f>
        <v>0</v>
      </c>
      <c r="D32" s="1356">
        <f>-SUMIFS(Sheet1!S71_SpecialAdjustedBudget,Sheet1!S71_A4Code,$AC:$AC,Sheet1!S71_ProjectType,$AD:$AD)</f>
        <v>0</v>
      </c>
      <c r="E32" s="1356"/>
      <c r="F32" s="1356"/>
      <c r="G32" s="1356"/>
      <c r="H32" s="1356"/>
      <c r="I32" s="1356">
        <f>SUMIFS(Sheet1!S71_AdjustmentAmount,Sheet1!S71_A4Code,$AC:$AC,Sheet1!S71_ProjectType,$AD:$AD)</f>
        <v>0</v>
      </c>
      <c r="J32" s="130">
        <f>SUM(E32:I32)</f>
        <v>0</v>
      </c>
      <c r="K32" s="130">
        <f>IF(D32=0,C32+J32,D32+J32)</f>
        <v>0</v>
      </c>
      <c r="L32" s="1356">
        <f>-SUMIFS(Sheet1!S71_OY1AdjustedBudget,Sheet1!S71_A4Code,$AC:$AC,Sheet1!S71_ProjectType,$AD:$AD)</f>
        <v>0</v>
      </c>
      <c r="M32" s="1357">
        <f>-SUMIFS(Sheet1!S71_OY2AdjustedBudget,Sheet1!S71_A4Code,$AC:$AC,Sheet1!S71_ProjectType,$AD:$AD)</f>
        <v>0</v>
      </c>
      <c r="N32" s="126"/>
      <c r="AC32" s="1353" t="s">
        <v>1818</v>
      </c>
      <c r="AD32" s="1336" t="s">
        <v>2229</v>
      </c>
    </row>
    <row r="33" spans="1:30" ht="25.5" x14ac:dyDescent="0.25">
      <c r="A33" s="1257" t="s">
        <v>1710</v>
      </c>
      <c r="B33" s="286"/>
      <c r="C33" s="1355">
        <f>SUMIFS(Sheet1!S71_OriginalBudget,Sheet1!S71_A4Code,$AC:$AC,Sheet1!S71_ProjectType,$AD:$AD)</f>
        <v>0</v>
      </c>
      <c r="D33" s="1356">
        <f>SUMIFS(Sheet1!S71_SpecialAdjustedBudget,Sheet1!S71_A4Code,$AC:$AC,Sheet1!S71_ProjectType,$AD:$AD)</f>
        <v>0</v>
      </c>
      <c r="E33" s="1356"/>
      <c r="F33" s="1356"/>
      <c r="G33" s="1356"/>
      <c r="H33" s="1356"/>
      <c r="I33" s="1356">
        <f>SUMIFS(Sheet1!S71_AdjustmentAmount,Sheet1!S71_A4Code,$AC:$AC,Sheet1!S71_ProjectType,$AD:$AD)</f>
        <v>0</v>
      </c>
      <c r="J33" s="130">
        <f>SUM(E33:I33)</f>
        <v>0</v>
      </c>
      <c r="K33" s="130">
        <f>IF(D33=0,C33+J33,D33+J33)</f>
        <v>0</v>
      </c>
      <c r="L33" s="1356">
        <f>-SUMIFS(Sheet1!S71_OY1AdjustedBudget,Sheet1!S71_A4Code,$AC:$AC,Sheet1!S71_ProjectType,$AD:$AD)</f>
        <v>0</v>
      </c>
      <c r="M33" s="1357">
        <f>-SUMIFS(Sheet1!S71_OY2AdjustedBudget,Sheet1!S71_A4Code,$AC:$AC,Sheet1!S71_ProjectType,$AD:$AD)</f>
        <v>0</v>
      </c>
      <c r="N33" s="126"/>
      <c r="AC33" s="1353" t="s">
        <v>1818</v>
      </c>
      <c r="AD33" s="1336" t="s">
        <v>1881</v>
      </c>
    </row>
    <row r="34" spans="1:30" ht="25.5" x14ac:dyDescent="0.25">
      <c r="A34" s="1259" t="s">
        <v>1711</v>
      </c>
      <c r="B34" s="286"/>
      <c r="C34" s="129">
        <f>'SB5'!E286</f>
        <v>0</v>
      </c>
      <c r="D34" s="129">
        <f>'SB5'!F286</f>
        <v>0</v>
      </c>
      <c r="E34" s="129">
        <f>'SB5'!G286</f>
        <v>0</v>
      </c>
      <c r="F34" s="129">
        <f>'SB5'!H286</f>
        <v>0</v>
      </c>
      <c r="G34" s="129">
        <f>'SB5'!I286</f>
        <v>0</v>
      </c>
      <c r="H34" s="129">
        <f>'SB5'!J286</f>
        <v>0</v>
      </c>
      <c r="I34" s="129">
        <f>'SB5'!K286</f>
        <v>0</v>
      </c>
      <c r="J34" s="130">
        <f>SUM(E34:I34)</f>
        <v>0</v>
      </c>
      <c r="K34" s="130">
        <f>IF(D34=0,C34+J34,D34+J34)</f>
        <v>0</v>
      </c>
      <c r="L34" s="130">
        <f>'SB5'!N286</f>
        <v>0</v>
      </c>
      <c r="M34" s="131">
        <f>'SB5'!O286</f>
        <v>0</v>
      </c>
      <c r="N34" s="126"/>
      <c r="AC34" s="1353" t="s">
        <v>1818</v>
      </c>
      <c r="AD34" s="1336" t="s">
        <v>1881</v>
      </c>
    </row>
    <row r="35" spans="1:30" ht="12.75" customHeight="1" x14ac:dyDescent="0.25">
      <c r="A35" s="1258" t="s">
        <v>1153</v>
      </c>
      <c r="B35" s="286"/>
      <c r="C35" s="1268">
        <f>SUM(C31:C32)-SUM(C33:C34)</f>
        <v>574287</v>
      </c>
      <c r="D35" s="707">
        <f t="shared" ref="D35:M35" si="4">SUM(D31:D32)-SUM(D33:D34)</f>
        <v>574287</v>
      </c>
      <c r="E35" s="707">
        <f t="shared" si="4"/>
        <v>0</v>
      </c>
      <c r="F35" s="707">
        <f t="shared" si="4"/>
        <v>0</v>
      </c>
      <c r="G35" s="707">
        <f t="shared" si="4"/>
        <v>0</v>
      </c>
      <c r="H35" s="707">
        <f t="shared" si="4"/>
        <v>0</v>
      </c>
      <c r="I35" s="707">
        <f t="shared" si="4"/>
        <v>0</v>
      </c>
      <c r="J35" s="707">
        <f t="shared" si="4"/>
        <v>0</v>
      </c>
      <c r="K35" s="707">
        <f t="shared" si="4"/>
        <v>574287</v>
      </c>
      <c r="L35" s="707">
        <f t="shared" si="4"/>
        <v>608744</v>
      </c>
      <c r="M35" s="709">
        <f t="shared" si="4"/>
        <v>645269</v>
      </c>
      <c r="N35" s="126"/>
      <c r="AC35" s="1339"/>
    </row>
    <row r="36" spans="1:30" ht="5.25" customHeight="1" x14ac:dyDescent="0.25">
      <c r="A36" s="124"/>
      <c r="B36" s="286"/>
      <c r="C36" s="74"/>
      <c r="D36" s="75"/>
      <c r="E36" s="75"/>
      <c r="F36" s="75"/>
      <c r="G36" s="75"/>
      <c r="H36" s="75"/>
      <c r="I36" s="75"/>
      <c r="J36" s="75"/>
      <c r="K36" s="75"/>
      <c r="L36" s="75"/>
      <c r="M36" s="76"/>
      <c r="N36" s="126"/>
    </row>
    <row r="37" spans="1:30" ht="12.75" customHeight="1" x14ac:dyDescent="0.25">
      <c r="A37" s="52" t="s">
        <v>1154</v>
      </c>
      <c r="B37" s="286"/>
      <c r="C37" s="74"/>
      <c r="D37" s="75"/>
      <c r="E37" s="75"/>
      <c r="F37" s="75"/>
      <c r="G37" s="75"/>
      <c r="H37" s="75"/>
      <c r="I37" s="75"/>
      <c r="J37" s="75"/>
      <c r="K37" s="75"/>
      <c r="L37" s="75"/>
      <c r="M37" s="76"/>
      <c r="N37" s="126"/>
    </row>
    <row r="38" spans="1:30" ht="12.75" customHeight="1" x14ac:dyDescent="0.25">
      <c r="A38" s="1316" t="s">
        <v>2185</v>
      </c>
      <c r="B38" s="286"/>
      <c r="C38" s="1355">
        <f>-SUMIFS(Sheet1!S71_OriginalBudget,Sheet1!S71_A4SubCode,$AC:$AC)</f>
        <v>0</v>
      </c>
      <c r="D38" s="1356">
        <f>-SUMIFS(Sheet1!S71_SpecialAdjustedBudget,Sheet1!S71_A4SubCode,$AC:$AC)</f>
        <v>0</v>
      </c>
      <c r="E38" s="1356"/>
      <c r="F38" s="1356"/>
      <c r="G38" s="1356"/>
      <c r="H38" s="1356"/>
      <c r="I38" s="1356">
        <f>SUMIFS(Sheet1!S71_AdjustmentAmount,Sheet1!S71_A4SubCode,$AC:$AC)</f>
        <v>0</v>
      </c>
      <c r="J38" s="75">
        <f>SUM(E38:I38)</f>
        <v>0</v>
      </c>
      <c r="K38" s="506">
        <f>IF(D38=0,C38+J38,D38+J38)</f>
        <v>0</v>
      </c>
      <c r="L38" s="1356">
        <f>-SUMIFS(Sheet1!S71_OY1AdjustedBudget,Sheet1!S71_A4SubCode,$AC:$AC)</f>
        <v>0</v>
      </c>
      <c r="M38" s="1357">
        <f>-SUMIFS(Sheet1!S71_OY2AdjustedBudget,Sheet1!S71_A4SubCode,$AC:$AC)</f>
        <v>0</v>
      </c>
      <c r="N38" s="126"/>
      <c r="AC38" s="1336" t="s">
        <v>2203</v>
      </c>
    </row>
    <row r="39" spans="1:30" ht="12.75" customHeight="1" x14ac:dyDescent="0.25">
      <c r="A39" s="1316" t="s">
        <v>2188</v>
      </c>
      <c r="B39" s="286"/>
      <c r="C39" s="1355">
        <f>-SUMIFS(Sheet1!S71_OriginalBudget,Sheet1!S71_A4SubCode,$AC:$AC)</f>
        <v>0</v>
      </c>
      <c r="D39" s="1356">
        <f>-SUMIFS(Sheet1!S71_SpecialAdjustedBudget,Sheet1!S71_A4SubCode,$AC:$AC)</f>
        <v>0</v>
      </c>
      <c r="E39" s="1356"/>
      <c r="F39" s="1356"/>
      <c r="G39" s="1356"/>
      <c r="H39" s="1356"/>
      <c r="I39" s="1356">
        <f>SUMIFS(Sheet1!S71_AdjustmentAmount,Sheet1!S71_A4SubCode,$AC:$AC)</f>
        <v>0</v>
      </c>
      <c r="J39" s="75">
        <f t="shared" ref="J39:J56" si="5">SUM(E39:I39)</f>
        <v>0</v>
      </c>
      <c r="K39" s="506">
        <f t="shared" ref="K39:K56" si="6">IF(D39=0,C39+J39,D39+J39)</f>
        <v>0</v>
      </c>
      <c r="L39" s="1356">
        <f>-SUMIFS(Sheet1!S71_OY1AdjustedBudget,Sheet1!S71_A4SubCode,$AC:$AC)</f>
        <v>0</v>
      </c>
      <c r="M39" s="1357">
        <f>-SUMIFS(Sheet1!S71_OY2AdjustedBudget,Sheet1!S71_A4SubCode,$AC:$AC)</f>
        <v>0</v>
      </c>
      <c r="N39" s="126"/>
      <c r="AC39" s="1336" t="s">
        <v>2204</v>
      </c>
    </row>
    <row r="40" spans="1:30" ht="12.75" customHeight="1" x14ac:dyDescent="0.25">
      <c r="A40" s="1316" t="s">
        <v>2189</v>
      </c>
      <c r="B40" s="286"/>
      <c r="C40" s="1355">
        <f>-SUMIFS(Sheet1!S71_OriginalBudget,Sheet1!S71_A4SubCode,$AC:$AC)</f>
        <v>0</v>
      </c>
      <c r="D40" s="1356">
        <f>-SUMIFS(Sheet1!S71_SpecialAdjustedBudget,Sheet1!S71_A4SubCode,$AC:$AC)</f>
        <v>0</v>
      </c>
      <c r="E40" s="1356"/>
      <c r="F40" s="1356"/>
      <c r="G40" s="1356"/>
      <c r="H40" s="1356"/>
      <c r="I40" s="1356">
        <f>SUMIFS(Sheet1!S71_AdjustmentAmount,Sheet1!S71_A4SubCode,$AC:$AC)</f>
        <v>0</v>
      </c>
      <c r="J40" s="75">
        <f t="shared" si="5"/>
        <v>0</v>
      </c>
      <c r="K40" s="506">
        <f t="shared" si="6"/>
        <v>0</v>
      </c>
      <c r="L40" s="1356">
        <f>-SUMIFS(Sheet1!S71_OY1AdjustedBudget,Sheet1!S71_A4SubCode,$AC:$AC)</f>
        <v>0</v>
      </c>
      <c r="M40" s="1357">
        <f>-SUMIFS(Sheet1!S71_OY2AdjustedBudget,Sheet1!S71_A4SubCode,$AC:$AC)</f>
        <v>0</v>
      </c>
      <c r="N40" s="126"/>
      <c r="AC40" s="1336" t="s">
        <v>2205</v>
      </c>
    </row>
    <row r="41" spans="1:30" ht="12.75" customHeight="1" x14ac:dyDescent="0.25">
      <c r="A41" s="1316" t="s">
        <v>2190</v>
      </c>
      <c r="B41" s="286"/>
      <c r="C41" s="1355">
        <f>-SUMIFS(Sheet1!S71_OriginalBudget,Sheet1!S71_A4SubCode,$AC:$AC)</f>
        <v>0</v>
      </c>
      <c r="D41" s="1356">
        <f>-SUMIFS(Sheet1!S71_SpecialAdjustedBudget,Sheet1!S71_A4SubCode,$AC:$AC)</f>
        <v>0</v>
      </c>
      <c r="E41" s="1356"/>
      <c r="F41" s="1356"/>
      <c r="G41" s="1356"/>
      <c r="H41" s="1356"/>
      <c r="I41" s="1356">
        <f>SUMIFS(Sheet1!S71_AdjustmentAmount,Sheet1!S71_A4SubCode,$AC:$AC)</f>
        <v>0</v>
      </c>
      <c r="J41" s="75">
        <f t="shared" si="5"/>
        <v>0</v>
      </c>
      <c r="K41" s="506">
        <f t="shared" si="6"/>
        <v>0</v>
      </c>
      <c r="L41" s="1356">
        <f>-SUMIFS(Sheet1!S71_OY1AdjustedBudget,Sheet1!S71_A4SubCode,$AC:$AC)</f>
        <v>0</v>
      </c>
      <c r="M41" s="1357">
        <f>-SUMIFS(Sheet1!S71_OY2AdjustedBudget,Sheet1!S71_A4SubCode,$AC:$AC)</f>
        <v>0</v>
      </c>
      <c r="N41" s="126"/>
      <c r="AC41" s="1336" t="s">
        <v>2206</v>
      </c>
    </row>
    <row r="42" spans="1:30" ht="12.75" customHeight="1" x14ac:dyDescent="0.25">
      <c r="A42" s="1316" t="s">
        <v>2191</v>
      </c>
      <c r="B42" s="286"/>
      <c r="C42" s="1355">
        <f>-SUMIFS(Sheet1!S71_OriginalBudget,Sheet1!S71_A4SubCode,$AC:$AC)</f>
        <v>8596</v>
      </c>
      <c r="D42" s="1356">
        <f>-SUMIFS(Sheet1!S71_SpecialAdjustedBudget,Sheet1!S71_A4SubCode,$AC:$AC)</f>
        <v>8596</v>
      </c>
      <c r="E42" s="1356"/>
      <c r="F42" s="1356"/>
      <c r="G42" s="1356"/>
      <c r="H42" s="1356"/>
      <c r="I42" s="1356">
        <f>SUMIFS(Sheet1!S71_AdjustmentAmount,Sheet1!S71_A4SubCode,$AC:$AC)</f>
        <v>0</v>
      </c>
      <c r="J42" s="75">
        <f t="shared" si="5"/>
        <v>0</v>
      </c>
      <c r="K42" s="506">
        <f t="shared" si="6"/>
        <v>8596</v>
      </c>
      <c r="L42" s="1356">
        <f>-SUMIFS(Sheet1!S71_OY1AdjustedBudget,Sheet1!S71_A4SubCode,$AC:$AC)</f>
        <v>9111</v>
      </c>
      <c r="M42" s="1357">
        <f>-SUMIFS(Sheet1!S71_OY2AdjustedBudget,Sheet1!S71_A4SubCode,$AC:$AC)</f>
        <v>9658</v>
      </c>
      <c r="N42" s="126"/>
      <c r="AC42" s="1336" t="s">
        <v>2207</v>
      </c>
    </row>
    <row r="43" spans="1:30" ht="12.75" customHeight="1" x14ac:dyDescent="0.25">
      <c r="A43" s="1316" t="s">
        <v>2192</v>
      </c>
      <c r="B43" s="286"/>
      <c r="C43" s="1355">
        <f>-SUMIFS(Sheet1!S71_OriginalBudget,Sheet1!S71_A4SubCode,$AC:$AC)</f>
        <v>0</v>
      </c>
      <c r="D43" s="1356">
        <f>-SUMIFS(Sheet1!S71_SpecialAdjustedBudget,Sheet1!S71_A4SubCode,$AC:$AC)</f>
        <v>0</v>
      </c>
      <c r="E43" s="1356"/>
      <c r="F43" s="1356"/>
      <c r="G43" s="1356"/>
      <c r="H43" s="1356"/>
      <c r="I43" s="1356">
        <f>SUMIFS(Sheet1!S71_AdjustmentAmount,Sheet1!S71_A4SubCode,$AC:$AC)</f>
        <v>0</v>
      </c>
      <c r="J43" s="75">
        <f t="shared" si="5"/>
        <v>0</v>
      </c>
      <c r="K43" s="506">
        <f t="shared" si="6"/>
        <v>0</v>
      </c>
      <c r="L43" s="1356">
        <f>-SUMIFS(Sheet1!S71_OY1AdjustedBudget,Sheet1!S71_A4SubCode,$AC:$AC)</f>
        <v>0</v>
      </c>
      <c r="M43" s="1357">
        <f>-SUMIFS(Sheet1!S71_OY2AdjustedBudget,Sheet1!S71_A4SubCode,$AC:$AC)</f>
        <v>0</v>
      </c>
      <c r="N43" s="126"/>
      <c r="AC43" s="1336" t="s">
        <v>2208</v>
      </c>
    </row>
    <row r="44" spans="1:30" ht="12.75" customHeight="1" x14ac:dyDescent="0.25">
      <c r="A44" s="1316" t="s">
        <v>2193</v>
      </c>
      <c r="B44" s="286"/>
      <c r="C44" s="1355">
        <f>-SUMIFS(Sheet1!S71_OriginalBudget,Sheet1!S71_A4SubCode,$AC:$AC)</f>
        <v>0</v>
      </c>
      <c r="D44" s="1356">
        <f>-SUMIFS(Sheet1!S71_SpecialAdjustedBudget,Sheet1!S71_A4SubCode,$AC:$AC)</f>
        <v>0</v>
      </c>
      <c r="E44" s="1356"/>
      <c r="F44" s="1356"/>
      <c r="G44" s="1356"/>
      <c r="H44" s="1356"/>
      <c r="I44" s="1356">
        <f>SUMIFS(Sheet1!S71_AdjustmentAmount,Sheet1!S71_A4SubCode,$AC:$AC)</f>
        <v>0</v>
      </c>
      <c r="J44" s="75">
        <f t="shared" si="5"/>
        <v>0</v>
      </c>
      <c r="K44" s="506">
        <f t="shared" si="6"/>
        <v>0</v>
      </c>
      <c r="L44" s="1356">
        <f>-SUMIFS(Sheet1!S71_OY1AdjustedBudget,Sheet1!S71_A4SubCode,$AC:$AC)</f>
        <v>0</v>
      </c>
      <c r="M44" s="1357">
        <f>-SUMIFS(Sheet1!S71_OY2AdjustedBudget,Sheet1!S71_A4SubCode,$AC:$AC)</f>
        <v>0</v>
      </c>
      <c r="N44" s="126"/>
      <c r="AC44" s="1336" t="s">
        <v>2209</v>
      </c>
    </row>
    <row r="45" spans="1:30" ht="12.75" customHeight="1" x14ac:dyDescent="0.25">
      <c r="A45" s="1316" t="s">
        <v>2194</v>
      </c>
      <c r="B45" s="286"/>
      <c r="C45" s="1355">
        <f>-SUMIFS(Sheet1!S71_OriginalBudget,Sheet1!S71_A4SubCode,$AC:$AC)</f>
        <v>0</v>
      </c>
      <c r="D45" s="1356">
        <f>-SUMIFS(Sheet1!S71_SpecialAdjustedBudget,Sheet1!S71_A4SubCode,$AC:$AC)</f>
        <v>0</v>
      </c>
      <c r="E45" s="1356"/>
      <c r="F45" s="1356"/>
      <c r="G45" s="1356"/>
      <c r="H45" s="1356"/>
      <c r="I45" s="1356">
        <f>SUMIFS(Sheet1!S71_AdjustmentAmount,Sheet1!S71_A4SubCode,$AC:$AC)</f>
        <v>0</v>
      </c>
      <c r="J45" s="75">
        <f t="shared" si="5"/>
        <v>0</v>
      </c>
      <c r="K45" s="506">
        <f t="shared" si="6"/>
        <v>0</v>
      </c>
      <c r="L45" s="1356">
        <f>-SUMIFS(Sheet1!S71_OY1AdjustedBudget,Sheet1!S71_A4SubCode,$AC:$AC)</f>
        <v>0</v>
      </c>
      <c r="M45" s="1357">
        <f>-SUMIFS(Sheet1!S71_OY2AdjustedBudget,Sheet1!S71_A4SubCode,$AC:$AC)</f>
        <v>0</v>
      </c>
      <c r="N45" s="126"/>
      <c r="AC45" s="1336" t="s">
        <v>2210</v>
      </c>
    </row>
    <row r="46" spans="1:30" ht="12.75" customHeight="1" x14ac:dyDescent="0.25">
      <c r="A46" s="1316" t="s">
        <v>2195</v>
      </c>
      <c r="B46" s="286"/>
      <c r="C46" s="1355">
        <f>-SUMIFS(Sheet1!S71_OriginalBudget,Sheet1!S71_A4SubCode,$AC:$AC)</f>
        <v>0</v>
      </c>
      <c r="D46" s="1356">
        <f>-SUMIFS(Sheet1!S71_SpecialAdjustedBudget,Sheet1!S71_A4SubCode,$AC:$AC)</f>
        <v>0</v>
      </c>
      <c r="E46" s="1356"/>
      <c r="F46" s="1356"/>
      <c r="G46" s="1356"/>
      <c r="H46" s="1356"/>
      <c r="I46" s="1356">
        <f>SUMIFS(Sheet1!S71_AdjustmentAmount,Sheet1!S71_A4SubCode,$AC:$AC)</f>
        <v>0</v>
      </c>
      <c r="J46" s="75">
        <f t="shared" si="5"/>
        <v>0</v>
      </c>
      <c r="K46" s="506">
        <f t="shared" si="6"/>
        <v>0</v>
      </c>
      <c r="L46" s="1356">
        <f>-SUMIFS(Sheet1!S71_OY1AdjustedBudget,Sheet1!S71_A4SubCode,$AC:$AC)</f>
        <v>0</v>
      </c>
      <c r="M46" s="1357">
        <f>-SUMIFS(Sheet1!S71_OY2AdjustedBudget,Sheet1!S71_A4SubCode,$AC:$AC)</f>
        <v>0</v>
      </c>
      <c r="N46" s="126"/>
      <c r="AC46" s="1336" t="s">
        <v>2211</v>
      </c>
    </row>
    <row r="47" spans="1:30" ht="12.75" customHeight="1" x14ac:dyDescent="0.25">
      <c r="A47" s="1316" t="s">
        <v>2196</v>
      </c>
      <c r="B47" s="286"/>
      <c r="C47" s="1355">
        <f>-SUMIFS(Sheet1!S71_OriginalBudget,Sheet1!S71_A4SubCode,$AC:$AC)</f>
        <v>0</v>
      </c>
      <c r="D47" s="1356">
        <f>-SUMIFS(Sheet1!S71_SpecialAdjustedBudget,Sheet1!S71_A4SubCode,$AC:$AC)</f>
        <v>0</v>
      </c>
      <c r="E47" s="1356"/>
      <c r="F47" s="1356"/>
      <c r="G47" s="1356"/>
      <c r="H47" s="1356"/>
      <c r="I47" s="1356">
        <f>SUMIFS(Sheet1!S71_AdjustmentAmount,Sheet1!S71_A4SubCode,$AC:$AC)</f>
        <v>0</v>
      </c>
      <c r="J47" s="75">
        <f t="shared" si="5"/>
        <v>0</v>
      </c>
      <c r="K47" s="506">
        <f t="shared" si="6"/>
        <v>0</v>
      </c>
      <c r="L47" s="1356">
        <f>-SUMIFS(Sheet1!S71_OY1AdjustedBudget,Sheet1!S71_A4SubCode,$AC:$AC)</f>
        <v>0</v>
      </c>
      <c r="M47" s="1357">
        <f>-SUMIFS(Sheet1!S71_OY2AdjustedBudget,Sheet1!S71_A4SubCode,$AC:$AC)</f>
        <v>0</v>
      </c>
      <c r="N47" s="126"/>
      <c r="AC47" s="1336" t="s">
        <v>2212</v>
      </c>
    </row>
    <row r="48" spans="1:30" ht="12.75" customHeight="1" x14ac:dyDescent="0.25">
      <c r="A48" s="1316" t="s">
        <v>2197</v>
      </c>
      <c r="B48" s="286"/>
      <c r="C48" s="1355">
        <f>-SUMIFS(Sheet1!S71_OriginalBudget,Sheet1!S71_A4SubCode,$AC:$AC)</f>
        <v>0</v>
      </c>
      <c r="D48" s="1356">
        <f>-SUMIFS(Sheet1!S71_SpecialAdjustedBudget,Sheet1!S71_A4SubCode,$AC:$AC)</f>
        <v>0</v>
      </c>
      <c r="E48" s="1356"/>
      <c r="F48" s="1356"/>
      <c r="G48" s="1356"/>
      <c r="H48" s="1356"/>
      <c r="I48" s="1356">
        <f>SUMIFS(Sheet1!S71_AdjustmentAmount,Sheet1!S71_A4SubCode,$AC:$AC)</f>
        <v>0</v>
      </c>
      <c r="J48" s="75">
        <f t="shared" si="5"/>
        <v>0</v>
      </c>
      <c r="K48" s="506">
        <f t="shared" si="6"/>
        <v>0</v>
      </c>
      <c r="L48" s="1356">
        <f>-SUMIFS(Sheet1!S71_OY1AdjustedBudget,Sheet1!S71_A4SubCode,$AC:$AC)</f>
        <v>0</v>
      </c>
      <c r="M48" s="1357">
        <f>-SUMIFS(Sheet1!S71_OY2AdjustedBudget,Sheet1!S71_A4SubCode,$AC:$AC)</f>
        <v>0</v>
      </c>
      <c r="N48" s="126"/>
      <c r="AC48" s="1336" t="s">
        <v>2213</v>
      </c>
    </row>
    <row r="49" spans="1:29" ht="12.75" customHeight="1" x14ac:dyDescent="0.25">
      <c r="A49" s="1316" t="s">
        <v>2187</v>
      </c>
      <c r="B49" s="286"/>
      <c r="C49" s="1355">
        <f>-SUMIFS(Sheet1!S71_OriginalBudget,Sheet1!S71_A4SubCode,$AC:$AC)</f>
        <v>0</v>
      </c>
      <c r="D49" s="1356">
        <f>-SUMIFS(Sheet1!S71_SpecialAdjustedBudget,Sheet1!S71_A4SubCode,$AC:$AC)</f>
        <v>0</v>
      </c>
      <c r="E49" s="1356"/>
      <c r="F49" s="1356"/>
      <c r="G49" s="1356"/>
      <c r="H49" s="1356"/>
      <c r="I49" s="1356">
        <f>SUMIFS(Sheet1!S71_AdjustmentAmount,Sheet1!S71_A4SubCode,$AC:$AC)</f>
        <v>0</v>
      </c>
      <c r="J49" s="75">
        <f t="shared" si="5"/>
        <v>0</v>
      </c>
      <c r="K49" s="506">
        <f t="shared" si="6"/>
        <v>0</v>
      </c>
      <c r="L49" s="1356">
        <f>-SUMIFS(Sheet1!S71_OY1AdjustedBudget,Sheet1!S71_A4SubCode,$AC:$AC)</f>
        <v>0</v>
      </c>
      <c r="M49" s="1357">
        <f>-SUMIFS(Sheet1!S71_OY2AdjustedBudget,Sheet1!S71_A4SubCode,$AC:$AC)</f>
        <v>0</v>
      </c>
      <c r="N49" s="126"/>
      <c r="AC49" s="1336" t="s">
        <v>2214</v>
      </c>
    </row>
    <row r="50" spans="1:29" ht="12.75" customHeight="1" x14ac:dyDescent="0.25">
      <c r="A50" s="1316" t="s">
        <v>2186</v>
      </c>
      <c r="B50" s="286"/>
      <c r="C50" s="1355">
        <f>-SUMIFS(Sheet1!S71_OriginalBudget,Sheet1!S71_A4SubCode,$AC:$AC)</f>
        <v>0</v>
      </c>
      <c r="D50" s="1356">
        <f>-SUMIFS(Sheet1!S71_SpecialAdjustedBudget,Sheet1!S71_A4SubCode,$AC:$AC)</f>
        <v>0</v>
      </c>
      <c r="E50" s="1356"/>
      <c r="F50" s="1356"/>
      <c r="G50" s="1356"/>
      <c r="H50" s="1356"/>
      <c r="I50" s="1356">
        <f>SUMIFS(Sheet1!S71_AdjustmentAmount,Sheet1!S71_A4SubCode,$AC:$AC)</f>
        <v>0</v>
      </c>
      <c r="J50" s="75">
        <f t="shared" si="5"/>
        <v>0</v>
      </c>
      <c r="K50" s="506">
        <f t="shared" si="6"/>
        <v>0</v>
      </c>
      <c r="L50" s="1356">
        <f>-SUMIFS(Sheet1!S71_OY1AdjustedBudget,Sheet1!S71_A4SubCode,$AC:$AC)</f>
        <v>0</v>
      </c>
      <c r="M50" s="1357">
        <f>-SUMIFS(Sheet1!S71_OY2AdjustedBudget,Sheet1!S71_A4SubCode,$AC:$AC)</f>
        <v>0</v>
      </c>
      <c r="N50" s="126"/>
      <c r="AC50" s="1336" t="s">
        <v>2215</v>
      </c>
    </row>
    <row r="51" spans="1:29" ht="12.75" customHeight="1" x14ac:dyDescent="0.25">
      <c r="A51" s="1316" t="s">
        <v>2198</v>
      </c>
      <c r="B51" s="286"/>
      <c r="C51" s="1355">
        <f>-SUMIFS(Sheet1!S71_OriginalBudget,Sheet1!S71_A4SubCode,$AC:$AC)</f>
        <v>0</v>
      </c>
      <c r="D51" s="1356">
        <f>-SUMIFS(Sheet1!S71_SpecialAdjustedBudget,Sheet1!S71_A4SubCode,$AC:$AC)</f>
        <v>0</v>
      </c>
      <c r="E51" s="1356"/>
      <c r="F51" s="1356"/>
      <c r="G51" s="1356"/>
      <c r="H51" s="1356"/>
      <c r="I51" s="1356">
        <f>SUMIFS(Sheet1!S71_AdjustmentAmount,Sheet1!S71_A4SubCode,$AC:$AC)</f>
        <v>0</v>
      </c>
      <c r="J51" s="75">
        <f t="shared" si="5"/>
        <v>0</v>
      </c>
      <c r="K51" s="506">
        <f t="shared" si="6"/>
        <v>0</v>
      </c>
      <c r="L51" s="1356">
        <f>-SUMIFS(Sheet1!S71_OY1AdjustedBudget,Sheet1!S71_A4SubCode,$AC:$AC)</f>
        <v>0</v>
      </c>
      <c r="M51" s="1357">
        <f>-SUMIFS(Sheet1!S71_OY2AdjustedBudget,Sheet1!S71_A4SubCode,$AC:$AC)</f>
        <v>0</v>
      </c>
      <c r="N51" s="126"/>
      <c r="AC51" s="1336" t="s">
        <v>2216</v>
      </c>
    </row>
    <row r="52" spans="1:29" ht="12.75" customHeight="1" x14ac:dyDescent="0.25">
      <c r="A52" s="1316" t="s">
        <v>2199</v>
      </c>
      <c r="B52" s="286"/>
      <c r="C52" s="1355">
        <f>-SUMIFS(Sheet1!S71_OriginalBudget,Sheet1!S71_A4SubCode,$AC:$AC)</f>
        <v>0</v>
      </c>
      <c r="D52" s="1356">
        <f>-SUMIFS(Sheet1!S71_SpecialAdjustedBudget,Sheet1!S71_A4SubCode,$AC:$AC)</f>
        <v>0</v>
      </c>
      <c r="E52" s="1356"/>
      <c r="F52" s="1356"/>
      <c r="G52" s="1356"/>
      <c r="H52" s="1356"/>
      <c r="I52" s="1356">
        <f>SUMIFS(Sheet1!S71_AdjustmentAmount,Sheet1!S71_A4SubCode,$AC:$AC)</f>
        <v>0</v>
      </c>
      <c r="J52" s="75">
        <f t="shared" si="5"/>
        <v>0</v>
      </c>
      <c r="K52" s="506">
        <f t="shared" si="6"/>
        <v>0</v>
      </c>
      <c r="L52" s="1356">
        <f>-SUMIFS(Sheet1!S71_OY1AdjustedBudget,Sheet1!S71_A4SubCode,$AC:$AC)</f>
        <v>0</v>
      </c>
      <c r="M52" s="1357">
        <f>-SUMIFS(Sheet1!S71_OY2AdjustedBudget,Sheet1!S71_A4SubCode,$AC:$AC)</f>
        <v>0</v>
      </c>
      <c r="N52" s="126"/>
      <c r="AC52" s="1336" t="s">
        <v>2217</v>
      </c>
    </row>
    <row r="53" spans="1:29" ht="12.75" customHeight="1" x14ac:dyDescent="0.25">
      <c r="A53" s="1316" t="s">
        <v>2200</v>
      </c>
      <c r="B53" s="286"/>
      <c r="C53" s="1355">
        <f>-SUMIFS(Sheet1!S71_OriginalBudget,Sheet1!S71_A4SubCode,$AC:$AC)</f>
        <v>0</v>
      </c>
      <c r="D53" s="1356">
        <f>-SUMIFS(Sheet1!S71_SpecialAdjustedBudget,Sheet1!S71_A4SubCode,$AC:$AC)</f>
        <v>0</v>
      </c>
      <c r="E53" s="1356"/>
      <c r="F53" s="1356"/>
      <c r="G53" s="1356"/>
      <c r="H53" s="1356"/>
      <c r="I53" s="1356">
        <f>SUMIFS(Sheet1!S71_AdjustmentAmount,Sheet1!S71_A4SubCode,$AC:$AC)</f>
        <v>0</v>
      </c>
      <c r="J53" s="75">
        <f t="shared" si="5"/>
        <v>0</v>
      </c>
      <c r="K53" s="506">
        <f t="shared" si="6"/>
        <v>0</v>
      </c>
      <c r="L53" s="1356">
        <f>-SUMIFS(Sheet1!S71_OY1AdjustedBudget,Sheet1!S71_A4SubCode,$AC:$AC)</f>
        <v>0</v>
      </c>
      <c r="M53" s="1357">
        <f>-SUMIFS(Sheet1!S71_OY2AdjustedBudget,Sheet1!S71_A4SubCode,$AC:$AC)</f>
        <v>0</v>
      </c>
      <c r="N53" s="126"/>
      <c r="AC53" s="1336" t="s">
        <v>2218</v>
      </c>
    </row>
    <row r="54" spans="1:29" ht="12.75" customHeight="1" x14ac:dyDescent="0.25">
      <c r="A54" s="1316" t="s">
        <v>2201</v>
      </c>
      <c r="B54" s="286"/>
      <c r="C54" s="1355">
        <f>-SUMIFS(Sheet1!S71_OriginalBudget,Sheet1!S71_A4SubCode,$AC:$AC)</f>
        <v>62000</v>
      </c>
      <c r="D54" s="1356">
        <f>-SUMIFS(Sheet1!S71_SpecialAdjustedBudget,Sheet1!S71_A4SubCode,$AC:$AC)</f>
        <v>62000</v>
      </c>
      <c r="E54" s="1356"/>
      <c r="F54" s="1356"/>
      <c r="G54" s="1356"/>
      <c r="H54" s="1356"/>
      <c r="I54" s="1356">
        <f>SUMIFS(Sheet1!S71_AdjustmentAmount,Sheet1!S71_A4SubCode,$AC:$AC)</f>
        <v>0</v>
      </c>
      <c r="J54" s="75">
        <f t="shared" si="5"/>
        <v>0</v>
      </c>
      <c r="K54" s="506">
        <f t="shared" si="6"/>
        <v>62000</v>
      </c>
      <c r="L54" s="1356">
        <f>-SUMIFS(Sheet1!S71_OY1AdjustedBudget,Sheet1!S71_A4SubCode,$AC:$AC)</f>
        <v>62000</v>
      </c>
      <c r="M54" s="1357">
        <f>-SUMIFS(Sheet1!S71_OY2AdjustedBudget,Sheet1!S71_A4SubCode,$AC:$AC)</f>
        <v>62000</v>
      </c>
      <c r="N54" s="126"/>
      <c r="AC54" s="1336" t="s">
        <v>2219</v>
      </c>
    </row>
    <row r="55" spans="1:29" ht="12.75" customHeight="1" x14ac:dyDescent="0.25">
      <c r="A55" s="1316" t="s">
        <v>2202</v>
      </c>
      <c r="B55" s="286"/>
      <c r="C55" s="1355">
        <f>-SUMIFS(Sheet1!S71_OriginalBudget,Sheet1!S71_A4SubCode,$AC:$AC)</f>
        <v>0</v>
      </c>
      <c r="D55" s="1356">
        <f>-SUMIFS(Sheet1!S71_SpecialAdjustedBudget,Sheet1!S71_A4SubCode,$AC:$AC)</f>
        <v>0</v>
      </c>
      <c r="E55" s="1356"/>
      <c r="F55" s="1356"/>
      <c r="G55" s="1356"/>
      <c r="H55" s="1356"/>
      <c r="I55" s="1356">
        <f>SUMIFS(Sheet1!S71_AdjustmentAmount,Sheet1!S71_A4SubCode,$AC:$AC)</f>
        <v>0</v>
      </c>
      <c r="J55" s="75">
        <f t="shared" si="5"/>
        <v>0</v>
      </c>
      <c r="K55" s="506">
        <f t="shared" si="6"/>
        <v>0</v>
      </c>
      <c r="L55" s="1356">
        <f>-SUMIFS(Sheet1!S71_OY1AdjustedBudget,Sheet1!S71_A4SubCode,$AC:$AC)</f>
        <v>0</v>
      </c>
      <c r="M55" s="1357">
        <f>-SUMIFS(Sheet1!S71_OY2AdjustedBudget,Sheet1!S71_A4SubCode,$AC:$AC)</f>
        <v>0</v>
      </c>
      <c r="N55" s="126"/>
      <c r="AC55" s="1336" t="s">
        <v>2220</v>
      </c>
    </row>
    <row r="56" spans="1:29" ht="12.75" customHeight="1" x14ac:dyDescent="0.25">
      <c r="A56" s="1316" t="s">
        <v>1799</v>
      </c>
      <c r="B56" s="286"/>
      <c r="C56" s="1355">
        <f>-SUMIFS(Sheet1!S71_OriginalBudget,Sheet1!S71_A4SubCode,$AC:$AC)</f>
        <v>1103638</v>
      </c>
      <c r="D56" s="1356">
        <f>-SUMIFS(Sheet1!S71_SpecialAdjustedBudget,Sheet1!S71_A4SubCode,$AC:$AC)</f>
        <v>1103638</v>
      </c>
      <c r="E56" s="1356"/>
      <c r="F56" s="1356"/>
      <c r="G56" s="1356"/>
      <c r="H56" s="1356"/>
      <c r="I56" s="1356">
        <f>SUMIFS(Sheet1!S71_AdjustmentAmount,Sheet1!S71_A4SubCode,$AC:$AC)</f>
        <v>1526211</v>
      </c>
      <c r="J56" s="75">
        <f t="shared" si="5"/>
        <v>1526211</v>
      </c>
      <c r="K56" s="506">
        <f t="shared" si="6"/>
        <v>2629849</v>
      </c>
      <c r="L56" s="1356">
        <f>-SUMIFS(Sheet1!S71_OY1AdjustedBudget,Sheet1!S71_A4SubCode,$AC:$AC)</f>
        <v>1159117</v>
      </c>
      <c r="M56" s="1357">
        <f>-SUMIFS(Sheet1!S71_OY2AdjustedBudget,Sheet1!S71_A4SubCode,$AC:$AC)</f>
        <v>1217388</v>
      </c>
      <c r="N56" s="126"/>
      <c r="AC56" s="1336" t="s">
        <v>1827</v>
      </c>
    </row>
    <row r="57" spans="1:29" ht="2.1" customHeight="1" x14ac:dyDescent="0.25">
      <c r="A57" s="1317"/>
      <c r="B57" s="286"/>
      <c r="C57" s="1318"/>
      <c r="D57" s="1319"/>
      <c r="E57" s="1319"/>
      <c r="F57" s="1319"/>
      <c r="G57" s="1319"/>
      <c r="H57" s="1319"/>
      <c r="I57" s="1319"/>
      <c r="J57" s="130"/>
      <c r="K57" s="1308"/>
      <c r="L57" s="1319"/>
      <c r="M57" s="1320"/>
      <c r="N57" s="126"/>
    </row>
    <row r="58" spans="1:29" ht="2.1" customHeight="1" x14ac:dyDescent="0.25">
      <c r="A58" s="748"/>
      <c r="B58" s="286"/>
      <c r="C58" s="1318"/>
      <c r="D58" s="1319"/>
      <c r="E58" s="1319"/>
      <c r="F58" s="1319"/>
      <c r="G58" s="1319"/>
      <c r="H58" s="1319"/>
      <c r="I58" s="1319"/>
      <c r="J58" s="130"/>
      <c r="K58" s="1308"/>
      <c r="L58" s="1319"/>
      <c r="M58" s="1320"/>
      <c r="N58" s="126"/>
    </row>
    <row r="59" spans="1:29" ht="2.1" customHeight="1" x14ac:dyDescent="0.25">
      <c r="A59" s="748"/>
      <c r="B59" s="286"/>
      <c r="C59" s="1318"/>
      <c r="D59" s="1319"/>
      <c r="E59" s="1319"/>
      <c r="F59" s="1319"/>
      <c r="G59" s="1319"/>
      <c r="H59" s="1319"/>
      <c r="I59" s="1319"/>
      <c r="J59" s="130"/>
      <c r="K59" s="1308"/>
      <c r="L59" s="1319"/>
      <c r="M59" s="1320"/>
      <c r="N59" s="126"/>
    </row>
    <row r="60" spans="1:29" ht="2.1" customHeight="1" x14ac:dyDescent="0.25">
      <c r="A60" s="748"/>
      <c r="B60" s="286"/>
      <c r="C60" s="1318"/>
      <c r="D60" s="1319"/>
      <c r="E60" s="1319"/>
      <c r="F60" s="1319"/>
      <c r="G60" s="1319"/>
      <c r="H60" s="1319"/>
      <c r="I60" s="1319"/>
      <c r="J60" s="130"/>
      <c r="K60" s="1308"/>
      <c r="L60" s="1319"/>
      <c r="M60" s="1320"/>
      <c r="N60" s="126"/>
    </row>
    <row r="61" spans="1:29" ht="2.25" customHeight="1" x14ac:dyDescent="0.25">
      <c r="A61" s="748"/>
      <c r="B61" s="286"/>
      <c r="C61" s="1318"/>
      <c r="D61" s="1319"/>
      <c r="E61" s="1319"/>
      <c r="F61" s="1319"/>
      <c r="G61" s="1319"/>
      <c r="H61" s="1319"/>
      <c r="I61" s="1319"/>
      <c r="J61" s="130"/>
      <c r="K61" s="1308"/>
      <c r="L61" s="1319"/>
      <c r="M61" s="1320"/>
      <c r="N61" s="126"/>
    </row>
    <row r="62" spans="1:29" ht="2.1" customHeight="1" x14ac:dyDescent="0.25">
      <c r="A62" s="748"/>
      <c r="B62" s="286"/>
      <c r="C62" s="1318"/>
      <c r="D62" s="1319"/>
      <c r="E62" s="1319"/>
      <c r="F62" s="1319"/>
      <c r="G62" s="1319"/>
      <c r="H62" s="1319"/>
      <c r="I62" s="1319"/>
      <c r="J62" s="130"/>
      <c r="K62" s="1308"/>
      <c r="L62" s="1319"/>
      <c r="M62" s="1320"/>
      <c r="N62" s="126"/>
    </row>
    <row r="63" spans="1:29" ht="2.1" customHeight="1" x14ac:dyDescent="0.25">
      <c r="A63" s="748"/>
      <c r="B63" s="286"/>
      <c r="C63" s="1318"/>
      <c r="D63" s="1319"/>
      <c r="E63" s="1319"/>
      <c r="F63" s="1319"/>
      <c r="G63" s="1319"/>
      <c r="H63" s="1319"/>
      <c r="I63" s="1319"/>
      <c r="J63" s="130"/>
      <c r="K63" s="1308"/>
      <c r="L63" s="1319"/>
      <c r="M63" s="1320"/>
      <c r="N63" s="126"/>
    </row>
    <row r="64" spans="1:29" ht="2.1" customHeight="1" x14ac:dyDescent="0.25">
      <c r="A64" s="748"/>
      <c r="B64" s="286"/>
      <c r="C64" s="1318"/>
      <c r="D64" s="1319"/>
      <c r="E64" s="1319"/>
      <c r="F64" s="1319"/>
      <c r="G64" s="1319"/>
      <c r="H64" s="1319"/>
      <c r="I64" s="1319"/>
      <c r="J64" s="130"/>
      <c r="K64" s="1308"/>
      <c r="L64" s="1319"/>
      <c r="M64" s="1320"/>
      <c r="N64" s="126"/>
    </row>
    <row r="65" spans="1:29" ht="2.1" customHeight="1" x14ac:dyDescent="0.25">
      <c r="A65" s="748"/>
      <c r="B65" s="286"/>
      <c r="C65" s="1318"/>
      <c r="D65" s="1319"/>
      <c r="E65" s="1319"/>
      <c r="F65" s="1319"/>
      <c r="G65" s="1319"/>
      <c r="H65" s="1319"/>
      <c r="I65" s="1319"/>
      <c r="J65" s="130"/>
      <c r="K65" s="1308"/>
      <c r="L65" s="1319"/>
      <c r="M65" s="1320"/>
      <c r="N65" s="126"/>
    </row>
    <row r="66" spans="1:29" ht="2.1" customHeight="1" x14ac:dyDescent="0.25">
      <c r="A66" s="748"/>
      <c r="B66" s="286"/>
      <c r="C66" s="1318"/>
      <c r="D66" s="1319"/>
      <c r="E66" s="1319"/>
      <c r="F66" s="1319"/>
      <c r="G66" s="1319"/>
      <c r="H66" s="1319"/>
      <c r="I66" s="1319"/>
      <c r="J66" s="130"/>
      <c r="K66" s="1308"/>
      <c r="L66" s="1319"/>
      <c r="M66" s="1320"/>
      <c r="N66" s="126"/>
    </row>
    <row r="67" spans="1:29" ht="12.75" customHeight="1" x14ac:dyDescent="0.25">
      <c r="A67" s="288" t="s">
        <v>1155</v>
      </c>
      <c r="B67" s="68">
        <v>1</v>
      </c>
      <c r="C67" s="235">
        <f t="shared" ref="C67:M67" si="7">SUM(C38:C56)</f>
        <v>1174234</v>
      </c>
      <c r="D67" s="235">
        <f t="shared" si="7"/>
        <v>1174234</v>
      </c>
      <c r="E67" s="235">
        <f t="shared" si="7"/>
        <v>0</v>
      </c>
      <c r="F67" s="235">
        <f t="shared" si="7"/>
        <v>0</v>
      </c>
      <c r="G67" s="235">
        <f t="shared" si="7"/>
        <v>0</v>
      </c>
      <c r="H67" s="235">
        <f t="shared" si="7"/>
        <v>0</v>
      </c>
      <c r="I67" s="235">
        <f t="shared" si="7"/>
        <v>1526211</v>
      </c>
      <c r="J67" s="235">
        <f t="shared" si="7"/>
        <v>1526211</v>
      </c>
      <c r="K67" s="235">
        <f t="shared" si="7"/>
        <v>2700445</v>
      </c>
      <c r="L67" s="235">
        <f t="shared" si="7"/>
        <v>1230228</v>
      </c>
      <c r="M67" s="236">
        <f t="shared" si="7"/>
        <v>1289046</v>
      </c>
      <c r="N67" s="126"/>
    </row>
    <row r="68" spans="1:29" ht="5.0999999999999996" customHeight="1" x14ac:dyDescent="0.25">
      <c r="A68" s="134"/>
      <c r="B68" s="286"/>
      <c r="C68" s="74"/>
      <c r="D68" s="75"/>
      <c r="E68" s="75"/>
      <c r="F68" s="75"/>
      <c r="G68" s="75"/>
      <c r="H68" s="75"/>
      <c r="I68" s="75"/>
      <c r="J68" s="75"/>
      <c r="K68" s="75"/>
      <c r="L68" s="75"/>
      <c r="M68" s="76"/>
      <c r="N68" s="126"/>
    </row>
    <row r="69" spans="1:29" ht="12.75" customHeight="1" x14ac:dyDescent="0.25">
      <c r="A69" s="124" t="s">
        <v>1156</v>
      </c>
      <c r="B69" s="286"/>
      <c r="C69" s="74"/>
      <c r="D69" s="75"/>
      <c r="E69" s="75"/>
      <c r="F69" s="75"/>
      <c r="G69" s="75"/>
      <c r="H69" s="75"/>
      <c r="I69" s="75"/>
      <c r="J69" s="75"/>
      <c r="K69" s="75"/>
      <c r="L69" s="75"/>
      <c r="M69" s="76"/>
      <c r="N69" s="126"/>
    </row>
    <row r="70" spans="1:29" ht="12.75" customHeight="1" x14ac:dyDescent="0.25">
      <c r="A70" s="124" t="s">
        <v>652</v>
      </c>
      <c r="B70" s="286"/>
      <c r="C70" s="74"/>
      <c r="D70" s="75"/>
      <c r="E70" s="75"/>
      <c r="F70" s="75"/>
      <c r="G70" s="75"/>
      <c r="H70" s="75"/>
      <c r="I70" s="75"/>
      <c r="J70" s="75"/>
      <c r="K70" s="75"/>
      <c r="L70" s="75"/>
      <c r="M70" s="76"/>
      <c r="N70" s="126"/>
    </row>
    <row r="71" spans="1:29" ht="12.75" customHeight="1" x14ac:dyDescent="0.25">
      <c r="A71" s="127" t="s">
        <v>203</v>
      </c>
      <c r="B71" s="286"/>
      <c r="C71" s="1355">
        <f>SUMIFS(Sheet1!S71_OriginalBudget,Sheet1!S71_SA1SubCode,$AC:$AC)</f>
        <v>32733157</v>
      </c>
      <c r="D71" s="1356">
        <f>SUMIFS(Sheet1!S71_SpecialAdjustedBudget,Sheet1!S71_SA1SubCode,$AC:$AC)</f>
        <v>32733157</v>
      </c>
      <c r="E71" s="1356"/>
      <c r="F71" s="1356"/>
      <c r="G71" s="1356"/>
      <c r="H71" s="1356"/>
      <c r="I71" s="1356"/>
      <c r="J71" s="75">
        <f t="shared" ref="J71:J82" si="8">SUM(E71:I71)</f>
        <v>0</v>
      </c>
      <c r="K71" s="75">
        <f t="shared" ref="K71:K82" si="9">IF(D71=0,C71+J71,D71+J71)</f>
        <v>32733157</v>
      </c>
      <c r="L71" s="1356">
        <f>SUMIFS(Sheet1!S71_OY1AdjustedBudget,Sheet1!S71_SA1SubCode,$AC:$AC)</f>
        <v>37609282</v>
      </c>
      <c r="M71" s="1357">
        <f>SUMIFS(Sheet1!S71_OY2AdjustedBudget,Sheet1!S71_SA1SubCode,$AC:$AC)</f>
        <v>39806033</v>
      </c>
      <c r="N71" s="126"/>
      <c r="AC71" s="1339" t="s">
        <v>1882</v>
      </c>
    </row>
    <row r="72" spans="1:29" ht="12.75" customHeight="1" x14ac:dyDescent="0.25">
      <c r="A72" s="127" t="s">
        <v>1375</v>
      </c>
      <c r="B72" s="286"/>
      <c r="C72" s="1355">
        <f>SUMIFS(Sheet1!S71_OriginalBudget,Sheet1!S71_SA1SubCode,$AC:$AC)</f>
        <v>4432067</v>
      </c>
      <c r="D72" s="1356">
        <f>SUMIFS(Sheet1!S71_SpecialAdjustedBudget,Sheet1!S71_SA1SubCode,$AC:$AC)</f>
        <v>4432067</v>
      </c>
      <c r="E72" s="1356"/>
      <c r="F72" s="1356"/>
      <c r="G72" s="1356"/>
      <c r="H72" s="1356"/>
      <c r="I72" s="1356">
        <v>0</v>
      </c>
      <c r="J72" s="75">
        <f t="shared" si="8"/>
        <v>0</v>
      </c>
      <c r="K72" s="75">
        <f t="shared" si="9"/>
        <v>4432067</v>
      </c>
      <c r="L72" s="1356">
        <f>SUMIFS(Sheet1!S71_OY1AdjustedBudget,Sheet1!S71_SA1SubCode,$AC:$AC)</f>
        <v>4711368</v>
      </c>
      <c r="M72" s="1357">
        <f>SUMIFS(Sheet1!S71_OY2AdjustedBudget,Sheet1!S71_SA1SubCode,$AC:$AC)</f>
        <v>5008854</v>
      </c>
      <c r="N72" s="126"/>
      <c r="AC72" s="1339" t="s">
        <v>1883</v>
      </c>
    </row>
    <row r="73" spans="1:29" ht="12.75" customHeight="1" x14ac:dyDescent="0.25">
      <c r="A73" s="127" t="s">
        <v>196</v>
      </c>
      <c r="B73" s="286"/>
      <c r="C73" s="1355">
        <f>SUMIFS(Sheet1!S71_OriginalBudget,Sheet1!S71_SA1SubCode,$AC:$AC)</f>
        <v>1893423</v>
      </c>
      <c r="D73" s="1356">
        <f>SUMIFS(Sheet1!S71_SpecialAdjustedBudget,Sheet1!S71_SA1SubCode,$AC:$AC)</f>
        <v>1893423</v>
      </c>
      <c r="E73" s="1356"/>
      <c r="F73" s="1356"/>
      <c r="G73" s="1356"/>
      <c r="H73" s="1356"/>
      <c r="I73" s="1356">
        <v>0</v>
      </c>
      <c r="J73" s="75">
        <f t="shared" si="8"/>
        <v>0</v>
      </c>
      <c r="K73" s="75">
        <f t="shared" si="9"/>
        <v>1893423</v>
      </c>
      <c r="L73" s="1356">
        <f>SUMIFS(Sheet1!S71_OY1AdjustedBudget,Sheet1!S71_SA1SubCode,$AC:$AC)</f>
        <v>2012770</v>
      </c>
      <c r="M73" s="1357">
        <f>SUMIFS(Sheet1!S71_OY2AdjustedBudget,Sheet1!S71_SA1SubCode,$AC:$AC)</f>
        <v>2139884</v>
      </c>
      <c r="N73" s="126"/>
      <c r="AC73" s="1339" t="s">
        <v>1884</v>
      </c>
    </row>
    <row r="74" spans="1:29" ht="12.75" customHeight="1" x14ac:dyDescent="0.25">
      <c r="A74" s="127" t="s">
        <v>1157</v>
      </c>
      <c r="B74" s="286"/>
      <c r="C74" s="1355">
        <f>SUMIFS(Sheet1!S71_OriginalBudget,Sheet1!S71_SA1SubCode,$AC:$AC)</f>
        <v>0</v>
      </c>
      <c r="D74" s="1356">
        <f>SUMIFS(Sheet1!S71_SpecialAdjustedBudget,Sheet1!S71_SA1SubCode,$AC:$AC)</f>
        <v>0</v>
      </c>
      <c r="E74" s="1356"/>
      <c r="F74" s="1356"/>
      <c r="G74" s="1356"/>
      <c r="H74" s="1356"/>
      <c r="I74" s="1356">
        <f>SUMIFS(Sheet1!S71_AdjustmentAmount,Sheet1!S71_SA1SubCode,$AC:$AC)</f>
        <v>0</v>
      </c>
      <c r="J74" s="75">
        <f>SUM(E74:I74)</f>
        <v>0</v>
      </c>
      <c r="K74" s="75">
        <f t="shared" si="9"/>
        <v>0</v>
      </c>
      <c r="L74" s="1356">
        <f>SUMIFS(Sheet1!S71_OY1AdjustedBudget,Sheet1!S71_SA1SubCode,$AC:$AC)</f>
        <v>0</v>
      </c>
      <c r="M74" s="1357">
        <f>SUMIFS(Sheet1!S71_OY2AdjustedBudget,Sheet1!S71_SA1SubCode,$AC:$AC)</f>
        <v>0</v>
      </c>
      <c r="N74" s="126"/>
      <c r="AC74" s="1339" t="s">
        <v>1885</v>
      </c>
    </row>
    <row r="75" spans="1:29" ht="12.75" customHeight="1" x14ac:dyDescent="0.25">
      <c r="A75" s="127" t="s">
        <v>200</v>
      </c>
      <c r="B75" s="286"/>
      <c r="C75" s="1355">
        <f>SUMIFS(Sheet1!S71_OriginalBudget,Sheet1!S71_SA1SubCode,$AC:$AC)</f>
        <v>2289928</v>
      </c>
      <c r="D75" s="1356">
        <f>SUMIFS(Sheet1!S71_SpecialAdjustedBudget,Sheet1!S71_SA1SubCode,$AC:$AC)</f>
        <v>2289928</v>
      </c>
      <c r="E75" s="1356"/>
      <c r="F75" s="1356"/>
      <c r="G75" s="1356"/>
      <c r="H75" s="1356"/>
      <c r="I75" s="1356">
        <f>SUMIFS(Sheet1!S71_AdjustmentAmount,Sheet1!S71_SA1SubCode,$AC:$AC)</f>
        <v>0</v>
      </c>
      <c r="J75" s="75">
        <f t="shared" si="8"/>
        <v>0</v>
      </c>
      <c r="K75" s="75">
        <f t="shared" si="9"/>
        <v>2289928</v>
      </c>
      <c r="L75" s="1356">
        <f>SUMIFS(Sheet1!S71_OY1AdjustedBudget,Sheet1!S71_SA1SubCode,$AC:$AC)</f>
        <v>2433583</v>
      </c>
      <c r="M75" s="1357">
        <f>SUMIFS(Sheet1!S71_OY2AdjustedBudget,Sheet1!S71_SA1SubCode,$AC:$AC)</f>
        <v>2586550</v>
      </c>
      <c r="N75" s="126"/>
      <c r="AC75" s="1339" t="s">
        <v>1886</v>
      </c>
    </row>
    <row r="76" spans="1:29" ht="12.75" customHeight="1" x14ac:dyDescent="0.25">
      <c r="A76" s="127" t="s">
        <v>1376</v>
      </c>
      <c r="B76" s="286"/>
      <c r="C76" s="1355">
        <f>SUMIFS(Sheet1!S71_OriginalBudget,Sheet1!S71_SA1SubCode,$AC:$AC)</f>
        <v>0</v>
      </c>
      <c r="D76" s="1356">
        <f>SUMIFS(Sheet1!S71_SpecialAdjustedBudget,Sheet1!S71_SA1SubCode,$AC:$AC)</f>
        <v>0</v>
      </c>
      <c r="E76" s="1356"/>
      <c r="F76" s="1356"/>
      <c r="G76" s="1356"/>
      <c r="H76" s="1356"/>
      <c r="I76" s="1356">
        <v>0</v>
      </c>
      <c r="J76" s="75">
        <f t="shared" si="8"/>
        <v>0</v>
      </c>
      <c r="K76" s="75">
        <f>IF(D76=0,C76+J76,D76+J76)</f>
        <v>0</v>
      </c>
      <c r="L76" s="1356">
        <f>SUMIFS(Sheet1!S71_OY1AdjustedBudget,Sheet1!S71_SA1SubCode,$AC:$AC)</f>
        <v>0</v>
      </c>
      <c r="M76" s="1357">
        <f>SUMIFS(Sheet1!S71_OY2AdjustedBudget,Sheet1!S71_SA1SubCode,$AC:$AC)</f>
        <v>0</v>
      </c>
      <c r="N76" s="126"/>
      <c r="AC76" s="1339" t="s">
        <v>1887</v>
      </c>
    </row>
    <row r="77" spans="1:29" ht="12.75" customHeight="1" x14ac:dyDescent="0.25">
      <c r="A77" s="127" t="s">
        <v>1377</v>
      </c>
      <c r="B77" s="286"/>
      <c r="C77" s="1355">
        <f>SUMIFS(Sheet1!S71_OriginalBudget,Sheet1!S71_SA1SubCode,$AC:$AC)</f>
        <v>135001</v>
      </c>
      <c r="D77" s="1356">
        <f>SUMIFS(Sheet1!S71_SpecialAdjustedBudget,Sheet1!S71_SA1SubCode,$AC:$AC)</f>
        <v>135001</v>
      </c>
      <c r="E77" s="1356"/>
      <c r="F77" s="1356"/>
      <c r="G77" s="1356"/>
      <c r="H77" s="1356"/>
      <c r="I77" s="1356">
        <v>0</v>
      </c>
      <c r="J77" s="75">
        <f t="shared" si="8"/>
        <v>0</v>
      </c>
      <c r="K77" s="75">
        <f>IF(D77=0,C77+J77,D77+J77)</f>
        <v>135001</v>
      </c>
      <c r="L77" s="1356">
        <f>SUMIFS(Sheet1!S71_OY1AdjustedBudget,Sheet1!S71_SA1SubCode,$AC:$AC)</f>
        <v>587281</v>
      </c>
      <c r="M77" s="1357">
        <f>SUMIFS(Sheet1!S71_OY2AdjustedBudget,Sheet1!S71_SA1SubCode,$AC:$AC)</f>
        <v>596086</v>
      </c>
      <c r="N77" s="126"/>
      <c r="AC77" s="1339" t="s">
        <v>1888</v>
      </c>
    </row>
    <row r="78" spans="1:29" ht="12.75" customHeight="1" x14ac:dyDescent="0.25">
      <c r="A78" s="127" t="s">
        <v>1378</v>
      </c>
      <c r="B78" s="286"/>
      <c r="C78" s="1355">
        <f>SUMIFS(Sheet1!S71_OriginalBudget,Sheet1!S71_SA1SubCode,$AC:$AC)</f>
        <v>337247</v>
      </c>
      <c r="D78" s="1356">
        <f>SUMIFS(Sheet1!S71_SpecialAdjustedBudget,Sheet1!S71_SA1SubCode,$AC:$AC)</f>
        <v>337247</v>
      </c>
      <c r="E78" s="1356"/>
      <c r="F78" s="1356"/>
      <c r="G78" s="1356"/>
      <c r="H78" s="1356"/>
      <c r="I78" s="1356">
        <v>0</v>
      </c>
      <c r="J78" s="75">
        <f t="shared" si="8"/>
        <v>0</v>
      </c>
      <c r="K78" s="75">
        <f>IF(D78=0,C78+J78,D78+J78)</f>
        <v>337247</v>
      </c>
      <c r="L78" s="1356">
        <f>SUMIFS(Sheet1!S71_OY1AdjustedBudget,Sheet1!S71_SA1SubCode,$AC:$AC)</f>
        <v>356649</v>
      </c>
      <c r="M78" s="1357">
        <f>SUMIFS(Sheet1!S71_OY2AdjustedBudget,Sheet1!S71_SA1SubCode,$AC:$AC)</f>
        <v>377226</v>
      </c>
      <c r="N78" s="126"/>
      <c r="AC78" s="1339" t="s">
        <v>1889</v>
      </c>
    </row>
    <row r="79" spans="1:29" ht="12.75" customHeight="1" x14ac:dyDescent="0.25">
      <c r="A79" s="127" t="s">
        <v>1185</v>
      </c>
      <c r="B79" s="286"/>
      <c r="C79" s="1355">
        <f>SUMIFS(Sheet1!S71_OriginalBudget,Sheet1!S71_SA1SubCode,$AC:$AC)</f>
        <v>1068253</v>
      </c>
      <c r="D79" s="1356">
        <f>SUMIFS(Sheet1!S71_SpecialAdjustedBudget,Sheet1!S71_SA1SubCode,$AC:$AC)</f>
        <v>1068253</v>
      </c>
      <c r="E79" s="1356"/>
      <c r="F79" s="1356"/>
      <c r="G79" s="1356"/>
      <c r="H79" s="1356"/>
      <c r="I79" s="1356">
        <v>0</v>
      </c>
      <c r="J79" s="75">
        <f t="shared" si="8"/>
        <v>0</v>
      </c>
      <c r="K79" s="75">
        <f t="shared" si="9"/>
        <v>1068253</v>
      </c>
      <c r="L79" s="1356">
        <f>SUMIFS(Sheet1!S71_OY1AdjustedBudget,Sheet1!S71_SA1SubCode,$AC:$AC)</f>
        <v>1136457</v>
      </c>
      <c r="M79" s="1357">
        <f>SUMIFS(Sheet1!S71_OY2AdjustedBudget,Sheet1!S71_SA1SubCode,$AC:$AC)</f>
        <v>1209124</v>
      </c>
      <c r="N79" s="126"/>
      <c r="AC79" s="1339" t="s">
        <v>1890</v>
      </c>
    </row>
    <row r="80" spans="1:29" ht="12.75" customHeight="1" x14ac:dyDescent="0.25">
      <c r="A80" s="127" t="s">
        <v>1159</v>
      </c>
      <c r="B80" s="286"/>
      <c r="C80" s="1355">
        <f>SUMIFS(Sheet1!S71_OriginalBudget,Sheet1!S71_SA1SubCode,$AC:$AC)</f>
        <v>1802509</v>
      </c>
      <c r="D80" s="1356">
        <f>SUMIFS(Sheet1!S71_SpecialAdjustedBudget,Sheet1!S71_SA1SubCode,$AC:$AC)</f>
        <v>1802509</v>
      </c>
      <c r="E80" s="1356"/>
      <c r="F80" s="1356"/>
      <c r="G80" s="1356"/>
      <c r="H80" s="1356"/>
      <c r="I80" s="1356">
        <v>0</v>
      </c>
      <c r="J80" s="75">
        <f t="shared" si="8"/>
        <v>0</v>
      </c>
      <c r="K80" s="75">
        <f t="shared" si="9"/>
        <v>1802509</v>
      </c>
      <c r="L80" s="1356">
        <f>SUMIFS(Sheet1!S71_OY1AdjustedBudget,Sheet1!S71_SA1SubCode,$AC:$AC)</f>
        <v>1916209</v>
      </c>
      <c r="M80" s="1357">
        <f>SUMIFS(Sheet1!S71_OY2AdjustedBudget,Sheet1!S71_SA1SubCode,$AC:$AC)</f>
        <v>2037299</v>
      </c>
      <c r="N80" s="126"/>
      <c r="AC80" s="1339" t="s">
        <v>1853</v>
      </c>
    </row>
    <row r="81" spans="1:29" ht="12.75" customHeight="1" x14ac:dyDescent="0.25">
      <c r="A81" s="127" t="s">
        <v>1158</v>
      </c>
      <c r="B81" s="286"/>
      <c r="C81" s="1355">
        <f>SUMIFS(Sheet1!S71_OriginalBudget,Sheet1!S71_SA1SubCode,$AC:$AC)</f>
        <v>0</v>
      </c>
      <c r="D81" s="1356">
        <f>SUMIFS(Sheet1!S71_SpecialAdjustedBudget,Sheet1!S71_SA1SubCode,$AC:$AC)</f>
        <v>0</v>
      </c>
      <c r="E81" s="1356"/>
      <c r="F81" s="1356"/>
      <c r="G81" s="1356"/>
      <c r="H81" s="1356"/>
      <c r="I81" s="1356">
        <v>0</v>
      </c>
      <c r="J81" s="75">
        <f t="shared" si="8"/>
        <v>0</v>
      </c>
      <c r="K81" s="75">
        <f t="shared" si="9"/>
        <v>0</v>
      </c>
      <c r="L81" s="1356">
        <f>SUMIFS(Sheet1!S71_OY1AdjustedBudget,Sheet1!S71_SA1SubCode,$AC:$AC)</f>
        <v>0</v>
      </c>
      <c r="M81" s="1357">
        <f>SUMIFS(Sheet1!S71_OY2AdjustedBudget,Sheet1!S71_SA1SubCode,$AC:$AC)</f>
        <v>0</v>
      </c>
      <c r="N81" s="126"/>
      <c r="AC81" s="1339" t="s">
        <v>1891</v>
      </c>
    </row>
    <row r="82" spans="1:29" ht="12.75" customHeight="1" x14ac:dyDescent="0.25">
      <c r="A82" s="127" t="s">
        <v>1160</v>
      </c>
      <c r="B82" s="286">
        <v>4</v>
      </c>
      <c r="C82" s="1355">
        <f>SUMIFS(Sheet1!S71_OriginalBudget,Sheet1!S71_SA1SubCode,$AC:$AC)</f>
        <v>0</v>
      </c>
      <c r="D82" s="1356">
        <f>SUMIFS(Sheet1!S71_SpecialAdjustedBudget,Sheet1!S71_SA1SubCode,$AC:$AC)</f>
        <v>0</v>
      </c>
      <c r="E82" s="1356"/>
      <c r="F82" s="1356"/>
      <c r="G82" s="1356"/>
      <c r="H82" s="1356"/>
      <c r="I82" s="1356">
        <v>0</v>
      </c>
      <c r="J82" s="143">
        <f t="shared" si="8"/>
        <v>0</v>
      </c>
      <c r="K82" s="143">
        <f t="shared" si="9"/>
        <v>0</v>
      </c>
      <c r="L82" s="1356">
        <f>SUMIFS(Sheet1!S71_OY1AdjustedBudget,Sheet1!S71_SA1SubCode,$AC:$AC)</f>
        <v>0</v>
      </c>
      <c r="M82" s="1357">
        <f>SUMIFS(Sheet1!S71_OY2AdjustedBudget,Sheet1!S71_SA1SubCode,$AC:$AC)</f>
        <v>0</v>
      </c>
      <c r="N82" s="126"/>
      <c r="AC82" s="1339" t="s">
        <v>1892</v>
      </c>
    </row>
    <row r="83" spans="1:29" ht="12.75" customHeight="1" x14ac:dyDescent="0.25">
      <c r="A83" s="289" t="s">
        <v>1161</v>
      </c>
      <c r="B83" s="286"/>
      <c r="C83" s="81">
        <f>SUM(C71:C82)</f>
        <v>44691585</v>
      </c>
      <c r="D83" s="81">
        <f t="shared" ref="D83:M83" si="10">SUM(D71:D82)</f>
        <v>44691585</v>
      </c>
      <c r="E83" s="81">
        <f t="shared" si="10"/>
        <v>0</v>
      </c>
      <c r="F83" s="81">
        <f t="shared" si="10"/>
        <v>0</v>
      </c>
      <c r="G83" s="81">
        <f t="shared" si="10"/>
        <v>0</v>
      </c>
      <c r="H83" s="81">
        <f t="shared" si="10"/>
        <v>0</v>
      </c>
      <c r="I83" s="81">
        <f t="shared" si="10"/>
        <v>0</v>
      </c>
      <c r="J83" s="81">
        <f t="shared" si="10"/>
        <v>0</v>
      </c>
      <c r="K83" s="81">
        <f t="shared" si="10"/>
        <v>44691585</v>
      </c>
      <c r="L83" s="81">
        <f t="shared" si="10"/>
        <v>50763599</v>
      </c>
      <c r="M83" s="82">
        <f t="shared" si="10"/>
        <v>53761056</v>
      </c>
      <c r="N83" s="126"/>
      <c r="AC83" s="1339"/>
    </row>
    <row r="84" spans="1:29" ht="12.75" customHeight="1" x14ac:dyDescent="0.25">
      <c r="A84" s="290" t="s">
        <v>1162</v>
      </c>
      <c r="B84" s="286"/>
      <c r="C84" s="1355">
        <f>SUMIFS(Sheet1!S71_OriginalBudget,Sheet1!S71_SA1SubCode,$AC:$AC)</f>
        <v>0</v>
      </c>
      <c r="D84" s="1356">
        <f>SUMIFS(Sheet1!S71_SpecialAdjustedBudget,Sheet1!S71_SA1SubCode,$AC:$AC)</f>
        <v>0</v>
      </c>
      <c r="E84" s="1356"/>
      <c r="F84" s="1356"/>
      <c r="G84" s="1356"/>
      <c r="H84" s="1356"/>
      <c r="I84" s="1356">
        <f>SUMIFS(Sheet1!S71_AdjustmentAmount,Sheet1!S71_SA1SubCode,$AC:$AC)</f>
        <v>0</v>
      </c>
      <c r="J84" s="75">
        <f>SUM(E84:I84)</f>
        <v>0</v>
      </c>
      <c r="K84" s="75">
        <f>IF(D84=0,C84+J84,D84+J84)</f>
        <v>0</v>
      </c>
      <c r="L84" s="1356">
        <f>SUMIFS(Sheet1!S71_OY1AdjustedBudget,Sheet1!S71_SA1SubCode,$AC:$AC)</f>
        <v>0</v>
      </c>
      <c r="M84" s="1357">
        <f>SUMIFS(Sheet1!S71_OY2AdjustedBudget,Sheet1!S71_SA1SubCode,$AC:$AC)</f>
        <v>0</v>
      </c>
      <c r="N84" s="126"/>
      <c r="AC84" s="1353" t="s">
        <v>1893</v>
      </c>
    </row>
    <row r="85" spans="1:29" ht="12.75" customHeight="1" x14ac:dyDescent="0.25">
      <c r="A85" s="137" t="str">
        <f>"Total "&amp;A70</f>
        <v>Total Employee related costs</v>
      </c>
      <c r="B85" s="286">
        <v>1</v>
      </c>
      <c r="C85" s="148">
        <f>C83-C84</f>
        <v>44691585</v>
      </c>
      <c r="D85" s="149">
        <f t="shared" ref="D85:I85" si="11">D83-D84</f>
        <v>44691585</v>
      </c>
      <c r="E85" s="149">
        <f t="shared" si="11"/>
        <v>0</v>
      </c>
      <c r="F85" s="149">
        <f t="shared" si="11"/>
        <v>0</v>
      </c>
      <c r="G85" s="149">
        <f t="shared" si="11"/>
        <v>0</v>
      </c>
      <c r="H85" s="149">
        <f t="shared" si="11"/>
        <v>0</v>
      </c>
      <c r="I85" s="149">
        <f t="shared" si="11"/>
        <v>0</v>
      </c>
      <c r="J85" s="149">
        <f>SUM(J83:J84)</f>
        <v>0</v>
      </c>
      <c r="K85" s="149">
        <f>SUM(K83:K84)</f>
        <v>44691585</v>
      </c>
      <c r="L85" s="149">
        <f>L83-L84</f>
        <v>50763599</v>
      </c>
      <c r="M85" s="150">
        <f>M83-M84</f>
        <v>53761056</v>
      </c>
      <c r="N85" s="126"/>
      <c r="AC85" s="1339"/>
    </row>
    <row r="86" spans="1:29" ht="5.0999999999999996" customHeight="1" x14ac:dyDescent="0.25">
      <c r="A86" s="134"/>
      <c r="B86" s="286"/>
      <c r="C86" s="74"/>
      <c r="D86" s="75"/>
      <c r="E86" s="75"/>
      <c r="F86" s="75"/>
      <c r="G86" s="75"/>
      <c r="H86" s="75"/>
      <c r="I86" s="75"/>
      <c r="J86" s="75"/>
      <c r="K86" s="75"/>
      <c r="L86" s="75"/>
      <c r="M86" s="76"/>
      <c r="N86" s="126"/>
    </row>
    <row r="87" spans="1:29" ht="14.25" hidden="1" customHeight="1" x14ac:dyDescent="0.25">
      <c r="A87" s="1321"/>
      <c r="B87" s="286"/>
      <c r="C87" s="129"/>
      <c r="D87" s="130"/>
      <c r="E87" s="130"/>
      <c r="F87" s="130"/>
      <c r="G87" s="130"/>
      <c r="H87" s="130"/>
      <c r="I87" s="130"/>
      <c r="J87" s="130"/>
      <c r="K87" s="130"/>
      <c r="L87" s="130"/>
      <c r="M87" s="131"/>
      <c r="N87" s="126"/>
    </row>
    <row r="88" spans="1:29" ht="14.25" hidden="1" customHeight="1" x14ac:dyDescent="0.25">
      <c r="A88" s="1317"/>
      <c r="B88" s="286"/>
      <c r="C88" s="130"/>
      <c r="D88" s="130"/>
      <c r="E88" s="130"/>
      <c r="F88" s="130"/>
      <c r="G88" s="130"/>
      <c r="H88" s="130"/>
      <c r="I88" s="130"/>
      <c r="J88" s="130"/>
      <c r="K88" s="130"/>
      <c r="L88" s="130"/>
      <c r="M88" s="131"/>
      <c r="N88" s="126"/>
    </row>
    <row r="89" spans="1:29" ht="14.25" hidden="1" customHeight="1" x14ac:dyDescent="0.25">
      <c r="A89" s="1322"/>
      <c r="B89" s="286"/>
      <c r="C89" s="130"/>
      <c r="D89" s="130"/>
      <c r="E89" s="130"/>
      <c r="F89" s="130"/>
      <c r="G89" s="130"/>
      <c r="H89" s="130"/>
      <c r="I89" s="130"/>
      <c r="J89" s="130"/>
      <c r="K89" s="130"/>
      <c r="L89" s="130"/>
      <c r="M89" s="131"/>
      <c r="N89" s="126"/>
    </row>
    <row r="90" spans="1:29" ht="14.25" hidden="1" customHeight="1" x14ac:dyDescent="0.25">
      <c r="A90" s="1322"/>
      <c r="B90" s="286"/>
      <c r="C90" s="130"/>
      <c r="D90" s="130"/>
      <c r="E90" s="130"/>
      <c r="F90" s="130"/>
      <c r="G90" s="130"/>
      <c r="H90" s="130"/>
      <c r="I90" s="130"/>
      <c r="J90" s="130"/>
      <c r="K90" s="130"/>
      <c r="L90" s="130"/>
      <c r="M90" s="131"/>
      <c r="N90" s="126"/>
    </row>
    <row r="91" spans="1:29" ht="14.25" hidden="1" customHeight="1" x14ac:dyDescent="0.25">
      <c r="A91" s="1322"/>
      <c r="B91" s="286"/>
      <c r="C91" s="130"/>
      <c r="D91" s="130"/>
      <c r="E91" s="130"/>
      <c r="F91" s="130"/>
      <c r="G91" s="130"/>
      <c r="H91" s="130"/>
      <c r="I91" s="130"/>
      <c r="J91" s="130"/>
      <c r="K91" s="130"/>
      <c r="L91" s="130"/>
      <c r="M91" s="131"/>
      <c r="N91" s="126"/>
    </row>
    <row r="92" spans="1:29" ht="14.25" hidden="1" customHeight="1" x14ac:dyDescent="0.25">
      <c r="A92" s="1317"/>
      <c r="B92" s="286"/>
      <c r="C92" s="130"/>
      <c r="D92" s="130"/>
      <c r="E92" s="130"/>
      <c r="F92" s="130"/>
      <c r="G92" s="130"/>
      <c r="H92" s="130"/>
      <c r="I92" s="130"/>
      <c r="J92" s="130"/>
      <c r="K92" s="130"/>
      <c r="L92" s="130"/>
      <c r="M92" s="131"/>
      <c r="N92" s="126"/>
    </row>
    <row r="93" spans="1:29" ht="14.25" hidden="1" customHeight="1" x14ac:dyDescent="0.25">
      <c r="A93" s="1322"/>
      <c r="B93" s="286"/>
      <c r="C93" s="270"/>
      <c r="D93" s="270"/>
      <c r="E93" s="270"/>
      <c r="F93" s="270"/>
      <c r="G93" s="270"/>
      <c r="H93" s="270"/>
      <c r="I93" s="270"/>
      <c r="J93" s="270"/>
      <c r="K93" s="270"/>
      <c r="L93" s="270"/>
      <c r="M93" s="273"/>
      <c r="N93" s="126"/>
    </row>
    <row r="94" spans="1:29" ht="14.25" hidden="1" customHeight="1" x14ac:dyDescent="0.25">
      <c r="A94" s="1323"/>
      <c r="B94" s="835"/>
      <c r="C94" s="268"/>
      <c r="D94" s="268"/>
      <c r="E94" s="268"/>
      <c r="F94" s="268"/>
      <c r="G94" s="268"/>
      <c r="H94" s="268"/>
      <c r="I94" s="268"/>
      <c r="J94" s="268"/>
      <c r="K94" s="268"/>
      <c r="L94" s="268"/>
      <c r="M94" s="269"/>
      <c r="N94" s="126"/>
    </row>
    <row r="95" spans="1:29" ht="4.5" customHeight="1" x14ac:dyDescent="0.25">
      <c r="A95" s="137"/>
      <c r="B95" s="286"/>
      <c r="C95" s="74"/>
      <c r="D95" s="75"/>
      <c r="E95" s="75"/>
      <c r="F95" s="75"/>
      <c r="G95" s="75"/>
      <c r="H95" s="75"/>
      <c r="I95" s="75"/>
      <c r="J95" s="75"/>
      <c r="K95" s="75"/>
      <c r="L95" s="75"/>
      <c r="M95" s="76"/>
      <c r="N95" s="126"/>
    </row>
    <row r="96" spans="1:29" ht="12.75" customHeight="1" x14ac:dyDescent="0.25">
      <c r="A96" s="124" t="s">
        <v>566</v>
      </c>
      <c r="B96" s="286"/>
      <c r="C96" s="74"/>
      <c r="D96" s="75"/>
      <c r="E96" s="75"/>
      <c r="F96" s="75"/>
      <c r="G96" s="75"/>
      <c r="H96" s="75"/>
      <c r="I96" s="75"/>
      <c r="J96" s="75"/>
      <c r="K96" s="75"/>
      <c r="L96" s="75"/>
      <c r="M96" s="76"/>
      <c r="N96" s="126"/>
    </row>
    <row r="97" spans="1:29" ht="12.75" customHeight="1" x14ac:dyDescent="0.25">
      <c r="A97" s="30" t="s">
        <v>1163</v>
      </c>
      <c r="B97" s="286"/>
      <c r="C97" s="1355">
        <f>SUMIFS(Sheet1!S71_OriginalBudget,Sheet1!S71_SA1SubCode,$AC:$AC)</f>
        <v>10938711</v>
      </c>
      <c r="D97" s="1356">
        <f>SUMIFS(Sheet1!S71_SpecialAdjustedBudget,Sheet1!S71_SA1SubCode,$AC:$AC)</f>
        <v>10938711</v>
      </c>
      <c r="E97" s="1356"/>
      <c r="F97" s="1356"/>
      <c r="G97" s="1356"/>
      <c r="H97" s="1356"/>
      <c r="I97" s="1356">
        <f>SUMIFS(Sheet1!S71_AdjustmentAmount,Sheet1!S71_SA1SubCode,$AC:$AC)</f>
        <v>0</v>
      </c>
      <c r="J97" s="75">
        <f>SUM(E97:I97)</f>
        <v>0</v>
      </c>
      <c r="K97" s="75">
        <f>IF(D97=0,C97+J97,D97+J97)</f>
        <v>10938711</v>
      </c>
      <c r="L97" s="1356">
        <f>SUMIFS(Sheet1!S71_OY1AdjustedBudget,Sheet1!S71_SA1SubCode,$AC:$AC)</f>
        <v>12032583</v>
      </c>
      <c r="M97" s="1357">
        <f>SUMIFS(Sheet1!S71_OY2AdjustedBudget,Sheet1!S71_SA1SubCode,$AC:$AC)</f>
        <v>13235840</v>
      </c>
      <c r="N97" s="126"/>
      <c r="AC97" s="1339" t="s">
        <v>1894</v>
      </c>
    </row>
    <row r="98" spans="1:29" ht="12.75" customHeight="1" x14ac:dyDescent="0.25">
      <c r="A98" s="30" t="s">
        <v>1164</v>
      </c>
      <c r="B98" s="286"/>
      <c r="C98" s="1355">
        <f>SUMIFS(Sheet1!S71_OriginalBudget,Sheet1!S71_SA1SubCode,$AC:$AC)</f>
        <v>234628</v>
      </c>
      <c r="D98" s="1356">
        <f>SUMIFS(Sheet1!S71_SpecialAdjustedBudget,Sheet1!S71_SA1SubCode,$AC:$AC)</f>
        <v>234628</v>
      </c>
      <c r="E98" s="1356"/>
      <c r="F98" s="1356"/>
      <c r="G98" s="1356"/>
      <c r="H98" s="1356"/>
      <c r="I98" s="1356">
        <f>SUMIFS(Sheet1!S71_AdjustmentAmount,Sheet1!S71_SA1SubCode,$AC:$AC)</f>
        <v>0</v>
      </c>
      <c r="J98" s="75">
        <f>SUM(E98:I98)</f>
        <v>0</v>
      </c>
      <c r="K98" s="75">
        <f>IF(D98=0,C98+J98,D98+J98)</f>
        <v>234628</v>
      </c>
      <c r="L98" s="1356">
        <f>SUMIFS(Sheet1!S71_OY1AdjustedBudget,Sheet1!S71_SA1SubCode,$AC:$AC)</f>
        <v>258091</v>
      </c>
      <c r="M98" s="1357">
        <f>SUMIFS(Sheet1!S71_OY2AdjustedBudget,Sheet1!S71_SA1SubCode,$AC:$AC)</f>
        <v>283900</v>
      </c>
      <c r="N98" s="126"/>
      <c r="AC98" s="1339" t="s">
        <v>1895</v>
      </c>
    </row>
    <row r="99" spans="1:29" ht="12.75" customHeight="1" x14ac:dyDescent="0.25">
      <c r="A99" s="30" t="s">
        <v>1165</v>
      </c>
      <c r="B99" s="286"/>
      <c r="C99" s="1355">
        <f>SUMIFS(Sheet1!S71_OriginalBudget,Sheet1!S71_SA1SubCode,$AC:$AC)</f>
        <v>0</v>
      </c>
      <c r="D99" s="1356">
        <f>SUMIFS(Sheet1!S71_SpecialAdjustedBudget,Sheet1!S71_SA1SubCode,$AC:$AC)</f>
        <v>0</v>
      </c>
      <c r="E99" s="1356"/>
      <c r="F99" s="1356"/>
      <c r="G99" s="1356"/>
      <c r="H99" s="1356"/>
      <c r="I99" s="1356">
        <f>SUMIFS(Sheet1!S71_AdjustmentAmount,Sheet1!S71_SA1SubCode,$AC:$AC)</f>
        <v>0</v>
      </c>
      <c r="J99" s="75">
        <f>SUM(E99:I99)</f>
        <v>0</v>
      </c>
      <c r="K99" s="75">
        <f>IF(D99=0,C99+J99,D99+J99)</f>
        <v>0</v>
      </c>
      <c r="L99" s="1356">
        <f>SUMIFS(Sheet1!S71_OY1AdjustedBudget,Sheet1!S71_SA1SubCode,$AC:$AC)</f>
        <v>0</v>
      </c>
      <c r="M99" s="1357">
        <f>SUMIFS(Sheet1!S71_OY2AdjustedBudget,Sheet1!S71_SA1SubCode,$AC:$AC)</f>
        <v>0</v>
      </c>
      <c r="N99" s="126"/>
      <c r="AC99" s="1339" t="s">
        <v>1896</v>
      </c>
    </row>
    <row r="100" spans="1:29" ht="9.75" hidden="1" customHeight="1" x14ac:dyDescent="0.25">
      <c r="A100" s="30"/>
      <c r="B100" s="286"/>
      <c r="C100" s="129"/>
      <c r="D100" s="130"/>
      <c r="E100" s="130"/>
      <c r="F100" s="130"/>
      <c r="G100" s="130"/>
      <c r="H100" s="130"/>
      <c r="I100" s="130"/>
      <c r="J100" s="130"/>
      <c r="K100" s="130"/>
      <c r="L100" s="130"/>
      <c r="M100" s="131"/>
      <c r="N100" s="126"/>
    </row>
    <row r="101" spans="1:29" ht="12.75" customHeight="1" x14ac:dyDescent="0.25">
      <c r="A101" s="137" t="str">
        <f>"Total "&amp;LEFT(A96,35)</f>
        <v>Total Depreciation &amp; asset impairment</v>
      </c>
      <c r="B101" s="286">
        <v>1</v>
      </c>
      <c r="C101" s="148">
        <f>SUM(C97:C99)</f>
        <v>11173339</v>
      </c>
      <c r="D101" s="149">
        <f t="shared" ref="D101:M101" si="12">SUM(D97:D99)</f>
        <v>11173339</v>
      </c>
      <c r="E101" s="149">
        <f t="shared" si="12"/>
        <v>0</v>
      </c>
      <c r="F101" s="149">
        <f t="shared" si="12"/>
        <v>0</v>
      </c>
      <c r="G101" s="149">
        <f t="shared" si="12"/>
        <v>0</v>
      </c>
      <c r="H101" s="149">
        <f t="shared" si="12"/>
        <v>0</v>
      </c>
      <c r="I101" s="149">
        <f t="shared" si="12"/>
        <v>0</v>
      </c>
      <c r="J101" s="149">
        <f t="shared" si="12"/>
        <v>0</v>
      </c>
      <c r="K101" s="149">
        <f t="shared" si="12"/>
        <v>11173339</v>
      </c>
      <c r="L101" s="149">
        <f t="shared" si="12"/>
        <v>12290674</v>
      </c>
      <c r="M101" s="150">
        <f t="shared" si="12"/>
        <v>13519740</v>
      </c>
      <c r="N101" s="126"/>
    </row>
    <row r="102" spans="1:29" ht="5.0999999999999996" customHeight="1" x14ac:dyDescent="0.25">
      <c r="A102" s="137"/>
      <c r="B102" s="286"/>
      <c r="C102" s="74"/>
      <c r="D102" s="75"/>
      <c r="E102" s="75"/>
      <c r="F102" s="75"/>
      <c r="G102" s="75"/>
      <c r="H102" s="75"/>
      <c r="I102" s="75"/>
      <c r="J102" s="75"/>
      <c r="K102" s="75"/>
      <c r="L102" s="75"/>
      <c r="M102" s="76"/>
      <c r="N102" s="126"/>
    </row>
    <row r="103" spans="1:29" ht="12.75" customHeight="1" x14ac:dyDescent="0.25">
      <c r="A103" s="124" t="s">
        <v>654</v>
      </c>
      <c r="B103" s="286"/>
      <c r="C103" s="74"/>
      <c r="D103" s="75"/>
      <c r="E103" s="75"/>
      <c r="F103" s="75"/>
      <c r="G103" s="75"/>
      <c r="H103" s="75"/>
      <c r="I103" s="75"/>
      <c r="J103" s="75"/>
      <c r="K103" s="75"/>
      <c r="L103" s="75"/>
      <c r="M103" s="76"/>
      <c r="N103" s="126"/>
    </row>
    <row r="104" spans="1:29" ht="12.75" customHeight="1" x14ac:dyDescent="0.25">
      <c r="A104" s="127" t="s">
        <v>1425</v>
      </c>
      <c r="B104" s="286"/>
      <c r="C104" s="1355">
        <f>SUMIFS(Sheet1!S71_OriginalBudget,Sheet1!S71_SA1SubCode,$AC:$AC)</f>
        <v>0</v>
      </c>
      <c r="D104" s="1356">
        <f>SUMIFS(Sheet1!S71_SpecialAdjustedBudget,Sheet1!S71_SA1SubCode,$AC:$AC)</f>
        <v>0</v>
      </c>
      <c r="E104" s="1356"/>
      <c r="F104" s="1356"/>
      <c r="G104" s="1356"/>
      <c r="H104" s="1356"/>
      <c r="I104" s="1356">
        <f>SUMIFS(Sheet1!S71_AdjustmentAmount,Sheet1!S71_SA1SubCode,$AC:$AC)</f>
        <v>0</v>
      </c>
      <c r="J104" s="75">
        <f>SUM(E104:I104)</f>
        <v>0</v>
      </c>
      <c r="K104" s="75">
        <f>IF(D104=0,C104+J104,D104+J104)</f>
        <v>0</v>
      </c>
      <c r="L104" s="1356">
        <f>SUMIFS(Sheet1!S71_OY1AdjustedBudget,Sheet1!S71_SA1SubCode,$AC:$AC)</f>
        <v>0</v>
      </c>
      <c r="M104" s="1357">
        <f>SUMIFS(Sheet1!S71_OY2AdjustedBudget,Sheet1!S71_SA1SubCode,$AC:$AC)</f>
        <v>0</v>
      </c>
      <c r="N104" s="126"/>
      <c r="AC104" s="1339" t="s">
        <v>1897</v>
      </c>
    </row>
    <row r="105" spans="1:29" ht="12.75" customHeight="1" x14ac:dyDescent="0.25">
      <c r="A105" s="127" t="s">
        <v>1426</v>
      </c>
      <c r="B105" s="286"/>
      <c r="C105" s="1355">
        <f>SUMIFS(Sheet1!S71_OriginalBudget,Sheet1!S71_SA1SubCode,$AC:$AC)</f>
        <v>0</v>
      </c>
      <c r="D105" s="1356">
        <f>SUMIFS(Sheet1!S71_SpecialAdjustedBudget,Sheet1!S71_SA1SubCode,$AC:$AC)</f>
        <v>0</v>
      </c>
      <c r="E105" s="1356"/>
      <c r="F105" s="1356"/>
      <c r="G105" s="1356"/>
      <c r="H105" s="1356"/>
      <c r="I105" s="1356">
        <f>SUMIFS(Sheet1!S71_AdjustmentAmount,Sheet1!S71_SA1SubCode,$AC:$AC)</f>
        <v>0</v>
      </c>
      <c r="J105" s="75">
        <f>SUM(E105:I105)</f>
        <v>0</v>
      </c>
      <c r="K105" s="75">
        <f>IF(D105=0,C105+J105,D105+J105)</f>
        <v>0</v>
      </c>
      <c r="L105" s="1356">
        <f>SUMIFS(Sheet1!S71_OY1AdjustedBudget,Sheet1!S71_SA1SubCode,$AC:$AC)</f>
        <v>0</v>
      </c>
      <c r="M105" s="1357">
        <f>SUMIFS(Sheet1!S71_OY2AdjustedBudget,Sheet1!S71_SA1SubCode,$AC:$AC)</f>
        <v>0</v>
      </c>
      <c r="N105" s="126"/>
      <c r="AC105" s="1339" t="s">
        <v>1898</v>
      </c>
    </row>
    <row r="106" spans="1:29" ht="12.75" customHeight="1" x14ac:dyDescent="0.25">
      <c r="A106" s="137" t="s">
        <v>1166</v>
      </c>
      <c r="B106" s="286">
        <v>1</v>
      </c>
      <c r="C106" s="148">
        <f t="shared" ref="C106:M106" si="13">SUM(C104:C105)</f>
        <v>0</v>
      </c>
      <c r="D106" s="149">
        <f t="shared" si="13"/>
        <v>0</v>
      </c>
      <c r="E106" s="149">
        <f t="shared" si="13"/>
        <v>0</v>
      </c>
      <c r="F106" s="149">
        <f t="shared" si="13"/>
        <v>0</v>
      </c>
      <c r="G106" s="149">
        <f t="shared" si="13"/>
        <v>0</v>
      </c>
      <c r="H106" s="149">
        <f t="shared" si="13"/>
        <v>0</v>
      </c>
      <c r="I106" s="149">
        <f t="shared" si="13"/>
        <v>0</v>
      </c>
      <c r="J106" s="149">
        <f t="shared" si="13"/>
        <v>0</v>
      </c>
      <c r="K106" s="149">
        <f t="shared" si="13"/>
        <v>0</v>
      </c>
      <c r="L106" s="149">
        <f t="shared" si="13"/>
        <v>0</v>
      </c>
      <c r="M106" s="150">
        <f t="shared" si="13"/>
        <v>0</v>
      </c>
      <c r="N106" s="126"/>
    </row>
    <row r="107" spans="1:29" ht="5.0999999999999996" customHeight="1" x14ac:dyDescent="0.25">
      <c r="A107" s="137"/>
      <c r="B107" s="286"/>
      <c r="C107" s="74"/>
      <c r="D107" s="75"/>
      <c r="E107" s="75"/>
      <c r="F107" s="75"/>
      <c r="G107" s="75"/>
      <c r="H107" s="75"/>
      <c r="I107" s="75"/>
      <c r="J107" s="75"/>
      <c r="K107" s="75"/>
      <c r="L107" s="75"/>
      <c r="M107" s="76"/>
      <c r="N107" s="126"/>
    </row>
    <row r="108" spans="1:29" x14ac:dyDescent="0.25">
      <c r="A108" s="124" t="s">
        <v>657</v>
      </c>
      <c r="B108" s="286"/>
      <c r="C108" s="74"/>
      <c r="D108" s="75"/>
      <c r="E108" s="75"/>
      <c r="F108" s="75"/>
      <c r="G108" s="75"/>
      <c r="H108" s="75"/>
      <c r="I108" s="75"/>
      <c r="J108" s="75"/>
      <c r="K108" s="75"/>
      <c r="L108" s="75"/>
      <c r="M108" s="76"/>
      <c r="N108" s="126"/>
    </row>
    <row r="109" spans="1:29" x14ac:dyDescent="0.25">
      <c r="A109" s="127" t="s">
        <v>1427</v>
      </c>
      <c r="B109" s="286"/>
      <c r="C109" s="1355">
        <f>SUMIFS(Sheet1!S71_OriginalBudget,Sheet1!S71_SA1SubCode,$AC:$AC)</f>
        <v>0</v>
      </c>
      <c r="D109" s="1356">
        <f>SUMIFS(Sheet1!S71_SpecialAdjustedBudget,Sheet1!S71_SA1SubCode,$AC:$AC)</f>
        <v>0</v>
      </c>
      <c r="E109" s="1356"/>
      <c r="F109" s="1356"/>
      <c r="G109" s="1356"/>
      <c r="H109" s="1356"/>
      <c r="I109" s="1356">
        <f>SUMIFS(Sheet1!S71_AdjustmentAmount,Sheet1!S71_SA1SubCode,$AC:$AC)</f>
        <v>0</v>
      </c>
      <c r="J109" s="75">
        <f>SUM(E109:I109)</f>
        <v>0</v>
      </c>
      <c r="K109" s="75">
        <f>IF(D109=0,C109+J109,D109+J109)</f>
        <v>0</v>
      </c>
      <c r="L109" s="1356">
        <f>SUMIFS(Sheet1!S71_OY1AdjustedBudget,Sheet1!S71_SA1SubCode,$AC:$AC)</f>
        <v>0</v>
      </c>
      <c r="M109" s="1357">
        <f>SUMIFS(Sheet1!S71_OY2AdjustedBudget,Sheet1!S71_SA1SubCode,$AC:$AC)</f>
        <v>0</v>
      </c>
      <c r="N109" s="126"/>
      <c r="AC109" s="1339" t="s">
        <v>1899</v>
      </c>
    </row>
    <row r="110" spans="1:29" x14ac:dyDescent="0.25">
      <c r="A110" s="127" t="s">
        <v>1428</v>
      </c>
      <c r="B110" s="286"/>
      <c r="C110" s="1355">
        <f>SUMIFS(Sheet1!S71_OriginalBudget,Sheet1!S71_SA1SubCode,$AC:$AC)</f>
        <v>0</v>
      </c>
      <c r="D110" s="1356">
        <f>SUMIFS(Sheet1!S71_SpecialAdjustedBudget,Sheet1!S71_SA1SubCode,$AC:$AC)</f>
        <v>0</v>
      </c>
      <c r="E110" s="1356"/>
      <c r="F110" s="1356"/>
      <c r="G110" s="1356"/>
      <c r="H110" s="1356"/>
      <c r="I110" s="1356">
        <f>SUMIFS(Sheet1!S71_AdjustmentAmount,Sheet1!S71_SA1SubCode,$AC:$AC)</f>
        <v>0</v>
      </c>
      <c r="J110" s="143">
        <f>SUM(E110:I110)</f>
        <v>0</v>
      </c>
      <c r="K110" s="143">
        <f>IF(D110=0,C110+J110,D110+J110)</f>
        <v>0</v>
      </c>
      <c r="L110" s="1356">
        <f>SUMIFS(Sheet1!S71_OY1AdjustedBudget,Sheet1!S71_SA1SubCode,$AC:$AC)</f>
        <v>0</v>
      </c>
      <c r="M110" s="1357">
        <f>SUMIFS(Sheet1!S71_OY2AdjustedBudget,Sheet1!S71_SA1SubCode,$AC:$AC)</f>
        <v>0</v>
      </c>
      <c r="N110" s="126"/>
      <c r="AC110" s="1339" t="s">
        <v>1900</v>
      </c>
    </row>
    <row r="111" spans="1:29" x14ac:dyDescent="0.25">
      <c r="A111" s="137" t="s">
        <v>1429</v>
      </c>
      <c r="B111" s="286"/>
      <c r="C111" s="139">
        <f t="shared" ref="C111:I111" si="14">SUM(C109:C110)</f>
        <v>0</v>
      </c>
      <c r="D111" s="139">
        <f t="shared" si="14"/>
        <v>0</v>
      </c>
      <c r="E111" s="139">
        <f t="shared" si="14"/>
        <v>0</v>
      </c>
      <c r="F111" s="139">
        <f t="shared" si="14"/>
        <v>0</v>
      </c>
      <c r="G111" s="139">
        <f t="shared" si="14"/>
        <v>0</v>
      </c>
      <c r="H111" s="139">
        <f t="shared" si="14"/>
        <v>0</v>
      </c>
      <c r="I111" s="139">
        <f t="shared" si="14"/>
        <v>0</v>
      </c>
      <c r="J111" s="139">
        <f>SUM(J109:J110)</f>
        <v>0</v>
      </c>
      <c r="K111" s="139">
        <f>SUM(K109:K110)</f>
        <v>0</v>
      </c>
      <c r="L111" s="139">
        <f>SUM(L109:L110)</f>
        <v>0</v>
      </c>
      <c r="M111" s="140">
        <f>SUM(M109:M110)</f>
        <v>0</v>
      </c>
      <c r="N111" s="126"/>
    </row>
    <row r="112" spans="1:29" ht="4.5" customHeight="1" x14ac:dyDescent="0.25">
      <c r="A112" s="137"/>
      <c r="B112" s="286"/>
      <c r="C112" s="74"/>
      <c r="D112" s="75"/>
      <c r="E112" s="75"/>
      <c r="F112" s="75"/>
      <c r="G112" s="75"/>
      <c r="H112" s="75"/>
      <c r="I112" s="75"/>
      <c r="J112" s="75"/>
      <c r="K112" s="75"/>
      <c r="L112" s="75"/>
      <c r="M112" s="76"/>
      <c r="N112" s="126"/>
    </row>
    <row r="113" spans="1:29" ht="12.75" customHeight="1" x14ac:dyDescent="0.25">
      <c r="A113" s="124" t="s">
        <v>656</v>
      </c>
      <c r="B113" s="286"/>
      <c r="C113" s="74"/>
      <c r="D113" s="75"/>
      <c r="E113" s="75"/>
      <c r="F113" s="75"/>
      <c r="G113" s="75"/>
      <c r="H113" s="75"/>
      <c r="I113" s="75"/>
      <c r="J113" s="75"/>
      <c r="K113" s="75"/>
      <c r="L113" s="75"/>
      <c r="M113" s="76"/>
      <c r="N113" s="126"/>
    </row>
    <row r="114" spans="1:29" ht="12.75" customHeight="1" x14ac:dyDescent="0.25">
      <c r="A114" s="1324" t="s">
        <v>1800</v>
      </c>
      <c r="B114" s="286"/>
      <c r="C114" s="1355">
        <f>SUMIFS(Sheet1!S71_OriginalBudget,Sheet1!S71_SA1SubCode,$AC:$AC)</f>
        <v>8328887</v>
      </c>
      <c r="D114" s="1356">
        <f>SUMIFS(Sheet1!S71_SpecialAdjustedBudget,Sheet1!S71_SA1SubCode,$AC:$AC)</f>
        <v>8328887</v>
      </c>
      <c r="E114" s="1356"/>
      <c r="F114" s="1356"/>
      <c r="G114" s="1356"/>
      <c r="H114" s="1356"/>
      <c r="I114" s="1356">
        <f>SUMIFS(Sheet1!S71_AdjustmentAmount,Sheet1!S71_SA1SubCode,$AC:$AC)</f>
        <v>218215</v>
      </c>
      <c r="J114" s="75">
        <f>SUM(E114:I114)</f>
        <v>218215</v>
      </c>
      <c r="K114" s="75">
        <f>IF(D114=0,C114+J114,D114+J114)</f>
        <v>8547102</v>
      </c>
      <c r="L114" s="1356">
        <f>SUMIFS(Sheet1!S71_OY1AdjustedBudget,Sheet1!S71_SA1SubCode,$AC:$AC)</f>
        <v>9108754</v>
      </c>
      <c r="M114" s="1357">
        <f>SUMIFS(Sheet1!S71_OY2AdjustedBudget,Sheet1!S71_SA1SubCode,$AC:$AC)</f>
        <v>9661834</v>
      </c>
      <c r="N114" s="126"/>
      <c r="AC114" s="1339" t="s">
        <v>1901</v>
      </c>
    </row>
    <row r="115" spans="1:29" ht="12.75" customHeight="1" x14ac:dyDescent="0.25">
      <c r="A115" s="1324" t="s">
        <v>1801</v>
      </c>
      <c r="B115" s="286"/>
      <c r="C115" s="1355">
        <f>SUMIFS(Sheet1!S71_OriginalBudget,Sheet1!S71_SA1SubCode,$AC:$AC)</f>
        <v>4070000</v>
      </c>
      <c r="D115" s="1356">
        <f>SUMIFS(Sheet1!S71_SpecialAdjustedBudget,Sheet1!S71_SA1SubCode,$AC:$AC)</f>
        <v>4070000</v>
      </c>
      <c r="E115" s="1356"/>
      <c r="F115" s="1356"/>
      <c r="G115" s="1356"/>
      <c r="H115" s="1356"/>
      <c r="I115" s="1356">
        <f>SUMIFS(Sheet1!S71_AdjustmentAmount,Sheet1!S71_SA1SubCode,$AC:$AC)</f>
        <v>-545800</v>
      </c>
      <c r="J115" s="75">
        <f>SUM(E115:I115)</f>
        <v>-545800</v>
      </c>
      <c r="K115" s="75">
        <f>IF(D115=0,C115+J115,D115+J115)</f>
        <v>3524200</v>
      </c>
      <c r="L115" s="1356">
        <f>SUMIFS(Sheet1!S71_OY1AdjustedBudget,Sheet1!S71_SA1SubCode,$AC:$AC)</f>
        <v>4439400</v>
      </c>
      <c r="M115" s="1357">
        <f>SUMIFS(Sheet1!S71_OY2AdjustedBudget,Sheet1!S71_SA1SubCode,$AC:$AC)</f>
        <v>4843796</v>
      </c>
      <c r="N115" s="126"/>
      <c r="AC115" s="1339" t="s">
        <v>1902</v>
      </c>
    </row>
    <row r="116" spans="1:29" ht="12.75" customHeight="1" x14ac:dyDescent="0.25">
      <c r="A116" s="1324" t="s">
        <v>1802</v>
      </c>
      <c r="B116" s="286"/>
      <c r="C116" s="1355">
        <f>SUMIFS(Sheet1!S71_OriginalBudget,Sheet1!S71_SA1SubCode,$AC:$AC)</f>
        <v>18020950</v>
      </c>
      <c r="D116" s="1356">
        <f>SUMIFS(Sheet1!S71_SpecialAdjustedBudget,Sheet1!S71_SA1SubCode,$AC:$AC)</f>
        <v>18020950</v>
      </c>
      <c r="E116" s="1356"/>
      <c r="F116" s="1356"/>
      <c r="G116" s="1356"/>
      <c r="H116" s="1356"/>
      <c r="I116" s="1356">
        <f>SUMIFS(Sheet1!S71_AdjustmentAmount,Sheet1!S71_SA1SubCode,$AC:$AC)</f>
        <v>13830740</v>
      </c>
      <c r="J116" s="75">
        <f>SUM(E116:I116)</f>
        <v>13830740</v>
      </c>
      <c r="K116" s="75">
        <f>IF(D116=0,C116+J116,D116+J116)</f>
        <v>31851690</v>
      </c>
      <c r="L116" s="1356">
        <f>SUMIFS(Sheet1!S71_OY1AdjustedBudget,Sheet1!S71_SA1SubCode,$AC:$AC)</f>
        <v>14788207</v>
      </c>
      <c r="M116" s="1357">
        <f>SUMIFS(Sheet1!S71_OY2AdjustedBudget,Sheet1!S71_SA1SubCode,$AC:$AC)</f>
        <v>15738539</v>
      </c>
      <c r="N116" s="126"/>
      <c r="AC116" s="1339" t="s">
        <v>1903</v>
      </c>
    </row>
    <row r="117" spans="1:29" ht="12.75" hidden="1" customHeight="1" x14ac:dyDescent="0.25">
      <c r="A117" s="1317"/>
      <c r="B117" s="286"/>
      <c r="C117" s="130"/>
      <c r="D117" s="130"/>
      <c r="E117" s="130"/>
      <c r="F117" s="130"/>
      <c r="G117" s="130"/>
      <c r="H117" s="130"/>
      <c r="I117" s="130"/>
      <c r="J117" s="130"/>
      <c r="K117" s="130"/>
      <c r="L117" s="130"/>
      <c r="M117" s="131"/>
      <c r="N117" s="126"/>
    </row>
    <row r="118" spans="1:29" ht="12.75" hidden="1" customHeight="1" x14ac:dyDescent="0.25">
      <c r="A118" s="1317"/>
      <c r="B118" s="286"/>
      <c r="C118" s="130"/>
      <c r="D118" s="130"/>
      <c r="E118" s="130"/>
      <c r="F118" s="130"/>
      <c r="G118" s="130"/>
      <c r="H118" s="130"/>
      <c r="I118" s="130"/>
      <c r="J118" s="130"/>
      <c r="K118" s="130"/>
      <c r="L118" s="130"/>
      <c r="M118" s="131"/>
      <c r="N118" s="126"/>
    </row>
    <row r="119" spans="1:29" ht="12.75" hidden="1" customHeight="1" x14ac:dyDescent="0.25">
      <c r="A119" s="1317"/>
      <c r="B119" s="286"/>
      <c r="C119" s="130"/>
      <c r="D119" s="130"/>
      <c r="E119" s="130"/>
      <c r="F119" s="130"/>
      <c r="G119" s="130"/>
      <c r="H119" s="130"/>
      <c r="I119" s="130"/>
      <c r="J119" s="130"/>
      <c r="K119" s="130"/>
      <c r="L119" s="130"/>
      <c r="M119" s="131"/>
      <c r="N119" s="126"/>
    </row>
    <row r="120" spans="1:29" ht="12.75" hidden="1" customHeight="1" x14ac:dyDescent="0.25">
      <c r="A120" s="1317"/>
      <c r="B120" s="286"/>
      <c r="C120" s="130"/>
      <c r="D120" s="130"/>
      <c r="E120" s="130"/>
      <c r="F120" s="130"/>
      <c r="G120" s="130"/>
      <c r="H120" s="130"/>
      <c r="I120" s="130"/>
      <c r="J120" s="130"/>
      <c r="K120" s="130"/>
      <c r="L120" s="130"/>
      <c r="M120" s="131"/>
      <c r="N120" s="126"/>
    </row>
    <row r="121" spans="1:29" ht="12.75" hidden="1" customHeight="1" x14ac:dyDescent="0.25">
      <c r="A121" s="1317"/>
      <c r="B121" s="286"/>
      <c r="C121" s="130"/>
      <c r="D121" s="130"/>
      <c r="E121" s="130"/>
      <c r="F121" s="130"/>
      <c r="G121" s="130"/>
      <c r="H121" s="130"/>
      <c r="I121" s="130"/>
      <c r="J121" s="130"/>
      <c r="K121" s="130"/>
      <c r="L121" s="130"/>
      <c r="M121" s="131"/>
      <c r="N121" s="126"/>
    </row>
    <row r="122" spans="1:29" ht="12.75" hidden="1" customHeight="1" x14ac:dyDescent="0.25">
      <c r="A122" s="1317"/>
      <c r="B122" s="286"/>
      <c r="C122" s="130"/>
      <c r="D122" s="130"/>
      <c r="E122" s="130"/>
      <c r="F122" s="130"/>
      <c r="G122" s="130"/>
      <c r="H122" s="130"/>
      <c r="I122" s="130"/>
      <c r="J122" s="130"/>
      <c r="K122" s="130"/>
      <c r="L122" s="130"/>
      <c r="M122" s="131"/>
      <c r="N122" s="126"/>
    </row>
    <row r="123" spans="1:29" ht="12.75" hidden="1" customHeight="1" x14ac:dyDescent="0.25">
      <c r="A123" s="1317"/>
      <c r="B123" s="286"/>
      <c r="C123" s="130"/>
      <c r="D123" s="130"/>
      <c r="E123" s="130"/>
      <c r="F123" s="130"/>
      <c r="G123" s="130"/>
      <c r="H123" s="130"/>
      <c r="I123" s="130"/>
      <c r="J123" s="130"/>
      <c r="K123" s="130"/>
      <c r="L123" s="130"/>
      <c r="M123" s="131"/>
      <c r="N123" s="126"/>
    </row>
    <row r="124" spans="1:29" ht="12.75" hidden="1" customHeight="1" x14ac:dyDescent="0.25">
      <c r="A124" s="1317"/>
      <c r="B124" s="286"/>
      <c r="C124" s="130"/>
      <c r="D124" s="130"/>
      <c r="E124" s="130"/>
      <c r="F124" s="130"/>
      <c r="G124" s="130"/>
      <c r="H124" s="130"/>
      <c r="I124" s="130"/>
      <c r="J124" s="130"/>
      <c r="K124" s="130"/>
      <c r="L124" s="130"/>
      <c r="M124" s="131"/>
      <c r="N124" s="126"/>
    </row>
    <row r="125" spans="1:29" ht="12.75" hidden="1" customHeight="1" x14ac:dyDescent="0.25">
      <c r="A125" s="1317"/>
      <c r="B125" s="286"/>
      <c r="C125" s="130"/>
      <c r="D125" s="130"/>
      <c r="E125" s="130"/>
      <c r="F125" s="130"/>
      <c r="G125" s="130"/>
      <c r="H125" s="130"/>
      <c r="I125" s="130"/>
      <c r="J125" s="130"/>
      <c r="K125" s="130"/>
      <c r="L125" s="130"/>
      <c r="M125" s="131"/>
      <c r="N125" s="126"/>
    </row>
    <row r="126" spans="1:29" ht="12.75" hidden="1" customHeight="1" x14ac:dyDescent="0.25">
      <c r="A126" s="1317"/>
      <c r="B126" s="286"/>
      <c r="C126" s="130"/>
      <c r="D126" s="130"/>
      <c r="E126" s="130"/>
      <c r="F126" s="130"/>
      <c r="G126" s="130"/>
      <c r="H126" s="130"/>
      <c r="I126" s="130"/>
      <c r="J126" s="130"/>
      <c r="K126" s="130"/>
      <c r="L126" s="130"/>
      <c r="M126" s="131"/>
      <c r="N126" s="126"/>
    </row>
    <row r="127" spans="1:29" ht="12.75" hidden="1" customHeight="1" x14ac:dyDescent="0.25">
      <c r="A127" s="1317"/>
      <c r="B127" s="286"/>
      <c r="C127" s="130"/>
      <c r="D127" s="130"/>
      <c r="E127" s="130"/>
      <c r="F127" s="130"/>
      <c r="G127" s="130"/>
      <c r="H127" s="130"/>
      <c r="I127" s="130"/>
      <c r="J127" s="130"/>
      <c r="K127" s="130"/>
      <c r="L127" s="130"/>
      <c r="M127" s="131"/>
      <c r="N127" s="126"/>
    </row>
    <row r="128" spans="1:29" ht="12.75" hidden="1" customHeight="1" x14ac:dyDescent="0.25">
      <c r="A128" s="1317"/>
      <c r="B128" s="286"/>
      <c r="C128" s="130"/>
      <c r="D128" s="130"/>
      <c r="E128" s="130"/>
      <c r="F128" s="130"/>
      <c r="G128" s="130"/>
      <c r="H128" s="130"/>
      <c r="I128" s="130"/>
      <c r="J128" s="130"/>
      <c r="K128" s="130"/>
      <c r="L128" s="130"/>
      <c r="M128" s="131"/>
      <c r="N128" s="126"/>
    </row>
    <row r="129" spans="1:14" ht="12.75" hidden="1" customHeight="1" x14ac:dyDescent="0.25">
      <c r="A129" s="1317"/>
      <c r="B129" s="286"/>
      <c r="C129" s="130"/>
      <c r="D129" s="130"/>
      <c r="E129" s="130"/>
      <c r="F129" s="130"/>
      <c r="G129" s="130"/>
      <c r="H129" s="130"/>
      <c r="I129" s="130"/>
      <c r="J129" s="130"/>
      <c r="K129" s="130"/>
      <c r="L129" s="130"/>
      <c r="M129" s="131"/>
      <c r="N129" s="126"/>
    </row>
    <row r="130" spans="1:14" ht="12.75" hidden="1" customHeight="1" x14ac:dyDescent="0.25">
      <c r="A130" s="1317"/>
      <c r="B130" s="286"/>
      <c r="C130" s="130"/>
      <c r="D130" s="130"/>
      <c r="E130" s="130"/>
      <c r="F130" s="130"/>
      <c r="G130" s="130"/>
      <c r="H130" s="130"/>
      <c r="I130" s="130"/>
      <c r="J130" s="130"/>
      <c r="K130" s="130"/>
      <c r="L130" s="130"/>
      <c r="M130" s="131"/>
      <c r="N130" s="126"/>
    </row>
    <row r="131" spans="1:14" ht="12.75" hidden="1" customHeight="1" x14ac:dyDescent="0.25">
      <c r="A131" s="1317"/>
      <c r="B131" s="286"/>
      <c r="C131" s="130"/>
      <c r="D131" s="130"/>
      <c r="E131" s="130"/>
      <c r="F131" s="130"/>
      <c r="G131" s="130"/>
      <c r="H131" s="130"/>
      <c r="I131" s="130"/>
      <c r="J131" s="130"/>
      <c r="K131" s="130"/>
      <c r="L131" s="130"/>
      <c r="M131" s="131"/>
      <c r="N131" s="126"/>
    </row>
    <row r="132" spans="1:14" ht="12.75" hidden="1" customHeight="1" x14ac:dyDescent="0.25">
      <c r="A132" s="1317"/>
      <c r="B132" s="286"/>
      <c r="C132" s="130"/>
      <c r="D132" s="130"/>
      <c r="E132" s="130"/>
      <c r="F132" s="130"/>
      <c r="G132" s="130"/>
      <c r="H132" s="130"/>
      <c r="I132" s="130"/>
      <c r="J132" s="130"/>
      <c r="K132" s="130"/>
      <c r="L132" s="130"/>
      <c r="M132" s="131"/>
      <c r="N132" s="126"/>
    </row>
    <row r="133" spans="1:14" ht="12.75" hidden="1" customHeight="1" x14ac:dyDescent="0.25">
      <c r="A133" s="1317"/>
      <c r="B133" s="286"/>
      <c r="C133" s="130"/>
      <c r="D133" s="130"/>
      <c r="E133" s="130"/>
      <c r="F133" s="130"/>
      <c r="G133" s="130"/>
      <c r="H133" s="130"/>
      <c r="I133" s="130"/>
      <c r="J133" s="130"/>
      <c r="K133" s="130"/>
      <c r="L133" s="130"/>
      <c r="M133" s="131"/>
      <c r="N133" s="126"/>
    </row>
    <row r="134" spans="1:14" ht="12.75" hidden="1" customHeight="1" x14ac:dyDescent="0.25">
      <c r="A134" s="1317"/>
      <c r="B134" s="286"/>
      <c r="C134" s="130"/>
      <c r="D134" s="130"/>
      <c r="E134" s="130"/>
      <c r="F134" s="130"/>
      <c r="G134" s="130"/>
      <c r="H134" s="130"/>
      <c r="I134" s="130"/>
      <c r="J134" s="130"/>
      <c r="K134" s="130"/>
      <c r="L134" s="130"/>
      <c r="M134" s="131"/>
      <c r="N134" s="126"/>
    </row>
    <row r="135" spans="1:14" ht="12.75" hidden="1" customHeight="1" x14ac:dyDescent="0.25">
      <c r="A135" s="1317"/>
      <c r="B135" s="286"/>
      <c r="C135" s="130"/>
      <c r="D135" s="130"/>
      <c r="E135" s="130"/>
      <c r="F135" s="130"/>
      <c r="G135" s="130"/>
      <c r="H135" s="130"/>
      <c r="I135" s="130"/>
      <c r="J135" s="130"/>
      <c r="K135" s="130"/>
      <c r="L135" s="130"/>
      <c r="M135" s="131"/>
      <c r="N135" s="126"/>
    </row>
    <row r="136" spans="1:14" ht="12.75" hidden="1" customHeight="1" x14ac:dyDescent="0.25">
      <c r="A136" s="1317"/>
      <c r="B136" s="286"/>
      <c r="C136" s="130"/>
      <c r="D136" s="130"/>
      <c r="E136" s="130"/>
      <c r="F136" s="130"/>
      <c r="G136" s="130"/>
      <c r="H136" s="130"/>
      <c r="I136" s="130"/>
      <c r="J136" s="130"/>
      <c r="K136" s="130"/>
      <c r="L136" s="130"/>
      <c r="M136" s="131"/>
      <c r="N136" s="126"/>
    </row>
    <row r="137" spans="1:14" ht="12.75" hidden="1" customHeight="1" x14ac:dyDescent="0.25">
      <c r="A137" s="1317"/>
      <c r="B137" s="286"/>
      <c r="C137" s="130"/>
      <c r="D137" s="130"/>
      <c r="E137" s="130"/>
      <c r="F137" s="130"/>
      <c r="G137" s="130"/>
      <c r="H137" s="130"/>
      <c r="I137" s="130"/>
      <c r="J137" s="130"/>
      <c r="K137" s="130"/>
      <c r="L137" s="130"/>
      <c r="M137" s="131"/>
      <c r="N137" s="126"/>
    </row>
    <row r="138" spans="1:14" ht="12.75" hidden="1" customHeight="1" x14ac:dyDescent="0.25">
      <c r="A138" s="1317"/>
      <c r="B138" s="286"/>
      <c r="C138" s="270"/>
      <c r="D138" s="270"/>
      <c r="E138" s="270"/>
      <c r="F138" s="270"/>
      <c r="G138" s="270"/>
      <c r="H138" s="270"/>
      <c r="I138" s="270"/>
      <c r="J138" s="270"/>
      <c r="K138" s="270"/>
      <c r="L138" s="270"/>
      <c r="M138" s="273"/>
      <c r="N138" s="126"/>
    </row>
    <row r="139" spans="1:14" ht="12.75" hidden="1" customHeight="1" x14ac:dyDescent="0.25">
      <c r="A139" s="289"/>
      <c r="B139" s="286"/>
      <c r="C139" s="138"/>
      <c r="D139" s="138"/>
      <c r="E139" s="139"/>
      <c r="F139" s="139"/>
      <c r="G139" s="139"/>
      <c r="H139" s="139"/>
      <c r="I139" s="139"/>
      <c r="J139" s="139"/>
      <c r="K139" s="139"/>
      <c r="L139" s="139"/>
      <c r="M139" s="140"/>
      <c r="N139" s="126"/>
    </row>
    <row r="140" spans="1:14" ht="12.75" hidden="1" customHeight="1" x14ac:dyDescent="0.25">
      <c r="A140" s="163"/>
      <c r="B140" s="286"/>
      <c r="C140" s="129"/>
      <c r="D140" s="130"/>
      <c r="E140" s="130"/>
      <c r="F140" s="130"/>
      <c r="G140" s="130"/>
      <c r="H140" s="130"/>
      <c r="I140" s="130"/>
      <c r="J140" s="130"/>
      <c r="K140" s="130"/>
      <c r="L140" s="130"/>
      <c r="M140" s="131"/>
      <c r="N140" s="126"/>
    </row>
    <row r="141" spans="1:14" ht="12.75" hidden="1" customHeight="1" x14ac:dyDescent="0.25">
      <c r="A141" s="161"/>
      <c r="B141" s="286"/>
      <c r="C141" s="129"/>
      <c r="D141" s="130"/>
      <c r="E141" s="130"/>
      <c r="F141" s="130"/>
      <c r="G141" s="130"/>
      <c r="H141" s="130"/>
      <c r="I141" s="130"/>
      <c r="J141" s="130"/>
      <c r="K141" s="130"/>
      <c r="L141" s="130"/>
      <c r="M141" s="131"/>
      <c r="N141" s="126"/>
    </row>
    <row r="142" spans="1:14" ht="12.75" hidden="1" customHeight="1" x14ac:dyDescent="0.25">
      <c r="A142" s="161"/>
      <c r="B142" s="286"/>
      <c r="C142" s="129"/>
      <c r="D142" s="130"/>
      <c r="E142" s="130"/>
      <c r="F142" s="130"/>
      <c r="G142" s="130"/>
      <c r="H142" s="130"/>
      <c r="I142" s="130"/>
      <c r="J142" s="130"/>
      <c r="K142" s="130"/>
      <c r="L142" s="130"/>
      <c r="M142" s="131"/>
      <c r="N142" s="126"/>
    </row>
    <row r="143" spans="1:14" ht="12.75" hidden="1" customHeight="1" x14ac:dyDescent="0.25">
      <c r="A143" s="161"/>
      <c r="B143" s="286"/>
      <c r="C143" s="129"/>
      <c r="D143" s="130"/>
      <c r="E143" s="130"/>
      <c r="F143" s="130"/>
      <c r="G143" s="130"/>
      <c r="H143" s="130"/>
      <c r="I143" s="130"/>
      <c r="J143" s="130"/>
      <c r="K143" s="130"/>
      <c r="L143" s="130"/>
      <c r="M143" s="131"/>
      <c r="N143" s="126"/>
    </row>
    <row r="144" spans="1:14" ht="12.75" hidden="1" customHeight="1" x14ac:dyDescent="0.25">
      <c r="A144" s="161"/>
      <c r="B144" s="286"/>
      <c r="C144" s="129"/>
      <c r="D144" s="130"/>
      <c r="E144" s="130"/>
      <c r="F144" s="130"/>
      <c r="G144" s="130"/>
      <c r="H144" s="130"/>
      <c r="I144" s="130"/>
      <c r="J144" s="130"/>
      <c r="K144" s="130"/>
      <c r="L144" s="130"/>
      <c r="M144" s="131"/>
      <c r="N144" s="126"/>
    </row>
    <row r="145" spans="1:30" ht="12.75" customHeight="1" x14ac:dyDescent="0.25">
      <c r="A145" s="137" t="s">
        <v>1803</v>
      </c>
      <c r="B145" s="286"/>
      <c r="C145" s="148">
        <f>SUM(C114:C116)</f>
        <v>30419837</v>
      </c>
      <c r="D145" s="149">
        <f t="shared" ref="D145:M145" si="15">SUM(D114:D116)</f>
        <v>30419837</v>
      </c>
      <c r="E145" s="149">
        <f t="shared" si="15"/>
        <v>0</v>
      </c>
      <c r="F145" s="149">
        <f t="shared" si="15"/>
        <v>0</v>
      </c>
      <c r="G145" s="149">
        <f t="shared" si="15"/>
        <v>0</v>
      </c>
      <c r="H145" s="149">
        <f t="shared" si="15"/>
        <v>0</v>
      </c>
      <c r="I145" s="149">
        <f t="shared" si="15"/>
        <v>13503155</v>
      </c>
      <c r="J145" s="149">
        <f t="shared" si="15"/>
        <v>13503155</v>
      </c>
      <c r="K145" s="149">
        <f t="shared" si="15"/>
        <v>43922992</v>
      </c>
      <c r="L145" s="149">
        <f t="shared" si="15"/>
        <v>28336361</v>
      </c>
      <c r="M145" s="150">
        <f t="shared" si="15"/>
        <v>30244169</v>
      </c>
      <c r="N145" s="126"/>
    </row>
    <row r="146" spans="1:30" ht="5.0999999999999996" customHeight="1" x14ac:dyDescent="0.25">
      <c r="A146" s="134"/>
      <c r="B146" s="286"/>
      <c r="C146" s="74"/>
      <c r="D146" s="75"/>
      <c r="E146" s="75"/>
      <c r="F146" s="75"/>
      <c r="G146" s="75"/>
      <c r="H146" s="75"/>
      <c r="I146" s="75"/>
      <c r="J146" s="75"/>
      <c r="K146" s="75"/>
      <c r="L146" s="75"/>
      <c r="M146" s="76"/>
      <c r="N146" s="126"/>
    </row>
    <row r="147" spans="1:30" ht="12.75" customHeight="1" x14ac:dyDescent="0.25">
      <c r="A147" s="124" t="s">
        <v>1167</v>
      </c>
      <c r="B147" s="292"/>
      <c r="C147" s="74"/>
      <c r="D147" s="75"/>
      <c r="E147" s="75"/>
      <c r="F147" s="75"/>
      <c r="G147" s="75"/>
      <c r="H147" s="75"/>
      <c r="I147" s="75"/>
      <c r="J147" s="75"/>
      <c r="K147" s="75"/>
      <c r="L147" s="75"/>
      <c r="M147" s="76"/>
      <c r="N147" s="126"/>
    </row>
    <row r="148" spans="1:30" ht="12.75" customHeight="1" x14ac:dyDescent="0.25">
      <c r="A148" s="1325" t="s">
        <v>1168</v>
      </c>
      <c r="B148" s="286"/>
      <c r="C148" s="1355">
        <f>SUMIFS(Sheet1!S71_OriginalBudget,Sheet1!S71_SA1SubCode,$AC:$AC)</f>
        <v>0</v>
      </c>
      <c r="D148" s="1356">
        <f>SUMIFS(Sheet1!S71_SpecialAdjustedBudget,Sheet1!S71_SA1SubCode,$AC:$AC)</f>
        <v>0</v>
      </c>
      <c r="E148" s="1356"/>
      <c r="F148" s="1356"/>
      <c r="G148" s="1356"/>
      <c r="H148" s="1356"/>
      <c r="I148" s="1356">
        <f>SUMIFS(Sheet1!S71_AdjustmentAmount,Sheet1!S71_SA1SubCode,$AC:$AC)</f>
        <v>0</v>
      </c>
      <c r="J148" s="75">
        <f t="shared" ref="J148:J160" si="16">SUM(E148:I148)</f>
        <v>0</v>
      </c>
      <c r="K148" s="75">
        <f>IF(D148=0,C148+J148,D148+J148)</f>
        <v>0</v>
      </c>
      <c r="L148" s="1356">
        <f>SUMIFS(Sheet1!S71_OY1AdjustedBudget,Sheet1!S71_SA1SubCode,$AC:$AC)</f>
        <v>0</v>
      </c>
      <c r="M148" s="1357">
        <f>SUMIFS(Sheet1!S71_OY2AdjustedBudget,Sheet1!S71_SA1SubCode,$AC:$AC)</f>
        <v>0</v>
      </c>
      <c r="N148" s="126"/>
      <c r="AC148" s="1339">
        <v>2901</v>
      </c>
    </row>
    <row r="149" spans="1:30" ht="12.75" customHeight="1" x14ac:dyDescent="0.25">
      <c r="A149" s="1325" t="s">
        <v>1169</v>
      </c>
      <c r="B149" s="286"/>
      <c r="C149" s="1355">
        <f>SUMIFS(Sheet1!S71_OriginalBudget,Sheet1!S71_SA1SubCode,$AC:$AC)</f>
        <v>0</v>
      </c>
      <c r="D149" s="1356">
        <f>SUMIFS(Sheet1!S71_SpecialAdjustedBudget,Sheet1!S71_SA1SubCode,$AC:$AC)</f>
        <v>0</v>
      </c>
      <c r="E149" s="1356"/>
      <c r="F149" s="1356"/>
      <c r="G149" s="1356"/>
      <c r="H149" s="1356"/>
      <c r="I149" s="1356">
        <f>SUMIFS(Sheet1!S71_AdjustmentAmount,Sheet1!S71_SA1SubCode,$AC:$AC)</f>
        <v>0</v>
      </c>
      <c r="J149" s="75">
        <f t="shared" si="16"/>
        <v>0</v>
      </c>
      <c r="K149" s="75">
        <f>IF(D149=0,C149+J149,D149+J149)</f>
        <v>0</v>
      </c>
      <c r="L149" s="1356">
        <f>SUMIFS(Sheet1!S71_OY1AdjustedBudget,Sheet1!S71_SA1SubCode,$AC:$AC)</f>
        <v>0</v>
      </c>
      <c r="M149" s="1357">
        <f>SUMIFS(Sheet1!S71_OY2AdjustedBudget,Sheet1!S71_SA1SubCode,$AC:$AC)</f>
        <v>0</v>
      </c>
      <c r="N149" s="126"/>
      <c r="AC149" s="1339">
        <v>2902</v>
      </c>
    </row>
    <row r="150" spans="1:30" ht="12.75" customHeight="1" x14ac:dyDescent="0.25">
      <c r="A150" s="1325" t="s">
        <v>1904</v>
      </c>
      <c r="B150" s="286"/>
      <c r="C150" s="1355">
        <f>SUMIFS(Sheet1!S71_OriginalBudget,Sheet1!S71_SA1SubCode,$AC:$AC)</f>
        <v>1400898</v>
      </c>
      <c r="D150" s="1356">
        <f>SUMIFS(Sheet1!S71_SpecialAdjustedBudget,Sheet1!S71_SA1SubCode,$AC:$AC)</f>
        <v>1400898</v>
      </c>
      <c r="E150" s="1356"/>
      <c r="F150" s="1356"/>
      <c r="G150" s="1356"/>
      <c r="H150" s="1356"/>
      <c r="I150" s="1356">
        <f>SUMIFS(Sheet1!S71_AdjustmentAmount,Sheet1!S71_SA1SubCode,$AC:$AC)</f>
        <v>0</v>
      </c>
      <c r="J150" s="75">
        <f t="shared" si="16"/>
        <v>0</v>
      </c>
      <c r="K150" s="75">
        <f t="shared" ref="K150:K153" si="17">IF(D150=0,C150+J150,D150+J150)</f>
        <v>1400898</v>
      </c>
      <c r="L150" s="1356">
        <f>SUMIFS(Sheet1!S71_OY1AdjustedBudget,Sheet1!S71_SA1SubCode,$AC:$AC)</f>
        <v>1540988</v>
      </c>
      <c r="M150" s="1357">
        <f>SUMIFS(Sheet1!S71_OY2AdjustedBudget,Sheet1!S71_SA1SubCode,$AC:$AC)</f>
        <v>1695086</v>
      </c>
      <c r="N150" s="126"/>
      <c r="AC150" s="1339">
        <v>2903</v>
      </c>
    </row>
    <row r="151" spans="1:30" ht="12.75" customHeight="1" x14ac:dyDescent="0.25">
      <c r="A151" s="1325" t="s">
        <v>1170</v>
      </c>
      <c r="B151" s="286"/>
      <c r="C151" s="1355">
        <f>SUMIFS(Sheet1!S71_OriginalBudget,Sheet1!S71_SA1SubCode,$AC:$AC)</f>
        <v>17661262</v>
      </c>
      <c r="D151" s="1356">
        <f>SUMIFS(Sheet1!S71_SpecialAdjustedBudget,Sheet1!S71_SA1SubCode,$AC:$AC)</f>
        <v>17661262</v>
      </c>
      <c r="E151" s="1356"/>
      <c r="F151" s="1356"/>
      <c r="G151" s="1356"/>
      <c r="H151" s="1356"/>
      <c r="I151" s="1356">
        <f>SUMIFS(Sheet1!S71_AdjustmentAmount,Sheet1!S71_SA1SubCode,$AC:$AC)</f>
        <v>7487612</v>
      </c>
      <c r="J151" s="75">
        <f t="shared" si="16"/>
        <v>7487612</v>
      </c>
      <c r="K151" s="75">
        <f t="shared" si="17"/>
        <v>25148874</v>
      </c>
      <c r="L151" s="1356">
        <f>SUMIFS(Sheet1!S71_OY1AdjustedBudget,Sheet1!S71_SA1SubCode,$AC:$AC)</f>
        <v>19607897</v>
      </c>
      <c r="M151" s="1357">
        <f>SUMIFS(Sheet1!S71_OY2AdjustedBudget,Sheet1!S71_SA1SubCode,$AC:$AC)</f>
        <v>20136161</v>
      </c>
      <c r="N151" s="126"/>
      <c r="AC151" s="1339">
        <v>2904</v>
      </c>
    </row>
    <row r="152" spans="1:30" s="126" customFormat="1" ht="12.75" customHeight="1" x14ac:dyDescent="0.25">
      <c r="A152" s="1325" t="s">
        <v>1905</v>
      </c>
      <c r="B152" s="1327"/>
      <c r="C152" s="1355">
        <f>SUMIFS(Sheet1!S71_OriginalBudget,Sheet1!S71_SA1SubCode,$AC:$AC)</f>
        <v>0</v>
      </c>
      <c r="D152" s="1356">
        <f>SUMIFS(Sheet1!S71_SpecialAdjustedBudget,Sheet1!S71_SA1SubCode,$AC:$AC)</f>
        <v>0</v>
      </c>
      <c r="E152" s="1356"/>
      <c r="F152" s="1356"/>
      <c r="G152" s="1356"/>
      <c r="H152" s="1356"/>
      <c r="I152" s="1356">
        <f>SUMIFS(Sheet1!S71_AdjustmentAmount,Sheet1!S71_SA1SubCode,$AC:$AC)</f>
        <v>0</v>
      </c>
      <c r="J152" s="75">
        <f t="shared" si="16"/>
        <v>0</v>
      </c>
      <c r="K152" s="75">
        <f t="shared" si="17"/>
        <v>0</v>
      </c>
      <c r="L152" s="1356">
        <f>SUMIFS(Sheet1!S71_OY1AdjustedBudget,Sheet1!S71_SA1SubCode,$AC:$AC)</f>
        <v>0</v>
      </c>
      <c r="M152" s="1357">
        <f>SUMIFS(Sheet1!S71_OY2AdjustedBudget,Sheet1!S71_SA1SubCode,$AC:$AC)</f>
        <v>0</v>
      </c>
      <c r="AC152" s="1339">
        <v>2905</v>
      </c>
      <c r="AD152" s="1354"/>
    </row>
    <row r="153" spans="1:30" ht="12.75" customHeight="1" x14ac:dyDescent="0.25">
      <c r="A153" s="1326" t="s">
        <v>1432</v>
      </c>
      <c r="B153" s="286"/>
      <c r="C153" s="1355">
        <f>SUMIFS(Sheet1!S71_OriginalBudget,Sheet1!S71_SA1SubCode,$AC:$AC)</f>
        <v>0</v>
      </c>
      <c r="D153" s="1356">
        <f>SUMIFS(Sheet1!S71_SpecialAdjustedBudget,Sheet1!S71_SA1SubCode,$AC:$AC)</f>
        <v>0</v>
      </c>
      <c r="E153" s="1356"/>
      <c r="F153" s="1356"/>
      <c r="G153" s="1356"/>
      <c r="H153" s="1356"/>
      <c r="I153" s="1356">
        <f>SUMIFS(Sheet1!S71_AdjustmentAmount,Sheet1!S71_SA1SubCode,$AC:$AC)</f>
        <v>0</v>
      </c>
      <c r="J153" s="75">
        <f t="shared" si="16"/>
        <v>0</v>
      </c>
      <c r="K153" s="75">
        <f t="shared" si="17"/>
        <v>0</v>
      </c>
      <c r="L153" s="1356">
        <f>SUMIFS(Sheet1!S71_OY1AdjustedBudget,Sheet1!S71_SA1SubCode,$AC:$AC)</f>
        <v>0</v>
      </c>
      <c r="M153" s="1357">
        <f>SUMIFS(Sheet1!S71_OY2AdjustedBudget,Sheet1!S71_SA1SubCode,$AC:$AC)</f>
        <v>0</v>
      </c>
      <c r="N153" s="126"/>
      <c r="AC153" s="1339">
        <v>2906</v>
      </c>
    </row>
    <row r="154" spans="1:30" ht="12.75" customHeight="1" x14ac:dyDescent="0.25">
      <c r="A154" s="1317"/>
      <c r="B154" s="286"/>
      <c r="C154" s="1355"/>
      <c r="D154" s="1356"/>
      <c r="E154" s="1356"/>
      <c r="F154" s="1356"/>
      <c r="G154" s="1356"/>
      <c r="H154" s="1356"/>
      <c r="I154" s="1356"/>
      <c r="J154" s="75">
        <f t="shared" si="16"/>
        <v>0</v>
      </c>
      <c r="K154" s="75">
        <f t="shared" ref="K154:K160" si="18">IF(D154=0,C154+J154,D154+J154)</f>
        <v>0</v>
      </c>
      <c r="L154" s="1356"/>
      <c r="M154" s="1357"/>
      <c r="N154" s="126"/>
    </row>
    <row r="155" spans="1:30" ht="12.75" customHeight="1" x14ac:dyDescent="0.25">
      <c r="A155" s="1317"/>
      <c r="B155" s="286"/>
      <c r="C155" s="1355"/>
      <c r="D155" s="1356"/>
      <c r="E155" s="1356"/>
      <c r="F155" s="1356"/>
      <c r="G155" s="1356"/>
      <c r="H155" s="1356"/>
      <c r="I155" s="1356"/>
      <c r="J155" s="75">
        <f t="shared" si="16"/>
        <v>0</v>
      </c>
      <c r="K155" s="75">
        <f t="shared" si="18"/>
        <v>0</v>
      </c>
      <c r="L155" s="1356"/>
      <c r="M155" s="1357"/>
      <c r="N155" s="126"/>
    </row>
    <row r="156" spans="1:30" ht="12.75" customHeight="1" x14ac:dyDescent="0.25">
      <c r="A156" s="1317"/>
      <c r="B156" s="286"/>
      <c r="C156" s="1355"/>
      <c r="D156" s="1356"/>
      <c r="E156" s="1356"/>
      <c r="F156" s="1356"/>
      <c r="G156" s="1356"/>
      <c r="H156" s="1356"/>
      <c r="I156" s="1356"/>
      <c r="J156" s="75">
        <f t="shared" si="16"/>
        <v>0</v>
      </c>
      <c r="K156" s="75">
        <f t="shared" si="18"/>
        <v>0</v>
      </c>
      <c r="L156" s="1356"/>
      <c r="M156" s="1357"/>
      <c r="N156" s="126"/>
    </row>
    <row r="157" spans="1:30" ht="12.75" customHeight="1" x14ac:dyDescent="0.25">
      <c r="A157" s="1317"/>
      <c r="B157" s="286"/>
      <c r="C157" s="1355"/>
      <c r="D157" s="1356"/>
      <c r="E157" s="1356"/>
      <c r="F157" s="1356"/>
      <c r="G157" s="1356"/>
      <c r="H157" s="1356"/>
      <c r="I157" s="1356"/>
      <c r="J157" s="75">
        <f t="shared" si="16"/>
        <v>0</v>
      </c>
      <c r="K157" s="75">
        <f t="shared" si="18"/>
        <v>0</v>
      </c>
      <c r="L157" s="1356"/>
      <c r="M157" s="1357"/>
      <c r="N157" s="126"/>
    </row>
    <row r="158" spans="1:30" ht="12.75" customHeight="1" x14ac:dyDescent="0.25">
      <c r="A158" s="1317"/>
      <c r="B158" s="286"/>
      <c r="C158" s="1355"/>
      <c r="D158" s="1356"/>
      <c r="E158" s="1356"/>
      <c r="F158" s="1356"/>
      <c r="G158" s="1356"/>
      <c r="H158" s="1356"/>
      <c r="I158" s="1356"/>
      <c r="J158" s="75">
        <f t="shared" si="16"/>
        <v>0</v>
      </c>
      <c r="K158" s="75">
        <f t="shared" si="18"/>
        <v>0</v>
      </c>
      <c r="L158" s="1356"/>
      <c r="M158" s="1357"/>
      <c r="N158" s="126"/>
    </row>
    <row r="159" spans="1:30" ht="12.75" customHeight="1" x14ac:dyDescent="0.25">
      <c r="A159" s="1317"/>
      <c r="B159" s="286"/>
      <c r="C159" s="1355"/>
      <c r="D159" s="1356"/>
      <c r="E159" s="1356"/>
      <c r="F159" s="1356"/>
      <c r="G159" s="1356"/>
      <c r="H159" s="1356"/>
      <c r="I159" s="1356"/>
      <c r="J159" s="75">
        <f t="shared" si="16"/>
        <v>0</v>
      </c>
      <c r="K159" s="75">
        <f t="shared" si="18"/>
        <v>0</v>
      </c>
      <c r="L159" s="1356"/>
      <c r="M159" s="1357"/>
      <c r="N159" s="126"/>
    </row>
    <row r="160" spans="1:30" ht="12.75" customHeight="1" x14ac:dyDescent="0.25">
      <c r="A160" s="1317"/>
      <c r="B160" s="286"/>
      <c r="C160" s="1355"/>
      <c r="D160" s="1356"/>
      <c r="E160" s="1356"/>
      <c r="F160" s="1356"/>
      <c r="G160" s="1356"/>
      <c r="H160" s="1356"/>
      <c r="I160" s="1356"/>
      <c r="J160" s="75">
        <f t="shared" si="16"/>
        <v>0</v>
      </c>
      <c r="K160" s="75">
        <f t="shared" si="18"/>
        <v>0</v>
      </c>
      <c r="L160" s="1356"/>
      <c r="M160" s="1357"/>
      <c r="N160" s="126"/>
    </row>
    <row r="161" spans="1:14" ht="12.75" hidden="1" customHeight="1" x14ac:dyDescent="0.25">
      <c r="A161" s="1317"/>
      <c r="B161" s="286"/>
      <c r="C161" s="129"/>
      <c r="D161" s="130"/>
      <c r="E161" s="130"/>
      <c r="F161" s="130"/>
      <c r="G161" s="130"/>
      <c r="H161" s="130"/>
      <c r="I161" s="130"/>
      <c r="J161" s="130"/>
      <c r="K161" s="130"/>
      <c r="L161" s="130"/>
      <c r="M161" s="131"/>
      <c r="N161" s="126"/>
    </row>
    <row r="162" spans="1:14" ht="12.75" hidden="1" customHeight="1" x14ac:dyDescent="0.25">
      <c r="A162" s="1317"/>
      <c r="B162" s="286"/>
      <c r="C162" s="129"/>
      <c r="D162" s="130"/>
      <c r="E162" s="130"/>
      <c r="F162" s="130"/>
      <c r="G162" s="130"/>
      <c r="H162" s="130"/>
      <c r="I162" s="130"/>
      <c r="J162" s="130"/>
      <c r="K162" s="130"/>
      <c r="L162" s="130"/>
      <c r="M162" s="131"/>
      <c r="N162" s="126"/>
    </row>
    <row r="163" spans="1:14" ht="12.75" hidden="1" customHeight="1" x14ac:dyDescent="0.25">
      <c r="A163" s="1317"/>
      <c r="B163" s="286"/>
      <c r="C163" s="129"/>
      <c r="D163" s="130"/>
      <c r="E163" s="130"/>
      <c r="F163" s="130"/>
      <c r="G163" s="130"/>
      <c r="H163" s="130"/>
      <c r="I163" s="130"/>
      <c r="J163" s="130"/>
      <c r="K163" s="130"/>
      <c r="L163" s="130"/>
      <c r="M163" s="131"/>
      <c r="N163" s="126"/>
    </row>
    <row r="164" spans="1:14" ht="12.75" hidden="1" customHeight="1" x14ac:dyDescent="0.25">
      <c r="A164" s="1317"/>
      <c r="B164" s="286"/>
      <c r="C164" s="129"/>
      <c r="D164" s="130"/>
      <c r="E164" s="130"/>
      <c r="F164" s="130"/>
      <c r="G164" s="130"/>
      <c r="H164" s="130"/>
      <c r="I164" s="130"/>
      <c r="J164" s="130"/>
      <c r="K164" s="130"/>
      <c r="L164" s="130"/>
      <c r="M164" s="131"/>
      <c r="N164" s="126"/>
    </row>
    <row r="165" spans="1:14" ht="12.75" hidden="1" customHeight="1" x14ac:dyDescent="0.25">
      <c r="A165" s="1317"/>
      <c r="B165" s="286"/>
      <c r="C165" s="129"/>
      <c r="D165" s="130"/>
      <c r="E165" s="130"/>
      <c r="F165" s="130"/>
      <c r="G165" s="130"/>
      <c r="H165" s="130"/>
      <c r="I165" s="130"/>
      <c r="J165" s="130"/>
      <c r="K165" s="130"/>
      <c r="L165" s="130"/>
      <c r="M165" s="131"/>
      <c r="N165" s="126"/>
    </row>
    <row r="166" spans="1:14" ht="12.75" hidden="1" customHeight="1" x14ac:dyDescent="0.25">
      <c r="A166" s="1317"/>
      <c r="B166" s="286"/>
      <c r="C166" s="129"/>
      <c r="D166" s="130"/>
      <c r="E166" s="130"/>
      <c r="F166" s="130"/>
      <c r="G166" s="130"/>
      <c r="H166" s="130"/>
      <c r="I166" s="130"/>
      <c r="J166" s="130"/>
      <c r="K166" s="130"/>
      <c r="L166" s="130"/>
      <c r="M166" s="131"/>
      <c r="N166" s="126"/>
    </row>
    <row r="167" spans="1:14" ht="12.75" hidden="1" customHeight="1" x14ac:dyDescent="0.25">
      <c r="A167" s="1317"/>
      <c r="B167" s="286"/>
      <c r="C167" s="129"/>
      <c r="D167" s="130"/>
      <c r="E167" s="130"/>
      <c r="F167" s="130"/>
      <c r="G167" s="130"/>
      <c r="H167" s="130"/>
      <c r="I167" s="130"/>
      <c r="J167" s="130"/>
      <c r="K167" s="130"/>
      <c r="L167" s="130"/>
      <c r="M167" s="131"/>
      <c r="N167" s="126"/>
    </row>
    <row r="168" spans="1:14" ht="12.75" hidden="1" customHeight="1" x14ac:dyDescent="0.25">
      <c r="A168" s="748"/>
      <c r="B168" s="286"/>
      <c r="C168" s="129"/>
      <c r="D168" s="130"/>
      <c r="E168" s="130"/>
      <c r="F168" s="130"/>
      <c r="G168" s="130"/>
      <c r="H168" s="130"/>
      <c r="I168" s="130"/>
      <c r="J168" s="130"/>
      <c r="K168" s="130"/>
      <c r="L168" s="130"/>
      <c r="M168" s="131"/>
      <c r="N168" s="126"/>
    </row>
    <row r="169" spans="1:14" ht="12.75" hidden="1" customHeight="1" x14ac:dyDescent="0.25">
      <c r="A169" s="748"/>
      <c r="B169" s="286"/>
      <c r="C169" s="129"/>
      <c r="D169" s="130"/>
      <c r="E169" s="130"/>
      <c r="F169" s="130"/>
      <c r="G169" s="130"/>
      <c r="H169" s="130"/>
      <c r="I169" s="130"/>
      <c r="J169" s="130"/>
      <c r="K169" s="130"/>
      <c r="L169" s="130"/>
      <c r="M169" s="131"/>
      <c r="N169" s="126"/>
    </row>
    <row r="170" spans="1:14" ht="12.75" hidden="1" customHeight="1" x14ac:dyDescent="0.25">
      <c r="A170" s="748"/>
      <c r="B170" s="286"/>
      <c r="C170" s="129"/>
      <c r="D170" s="130"/>
      <c r="E170" s="130"/>
      <c r="F170" s="130"/>
      <c r="G170" s="130"/>
      <c r="H170" s="130"/>
      <c r="I170" s="130"/>
      <c r="J170" s="130"/>
      <c r="K170" s="130"/>
      <c r="L170" s="130"/>
      <c r="M170" s="131"/>
      <c r="N170" s="126"/>
    </row>
    <row r="171" spans="1:14" ht="12.75" hidden="1" customHeight="1" x14ac:dyDescent="0.25">
      <c r="A171" s="748"/>
      <c r="B171" s="286"/>
      <c r="C171" s="129"/>
      <c r="D171" s="130"/>
      <c r="E171" s="130"/>
      <c r="F171" s="130"/>
      <c r="G171" s="130"/>
      <c r="H171" s="130"/>
      <c r="I171" s="130"/>
      <c r="J171" s="130"/>
      <c r="K171" s="130"/>
      <c r="L171" s="130"/>
      <c r="M171" s="131"/>
      <c r="N171" s="126"/>
    </row>
    <row r="172" spans="1:14" ht="12.75" hidden="1" customHeight="1" x14ac:dyDescent="0.25">
      <c r="A172" s="748"/>
      <c r="B172" s="286"/>
      <c r="C172" s="129"/>
      <c r="D172" s="130"/>
      <c r="E172" s="130"/>
      <c r="F172" s="130"/>
      <c r="G172" s="130"/>
      <c r="H172" s="130"/>
      <c r="I172" s="130"/>
      <c r="J172" s="130"/>
      <c r="K172" s="130"/>
      <c r="L172" s="130"/>
      <c r="M172" s="131"/>
      <c r="N172" s="126"/>
    </row>
    <row r="173" spans="1:14" ht="12.75" hidden="1" customHeight="1" x14ac:dyDescent="0.25">
      <c r="A173" s="748"/>
      <c r="B173" s="286"/>
      <c r="C173" s="129"/>
      <c r="D173" s="130"/>
      <c r="E173" s="130"/>
      <c r="F173" s="130"/>
      <c r="G173" s="130"/>
      <c r="H173" s="130"/>
      <c r="I173" s="130"/>
      <c r="J173" s="130"/>
      <c r="K173" s="130"/>
      <c r="L173" s="130"/>
      <c r="M173" s="131"/>
      <c r="N173" s="126"/>
    </row>
    <row r="174" spans="1:14" ht="12.75" customHeight="1" x14ac:dyDescent="0.25">
      <c r="A174" s="293" t="s">
        <v>1171</v>
      </c>
      <c r="B174" s="20">
        <v>1</v>
      </c>
      <c r="C174" s="155">
        <f>SUM(C148:C160)</f>
        <v>19062160</v>
      </c>
      <c r="D174" s="155">
        <f t="shared" ref="D174:M174" si="19">SUM(D148:D160)</f>
        <v>19062160</v>
      </c>
      <c r="E174" s="155">
        <f t="shared" si="19"/>
        <v>0</v>
      </c>
      <c r="F174" s="155">
        <f t="shared" si="19"/>
        <v>0</v>
      </c>
      <c r="G174" s="155">
        <f t="shared" si="19"/>
        <v>0</v>
      </c>
      <c r="H174" s="155">
        <f t="shared" si="19"/>
        <v>0</v>
      </c>
      <c r="I174" s="155">
        <f t="shared" si="19"/>
        <v>7487612</v>
      </c>
      <c r="J174" s="155">
        <f t="shared" si="19"/>
        <v>7487612</v>
      </c>
      <c r="K174" s="155">
        <f t="shared" si="19"/>
        <v>26549772</v>
      </c>
      <c r="L174" s="155">
        <f t="shared" si="19"/>
        <v>21148885</v>
      </c>
      <c r="M174" s="155">
        <f t="shared" si="19"/>
        <v>21831247</v>
      </c>
      <c r="N174" s="126"/>
    </row>
    <row r="175" spans="1:14" ht="12.75" customHeight="1" x14ac:dyDescent="0.25">
      <c r="A175" s="1037"/>
      <c r="B175" s="1064"/>
      <c r="C175" s="1063"/>
      <c r="D175" s="1063"/>
      <c r="E175" s="771"/>
      <c r="F175" s="771"/>
      <c r="G175" s="771"/>
      <c r="H175" s="771"/>
      <c r="I175" s="771"/>
      <c r="J175" s="771"/>
      <c r="K175" s="771"/>
      <c r="L175" s="771"/>
      <c r="M175" s="773"/>
      <c r="N175" s="126"/>
    </row>
    <row r="176" spans="1:14" ht="12.75" customHeight="1" x14ac:dyDescent="0.25">
      <c r="A176" s="133" t="s">
        <v>1430</v>
      </c>
      <c r="B176" s="1065">
        <v>14</v>
      </c>
      <c r="C176" s="74"/>
      <c r="D176" s="75"/>
      <c r="E176" s="75"/>
      <c r="F176" s="75"/>
      <c r="G176" s="75"/>
      <c r="H176" s="75"/>
      <c r="I176" s="75"/>
      <c r="J176" s="75"/>
      <c r="K176" s="75"/>
      <c r="L176" s="75"/>
      <c r="M176" s="76"/>
      <c r="N176" s="126"/>
    </row>
    <row r="177" spans="1:14" ht="12.75" customHeight="1" x14ac:dyDescent="0.25">
      <c r="A177" s="127" t="s">
        <v>652</v>
      </c>
      <c r="B177" s="1065"/>
      <c r="C177" s="1355"/>
      <c r="D177" s="1356"/>
      <c r="E177" s="1356"/>
      <c r="F177" s="1356"/>
      <c r="G177" s="1356"/>
      <c r="H177" s="1356"/>
      <c r="I177" s="1356"/>
      <c r="J177" s="75">
        <f>SUM(E177:I177)</f>
        <v>0</v>
      </c>
      <c r="K177" s="75">
        <f>IF(D177=0,C177+J177,D177+J177)</f>
        <v>0</v>
      </c>
      <c r="L177" s="1356"/>
      <c r="M177" s="1357"/>
      <c r="N177" s="126"/>
    </row>
    <row r="178" spans="1:14" ht="12.75" customHeight="1" x14ac:dyDescent="0.25">
      <c r="A178" s="127" t="s">
        <v>655</v>
      </c>
      <c r="B178" s="1065"/>
      <c r="C178" s="1355"/>
      <c r="D178" s="1356"/>
      <c r="E178" s="1356"/>
      <c r="F178" s="1356"/>
      <c r="G178" s="1356"/>
      <c r="H178" s="1356"/>
      <c r="I178" s="1356"/>
      <c r="J178" s="75">
        <f>SUM(E178:I178)</f>
        <v>0</v>
      </c>
      <c r="K178" s="75">
        <f>IF(D178=0,C178+J178,D178+J178)</f>
        <v>0</v>
      </c>
      <c r="L178" s="1356"/>
      <c r="M178" s="1357"/>
      <c r="N178" s="126"/>
    </row>
    <row r="179" spans="1:14" ht="12.75" customHeight="1" x14ac:dyDescent="0.25">
      <c r="A179" s="127" t="s">
        <v>1431</v>
      </c>
      <c r="B179" s="1065"/>
      <c r="C179" s="1355">
        <f>SB18c!C169</f>
        <v>16880000</v>
      </c>
      <c r="D179" s="1355">
        <f>SB18c!D169</f>
        <v>16880000</v>
      </c>
      <c r="E179" s="1355">
        <f>SB18c!E169</f>
        <v>0</v>
      </c>
      <c r="F179" s="1355">
        <f>SB18c!F169</f>
        <v>0</v>
      </c>
      <c r="G179" s="1355">
        <f>SB18c!G169</f>
        <v>0</v>
      </c>
      <c r="H179" s="1355">
        <f>SB18c!H169</f>
        <v>0</v>
      </c>
      <c r="I179" s="1355">
        <f>SB18c!I169</f>
        <v>13950520</v>
      </c>
      <c r="J179" s="75">
        <f>SUM(E179:I179)</f>
        <v>13950520</v>
      </c>
      <c r="K179" s="75">
        <f>IF(D179=0,C179+J179,D179+J179)</f>
        <v>30830520</v>
      </c>
      <c r="L179" s="1356">
        <f>SB18c!L169</f>
        <v>13592800</v>
      </c>
      <c r="M179" s="1357">
        <f>SB18c!M169</f>
        <v>14485968</v>
      </c>
      <c r="N179" s="126"/>
    </row>
    <row r="180" spans="1:14" ht="12.75" customHeight="1" x14ac:dyDescent="0.25">
      <c r="A180" s="127" t="s">
        <v>1432</v>
      </c>
      <c r="B180" s="1065"/>
      <c r="C180" s="1355"/>
      <c r="D180" s="1356"/>
      <c r="E180" s="1356"/>
      <c r="F180" s="1356"/>
      <c r="G180" s="1356"/>
      <c r="H180" s="1356"/>
      <c r="I180" s="1356"/>
      <c r="J180" s="75">
        <f>SUM(E180:I180)</f>
        <v>0</v>
      </c>
      <c r="K180" s="75">
        <f>IF(D180=0,C180+J180,D180+J180)</f>
        <v>0</v>
      </c>
      <c r="L180" s="1356"/>
      <c r="M180" s="1357"/>
      <c r="N180" s="126"/>
    </row>
    <row r="181" spans="1:14" ht="12.75" customHeight="1" x14ac:dyDescent="0.25">
      <c r="A181" s="293" t="s">
        <v>1433</v>
      </c>
      <c r="B181" s="1066">
        <v>15</v>
      </c>
      <c r="C181" s="155">
        <f>SUM(C177:C180)</f>
        <v>16880000</v>
      </c>
      <c r="D181" s="155">
        <f t="shared" ref="D181:M181" si="20">SUM(D177:D180)</f>
        <v>16880000</v>
      </c>
      <c r="E181" s="155">
        <f t="shared" si="20"/>
        <v>0</v>
      </c>
      <c r="F181" s="155">
        <f t="shared" si="20"/>
        <v>0</v>
      </c>
      <c r="G181" s="155">
        <f t="shared" si="20"/>
        <v>0</v>
      </c>
      <c r="H181" s="155">
        <f t="shared" si="20"/>
        <v>0</v>
      </c>
      <c r="I181" s="155">
        <f t="shared" si="20"/>
        <v>13950520</v>
      </c>
      <c r="J181" s="115">
        <f t="shared" si="20"/>
        <v>13950520</v>
      </c>
      <c r="K181" s="115">
        <f t="shared" si="20"/>
        <v>30830520</v>
      </c>
      <c r="L181" s="115">
        <f t="shared" si="20"/>
        <v>13592800</v>
      </c>
      <c r="M181" s="116">
        <f t="shared" si="20"/>
        <v>14485968</v>
      </c>
      <c r="N181" s="126"/>
    </row>
    <row r="182" spans="1:14" ht="12.75" customHeight="1" x14ac:dyDescent="0.25">
      <c r="A182" s="156" t="str">
        <f>head27a</f>
        <v>References</v>
      </c>
      <c r="B182" s="93"/>
      <c r="C182" s="96"/>
      <c r="D182" s="96"/>
      <c r="E182" s="96"/>
      <c r="F182" s="96"/>
      <c r="G182" s="96"/>
      <c r="H182" s="96"/>
      <c r="I182" s="96"/>
      <c r="J182" s="96"/>
      <c r="K182" s="96"/>
      <c r="L182" s="96"/>
      <c r="M182" s="96"/>
      <c r="N182" s="126"/>
    </row>
    <row r="183" spans="1:14" ht="12.75" customHeight="1" x14ac:dyDescent="0.25">
      <c r="A183" s="99" t="s">
        <v>1176</v>
      </c>
      <c r="B183" s="93"/>
      <c r="C183" s="96"/>
      <c r="D183" s="96"/>
      <c r="E183" s="96"/>
      <c r="F183" s="96"/>
      <c r="G183" s="96"/>
      <c r="H183" s="96"/>
      <c r="I183" s="96"/>
      <c r="J183" s="96"/>
      <c r="K183" s="96"/>
      <c r="L183" s="96"/>
      <c r="M183" s="96"/>
    </row>
    <row r="184" spans="1:14" ht="12.75" customHeight="1" x14ac:dyDescent="0.25">
      <c r="A184" s="99" t="s">
        <v>1177</v>
      </c>
      <c r="B184" s="93"/>
      <c r="C184" s="96"/>
      <c r="D184" s="96"/>
      <c r="E184" s="96"/>
      <c r="F184" s="96"/>
      <c r="G184" s="96"/>
      <c r="H184" s="96"/>
      <c r="I184" s="96"/>
      <c r="J184" s="96"/>
      <c r="K184" s="96"/>
      <c r="L184" s="96"/>
      <c r="M184" s="96"/>
    </row>
    <row r="185" spans="1:14" ht="12.75" customHeight="1" x14ac:dyDescent="0.25">
      <c r="A185" s="99" t="s">
        <v>1178</v>
      </c>
      <c r="B185" s="93"/>
      <c r="C185" s="96"/>
      <c r="D185" s="96"/>
      <c r="E185" s="96"/>
      <c r="F185" s="96"/>
      <c r="G185" s="96"/>
      <c r="H185" s="96"/>
      <c r="I185" s="96"/>
      <c r="J185" s="96"/>
      <c r="K185" s="96"/>
      <c r="L185" s="96"/>
      <c r="M185" s="96"/>
    </row>
    <row r="186" spans="1:14" ht="12.75" customHeight="1" x14ac:dyDescent="0.25">
      <c r="A186" s="99" t="s">
        <v>1179</v>
      </c>
      <c r="B186" s="93"/>
      <c r="C186" s="96"/>
      <c r="D186" s="96"/>
      <c r="E186" s="96"/>
      <c r="F186" s="96"/>
      <c r="G186" s="96"/>
      <c r="H186" s="96"/>
      <c r="I186" s="96"/>
      <c r="J186" s="96"/>
      <c r="K186" s="96"/>
      <c r="L186" s="96"/>
      <c r="M186" s="96"/>
    </row>
    <row r="187" spans="1:14" ht="12.75" customHeight="1" x14ac:dyDescent="0.25">
      <c r="A187" s="99" t="s">
        <v>1180</v>
      </c>
      <c r="B187" s="93"/>
      <c r="C187" s="96"/>
      <c r="D187" s="96"/>
      <c r="E187" s="96"/>
      <c r="F187" s="96"/>
      <c r="G187" s="96"/>
      <c r="H187" s="96"/>
      <c r="I187" s="96"/>
      <c r="J187" s="96"/>
      <c r="K187" s="96"/>
      <c r="L187" s="96"/>
      <c r="M187" s="96"/>
    </row>
    <row r="188" spans="1:14" ht="12.75" customHeight="1" x14ac:dyDescent="0.25">
      <c r="A188" s="99" t="s">
        <v>162</v>
      </c>
      <c r="B188" s="99"/>
      <c r="C188" s="99"/>
      <c r="D188" s="99"/>
      <c r="E188" s="99"/>
      <c r="F188" s="99"/>
      <c r="G188" s="99"/>
      <c r="H188" s="99"/>
      <c r="I188" s="99"/>
      <c r="J188" s="99"/>
      <c r="K188" s="99"/>
      <c r="L188" s="99"/>
      <c r="M188" s="99"/>
      <c r="N188" s="54"/>
    </row>
    <row r="189" spans="1:14" ht="24.95" customHeight="1" x14ac:dyDescent="0.25">
      <c r="A189" s="1416" t="s">
        <v>1181</v>
      </c>
      <c r="B189" s="1416"/>
      <c r="C189" s="1416"/>
      <c r="D189" s="1416"/>
      <c r="E189" s="1416"/>
      <c r="F189" s="1416"/>
      <c r="G189" s="1416"/>
      <c r="H189" s="1416"/>
      <c r="I189" s="1416"/>
      <c r="J189" s="1416"/>
      <c r="K189" s="1416"/>
      <c r="L189" s="1416"/>
      <c r="M189" s="1416"/>
      <c r="N189" s="54"/>
    </row>
    <row r="190" spans="1:14" ht="12.75" customHeight="1" x14ac:dyDescent="0.25">
      <c r="A190" s="99" t="s">
        <v>1182</v>
      </c>
      <c r="B190" s="99"/>
      <c r="C190" s="99"/>
      <c r="D190" s="99"/>
      <c r="E190" s="99"/>
      <c r="F190" s="99"/>
      <c r="G190" s="99"/>
      <c r="H190" s="99"/>
      <c r="I190" s="99"/>
      <c r="J190" s="99"/>
      <c r="K190" s="99"/>
      <c r="L190" s="99"/>
      <c r="M190" s="99"/>
      <c r="N190" s="54"/>
    </row>
    <row r="191" spans="1:14" ht="12.75" customHeight="1" x14ac:dyDescent="0.25">
      <c r="A191" s="99" t="s">
        <v>1183</v>
      </c>
      <c r="B191" s="99"/>
      <c r="C191" s="99"/>
      <c r="D191" s="99"/>
      <c r="E191" s="99"/>
      <c r="F191" s="99"/>
      <c r="G191" s="99"/>
      <c r="H191" s="99"/>
      <c r="I191" s="99"/>
      <c r="J191" s="99"/>
      <c r="K191" s="99"/>
      <c r="L191" s="99"/>
      <c r="M191" s="99"/>
      <c r="N191" s="54"/>
    </row>
    <row r="192" spans="1:14" ht="12.75" customHeight="1" x14ac:dyDescent="0.25">
      <c r="A192" s="99" t="s">
        <v>1184</v>
      </c>
      <c r="B192" s="93"/>
      <c r="C192" s="96"/>
      <c r="D192" s="96"/>
      <c r="E192" s="96"/>
      <c r="F192" s="96"/>
      <c r="G192" s="96"/>
      <c r="H192" s="96"/>
      <c r="I192" s="96"/>
      <c r="J192" s="96"/>
      <c r="K192" s="96"/>
      <c r="L192" s="96"/>
      <c r="M192" s="96"/>
      <c r="N192" s="53"/>
    </row>
    <row r="193" spans="1:14" ht="27" customHeight="1" x14ac:dyDescent="0.25">
      <c r="A193" s="1416" t="s">
        <v>1193</v>
      </c>
      <c r="B193" s="1416"/>
      <c r="C193" s="1416"/>
      <c r="D193" s="1416"/>
      <c r="E193" s="1416"/>
      <c r="F193" s="1416"/>
      <c r="G193" s="1416"/>
      <c r="H193" s="1416"/>
      <c r="I193" s="1416"/>
      <c r="J193" s="1416"/>
      <c r="K193" s="1416"/>
      <c r="L193" s="1416"/>
      <c r="M193" s="1416"/>
      <c r="N193" s="53"/>
    </row>
    <row r="194" spans="1:14" ht="12.75" customHeight="1" x14ac:dyDescent="0.25">
      <c r="A194" s="99" t="s">
        <v>1194</v>
      </c>
      <c r="B194" s="93"/>
      <c r="C194" s="96"/>
      <c r="D194" s="96"/>
      <c r="E194" s="96"/>
      <c r="F194" s="96"/>
      <c r="G194" s="96"/>
      <c r="H194" s="96"/>
      <c r="I194" s="96"/>
      <c r="J194" s="96"/>
      <c r="K194" s="96"/>
      <c r="L194" s="96"/>
      <c r="M194" s="96"/>
      <c r="N194" s="53"/>
    </row>
    <row r="195" spans="1:14" ht="12.75" customHeight="1" x14ac:dyDescent="0.25">
      <c r="A195" s="99" t="s">
        <v>1195</v>
      </c>
      <c r="B195" s="100"/>
      <c r="C195" s="100"/>
      <c r="D195" s="100"/>
      <c r="E195" s="100"/>
      <c r="F195" s="100"/>
      <c r="G195" s="100"/>
      <c r="H195" s="100"/>
      <c r="I195" s="100"/>
      <c r="J195" s="100"/>
      <c r="K195" s="100"/>
      <c r="L195" s="100"/>
      <c r="M195" s="100"/>
      <c r="N195" s="54"/>
    </row>
    <row r="196" spans="1:14" ht="11.25" customHeight="1" x14ac:dyDescent="0.25">
      <c r="A196" s="1067" t="s">
        <v>1434</v>
      </c>
      <c r="B196" s="5"/>
    </row>
    <row r="197" spans="1:14" ht="11.25" customHeight="1" x14ac:dyDescent="0.25">
      <c r="A197" s="5" t="s">
        <v>1435</v>
      </c>
      <c r="B197" s="5"/>
    </row>
    <row r="198" spans="1:14" ht="11.25" customHeight="1" x14ac:dyDescent="0.25">
      <c r="B198" s="5"/>
    </row>
    <row r="199" spans="1:14" ht="11.25" customHeight="1" x14ac:dyDescent="0.25">
      <c r="B199" s="5"/>
    </row>
    <row r="200" spans="1:14" ht="11.25" customHeight="1" x14ac:dyDescent="0.25">
      <c r="B200" s="5"/>
    </row>
    <row r="201" spans="1:14" ht="11.25" customHeight="1" x14ac:dyDescent="0.25">
      <c r="B201" s="5"/>
    </row>
    <row r="202" spans="1:14" ht="11.25" customHeight="1" x14ac:dyDescent="0.25">
      <c r="B202" s="5"/>
    </row>
    <row r="203" spans="1:14" ht="11.25" customHeight="1" x14ac:dyDescent="0.25">
      <c r="B203" s="5"/>
    </row>
    <row r="204" spans="1:14" ht="11.25" customHeight="1" x14ac:dyDescent="0.25">
      <c r="B204" s="5"/>
    </row>
    <row r="205" spans="1:14" ht="11.25" customHeight="1" x14ac:dyDescent="0.25">
      <c r="B205" s="5"/>
    </row>
    <row r="206" spans="1:14" ht="11.25" customHeight="1" x14ac:dyDescent="0.25">
      <c r="B206" s="5"/>
    </row>
    <row r="207" spans="1:14" ht="11.25" customHeight="1" x14ac:dyDescent="0.25">
      <c r="B207" s="5"/>
    </row>
    <row r="208" spans="1:14"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ht="11.25" customHeight="1" x14ac:dyDescent="0.25">
      <c r="B231" s="5"/>
    </row>
    <row r="232" spans="2:2" ht="11.25" customHeight="1" x14ac:dyDescent="0.25">
      <c r="B232" s="5"/>
    </row>
    <row r="233" spans="2:2" ht="11.25" customHeight="1" x14ac:dyDescent="0.25">
      <c r="B233" s="5"/>
    </row>
    <row r="234" spans="2:2" ht="11.25" customHeight="1" x14ac:dyDescent="0.25">
      <c r="B234" s="5"/>
    </row>
    <row r="235" spans="2:2" ht="11.25" customHeight="1" x14ac:dyDescent="0.25">
      <c r="B235" s="5"/>
    </row>
    <row r="236" spans="2:2" ht="11.25" customHeight="1" x14ac:dyDescent="0.25">
      <c r="B236" s="5"/>
    </row>
    <row r="237" spans="2:2" ht="11.25" customHeight="1" x14ac:dyDescent="0.25">
      <c r="B237" s="5"/>
    </row>
    <row r="238" spans="2:2" ht="11.25" customHeight="1" x14ac:dyDescent="0.25">
      <c r="B238" s="5"/>
    </row>
    <row r="239" spans="2:2" ht="11.25" customHeight="1" x14ac:dyDescent="0.25">
      <c r="B239" s="5"/>
    </row>
    <row r="240" spans="2:2" ht="11.25" customHeight="1" x14ac:dyDescent="0.25">
      <c r="B240" s="5"/>
    </row>
    <row r="241" spans="2:2" ht="11.25" customHeight="1" x14ac:dyDescent="0.25">
      <c r="B241" s="5"/>
    </row>
    <row r="242" spans="2:2" ht="11.25" customHeight="1" x14ac:dyDescent="0.25">
      <c r="B242" s="5"/>
    </row>
    <row r="243" spans="2:2" ht="11.25" customHeight="1" x14ac:dyDescent="0.25">
      <c r="B243" s="5"/>
    </row>
    <row r="244" spans="2:2" ht="11.25" customHeight="1" x14ac:dyDescent="0.25">
      <c r="B244" s="5"/>
    </row>
    <row r="245" spans="2:2" ht="11.25" customHeight="1" x14ac:dyDescent="0.25">
      <c r="B245" s="5"/>
    </row>
    <row r="246" spans="2:2" ht="11.25" customHeight="1" x14ac:dyDescent="0.25">
      <c r="B246" s="5"/>
    </row>
    <row r="247" spans="2:2" ht="11.25" customHeight="1" x14ac:dyDescent="0.25">
      <c r="B247" s="5"/>
    </row>
    <row r="248" spans="2:2" ht="11.25" customHeight="1" x14ac:dyDescent="0.25">
      <c r="B248" s="5"/>
    </row>
    <row r="249" spans="2:2" ht="11.25" customHeight="1" x14ac:dyDescent="0.25">
      <c r="B249" s="5"/>
    </row>
    <row r="250" spans="2:2" ht="11.25" customHeight="1"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row r="278" spans="2:2" x14ac:dyDescent="0.25">
      <c r="B278" s="5"/>
    </row>
    <row r="279" spans="2:2" x14ac:dyDescent="0.25">
      <c r="B279" s="5"/>
    </row>
    <row r="280" spans="2:2" x14ac:dyDescent="0.25">
      <c r="B280" s="5"/>
    </row>
    <row r="281" spans="2:2" x14ac:dyDescent="0.25">
      <c r="B281" s="5"/>
    </row>
    <row r="282" spans="2:2" x14ac:dyDescent="0.25">
      <c r="B282" s="5"/>
    </row>
    <row r="283" spans="2:2" x14ac:dyDescent="0.25">
      <c r="B283" s="5"/>
    </row>
    <row r="284" spans="2:2" x14ac:dyDescent="0.25">
      <c r="B284" s="5"/>
    </row>
    <row r="285" spans="2:2" x14ac:dyDescent="0.25">
      <c r="B285" s="5"/>
    </row>
    <row r="286" spans="2:2" x14ac:dyDescent="0.25">
      <c r="B286" s="5"/>
    </row>
    <row r="287" spans="2:2" x14ac:dyDescent="0.25">
      <c r="B287" s="5"/>
    </row>
    <row r="288" spans="2:2" x14ac:dyDescent="0.25">
      <c r="B288" s="5"/>
    </row>
    <row r="289" spans="2:2" x14ac:dyDescent="0.25">
      <c r="B289" s="5"/>
    </row>
    <row r="290" spans="2:2" x14ac:dyDescent="0.25">
      <c r="B290" s="5"/>
    </row>
    <row r="291" spans="2:2" x14ac:dyDescent="0.25">
      <c r="B291" s="5"/>
    </row>
    <row r="292" spans="2:2" x14ac:dyDescent="0.25">
      <c r="B292" s="5"/>
    </row>
    <row r="293" spans="2:2" x14ac:dyDescent="0.25">
      <c r="B293" s="5"/>
    </row>
    <row r="294" spans="2:2" x14ac:dyDescent="0.25">
      <c r="B294" s="5"/>
    </row>
    <row r="295" spans="2:2" x14ac:dyDescent="0.25">
      <c r="B295" s="5"/>
    </row>
    <row r="296" spans="2:2" x14ac:dyDescent="0.25">
      <c r="B296" s="5"/>
    </row>
    <row r="297" spans="2:2" x14ac:dyDescent="0.25">
      <c r="B297" s="5"/>
    </row>
  </sheetData>
  <mergeCells count="5">
    <mergeCell ref="A193:M193"/>
    <mergeCell ref="A189:M189"/>
    <mergeCell ref="A2:A4"/>
    <mergeCell ref="B2:B4"/>
    <mergeCell ref="C2:K2"/>
  </mergeCells>
  <phoneticPr fontId="4" type="noConversion"/>
  <printOptions horizontalCentered="1"/>
  <pageMargins left="0.35" right="0.14000000000000001" top="0.77" bottom="0.6" header="0.51181102362204722" footer="0.51"/>
  <pageSetup paperSize="9" scale="42" orientation="portrait" r:id="rId1"/>
  <headerFooter alignWithMargins="0"/>
  <ignoredErrors>
    <ignoredError sqref="J83:K8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2">
    <tabColor indexed="42"/>
    <pageSetUpPr fitToPage="1"/>
  </sheetPr>
  <dimension ref="A1:AD94"/>
  <sheetViews>
    <sheetView showGridLines="0" zoomScaleNormal="100" workbookViewId="0">
      <pane xSplit="2" ySplit="5" topLeftCell="C30" activePane="bottomRight" state="frozen"/>
      <selection activeCell="C6" sqref="C6"/>
      <selection pane="topRight" activeCell="C6" sqref="C6"/>
      <selection pane="bottomLeft" activeCell="C6" sqref="C6"/>
      <selection pane="bottomRight" activeCell="Q52" sqref="Q52"/>
    </sheetView>
  </sheetViews>
  <sheetFormatPr defaultColWidth="9.140625" defaultRowHeight="12.75" x14ac:dyDescent="0.25"/>
  <cols>
    <col min="1" max="1" width="34.140625" style="5" bestFit="1" customWidth="1"/>
    <col min="2" max="2" width="3.140625" style="58" customWidth="1"/>
    <col min="3" max="12" width="8.5703125" style="5" customWidth="1"/>
    <col min="13"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27" width="9.140625" style="5" customWidth="1"/>
    <col min="28" max="28" width="9.140625" style="1336" customWidth="1"/>
    <col min="29" max="29" width="9.140625" style="1336"/>
    <col min="30" max="16384" width="9.140625" style="5"/>
  </cols>
  <sheetData>
    <row r="1" spans="1:29" ht="13.5" x14ac:dyDescent="0.25">
      <c r="A1" s="57" t="str">
        <f>muni&amp;" - "&amp;ADJB2&amp;" - "&amp;Date</f>
        <v xml:space="preserve">KZN226 Mkhambathini - Supporting Table SB2 Supporting detail to 'Financial Position Budget' - </v>
      </c>
      <c r="B1" s="5"/>
      <c r="C1" s="58"/>
    </row>
    <row r="2" spans="1:29" ht="38.25" x14ac:dyDescent="0.25">
      <c r="A2" s="1420" t="str">
        <f>desc</f>
        <v>Description</v>
      </c>
      <c r="B2" s="1420" t="str">
        <f>head27</f>
        <v>Ref</v>
      </c>
      <c r="C2" s="1417" t="str">
        <f>Head2</f>
        <v>Budget Year 2020/21</v>
      </c>
      <c r="D2" s="1418"/>
      <c r="E2" s="1418"/>
      <c r="F2" s="1418"/>
      <c r="G2" s="1418"/>
      <c r="H2" s="1418"/>
      <c r="I2" s="1418"/>
      <c r="J2" s="1418"/>
      <c r="K2" s="1418"/>
      <c r="L2" s="103" t="str">
        <f>Head10</f>
        <v>Budget Year +1 2021/22</v>
      </c>
      <c r="M2" s="61" t="str">
        <f>Head11</f>
        <v>Budget Year +2 2022/23</v>
      </c>
    </row>
    <row r="3" spans="1:29" ht="25.5" x14ac:dyDescent="0.25">
      <c r="A3" s="1421"/>
      <c r="B3" s="14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9" x14ac:dyDescent="0.25">
      <c r="A4" s="1421"/>
      <c r="B4" s="1421"/>
      <c r="C4" s="65"/>
      <c r="D4" s="15">
        <v>4</v>
      </c>
      <c r="E4" s="15">
        <v>5</v>
      </c>
      <c r="F4" s="15">
        <v>6</v>
      </c>
      <c r="G4" s="15">
        <v>7</v>
      </c>
      <c r="H4" s="15">
        <v>8</v>
      </c>
      <c r="I4" s="15">
        <v>9</v>
      </c>
      <c r="J4" s="15">
        <v>10</v>
      </c>
      <c r="K4" s="15">
        <v>11</v>
      </c>
      <c r="L4" s="15"/>
      <c r="M4" s="17"/>
    </row>
    <row r="5" spans="1:29" x14ac:dyDescent="0.25">
      <c r="A5" s="66" t="s">
        <v>605</v>
      </c>
      <c r="B5" s="104"/>
      <c r="C5" s="67" t="s">
        <v>549</v>
      </c>
      <c r="D5" s="68" t="s">
        <v>550</v>
      </c>
      <c r="E5" s="68" t="s">
        <v>551</v>
      </c>
      <c r="F5" s="69" t="s">
        <v>552</v>
      </c>
      <c r="G5" s="69" t="s">
        <v>553</v>
      </c>
      <c r="H5" s="69" t="s">
        <v>554</v>
      </c>
      <c r="I5" s="70" t="s">
        <v>555</v>
      </c>
      <c r="J5" s="70" t="s">
        <v>556</v>
      </c>
      <c r="K5" s="70" t="s">
        <v>557</v>
      </c>
      <c r="L5" s="70"/>
      <c r="M5" s="71"/>
    </row>
    <row r="6" spans="1:29" x14ac:dyDescent="0.25">
      <c r="A6" s="294" t="s">
        <v>674</v>
      </c>
      <c r="B6" s="295"/>
      <c r="C6" s="296"/>
      <c r="D6" s="286"/>
      <c r="E6" s="286"/>
      <c r="F6" s="297"/>
      <c r="G6" s="297"/>
      <c r="H6" s="297"/>
      <c r="I6" s="298"/>
      <c r="J6" s="298"/>
      <c r="K6" s="298"/>
      <c r="L6" s="298"/>
      <c r="M6" s="299"/>
      <c r="N6" s="126"/>
    </row>
    <row r="7" spans="1:29" ht="12.75" customHeight="1" x14ac:dyDescent="0.25">
      <c r="A7" s="124" t="str">
        <f>'B6-FinPos'!A9</f>
        <v>Call investment deposits</v>
      </c>
      <c r="B7" s="73"/>
      <c r="C7" s="129"/>
      <c r="D7" s="130"/>
      <c r="E7" s="130"/>
      <c r="F7" s="130"/>
      <c r="G7" s="130"/>
      <c r="H7" s="130"/>
      <c r="I7" s="130"/>
      <c r="J7" s="75"/>
      <c r="K7" s="75"/>
      <c r="L7" s="130"/>
      <c r="M7" s="131"/>
      <c r="N7" s="126"/>
    </row>
    <row r="8" spans="1:29" ht="12.75" customHeight="1" x14ac:dyDescent="0.25">
      <c r="A8" s="127" t="s">
        <v>2173</v>
      </c>
      <c r="B8" s="73"/>
      <c r="C8" s="1355">
        <f>SUMIFS(Sheet1!S71_OriginalBudget,Sheet1!S71_A6Code,$AC:$AC)</f>
        <v>60543564</v>
      </c>
      <c r="D8" s="1356">
        <f>SUMIFS(Sheet1!S71_SpecialAdjustedBudget,Sheet1!S71_A6Code,$AC:$AC)</f>
        <v>60543564</v>
      </c>
      <c r="E8" s="1356"/>
      <c r="F8" s="1356"/>
      <c r="G8" s="1356"/>
      <c r="H8" s="1356"/>
      <c r="I8" s="1356">
        <f>SUMIFS(Sheet1!S71_AdjustmentAmount,Sheet1!S71_A6Code,$AC:$AC)</f>
        <v>-60543564</v>
      </c>
      <c r="J8" s="75">
        <f>SUM(E8:I8)</f>
        <v>-60543564</v>
      </c>
      <c r="K8" s="75">
        <f t="shared" ref="K8:K9" si="0">IF(D8=0,C8+J8,D8+J8)</f>
        <v>0</v>
      </c>
      <c r="L8" s="1356">
        <f>SUMIFS(Sheet1!S71_OY1AdjustedBudget,Sheet1!S71_A6Code,$AC:$AC)</f>
        <v>0</v>
      </c>
      <c r="M8" s="1357">
        <f>SUMIFS(Sheet1!S71_OY2AdjustedBudget,Sheet1!S71_A6Code,$AC:$AC)</f>
        <v>0</v>
      </c>
      <c r="N8" s="126"/>
      <c r="AC8" s="1348" t="s">
        <v>1860</v>
      </c>
    </row>
    <row r="9" spans="1:29" ht="12.75" customHeight="1" x14ac:dyDescent="0.25">
      <c r="A9" s="127" t="s">
        <v>2174</v>
      </c>
      <c r="B9" s="73"/>
      <c r="C9" s="1355">
        <f>SUMIFS(Sheet1!S71_OriginalBudget,Sheet1!S71_A6Code,$AC:$AC)</f>
        <v>0</v>
      </c>
      <c r="D9" s="1356">
        <f>SUMIFS(Sheet1!S71_SpecialAdjustedBudget,Sheet1!S71_A6Code,$AC:$AC)</f>
        <v>0</v>
      </c>
      <c r="E9" s="1356"/>
      <c r="F9" s="1356"/>
      <c r="G9" s="1356"/>
      <c r="H9" s="1356"/>
      <c r="I9" s="1356">
        <f>SUMIFS(Sheet1!S71_AdjustmentAmount,Sheet1!S71_A6Code,$AC:$AC)</f>
        <v>0</v>
      </c>
      <c r="J9" s="75">
        <f>SUM(E9:I9)</f>
        <v>0</v>
      </c>
      <c r="K9" s="75">
        <f t="shared" si="0"/>
        <v>0</v>
      </c>
      <c r="L9" s="1356">
        <f>SUMIFS(Sheet1!S71_OY1AdjustedBudget,Sheet1!S71_A6Code,$AC:$AC)</f>
        <v>0</v>
      </c>
      <c r="M9" s="1357">
        <f>SUMIFS(Sheet1!S71_OY2AdjustedBudget,Sheet1!S71_A6Code,$AC:$AC)</f>
        <v>0</v>
      </c>
      <c r="N9" s="126"/>
      <c r="AC9" s="1348" t="s">
        <v>2164</v>
      </c>
    </row>
    <row r="10" spans="1:29" ht="12.75" customHeight="1" x14ac:dyDescent="0.25">
      <c r="A10" s="137" t="str">
        <f>"Total "&amp;A7</f>
        <v>Total Call investment deposits</v>
      </c>
      <c r="B10" s="73"/>
      <c r="C10" s="711">
        <f>SUM(C8:C9)</f>
        <v>60543564</v>
      </c>
      <c r="D10" s="268">
        <f>SUM(D8:D9)</f>
        <v>60543564</v>
      </c>
      <c r="E10" s="268">
        <f t="shared" ref="E10:K10" si="1">SUM(E8:E9)</f>
        <v>0</v>
      </c>
      <c r="F10" s="268">
        <f t="shared" si="1"/>
        <v>0</v>
      </c>
      <c r="G10" s="268">
        <f t="shared" si="1"/>
        <v>0</v>
      </c>
      <c r="H10" s="268">
        <f t="shared" si="1"/>
        <v>0</v>
      </c>
      <c r="I10" s="268">
        <f t="shared" si="1"/>
        <v>-60543564</v>
      </c>
      <c r="J10" s="268">
        <f t="shared" si="1"/>
        <v>-60543564</v>
      </c>
      <c r="K10" s="268">
        <f t="shared" si="1"/>
        <v>0</v>
      </c>
      <c r="L10" s="149">
        <f>SUM(L8:L9)</f>
        <v>0</v>
      </c>
      <c r="M10" s="269">
        <f>SUM(M8:M9)</f>
        <v>0</v>
      </c>
      <c r="N10" s="126"/>
    </row>
    <row r="11" spans="1:29" ht="12.75" customHeight="1" x14ac:dyDescent="0.25">
      <c r="A11" s="124" t="s">
        <v>693</v>
      </c>
      <c r="B11" s="73"/>
      <c r="C11" s="74"/>
      <c r="D11" s="75"/>
      <c r="E11" s="75"/>
      <c r="F11" s="75"/>
      <c r="G11" s="75"/>
      <c r="H11" s="75"/>
      <c r="I11" s="75"/>
      <c r="J11" s="75"/>
      <c r="K11" s="75"/>
      <c r="L11" s="75"/>
      <c r="M11" s="76"/>
      <c r="N11" s="126"/>
    </row>
    <row r="12" spans="1:29" ht="12.75" customHeight="1" x14ac:dyDescent="0.25">
      <c r="A12" s="127" t="str">
        <f>A11</f>
        <v>Consumer debtors</v>
      </c>
      <c r="B12" s="73"/>
      <c r="C12" s="1355">
        <f>SUMIFS(Sheet1!S71_OriginalBudget,Sheet1!S71_A6Code,$AC:$AC)</f>
        <v>36164499</v>
      </c>
      <c r="D12" s="1356">
        <f>SUMIFS(Sheet1!S71_SpecialAdjustedBudget,Sheet1!S71_A6Code,$AC:$AC)</f>
        <v>36164499</v>
      </c>
      <c r="E12" s="1356"/>
      <c r="F12" s="1356"/>
      <c r="G12" s="1356"/>
      <c r="H12" s="1356"/>
      <c r="I12" s="1356">
        <f>SUMIFS(Sheet1!S71_AdjustmentAmount,Sheet1!S71_A6Code,$AC:$AC)</f>
        <v>-36164499</v>
      </c>
      <c r="J12" s="75">
        <f>SUM(E12:I12)</f>
        <v>-36164499</v>
      </c>
      <c r="K12" s="75">
        <f>IF(D12=0,C12+J12,D12+J12)</f>
        <v>0</v>
      </c>
      <c r="L12" s="1356">
        <f>SUMIFS(Sheet1!S71_OY1AdjustedBudget,Sheet1!S71_A6Code,$AC:$AC)</f>
        <v>0</v>
      </c>
      <c r="M12" s="1357">
        <f>SUMIFS(Sheet1!S71_OY2AdjustedBudget,Sheet1!S71_A6Code,$AC:$AC)</f>
        <v>0</v>
      </c>
      <c r="N12" s="126"/>
      <c r="AC12" s="1348" t="s">
        <v>2357</v>
      </c>
    </row>
    <row r="13" spans="1:29" ht="12.75" customHeight="1" x14ac:dyDescent="0.25">
      <c r="A13" s="127" t="s">
        <v>1196</v>
      </c>
      <c r="B13" s="73"/>
      <c r="C13" s="74">
        <f t="shared" ref="C13:I13" si="2">C19</f>
        <v>2754504</v>
      </c>
      <c r="D13" s="75">
        <f t="shared" si="2"/>
        <v>2754504</v>
      </c>
      <c r="E13" s="75">
        <f t="shared" si="2"/>
        <v>0</v>
      </c>
      <c r="F13" s="75">
        <f t="shared" si="2"/>
        <v>0</v>
      </c>
      <c r="G13" s="75">
        <f t="shared" si="2"/>
        <v>0</v>
      </c>
      <c r="H13" s="75">
        <f t="shared" si="2"/>
        <v>0</v>
      </c>
      <c r="I13" s="75">
        <f t="shared" si="2"/>
        <v>-2754504</v>
      </c>
      <c r="J13" s="75">
        <f>SUM(E13:I13)</f>
        <v>-2754504</v>
      </c>
      <c r="K13" s="75">
        <f>IF(D13=0,C13+J13,D13+J13)</f>
        <v>0</v>
      </c>
      <c r="L13" s="75">
        <f>L19</f>
        <v>0</v>
      </c>
      <c r="M13" s="76">
        <f>M19</f>
        <v>0</v>
      </c>
      <c r="N13" s="126"/>
      <c r="AC13" s="1348" t="s">
        <v>2144</v>
      </c>
    </row>
    <row r="14" spans="1:29" ht="12.75" customHeight="1" x14ac:dyDescent="0.25">
      <c r="A14" s="137" t="str">
        <f>"Total "&amp;A11</f>
        <v>Total Consumer debtors</v>
      </c>
      <c r="B14" s="73">
        <v>1</v>
      </c>
      <c r="C14" s="300">
        <f>C12-C13</f>
        <v>33409995</v>
      </c>
      <c r="D14" s="149">
        <f t="shared" ref="D14:M14" si="3">D12-D13</f>
        <v>33409995</v>
      </c>
      <c r="E14" s="149">
        <f t="shared" si="3"/>
        <v>0</v>
      </c>
      <c r="F14" s="149">
        <f t="shared" si="3"/>
        <v>0</v>
      </c>
      <c r="G14" s="149">
        <f t="shared" si="3"/>
        <v>0</v>
      </c>
      <c r="H14" s="149">
        <f t="shared" si="3"/>
        <v>0</v>
      </c>
      <c r="I14" s="149">
        <f t="shared" si="3"/>
        <v>-33409995</v>
      </c>
      <c r="J14" s="149">
        <f t="shared" si="3"/>
        <v>-33409995</v>
      </c>
      <c r="K14" s="149">
        <f t="shared" si="3"/>
        <v>0</v>
      </c>
      <c r="L14" s="149">
        <f t="shared" si="3"/>
        <v>0</v>
      </c>
      <c r="M14" s="150">
        <f t="shared" si="3"/>
        <v>0</v>
      </c>
      <c r="N14" s="126"/>
    </row>
    <row r="15" spans="1:29" ht="12.75" customHeight="1" x14ac:dyDescent="0.25">
      <c r="A15" s="124" t="s">
        <v>1197</v>
      </c>
      <c r="B15" s="73"/>
      <c r="C15" s="74"/>
      <c r="D15" s="75"/>
      <c r="E15" s="75"/>
      <c r="F15" s="75"/>
      <c r="G15" s="75"/>
      <c r="H15" s="75"/>
      <c r="I15" s="75"/>
      <c r="J15" s="75"/>
      <c r="K15" s="75"/>
      <c r="L15" s="75"/>
      <c r="M15" s="76"/>
      <c r="N15" s="126"/>
    </row>
    <row r="16" spans="1:29" ht="12.75" customHeight="1" x14ac:dyDescent="0.25">
      <c r="A16" s="127" t="s">
        <v>1198</v>
      </c>
      <c r="B16" s="73"/>
      <c r="C16" s="1355">
        <f>SUMIFS(Sheet1!S71_OriginalBudget,Sheet1!S71_SA3Code,$AC:$AC)</f>
        <v>0</v>
      </c>
      <c r="D16" s="1356">
        <f>SUMIFS(Sheet1!S71_SpecialAdjustedBudget,Sheet1!S71_SA3Code,$AC:$AC)</f>
        <v>0</v>
      </c>
      <c r="E16" s="1356"/>
      <c r="F16" s="1356"/>
      <c r="G16" s="1356"/>
      <c r="H16" s="1356"/>
      <c r="I16" s="1356">
        <f>SUMIFS(Sheet1!S71_AdjustmentAmount,Sheet1!S71_SA3Code,$AC:$AC)</f>
        <v>0</v>
      </c>
      <c r="J16" s="75">
        <f>SUM(E16:I16)</f>
        <v>0</v>
      </c>
      <c r="K16" s="75">
        <f>IF(D16=0,C16+J16,D16+J16)</f>
        <v>0</v>
      </c>
      <c r="L16" s="75">
        <f>IF(SUM(L17:L18)=0,0,K19)</f>
        <v>0</v>
      </c>
      <c r="M16" s="76">
        <f>IF(SUM(M17:M18)=0,0,L19)</f>
        <v>0</v>
      </c>
      <c r="N16" s="126"/>
      <c r="AC16" s="1348" t="s">
        <v>2145</v>
      </c>
    </row>
    <row r="17" spans="1:29" ht="12.75" customHeight="1" x14ac:dyDescent="0.25">
      <c r="A17" s="127" t="s">
        <v>1199</v>
      </c>
      <c r="B17" s="73"/>
      <c r="C17" s="1355">
        <f>SUMIFS(Sheet1!S71_OriginalBudget,Sheet1!S71_SA3Code,$AC:$AC)</f>
        <v>2754504</v>
      </c>
      <c r="D17" s="1356">
        <f>SUMIFS(Sheet1!S71_SpecialAdjustedBudget,Sheet1!S71_SA3Code,$AC:$AC)</f>
        <v>2754504</v>
      </c>
      <c r="E17" s="1356"/>
      <c r="F17" s="1356"/>
      <c r="G17" s="1356"/>
      <c r="H17" s="1356"/>
      <c r="I17" s="1356">
        <f>SUMIFS(Sheet1!S71_AdjustmentAmount,Sheet1!S71_SA3Code,$AC:$AC)</f>
        <v>-2754504</v>
      </c>
      <c r="J17" s="75">
        <f>SUM(E17:I17)</f>
        <v>-2754504</v>
      </c>
      <c r="K17" s="75">
        <f>IF(D17=0,C17+J17,D17+J17)</f>
        <v>0</v>
      </c>
      <c r="L17" s="1356">
        <f>SUMIFS(Sheet1!S71_OY1AdjustedBudget,Sheet1!S71_SA3Code,$AC:$AC)</f>
        <v>0</v>
      </c>
      <c r="M17" s="1357">
        <f>SUMIFS(Sheet1!S71_OY2AdjustedBudget,Sheet1!S71_SA3Code,$AC:$AC)</f>
        <v>0</v>
      </c>
      <c r="N17" s="126"/>
      <c r="AC17" s="1348" t="s">
        <v>2146</v>
      </c>
    </row>
    <row r="18" spans="1:29" ht="12.75" customHeight="1" x14ac:dyDescent="0.25">
      <c r="A18" s="127" t="s">
        <v>1200</v>
      </c>
      <c r="B18" s="73"/>
      <c r="C18" s="1355">
        <f>SUMIFS(Sheet1!S71_OriginalBudget,Sheet1!S71_SA3Code,$AC:$AC)</f>
        <v>0</v>
      </c>
      <c r="D18" s="1356">
        <f>SUMIFS(Sheet1!S71_SpecialAdjustedBudget,Sheet1!S71_SA3Code,$AC:$AC)</f>
        <v>0</v>
      </c>
      <c r="E18" s="1356"/>
      <c r="F18" s="1356"/>
      <c r="G18" s="1356"/>
      <c r="H18" s="1356"/>
      <c r="I18" s="1356">
        <f>SUMIFS(Sheet1!S71_AdjustmentAmount,Sheet1!S71_SA3Code,$AC:$AC)</f>
        <v>0</v>
      </c>
      <c r="J18" s="75">
        <f>SUM(E18:I18)</f>
        <v>0</v>
      </c>
      <c r="K18" s="75">
        <f>IF(D18=0,C18+J18,D18+J18)</f>
        <v>0</v>
      </c>
      <c r="L18" s="1356">
        <f>SUMIFS(Sheet1!S71_OY1AdjustedBudget,Sheet1!S71_SA3Code,$AC:$AC)</f>
        <v>0</v>
      </c>
      <c r="M18" s="1357">
        <f>SUMIFS(Sheet1!S71_OY2AdjustedBudget,Sheet1!S71_SA3Code,$AC:$AC)</f>
        <v>0</v>
      </c>
      <c r="N18" s="126"/>
      <c r="AC18" s="1348" t="s">
        <v>2147</v>
      </c>
    </row>
    <row r="19" spans="1:29" ht="12.75" customHeight="1" x14ac:dyDescent="0.25">
      <c r="A19" s="137" t="s">
        <v>1201</v>
      </c>
      <c r="B19" s="73"/>
      <c r="C19" s="300">
        <f t="shared" ref="C19:I19" si="4">SUM(C16:C18)</f>
        <v>2754504</v>
      </c>
      <c r="D19" s="149">
        <f t="shared" si="4"/>
        <v>2754504</v>
      </c>
      <c r="E19" s="149">
        <f t="shared" si="4"/>
        <v>0</v>
      </c>
      <c r="F19" s="149">
        <f t="shared" si="4"/>
        <v>0</v>
      </c>
      <c r="G19" s="149">
        <f t="shared" si="4"/>
        <v>0</v>
      </c>
      <c r="H19" s="149">
        <f t="shared" si="4"/>
        <v>0</v>
      </c>
      <c r="I19" s="149">
        <f t="shared" si="4"/>
        <v>-2754504</v>
      </c>
      <c r="J19" s="149">
        <f>J13</f>
        <v>-2754504</v>
      </c>
      <c r="K19" s="149">
        <f>K13</f>
        <v>0</v>
      </c>
      <c r="L19" s="149">
        <f>SUM(L16:L18)</f>
        <v>0</v>
      </c>
      <c r="M19" s="150">
        <f>SUM(M16:M18)</f>
        <v>0</v>
      </c>
      <c r="N19" s="126"/>
    </row>
    <row r="20" spans="1:29" ht="12.75" customHeight="1" x14ac:dyDescent="0.25">
      <c r="A20" s="124" t="s">
        <v>1202</v>
      </c>
      <c r="B20" s="73"/>
      <c r="C20" s="74"/>
      <c r="D20" s="75"/>
      <c r="E20" s="75"/>
      <c r="F20" s="75"/>
      <c r="G20" s="75"/>
      <c r="H20" s="75"/>
      <c r="I20" s="75"/>
      <c r="J20" s="75"/>
      <c r="K20" s="75"/>
      <c r="L20" s="75"/>
      <c r="M20" s="76"/>
      <c r="N20" s="126"/>
    </row>
    <row r="21" spans="1:29" ht="12.75" customHeight="1" x14ac:dyDescent="0.25">
      <c r="A21" s="30" t="s">
        <v>1203</v>
      </c>
      <c r="B21" s="73"/>
      <c r="C21" s="1355">
        <f>SUMIFS(Sheet1!S71_OriginalBudget,Sheet1!S71_SA3Code,$AC:$AC)</f>
        <v>211419771</v>
      </c>
      <c r="D21" s="1356">
        <f>SUMIFS(Sheet1!S71_SpecialAdjustedBudget,Sheet1!S71_SA3Code,$AC:$AC)</f>
        <v>219143756</v>
      </c>
      <c r="E21" s="1356"/>
      <c r="F21" s="1356"/>
      <c r="G21" s="1356"/>
      <c r="H21" s="1356"/>
      <c r="I21" s="1356">
        <f>SUMIFS(Sheet1!S71_AdjustmentAmount,Sheet1!S71_SA3Code,$AC:$AC)</f>
        <v>-185381268</v>
      </c>
      <c r="J21" s="75">
        <f>SUM(E21:I21)</f>
        <v>-185381268</v>
      </c>
      <c r="K21" s="75">
        <f>IF(D21=0,C21+J21,D21+J21)</f>
        <v>33762488</v>
      </c>
      <c r="L21" s="1356">
        <f>SUMIFS(Sheet1!S71_OY1AdjustedBudget,Sheet1!S71_SA3Code,$AC:$AC)</f>
        <v>32227000</v>
      </c>
      <c r="M21" s="1357">
        <f>SUMIFS(Sheet1!S71_OY2AdjustedBudget,Sheet1!S71_SA3Code,$AC:$AC)</f>
        <v>24381000</v>
      </c>
      <c r="N21" s="126"/>
      <c r="AC21" s="1348" t="s">
        <v>2358</v>
      </c>
    </row>
    <row r="22" spans="1:29" ht="12.75" customHeight="1" x14ac:dyDescent="0.25">
      <c r="A22" s="30" t="s">
        <v>1204</v>
      </c>
      <c r="B22" s="73">
        <v>2</v>
      </c>
      <c r="C22" s="1355">
        <f>SUMIFS(Sheet1!S71_OriginalBudget,Sheet1!S71_SA3Code,$AC:$AC)</f>
        <v>0</v>
      </c>
      <c r="D22" s="1356">
        <f>SUMIFS(Sheet1!S71_SpecialAdjustedBudget,Sheet1!S71_SA3Code,$AC:$AC)</f>
        <v>0</v>
      </c>
      <c r="E22" s="1356"/>
      <c r="F22" s="1356"/>
      <c r="G22" s="1356"/>
      <c r="H22" s="1356"/>
      <c r="I22" s="1356">
        <f>SUMIFS(Sheet1!S71_AdjustmentAmount,Sheet1!S71_SA3Code,$AC:$AC)</f>
        <v>0</v>
      </c>
      <c r="J22" s="75">
        <f>SUM(E22:I22)</f>
        <v>0</v>
      </c>
      <c r="K22" s="75">
        <f>IF(D22=0,C22+J22,D22+J22)</f>
        <v>0</v>
      </c>
      <c r="L22" s="1356">
        <f>SUMIFS(Sheet1!S71_OY1AdjustedBudget,Sheet1!S71_SA3Code,$AC:$AC)</f>
        <v>0</v>
      </c>
      <c r="M22" s="1357">
        <f>SUMIFS(Sheet1!S71_OY2AdjustedBudget,Sheet1!S71_SA3Code,$AC:$AC)</f>
        <v>0</v>
      </c>
      <c r="N22" s="126"/>
      <c r="AC22" s="1348" t="s">
        <v>2148</v>
      </c>
    </row>
    <row r="23" spans="1:29" ht="12.75" customHeight="1" x14ac:dyDescent="0.25">
      <c r="A23" s="824" t="s">
        <v>1205</v>
      </c>
      <c r="B23" s="73"/>
      <c r="C23" s="1355">
        <f>-SUMIFS(Sheet1!S71_OriginalBudget,Sheet1!S71_SA3Code,$AC:$AC)</f>
        <v>45297483</v>
      </c>
      <c r="D23" s="1356">
        <f>-SUMIFS(Sheet1!S71_SpecialAdjustedBudget,Sheet1!S71_SA3Code,$AC:$AC)</f>
        <v>45297483</v>
      </c>
      <c r="E23" s="1356"/>
      <c r="F23" s="1356"/>
      <c r="G23" s="1356"/>
      <c r="H23" s="1356"/>
      <c r="I23" s="1356">
        <f>-SUMIFS(Sheet1!S71_AdjustmentAmount,Sheet1!S71_SA3Code,$AC:$AC)</f>
        <v>-45297483</v>
      </c>
      <c r="J23" s="75">
        <f>SUM(E23:I23)</f>
        <v>-45297483</v>
      </c>
      <c r="K23" s="75">
        <f>IF(D23=0,C23+J23,D23+J23)</f>
        <v>0</v>
      </c>
      <c r="L23" s="1356">
        <f>-SUMIFS(Sheet1!S71_OY1AdjustedBudget,Sheet1!S71_SA3Code,$AC:$AC)</f>
        <v>0</v>
      </c>
      <c r="M23" s="1357">
        <f>-SUMIFS(Sheet1!S71_OY2AdjustedBudget,Sheet1!S71_SA3Code,$AC:$AC)</f>
        <v>0</v>
      </c>
      <c r="N23" s="126"/>
      <c r="AC23" s="1348" t="s">
        <v>2149</v>
      </c>
    </row>
    <row r="24" spans="1:29" ht="12.75" customHeight="1" x14ac:dyDescent="0.25">
      <c r="A24" s="301" t="str">
        <f>"Total "&amp;A20</f>
        <v>Total Property, plant &amp; equipment</v>
      </c>
      <c r="B24" s="152">
        <v>1</v>
      </c>
      <c r="C24" s="80">
        <f>SUM(C21:C22)-C23</f>
        <v>166122288</v>
      </c>
      <c r="D24" s="81">
        <f t="shared" ref="D24:K24" si="5">SUM(D21:D22)-D23</f>
        <v>173846273</v>
      </c>
      <c r="E24" s="81">
        <f t="shared" si="5"/>
        <v>0</v>
      </c>
      <c r="F24" s="81">
        <f t="shared" si="5"/>
        <v>0</v>
      </c>
      <c r="G24" s="81">
        <f t="shared" si="5"/>
        <v>0</v>
      </c>
      <c r="H24" s="81">
        <f t="shared" si="5"/>
        <v>0</v>
      </c>
      <c r="I24" s="81">
        <f t="shared" si="5"/>
        <v>-140083785</v>
      </c>
      <c r="J24" s="81">
        <f t="shared" si="5"/>
        <v>-140083785</v>
      </c>
      <c r="K24" s="81">
        <f t="shared" si="5"/>
        <v>33762488</v>
      </c>
      <c r="L24" s="81">
        <f>SUM(L21:L22)-L23</f>
        <v>32227000</v>
      </c>
      <c r="M24" s="82">
        <f>SUM(M21:M22)-M23</f>
        <v>24381000</v>
      </c>
      <c r="N24" s="126"/>
    </row>
    <row r="25" spans="1:29" ht="4.5" customHeight="1" x14ac:dyDescent="0.25">
      <c r="A25" s="137"/>
      <c r="B25" s="73"/>
      <c r="C25" s="138"/>
      <c r="D25" s="139"/>
      <c r="E25" s="139"/>
      <c r="F25" s="139"/>
      <c r="G25" s="139"/>
      <c r="H25" s="139"/>
      <c r="I25" s="139"/>
      <c r="J25" s="139"/>
      <c r="K25" s="139"/>
      <c r="L25" s="139"/>
      <c r="M25" s="140"/>
      <c r="N25" s="126"/>
    </row>
    <row r="26" spans="1:29" ht="12.75" customHeight="1" x14ac:dyDescent="0.25">
      <c r="A26" s="137" t="s">
        <v>707</v>
      </c>
      <c r="B26" s="73"/>
      <c r="C26" s="138"/>
      <c r="D26" s="139"/>
      <c r="E26" s="139"/>
      <c r="F26" s="139"/>
      <c r="G26" s="139"/>
      <c r="H26" s="139"/>
      <c r="I26" s="139"/>
      <c r="J26" s="139"/>
      <c r="K26" s="139"/>
      <c r="L26" s="139"/>
      <c r="M26" s="140"/>
      <c r="N26" s="126"/>
    </row>
    <row r="27" spans="1:29" ht="12.75" customHeight="1" x14ac:dyDescent="0.25">
      <c r="A27" s="124" t="s">
        <v>1206</v>
      </c>
      <c r="B27" s="73"/>
      <c r="C27" s="74"/>
      <c r="D27" s="75"/>
      <c r="E27" s="75"/>
      <c r="F27" s="75"/>
      <c r="G27" s="75"/>
      <c r="H27" s="75"/>
      <c r="I27" s="75"/>
      <c r="J27" s="75"/>
      <c r="K27" s="75"/>
      <c r="L27" s="75"/>
      <c r="M27" s="76"/>
      <c r="N27" s="126"/>
    </row>
    <row r="28" spans="1:29" ht="12.75" customHeight="1" x14ac:dyDescent="0.25">
      <c r="A28" s="127" t="s">
        <v>1207</v>
      </c>
      <c r="B28" s="73"/>
      <c r="C28" s="1355">
        <f>-SUMIFS(Sheet1!S71_OriginalBudget,Sheet1!S71_SA3Code,$AC:$AC)</f>
        <v>0</v>
      </c>
      <c r="D28" s="1356">
        <f>-SUMIFS(Sheet1!S71_SpecialAdjustedBudget,Sheet1!S71_SA3Code,$AC:$AC)</f>
        <v>0</v>
      </c>
      <c r="E28" s="1356"/>
      <c r="F28" s="1356"/>
      <c r="G28" s="1356"/>
      <c r="H28" s="1356"/>
      <c r="I28" s="1356">
        <f>SUMIFS(Sheet1!S71_AdjustmentAmount,Sheet1!S71_SA3Code,$AC:$AC)</f>
        <v>0</v>
      </c>
      <c r="J28" s="75">
        <f>SUM(E28:I28)</f>
        <v>0</v>
      </c>
      <c r="K28" s="75">
        <f>IF(D28=0,C28+J28,D28+J28)</f>
        <v>0</v>
      </c>
      <c r="L28" s="1356">
        <f>-SUMIFS(Sheet1!S71_OY1AdjustedBudget,Sheet1!S71_SA3Code,$AC:$AC)</f>
        <v>0</v>
      </c>
      <c r="M28" s="1357">
        <f>-SUMIFS(Sheet1!S71_OY2AdjustedBudget,Sheet1!S71_SA3Code,$AC:$AC)</f>
        <v>0</v>
      </c>
      <c r="N28" s="126"/>
      <c r="AC28" s="1348" t="s">
        <v>2150</v>
      </c>
    </row>
    <row r="29" spans="1:29" ht="12.75" customHeight="1" x14ac:dyDescent="0.25">
      <c r="A29" s="127" t="s">
        <v>1208</v>
      </c>
      <c r="B29" s="73"/>
      <c r="C29" s="1355">
        <f>-SUMIFS(Sheet1!S71_OriginalBudget,Sheet1!S71_SA3Code,$AC:$AC)</f>
        <v>0</v>
      </c>
      <c r="D29" s="1356">
        <f>-SUMIFS(Sheet1!S71_SpecialAdjustedBudget,Sheet1!S71_SA3Code,$AC:$AC)</f>
        <v>0</v>
      </c>
      <c r="E29" s="1356"/>
      <c r="F29" s="1356"/>
      <c r="G29" s="1356"/>
      <c r="H29" s="1356"/>
      <c r="I29" s="1356">
        <f>SUMIFS(Sheet1!S71_AdjustmentAmount,Sheet1!S71_SA3Code,$AC:$AC)</f>
        <v>0</v>
      </c>
      <c r="J29" s="75">
        <f>SUM(E29:I29)</f>
        <v>0</v>
      </c>
      <c r="K29" s="75">
        <f>IF(D29=0,C29+J29,D29+J29)</f>
        <v>0</v>
      </c>
      <c r="L29" s="1356">
        <f>-SUMIFS(Sheet1!S71_OY1AdjustedBudget,Sheet1!S71_SA3Code,$AC:$AC)</f>
        <v>0</v>
      </c>
      <c r="M29" s="1357">
        <f>-SUMIFS(Sheet1!S71_OY2AdjustedBudget,Sheet1!S71_SA3Code,$AC:$AC)</f>
        <v>0</v>
      </c>
      <c r="N29" s="126"/>
      <c r="AC29" s="1348" t="s">
        <v>2151</v>
      </c>
    </row>
    <row r="30" spans="1:29" ht="12.75" customHeight="1" x14ac:dyDescent="0.25">
      <c r="A30" s="137" t="str">
        <f>"Total "&amp;A27</f>
        <v>Total Current liabilities - Borrowing</v>
      </c>
      <c r="B30" s="73"/>
      <c r="C30" s="300">
        <f t="shared" ref="C30:M30" si="6">SUM(C28:C29)</f>
        <v>0</v>
      </c>
      <c r="D30" s="149">
        <f t="shared" si="6"/>
        <v>0</v>
      </c>
      <c r="E30" s="149">
        <f t="shared" si="6"/>
        <v>0</v>
      </c>
      <c r="F30" s="149">
        <f t="shared" si="6"/>
        <v>0</v>
      </c>
      <c r="G30" s="149">
        <f t="shared" si="6"/>
        <v>0</v>
      </c>
      <c r="H30" s="149">
        <f t="shared" si="6"/>
        <v>0</v>
      </c>
      <c r="I30" s="149">
        <f t="shared" si="6"/>
        <v>0</v>
      </c>
      <c r="J30" s="149">
        <f t="shared" si="6"/>
        <v>0</v>
      </c>
      <c r="K30" s="149">
        <f t="shared" si="6"/>
        <v>0</v>
      </c>
      <c r="L30" s="149">
        <f t="shared" si="6"/>
        <v>0</v>
      </c>
      <c r="M30" s="150">
        <f t="shared" si="6"/>
        <v>0</v>
      </c>
      <c r="N30" s="126"/>
      <c r="AC30" s="1347"/>
    </row>
    <row r="31" spans="1:29" ht="12.75" customHeight="1" x14ac:dyDescent="0.25">
      <c r="A31" s="124" t="s">
        <v>711</v>
      </c>
      <c r="B31" s="73"/>
      <c r="C31" s="74"/>
      <c r="D31" s="75"/>
      <c r="E31" s="75"/>
      <c r="F31" s="75"/>
      <c r="G31" s="75"/>
      <c r="H31" s="75"/>
      <c r="I31" s="75"/>
      <c r="J31" s="75"/>
      <c r="K31" s="75"/>
      <c r="L31" s="75"/>
      <c r="M31" s="76"/>
      <c r="N31" s="126"/>
      <c r="AC31" s="1347"/>
    </row>
    <row r="32" spans="1:29" ht="12.75" customHeight="1" x14ac:dyDescent="0.25">
      <c r="A32" s="127" t="s">
        <v>1804</v>
      </c>
      <c r="B32" s="73"/>
      <c r="C32" s="1355">
        <f>-SUMIFS(Sheet1!S71_OriginalBudget,Sheet1!S71_SA3Code,$AC:$AC)</f>
        <v>5352812</v>
      </c>
      <c r="D32" s="1356">
        <f>-SUMIFS(Sheet1!S71_SpecialAdjustedBudget,Sheet1!S71_SA3Code,$AC:$AC)</f>
        <v>5352812</v>
      </c>
      <c r="E32" s="1356"/>
      <c r="F32" s="1356"/>
      <c r="G32" s="1356"/>
      <c r="H32" s="1356"/>
      <c r="I32" s="1356">
        <f>SUMIFS(Sheet1!S71_AdjustmentAmount,Sheet1!S71_SA3Code,$AC:$AC)</f>
        <v>110967673</v>
      </c>
      <c r="J32" s="75">
        <f>SUM(E32:I32)</f>
        <v>110967673</v>
      </c>
      <c r="K32" s="75">
        <f>IF(D32=0,C32+J32,D32+J32)</f>
        <v>116320485</v>
      </c>
      <c r="L32" s="1356">
        <f>-SUMIFS(Sheet1!S71_OY1AdjustedBudget,Sheet1!S71_SA3Code,$AC:$AC)</f>
        <v>-120203426</v>
      </c>
      <c r="M32" s="1357">
        <f>-SUMIFS(Sheet1!S71_OY2AdjustedBudget,Sheet1!S71_SA3Code,$AC:$AC)</f>
        <v>-120219976</v>
      </c>
      <c r="N32" s="126"/>
      <c r="AC32" s="1348" t="s">
        <v>2152</v>
      </c>
    </row>
    <row r="33" spans="1:29" ht="12.75" customHeight="1" x14ac:dyDescent="0.25">
      <c r="A33" s="127" t="s">
        <v>1805</v>
      </c>
      <c r="B33" s="73"/>
      <c r="C33" s="1355">
        <f>-SUMIFS(Sheet1!S71_OriginalBudget,Sheet1!S71_SA3Code,$AC:$AC)</f>
        <v>0</v>
      </c>
      <c r="D33" s="1356">
        <f>-SUMIFS(Sheet1!S71_SpecialAdjustedBudget,Sheet1!S71_SA3Code,$AC:$AC)</f>
        <v>0</v>
      </c>
      <c r="E33" s="1356"/>
      <c r="F33" s="1356"/>
      <c r="G33" s="1356"/>
      <c r="H33" s="1356"/>
      <c r="I33" s="1356">
        <f>SUMIFS(Sheet1!S71_AdjustmentAmount,Sheet1!S71_SA3Code,$AC:$AC)</f>
        <v>0</v>
      </c>
      <c r="J33" s="75">
        <f>SUM(E33:I33)</f>
        <v>0</v>
      </c>
      <c r="K33" s="75">
        <f>IF(D33=0,C33+J33,D33+J33)</f>
        <v>0</v>
      </c>
      <c r="L33" s="1356">
        <f>-SUMIFS(Sheet1!S71_OY1AdjustedBudget,Sheet1!S71_SA3Code,$AC:$AC)</f>
        <v>0</v>
      </c>
      <c r="M33" s="1357">
        <f>-SUMIFS(Sheet1!S71_OY2AdjustedBudget,Sheet1!S71_SA3Code,$AC:$AC)</f>
        <v>0</v>
      </c>
      <c r="N33" s="126"/>
      <c r="AC33" s="1348" t="s">
        <v>2153</v>
      </c>
    </row>
    <row r="34" spans="1:29" ht="12.75" customHeight="1" x14ac:dyDescent="0.25">
      <c r="A34" s="127" t="s">
        <v>748</v>
      </c>
      <c r="B34" s="73"/>
      <c r="C34" s="1355">
        <f>-SUMIFS(Sheet1!S71_OriginalBudget,Sheet1!S71_SA3Code,$AC:$AC)</f>
        <v>5000000</v>
      </c>
      <c r="D34" s="1356">
        <f>-SUMIFS(Sheet1!S71_SpecialAdjustedBudget,Sheet1!S71_SA3Code,$AC:$AC)</f>
        <v>5000000</v>
      </c>
      <c r="E34" s="1356"/>
      <c r="F34" s="1356"/>
      <c r="G34" s="1356"/>
      <c r="H34" s="1356"/>
      <c r="I34" s="1356">
        <f>SUMIFS(Sheet1!S71_AdjustmentAmount,Sheet1!S71_SA3Code,$AC:$AC)</f>
        <v>-48512000</v>
      </c>
      <c r="J34" s="75">
        <f>SUM(E34:I34)</f>
        <v>-48512000</v>
      </c>
      <c r="K34" s="75">
        <f>IF(D34=0,C34+J34,D34+J34)</f>
        <v>-43512000</v>
      </c>
      <c r="L34" s="1356">
        <f>-SUMIFS(Sheet1!S71_OY1AdjustedBudget,Sheet1!S71_SA3Code,$AC:$AC)</f>
        <v>0</v>
      </c>
      <c r="M34" s="1357">
        <f>-SUMIFS(Sheet1!S71_OY2AdjustedBudget,Sheet1!S71_SA3Code,$AC:$AC)</f>
        <v>0</v>
      </c>
      <c r="N34" s="126"/>
      <c r="AC34" s="1348" t="s">
        <v>2154</v>
      </c>
    </row>
    <row r="35" spans="1:29" ht="12.75" customHeight="1" x14ac:dyDescent="0.25">
      <c r="A35" s="127" t="s">
        <v>1209</v>
      </c>
      <c r="B35" s="73"/>
      <c r="C35" s="1355">
        <f>-SUMIFS(Sheet1!S71_OriginalBudget,Sheet1!S71_SA3Code,$AC:$AC)</f>
        <v>0</v>
      </c>
      <c r="D35" s="1356">
        <f>-SUMIFS(Sheet1!S71_SpecialAdjustedBudget,Sheet1!S71_SA3Code,$AC:$AC)</f>
        <v>0</v>
      </c>
      <c r="E35" s="1356"/>
      <c r="F35" s="1356"/>
      <c r="G35" s="1356"/>
      <c r="H35" s="1356"/>
      <c r="I35" s="1356">
        <f>SUMIFS(Sheet1!S71_AdjustmentAmount,Sheet1!S71_SA3Code,$AC:$AC)</f>
        <v>0</v>
      </c>
      <c r="J35" s="75">
        <f>SUM(E35:I35)</f>
        <v>0</v>
      </c>
      <c r="K35" s="75">
        <f>IF(D35=0,C35+J35,D35+J35)</f>
        <v>0</v>
      </c>
      <c r="L35" s="1356">
        <f>-SUMIFS(Sheet1!S71_OY1AdjustedBudget,Sheet1!S71_SA3Code,$AC:$AC)</f>
        <v>0</v>
      </c>
      <c r="M35" s="1357">
        <f>-SUMIFS(Sheet1!S71_OY2AdjustedBudget,Sheet1!S71_SA3Code,$AC:$AC)</f>
        <v>0</v>
      </c>
      <c r="N35" s="126"/>
      <c r="AC35" s="1348" t="s">
        <v>2155</v>
      </c>
    </row>
    <row r="36" spans="1:29" ht="12.75" customHeight="1" x14ac:dyDescent="0.25">
      <c r="A36" s="137" t="str">
        <f>"Total "&amp;A31</f>
        <v>Total Trade and other payables</v>
      </c>
      <c r="B36" s="73">
        <v>1</v>
      </c>
      <c r="C36" s="300">
        <f t="shared" ref="C36:M36" si="7">SUM(C32:C35)</f>
        <v>10352812</v>
      </c>
      <c r="D36" s="149">
        <f t="shared" si="7"/>
        <v>10352812</v>
      </c>
      <c r="E36" s="149">
        <f t="shared" si="7"/>
        <v>0</v>
      </c>
      <c r="F36" s="149">
        <f t="shared" si="7"/>
        <v>0</v>
      </c>
      <c r="G36" s="149">
        <f t="shared" si="7"/>
        <v>0</v>
      </c>
      <c r="H36" s="149">
        <f t="shared" si="7"/>
        <v>0</v>
      </c>
      <c r="I36" s="149">
        <f t="shared" si="7"/>
        <v>62455673</v>
      </c>
      <c r="J36" s="149">
        <f t="shared" si="7"/>
        <v>62455673</v>
      </c>
      <c r="K36" s="149">
        <f t="shared" si="7"/>
        <v>72808485</v>
      </c>
      <c r="L36" s="149">
        <f t="shared" si="7"/>
        <v>-120203426</v>
      </c>
      <c r="M36" s="150">
        <f t="shared" si="7"/>
        <v>-120219976</v>
      </c>
      <c r="N36" s="126"/>
      <c r="AC36" s="1347"/>
    </row>
    <row r="37" spans="1:29" ht="12.75" customHeight="1" x14ac:dyDescent="0.25">
      <c r="A37" s="124" t="s">
        <v>1210</v>
      </c>
      <c r="B37" s="73"/>
      <c r="C37" s="74"/>
      <c r="D37" s="75"/>
      <c r="E37" s="75"/>
      <c r="F37" s="75"/>
      <c r="G37" s="75"/>
      <c r="H37" s="75"/>
      <c r="I37" s="75"/>
      <c r="J37" s="75"/>
      <c r="K37" s="75"/>
      <c r="L37" s="75"/>
      <c r="M37" s="76"/>
      <c r="N37" s="126"/>
      <c r="AC37" s="1347"/>
    </row>
    <row r="38" spans="1:29" ht="12.75" customHeight="1" x14ac:dyDescent="0.25">
      <c r="A38" s="127" t="s">
        <v>578</v>
      </c>
      <c r="B38" s="73">
        <v>3</v>
      </c>
      <c r="C38" s="1355">
        <f>-SUMIFS(Sheet1!S71_OriginalBudget,Sheet1!S71_SA3Code,$AC:$AC)</f>
        <v>0</v>
      </c>
      <c r="D38" s="1356">
        <f>-SUMIFS(Sheet1!S71_SpecialAdjustedBudget,Sheet1!S71_SA3Code,$AC:$AC)</f>
        <v>0</v>
      </c>
      <c r="E38" s="1356"/>
      <c r="F38" s="1356"/>
      <c r="G38" s="1356"/>
      <c r="H38" s="1356"/>
      <c r="I38" s="1356">
        <f>SUMIFS(Sheet1!S71_AdjustmentAmount,Sheet1!S71_SA3Code,$AC:$AC)</f>
        <v>0</v>
      </c>
      <c r="J38" s="75">
        <f>SUM(E38:I38)</f>
        <v>0</v>
      </c>
      <c r="K38" s="75">
        <f>IF(D38=0,C38+J38,D38+J38)</f>
        <v>0</v>
      </c>
      <c r="L38" s="1356">
        <f>-SUMIFS(Sheet1!S71_OY1AdjustedBudget,Sheet1!S71_SA3Code,$AC:$AC)</f>
        <v>0</v>
      </c>
      <c r="M38" s="1357">
        <f>-SUMIFS(Sheet1!S71_OY2AdjustedBudget,Sheet1!S71_SA3Code,$AC:$AC)</f>
        <v>0</v>
      </c>
      <c r="N38" s="126"/>
      <c r="AC38" s="1348" t="s">
        <v>2156</v>
      </c>
    </row>
    <row r="39" spans="1:29" ht="12.75" customHeight="1" x14ac:dyDescent="0.25">
      <c r="A39" s="127" t="s">
        <v>1211</v>
      </c>
      <c r="B39" s="73"/>
      <c r="C39" s="1355">
        <f>-SUMIFS(Sheet1!S71_OriginalBudget,Sheet1!S71_SA3Code,$AC:$AC)</f>
        <v>0</v>
      </c>
      <c r="D39" s="1356">
        <f>-SUMIFS(Sheet1!S71_SpecialAdjustedBudget,Sheet1!S71_SA3Code,$AC:$AC)</f>
        <v>0</v>
      </c>
      <c r="E39" s="1356"/>
      <c r="F39" s="1356"/>
      <c r="G39" s="1356"/>
      <c r="H39" s="1356"/>
      <c r="I39" s="1356">
        <f>SUMIFS(Sheet1!S71_AdjustmentAmount,Sheet1!S71_SA3Code,$AC:$AC)</f>
        <v>0</v>
      </c>
      <c r="J39" s="75">
        <f>SUM(E39:I39)</f>
        <v>0</v>
      </c>
      <c r="K39" s="75">
        <f>IF(D39=0,C39+J39,D39+J39)</f>
        <v>0</v>
      </c>
      <c r="L39" s="1356">
        <f>-SUMIFS(Sheet1!S71_OY1AdjustedBudget,Sheet1!S71_SA3Code,$AC:$AC)</f>
        <v>0</v>
      </c>
      <c r="M39" s="1357">
        <f>-SUMIFS(Sheet1!S71_OY2AdjustedBudget,Sheet1!S71_SA3Code,$AC:$AC)</f>
        <v>0</v>
      </c>
      <c r="N39" s="126"/>
      <c r="AC39" s="1348" t="s">
        <v>2157</v>
      </c>
    </row>
    <row r="40" spans="1:29" ht="12.75" customHeight="1" x14ac:dyDescent="0.25">
      <c r="A40" s="137" t="str">
        <f>"Total "&amp;A37</f>
        <v>Total Non current liabilities - Borrowing</v>
      </c>
      <c r="B40" s="73"/>
      <c r="C40" s="300">
        <f t="shared" ref="C40:M40" si="8">SUM(C38:C39)</f>
        <v>0</v>
      </c>
      <c r="D40" s="149">
        <f t="shared" si="8"/>
        <v>0</v>
      </c>
      <c r="E40" s="149">
        <f t="shared" si="8"/>
        <v>0</v>
      </c>
      <c r="F40" s="149">
        <f t="shared" si="8"/>
        <v>0</v>
      </c>
      <c r="G40" s="149">
        <f t="shared" si="8"/>
        <v>0</v>
      </c>
      <c r="H40" s="149">
        <f t="shared" si="8"/>
        <v>0</v>
      </c>
      <c r="I40" s="149">
        <f t="shared" si="8"/>
        <v>0</v>
      </c>
      <c r="J40" s="149">
        <f t="shared" si="8"/>
        <v>0</v>
      </c>
      <c r="K40" s="149">
        <f t="shared" si="8"/>
        <v>0</v>
      </c>
      <c r="L40" s="149">
        <f t="shared" si="8"/>
        <v>0</v>
      </c>
      <c r="M40" s="150">
        <f t="shared" si="8"/>
        <v>0</v>
      </c>
      <c r="N40" s="126"/>
      <c r="AC40" s="1347"/>
    </row>
    <row r="41" spans="1:29" ht="12.75" customHeight="1" x14ac:dyDescent="0.25">
      <c r="A41" s="124" t="s">
        <v>1212</v>
      </c>
      <c r="B41" s="73"/>
      <c r="C41" s="74"/>
      <c r="D41" s="75"/>
      <c r="E41" s="75"/>
      <c r="F41" s="75"/>
      <c r="G41" s="75"/>
      <c r="H41" s="75"/>
      <c r="I41" s="75"/>
      <c r="J41" s="75"/>
      <c r="K41" s="75"/>
      <c r="L41" s="75"/>
      <c r="M41" s="76"/>
      <c r="N41" s="126"/>
      <c r="AC41" s="1347"/>
    </row>
    <row r="42" spans="1:29" ht="12.75" customHeight="1" x14ac:dyDescent="0.25">
      <c r="A42" s="127" t="s">
        <v>1213</v>
      </c>
      <c r="B42" s="73"/>
      <c r="C42" s="1355">
        <f>-SUMIFS(Sheet1!S71_OriginalBudget,Sheet1!S71_SA3Code,$AC:$AC)</f>
        <v>0</v>
      </c>
      <c r="D42" s="1356">
        <f>SUMIFS(Sheet1!S71_SpecialAdjustedBudget,Sheet1!S71_SA3Code,$AC:$AC)</f>
        <v>0</v>
      </c>
      <c r="E42" s="1356"/>
      <c r="F42" s="1356"/>
      <c r="G42" s="1356"/>
      <c r="H42" s="1356"/>
      <c r="I42" s="1356">
        <f>-SUMIFS(Sheet1!S71_AdjustmentAmount,Sheet1!S71_SA3Code,$AC:$AC)</f>
        <v>0</v>
      </c>
      <c r="J42" s="75">
        <f>SUM(E42:I42)</f>
        <v>0</v>
      </c>
      <c r="K42" s="75">
        <f>IF(D42=0,C42+J42,D42+J42)</f>
        <v>0</v>
      </c>
      <c r="L42" s="1356">
        <f>-SUMIFS(Sheet1!S71_OY1AdjustedBudget,Sheet1!S71_SA3Code,$AC:$AC)</f>
        <v>0</v>
      </c>
      <c r="M42" s="1357">
        <f>-SUMIFS(Sheet1!S71_OY2AdjustedBudget,Sheet1!S71_SA3Code,$AC:$AC)</f>
        <v>0</v>
      </c>
      <c r="N42" s="126"/>
      <c r="AC42" s="1348" t="s">
        <v>1877</v>
      </c>
    </row>
    <row r="43" spans="1:29" ht="12.75" hidden="1" customHeight="1" x14ac:dyDescent="0.25">
      <c r="A43" s="302"/>
      <c r="B43" s="73"/>
      <c r="C43" s="1355">
        <f>-SUMIFS(Sheet1!S71_OriginalBudget,Sheet1!S71_SA3Code,$AC:$AC)</f>
        <v>5110195</v>
      </c>
      <c r="D43" s="1356">
        <f>SUMIFS(Sheet1!S71_SpecialAdjustedBudget,Sheet1!S71_SA3Code,$AC:$AC)</f>
        <v>-5110195</v>
      </c>
      <c r="E43" s="1356"/>
      <c r="F43" s="1356"/>
      <c r="G43" s="1356"/>
      <c r="H43" s="1356"/>
      <c r="I43" s="1356">
        <f>-SUMIFS(Sheet1!S71_AdjustmentAmount,Sheet1!S71_A6Code,$AC:$AC)</f>
        <v>0</v>
      </c>
      <c r="J43" s="130"/>
      <c r="K43" s="130"/>
      <c r="L43" s="1356">
        <f>-SUMIFS(Sheet1!S71_OY1AdjustedBudget,Sheet1!S71_SA3Code,$AC:$AC)</f>
        <v>0</v>
      </c>
      <c r="M43" s="1357">
        <f>-SUMIFS(Sheet1!S71_OY2AdjustedBudget,Sheet1!S71_SA3Code,$AC:$AC)</f>
        <v>0</v>
      </c>
      <c r="N43" s="126"/>
      <c r="AC43" s="1348" t="s">
        <v>2158</v>
      </c>
    </row>
    <row r="44" spans="1:29" ht="12.75" customHeight="1" x14ac:dyDescent="0.25">
      <c r="A44" s="127" t="s">
        <v>1214</v>
      </c>
      <c r="B44" s="73"/>
      <c r="C44" s="1355">
        <f>-SUMIFS(Sheet1!S71_OriginalBudget,Sheet1!S71_SA3Code,$AC:$AC)</f>
        <v>0</v>
      </c>
      <c r="D44" s="1356">
        <f>-SUMIFS(Sheet1!S71_SpecialAdjustedBudget,Sheet1!S71_SA3Code,$AC:$AC)</f>
        <v>0</v>
      </c>
      <c r="E44" s="1356"/>
      <c r="F44" s="1356"/>
      <c r="G44" s="1356"/>
      <c r="H44" s="1356"/>
      <c r="I44" s="1356">
        <f>-SUMIFS(Sheet1!S71_AdjustmentAmount,Sheet1!S71_SA3Code,$AC:$AC)</f>
        <v>0</v>
      </c>
      <c r="J44" s="75">
        <f>SUM(E44:I44)</f>
        <v>0</v>
      </c>
      <c r="K44" s="75">
        <f>IF(D44=0,C44+J44,D44+J44)</f>
        <v>0</v>
      </c>
      <c r="L44" s="1356">
        <f>-SUMIFS(Sheet1!S71_OY1AdjustedBudget,Sheet1!S71_SA3Code,$AC:$AC)</f>
        <v>0</v>
      </c>
      <c r="M44" s="1357">
        <f>-SUMIFS(Sheet1!S71_OY2AdjustedBudget,Sheet1!S71_SA3Code,$AC:$AC)</f>
        <v>0</v>
      </c>
      <c r="N44" s="126"/>
      <c r="AC44" s="1348" t="s">
        <v>2159</v>
      </c>
    </row>
    <row r="45" spans="1:29" ht="12.75" customHeight="1" x14ac:dyDescent="0.25">
      <c r="A45" s="127" t="s">
        <v>632</v>
      </c>
      <c r="B45" s="73"/>
      <c r="C45" s="1355">
        <f>-SUMIFS(Sheet1!S71_OriginalBudget,Sheet1!S71_SA3Code,$AC:$AC)</f>
        <v>0</v>
      </c>
      <c r="D45" s="1356">
        <f>SUMIFS(Sheet1!S71_SpecialAdjustedBudget,Sheet1!S71_SA3Code,$AC:$AC)</f>
        <v>0</v>
      </c>
      <c r="E45" s="1356"/>
      <c r="F45" s="1356"/>
      <c r="G45" s="1356"/>
      <c r="H45" s="1356"/>
      <c r="I45" s="1356">
        <f>-SUMIFS(Sheet1!S71_AdjustmentAmount,Sheet1!S71_SA3Code,$AC:$AC)</f>
        <v>0</v>
      </c>
      <c r="J45" s="75">
        <f>SUM(E45:I45)</f>
        <v>0</v>
      </c>
      <c r="K45" s="75">
        <f>IF(D45=0,C45+J45,D45+J45)</f>
        <v>0</v>
      </c>
      <c r="L45" s="1356">
        <f>-SUMIFS(Sheet1!S71_OY1AdjustedBudget,Sheet1!S71_SA3Code,$AC:$AC)</f>
        <v>0</v>
      </c>
      <c r="M45" s="1357">
        <f>-SUMIFS(Sheet1!S71_OY2AdjustedBudget,Sheet1!S71_SA3Code,$AC:$AC)</f>
        <v>0</v>
      </c>
      <c r="N45" s="126"/>
      <c r="AC45" s="1348" t="s">
        <v>2160</v>
      </c>
    </row>
    <row r="46" spans="1:29" ht="12.75" customHeight="1" x14ac:dyDescent="0.25">
      <c r="A46" s="301" t="str">
        <f>"Total "&amp;A41</f>
        <v>Total Provisions - non current</v>
      </c>
      <c r="B46" s="152"/>
      <c r="C46" s="80">
        <f>+C42+C44+C45</f>
        <v>0</v>
      </c>
      <c r="D46" s="81">
        <f t="shared" ref="D46:M46" si="9">+D42+D44+D45</f>
        <v>0</v>
      </c>
      <c r="E46" s="81">
        <f t="shared" si="9"/>
        <v>0</v>
      </c>
      <c r="F46" s="81">
        <f t="shared" si="9"/>
        <v>0</v>
      </c>
      <c r="G46" s="81">
        <f t="shared" si="9"/>
        <v>0</v>
      </c>
      <c r="H46" s="81">
        <f t="shared" si="9"/>
        <v>0</v>
      </c>
      <c r="I46" s="81">
        <f t="shared" si="9"/>
        <v>0</v>
      </c>
      <c r="J46" s="81">
        <f t="shared" si="9"/>
        <v>0</v>
      </c>
      <c r="K46" s="81">
        <f t="shared" si="9"/>
        <v>0</v>
      </c>
      <c r="L46" s="81">
        <f t="shared" si="9"/>
        <v>0</v>
      </c>
      <c r="M46" s="82">
        <f t="shared" si="9"/>
        <v>0</v>
      </c>
      <c r="N46" s="126"/>
      <c r="AC46" s="1348"/>
    </row>
    <row r="47" spans="1:29" ht="5.0999999999999996" customHeight="1" x14ac:dyDescent="0.25">
      <c r="A47" s="134"/>
      <c r="B47" s="73"/>
      <c r="C47" s="74"/>
      <c r="D47" s="75"/>
      <c r="E47" s="75"/>
      <c r="F47" s="75"/>
      <c r="G47" s="75"/>
      <c r="H47" s="75"/>
      <c r="I47" s="75"/>
      <c r="J47" s="75"/>
      <c r="K47" s="75"/>
      <c r="L47" s="75"/>
      <c r="M47" s="76"/>
      <c r="N47" s="126"/>
    </row>
    <row r="48" spans="1:29" ht="12.75" customHeight="1" x14ac:dyDescent="0.25">
      <c r="A48" s="51" t="s">
        <v>1215</v>
      </c>
      <c r="B48" s="73"/>
      <c r="C48" s="74"/>
      <c r="D48" s="75"/>
      <c r="E48" s="75"/>
      <c r="F48" s="75"/>
      <c r="G48" s="75"/>
      <c r="H48" s="75"/>
      <c r="I48" s="75"/>
      <c r="J48" s="75"/>
      <c r="K48" s="75"/>
      <c r="L48" s="75"/>
      <c r="M48" s="76"/>
      <c r="N48" s="126"/>
    </row>
    <row r="49" spans="1:30" ht="12.75" customHeight="1" x14ac:dyDescent="0.25">
      <c r="A49" s="52" t="s">
        <v>1216</v>
      </c>
      <c r="B49" s="73"/>
      <c r="C49" s="74"/>
      <c r="D49" s="75"/>
      <c r="E49" s="75"/>
      <c r="F49" s="75"/>
      <c r="G49" s="75"/>
      <c r="H49" s="75"/>
      <c r="I49" s="75"/>
      <c r="J49" s="75"/>
      <c r="K49" s="75"/>
      <c r="L49" s="75"/>
      <c r="M49" s="76"/>
      <c r="N49" s="126"/>
    </row>
    <row r="50" spans="1:30" ht="12.75" customHeight="1" x14ac:dyDescent="0.25">
      <c r="A50" s="127" t="str">
        <f>A49&amp;" - opening balance"</f>
        <v>Accumulated surplus/(Deficit) - opening balance</v>
      </c>
      <c r="B50" s="73"/>
      <c r="C50" s="1355">
        <f>-SUMIFS(Sheet1!S71_OriginalBudget,Sheet1!S71_SA3Code,$AC:$AC)-SUMIFS(Sheet1!S71_OriginalBudget,Sheet1!S71_SA3Code,$AD:$AD)</f>
        <v>237489800</v>
      </c>
      <c r="D50" s="1356">
        <f>-SUMIFS(Sheet1!S71_SpecialAdjustedBudget,Sheet1!S71_SA3Code,$AC:$AC)-SUMIFS(Sheet1!S71_SpecialAdjustedBudget,Sheet1!S71_SA3Code,$AD:$AD)</f>
        <v>243734035</v>
      </c>
      <c r="E50" s="1356"/>
      <c r="F50" s="1356"/>
      <c r="G50" s="1356"/>
      <c r="H50" s="1356"/>
      <c r="I50" s="1356">
        <f>SUMIFS(Sheet1!S71_AdjustmentAmount,Sheet1!S71_SA3Code,$AC:$AC)+SUMIFS(Sheet1!S71_AdjustmentAmount,Sheet1!S71_SA3Code,$AD:$AD)</f>
        <v>-243734035</v>
      </c>
      <c r="J50" s="75">
        <f>SUM(E50:I50)</f>
        <v>-243734035</v>
      </c>
      <c r="K50" s="75">
        <f>IF(D50=0,C50+J50,D50+J50)</f>
        <v>0</v>
      </c>
      <c r="L50" s="1356">
        <f>-SUMIFS(Sheet1!S71_OY1AdjustedBudget,Sheet1!S71_SA3Code,$AC:$AC)-SUMIFS(Sheet1!S71_OY1AdjustedBudget,Sheet1!S71_SA3Code,$AD:$AD)</f>
        <v>0</v>
      </c>
      <c r="M50" s="1357">
        <f>-SUMIFS(Sheet1!S71_OY2AdjustedBudget,Sheet1!S71_SA3Code,$AC:$AC)-SUMIFS(Sheet1!S71_OY2AdjustedBudget,Sheet1!S71_SA3Code,$AD:$AD)</f>
        <v>0</v>
      </c>
      <c r="N50" s="126"/>
      <c r="AC50" s="1348" t="s">
        <v>2161</v>
      </c>
      <c r="AD50" s="1374" t="s">
        <v>2163</v>
      </c>
    </row>
    <row r="51" spans="1:30" ht="12.75" customHeight="1" x14ac:dyDescent="0.25">
      <c r="A51" s="127" t="s">
        <v>1806</v>
      </c>
      <c r="B51" s="73"/>
      <c r="C51" s="1355">
        <f>-SUMIFS(Sheet1!S71_OriginalBudget,Sheet1!S71_SA3Code,$AC:$AC)</f>
        <v>0</v>
      </c>
      <c r="D51" s="1356">
        <f>-SUMIFS(Sheet1!S71_SpecialAdjustedBudget,Sheet1!S71_SA3Code,$AC:$AC)</f>
        <v>0</v>
      </c>
      <c r="E51" s="1356"/>
      <c r="F51" s="1356"/>
      <c r="G51" s="1356"/>
      <c r="H51" s="1356"/>
      <c r="I51" s="1356">
        <f>SUMIFS(Sheet1!S71_AdjustmentAmount,Sheet1!S71_SA3Code,$AC:$AC)+SUMIFS(Sheet1!S71_AdjustmentAmount,Sheet1!S71_SA3Code,$AD:$AD)</f>
        <v>0</v>
      </c>
      <c r="J51" s="75">
        <f>SUM(E51:I51)</f>
        <v>0</v>
      </c>
      <c r="K51" s="75">
        <f>IF(D51=0,C51+J51,D51+J51)</f>
        <v>0</v>
      </c>
      <c r="L51" s="1356">
        <f>-SUMIFS(Sheet1!S71_OY1AdjustedBudget,Sheet1!S71_SA3Code,$AC:$AC)</f>
        <v>0</v>
      </c>
      <c r="M51" s="1357">
        <f>-SUMIFS(Sheet1!S71_OY2AdjustedBudget,Sheet1!S71_SA3Code,$AC:$AC)</f>
        <v>0</v>
      </c>
      <c r="N51" s="126"/>
      <c r="AC51" s="1348" t="s">
        <v>2162</v>
      </c>
    </row>
    <row r="52" spans="1:30" ht="12.75" customHeight="1" x14ac:dyDescent="0.25">
      <c r="A52" s="127" t="s">
        <v>1807</v>
      </c>
      <c r="B52" s="73"/>
      <c r="C52" s="129">
        <f>+C50+C51</f>
        <v>237489800</v>
      </c>
      <c r="D52" s="130">
        <f t="shared" ref="D52:M52" si="10">+D50+D51</f>
        <v>243734035</v>
      </c>
      <c r="E52" s="130">
        <f t="shared" si="10"/>
        <v>0</v>
      </c>
      <c r="F52" s="130">
        <f t="shared" si="10"/>
        <v>0</v>
      </c>
      <c r="G52" s="130">
        <f t="shared" si="10"/>
        <v>0</v>
      </c>
      <c r="H52" s="130">
        <f t="shared" si="10"/>
        <v>0</v>
      </c>
      <c r="I52" s="130">
        <f t="shared" si="10"/>
        <v>-243734035</v>
      </c>
      <c r="J52" s="130">
        <f t="shared" si="10"/>
        <v>-243734035</v>
      </c>
      <c r="K52" s="130">
        <f>+K50+K51</f>
        <v>0</v>
      </c>
      <c r="L52" s="130">
        <f t="shared" si="10"/>
        <v>0</v>
      </c>
      <c r="M52" s="131">
        <f t="shared" si="10"/>
        <v>0</v>
      </c>
      <c r="N52" s="126"/>
    </row>
    <row r="53" spans="1:30" ht="12.75" customHeight="1" x14ac:dyDescent="0.25">
      <c r="A53" s="127" t="s">
        <v>571</v>
      </c>
      <c r="B53" s="73"/>
      <c r="C53" s="129">
        <f>'B4-FinPerf RE'!C47</f>
        <v>2685553</v>
      </c>
      <c r="D53" s="129">
        <f>'B4-FinPerf RE'!D47</f>
        <v>15090553</v>
      </c>
      <c r="E53" s="129">
        <f>'B4-FinPerf RE'!E47</f>
        <v>0</v>
      </c>
      <c r="F53" s="129">
        <f>'B4-FinPerf RE'!F47</f>
        <v>0</v>
      </c>
      <c r="G53" s="129">
        <f>'B4-FinPerf RE'!G47</f>
        <v>0</v>
      </c>
      <c r="H53" s="129">
        <f>'B4-FinPerf RE'!H47</f>
        <v>0</v>
      </c>
      <c r="I53" s="129">
        <f>'B4-FinPerf RE'!I47</f>
        <v>-22007177</v>
      </c>
      <c r="J53" s="130">
        <f>'B4-FinPerf RE'!J47</f>
        <v>-22007177</v>
      </c>
      <c r="K53" s="130">
        <f>'B4-FinPerf RE'!K47</f>
        <v>-6916624</v>
      </c>
      <c r="L53" s="130">
        <f>'B4-FinPerf RE'!L47</f>
        <v>5584299</v>
      </c>
      <c r="M53" s="131">
        <f>'B4-FinPerf RE'!M47</f>
        <v>5455423</v>
      </c>
      <c r="N53" s="126"/>
      <c r="AC53" s="1343" t="s">
        <v>2359</v>
      </c>
    </row>
    <row r="54" spans="1:30" ht="12.75" customHeight="1" x14ac:dyDescent="0.25">
      <c r="A54" s="1328" t="s">
        <v>1808</v>
      </c>
      <c r="B54" s="73"/>
      <c r="C54" s="1355">
        <f>-SUMIFS(Sheet1!S71_OriginalBudget,Sheet1!S71_SA3Code,$AC:$AC)</f>
        <v>0</v>
      </c>
      <c r="D54" s="1356">
        <f>-SUMIFS(Sheet1!S71_SpecialAdjustedBudget,Sheet1!S71_SA3Code,$AC:$AC)</f>
        <v>0</v>
      </c>
      <c r="E54" s="1356"/>
      <c r="F54" s="1356"/>
      <c r="G54" s="1356"/>
      <c r="H54" s="1356"/>
      <c r="I54" s="1356">
        <f>-SUMIFS(Sheet1!S71_AdjustmentAmount,Sheet1!S71_SA3Code,$AC:$AC)</f>
        <v>0</v>
      </c>
      <c r="J54" s="75">
        <f>SUM(E54:I54)</f>
        <v>0</v>
      </c>
      <c r="K54" s="75">
        <f>IF(D54=0,C54+J54,D54+J54)</f>
        <v>0</v>
      </c>
      <c r="L54" s="1356">
        <f>-SUMIFS(Sheet1!S71_OY1AdjustedBudget,Sheet1!S71_SA3Code,$AC:$AC)</f>
        <v>0</v>
      </c>
      <c r="M54" s="1357">
        <f>-SUMIFS(Sheet1!S71_OY2AdjustedBudget,Sheet1!S71_SA3Code,$AC:$AC)</f>
        <v>0</v>
      </c>
      <c r="N54" s="126"/>
      <c r="AC54" s="1348" t="s">
        <v>2165</v>
      </c>
    </row>
    <row r="55" spans="1:30" ht="12.75" customHeight="1" x14ac:dyDescent="0.25">
      <c r="A55" s="127" t="s">
        <v>1217</v>
      </c>
      <c r="B55" s="73"/>
      <c r="C55" s="1355">
        <f>-SUMIFS(Sheet1!S71_OriginalBudget,Sheet1!S71_SA3Code,$AC:$AC)</f>
        <v>0</v>
      </c>
      <c r="D55" s="1356">
        <f>-SUMIFS(Sheet1!S71_SpecialAdjustedBudget,Sheet1!S71_SA3Code,$AC:$AC)</f>
        <v>0</v>
      </c>
      <c r="E55" s="1356"/>
      <c r="F55" s="1356"/>
      <c r="G55" s="1356"/>
      <c r="H55" s="1356"/>
      <c r="I55" s="1356">
        <f>-SUMIFS(Sheet1!S71_AdjustmentAmount,Sheet1!S71_SA3Code,$AC:$AC)</f>
        <v>0</v>
      </c>
      <c r="J55" s="75">
        <f>SUM(E55:I55)</f>
        <v>0</v>
      </c>
      <c r="K55" s="75">
        <f>IF(D55=0,C55+J55,D55+J55)</f>
        <v>0</v>
      </c>
      <c r="L55" s="1356">
        <f>-SUMIFS(Sheet1!S71_OY1AdjustedBudget,Sheet1!S71_SA3Code,$AC:$AC)</f>
        <v>0</v>
      </c>
      <c r="M55" s="1357">
        <f>-SUMIFS(Sheet1!S71_OY2AdjustedBudget,Sheet1!S71_SA3Code,$AC:$AC)</f>
        <v>0</v>
      </c>
      <c r="N55" s="126"/>
      <c r="AC55" s="1348" t="s">
        <v>2166</v>
      </c>
    </row>
    <row r="56" spans="1:30" ht="12.75" customHeight="1" x14ac:dyDescent="0.25">
      <c r="A56" s="127" t="s">
        <v>1218</v>
      </c>
      <c r="B56" s="73"/>
      <c r="C56" s="1355">
        <f>-SUMIFS(Sheet1!S71_OriginalBudget,Sheet1!S71_SA3Code,$AC:$AC)</f>
        <v>0</v>
      </c>
      <c r="D56" s="1356">
        <f>-SUMIFS(Sheet1!S71_SpecialAdjustedBudget,Sheet1!S71_SA3Code,$AC:$AC)</f>
        <v>0</v>
      </c>
      <c r="E56" s="1356"/>
      <c r="F56" s="1356"/>
      <c r="G56" s="1356"/>
      <c r="H56" s="1356"/>
      <c r="I56" s="1356">
        <f>-SUMIFS(Sheet1!S71_AdjustmentAmount,Sheet1!S71_SA3Code,$AC:$AC)</f>
        <v>0</v>
      </c>
      <c r="J56" s="75">
        <f>SUM(E56:I56)</f>
        <v>0</v>
      </c>
      <c r="K56" s="75">
        <f>IF(D56=0,C56+J56,D56+J56)</f>
        <v>0</v>
      </c>
      <c r="L56" s="1356">
        <f>-SUMIFS(Sheet1!S71_OY1AdjustedBudget,Sheet1!S71_SA3Code,$AC:$AC)</f>
        <v>0</v>
      </c>
      <c r="M56" s="1357">
        <f>-SUMIFS(Sheet1!S71_OY2AdjustedBudget,Sheet1!S71_SA3Code,$AC:$AC)</f>
        <v>0</v>
      </c>
      <c r="N56" s="126"/>
      <c r="AC56" s="1348" t="s">
        <v>2167</v>
      </c>
    </row>
    <row r="57" spans="1:30" ht="12.75" customHeight="1" x14ac:dyDescent="0.25">
      <c r="A57" s="1329" t="s">
        <v>717</v>
      </c>
      <c r="B57" s="73">
        <v>1</v>
      </c>
      <c r="C57" s="80">
        <f>SUM(C52:C56)</f>
        <v>240175353</v>
      </c>
      <c r="D57" s="80">
        <f t="shared" ref="D57:J57" si="11">SUM(D52:D56)</f>
        <v>258824588</v>
      </c>
      <c r="E57" s="80">
        <f t="shared" si="11"/>
        <v>0</v>
      </c>
      <c r="F57" s="80">
        <f t="shared" si="11"/>
        <v>0</v>
      </c>
      <c r="G57" s="80">
        <f t="shared" si="11"/>
        <v>0</v>
      </c>
      <c r="H57" s="80">
        <f t="shared" si="11"/>
        <v>0</v>
      </c>
      <c r="I57" s="80">
        <f t="shared" si="11"/>
        <v>-265741212</v>
      </c>
      <c r="J57" s="80">
        <f t="shared" si="11"/>
        <v>-265741212</v>
      </c>
      <c r="K57" s="81">
        <f>SUM(K52:K56)</f>
        <v>-6916624</v>
      </c>
      <c r="L57" s="81">
        <f t="shared" ref="L57:M57" si="12">SUM(L52:L56)</f>
        <v>5584299</v>
      </c>
      <c r="M57" s="82">
        <f t="shared" si="12"/>
        <v>5455423</v>
      </c>
      <c r="N57" s="126"/>
    </row>
    <row r="58" spans="1:30" ht="12.75" customHeight="1" x14ac:dyDescent="0.25">
      <c r="A58" s="124" t="s">
        <v>718</v>
      </c>
      <c r="B58" s="113"/>
      <c r="C58" s="74"/>
      <c r="D58" s="75"/>
      <c r="E58" s="75"/>
      <c r="F58" s="75"/>
      <c r="G58" s="75"/>
      <c r="H58" s="75"/>
      <c r="I58" s="75"/>
      <c r="J58" s="75"/>
      <c r="K58" s="75"/>
      <c r="L58" s="75"/>
      <c r="M58" s="76"/>
      <c r="N58" s="126"/>
    </row>
    <row r="59" spans="1:30" ht="12.75" customHeight="1" x14ac:dyDescent="0.25">
      <c r="A59" s="30" t="s">
        <v>1219</v>
      </c>
      <c r="B59" s="135"/>
      <c r="C59" s="1355">
        <f>-SUMIFS(Sheet1!S71_OriginalBudget,Sheet1!S71_SA3Code,$AC:$AC)</f>
        <v>0</v>
      </c>
      <c r="D59" s="1356">
        <f>-SUMIFS(Sheet1!S71_SpecialAdjustedBudget,Sheet1!S71_SA3Code,$AC:$AC)</f>
        <v>0</v>
      </c>
      <c r="E59" s="1356"/>
      <c r="F59" s="1356"/>
      <c r="G59" s="1356"/>
      <c r="H59" s="1356"/>
      <c r="I59" s="1356">
        <f>SUMIFS(Sheet1!S71_AdjustmentAmount,Sheet1!S71_SA3Code,$AC:$AC)</f>
        <v>0</v>
      </c>
      <c r="J59" s="75">
        <f>SUM(E59:I59)</f>
        <v>0</v>
      </c>
      <c r="K59" s="75">
        <f>IF(D59=0,C59+J59,D59+J59)</f>
        <v>0</v>
      </c>
      <c r="L59" s="1356">
        <f>-SUMIFS(Sheet1!S71_OY1AdjustedBudget,Sheet1!S71_SA3Code,$AC:$AC)</f>
        <v>0</v>
      </c>
      <c r="M59" s="1357">
        <f>-SUMIFS(Sheet1!S71_OY2AdjustedBudget,Sheet1!S71_SA3Code,$AC:$AC)</f>
        <v>0</v>
      </c>
      <c r="N59" s="126"/>
      <c r="AC59" s="1348" t="s">
        <v>2168</v>
      </c>
    </row>
    <row r="60" spans="1:30" ht="12.75" customHeight="1" x14ac:dyDescent="0.25">
      <c r="A60" s="30" t="s">
        <v>1220</v>
      </c>
      <c r="B60" s="73"/>
      <c r="C60" s="1355">
        <f>-SUMIFS(Sheet1!S71_OriginalBudget,Sheet1!S71_SA3Code,$AC:$AC)</f>
        <v>0</v>
      </c>
      <c r="D60" s="1356">
        <f>-SUMIFS(Sheet1!S71_SpecialAdjustedBudget,Sheet1!S71_SA3Code,$AC:$AC)</f>
        <v>0</v>
      </c>
      <c r="E60" s="1356"/>
      <c r="F60" s="1356"/>
      <c r="G60" s="1356"/>
      <c r="H60" s="1356"/>
      <c r="I60" s="1356">
        <f>SUMIFS(Sheet1!S71_AdjustmentAmount,Sheet1!S71_SA3Code,$AC:$AC)</f>
        <v>0</v>
      </c>
      <c r="J60" s="75">
        <f>SUM(E60:I60)</f>
        <v>0</v>
      </c>
      <c r="K60" s="75">
        <f>IF(D60=0,C60+J60,D60+J60)</f>
        <v>0</v>
      </c>
      <c r="L60" s="1356">
        <f>-SUMIFS(Sheet1!S71_OY1AdjustedBudget,Sheet1!S71_SA3Code,$AC:$AC)</f>
        <v>0</v>
      </c>
      <c r="M60" s="1357">
        <f>-SUMIFS(Sheet1!S71_OY2AdjustedBudget,Sheet1!S71_SA3Code,$AC:$AC)</f>
        <v>0</v>
      </c>
      <c r="N60" s="126"/>
      <c r="AC60" s="1348" t="s">
        <v>2169</v>
      </c>
    </row>
    <row r="61" spans="1:30" ht="12.75" customHeight="1" x14ac:dyDescent="0.25">
      <c r="A61" s="30" t="s">
        <v>1221</v>
      </c>
      <c r="B61" s="73"/>
      <c r="C61" s="1355">
        <f>-SUMIFS(Sheet1!S71_OriginalBudget,Sheet1!S71_SA3Code,$AC:$AC)</f>
        <v>0</v>
      </c>
      <c r="D61" s="1356">
        <f>-SUMIFS(Sheet1!S71_SpecialAdjustedBudget,Sheet1!S71_SA3Code,$AC:$AC)</f>
        <v>0</v>
      </c>
      <c r="E61" s="1356"/>
      <c r="F61" s="1356"/>
      <c r="G61" s="1356"/>
      <c r="H61" s="1356"/>
      <c r="I61" s="1356">
        <f>SUMIFS(Sheet1!S71_AdjustmentAmount,Sheet1!S71_SA3Code,$AC:$AC)</f>
        <v>0</v>
      </c>
      <c r="J61" s="75">
        <f>SUM(E61:I61)</f>
        <v>0</v>
      </c>
      <c r="K61" s="75">
        <f>IF(D61=0,C61+J61,D61+J61)</f>
        <v>0</v>
      </c>
      <c r="L61" s="1356">
        <f>-SUMIFS(Sheet1!S71_OY1AdjustedBudget,Sheet1!S71_SA3Code,$AC:$AC)</f>
        <v>0</v>
      </c>
      <c r="M61" s="1357">
        <f>-SUMIFS(Sheet1!S71_OY2AdjustedBudget,Sheet1!S71_SA3Code,$AC:$AC)</f>
        <v>0</v>
      </c>
      <c r="N61" s="126"/>
      <c r="AC61" s="1348" t="s">
        <v>2170</v>
      </c>
    </row>
    <row r="62" spans="1:30" ht="12.75" customHeight="1" x14ac:dyDescent="0.25">
      <c r="A62" s="127" t="s">
        <v>1809</v>
      </c>
      <c r="B62" s="73"/>
      <c r="C62" s="1355">
        <f>-SUMIFS(Sheet1!S71_OriginalBudget,Sheet1!S71_SA3Code,$AC:$AC)</f>
        <v>0</v>
      </c>
      <c r="D62" s="1356">
        <f>-SUMIFS(Sheet1!S71_SpecialAdjustedBudget,Sheet1!S71_SA3Code,$AC:$AC)</f>
        <v>0</v>
      </c>
      <c r="E62" s="1356"/>
      <c r="F62" s="1356"/>
      <c r="G62" s="1356"/>
      <c r="H62" s="1356"/>
      <c r="I62" s="1356">
        <f>SUMIFS(Sheet1!S71_AdjustmentAmount,Sheet1!S71_SA3Code,$AC:$AC)</f>
        <v>0</v>
      </c>
      <c r="J62" s="75">
        <f>SUM(E62:I62)</f>
        <v>0</v>
      </c>
      <c r="K62" s="75">
        <f>IF(D62=0,C62+J62,D62+J62)</f>
        <v>0</v>
      </c>
      <c r="L62" s="1356">
        <f>-SUMIFS(Sheet1!S71_OY1AdjustedBudget,Sheet1!S71_SA3Code,$AC:$AC)</f>
        <v>0</v>
      </c>
      <c r="M62" s="1357">
        <f>-SUMIFS(Sheet1!S71_OY2AdjustedBudget,Sheet1!S71_SA3Code,$AC:$AC)</f>
        <v>0</v>
      </c>
      <c r="N62" s="126"/>
      <c r="AC62" s="1348" t="s">
        <v>2171</v>
      </c>
    </row>
    <row r="63" spans="1:30" ht="12.75" customHeight="1" x14ac:dyDescent="0.25">
      <c r="A63" s="30" t="s">
        <v>1222</v>
      </c>
      <c r="B63" s="73"/>
      <c r="C63" s="1355">
        <f>-SUMIFS(Sheet1!S71_OriginalBudget,Sheet1!S71_SA3Code,$AC:$AC)</f>
        <v>0</v>
      </c>
      <c r="D63" s="1356">
        <f>-SUMIFS(Sheet1!S71_SpecialAdjustedBudget,Sheet1!S71_SA3Code,$AC:$AC)</f>
        <v>0</v>
      </c>
      <c r="E63" s="1356"/>
      <c r="F63" s="1356"/>
      <c r="G63" s="1356"/>
      <c r="H63" s="1356"/>
      <c r="I63" s="1356">
        <f>SUMIFS(Sheet1!S71_AdjustmentAmount,Sheet1!S71_SA3Code,$AC:$AC)</f>
        <v>0</v>
      </c>
      <c r="J63" s="75">
        <f>SUM(E63:I63)</f>
        <v>0</v>
      </c>
      <c r="K63" s="75">
        <f>IF(D63=0,C63+J63,D63+J63)</f>
        <v>0</v>
      </c>
      <c r="L63" s="1356">
        <f>-SUMIFS(Sheet1!S71_OY1AdjustedBudget,Sheet1!S71_SA3Code,$AC:$AC)</f>
        <v>0</v>
      </c>
      <c r="M63" s="1357">
        <f>-SUMIFS(Sheet1!S71_OY2AdjustedBudget,Sheet1!S71_SA3Code,$AC:$AC)</f>
        <v>0</v>
      </c>
      <c r="N63" s="126"/>
      <c r="AC63" s="1348" t="s">
        <v>2172</v>
      </c>
    </row>
    <row r="64" spans="1:30" ht="12.75" customHeight="1" x14ac:dyDescent="0.25">
      <c r="A64" s="301" t="s">
        <v>1223</v>
      </c>
      <c r="B64" s="152">
        <v>2</v>
      </c>
      <c r="C64" s="80">
        <f t="shared" ref="C64:M64" si="13">SUM(C59:C63)</f>
        <v>0</v>
      </c>
      <c r="D64" s="81">
        <f t="shared" si="13"/>
        <v>0</v>
      </c>
      <c r="E64" s="81">
        <f t="shared" si="13"/>
        <v>0</v>
      </c>
      <c r="F64" s="81">
        <f t="shared" si="13"/>
        <v>0</v>
      </c>
      <c r="G64" s="81">
        <f t="shared" si="13"/>
        <v>0</v>
      </c>
      <c r="H64" s="81">
        <f t="shared" si="13"/>
        <v>0</v>
      </c>
      <c r="I64" s="81">
        <f t="shared" si="13"/>
        <v>0</v>
      </c>
      <c r="J64" s="81">
        <f t="shared" si="13"/>
        <v>0</v>
      </c>
      <c r="K64" s="81">
        <f t="shared" si="13"/>
        <v>0</v>
      </c>
      <c r="L64" s="81">
        <f t="shared" si="13"/>
        <v>0</v>
      </c>
      <c r="M64" s="82">
        <f t="shared" si="13"/>
        <v>0</v>
      </c>
      <c r="N64" s="126"/>
    </row>
    <row r="65" spans="1:29" ht="12.75" customHeight="1" x14ac:dyDescent="0.25">
      <c r="A65" s="153" t="s">
        <v>719</v>
      </c>
      <c r="B65" s="154">
        <v>2</v>
      </c>
      <c r="C65" s="155">
        <f t="shared" ref="C65:M65" si="14">C57+C64</f>
        <v>240175353</v>
      </c>
      <c r="D65" s="115">
        <f t="shared" si="14"/>
        <v>258824588</v>
      </c>
      <c r="E65" s="115">
        <f t="shared" si="14"/>
        <v>0</v>
      </c>
      <c r="F65" s="115">
        <f t="shared" si="14"/>
        <v>0</v>
      </c>
      <c r="G65" s="115">
        <f t="shared" si="14"/>
        <v>0</v>
      </c>
      <c r="H65" s="115">
        <f t="shared" si="14"/>
        <v>0</v>
      </c>
      <c r="I65" s="115">
        <f t="shared" si="14"/>
        <v>-265741212</v>
      </c>
      <c r="J65" s="115">
        <f t="shared" si="14"/>
        <v>-265741212</v>
      </c>
      <c r="K65" s="115">
        <f t="shared" si="14"/>
        <v>-6916624</v>
      </c>
      <c r="L65" s="115">
        <f t="shared" si="14"/>
        <v>5584299</v>
      </c>
      <c r="M65" s="116">
        <f t="shared" si="14"/>
        <v>5455423</v>
      </c>
      <c r="N65" s="126"/>
      <c r="AC65" s="1351"/>
    </row>
    <row r="66" spans="1:29" ht="5.0999999999999996" customHeight="1" x14ac:dyDescent="0.25">
      <c r="A66" s="303"/>
      <c r="B66" s="304"/>
      <c r="C66" s="305"/>
      <c r="D66" s="305"/>
      <c r="E66" s="305"/>
      <c r="F66" s="305"/>
      <c r="G66" s="305"/>
      <c r="H66" s="305"/>
      <c r="I66" s="305"/>
      <c r="J66" s="305"/>
      <c r="K66" s="305"/>
      <c r="L66" s="305"/>
      <c r="M66" s="305"/>
      <c r="N66" s="126"/>
      <c r="AC66" s="1351"/>
    </row>
    <row r="67" spans="1:29" s="336" customFormat="1" ht="12.75" customHeight="1" x14ac:dyDescent="0.25">
      <c r="A67" s="1330"/>
      <c r="B67" s="338"/>
      <c r="C67" s="338"/>
      <c r="D67" s="338"/>
      <c r="E67" s="338"/>
      <c r="F67" s="338"/>
      <c r="G67" s="338"/>
      <c r="H67" s="338"/>
      <c r="I67" s="338"/>
      <c r="J67" s="338"/>
      <c r="K67" s="338"/>
      <c r="L67" s="338"/>
      <c r="M67" s="338"/>
      <c r="AB67" s="1351"/>
      <c r="AC67" s="1351"/>
    </row>
    <row r="68" spans="1:29" s="336" customFormat="1" ht="12.75" customHeight="1" x14ac:dyDescent="0.25">
      <c r="A68" s="1331"/>
      <c r="B68" s="781"/>
      <c r="C68" s="1332"/>
      <c r="D68" s="1332"/>
      <c r="E68" s="1332"/>
      <c r="F68" s="1332"/>
      <c r="G68" s="1332"/>
      <c r="H68" s="1332"/>
      <c r="I68" s="1332"/>
      <c r="J68" s="338"/>
      <c r="K68" s="338"/>
      <c r="L68" s="1332"/>
      <c r="M68" s="1332"/>
      <c r="AB68" s="1351"/>
      <c r="AC68" s="1351"/>
    </row>
    <row r="69" spans="1:29" s="336" customFormat="1" ht="12.75" customHeight="1" x14ac:dyDescent="0.25">
      <c r="A69" s="1331"/>
      <c r="B69" s="781"/>
      <c r="C69" s="1332"/>
      <c r="D69" s="1332"/>
      <c r="E69" s="1332"/>
      <c r="F69" s="1332"/>
      <c r="G69" s="1332"/>
      <c r="H69" s="1332"/>
      <c r="I69" s="1332"/>
      <c r="J69" s="338"/>
      <c r="K69" s="338"/>
      <c r="L69" s="1332"/>
      <c r="M69" s="1332"/>
      <c r="AB69" s="1351"/>
      <c r="AC69" s="1336"/>
    </row>
    <row r="70" spans="1:29" s="336" customFormat="1" ht="12.75" customHeight="1" x14ac:dyDescent="0.25">
      <c r="A70" s="1331"/>
      <c r="B70" s="1333"/>
      <c r="C70" s="1332"/>
      <c r="D70" s="1332"/>
      <c r="E70" s="1332"/>
      <c r="F70" s="1332"/>
      <c r="G70" s="1332"/>
      <c r="H70" s="1332"/>
      <c r="I70" s="1332"/>
      <c r="J70" s="338"/>
      <c r="K70" s="338"/>
      <c r="L70" s="1332"/>
      <c r="M70" s="1332"/>
      <c r="AB70" s="1351"/>
      <c r="AC70" s="1336"/>
    </row>
    <row r="71" spans="1:29" ht="12.75" customHeight="1" x14ac:dyDescent="0.25">
      <c r="A71" s="156" t="str">
        <f>head27a</f>
        <v>References</v>
      </c>
      <c r="B71" s="93"/>
      <c r="C71" s="96"/>
      <c r="D71" s="96"/>
      <c r="E71" s="96"/>
      <c r="F71" s="96"/>
      <c r="G71" s="96"/>
      <c r="H71" s="96"/>
      <c r="I71" s="96"/>
      <c r="J71" s="96"/>
      <c r="K71" s="96"/>
      <c r="L71" s="96"/>
      <c r="M71" s="96"/>
      <c r="N71" s="126"/>
    </row>
    <row r="72" spans="1:29" ht="12.75" customHeight="1" x14ac:dyDescent="0.25">
      <c r="A72" s="99" t="s">
        <v>0</v>
      </c>
      <c r="B72" s="93"/>
      <c r="C72" s="96"/>
      <c r="D72" s="96"/>
      <c r="E72" s="96"/>
      <c r="F72" s="96"/>
      <c r="G72" s="96"/>
      <c r="H72" s="96"/>
      <c r="I72" s="96"/>
      <c r="J72" s="96"/>
      <c r="K72" s="96"/>
      <c r="L72" s="96"/>
      <c r="M72" s="96"/>
    </row>
    <row r="73" spans="1:29" ht="12.75" customHeight="1" x14ac:dyDescent="0.25">
      <c r="A73" s="99" t="s">
        <v>1</v>
      </c>
      <c r="B73" s="93"/>
      <c r="C73" s="96"/>
      <c r="D73" s="96"/>
      <c r="E73" s="96"/>
      <c r="F73" s="96"/>
      <c r="G73" s="96"/>
      <c r="H73" s="96"/>
      <c r="I73" s="96"/>
      <c r="J73" s="96"/>
      <c r="K73" s="96"/>
      <c r="L73" s="96"/>
      <c r="M73" s="96"/>
    </row>
    <row r="74" spans="1:29" ht="12.75" customHeight="1" x14ac:dyDescent="0.25">
      <c r="A74" s="99" t="s">
        <v>2</v>
      </c>
      <c r="B74" s="93"/>
      <c r="C74" s="99"/>
      <c r="D74" s="99"/>
      <c r="E74" s="99"/>
      <c r="F74" s="99"/>
      <c r="G74" s="99"/>
      <c r="H74" s="99"/>
      <c r="I74" s="99"/>
      <c r="J74" s="99"/>
      <c r="K74" s="99"/>
      <c r="L74" s="99"/>
      <c r="M74" s="99"/>
    </row>
    <row r="75" spans="1:29" ht="12.75" customHeight="1" x14ac:dyDescent="0.25">
      <c r="A75" s="99" t="s">
        <v>985</v>
      </c>
      <c r="B75" s="99"/>
      <c r="C75" s="99"/>
      <c r="D75" s="99"/>
      <c r="E75" s="99"/>
      <c r="F75" s="99"/>
      <c r="G75" s="99"/>
      <c r="H75" s="99"/>
      <c r="I75" s="99"/>
      <c r="J75" s="99"/>
      <c r="K75" s="99"/>
      <c r="L75" s="99"/>
      <c r="M75" s="99"/>
    </row>
    <row r="76" spans="1:29" ht="24.95" customHeight="1" x14ac:dyDescent="0.25">
      <c r="A76" s="1416" t="s">
        <v>755</v>
      </c>
      <c r="B76" s="1416"/>
      <c r="C76" s="1416"/>
      <c r="D76" s="1416"/>
      <c r="E76" s="1416"/>
      <c r="F76" s="1416"/>
      <c r="G76" s="1416"/>
      <c r="H76" s="1416"/>
      <c r="I76" s="1416"/>
      <c r="J76" s="1416"/>
      <c r="K76" s="1416"/>
      <c r="L76" s="1416"/>
      <c r="M76" s="1416"/>
    </row>
    <row r="77" spans="1:29" ht="12.75" customHeight="1" x14ac:dyDescent="0.25">
      <c r="A77" s="99" t="s">
        <v>756</v>
      </c>
      <c r="B77" s="99"/>
      <c r="C77" s="99"/>
      <c r="D77" s="99"/>
      <c r="E77" s="99"/>
      <c r="F77" s="99"/>
      <c r="G77" s="99"/>
      <c r="H77" s="99"/>
      <c r="I77" s="99"/>
      <c r="J77" s="99"/>
      <c r="K77" s="99"/>
      <c r="L77" s="99"/>
      <c r="M77" s="99"/>
    </row>
    <row r="78" spans="1:29" ht="12.75" customHeight="1" x14ac:dyDescent="0.25">
      <c r="A78" s="99" t="s">
        <v>757</v>
      </c>
      <c r="B78" s="99"/>
      <c r="C78" s="99"/>
      <c r="D78" s="99"/>
      <c r="E78" s="99"/>
      <c r="F78" s="99"/>
      <c r="G78" s="99"/>
      <c r="H78" s="99"/>
      <c r="I78" s="99"/>
      <c r="J78" s="99"/>
      <c r="K78" s="99"/>
      <c r="L78" s="99"/>
      <c r="M78" s="99"/>
    </row>
    <row r="79" spans="1:29" ht="12.75" customHeight="1" x14ac:dyDescent="0.25">
      <c r="A79" s="99" t="s">
        <v>758</v>
      </c>
      <c r="B79" s="93"/>
      <c r="C79" s="96"/>
      <c r="D79" s="96"/>
      <c r="E79" s="96"/>
      <c r="F79" s="96"/>
      <c r="G79" s="96"/>
      <c r="H79" s="96"/>
      <c r="I79" s="96"/>
      <c r="J79" s="96"/>
      <c r="K79" s="96"/>
      <c r="L79" s="96"/>
      <c r="M79" s="96"/>
    </row>
    <row r="80" spans="1:29" ht="38.25" customHeight="1" x14ac:dyDescent="0.25">
      <c r="A80" s="1416" t="s">
        <v>759</v>
      </c>
      <c r="B80" s="1416"/>
      <c r="C80" s="1416"/>
      <c r="D80" s="1416"/>
      <c r="E80" s="1416"/>
      <c r="F80" s="1416"/>
      <c r="G80" s="1416"/>
      <c r="H80" s="1416"/>
      <c r="I80" s="1416"/>
      <c r="J80" s="1416"/>
      <c r="K80" s="1416"/>
      <c r="L80" s="1416"/>
      <c r="M80" s="1416"/>
    </row>
    <row r="81" spans="1:13" ht="12.75" customHeight="1" x14ac:dyDescent="0.25">
      <c r="A81" s="99" t="s">
        <v>760</v>
      </c>
      <c r="B81" s="93"/>
      <c r="C81" s="96"/>
      <c r="D81" s="96"/>
      <c r="E81" s="96"/>
      <c r="F81" s="96"/>
      <c r="G81" s="96"/>
      <c r="H81" s="96"/>
      <c r="I81" s="96"/>
      <c r="J81" s="96"/>
      <c r="K81" s="96"/>
      <c r="L81" s="96"/>
      <c r="M81" s="96"/>
    </row>
    <row r="82" spans="1:13" ht="12.75" customHeight="1" x14ac:dyDescent="0.25">
      <c r="A82" s="99" t="s">
        <v>761</v>
      </c>
      <c r="B82" s="100"/>
      <c r="C82" s="100"/>
      <c r="D82" s="100"/>
      <c r="E82" s="100"/>
      <c r="F82" s="100"/>
      <c r="G82" s="100"/>
      <c r="H82" s="100"/>
      <c r="I82" s="100"/>
      <c r="J82" s="100"/>
      <c r="K82" s="100"/>
      <c r="L82" s="100"/>
      <c r="M82" s="100"/>
    </row>
    <row r="83" spans="1:13" ht="11.25" customHeight="1" x14ac:dyDescent="0.25">
      <c r="A83" s="309" t="s">
        <v>3</v>
      </c>
      <c r="C83" s="179">
        <f>C65-'B6-FinPos'!C50</f>
        <v>0</v>
      </c>
      <c r="D83" s="179"/>
      <c r="E83" s="179"/>
      <c r="F83" s="179"/>
      <c r="G83" s="179"/>
      <c r="H83" s="179"/>
      <c r="I83" s="179"/>
      <c r="J83" s="179"/>
      <c r="K83" s="179"/>
      <c r="L83" s="179"/>
      <c r="M83" s="310">
        <f>K65-'B6-FinPos'!K50</f>
        <v>0</v>
      </c>
    </row>
    <row r="84" spans="1:13" ht="11.25" customHeight="1" x14ac:dyDescent="0.25"/>
    <row r="85" spans="1:13" ht="11.25" customHeight="1" x14ac:dyDescent="0.25"/>
    <row r="86" spans="1:13" ht="11.25" customHeight="1" x14ac:dyDescent="0.25"/>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sheetData>
  <sheetProtection sheet="1" objects="1" scenarios="1"/>
  <mergeCells count="5">
    <mergeCell ref="A80:M80"/>
    <mergeCell ref="A76:M76"/>
    <mergeCell ref="B2:B4"/>
    <mergeCell ref="A2:A4"/>
    <mergeCell ref="C2:K2"/>
  </mergeCells>
  <phoneticPr fontId="4" type="noConversion"/>
  <printOptions horizontalCentered="1"/>
  <pageMargins left="0.35" right="0.16" top="0.75" bottom="0.61" header="0.51181102362204722" footer="0.51181102362204722"/>
  <pageSetup paperSize="9" scale="7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I8" sqref="I8:I20"/>
    </sheetView>
  </sheetViews>
  <sheetFormatPr defaultColWidth="9.140625" defaultRowHeight="12.75" x14ac:dyDescent="0.25"/>
  <cols>
    <col min="1" max="1" width="30.5703125" style="5" customWidth="1"/>
    <col min="2" max="2" width="15.5703125" style="5" customWidth="1"/>
    <col min="3" max="13" width="8.5703125" style="5" customWidth="1"/>
    <col min="14" max="16384" width="9.140625" style="5"/>
  </cols>
  <sheetData>
    <row r="1" spans="1:13" ht="13.5" x14ac:dyDescent="0.25">
      <c r="A1" s="57" t="str">
        <f>muni&amp;" - "&amp;ADJB3&amp;" - "&amp;Date</f>
        <v xml:space="preserve">KZN226 Mkhambathini - Supporting Table SB3 Adjustments to the SDBIP - performance objectives - </v>
      </c>
      <c r="C1" s="58"/>
    </row>
    <row r="2" spans="1:13" ht="38.25" x14ac:dyDescent="0.25">
      <c r="A2" s="1420" t="str">
        <f>desc</f>
        <v>Description</v>
      </c>
      <c r="B2" s="1420" t="s">
        <v>4</v>
      </c>
      <c r="C2" s="1417" t="str">
        <f>Head2</f>
        <v>Budget Year 2020/21</v>
      </c>
      <c r="D2" s="1418"/>
      <c r="E2" s="1418"/>
      <c r="F2" s="1418"/>
      <c r="G2" s="1418"/>
      <c r="H2" s="1418"/>
      <c r="I2" s="1418"/>
      <c r="J2" s="1418"/>
      <c r="K2" s="1419"/>
      <c r="L2" s="167" t="str">
        <f>Head10</f>
        <v>Budget Year +1 2021/22</v>
      </c>
      <c r="M2" s="168" t="str">
        <f>Head11</f>
        <v>Budget Year +2 2022/23</v>
      </c>
    </row>
    <row r="3" spans="1:13" ht="25.5" x14ac:dyDescent="0.25">
      <c r="A3" s="1421"/>
      <c r="B3" s="14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430"/>
      <c r="B4" s="1430"/>
      <c r="C4" s="67" t="s">
        <v>549</v>
      </c>
      <c r="D4" s="68" t="s">
        <v>550</v>
      </c>
      <c r="E4" s="68" t="s">
        <v>551</v>
      </c>
      <c r="F4" s="69" t="s">
        <v>552</v>
      </c>
      <c r="G4" s="69" t="s">
        <v>553</v>
      </c>
      <c r="H4" s="69" t="s">
        <v>554</v>
      </c>
      <c r="I4" s="70" t="s">
        <v>555</v>
      </c>
      <c r="J4" s="70" t="s">
        <v>556</v>
      </c>
      <c r="K4" s="70" t="s">
        <v>557</v>
      </c>
      <c r="L4" s="70"/>
      <c r="M4" s="71"/>
    </row>
    <row r="5" spans="1:13" ht="12.75" customHeight="1" x14ac:dyDescent="0.25">
      <c r="A5" s="814" t="s">
        <v>450</v>
      </c>
      <c r="B5" s="311"/>
      <c r="C5" s="128"/>
      <c r="D5" s="109"/>
      <c r="E5" s="109"/>
      <c r="F5" s="109"/>
      <c r="G5" s="109"/>
      <c r="H5" s="109"/>
      <c r="I5" s="109"/>
      <c r="J5" s="75"/>
      <c r="K5" s="75"/>
      <c r="L5" s="75"/>
      <c r="M5" s="76"/>
    </row>
    <row r="6" spans="1:13" ht="12.75" customHeight="1" x14ac:dyDescent="0.25">
      <c r="A6" s="815" t="s">
        <v>5485</v>
      </c>
      <c r="B6" s="312"/>
      <c r="C6" s="128"/>
      <c r="D6" s="109"/>
      <c r="E6" s="109"/>
      <c r="F6" s="109"/>
      <c r="G6" s="109"/>
      <c r="H6" s="109"/>
      <c r="I6" s="109"/>
      <c r="J6" s="75"/>
      <c r="K6" s="75"/>
      <c r="L6" s="75"/>
      <c r="M6" s="76"/>
    </row>
    <row r="7" spans="1:13" ht="12.75" customHeight="1" x14ac:dyDescent="0.25">
      <c r="A7" s="816" t="s">
        <v>5486</v>
      </c>
      <c r="B7" s="312"/>
      <c r="C7" s="128"/>
      <c r="D7" s="109"/>
      <c r="E7" s="109"/>
      <c r="F7" s="109"/>
      <c r="G7" s="109"/>
      <c r="H7" s="109"/>
      <c r="I7" s="109"/>
      <c r="J7" s="75"/>
      <c r="K7" s="75"/>
      <c r="L7" s="75"/>
      <c r="M7" s="76"/>
    </row>
    <row r="8" spans="1:13" ht="12.75" customHeight="1" x14ac:dyDescent="0.25">
      <c r="A8" s="817" t="s">
        <v>5486</v>
      </c>
      <c r="B8" s="312"/>
      <c r="C8" s="128">
        <v>16013714</v>
      </c>
      <c r="D8" s="109"/>
      <c r="E8" s="109"/>
      <c r="F8" s="109"/>
      <c r="G8" s="109"/>
      <c r="H8" s="109"/>
      <c r="I8" s="109">
        <v>1030500</v>
      </c>
      <c r="J8" s="75">
        <f>SUM(E8:I8)</f>
        <v>1030500</v>
      </c>
      <c r="K8" s="75">
        <f>IF(D8=0,C8+J8,D8+J8)</f>
        <v>17044214</v>
      </c>
      <c r="L8" s="75">
        <f>IF(E8=0,D8+K8,E8+K8)</f>
        <v>17044214</v>
      </c>
      <c r="M8" s="76">
        <f>IF(F8=0,E8+L8,F8+L8)</f>
        <v>17044214</v>
      </c>
    </row>
    <row r="9" spans="1:13" ht="12.75" customHeight="1" x14ac:dyDescent="0.25">
      <c r="A9" s="818"/>
      <c r="B9" s="312"/>
      <c r="C9" s="128"/>
      <c r="D9" s="109"/>
      <c r="E9" s="109"/>
      <c r="F9" s="109"/>
      <c r="G9" s="109"/>
      <c r="H9" s="109"/>
      <c r="I9" s="109"/>
      <c r="J9" s="75"/>
      <c r="K9" s="75"/>
      <c r="L9" s="75"/>
      <c r="M9" s="76"/>
    </row>
    <row r="10" spans="1:13" ht="12.75" customHeight="1" x14ac:dyDescent="0.25">
      <c r="A10" s="816" t="s">
        <v>5487</v>
      </c>
      <c r="B10" s="312"/>
      <c r="C10" s="128"/>
      <c r="D10" s="109"/>
      <c r="E10" s="109"/>
      <c r="F10" s="109"/>
      <c r="G10" s="109"/>
      <c r="H10" s="109"/>
      <c r="I10" s="109"/>
      <c r="J10" s="75"/>
      <c r="K10" s="75"/>
      <c r="L10" s="75"/>
      <c r="M10" s="76"/>
    </row>
    <row r="11" spans="1:13" ht="12.75" customHeight="1" x14ac:dyDescent="0.25">
      <c r="A11" s="817" t="s">
        <v>5487</v>
      </c>
      <c r="B11" s="313"/>
      <c r="C11" s="128">
        <v>21238527.218109336</v>
      </c>
      <c r="D11" s="109"/>
      <c r="E11" s="109"/>
      <c r="F11" s="109"/>
      <c r="G11" s="109"/>
      <c r="H11" s="109"/>
      <c r="I11" s="109">
        <v>-1895629.53</v>
      </c>
      <c r="J11" s="75">
        <f>SUM(E11:I11)</f>
        <v>-1895629.53</v>
      </c>
      <c r="K11" s="75">
        <f>IF(D11=0,C11+J11,D11+J11)</f>
        <v>19342897.688109335</v>
      </c>
      <c r="L11" s="75">
        <f>IF(E11=0,D11+K11,E11+K11)</f>
        <v>19342897.688109335</v>
      </c>
      <c r="M11" s="76">
        <f>IF(F11=0,E11+L11,F11+L11)</f>
        <v>19342897.688109335</v>
      </c>
    </row>
    <row r="12" spans="1:13" ht="12.75" customHeight="1" x14ac:dyDescent="0.25">
      <c r="A12" s="818"/>
      <c r="B12" s="311"/>
      <c r="C12" s="128"/>
      <c r="D12" s="109"/>
      <c r="E12" s="109"/>
      <c r="F12" s="109"/>
      <c r="G12" s="109"/>
      <c r="H12" s="109"/>
      <c r="I12" s="109"/>
      <c r="J12" s="75"/>
      <c r="K12" s="75"/>
      <c r="L12" s="75"/>
      <c r="M12" s="76"/>
    </row>
    <row r="13" spans="1:13" ht="12.75" customHeight="1" x14ac:dyDescent="0.25">
      <c r="A13" s="816" t="s">
        <v>5488</v>
      </c>
      <c r="B13" s="312"/>
      <c r="C13" s="128"/>
      <c r="D13" s="109"/>
      <c r="E13" s="109"/>
      <c r="F13" s="109"/>
      <c r="G13" s="109"/>
      <c r="H13" s="109"/>
      <c r="I13" s="109"/>
      <c r="J13" s="75"/>
      <c r="K13" s="75"/>
      <c r="L13" s="75"/>
      <c r="M13" s="76"/>
    </row>
    <row r="14" spans="1:13" ht="12.75" customHeight="1" x14ac:dyDescent="0.25">
      <c r="A14" s="817" t="s">
        <v>5488</v>
      </c>
      <c r="B14" s="313"/>
      <c r="C14" s="128"/>
      <c r="D14" s="109"/>
      <c r="E14" s="109"/>
      <c r="F14" s="109"/>
      <c r="G14" s="109"/>
      <c r="H14" s="109"/>
      <c r="I14" s="109"/>
      <c r="J14" s="75"/>
      <c r="K14" s="75"/>
      <c r="L14" s="75"/>
      <c r="M14" s="76"/>
    </row>
    <row r="15" spans="1:13" ht="12.75" customHeight="1" x14ac:dyDescent="0.25">
      <c r="A15" s="818"/>
      <c r="B15" s="312"/>
      <c r="C15" s="128">
        <v>55907674</v>
      </c>
      <c r="D15" s="109"/>
      <c r="E15" s="109"/>
      <c r="F15" s="109"/>
      <c r="G15" s="109"/>
      <c r="H15" s="109"/>
      <c r="I15" s="109">
        <v>14463249</v>
      </c>
      <c r="J15" s="75">
        <f>SUM(E15:I15)</f>
        <v>14463249</v>
      </c>
      <c r="K15" s="75">
        <f>IF(D15=0,C15+J15,D15+J15)</f>
        <v>70370923</v>
      </c>
      <c r="L15" s="75">
        <f>IF(E15=0,D15+K15,E15+K15)</f>
        <v>70370923</v>
      </c>
      <c r="M15" s="76">
        <f>IF(F15=0,E15+L15,F15+L15)</f>
        <v>70370923</v>
      </c>
    </row>
    <row r="16" spans="1:13" ht="12.75" customHeight="1" x14ac:dyDescent="0.25">
      <c r="A16" s="815" t="s">
        <v>5485</v>
      </c>
      <c r="B16" s="311"/>
      <c r="C16" s="128"/>
      <c r="D16" s="109"/>
      <c r="E16" s="109"/>
      <c r="F16" s="109"/>
      <c r="G16" s="109"/>
      <c r="H16" s="109"/>
      <c r="I16" s="109"/>
      <c r="J16" s="75"/>
      <c r="K16" s="75"/>
      <c r="L16" s="75"/>
      <c r="M16" s="76"/>
    </row>
    <row r="17" spans="1:13" ht="12.75" customHeight="1" x14ac:dyDescent="0.25">
      <c r="A17" s="816" t="s">
        <v>452</v>
      </c>
      <c r="B17" s="312"/>
      <c r="C17" s="128"/>
      <c r="D17" s="109"/>
      <c r="E17" s="109"/>
      <c r="F17" s="109"/>
      <c r="G17" s="109"/>
      <c r="H17" s="109"/>
      <c r="I17" s="109"/>
      <c r="J17" s="75"/>
      <c r="K17" s="75"/>
      <c r="L17" s="75"/>
      <c r="M17" s="76"/>
    </row>
    <row r="18" spans="1:13" ht="12.75" customHeight="1" x14ac:dyDescent="0.25">
      <c r="A18" s="817" t="s">
        <v>5</v>
      </c>
      <c r="B18" s="312"/>
      <c r="C18" s="128"/>
      <c r="D18" s="109"/>
      <c r="E18" s="109"/>
      <c r="F18" s="109"/>
      <c r="G18" s="109"/>
      <c r="H18" s="109"/>
      <c r="I18" s="109"/>
      <c r="J18" s="75"/>
      <c r="K18" s="75"/>
      <c r="L18" s="75"/>
      <c r="M18" s="76"/>
    </row>
    <row r="19" spans="1:13" ht="12.75" customHeight="1" x14ac:dyDescent="0.25">
      <c r="A19" s="818" t="s">
        <v>5485</v>
      </c>
      <c r="B19" s="312"/>
      <c r="C19" s="128">
        <v>30803000</v>
      </c>
      <c r="D19" s="109"/>
      <c r="E19" s="109"/>
      <c r="F19" s="109"/>
      <c r="G19" s="109"/>
      <c r="H19" s="109"/>
      <c r="I19" s="109">
        <v>200000</v>
      </c>
      <c r="J19" s="75">
        <f>SUM(E19:I19)</f>
        <v>200000</v>
      </c>
      <c r="K19" s="75">
        <f>IF(D19=0,C19+J19,D19+J19)</f>
        <v>31003000</v>
      </c>
      <c r="L19" s="75">
        <f>IF(E19=0,D19+K19,E19+K19)</f>
        <v>31003000</v>
      </c>
      <c r="M19" s="76">
        <f>IF(F19=0,E19+L19,F19+L19)</f>
        <v>31003000</v>
      </c>
    </row>
    <row r="20" spans="1:13" ht="12.75" customHeight="1" x14ac:dyDescent="0.25">
      <c r="A20" s="816" t="s">
        <v>453</v>
      </c>
      <c r="B20" s="312"/>
      <c r="C20" s="128"/>
      <c r="D20" s="109"/>
      <c r="E20" s="109"/>
      <c r="F20" s="109"/>
      <c r="G20" s="109"/>
      <c r="H20" s="109"/>
      <c r="I20" s="109"/>
      <c r="J20" s="75"/>
      <c r="K20" s="75"/>
      <c r="L20" s="75"/>
      <c r="M20" s="76"/>
    </row>
    <row r="21" spans="1:13" ht="12.75" customHeight="1" x14ac:dyDescent="0.25">
      <c r="A21" s="817" t="s">
        <v>5</v>
      </c>
      <c r="B21" s="312"/>
      <c r="C21" s="128"/>
      <c r="D21" s="109"/>
      <c r="E21" s="109"/>
      <c r="F21" s="109"/>
      <c r="G21" s="109"/>
      <c r="H21" s="109"/>
      <c r="I21" s="109"/>
      <c r="J21" s="75">
        <f>SUM(E21:I21)</f>
        <v>0</v>
      </c>
      <c r="K21" s="75">
        <f>IF(D21=0,C21+J21,D21+J21)</f>
        <v>0</v>
      </c>
      <c r="L21" s="75">
        <f>IF(E21=0,D21+K21,E21+K21)</f>
        <v>0</v>
      </c>
      <c r="M21" s="76">
        <f>IF(F21=0,E21+L21,F21+L21)</f>
        <v>0</v>
      </c>
    </row>
    <row r="22" spans="1:13" ht="12.75" customHeight="1" x14ac:dyDescent="0.25">
      <c r="A22" s="818"/>
      <c r="B22" s="312"/>
      <c r="C22" s="128"/>
      <c r="D22" s="109"/>
      <c r="E22" s="109"/>
      <c r="F22" s="109"/>
      <c r="G22" s="109"/>
      <c r="H22" s="109"/>
      <c r="I22" s="109"/>
      <c r="J22" s="75"/>
      <c r="K22" s="75"/>
      <c r="L22" s="75"/>
      <c r="M22" s="76"/>
    </row>
    <row r="23" spans="1:13" ht="12.75" customHeight="1" x14ac:dyDescent="0.25">
      <c r="A23" s="816" t="s">
        <v>454</v>
      </c>
      <c r="B23" s="312"/>
      <c r="C23" s="128"/>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817" t="s">
        <v>5</v>
      </c>
      <c r="B24" s="312"/>
      <c r="C24" s="128"/>
      <c r="D24" s="109"/>
      <c r="E24" s="109"/>
      <c r="F24" s="109"/>
      <c r="G24" s="109"/>
      <c r="H24" s="109"/>
      <c r="I24" s="109"/>
      <c r="J24" s="75"/>
      <c r="K24" s="75"/>
      <c r="L24" s="75"/>
      <c r="M24" s="76"/>
    </row>
    <row r="25" spans="1:13" ht="12.75" customHeight="1" x14ac:dyDescent="0.25">
      <c r="A25" s="819"/>
      <c r="B25" s="312"/>
      <c r="C25" s="128"/>
      <c r="D25" s="109"/>
      <c r="E25" s="109"/>
      <c r="F25" s="109"/>
      <c r="G25" s="109"/>
      <c r="H25" s="109"/>
      <c r="I25" s="109"/>
      <c r="J25" s="75">
        <f>SUM(E25:I25)</f>
        <v>0</v>
      </c>
      <c r="K25" s="75">
        <f>IF(D25=0,C25+J25,D25+J25)</f>
        <v>0</v>
      </c>
      <c r="L25" s="75">
        <f>IF(E25=0,D25+K25,E25+K25)</f>
        <v>0</v>
      </c>
      <c r="M25" s="76">
        <f>IF(F25=0,E25+L25,F25+L25)</f>
        <v>0</v>
      </c>
    </row>
    <row r="26" spans="1:13" ht="12.75" customHeight="1" x14ac:dyDescent="0.25">
      <c r="A26" s="814" t="s">
        <v>456</v>
      </c>
      <c r="B26" s="312"/>
      <c r="C26" s="128"/>
      <c r="D26" s="109"/>
      <c r="E26" s="109"/>
      <c r="F26" s="109"/>
      <c r="G26" s="109"/>
      <c r="H26" s="109"/>
      <c r="I26" s="109"/>
      <c r="J26" s="75"/>
      <c r="K26" s="75"/>
      <c r="L26" s="75"/>
      <c r="M26" s="76"/>
    </row>
    <row r="27" spans="1:13" ht="12.75" customHeight="1" x14ac:dyDescent="0.25">
      <c r="A27" s="815" t="s">
        <v>451</v>
      </c>
      <c r="B27" s="312"/>
      <c r="C27" s="128"/>
      <c r="D27" s="109"/>
      <c r="E27" s="109"/>
      <c r="F27" s="109"/>
      <c r="G27" s="109"/>
      <c r="H27" s="109"/>
      <c r="I27" s="109"/>
      <c r="J27" s="75"/>
      <c r="K27" s="75"/>
      <c r="L27" s="75"/>
      <c r="M27" s="76"/>
    </row>
    <row r="28" spans="1:13" ht="12.75" customHeight="1" x14ac:dyDescent="0.25">
      <c r="A28" s="816" t="s">
        <v>452</v>
      </c>
      <c r="B28" s="312"/>
      <c r="C28" s="128"/>
      <c r="D28" s="109"/>
      <c r="E28" s="109"/>
      <c r="F28" s="109"/>
      <c r="G28" s="109"/>
      <c r="H28" s="109"/>
      <c r="I28" s="109"/>
      <c r="J28" s="75"/>
      <c r="K28" s="75"/>
      <c r="L28" s="75"/>
      <c r="M28" s="76"/>
    </row>
    <row r="29" spans="1:13" ht="12.75" customHeight="1" x14ac:dyDescent="0.25">
      <c r="A29" s="817" t="s">
        <v>5</v>
      </c>
      <c r="B29" s="312"/>
      <c r="C29" s="128"/>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18"/>
      <c r="B30" s="312"/>
      <c r="C30" s="128"/>
      <c r="D30" s="109"/>
      <c r="E30" s="109"/>
      <c r="F30" s="109"/>
      <c r="G30" s="109"/>
      <c r="H30" s="109"/>
      <c r="I30" s="109"/>
      <c r="J30" s="75"/>
      <c r="K30" s="75"/>
      <c r="L30" s="75"/>
      <c r="M30" s="76"/>
    </row>
    <row r="31" spans="1:13" ht="12.75" customHeight="1" x14ac:dyDescent="0.25">
      <c r="A31" s="816" t="s">
        <v>453</v>
      </c>
      <c r="B31" s="312"/>
      <c r="C31" s="128"/>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817" t="s">
        <v>5</v>
      </c>
      <c r="B32" s="312"/>
      <c r="C32" s="128"/>
      <c r="D32" s="109"/>
      <c r="E32" s="109"/>
      <c r="F32" s="109"/>
      <c r="G32" s="109"/>
      <c r="H32" s="109"/>
      <c r="I32" s="109"/>
      <c r="J32" s="75"/>
      <c r="K32" s="75"/>
      <c r="L32" s="75"/>
      <c r="M32" s="76"/>
    </row>
    <row r="33" spans="1:13" ht="12.75" customHeight="1" x14ac:dyDescent="0.25">
      <c r="A33" s="818"/>
      <c r="B33" s="312"/>
      <c r="C33" s="128"/>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816" t="s">
        <v>454</v>
      </c>
      <c r="B34" s="312"/>
      <c r="C34" s="128"/>
      <c r="D34" s="109"/>
      <c r="E34" s="109"/>
      <c r="F34" s="109"/>
      <c r="G34" s="109"/>
      <c r="H34" s="109"/>
      <c r="I34" s="109"/>
      <c r="J34" s="75"/>
      <c r="K34" s="75"/>
      <c r="L34" s="75"/>
      <c r="M34" s="76"/>
    </row>
    <row r="35" spans="1:13" ht="12.75" customHeight="1" x14ac:dyDescent="0.25">
      <c r="A35" s="817" t="s">
        <v>5</v>
      </c>
      <c r="B35" s="312"/>
      <c r="C35" s="128"/>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18"/>
      <c r="B36" s="312"/>
      <c r="C36" s="128"/>
      <c r="D36" s="109"/>
      <c r="E36" s="109"/>
      <c r="F36" s="109"/>
      <c r="G36" s="109"/>
      <c r="H36" s="109"/>
      <c r="I36" s="109"/>
      <c r="J36" s="75"/>
      <c r="K36" s="75"/>
      <c r="L36" s="75"/>
      <c r="M36" s="76"/>
    </row>
    <row r="37" spans="1:13" ht="12.75" customHeight="1" x14ac:dyDescent="0.25">
      <c r="A37" s="815" t="s">
        <v>455</v>
      </c>
      <c r="B37" s="312"/>
      <c r="C37" s="128"/>
      <c r="D37" s="109"/>
      <c r="E37" s="109"/>
      <c r="F37" s="109"/>
      <c r="G37" s="109"/>
      <c r="H37" s="109"/>
      <c r="I37" s="109"/>
      <c r="J37" s="75"/>
      <c r="K37" s="75"/>
      <c r="L37" s="75"/>
      <c r="M37" s="76"/>
    </row>
    <row r="38" spans="1:13" ht="12.75" customHeight="1" x14ac:dyDescent="0.25">
      <c r="A38" s="816" t="s">
        <v>452</v>
      </c>
      <c r="B38" s="312"/>
      <c r="C38" s="128"/>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817" t="s">
        <v>5</v>
      </c>
      <c r="B39" s="312"/>
      <c r="C39" s="128"/>
      <c r="D39" s="109"/>
      <c r="E39" s="109"/>
      <c r="F39" s="109"/>
      <c r="G39" s="109"/>
      <c r="H39" s="109"/>
      <c r="I39" s="109"/>
      <c r="J39" s="75"/>
      <c r="K39" s="75"/>
      <c r="L39" s="75"/>
      <c r="M39" s="76"/>
    </row>
    <row r="40" spans="1:13" ht="12.75" customHeight="1" x14ac:dyDescent="0.25">
      <c r="A40" s="818"/>
      <c r="B40" s="312"/>
      <c r="C40" s="128"/>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816" t="s">
        <v>453</v>
      </c>
      <c r="B41" s="312"/>
      <c r="C41" s="128"/>
      <c r="D41" s="109"/>
      <c r="E41" s="109"/>
      <c r="F41" s="109"/>
      <c r="G41" s="109"/>
      <c r="H41" s="109"/>
      <c r="I41" s="109"/>
      <c r="J41" s="75"/>
      <c r="K41" s="75"/>
      <c r="L41" s="75"/>
      <c r="M41" s="76"/>
    </row>
    <row r="42" spans="1:13" ht="12.75" customHeight="1" x14ac:dyDescent="0.25">
      <c r="A42" s="817" t="s">
        <v>5</v>
      </c>
      <c r="B42" s="312"/>
      <c r="C42" s="128"/>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18"/>
      <c r="B43" s="312"/>
      <c r="C43" s="128"/>
      <c r="D43" s="109"/>
      <c r="E43" s="109"/>
      <c r="F43" s="109"/>
      <c r="G43" s="109"/>
      <c r="H43" s="109"/>
      <c r="I43" s="109"/>
      <c r="J43" s="75"/>
      <c r="K43" s="75"/>
      <c r="L43" s="75"/>
      <c r="M43" s="76"/>
    </row>
    <row r="44" spans="1:13" ht="12.75" customHeight="1" x14ac:dyDescent="0.25">
      <c r="A44" s="816" t="s">
        <v>454</v>
      </c>
      <c r="B44" s="312"/>
      <c r="C44" s="128"/>
      <c r="D44" s="109"/>
      <c r="E44" s="109"/>
      <c r="F44" s="109"/>
      <c r="G44" s="109"/>
      <c r="H44" s="109"/>
      <c r="I44" s="109"/>
      <c r="J44" s="75"/>
      <c r="K44" s="75"/>
      <c r="L44" s="75"/>
      <c r="M44" s="76"/>
    </row>
    <row r="45" spans="1:13" ht="12.75" customHeight="1" x14ac:dyDescent="0.25">
      <c r="A45" s="817" t="s">
        <v>5</v>
      </c>
      <c r="B45" s="312"/>
      <c r="C45" s="128"/>
      <c r="D45" s="109"/>
      <c r="E45" s="109"/>
      <c r="F45" s="109"/>
      <c r="G45" s="109"/>
      <c r="H45" s="109"/>
      <c r="I45" s="109"/>
      <c r="J45" s="75"/>
      <c r="K45" s="75"/>
      <c r="L45" s="75"/>
      <c r="M45" s="76"/>
    </row>
    <row r="46" spans="1:13" ht="12.75" customHeight="1" x14ac:dyDescent="0.25">
      <c r="A46" s="817"/>
      <c r="B46" s="312"/>
      <c r="C46" s="128"/>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814" t="s">
        <v>457</v>
      </c>
      <c r="B47" s="312"/>
      <c r="C47" s="128"/>
      <c r="D47" s="109"/>
      <c r="E47" s="109"/>
      <c r="F47" s="109"/>
      <c r="G47" s="109"/>
      <c r="H47" s="109"/>
      <c r="I47" s="109"/>
      <c r="J47" s="75"/>
      <c r="K47" s="75"/>
      <c r="L47" s="75"/>
      <c r="M47" s="76"/>
    </row>
    <row r="48" spans="1:13" ht="12.75" customHeight="1" x14ac:dyDescent="0.25">
      <c r="A48" s="815" t="s">
        <v>451</v>
      </c>
      <c r="B48" s="312"/>
      <c r="C48" s="128"/>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816" t="s">
        <v>452</v>
      </c>
      <c r="B49" s="312"/>
      <c r="C49" s="128"/>
      <c r="D49" s="109"/>
      <c r="E49" s="109"/>
      <c r="F49" s="109"/>
      <c r="G49" s="109"/>
      <c r="H49" s="109"/>
      <c r="I49" s="109"/>
      <c r="J49" s="75"/>
      <c r="K49" s="75"/>
      <c r="L49" s="75"/>
      <c r="M49" s="76"/>
    </row>
    <row r="50" spans="1:13" ht="12.75" customHeight="1" x14ac:dyDescent="0.25">
      <c r="A50" s="817" t="s">
        <v>5</v>
      </c>
      <c r="B50" s="313"/>
      <c r="C50" s="128"/>
      <c r="D50" s="109"/>
      <c r="E50" s="109"/>
      <c r="F50" s="109"/>
      <c r="G50" s="109"/>
      <c r="H50" s="109"/>
      <c r="I50" s="109"/>
      <c r="J50" s="75"/>
      <c r="K50" s="75"/>
      <c r="L50" s="75"/>
      <c r="M50" s="76"/>
    </row>
    <row r="51" spans="1:13" ht="12.75" customHeight="1" x14ac:dyDescent="0.25">
      <c r="A51" s="818"/>
      <c r="B51" s="313"/>
      <c r="C51" s="128"/>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816" t="s">
        <v>453</v>
      </c>
      <c r="B52" s="313"/>
      <c r="C52" s="128"/>
      <c r="D52" s="109"/>
      <c r="E52" s="109"/>
      <c r="F52" s="109"/>
      <c r="G52" s="109"/>
      <c r="H52" s="109"/>
      <c r="I52" s="109"/>
      <c r="J52" s="75"/>
      <c r="K52" s="75"/>
      <c r="L52" s="75"/>
      <c r="M52" s="76"/>
    </row>
    <row r="53" spans="1:13" ht="12.75" customHeight="1" x14ac:dyDescent="0.25">
      <c r="A53" s="817" t="s">
        <v>5</v>
      </c>
      <c r="B53" s="313"/>
      <c r="C53" s="128"/>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18"/>
      <c r="B54" s="313"/>
      <c r="C54" s="128"/>
      <c r="D54" s="109"/>
      <c r="E54" s="109"/>
      <c r="F54" s="109"/>
      <c r="G54" s="109"/>
      <c r="H54" s="109"/>
      <c r="I54" s="109"/>
      <c r="J54" s="75"/>
      <c r="K54" s="75"/>
      <c r="L54" s="75"/>
      <c r="M54" s="76"/>
    </row>
    <row r="55" spans="1:13" ht="12.75" customHeight="1" x14ac:dyDescent="0.25">
      <c r="A55" s="816" t="s">
        <v>454</v>
      </c>
      <c r="B55" s="313"/>
      <c r="C55" s="128"/>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817" t="s">
        <v>5</v>
      </c>
      <c r="B56" s="906"/>
      <c r="C56" s="128"/>
      <c r="D56" s="109"/>
      <c r="E56" s="109"/>
      <c r="F56" s="109"/>
      <c r="G56" s="109"/>
      <c r="H56" s="109"/>
      <c r="I56" s="109"/>
      <c r="J56" s="75"/>
      <c r="K56" s="75"/>
      <c r="L56" s="75"/>
      <c r="M56" s="76"/>
    </row>
    <row r="57" spans="1:13" ht="12.75" customHeight="1" x14ac:dyDescent="0.25">
      <c r="A57" s="818"/>
      <c r="B57" s="313"/>
      <c r="C57" s="128"/>
      <c r="D57" s="109"/>
      <c r="E57" s="109"/>
      <c r="F57" s="109"/>
      <c r="G57" s="109"/>
      <c r="H57" s="109"/>
      <c r="I57" s="109"/>
      <c r="J57" s="75"/>
      <c r="K57" s="75"/>
      <c r="L57" s="75"/>
      <c r="M57" s="76"/>
    </row>
    <row r="58" spans="1:13" ht="12.75" customHeight="1" x14ac:dyDescent="0.25">
      <c r="A58" s="815" t="s">
        <v>455</v>
      </c>
      <c r="B58" s="313"/>
      <c r="C58" s="128"/>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816" t="s">
        <v>452</v>
      </c>
      <c r="B59" s="313"/>
      <c r="C59" s="128"/>
      <c r="D59" s="109"/>
      <c r="E59" s="109"/>
      <c r="F59" s="109"/>
      <c r="G59" s="109"/>
      <c r="H59" s="109"/>
      <c r="I59" s="109"/>
      <c r="J59" s="75"/>
      <c r="K59" s="75"/>
      <c r="L59" s="75"/>
      <c r="M59" s="76"/>
    </row>
    <row r="60" spans="1:13" ht="12.75" customHeight="1" x14ac:dyDescent="0.25">
      <c r="A60" s="817" t="s">
        <v>5</v>
      </c>
      <c r="B60" s="313"/>
      <c r="C60" s="128"/>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18"/>
      <c r="B61" s="313"/>
      <c r="C61" s="128"/>
      <c r="D61" s="109"/>
      <c r="E61" s="109"/>
      <c r="F61" s="109"/>
      <c r="G61" s="109"/>
      <c r="H61" s="109"/>
      <c r="I61" s="109"/>
      <c r="J61" s="75"/>
      <c r="K61" s="75"/>
      <c r="L61" s="75"/>
      <c r="M61" s="76"/>
    </row>
    <row r="62" spans="1:13" ht="12.75" customHeight="1" x14ac:dyDescent="0.25">
      <c r="A62" s="816" t="s">
        <v>453</v>
      </c>
      <c r="B62" s="313"/>
      <c r="C62" s="128"/>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817" t="s">
        <v>5</v>
      </c>
      <c r="B63" s="313"/>
      <c r="C63" s="128"/>
      <c r="D63" s="109"/>
      <c r="E63" s="109"/>
      <c r="F63" s="109"/>
      <c r="G63" s="109"/>
      <c r="H63" s="109"/>
      <c r="I63" s="109"/>
      <c r="J63" s="75"/>
      <c r="K63" s="75"/>
      <c r="L63" s="75"/>
      <c r="M63" s="76"/>
    </row>
    <row r="64" spans="1:13" ht="12.75" customHeight="1" x14ac:dyDescent="0.25">
      <c r="A64" s="818"/>
      <c r="B64" s="313"/>
      <c r="C64" s="128"/>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816" t="s">
        <v>454</v>
      </c>
      <c r="B65" s="313"/>
      <c r="C65" s="128"/>
      <c r="D65" s="109"/>
      <c r="E65" s="109"/>
      <c r="F65" s="109"/>
      <c r="G65" s="109"/>
      <c r="H65" s="109"/>
      <c r="I65" s="109"/>
      <c r="J65" s="75"/>
      <c r="K65" s="75"/>
      <c r="L65" s="75"/>
      <c r="M65" s="76"/>
    </row>
    <row r="66" spans="1:13" ht="12.75" customHeight="1" x14ac:dyDescent="0.25">
      <c r="A66" s="817" t="s">
        <v>5</v>
      </c>
      <c r="B66" s="313"/>
      <c r="C66" s="128"/>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17"/>
      <c r="B67" s="313"/>
      <c r="C67" s="128"/>
      <c r="D67" s="109"/>
      <c r="E67" s="109"/>
      <c r="F67" s="109"/>
      <c r="G67" s="109"/>
      <c r="H67" s="109"/>
      <c r="I67" s="109"/>
      <c r="J67" s="75"/>
      <c r="K67" s="75"/>
      <c r="L67" s="75"/>
      <c r="M67" s="76"/>
    </row>
    <row r="68" spans="1:13" ht="12.75" customHeight="1" x14ac:dyDescent="0.25">
      <c r="A68" s="820" t="s">
        <v>458</v>
      </c>
      <c r="B68" s="821"/>
      <c r="C68" s="314"/>
      <c r="D68" s="307"/>
      <c r="E68" s="307"/>
      <c r="F68" s="307"/>
      <c r="G68" s="307"/>
      <c r="H68" s="307"/>
      <c r="I68" s="307"/>
      <c r="J68" s="175">
        <f>SUM(E68:I68)</f>
        <v>0</v>
      </c>
      <c r="K68" s="175">
        <f>IF(D68=0,C68+J68,D68+J68)</f>
        <v>0</v>
      </c>
      <c r="L68" s="175">
        <f>IF(E68=0,D68+K68,E68+K68)</f>
        <v>0</v>
      </c>
      <c r="M68" s="176">
        <f>IF(F68=0,E68+L68,F68+L68)</f>
        <v>0</v>
      </c>
    </row>
    <row r="69" spans="1:13" ht="12.75" customHeight="1" x14ac:dyDescent="0.25">
      <c r="A69" s="156" t="str">
        <f>head27a</f>
        <v>References</v>
      </c>
      <c r="B69" s="98"/>
      <c r="C69" s="177"/>
      <c r="D69" s="177"/>
      <c r="E69" s="177"/>
      <c r="F69" s="177"/>
      <c r="G69" s="177"/>
      <c r="H69" s="177"/>
      <c r="I69" s="177"/>
      <c r="J69" s="177"/>
      <c r="K69" s="177"/>
      <c r="L69" s="177"/>
      <c r="M69" s="177"/>
    </row>
    <row r="70" spans="1:13" ht="12.75" customHeight="1" x14ac:dyDescent="0.25">
      <c r="A70" s="1416" t="s">
        <v>13</v>
      </c>
      <c r="B70" s="1416"/>
      <c r="C70" s="1416"/>
      <c r="D70" s="1416"/>
      <c r="E70" s="1416"/>
      <c r="F70" s="1416"/>
      <c r="G70" s="1416"/>
      <c r="H70" s="1416"/>
      <c r="I70" s="1416"/>
      <c r="J70" s="1416"/>
      <c r="K70" s="1416"/>
      <c r="L70" s="1416"/>
      <c r="M70" s="1416"/>
    </row>
    <row r="71" spans="1:13" ht="12.75" customHeight="1" x14ac:dyDescent="0.25">
      <c r="A71" s="99" t="s">
        <v>14</v>
      </c>
      <c r="B71" s="98"/>
      <c r="C71" s="315"/>
      <c r="D71" s="315"/>
      <c r="E71" s="315"/>
      <c r="F71" s="315"/>
      <c r="G71" s="315"/>
      <c r="H71" s="315"/>
      <c r="I71" s="315"/>
      <c r="J71" s="315"/>
      <c r="K71" s="315"/>
      <c r="L71" s="315"/>
      <c r="M71" s="315"/>
    </row>
    <row r="72" spans="1:13" ht="12.75" customHeight="1" x14ac:dyDescent="0.25">
      <c r="A72" s="99" t="s">
        <v>459</v>
      </c>
      <c r="B72" s="98"/>
      <c r="C72" s="315"/>
      <c r="D72" s="315"/>
      <c r="E72" s="315"/>
      <c r="F72" s="315"/>
      <c r="G72" s="315"/>
      <c r="H72" s="315"/>
      <c r="I72" s="315"/>
      <c r="J72" s="315"/>
      <c r="K72" s="315"/>
      <c r="L72" s="315"/>
      <c r="M72" s="315"/>
    </row>
    <row r="73" spans="1:13" ht="12.75" customHeight="1" x14ac:dyDescent="0.25">
      <c r="A73" s="99" t="s">
        <v>15</v>
      </c>
      <c r="B73" s="93"/>
      <c r="C73" s="96"/>
      <c r="D73" s="96"/>
      <c r="E73" s="96"/>
      <c r="F73" s="96"/>
      <c r="G73" s="96"/>
      <c r="H73" s="96"/>
      <c r="I73" s="96"/>
      <c r="J73" s="96"/>
      <c r="K73" s="96"/>
      <c r="L73" s="96"/>
      <c r="M73" s="96"/>
    </row>
    <row r="74" spans="1:13" ht="12.75" customHeight="1" x14ac:dyDescent="0.25">
      <c r="A74" s="1416" t="s">
        <v>16</v>
      </c>
      <c r="B74" s="1416"/>
      <c r="C74" s="1416"/>
      <c r="D74" s="1416"/>
      <c r="E74" s="1416"/>
      <c r="F74" s="1416"/>
      <c r="G74" s="1416"/>
      <c r="H74" s="1416"/>
      <c r="I74" s="1416"/>
      <c r="J74" s="1416"/>
      <c r="K74" s="1416"/>
      <c r="L74" s="1416"/>
      <c r="M74" s="1416"/>
    </row>
    <row r="75" spans="1:13" ht="12.75" customHeight="1" x14ac:dyDescent="0.25">
      <c r="A75" s="1455" t="s">
        <v>17</v>
      </c>
      <c r="B75" s="1416"/>
      <c r="C75" s="1416"/>
      <c r="D75" s="1416"/>
      <c r="E75" s="1416"/>
      <c r="F75" s="1416"/>
      <c r="G75" s="1416"/>
      <c r="H75" s="1416"/>
      <c r="I75" s="1416"/>
      <c r="J75" s="1416"/>
      <c r="K75" s="1416"/>
      <c r="L75" s="1416"/>
      <c r="M75" s="1416"/>
    </row>
  </sheetData>
  <sheetProtection sheet="1" objects="1" scenarios="1"/>
  <mergeCells count="6">
    <mergeCell ref="A75:M75"/>
    <mergeCell ref="A70:M70"/>
    <mergeCell ref="A2:A4"/>
    <mergeCell ref="B2:B4"/>
    <mergeCell ref="C2:K2"/>
    <mergeCell ref="A74:M74"/>
  </mergeCells>
  <phoneticPr fontId="4" type="noConversion"/>
  <printOptions horizontalCentered="1"/>
  <pageMargins left="0.35433070866141736" right="0.15748031496062992" top="0.59055118110236227" bottom="0.59055118110236227" header="0.51181102362204722" footer="0.39370078740157483"/>
  <pageSetup paperSize="9" scale="71" fitToHeight="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D30" sqref="D30"/>
    </sheetView>
  </sheetViews>
  <sheetFormatPr defaultColWidth="9.140625" defaultRowHeight="12.75" x14ac:dyDescent="0.25"/>
  <cols>
    <col min="1" max="1" width="30.140625" style="5" customWidth="1"/>
    <col min="2" max="2" width="24.5703125" style="5" customWidth="1"/>
    <col min="3" max="10" width="8.5703125" style="5" customWidth="1"/>
    <col min="11" max="16384" width="9.140625" style="5"/>
  </cols>
  <sheetData>
    <row r="1" spans="1:10" ht="13.5" x14ac:dyDescent="0.25">
      <c r="A1" s="57" t="str">
        <f>muni&amp;" - "&amp;ADJB4&amp;" - "&amp;Date</f>
        <v xml:space="preserve">KZN226 Mkhambathini - Supporting Table SB4 Adjustments to budgeted performance indicators and benchmarks - </v>
      </c>
      <c r="C1" s="58"/>
    </row>
    <row r="2" spans="1:10" ht="38.25" x14ac:dyDescent="0.25">
      <c r="A2" s="1423" t="str">
        <f>desc&amp;" of financial indicator"</f>
        <v>Description of financial indicator</v>
      </c>
      <c r="B2" s="1420" t="s">
        <v>18</v>
      </c>
      <c r="C2" s="316" t="str">
        <f>Head1B</f>
        <v>2017/18</v>
      </c>
      <c r="D2" s="317" t="str">
        <f>Head1A</f>
        <v>2018/19</v>
      </c>
      <c r="E2" s="317" t="str">
        <f>Head1</f>
        <v>2019/20</v>
      </c>
      <c r="F2" s="1452" t="str">
        <f>Head2</f>
        <v>Budget Year 2020/21</v>
      </c>
      <c r="G2" s="1418"/>
      <c r="H2" s="1419"/>
      <c r="I2" s="167" t="str">
        <f>Head10</f>
        <v>Budget Year +1 2021/22</v>
      </c>
      <c r="J2" s="168" t="str">
        <f>Head11</f>
        <v>Budget Year +2 2022/23</v>
      </c>
    </row>
    <row r="3" spans="1:10" ht="25.5" x14ac:dyDescent="0.25">
      <c r="A3" s="1456"/>
      <c r="B3" s="1430"/>
      <c r="C3" s="318" t="str">
        <f>Head5</f>
        <v>Audited Outcome</v>
      </c>
      <c r="D3" s="318" t="str">
        <f>Head5</f>
        <v>Audited Outcome</v>
      </c>
      <c r="E3" s="318" t="str">
        <f>Head5</f>
        <v>Audited Outcome</v>
      </c>
      <c r="F3" s="318" t="str">
        <f>Head6</f>
        <v>Original Budget</v>
      </c>
      <c r="G3" s="318" t="str">
        <f>Head54</f>
        <v>Prior Adjusted</v>
      </c>
      <c r="H3" s="318" t="str">
        <f>Head7</f>
        <v>Adjusted Budget</v>
      </c>
      <c r="I3" s="319" t="str">
        <f>Head7</f>
        <v>Adjusted Budget</v>
      </c>
      <c r="J3" s="320" t="str">
        <f>Head7</f>
        <v>Adjusted Budget</v>
      </c>
    </row>
    <row r="4" spans="1:10" x14ac:dyDescent="0.25">
      <c r="A4" s="321" t="s">
        <v>19</v>
      </c>
      <c r="B4" s="322"/>
      <c r="C4" s="240"/>
      <c r="D4" s="1025"/>
      <c r="E4" s="1025"/>
      <c r="F4" s="241"/>
      <c r="G4" s="241"/>
      <c r="H4" s="241"/>
      <c r="I4" s="323"/>
      <c r="J4" s="243"/>
    </row>
    <row r="5" spans="1:10" ht="3" customHeight="1" x14ac:dyDescent="0.25">
      <c r="A5" s="324"/>
      <c r="B5" s="322"/>
      <c r="C5" s="126"/>
      <c r="D5" s="1024"/>
      <c r="E5" s="1024"/>
      <c r="F5" s="326"/>
      <c r="G5" s="326"/>
      <c r="H5" s="326"/>
      <c r="I5" s="327"/>
      <c r="J5" s="328"/>
    </row>
    <row r="6" spans="1:10" x14ac:dyDescent="0.25">
      <c r="A6" s="324" t="s">
        <v>20</v>
      </c>
      <c r="B6" s="322" t="s">
        <v>21</v>
      </c>
      <c r="C6" s="329"/>
      <c r="D6" s="325"/>
      <c r="E6" s="325"/>
      <c r="F6" s="325"/>
      <c r="G6" s="325"/>
      <c r="H6" s="325"/>
      <c r="I6" s="330"/>
      <c r="J6" s="331"/>
    </row>
    <row r="7" spans="1:10" ht="24" customHeight="1" x14ac:dyDescent="0.25">
      <c r="A7" s="324" t="s">
        <v>22</v>
      </c>
      <c r="B7" s="322" t="s">
        <v>23</v>
      </c>
      <c r="C7" s="329"/>
      <c r="D7" s="325"/>
      <c r="E7" s="325"/>
      <c r="F7" s="326">
        <f>IF(ISERROR(('B4-FinPerf RE'!C30-'B7-CFlow'!C37)/'B4-FinPerf RE'!C37),0,(('B4-FinPerf RE'!C30-'B7-CFlow'!C37)/'B4-FinPerf RE'!C37))</f>
        <v>0</v>
      </c>
      <c r="G7" s="326">
        <f>IF(ISERROR(('B4-FinPerf RE'!D30-'B7-CFlow'!D37)/'B4-FinPerf RE'!D37),0,(('B4-FinPerf RE'!D30-'B7-CFlow'!D37)/'B4-FinPerf RE'!D37))</f>
        <v>0</v>
      </c>
      <c r="H7" s="326">
        <f>IF(ISERROR(('B4-FinPerf RE'!K30-'B7-CFlow'!K37)/'B4-FinPerf RE'!K37),0,(('B4-FinPerf RE'!K30-'B7-CFlow'!K37)/'B4-FinPerf RE'!K37))</f>
        <v>0</v>
      </c>
      <c r="I7" s="327">
        <f>IF(ISERROR(('B4-FinPerf RE'!L30-'B7-CFlow'!L37)/'B4-FinPerf RE'!L37),0,(('B4-FinPerf RE'!L30-'B7-CFlow'!L37)/'B4-FinPerf RE'!L37))</f>
        <v>0</v>
      </c>
      <c r="J7" s="328">
        <f>IF(ISERROR(('B4-FinPerf RE'!M30-'B7-CFlow'!M37)/'B4-FinPerf RE'!M37),0,(('B4-FinPerf RE'!M30-'B7-CFlow'!M37)/'B4-FinPerf RE'!M37))</f>
        <v>0</v>
      </c>
    </row>
    <row r="8" spans="1:10" ht="24" customHeight="1" x14ac:dyDescent="0.25">
      <c r="A8" s="324" t="s">
        <v>1436</v>
      </c>
      <c r="B8" s="1071" t="s">
        <v>1437</v>
      </c>
      <c r="C8" s="329"/>
      <c r="D8" s="325"/>
      <c r="E8" s="325"/>
      <c r="F8" s="326">
        <f>IF(ISERROR(('B4-FinPerf RE'!C31-'B7-CFlow'!C38)/'B4-FinPerf RE'!C38),0,(('B4-FinPerf RE'!C31-'B7-CFlow'!C38)/'B4-FinPerf RE'!C38))</f>
        <v>0</v>
      </c>
      <c r="G8" s="326">
        <f>IF(ISERROR(('B4-FinPerf RE'!D31-'B7-CFlow'!D38)/'B4-FinPerf RE'!D38),0,(('B4-FinPerf RE'!D31-'B7-CFlow'!D38)/'B4-FinPerf RE'!D38))</f>
        <v>0</v>
      </c>
      <c r="H8" s="326">
        <f>IF(ISERROR(('B4-FinPerf RE'!K31-'B7-CFlow'!K38)/'B4-FinPerf RE'!K38),0,(('B4-FinPerf RE'!K31-'B7-CFlow'!K38)/'B4-FinPerf RE'!K38))</f>
        <v>0</v>
      </c>
      <c r="I8" s="327">
        <f>IF(ISERROR(('B4-FinPerf RE'!L31-'B7-CFlow'!L38)/'B4-FinPerf RE'!L38),0,(('B4-FinPerf RE'!L31-'B7-CFlow'!L38)/'B4-FinPerf RE'!L38))</f>
        <v>0</v>
      </c>
      <c r="J8" s="328">
        <f>IF(ISERROR(('B4-FinPerf RE'!M31-'B7-CFlow'!M38)/'B4-FinPerf RE'!M38),0,(('B4-FinPerf RE'!M31-'B7-CFlow'!M38)/'B4-FinPerf RE'!M38))</f>
        <v>0</v>
      </c>
    </row>
    <row r="9" spans="1:10" ht="24" customHeight="1" x14ac:dyDescent="0.25">
      <c r="A9" s="324" t="s">
        <v>1116</v>
      </c>
      <c r="B9" s="322" t="s">
        <v>1117</v>
      </c>
      <c r="C9" s="329"/>
      <c r="D9" s="325"/>
      <c r="E9" s="325"/>
      <c r="F9" s="326">
        <f>IF(ISERROR('B5-Capex'!C74/('B5-Capex'!C65-'B5-Capex'!C72)),0,('B5-Capex'!C74/('B5-Capex'!C65-'B5-Capex'!C72)))</f>
        <v>0</v>
      </c>
      <c r="G9" s="326">
        <f>IF(ISERROR('B5-Capex'!D74/('B5-Capex'!D65-'B5-Capex'!D72)),0,('B5-Capex'!D74/('B5-Capex'!D65-'B5-Capex'!D72)))</f>
        <v>0</v>
      </c>
      <c r="H9" s="326">
        <f>IF(ISERROR('B5-Capex'!K74/('B5-Capex'!K65-'B5-Capex'!L72)),0,('B5-Capex'!K74/('B5-Capex'!K65-'B5-Capex'!L72)))</f>
        <v>0</v>
      </c>
      <c r="I9" s="327">
        <f>IF(ISERROR('B5-Capex'!L74/('B5-Capex'!L65-'B5-Capex'!M72)),0,('B5-Capex'!L74/('B5-Capex'!L65-'B5-Capex'!M72)))</f>
        <v>0</v>
      </c>
      <c r="J9" s="328">
        <f>IF(ISERROR('B5-Capex'!M74/('B5-Capex'!M65-'B5-Capex'!N72)),0,('B5-Capex'!M74/('B5-Capex'!M65-'B5-Capex'!N72)))</f>
        <v>0</v>
      </c>
    </row>
    <row r="10" spans="1:10" x14ac:dyDescent="0.25">
      <c r="A10" s="321" t="s">
        <v>25</v>
      </c>
      <c r="B10" s="322"/>
      <c r="C10" s="329"/>
      <c r="D10" s="325"/>
      <c r="E10" s="325"/>
      <c r="F10" s="326"/>
      <c r="G10" s="326"/>
      <c r="H10" s="326"/>
      <c r="I10" s="327"/>
      <c r="J10" s="328"/>
    </row>
    <row r="11" spans="1:10" ht="24.75" customHeight="1" x14ac:dyDescent="0.25">
      <c r="A11" s="324" t="s">
        <v>26</v>
      </c>
      <c r="B11" s="322" t="s">
        <v>27</v>
      </c>
      <c r="C11" s="329"/>
      <c r="D11" s="325"/>
      <c r="E11" s="325"/>
      <c r="F11" s="326">
        <f>IF(ISERROR('B6-FinPos'!C39/'B6-FinPos'!C48),0,('B6-FinPos'!C39/'B6-FinPos'!C48))</f>
        <v>0</v>
      </c>
      <c r="G11" s="326">
        <f>IF(ISERROR('B6-FinPos'!D39/'B6-FinPos'!D48),0,('B6-FinPos'!D39/'B6-FinPos'!D48))</f>
        <v>0</v>
      </c>
      <c r="H11" s="326">
        <f>IF(ISERROR('B6-FinPos'!K39/'B6-FinPos'!K48),0,('B6-FinPos'!K39/'B6-FinPos'!K48))</f>
        <v>0</v>
      </c>
      <c r="I11" s="327">
        <f>IF(ISERROR('B6-FinPos'!L39/'B6-FinPos'!L48),0,('B6-FinPos'!L39/'B6-FinPos'!L48))</f>
        <v>0</v>
      </c>
      <c r="J11" s="328">
        <f>IF(ISERROR('B6-FinPos'!M39/'B6-FinPos'!M48),0,('B6-FinPos'!M39/'B6-FinPos'!M48))</f>
        <v>0</v>
      </c>
    </row>
    <row r="12" spans="1:10" x14ac:dyDescent="0.25">
      <c r="A12" s="321" t="s">
        <v>28</v>
      </c>
      <c r="B12" s="322"/>
      <c r="C12" s="329"/>
      <c r="D12" s="325"/>
      <c r="E12" s="325"/>
      <c r="F12" s="326"/>
      <c r="G12" s="326"/>
      <c r="H12" s="326"/>
      <c r="I12" s="327"/>
      <c r="J12" s="328"/>
    </row>
    <row r="13" spans="1:10" x14ac:dyDescent="0.25">
      <c r="A13" s="324" t="s">
        <v>29</v>
      </c>
      <c r="B13" s="322" t="s">
        <v>30</v>
      </c>
      <c r="C13" s="329"/>
      <c r="D13" s="325"/>
      <c r="E13" s="325"/>
      <c r="F13" s="326">
        <f>IF(ISERROR('B6-FinPos'!C14/'B6-FinPos'!C36),0,('B6-FinPos'!C14/'B6-FinPos'!C36))</f>
        <v>9.1276224276071076</v>
      </c>
      <c r="G13" s="326">
        <f>IF(ISERROR('B6-FinPos'!D14/'B6-FinPos'!D36),0,('B6-FinPos'!D14/'B6-FinPos'!D36))</f>
        <v>9.1276224276071076</v>
      </c>
      <c r="H13" s="326">
        <f>IF(ISERROR('B6-FinPos'!K14/'B6-FinPos'!K36),0,('B6-FinPos'!K14/'B6-FinPos'!K36))</f>
        <v>0.58974019305579561</v>
      </c>
      <c r="I13" s="327">
        <f>IF(ISERROR('B6-FinPos'!L14/'B6-FinPos'!L36),0,('B6-FinPos'!L14/'B6-FinPos'!L36))</f>
        <v>-0.35721186515931752</v>
      </c>
      <c r="J13" s="328">
        <f>IF(ISERROR('B6-FinPos'!M14/'B6-FinPos'!M36),0,('B6-FinPos'!M14/'B6-FinPos'!M36))</f>
        <v>-0.35716268983450805</v>
      </c>
    </row>
    <row r="14" spans="1:10" ht="25.5" x14ac:dyDescent="0.25">
      <c r="A14" s="324" t="s">
        <v>31</v>
      </c>
      <c r="B14" s="322" t="s">
        <v>1118</v>
      </c>
      <c r="C14" s="329"/>
      <c r="D14" s="325"/>
      <c r="E14" s="325"/>
      <c r="F14" s="326">
        <f>IF(ISERROR(('B6-FinPos'!C14-'SB4'!F44)/'B6-FinPos'!C36),0,(('B6-FinPos'!C14-'SB4'!F44)/'B6-FinPos'!C36))</f>
        <v>9.1276224276071076</v>
      </c>
      <c r="G14" s="326">
        <f>IF(ISERROR(('B6-FinPos'!D14-'SB4'!G44)/'B6-FinPos'!D36),0,(('B6-FinPos'!D14-'SB4'!G44)/'B6-FinPos'!D36))</f>
        <v>9.1276224276071076</v>
      </c>
      <c r="H14" s="326">
        <f>IF(ISERROR(('B6-FinPos'!E14-'SB4'!H44)/'B6-FinPos'!E36),0,(('B6-FinPos'!E14-'SB4'!H44)/'B6-FinPos'!E36))</f>
        <v>0</v>
      </c>
      <c r="I14" s="326">
        <f>IF(ISERROR(('B6-FinPos'!F14-'SB4'!I44)/'B6-FinPos'!F36),0,(('B6-FinPos'!F14-'SB4'!I44)/'B6-FinPos'!F36))</f>
        <v>0</v>
      </c>
      <c r="J14" s="326">
        <f>IF(ISERROR(('B6-FinPos'!G14-'SB4'!J44)/'B6-FinPos'!G36),0,(('B6-FinPos'!G14-'SB4'!J44)/'B6-FinPos'!G36))</f>
        <v>0</v>
      </c>
    </row>
    <row r="15" spans="1:10" x14ac:dyDescent="0.25">
      <c r="A15" s="324" t="s">
        <v>32</v>
      </c>
      <c r="B15" s="322" t="s">
        <v>33</v>
      </c>
      <c r="C15" s="329"/>
      <c r="D15" s="325"/>
      <c r="E15" s="325"/>
      <c r="F15" s="876">
        <f>IF(ISERROR(('B6-FinPos'!C8+'B6-FinPos'!C9)/'B6-FinPos'!C36),0,(('B6-FinPos'!C8+'B6-FinPos'!C9)/'B6-FinPos'!C36))</f>
        <v>5.8480308538395169</v>
      </c>
      <c r="G15" s="876">
        <f>IF(ISERROR(('B6-FinPos'!D8+'B6-FinPos'!D9)/'B6-FinPos'!D36),0,(('B6-FinPos'!D8+'B6-FinPos'!D9)/'B6-FinPos'!D36))</f>
        <v>5.8480308538395169</v>
      </c>
      <c r="H15" s="876">
        <f>IF(ISERROR(('B6-FinPos'!K8+'B6-FinPos'!K9)/'B6-FinPos'!K36),0,(('B6-FinPos'!K8+'B6-FinPos'!K9)/'B6-FinPos'!K36))</f>
        <v>0.58974019305579561</v>
      </c>
      <c r="I15" s="877">
        <f>IF(ISERROR(('B6-FinPos'!L8+'B6-FinPos'!L9)/'B6-FinPos'!L36),0,(('B6-FinPos'!L8+'B6-FinPos'!L9)/'B6-FinPos'!L36))</f>
        <v>-0.35721186515931752</v>
      </c>
      <c r="J15" s="878">
        <f>IF(ISERROR(('B6-FinPos'!M8+'B6-FinPos'!M9)/'B6-FinPos'!M36),0,(('B6-FinPos'!M8+'B6-FinPos'!M9)/'B6-FinPos'!M36))</f>
        <v>-0.35716268983450805</v>
      </c>
    </row>
    <row r="16" spans="1:10" x14ac:dyDescent="0.25">
      <c r="A16" s="321" t="s">
        <v>34</v>
      </c>
      <c r="B16" s="322"/>
      <c r="C16" s="329"/>
      <c r="D16" s="325"/>
      <c r="E16" s="325"/>
      <c r="F16" s="326"/>
      <c r="G16" s="326"/>
      <c r="H16" s="326"/>
      <c r="I16" s="327"/>
      <c r="J16" s="328"/>
    </row>
    <row r="17" spans="1:10" ht="24.75" customHeight="1" x14ac:dyDescent="0.25">
      <c r="A17" s="324" t="s">
        <v>35</v>
      </c>
      <c r="B17" s="322" t="s">
        <v>36</v>
      </c>
      <c r="C17" s="329"/>
      <c r="D17" s="325"/>
      <c r="E17" s="325"/>
      <c r="F17" s="325"/>
      <c r="G17" s="325"/>
      <c r="H17" s="325"/>
      <c r="I17" s="332"/>
      <c r="J17" s="333"/>
    </row>
    <row r="18" spans="1:10" ht="24.75" customHeight="1" x14ac:dyDescent="0.25">
      <c r="A18" s="324" t="s">
        <v>1438</v>
      </c>
      <c r="B18" s="322"/>
      <c r="C18" s="329"/>
      <c r="D18" s="325"/>
      <c r="E18" s="325"/>
      <c r="F18" s="325"/>
      <c r="G18" s="325"/>
      <c r="H18" s="325"/>
      <c r="I18" s="332"/>
      <c r="J18" s="333"/>
    </row>
    <row r="19" spans="1:10" ht="24.75" customHeight="1" x14ac:dyDescent="0.25">
      <c r="A19" s="324" t="s">
        <v>37</v>
      </c>
      <c r="B19" s="322" t="s">
        <v>38</v>
      </c>
      <c r="C19" s="329"/>
      <c r="D19" s="325"/>
      <c r="E19" s="325"/>
      <c r="F19" s="326">
        <f>IF(ISERROR((SUM('B6-FinPos'!C10:C12)+'B6-FinPos'!C17)/'B4-FinPerf RE'!C23),0,((SUM('B6-FinPos'!C10:C12)+'B6-FinPos'!C17)/'B4-FinPerf RE'!C23))</f>
        <v>0.31372176978355248</v>
      </c>
      <c r="G19" s="326">
        <f>IF(ISERROR((SUM('B6-FinPos'!D10:D12)+'B6-FinPos'!D17)/'B4-FinPerf RE'!D23),0,((SUM('B6-FinPos'!D10:D12)+'B6-FinPos'!D17)/'B4-FinPerf RE'!D23))</f>
        <v>0.28146054443262747</v>
      </c>
      <c r="H19" s="326">
        <f>IF(ISERROR((SUM('B6-FinPos'!K10:K12)+'B6-FinPos'!K17)/'B4-FinPerf RE'!K23),0,((SUM('B6-FinPos'!K10:K12)+'B6-FinPos'!K17)/'B4-FinPerf RE'!K23))</f>
        <v>0</v>
      </c>
      <c r="I19" s="327">
        <f>IF(ISERROR((SUM('B6-FinPos'!L10:L12)+'B6-FinPos'!L17)/'B4-FinPerf RE'!L23),0,((SUM('B6-FinPos'!L10:L12)+'B6-FinPos'!L17)/'B4-FinPerf RE'!L23))</f>
        <v>0</v>
      </c>
      <c r="J19" s="328">
        <f>IF(ISERROR((SUM('B6-FinPos'!M10:M12)+'B6-FinPos'!M17)/'B4-FinPerf RE'!M23),0,((SUM('B6-FinPos'!M10:M12)+'B6-FinPos'!M17)/'B4-FinPerf RE'!M23))</f>
        <v>0</v>
      </c>
    </row>
    <row r="20" spans="1:10" ht="25.5" x14ac:dyDescent="0.25">
      <c r="A20" s="324" t="s">
        <v>39</v>
      </c>
      <c r="B20" s="322" t="s">
        <v>40</v>
      </c>
      <c r="C20" s="329"/>
      <c r="D20" s="325"/>
      <c r="E20" s="325"/>
      <c r="F20" s="326">
        <f>IF(ISERROR(F45/'B6-FinPos'!C17),0,(F45/'B6-FinPos'!C17))</f>
        <v>0</v>
      </c>
      <c r="G20" s="326">
        <f>IF(ISERROR(G45/'B6-FinPos'!D17),0,(G45/'B6-FinPos'!D17))</f>
        <v>0</v>
      </c>
      <c r="H20" s="326">
        <f>IF(ISERROR(H45/'B6-FinPos'!K17),0,(H45/'B6-FinPos'!K17))</f>
        <v>0</v>
      </c>
      <c r="I20" s="327">
        <f>IF(ISERROR(I45/'B6-FinPos'!L17),0,(I45/'B6-FinPos'!L17))</f>
        <v>0</v>
      </c>
      <c r="J20" s="328">
        <f>IF(ISERROR(J45/'B6-FinPos'!M17),0,(J45/'B6-FinPos'!M17))</f>
        <v>0</v>
      </c>
    </row>
    <row r="21" spans="1:10" x14ac:dyDescent="0.25">
      <c r="A21" s="321" t="s">
        <v>41</v>
      </c>
      <c r="B21" s="322"/>
      <c r="C21" s="329"/>
      <c r="D21" s="325"/>
      <c r="E21" s="325"/>
      <c r="F21" s="326"/>
      <c r="G21" s="326"/>
      <c r="H21" s="326"/>
      <c r="I21" s="327"/>
      <c r="J21" s="328"/>
    </row>
    <row r="22" spans="1:10" ht="25.5" x14ac:dyDescent="0.25">
      <c r="A22" s="324" t="s">
        <v>42</v>
      </c>
      <c r="B22" s="322" t="s">
        <v>43</v>
      </c>
      <c r="C22" s="329"/>
      <c r="D22" s="325"/>
      <c r="E22" s="325"/>
      <c r="F22" s="325"/>
      <c r="G22" s="325"/>
      <c r="H22" s="325"/>
      <c r="I22" s="332"/>
      <c r="J22" s="333"/>
    </row>
    <row r="23" spans="1:10" x14ac:dyDescent="0.25">
      <c r="A23" s="324" t="s">
        <v>1439</v>
      </c>
      <c r="B23" s="322"/>
      <c r="C23" s="329"/>
      <c r="D23" s="325"/>
      <c r="E23" s="325"/>
      <c r="F23" s="326">
        <f>IF(ISERROR('SB2'!C36/'B7-CFlow'!C42), 0, ('SB2'!C36/'B7-CFlow'!C42))</f>
        <v>-3.0349543502681762</v>
      </c>
      <c r="G23" s="326">
        <f>IF(ISERROR('SB2'!D36/'B7-CFlow'!D42), 0, ('SB2'!D36/'B7-CFlow'!D42))</f>
        <v>0.16686333193652128</v>
      </c>
      <c r="H23" s="326">
        <f>IF(ISERROR('SB2'!K36/'B7-CFlow'!K42), 0, ('SB2'!K36/'B7-CFlow'!K42))</f>
        <v>0.72644554571707942</v>
      </c>
      <c r="I23" s="326">
        <f>IF(ISERROR('SB2'!L36/'B7-CFlow'!L42), 0, ('SB2'!L36/'B7-CFlow'!L42))</f>
        <v>0.84223054239446293</v>
      </c>
      <c r="J23" s="328">
        <f>IF(ISERROR('SB2'!M36/'B7-CFlow'!M42), 0, ('SB2'!M36/'B7-CFlow'!M42))</f>
        <v>0.84224883538512951</v>
      </c>
    </row>
    <row r="24" spans="1:10" ht="5.25" customHeight="1" x14ac:dyDescent="0.25">
      <c r="A24" s="324"/>
      <c r="B24" s="322"/>
      <c r="C24" s="329"/>
      <c r="D24" s="325"/>
      <c r="E24" s="325"/>
      <c r="F24" s="325"/>
      <c r="G24" s="325"/>
      <c r="H24" s="325"/>
      <c r="I24" s="332"/>
      <c r="J24" s="333"/>
    </row>
    <row r="25" spans="1:10" x14ac:dyDescent="0.25">
      <c r="A25" s="321" t="s">
        <v>44</v>
      </c>
      <c r="B25" s="322"/>
      <c r="C25" s="329"/>
      <c r="D25" s="325"/>
      <c r="E25" s="325"/>
      <c r="F25" s="326"/>
      <c r="G25" s="326"/>
      <c r="H25" s="326"/>
      <c r="I25" s="327"/>
      <c r="J25" s="328"/>
    </row>
    <row r="26" spans="1:10" ht="18.75" customHeight="1" x14ac:dyDescent="0.25">
      <c r="A26" s="1457" t="s">
        <v>45</v>
      </c>
      <c r="B26" s="683" t="s">
        <v>1418</v>
      </c>
      <c r="C26" s="1041"/>
      <c r="D26" s="1042"/>
      <c r="E26" s="1042"/>
      <c r="F26" s="1042"/>
      <c r="G26" s="1042"/>
      <c r="H26" s="1042"/>
      <c r="I26" s="1043"/>
      <c r="J26" s="333"/>
    </row>
    <row r="27" spans="1:10" ht="18.75" customHeight="1" x14ac:dyDescent="0.25">
      <c r="A27" s="1457"/>
      <c r="B27" s="683" t="s">
        <v>1419</v>
      </c>
      <c r="C27" s="735"/>
      <c r="D27" s="734"/>
      <c r="E27" s="734"/>
      <c r="F27" s="734"/>
      <c r="G27" s="734"/>
      <c r="H27" s="734"/>
      <c r="I27" s="734"/>
      <c r="J27" s="1040"/>
    </row>
    <row r="28" spans="1:10" ht="39.75" customHeight="1" x14ac:dyDescent="0.25">
      <c r="A28" s="1062"/>
      <c r="B28" s="1073" t="s">
        <v>1440</v>
      </c>
      <c r="C28" s="735"/>
      <c r="D28" s="734"/>
      <c r="E28" s="734"/>
      <c r="F28" s="734"/>
      <c r="G28" s="734"/>
      <c r="H28" s="734"/>
      <c r="I28" s="1072"/>
      <c r="J28" s="1040"/>
    </row>
    <row r="29" spans="1:10" ht="18.75" customHeight="1" x14ac:dyDescent="0.25">
      <c r="A29" s="1457" t="s">
        <v>46</v>
      </c>
      <c r="B29" s="683" t="s">
        <v>1420</v>
      </c>
      <c r="C29" s="1041"/>
      <c r="D29" s="1042"/>
      <c r="E29" s="1042"/>
      <c r="F29" s="1042"/>
      <c r="G29" s="1042"/>
      <c r="H29" s="1042"/>
      <c r="I29" s="1043"/>
      <c r="J29" s="333"/>
    </row>
    <row r="30" spans="1:10" ht="18.75" customHeight="1" x14ac:dyDescent="0.25">
      <c r="A30" s="1457"/>
      <c r="B30" s="683" t="s">
        <v>1419</v>
      </c>
      <c r="C30" s="735"/>
      <c r="D30" s="734"/>
      <c r="E30" s="734"/>
      <c r="F30" s="734"/>
      <c r="G30" s="734"/>
      <c r="H30" s="734"/>
      <c r="I30" s="734"/>
      <c r="J30" s="1040"/>
    </row>
    <row r="31" spans="1:10" ht="40.5" customHeight="1" x14ac:dyDescent="0.25">
      <c r="A31" s="1074"/>
      <c r="B31" s="1073" t="s">
        <v>1440</v>
      </c>
      <c r="C31" s="735"/>
      <c r="D31" s="734"/>
      <c r="E31" s="734"/>
      <c r="F31" s="734"/>
      <c r="G31" s="734"/>
      <c r="H31" s="734"/>
      <c r="I31" s="734"/>
      <c r="J31" s="1040"/>
    </row>
    <row r="32" spans="1:10" ht="25.5" x14ac:dyDescent="0.25">
      <c r="A32" s="324" t="s">
        <v>564</v>
      </c>
      <c r="B32" s="322" t="s">
        <v>47</v>
      </c>
      <c r="C32" s="329"/>
      <c r="D32" s="325"/>
      <c r="E32" s="325"/>
      <c r="F32" s="326">
        <f>IF(ISERROR('B4-FinPerf RE'!C26/'B4-FinPerf RE'!C23),0,('B4-FinPerf RE'!C26/'B4-FinPerf RE'!C23))</f>
        <v>0.41294510662850409</v>
      </c>
      <c r="G32" s="326">
        <f>IF(ISERROR('B4-FinPerf RE'!D26/'B4-FinPerf RE'!D23),0,('B4-FinPerf RE'!D26/'B4-FinPerf RE'!D23))</f>
        <v>0.37048036103021387</v>
      </c>
      <c r="H32" s="326">
        <f>IF(ISERROR('B4-FinPerf RE'!K26/'B4-FinPerf RE'!K23),0,('B4-FinPerf RE'!K26/'B4-FinPerf RE'!K23))</f>
        <v>0.3727310261386606</v>
      </c>
      <c r="I32" s="326">
        <f>IF(ISERROR('B4-FinPerf RE'!L26/'B4-FinPerf RE'!L23),0,('B4-FinPerf RE'!L26/'B4-FinPerf RE'!L23))</f>
        <v>0.44485883275267568</v>
      </c>
      <c r="J32" s="328">
        <f>IF(ISERROR('B4-FinPerf RE'!M26/'B4-FinPerf RE'!M23),0,('B4-FinPerf RE'!M26/'B4-FinPerf RE'!M23))</f>
        <v>0.44429937047338103</v>
      </c>
    </row>
    <row r="33" spans="1:12" ht="25.5" x14ac:dyDescent="0.25">
      <c r="A33" s="324" t="s">
        <v>1441</v>
      </c>
      <c r="B33" s="1071" t="s">
        <v>1442</v>
      </c>
      <c r="C33" s="329"/>
      <c r="D33" s="325"/>
      <c r="E33" s="325"/>
      <c r="F33" s="326"/>
      <c r="G33" s="326"/>
      <c r="H33" s="326"/>
      <c r="I33" s="326"/>
      <c r="J33" s="328"/>
    </row>
    <row r="34" spans="1:12" ht="25.5" x14ac:dyDescent="0.25">
      <c r="A34" s="324" t="s">
        <v>48</v>
      </c>
      <c r="B34" s="322" t="s">
        <v>49</v>
      </c>
      <c r="C34" s="329"/>
      <c r="D34" s="325"/>
      <c r="E34" s="325"/>
      <c r="F34" s="326">
        <f>IF(ISERROR('B9-Asset'!C171/'B4-FinPerf RE'!C23),0,('B9-Asset'!C171/'B4-FinPerf RE'!C23))</f>
        <v>0.15596925908734607</v>
      </c>
      <c r="G34" s="326">
        <f>IF(ISERROR('B9-Asset'!D171/'B4-FinPerf RE'!D23),0,('B9-Asset'!D171/'B4-FinPerf RE'!D23))</f>
        <v>0.13993033574866523</v>
      </c>
      <c r="H34" s="326">
        <f>IF(ISERROR('B9-Asset'!K171/'B4-FinPerf RE'!K23),0,('B9-Asset'!K171/'B4-FinPerf RE'!K23))</f>
        <v>0.25712874931574925</v>
      </c>
      <c r="I34" s="326">
        <f>IF(ISERROR('B9-Asset'!L171/'B4-FinPerf RE'!L23),0,('B9-Asset'!L171/'B4-FinPerf RE'!L23))</f>
        <v>0.11911836948047301</v>
      </c>
      <c r="J34" s="328">
        <f>IF(ISERROR('B9-Asset'!M171/'B4-FinPerf RE'!M23),0,('B9-Asset'!M171/'B4-FinPerf RE'!M23))</f>
        <v>0.11971689066333709</v>
      </c>
    </row>
    <row r="35" spans="1:12" ht="25.5" x14ac:dyDescent="0.25">
      <c r="A35" s="324" t="s">
        <v>50</v>
      </c>
      <c r="B35" s="322" t="s">
        <v>51</v>
      </c>
      <c r="C35" s="329"/>
      <c r="D35" s="325"/>
      <c r="E35" s="325"/>
      <c r="F35" s="326">
        <f>IF(ISERROR(('B4-FinPerf RE'!C29+'B4-FinPerf RE'!C30)/'B4-FinPerf RE'!C23),0,(('B4-FinPerf RE'!C29+'B4-FinPerf RE'!C30)/'B4-FinPerf RE'!C23))</f>
        <v>0.10324036761621731</v>
      </c>
      <c r="G35" s="326">
        <f>IF(ISERROR(('B4-FinPerf RE'!D29+'B4-FinPerf RE'!D30)/'B4-FinPerf RE'!D23),0,(('B4-FinPerf RE'!D29+'B4-FinPerf RE'!D30)/'B4-FinPerf RE'!D23))</f>
        <v>9.2623760527467736E-2</v>
      </c>
      <c r="H35" s="326">
        <f>IF(ISERROR(('B4-FinPerf RE'!K29+'B4-FinPerf RE'!K30)/'B4-FinPerf RE'!K23),0,(('B4-FinPerf RE'!K29+'B4-FinPerf RE'!K30)/'B4-FinPerf RE'!K23))</f>
        <v>9.3186449101438584E-2</v>
      </c>
      <c r="I35" s="327">
        <f>IF(ISERROR(('B4-FinPerf RE'!L29+'B4-FinPerf RE'!L30)/'B4-FinPerf RE'!L23),0,(('B4-FinPerf RE'!L29+'B4-FinPerf RE'!L30)/'B4-FinPerf RE'!L23))</f>
        <v>0.10770739264140156</v>
      </c>
      <c r="J35" s="328">
        <f>IF(ISERROR(('B4-FinPerf RE'!M29+'B4-FinPerf RE'!M30)/'B4-FinPerf RE'!M23),0,(('B4-FinPerf RE'!M29+'B4-FinPerf RE'!M30)/'B4-FinPerf RE'!M23))</f>
        <v>0.11173165889754451</v>
      </c>
    </row>
    <row r="36" spans="1:12" x14ac:dyDescent="0.25">
      <c r="A36" s="321" t="s">
        <v>52</v>
      </c>
      <c r="B36" s="322"/>
      <c r="C36" s="329"/>
      <c r="D36" s="325"/>
      <c r="E36" s="325"/>
      <c r="F36" s="326"/>
      <c r="G36" s="326"/>
      <c r="H36" s="326"/>
      <c r="I36" s="327"/>
      <c r="J36" s="328"/>
    </row>
    <row r="37" spans="1:12" ht="39.75" customHeight="1" x14ac:dyDescent="0.25">
      <c r="A37" s="324" t="s">
        <v>53</v>
      </c>
      <c r="B37" s="322" t="s">
        <v>54</v>
      </c>
      <c r="C37" s="334"/>
      <c r="D37" s="325"/>
      <c r="E37" s="325"/>
      <c r="F37" s="326">
        <f>IF(ISERROR(('B4-FinPerf RE'!C23-'B4-FinPerf RE'!C20)/('B4-FinPerf RE'!L30-'B7-CFlow'!L37)),0,(('B4-FinPerf RE'!C23-'B4-FinPerf RE'!C20)/('B4-FinPerf RE'!L30-'B7-CFlow'!L37)))</f>
        <v>0</v>
      </c>
      <c r="G37" s="326">
        <f>IF(ISERROR(('B4-FinPerf RE'!D23-'B4-FinPerf RE'!D20)/('B4-FinPerf RE'!L30-'B7-CFlow'!L37)),0,(('B4-FinPerf RE'!D23-'B4-FinPerf RE'!D20)/('B4-FinPerf RE'!L30-'B7-CFlow'!L37)))</f>
        <v>0</v>
      </c>
      <c r="H37" s="326">
        <f>IF(ISERROR(('B4-FinPerf RE'!K23-'B4-FinPerf RE'!K20)/('B4-FinPerf RE'!L30-'B7-CFlow'!L37)),0,(('B4-FinPerf RE'!K23-'B4-FinPerf RE'!K20)/('B4-FinPerf RE'!L30-'B7-CFlow'!L37)))</f>
        <v>0</v>
      </c>
      <c r="I37" s="327">
        <f>IF(ISERROR(('B4-FinPerf RE'!L23-'B4-FinPerf RE'!L20)/('B4-FinPerf RE'!M30-'B7-CFlow'!M37)),0,(('B4-FinPerf RE'!L23-'B4-FinPerf RE'!L20)/('B4-FinPerf RE'!M30-'B7-CFlow'!M37)))</f>
        <v>0</v>
      </c>
      <c r="J37" s="328">
        <f>IF(ISERROR(('B4-FinPerf RE'!M23-'B4-FinPerf RE'!M20)/('B4-FinPerf RE'!M30-'B7-CFlow'!M37)),0,(('B4-FinPerf RE'!M23-'B4-FinPerf RE'!M20)/('B4-FinPerf RE'!M30-'B7-CFlow'!M37)))</f>
        <v>0</v>
      </c>
    </row>
    <row r="38" spans="1:12" ht="38.25" x14ac:dyDescent="0.25">
      <c r="A38" s="324" t="s">
        <v>55</v>
      </c>
      <c r="B38" s="322" t="s">
        <v>56</v>
      </c>
      <c r="C38" s="334"/>
      <c r="D38" s="325"/>
      <c r="E38" s="325"/>
      <c r="F38" s="326">
        <f>IF(ISERROR('B6-FinPos'!C10/'B4-FinPerf RE'!C23),0,('B6-FinPos'!C10/'B4-FinPerf RE'!C23))</f>
        <v>0.30870451221930906</v>
      </c>
      <c r="G38" s="326">
        <f>IF(ISERROR('B6-FinPos'!D10/'B4-FinPerf RE'!D23),0,('B6-FinPos'!D10/'B4-FinPerf RE'!D23))</f>
        <v>0.27695923090706315</v>
      </c>
      <c r="H38" s="326">
        <f>IF(ISERROR('B6-FinPos'!K10/'B4-FinPerf RE'!K23),0,('B6-FinPos'!K10/'B4-FinPerf RE'!K23))</f>
        <v>0</v>
      </c>
      <c r="I38" s="327">
        <f>IF(ISERROR('B6-FinPos'!L10/'B4-FinPerf RE'!L23),0,('B6-FinPos'!L10/'B4-FinPerf RE'!L23))</f>
        <v>0</v>
      </c>
      <c r="J38" s="328">
        <f>IF(ISERROR('B6-FinPos'!M10/'B4-FinPerf RE'!M23),0,('B6-FinPos'!M10/'B4-FinPerf RE'!M23))</f>
        <v>0</v>
      </c>
    </row>
    <row r="39" spans="1:12" ht="38.25" x14ac:dyDescent="0.25">
      <c r="A39" s="1075" t="s">
        <v>57</v>
      </c>
      <c r="B39" s="1076" t="s">
        <v>58</v>
      </c>
      <c r="C39" s="1077"/>
      <c r="D39" s="462"/>
      <c r="E39" s="462"/>
      <c r="F39" s="1078">
        <f>IF(ISERROR('B7-CFlow'!C42/'SB4'!F46),0,('B7-CFlow'!C42/'SB4'!F46))</f>
        <v>0</v>
      </c>
      <c r="G39" s="1078">
        <f>IF(ISERROR('B7-CFlow'!D42/'SB4'!G46),0,('B7-CFlow'!D42/'SB4'!G46))</f>
        <v>0</v>
      </c>
      <c r="H39" s="1078">
        <f>IF(ISERROR('B7-CFlow'!K42/'SB4'!H46),0,('B7-CFlow'!K42/'SB4'!H46))</f>
        <v>0</v>
      </c>
      <c r="I39" s="1079">
        <f>IF(ISERROR('B7-CFlow'!L42/'SB4'!I46),0,('B7-CFlow'!L42/'SB4'!I46))</f>
        <v>0</v>
      </c>
      <c r="J39" s="1080">
        <f>IF(ISERROR('B7-CFlow'!M42/'SB4'!J46),0,('B7-CFlow'!M42/'SB4'!J46))</f>
        <v>0</v>
      </c>
    </row>
    <row r="40" spans="1:12" x14ac:dyDescent="0.25">
      <c r="A40" s="156" t="str">
        <f>head27a</f>
        <v>References</v>
      </c>
      <c r="B40" s="48"/>
      <c r="C40" s="48"/>
      <c r="D40" s="48"/>
      <c r="E40" s="48"/>
      <c r="F40" s="48"/>
      <c r="G40" s="48"/>
      <c r="H40" s="48"/>
      <c r="I40" s="48"/>
      <c r="J40" s="48"/>
    </row>
    <row r="41" spans="1:12" x14ac:dyDescent="0.25">
      <c r="A41" s="99" t="s">
        <v>59</v>
      </c>
      <c r="B41" s="48"/>
      <c r="C41" s="48"/>
      <c r="D41" s="48"/>
      <c r="E41" s="48"/>
      <c r="F41" s="48"/>
      <c r="G41" s="48"/>
      <c r="H41" s="48"/>
      <c r="I41" s="48"/>
      <c r="J41" s="48"/>
    </row>
    <row r="42" spans="1:12" x14ac:dyDescent="0.25">
      <c r="A42" s="285" t="s">
        <v>1417</v>
      </c>
      <c r="B42" s="48"/>
      <c r="C42" s="48"/>
      <c r="D42" s="48"/>
      <c r="E42" s="48"/>
      <c r="F42" s="48"/>
      <c r="G42" s="48"/>
      <c r="H42" s="48"/>
      <c r="I42" s="48"/>
      <c r="J42" s="48"/>
    </row>
    <row r="43" spans="1:12" x14ac:dyDescent="0.25">
      <c r="A43" s="335" t="s">
        <v>60</v>
      </c>
      <c r="B43" s="336"/>
      <c r="C43" s="336"/>
      <c r="D43" s="336"/>
      <c r="E43" s="336"/>
      <c r="F43" s="336"/>
      <c r="G43" s="336"/>
      <c r="H43" s="336"/>
      <c r="I43" s="336"/>
      <c r="J43" s="336"/>
    </row>
    <row r="44" spans="1:12" x14ac:dyDescent="0.25">
      <c r="A44" s="336" t="s">
        <v>61</v>
      </c>
      <c r="B44" s="336"/>
      <c r="C44" s="228"/>
      <c r="D44" s="228"/>
      <c r="E44" s="228"/>
      <c r="F44" s="228"/>
      <c r="G44" s="228"/>
      <c r="H44" s="228"/>
      <c r="I44" s="228"/>
      <c r="J44" s="228"/>
      <c r="K44" s="48"/>
      <c r="L44" s="48"/>
    </row>
    <row r="45" spans="1:12" x14ac:dyDescent="0.25">
      <c r="A45" s="336" t="s">
        <v>62</v>
      </c>
      <c r="B45" s="336"/>
      <c r="C45" s="228"/>
      <c r="D45" s="228"/>
      <c r="E45" s="228"/>
      <c r="F45" s="228"/>
      <c r="G45" s="228"/>
      <c r="H45" s="228"/>
      <c r="I45" s="228"/>
      <c r="J45" s="228"/>
      <c r="K45" s="48"/>
      <c r="L45" s="48"/>
    </row>
    <row r="46" spans="1:12" x14ac:dyDescent="0.25">
      <c r="A46" s="336" t="s">
        <v>63</v>
      </c>
      <c r="B46" s="336"/>
      <c r="C46" s="228"/>
      <c r="D46" s="228"/>
      <c r="E46" s="228"/>
      <c r="F46" s="228"/>
      <c r="G46" s="228"/>
      <c r="H46" s="228"/>
      <c r="I46" s="228"/>
      <c r="J46" s="228"/>
      <c r="K46" s="48"/>
      <c r="L46" s="48"/>
    </row>
    <row r="47" spans="1:12" x14ac:dyDescent="0.25">
      <c r="A47" s="336" t="s">
        <v>64</v>
      </c>
      <c r="B47" s="336"/>
      <c r="E47" s="86"/>
      <c r="F47" s="796">
        <v>0.4</v>
      </c>
      <c r="G47" s="337">
        <f>$F$47</f>
        <v>0.4</v>
      </c>
      <c r="H47" s="337">
        <f>$F$47</f>
        <v>0.4</v>
      </c>
      <c r="I47" s="337">
        <f>$F$47</f>
        <v>0.4</v>
      </c>
      <c r="J47" s="337">
        <f>$F$47</f>
        <v>0.4</v>
      </c>
      <c r="K47" s="336" t="s">
        <v>1175</v>
      </c>
      <c r="L47" s="48"/>
    </row>
    <row r="48" spans="1:12" x14ac:dyDescent="0.25">
      <c r="A48" s="5" t="s">
        <v>1443</v>
      </c>
      <c r="B48" s="336"/>
      <c r="C48" s="228"/>
      <c r="D48" s="228"/>
      <c r="E48" s="228"/>
      <c r="F48" s="228"/>
      <c r="G48" s="228"/>
      <c r="H48" s="228"/>
      <c r="I48" s="228"/>
      <c r="J48" s="228"/>
      <c r="K48" s="48"/>
      <c r="L48" s="48"/>
    </row>
    <row r="49" spans="1:12" x14ac:dyDescent="0.25">
      <c r="A49" s="5" t="s">
        <v>578</v>
      </c>
      <c r="B49" s="336"/>
      <c r="C49" s="228"/>
      <c r="D49" s="228"/>
      <c r="E49" s="228"/>
      <c r="F49" s="228"/>
      <c r="G49" s="228"/>
      <c r="H49" s="228"/>
      <c r="I49" s="228"/>
      <c r="J49" s="228"/>
      <c r="K49" s="48"/>
      <c r="L49" s="48"/>
    </row>
    <row r="50" spans="1:12" x14ac:dyDescent="0.25">
      <c r="A50" s="336"/>
      <c r="B50" s="336"/>
      <c r="C50" s="338"/>
      <c r="D50" s="338"/>
      <c r="E50" s="338"/>
      <c r="F50" s="338"/>
      <c r="G50" s="338"/>
      <c r="H50" s="338"/>
      <c r="I50" s="338"/>
      <c r="J50" s="338"/>
      <c r="K50" s="48"/>
      <c r="L50" s="48"/>
    </row>
    <row r="51" spans="1:12" x14ac:dyDescent="0.25">
      <c r="A51" s="336"/>
      <c r="B51" s="336"/>
      <c r="C51" s="339"/>
      <c r="D51" s="339"/>
      <c r="E51" s="339"/>
      <c r="F51" s="339"/>
      <c r="G51" s="339"/>
      <c r="H51" s="339"/>
      <c r="I51" s="339"/>
      <c r="J51" s="339"/>
      <c r="K51" s="48"/>
      <c r="L51" s="48"/>
    </row>
    <row r="52" spans="1:12" x14ac:dyDescent="0.25">
      <c r="A52" s="336"/>
      <c r="B52" s="336"/>
      <c r="C52" s="340"/>
      <c r="D52" s="340"/>
      <c r="E52" s="340"/>
      <c r="F52" s="340"/>
      <c r="G52" s="340"/>
      <c r="H52" s="340"/>
      <c r="I52" s="340"/>
      <c r="J52" s="340"/>
      <c r="K52" s="48"/>
      <c r="L52" s="48"/>
    </row>
    <row r="53" spans="1:12" x14ac:dyDescent="0.25">
      <c r="A53" s="48"/>
      <c r="B53" s="48"/>
      <c r="C53" s="341"/>
      <c r="D53" s="341"/>
      <c r="E53" s="341"/>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36"/>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4" type="noConversion"/>
  <printOptions horizontalCentered="1"/>
  <pageMargins left="0.39370078740157483" right="0.15748031496062992" top="0.51181102362204722" bottom="0.43307086614173229" header="0.51181102362204722" footer="0.39370078740157483"/>
  <pageSetup paperSize="9" scale="66"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indexed="42"/>
    <pageSetUpPr fitToPage="1"/>
  </sheetPr>
  <dimension ref="A1:O311"/>
  <sheetViews>
    <sheetView showGridLines="0" zoomScaleNormal="100" workbookViewId="0"/>
  </sheetViews>
  <sheetFormatPr defaultColWidth="9.140625" defaultRowHeight="11.25" customHeight="1" x14ac:dyDescent="0.25"/>
  <cols>
    <col min="1" max="1" width="37.42578125" style="182" customWidth="1"/>
    <col min="2" max="2" width="5.5703125" style="182" customWidth="1"/>
    <col min="3" max="3" width="45.85546875" style="182" customWidth="1"/>
    <col min="4" max="4" width="11.42578125" style="182" customWidth="1"/>
    <col min="5" max="11" width="9.42578125" style="182" customWidth="1"/>
    <col min="12" max="16384" width="9.140625" style="182"/>
  </cols>
  <sheetData>
    <row r="1" spans="1:13" s="252" customFormat="1" ht="12.75" x14ac:dyDescent="0.2">
      <c r="A1" s="251" t="str">
        <f>muni&amp;" - "&amp;ADJB5&amp;" - "&amp;Date</f>
        <v xml:space="preserve">KZN226 Mkhambathini - Supporting Table SB5 Adjustments Budget - social, economic and demographic statistics and assumptions - </v>
      </c>
      <c r="B1" s="251"/>
      <c r="C1" s="251"/>
      <c r="D1" s="251"/>
      <c r="E1" s="251"/>
      <c r="F1" s="251"/>
      <c r="G1" s="251"/>
      <c r="H1" s="251"/>
      <c r="I1" s="251"/>
      <c r="J1" s="251"/>
      <c r="K1" s="251"/>
    </row>
    <row r="2" spans="1:13" ht="51.75" customHeight="1" x14ac:dyDescent="0.25">
      <c r="A2" s="1458" t="s">
        <v>65</v>
      </c>
      <c r="B2" s="1462" t="s">
        <v>1342</v>
      </c>
      <c r="C2" s="1458" t="s">
        <v>18</v>
      </c>
      <c r="D2" s="1458" t="str">
        <f>Head44</f>
        <v>2001 Census</v>
      </c>
      <c r="E2" s="1458" t="s">
        <v>66</v>
      </c>
      <c r="F2" s="1458" t="str">
        <f>Head45</f>
        <v>2011 Census</v>
      </c>
      <c r="G2" s="1159" t="str">
        <f>Head1B</f>
        <v>2017/18</v>
      </c>
      <c r="H2" s="1160" t="str">
        <f>Head1A</f>
        <v>2018/19</v>
      </c>
      <c r="I2" s="1161" t="str">
        <f>Head1</f>
        <v>2019/20</v>
      </c>
      <c r="J2" s="1162" t="str">
        <f>Head2</f>
        <v>Budget Year 2020/21</v>
      </c>
      <c r="K2" s="1464" t="str">
        <f>Head3</f>
        <v>2020/21 Medium Term Revenue &amp; Expenditure Framework</v>
      </c>
      <c r="L2" s="1464"/>
      <c r="M2" s="1465"/>
    </row>
    <row r="3" spans="1:13" ht="27" customHeight="1" x14ac:dyDescent="0.25">
      <c r="A3" s="1459"/>
      <c r="B3" s="1463"/>
      <c r="C3" s="1459"/>
      <c r="D3" s="1459"/>
      <c r="E3" s="1459"/>
      <c r="F3" s="1459"/>
      <c r="G3" s="1163" t="str">
        <f t="shared" ref="G3:M3" si="0">Head5A</f>
        <v>Outcome</v>
      </c>
      <c r="H3" s="1164" t="str">
        <f t="shared" si="0"/>
        <v>Outcome</v>
      </c>
      <c r="I3" s="1165" t="str">
        <f t="shared" si="0"/>
        <v>Outcome</v>
      </c>
      <c r="J3" s="1166" t="str">
        <f>Head6</f>
        <v>Original Budget</v>
      </c>
      <c r="K3" s="1167" t="str">
        <f t="shared" si="0"/>
        <v>Outcome</v>
      </c>
      <c r="L3" s="1164" t="str">
        <f t="shared" si="0"/>
        <v>Outcome</v>
      </c>
      <c r="M3" s="1168" t="str">
        <f t="shared" si="0"/>
        <v>Outcome</v>
      </c>
    </row>
    <row r="4" spans="1:13" ht="11.25" customHeight="1" x14ac:dyDescent="0.25">
      <c r="A4" s="342" t="s">
        <v>67</v>
      </c>
      <c r="B4" s="990"/>
      <c r="C4" s="343"/>
      <c r="D4" s="344"/>
      <c r="E4" s="344"/>
      <c r="F4" s="345"/>
      <c r="G4" s="345"/>
      <c r="H4" s="346"/>
      <c r="I4" s="1030"/>
      <c r="J4" s="345"/>
      <c r="K4" s="346"/>
    </row>
    <row r="5" spans="1:13" ht="11.25" customHeight="1" x14ac:dyDescent="0.25">
      <c r="A5" s="347" t="s">
        <v>68</v>
      </c>
      <c r="B5" s="991"/>
      <c r="C5" s="357"/>
      <c r="D5" s="358"/>
      <c r="E5" s="358"/>
      <c r="F5" s="358"/>
      <c r="G5" s="358"/>
      <c r="H5" s="989"/>
      <c r="I5" s="986"/>
      <c r="J5" s="358"/>
      <c r="K5" s="358"/>
    </row>
    <row r="6" spans="1:13" ht="11.25" customHeight="1" x14ac:dyDescent="0.25">
      <c r="A6" s="348" t="s">
        <v>69</v>
      </c>
      <c r="B6" s="991"/>
      <c r="C6" s="357"/>
      <c r="D6" s="358"/>
      <c r="E6" s="358"/>
      <c r="F6" s="358"/>
      <c r="G6" s="358"/>
      <c r="H6" s="989"/>
      <c r="I6" s="986"/>
      <c r="J6" s="358"/>
      <c r="K6" s="358"/>
    </row>
    <row r="7" spans="1:13" ht="11.25" customHeight="1" x14ac:dyDescent="0.25">
      <c r="A7" s="348" t="s">
        <v>70</v>
      </c>
      <c r="B7" s="991"/>
      <c r="C7" s="357"/>
      <c r="D7" s="358"/>
      <c r="E7" s="358"/>
      <c r="F7" s="358"/>
      <c r="G7" s="358"/>
      <c r="H7" s="989"/>
      <c r="I7" s="986"/>
      <c r="J7" s="358"/>
      <c r="K7" s="358"/>
    </row>
    <row r="8" spans="1:13" ht="11.25" customHeight="1" x14ac:dyDescent="0.25">
      <c r="A8" s="348" t="s">
        <v>71</v>
      </c>
      <c r="B8" s="991"/>
      <c r="C8" s="357"/>
      <c r="D8" s="358"/>
      <c r="E8" s="358"/>
      <c r="F8" s="358"/>
      <c r="G8" s="358"/>
      <c r="H8" s="989"/>
      <c r="I8" s="986"/>
      <c r="J8" s="358"/>
      <c r="K8" s="358"/>
    </row>
    <row r="9" spans="1:13" ht="11.25" customHeight="1" x14ac:dyDescent="0.25">
      <c r="A9" s="348" t="s">
        <v>72</v>
      </c>
      <c r="B9" s="991"/>
      <c r="C9" s="357"/>
      <c r="D9" s="358"/>
      <c r="E9" s="358"/>
      <c r="F9" s="358"/>
      <c r="G9" s="358"/>
      <c r="H9" s="989"/>
      <c r="I9" s="986"/>
      <c r="J9" s="358"/>
      <c r="K9" s="358"/>
    </row>
    <row r="10" spans="1:13" ht="11.25" customHeight="1" x14ac:dyDescent="0.25">
      <c r="A10" s="349" t="s">
        <v>73</v>
      </c>
      <c r="B10" s="992"/>
      <c r="C10" s="1028"/>
      <c r="D10" s="1029"/>
      <c r="E10" s="1029"/>
      <c r="F10" s="1029"/>
      <c r="G10" s="1029"/>
      <c r="H10" s="1032"/>
      <c r="I10" s="1031"/>
      <c r="J10" s="1029"/>
      <c r="K10" s="1029"/>
    </row>
    <row r="11" spans="1:13" ht="5.0999999999999996" customHeight="1" x14ac:dyDescent="0.25">
      <c r="A11" s="348"/>
      <c r="B11" s="993"/>
      <c r="C11" s="350"/>
      <c r="D11" s="351"/>
      <c r="E11" s="351"/>
      <c r="F11" s="352"/>
      <c r="G11" s="352"/>
      <c r="H11" s="353"/>
      <c r="I11" s="354"/>
      <c r="J11" s="352"/>
      <c r="K11" s="355"/>
    </row>
    <row r="12" spans="1:13" ht="11.25" customHeight="1" x14ac:dyDescent="0.25">
      <c r="A12" s="356" t="s">
        <v>1363</v>
      </c>
      <c r="B12" s="993" t="s">
        <v>1349</v>
      </c>
      <c r="C12" s="350"/>
      <c r="D12" s="351"/>
      <c r="E12" s="351"/>
      <c r="F12" s="352"/>
      <c r="G12" s="352"/>
      <c r="H12" s="353"/>
      <c r="I12" s="354"/>
      <c r="J12" s="352"/>
      <c r="K12" s="355"/>
    </row>
    <row r="13" spans="1:13" ht="11.25" customHeight="1" x14ac:dyDescent="0.25">
      <c r="A13" s="348" t="s">
        <v>81</v>
      </c>
      <c r="B13" s="991"/>
      <c r="C13" s="357"/>
      <c r="D13" s="358"/>
      <c r="E13" s="358"/>
      <c r="F13" s="359"/>
      <c r="G13" s="359"/>
      <c r="H13" s="360"/>
      <c r="I13" s="361"/>
      <c r="J13" s="359"/>
      <c r="K13" s="362"/>
    </row>
    <row r="14" spans="1:13" ht="11.25" customHeight="1" x14ac:dyDescent="0.25">
      <c r="A14" s="982" t="s">
        <v>1331</v>
      </c>
      <c r="B14" s="991"/>
      <c r="C14" s="357"/>
      <c r="D14" s="358"/>
      <c r="E14" s="358"/>
      <c r="F14" s="359"/>
      <c r="G14" s="359"/>
      <c r="H14" s="360"/>
      <c r="I14" s="361"/>
      <c r="J14" s="359"/>
      <c r="K14" s="362"/>
    </row>
    <row r="15" spans="1:13" ht="11.25" customHeight="1" x14ac:dyDescent="0.25">
      <c r="A15" s="982" t="s">
        <v>1332</v>
      </c>
      <c r="B15" s="991"/>
      <c r="C15" s="357"/>
      <c r="D15" s="358"/>
      <c r="E15" s="358"/>
      <c r="F15" s="359"/>
      <c r="G15" s="359"/>
      <c r="H15" s="360"/>
      <c r="I15" s="361"/>
      <c r="J15" s="359"/>
      <c r="K15" s="362"/>
    </row>
    <row r="16" spans="1:13" ht="11.25" customHeight="1" x14ac:dyDescent="0.25">
      <c r="A16" s="982" t="s">
        <v>1333</v>
      </c>
      <c r="B16" s="991"/>
      <c r="C16" s="357"/>
      <c r="D16" s="358"/>
      <c r="E16" s="358"/>
      <c r="F16" s="359"/>
      <c r="G16" s="359"/>
      <c r="H16" s="360"/>
      <c r="I16" s="361"/>
      <c r="J16" s="359"/>
      <c r="K16" s="362"/>
    </row>
    <row r="17" spans="1:11" ht="11.25" customHeight="1" x14ac:dyDescent="0.25">
      <c r="A17" s="982" t="s">
        <v>1334</v>
      </c>
      <c r="B17" s="991"/>
      <c r="C17" s="357"/>
      <c r="D17" s="358"/>
      <c r="E17" s="358"/>
      <c r="F17" s="359"/>
      <c r="G17" s="359"/>
      <c r="H17" s="360"/>
      <c r="I17" s="361"/>
      <c r="J17" s="359"/>
      <c r="K17" s="362"/>
    </row>
    <row r="18" spans="1:11" ht="11.25" customHeight="1" x14ac:dyDescent="0.25">
      <c r="A18" s="982" t="s">
        <v>1335</v>
      </c>
      <c r="B18" s="991"/>
      <c r="C18" s="357"/>
      <c r="D18" s="358"/>
      <c r="E18" s="358"/>
      <c r="F18" s="359"/>
      <c r="G18" s="359"/>
      <c r="H18" s="360"/>
      <c r="I18" s="361"/>
      <c r="J18" s="359"/>
      <c r="K18" s="362"/>
    </row>
    <row r="19" spans="1:11" ht="11.25" customHeight="1" x14ac:dyDescent="0.25">
      <c r="A19" s="982" t="s">
        <v>1336</v>
      </c>
      <c r="B19" s="991"/>
      <c r="C19" s="357"/>
      <c r="D19" s="358"/>
      <c r="E19" s="358"/>
      <c r="F19" s="359"/>
      <c r="G19" s="359"/>
      <c r="H19" s="360"/>
      <c r="I19" s="361"/>
      <c r="J19" s="359"/>
      <c r="K19" s="362"/>
    </row>
    <row r="20" spans="1:11" ht="11.25" customHeight="1" x14ac:dyDescent="0.25">
      <c r="A20" s="982" t="s">
        <v>1337</v>
      </c>
      <c r="B20" s="991"/>
      <c r="C20" s="357"/>
      <c r="D20" s="358"/>
      <c r="E20" s="358"/>
      <c r="F20" s="359"/>
      <c r="G20" s="359"/>
      <c r="H20" s="360"/>
      <c r="I20" s="361"/>
      <c r="J20" s="359"/>
      <c r="K20" s="362"/>
    </row>
    <row r="21" spans="1:11" ht="11.25" customHeight="1" x14ac:dyDescent="0.25">
      <c r="A21" s="982" t="s">
        <v>1338</v>
      </c>
      <c r="B21" s="991"/>
      <c r="C21" s="357"/>
      <c r="D21" s="358"/>
      <c r="E21" s="358"/>
      <c r="F21" s="359"/>
      <c r="G21" s="359"/>
      <c r="H21" s="360"/>
      <c r="I21" s="361"/>
      <c r="J21" s="359"/>
      <c r="K21" s="362"/>
    </row>
    <row r="22" spans="1:11" ht="11.25" customHeight="1" x14ac:dyDescent="0.25">
      <c r="A22" s="982" t="s">
        <v>1339</v>
      </c>
      <c r="B22" s="991"/>
      <c r="C22" s="357"/>
      <c r="D22" s="358"/>
      <c r="E22" s="358"/>
      <c r="F22" s="359"/>
      <c r="G22" s="359"/>
      <c r="H22" s="362"/>
      <c r="I22" s="988"/>
      <c r="J22" s="359"/>
      <c r="K22" s="362"/>
    </row>
    <row r="23" spans="1:11" ht="11.25" customHeight="1" x14ac:dyDescent="0.25">
      <c r="A23" s="982" t="s">
        <v>1340</v>
      </c>
      <c r="B23" s="991"/>
      <c r="C23" s="986"/>
      <c r="D23" s="358"/>
      <c r="E23" s="358"/>
      <c r="F23" s="358"/>
      <c r="G23" s="358"/>
      <c r="H23" s="989"/>
      <c r="I23" s="986"/>
      <c r="J23" s="358"/>
      <c r="K23" s="989"/>
    </row>
    <row r="24" spans="1:11" ht="11.25" customHeight="1" x14ac:dyDescent="0.25">
      <c r="A24" s="982" t="s">
        <v>1341</v>
      </c>
      <c r="B24" s="991"/>
      <c r="C24" s="986"/>
      <c r="D24" s="358"/>
      <c r="E24" s="358"/>
      <c r="F24" s="358"/>
      <c r="G24" s="358"/>
      <c r="H24" s="989"/>
      <c r="I24" s="986"/>
      <c r="J24" s="358"/>
      <c r="K24" s="989"/>
    </row>
    <row r="25" spans="1:11" ht="6" customHeight="1" x14ac:dyDescent="0.25">
      <c r="A25" s="982"/>
      <c r="B25" s="991"/>
      <c r="C25" s="987"/>
      <c r="D25" s="364"/>
      <c r="E25" s="364"/>
      <c r="F25" s="365"/>
      <c r="G25" s="365"/>
      <c r="H25" s="366"/>
      <c r="I25" s="367"/>
      <c r="J25" s="365"/>
      <c r="K25" s="368"/>
    </row>
    <row r="26" spans="1:11" ht="12.75" customHeight="1" x14ac:dyDescent="0.25">
      <c r="A26" s="982"/>
      <c r="B26" s="991"/>
      <c r="C26" s="987"/>
      <c r="D26" s="364"/>
      <c r="E26" s="364"/>
      <c r="F26" s="365"/>
      <c r="G26" s="365"/>
      <c r="H26" s="366"/>
      <c r="I26" s="367"/>
      <c r="J26" s="365"/>
      <c r="K26" s="368"/>
    </row>
    <row r="27" spans="1:11" ht="11.25" customHeight="1" x14ac:dyDescent="0.25">
      <c r="A27" s="356" t="s">
        <v>1364</v>
      </c>
      <c r="B27" s="991"/>
      <c r="C27" s="363"/>
      <c r="D27" s="364"/>
      <c r="E27" s="364"/>
      <c r="F27" s="365"/>
      <c r="G27" s="365"/>
      <c r="H27" s="366"/>
      <c r="I27" s="367"/>
      <c r="J27" s="365"/>
      <c r="K27" s="368"/>
    </row>
    <row r="28" spans="1:11" ht="11.25" customHeight="1" x14ac:dyDescent="0.25">
      <c r="A28" s="982" t="s">
        <v>1343</v>
      </c>
      <c r="B28" s="991">
        <v>13</v>
      </c>
      <c r="C28" s="369"/>
      <c r="D28" s="370"/>
      <c r="E28" s="370"/>
      <c r="F28" s="370"/>
      <c r="G28" s="370"/>
      <c r="H28" s="985"/>
      <c r="I28" s="983"/>
      <c r="J28" s="370"/>
      <c r="K28" s="985"/>
    </row>
    <row r="29" spans="1:11" ht="11.25" customHeight="1" x14ac:dyDescent="0.25">
      <c r="A29" s="797" t="s">
        <v>82</v>
      </c>
      <c r="B29" s="994">
        <v>2</v>
      </c>
      <c r="C29" s="369"/>
      <c r="D29" s="370"/>
      <c r="E29" s="370"/>
      <c r="F29" s="371"/>
      <c r="G29" s="371"/>
      <c r="H29" s="372"/>
      <c r="I29" s="984"/>
      <c r="J29" s="371"/>
      <c r="K29" s="372"/>
    </row>
    <row r="30" spans="1:11" ht="5.0999999999999996" customHeight="1" x14ac:dyDescent="0.25">
      <c r="A30" s="349"/>
      <c r="B30" s="992"/>
      <c r="C30" s="373"/>
      <c r="D30" s="374"/>
      <c r="E30" s="374"/>
      <c r="F30" s="375"/>
      <c r="G30" s="375"/>
      <c r="H30" s="376"/>
      <c r="I30" s="377"/>
      <c r="J30" s="375"/>
      <c r="K30" s="378"/>
    </row>
    <row r="31" spans="1:11" ht="11.25" customHeight="1" x14ac:dyDescent="0.25">
      <c r="A31" s="356" t="s">
        <v>83</v>
      </c>
      <c r="B31" s="991"/>
      <c r="C31" s="363"/>
      <c r="D31" s="364"/>
      <c r="E31" s="364"/>
      <c r="F31" s="365"/>
      <c r="G31" s="365"/>
      <c r="H31" s="366"/>
      <c r="I31" s="367"/>
      <c r="J31" s="365"/>
      <c r="K31" s="368"/>
    </row>
    <row r="32" spans="1:11" ht="11.25" customHeight="1" x14ac:dyDescent="0.25">
      <c r="A32" s="797" t="s">
        <v>84</v>
      </c>
      <c r="B32" s="994"/>
      <c r="C32" s="369"/>
      <c r="D32" s="370"/>
      <c r="E32" s="370"/>
      <c r="F32" s="109"/>
      <c r="G32" s="109"/>
      <c r="H32" s="379"/>
      <c r="I32" s="380"/>
      <c r="J32" s="109"/>
      <c r="K32" s="110"/>
    </row>
    <row r="33" spans="1:11" ht="11.25" customHeight="1" x14ac:dyDescent="0.25">
      <c r="A33" s="797" t="s">
        <v>85</v>
      </c>
      <c r="B33" s="994"/>
      <c r="C33" s="369"/>
      <c r="D33" s="370"/>
      <c r="E33" s="370"/>
      <c r="F33" s="109"/>
      <c r="G33" s="109"/>
      <c r="H33" s="379"/>
      <c r="I33" s="380"/>
      <c r="J33" s="109"/>
      <c r="K33" s="110"/>
    </row>
    <row r="34" spans="1:11" ht="11.25" customHeight="1" x14ac:dyDescent="0.25">
      <c r="A34" s="797" t="s">
        <v>86</v>
      </c>
      <c r="B34" s="994"/>
      <c r="C34" s="369"/>
      <c r="D34" s="370"/>
      <c r="E34" s="370"/>
      <c r="F34" s="109"/>
      <c r="G34" s="109"/>
      <c r="H34" s="379"/>
      <c r="I34" s="380"/>
      <c r="J34" s="109"/>
      <c r="K34" s="110"/>
    </row>
    <row r="35" spans="1:11" ht="11.25" customHeight="1" x14ac:dyDescent="0.25">
      <c r="A35" s="797" t="s">
        <v>87</v>
      </c>
      <c r="B35" s="994"/>
      <c r="C35" s="369"/>
      <c r="D35" s="370"/>
      <c r="E35" s="370"/>
      <c r="F35" s="109"/>
      <c r="G35" s="109"/>
      <c r="H35" s="379"/>
      <c r="I35" s="380"/>
      <c r="J35" s="109"/>
      <c r="K35" s="110"/>
    </row>
    <row r="36" spans="1:11" ht="11.25" customHeight="1" x14ac:dyDescent="0.25">
      <c r="A36" s="797" t="s">
        <v>88</v>
      </c>
      <c r="B36" s="995"/>
      <c r="C36" s="381"/>
      <c r="D36" s="382"/>
      <c r="E36" s="382"/>
      <c r="F36" s="383"/>
      <c r="G36" s="383"/>
      <c r="H36" s="384"/>
      <c r="I36" s="385"/>
      <c r="J36" s="383"/>
      <c r="K36" s="386"/>
    </row>
    <row r="37" spans="1:11" ht="5.0999999999999996" customHeight="1" x14ac:dyDescent="0.25">
      <c r="A37" s="356"/>
      <c r="B37" s="991"/>
      <c r="C37" s="363"/>
      <c r="D37" s="364"/>
      <c r="E37" s="364"/>
      <c r="F37" s="365"/>
      <c r="G37" s="365"/>
      <c r="H37" s="366"/>
      <c r="I37" s="367"/>
      <c r="J37" s="365"/>
      <c r="K37" s="368"/>
    </row>
    <row r="38" spans="1:11" ht="11.25" customHeight="1" x14ac:dyDescent="0.25">
      <c r="A38" s="356" t="s">
        <v>1344</v>
      </c>
      <c r="B38" s="991">
        <v>3</v>
      </c>
      <c r="C38" s="363"/>
      <c r="D38" s="364"/>
      <c r="E38" s="364"/>
      <c r="F38" s="365"/>
      <c r="G38" s="365"/>
      <c r="H38" s="366"/>
      <c r="I38" s="367"/>
      <c r="J38" s="365"/>
      <c r="K38" s="368"/>
    </row>
    <row r="39" spans="1:11" ht="11.25" customHeight="1" x14ac:dyDescent="0.25">
      <c r="A39" s="797" t="s">
        <v>89</v>
      </c>
      <c r="B39" s="994"/>
      <c r="C39" s="369"/>
      <c r="D39" s="370"/>
      <c r="E39" s="370"/>
      <c r="F39" s="387"/>
      <c r="G39" s="387"/>
      <c r="H39" s="388"/>
      <c r="I39" s="389"/>
      <c r="J39" s="387"/>
      <c r="K39" s="390"/>
    </row>
    <row r="40" spans="1:11" ht="11.25" customHeight="1" x14ac:dyDescent="0.25">
      <c r="A40" s="797" t="s">
        <v>90</v>
      </c>
      <c r="B40" s="994"/>
      <c r="C40" s="381"/>
      <c r="D40" s="382"/>
      <c r="E40" s="382"/>
      <c r="F40" s="391"/>
      <c r="G40" s="391"/>
      <c r="H40" s="392"/>
      <c r="I40" s="393"/>
      <c r="J40" s="391"/>
      <c r="K40" s="394"/>
    </row>
    <row r="41" spans="1:11" ht="11.25" customHeight="1" x14ac:dyDescent="0.25">
      <c r="A41" s="395" t="s">
        <v>1063</v>
      </c>
      <c r="B41" s="991"/>
      <c r="C41" s="350">
        <f t="shared" ref="C41:K41" si="1">SUM(C39:C40)</f>
        <v>0</v>
      </c>
      <c r="D41" s="351">
        <f t="shared" si="1"/>
        <v>0</v>
      </c>
      <c r="E41" s="351">
        <f t="shared" si="1"/>
        <v>0</v>
      </c>
      <c r="F41" s="396">
        <f t="shared" si="1"/>
        <v>0</v>
      </c>
      <c r="G41" s="396">
        <f t="shared" si="1"/>
        <v>0</v>
      </c>
      <c r="H41" s="397">
        <f t="shared" si="1"/>
        <v>0</v>
      </c>
      <c r="I41" s="398">
        <f t="shared" si="1"/>
        <v>0</v>
      </c>
      <c r="J41" s="396">
        <f t="shared" si="1"/>
        <v>0</v>
      </c>
      <c r="K41" s="399">
        <f t="shared" si="1"/>
        <v>0</v>
      </c>
    </row>
    <row r="42" spans="1:11" ht="11.25" customHeight="1" x14ac:dyDescent="0.25">
      <c r="A42" s="797" t="s">
        <v>1345</v>
      </c>
      <c r="B42" s="994">
        <v>4</v>
      </c>
      <c r="C42" s="369"/>
      <c r="D42" s="370"/>
      <c r="E42" s="370"/>
      <c r="F42" s="387"/>
      <c r="G42" s="387"/>
      <c r="H42" s="388"/>
      <c r="I42" s="389"/>
      <c r="J42" s="387"/>
      <c r="K42" s="390"/>
    </row>
    <row r="43" spans="1:11" ht="11.25" customHeight="1" x14ac:dyDescent="0.25">
      <c r="A43" s="797" t="s">
        <v>91</v>
      </c>
      <c r="B43" s="994"/>
      <c r="C43" s="369"/>
      <c r="D43" s="370"/>
      <c r="E43" s="370"/>
      <c r="F43" s="387"/>
      <c r="G43" s="387"/>
      <c r="H43" s="388"/>
      <c r="I43" s="389"/>
      <c r="J43" s="387"/>
      <c r="K43" s="390"/>
    </row>
    <row r="44" spans="1:11" ht="11.25" customHeight="1" x14ac:dyDescent="0.25">
      <c r="A44" s="797" t="s">
        <v>1346</v>
      </c>
      <c r="B44" s="994">
        <v>5</v>
      </c>
      <c r="C44" s="369"/>
      <c r="D44" s="370"/>
      <c r="E44" s="370"/>
      <c r="F44" s="387"/>
      <c r="G44" s="387"/>
      <c r="H44" s="388"/>
      <c r="I44" s="389"/>
      <c r="J44" s="387"/>
      <c r="K44" s="390"/>
    </row>
    <row r="45" spans="1:11" ht="11.25" customHeight="1" x14ac:dyDescent="0.25">
      <c r="A45" s="400" t="s">
        <v>92</v>
      </c>
      <c r="B45" s="992"/>
      <c r="C45" s="401">
        <f t="shared" ref="C45:K45" si="2">SUM(C42:C44)</f>
        <v>0</v>
      </c>
      <c r="D45" s="402">
        <f t="shared" si="2"/>
        <v>0</v>
      </c>
      <c r="E45" s="402">
        <f t="shared" si="2"/>
        <v>0</v>
      </c>
      <c r="F45" s="403">
        <f t="shared" si="2"/>
        <v>0</v>
      </c>
      <c r="G45" s="403">
        <f t="shared" si="2"/>
        <v>0</v>
      </c>
      <c r="H45" s="404">
        <f t="shared" si="2"/>
        <v>0</v>
      </c>
      <c r="I45" s="405">
        <f t="shared" si="2"/>
        <v>0</v>
      </c>
      <c r="J45" s="403">
        <f t="shared" si="2"/>
        <v>0</v>
      </c>
      <c r="K45" s="406">
        <f t="shared" si="2"/>
        <v>0</v>
      </c>
    </row>
    <row r="46" spans="1:11" ht="5.0999999999999996" customHeight="1" x14ac:dyDescent="0.25">
      <c r="A46" s="407"/>
      <c r="B46" s="991"/>
      <c r="C46" s="350"/>
      <c r="D46" s="351"/>
      <c r="E46" s="351"/>
      <c r="F46" s="408"/>
      <c r="G46" s="408"/>
      <c r="H46" s="409"/>
      <c r="I46" s="410"/>
      <c r="J46" s="408"/>
      <c r="K46" s="411"/>
    </row>
    <row r="47" spans="1:11" ht="11.25" customHeight="1" x14ac:dyDescent="0.25">
      <c r="A47" s="412" t="s">
        <v>1347</v>
      </c>
      <c r="B47" s="991">
        <v>6</v>
      </c>
      <c r="C47" s="413"/>
      <c r="D47" s="414"/>
      <c r="E47" s="414"/>
      <c r="F47" s="415"/>
      <c r="G47" s="415"/>
      <c r="H47" s="416"/>
      <c r="I47" s="417"/>
      <c r="J47" s="418"/>
      <c r="K47" s="419"/>
    </row>
    <row r="48" spans="1:11" ht="11.25" customHeight="1" x14ac:dyDescent="0.25">
      <c r="A48" s="407" t="s">
        <v>93</v>
      </c>
      <c r="B48" s="994"/>
      <c r="C48" s="420"/>
      <c r="D48" s="421"/>
      <c r="E48" s="421"/>
      <c r="F48" s="422"/>
      <c r="G48" s="422"/>
      <c r="H48" s="423"/>
      <c r="I48" s="424"/>
      <c r="J48" s="422"/>
      <c r="K48" s="425"/>
    </row>
    <row r="49" spans="1:13" ht="11.25" customHeight="1" x14ac:dyDescent="0.25">
      <c r="A49" s="407" t="s">
        <v>94</v>
      </c>
      <c r="B49" s="994"/>
      <c r="C49" s="420"/>
      <c r="D49" s="421"/>
      <c r="E49" s="421"/>
      <c r="F49" s="422"/>
      <c r="G49" s="422"/>
      <c r="H49" s="423"/>
      <c r="I49" s="424"/>
      <c r="J49" s="422"/>
      <c r="K49" s="425"/>
    </row>
    <row r="50" spans="1:13" ht="11.25" customHeight="1" x14ac:dyDescent="0.25">
      <c r="A50" s="407" t="s">
        <v>95</v>
      </c>
      <c r="B50" s="994"/>
      <c r="C50" s="426"/>
      <c r="D50" s="427"/>
      <c r="E50" s="427"/>
      <c r="F50" s="422"/>
      <c r="G50" s="422"/>
      <c r="H50" s="423"/>
      <c r="I50" s="424"/>
      <c r="J50" s="422"/>
      <c r="K50" s="425"/>
    </row>
    <row r="51" spans="1:13" ht="11.25" customHeight="1" x14ac:dyDescent="0.25">
      <c r="A51" s="407" t="s">
        <v>96</v>
      </c>
      <c r="B51" s="994"/>
      <c r="C51" s="420"/>
      <c r="D51" s="421"/>
      <c r="E51" s="421"/>
      <c r="F51" s="428"/>
      <c r="G51" s="428"/>
      <c r="H51" s="429"/>
      <c r="I51" s="430"/>
      <c r="J51" s="428"/>
      <c r="K51" s="431"/>
    </row>
    <row r="52" spans="1:13" ht="11.25" customHeight="1" x14ac:dyDescent="0.25">
      <c r="A52" s="407" t="s">
        <v>97</v>
      </c>
      <c r="B52" s="994"/>
      <c r="C52" s="420"/>
      <c r="D52" s="421"/>
      <c r="E52" s="421"/>
      <c r="F52" s="428"/>
      <c r="G52" s="428"/>
      <c r="H52" s="429"/>
      <c r="I52" s="430"/>
      <c r="J52" s="428"/>
      <c r="K52" s="431"/>
    </row>
    <row r="53" spans="1:13" ht="11.25" customHeight="1" x14ac:dyDescent="0.25">
      <c r="A53" s="407" t="s">
        <v>98</v>
      </c>
      <c r="B53" s="994"/>
      <c r="C53" s="420"/>
      <c r="D53" s="421"/>
      <c r="E53" s="421"/>
      <c r="F53" s="428"/>
      <c r="G53" s="428"/>
      <c r="H53" s="429"/>
      <c r="I53" s="430"/>
      <c r="J53" s="428"/>
      <c r="K53" s="431"/>
    </row>
    <row r="54" spans="1:13" ht="13.5" customHeight="1" x14ac:dyDescent="0.25">
      <c r="A54" s="432"/>
      <c r="B54" s="991"/>
      <c r="C54" s="350"/>
      <c r="D54" s="351"/>
      <c r="E54" s="351"/>
      <c r="F54" s="415"/>
      <c r="G54" s="415"/>
      <c r="H54" s="433"/>
      <c r="I54" s="434"/>
      <c r="J54" s="415"/>
      <c r="K54" s="435"/>
    </row>
    <row r="55" spans="1:13" ht="13.5" customHeight="1" x14ac:dyDescent="0.25">
      <c r="A55" s="412" t="s">
        <v>1348</v>
      </c>
      <c r="B55" s="991">
        <v>7</v>
      </c>
      <c r="C55" s="350"/>
      <c r="D55" s="351"/>
      <c r="E55" s="351"/>
      <c r="F55" s="415"/>
      <c r="G55" s="415"/>
      <c r="H55" s="433"/>
      <c r="I55" s="434"/>
      <c r="J55" s="415"/>
      <c r="K55" s="435"/>
    </row>
    <row r="56" spans="1:13" ht="11.25" customHeight="1" x14ac:dyDescent="0.25">
      <c r="A56" s="407" t="s">
        <v>99</v>
      </c>
      <c r="B56" s="994"/>
      <c r="C56" s="420"/>
      <c r="D56" s="421"/>
      <c r="E56" s="421"/>
      <c r="F56" s="422" t="s">
        <v>100</v>
      </c>
      <c r="G56" s="422" t="s">
        <v>100</v>
      </c>
      <c r="H56" s="423" t="s">
        <v>100</v>
      </c>
      <c r="I56" s="424" t="s">
        <v>100</v>
      </c>
      <c r="J56" s="422" t="s">
        <v>100</v>
      </c>
      <c r="K56" s="425" t="s">
        <v>100</v>
      </c>
    </row>
    <row r="57" spans="1:13" ht="11.25" customHeight="1" x14ac:dyDescent="0.25">
      <c r="A57" s="407" t="s">
        <v>101</v>
      </c>
      <c r="B57" s="994"/>
      <c r="C57" s="420"/>
      <c r="D57" s="421"/>
      <c r="E57" s="421"/>
      <c r="F57" s="422" t="s">
        <v>100</v>
      </c>
      <c r="G57" s="422" t="s">
        <v>100</v>
      </c>
      <c r="H57" s="423" t="s">
        <v>100</v>
      </c>
      <c r="I57" s="424" t="s">
        <v>100</v>
      </c>
      <c r="J57" s="422" t="s">
        <v>100</v>
      </c>
      <c r="K57" s="425" t="s">
        <v>100</v>
      </c>
    </row>
    <row r="58" spans="1:13" ht="11.25" customHeight="1" x14ac:dyDescent="0.25">
      <c r="A58" s="407" t="s">
        <v>102</v>
      </c>
      <c r="B58" s="994"/>
      <c r="C58" s="420"/>
      <c r="D58" s="421"/>
      <c r="E58" s="421"/>
      <c r="F58" s="422" t="s">
        <v>100</v>
      </c>
      <c r="G58" s="422" t="s">
        <v>100</v>
      </c>
      <c r="H58" s="423" t="s">
        <v>100</v>
      </c>
      <c r="I58" s="424" t="s">
        <v>100</v>
      </c>
      <c r="J58" s="422" t="s">
        <v>100</v>
      </c>
      <c r="K58" s="425" t="s">
        <v>100</v>
      </c>
    </row>
    <row r="59" spans="1:13" ht="11.25" customHeight="1" x14ac:dyDescent="0.25">
      <c r="A59" s="407" t="s">
        <v>103</v>
      </c>
      <c r="B59" s="994"/>
      <c r="C59" s="420"/>
      <c r="D59" s="421"/>
      <c r="E59" s="421"/>
      <c r="F59" s="422" t="s">
        <v>100</v>
      </c>
      <c r="G59" s="422" t="s">
        <v>100</v>
      </c>
      <c r="H59" s="423" t="s">
        <v>100</v>
      </c>
      <c r="I59" s="424" t="s">
        <v>100</v>
      </c>
      <c r="J59" s="422" t="s">
        <v>100</v>
      </c>
      <c r="K59" s="425" t="s">
        <v>100</v>
      </c>
    </row>
    <row r="60" spans="1:13" ht="11.25" customHeight="1" x14ac:dyDescent="0.25">
      <c r="A60" s="407" t="s">
        <v>104</v>
      </c>
      <c r="B60" s="994"/>
      <c r="C60" s="420"/>
      <c r="D60" s="421"/>
      <c r="E60" s="421"/>
      <c r="F60" s="422" t="s">
        <v>100</v>
      </c>
      <c r="G60" s="422" t="s">
        <v>100</v>
      </c>
      <c r="H60" s="423" t="s">
        <v>100</v>
      </c>
      <c r="I60" s="424" t="s">
        <v>100</v>
      </c>
      <c r="J60" s="422" t="s">
        <v>100</v>
      </c>
      <c r="K60" s="425" t="s">
        <v>100</v>
      </c>
    </row>
    <row r="61" spans="1:13" ht="5.0999999999999996" customHeight="1" x14ac:dyDescent="0.25">
      <c r="A61" s="436"/>
      <c r="B61" s="996"/>
      <c r="C61" s="437"/>
      <c r="D61" s="438"/>
      <c r="E61" s="438"/>
      <c r="F61" s="439"/>
      <c r="G61" s="439"/>
      <c r="H61" s="440"/>
      <c r="I61" s="441"/>
      <c r="J61" s="442"/>
      <c r="K61" s="443"/>
    </row>
    <row r="62" spans="1:13" s="1082" customFormat="1" ht="18.75" customHeight="1" x14ac:dyDescent="0.3">
      <c r="A62" s="1081" t="s">
        <v>1455</v>
      </c>
      <c r="B62" s="58"/>
      <c r="C62" s="5"/>
      <c r="D62" s="5"/>
      <c r="E62" s="5"/>
      <c r="F62" s="5"/>
      <c r="G62" s="84"/>
      <c r="H62" s="84"/>
      <c r="I62" s="84"/>
      <c r="J62" s="84"/>
      <c r="K62" s="84"/>
      <c r="L62" s="84"/>
      <c r="M62" s="84"/>
    </row>
    <row r="63" spans="1:13" s="1082" customFormat="1" ht="24.95" customHeight="1" x14ac:dyDescent="0.25">
      <c r="A63" s="1460" t="s">
        <v>1444</v>
      </c>
      <c r="B63" s="1083"/>
      <c r="C63" s="1084"/>
      <c r="D63" s="1085"/>
      <c r="E63" s="1086" t="str">
        <f>Head1B</f>
        <v>2017/18</v>
      </c>
      <c r="F63" s="1087" t="str">
        <f>Head1A</f>
        <v>2018/19</v>
      </c>
      <c r="G63" s="1088" t="str">
        <f>Head1</f>
        <v>2019/20</v>
      </c>
      <c r="H63" s="1443" t="str">
        <f>Head2</f>
        <v>Budget Year 2020/21</v>
      </c>
      <c r="I63" s="1444"/>
      <c r="J63" s="1461"/>
      <c r="K63" s="1443" t="str">
        <f>Head3</f>
        <v>2020/21 Medium Term Revenue &amp; Expenditure Framework</v>
      </c>
      <c r="L63" s="1444"/>
      <c r="M63" s="1461"/>
    </row>
    <row r="64" spans="1:13" s="1082" customFormat="1" ht="24.95" customHeight="1" x14ac:dyDescent="0.25">
      <c r="A64" s="1460"/>
      <c r="B64" s="1089" t="s">
        <v>1342</v>
      </c>
      <c r="C64" s="1090"/>
      <c r="D64" s="1091"/>
      <c r="E64" s="1092" t="str">
        <f>Head5A</f>
        <v>Outcome</v>
      </c>
      <c r="F64" s="1093" t="str">
        <f>Head5A</f>
        <v>Outcome</v>
      </c>
      <c r="G64" s="1094" t="str">
        <f>Head5A</f>
        <v>Outcome</v>
      </c>
      <c r="H64" s="1095" t="str">
        <f>Head6</f>
        <v>Original Budget</v>
      </c>
      <c r="I64" s="1093" t="str">
        <f>Head7</f>
        <v>Adjusted Budget</v>
      </c>
      <c r="J64" s="1094" t="str">
        <f>Head8</f>
        <v>Full Year Forecast</v>
      </c>
      <c r="K64" s="1095" t="str">
        <f>Head9</f>
        <v>Budget Year 2020/21</v>
      </c>
      <c r="L64" s="1093" t="str">
        <f>Head10</f>
        <v>Budget Year +1 2021/22</v>
      </c>
      <c r="M64" s="1094" t="str">
        <f>Head11</f>
        <v>Budget Year +2 2022/23</v>
      </c>
    </row>
    <row r="65" spans="1:13" s="1082" customFormat="1" ht="11.25" customHeight="1" x14ac:dyDescent="0.25">
      <c r="A65" s="5"/>
      <c r="B65" s="135"/>
      <c r="C65" s="1096" t="s">
        <v>1445</v>
      </c>
      <c r="D65" s="1097"/>
      <c r="E65" s="1098"/>
      <c r="F65" s="1099"/>
      <c r="G65" s="1100"/>
      <c r="H65" s="1101"/>
      <c r="I65" s="1102"/>
      <c r="J65" s="1103"/>
      <c r="K65" s="1104"/>
      <c r="L65" s="1102"/>
      <c r="M65" s="1105"/>
    </row>
    <row r="66" spans="1:13" s="1082" customFormat="1" ht="11.25" customHeight="1" x14ac:dyDescent="0.25">
      <c r="A66" s="5"/>
      <c r="B66" s="135"/>
      <c r="C66" s="1106" t="s">
        <v>600</v>
      </c>
      <c r="D66" s="1107"/>
      <c r="E66" s="704"/>
      <c r="F66" s="255"/>
      <c r="G66" s="1108"/>
      <c r="H66" s="1109"/>
      <c r="I66" s="130"/>
      <c r="J66" s="884"/>
      <c r="K66" s="1110"/>
      <c r="L66" s="130"/>
      <c r="M66" s="1111"/>
    </row>
    <row r="67" spans="1:13" s="5" customFormat="1" ht="11.25" customHeight="1" x14ac:dyDescent="0.25">
      <c r="B67" s="135"/>
      <c r="C67" s="1112" t="s">
        <v>1055</v>
      </c>
      <c r="D67" s="1107"/>
      <c r="E67" s="1113"/>
      <c r="F67" s="1114"/>
      <c r="G67" s="1115"/>
      <c r="H67" s="1116"/>
      <c r="I67" s="1114"/>
      <c r="J67" s="1117"/>
      <c r="K67" s="1113"/>
      <c r="L67" s="1114"/>
      <c r="M67" s="1115"/>
    </row>
    <row r="68" spans="1:13" s="5" customFormat="1" ht="11.25" customHeight="1" x14ac:dyDescent="0.25">
      <c r="B68" s="135"/>
      <c r="C68" s="1112" t="s">
        <v>1056</v>
      </c>
      <c r="D68" s="1107"/>
      <c r="E68" s="1113"/>
      <c r="F68" s="1114"/>
      <c r="G68" s="1115"/>
      <c r="H68" s="1116"/>
      <c r="I68" s="1114"/>
      <c r="J68" s="1117"/>
      <c r="K68" s="1113"/>
      <c r="L68" s="1114"/>
      <c r="M68" s="1115"/>
    </row>
    <row r="69" spans="1:13" s="5" customFormat="1" ht="11.25" customHeight="1" x14ac:dyDescent="0.25">
      <c r="B69" s="1118">
        <v>8</v>
      </c>
      <c r="C69" s="1112" t="s">
        <v>1057</v>
      </c>
      <c r="D69" s="1107"/>
      <c r="E69" s="1113"/>
      <c r="F69" s="1114"/>
      <c r="G69" s="1115"/>
      <c r="H69" s="1116"/>
      <c r="I69" s="1114"/>
      <c r="J69" s="1117"/>
      <c r="K69" s="1113"/>
      <c r="L69" s="1114"/>
      <c r="M69" s="1115"/>
    </row>
    <row r="70" spans="1:13" s="5" customFormat="1" ht="11.25" customHeight="1" x14ac:dyDescent="0.25">
      <c r="B70" s="1118">
        <v>10</v>
      </c>
      <c r="C70" s="1112" t="s">
        <v>1058</v>
      </c>
      <c r="D70" s="1107"/>
      <c r="E70" s="1113"/>
      <c r="F70" s="1114"/>
      <c r="G70" s="1115"/>
      <c r="H70" s="1116"/>
      <c r="I70" s="1114"/>
      <c r="J70" s="1117"/>
      <c r="K70" s="1113"/>
      <c r="L70" s="1114"/>
      <c r="M70" s="1115"/>
    </row>
    <row r="71" spans="1:13" s="5" customFormat="1" ht="11.25" customHeight="1" x14ac:dyDescent="0.25">
      <c r="B71" s="1118"/>
      <c r="C71" s="1158" t="s">
        <v>1119</v>
      </c>
      <c r="D71" s="1107"/>
      <c r="E71" s="1119">
        <f>SUM(E67:E70)</f>
        <v>0</v>
      </c>
      <c r="F71" s="701">
        <f t="shared" ref="F71:M71" si="3">SUM(F67:F70)</f>
        <v>0</v>
      </c>
      <c r="G71" s="1120">
        <f t="shared" si="3"/>
        <v>0</v>
      </c>
      <c r="H71" s="1121">
        <f t="shared" si="3"/>
        <v>0</v>
      </c>
      <c r="I71" s="701">
        <f t="shared" si="3"/>
        <v>0</v>
      </c>
      <c r="J71" s="1122">
        <f t="shared" si="3"/>
        <v>0</v>
      </c>
      <c r="K71" s="1119">
        <f t="shared" si="3"/>
        <v>0</v>
      </c>
      <c r="L71" s="701">
        <f t="shared" si="3"/>
        <v>0</v>
      </c>
      <c r="M71" s="1120">
        <f t="shared" si="3"/>
        <v>0</v>
      </c>
    </row>
    <row r="72" spans="1:13" s="5" customFormat="1" ht="11.25" customHeight="1" x14ac:dyDescent="0.25">
      <c r="B72" s="1118">
        <v>9</v>
      </c>
      <c r="C72" s="1112" t="s">
        <v>1059</v>
      </c>
      <c r="D72" s="1107"/>
      <c r="E72" s="1113"/>
      <c r="F72" s="1114"/>
      <c r="G72" s="1115"/>
      <c r="H72" s="1116"/>
      <c r="I72" s="1114"/>
      <c r="J72" s="1117"/>
      <c r="K72" s="1113"/>
      <c r="L72" s="1114"/>
      <c r="M72" s="1115"/>
    </row>
    <row r="73" spans="1:13" s="5" customFormat="1" ht="11.25" customHeight="1" x14ac:dyDescent="0.25">
      <c r="B73" s="1118">
        <v>10</v>
      </c>
      <c r="C73" s="1112" t="s">
        <v>1060</v>
      </c>
      <c r="D73" s="1107"/>
      <c r="E73" s="1113"/>
      <c r="F73" s="1114"/>
      <c r="G73" s="1115"/>
      <c r="H73" s="1116"/>
      <c r="I73" s="1114"/>
      <c r="J73" s="1117"/>
      <c r="K73" s="1113"/>
      <c r="L73" s="1114"/>
      <c r="M73" s="1115"/>
    </row>
    <row r="74" spans="1:13" s="5" customFormat="1" ht="11.25" customHeight="1" x14ac:dyDescent="0.25">
      <c r="B74" s="135"/>
      <c r="C74" s="1112" t="s">
        <v>1062</v>
      </c>
      <c r="D74" s="1107"/>
      <c r="E74" s="1113"/>
      <c r="F74" s="1114"/>
      <c r="G74" s="1115"/>
      <c r="H74" s="1116"/>
      <c r="I74" s="1114"/>
      <c r="J74" s="1117"/>
      <c r="K74" s="1113"/>
      <c r="L74" s="1114"/>
      <c r="M74" s="1115"/>
    </row>
    <row r="75" spans="1:13" s="5" customFormat="1" ht="11.25" customHeight="1" x14ac:dyDescent="0.25">
      <c r="B75" s="135"/>
      <c r="C75" s="1158" t="s">
        <v>1446</v>
      </c>
      <c r="D75" s="1107"/>
      <c r="E75" s="1123">
        <f>SUM(E72:E74)</f>
        <v>0</v>
      </c>
      <c r="F75" s="889">
        <f t="shared" ref="F75:M75" si="4">SUM(F72:F74)</f>
        <v>0</v>
      </c>
      <c r="G75" s="1124">
        <f t="shared" si="4"/>
        <v>0</v>
      </c>
      <c r="H75" s="1125">
        <f t="shared" si="4"/>
        <v>0</v>
      </c>
      <c r="I75" s="889">
        <f t="shared" si="4"/>
        <v>0</v>
      </c>
      <c r="J75" s="1126">
        <f t="shared" si="4"/>
        <v>0</v>
      </c>
      <c r="K75" s="1123">
        <f t="shared" si="4"/>
        <v>0</v>
      </c>
      <c r="L75" s="889">
        <f t="shared" si="4"/>
        <v>0</v>
      </c>
      <c r="M75" s="1124">
        <f t="shared" si="4"/>
        <v>0</v>
      </c>
    </row>
    <row r="76" spans="1:13" s="5" customFormat="1" ht="11.25" customHeight="1" x14ac:dyDescent="0.25">
      <c r="B76" s="135"/>
      <c r="C76" s="1127" t="s">
        <v>1063</v>
      </c>
      <c r="D76" s="1107"/>
      <c r="E76" s="1128">
        <f>E71+E75</f>
        <v>0</v>
      </c>
      <c r="F76" s="891">
        <f t="shared" ref="F76:M76" si="5">F71+F75</f>
        <v>0</v>
      </c>
      <c r="G76" s="1129">
        <f t="shared" si="5"/>
        <v>0</v>
      </c>
      <c r="H76" s="1130">
        <f t="shared" si="5"/>
        <v>0</v>
      </c>
      <c r="I76" s="891">
        <f t="shared" si="5"/>
        <v>0</v>
      </c>
      <c r="J76" s="1131">
        <f t="shared" si="5"/>
        <v>0</v>
      </c>
      <c r="K76" s="1128">
        <f t="shared" si="5"/>
        <v>0</v>
      </c>
      <c r="L76" s="891">
        <f t="shared" si="5"/>
        <v>0</v>
      </c>
      <c r="M76" s="1129">
        <f t="shared" si="5"/>
        <v>0</v>
      </c>
    </row>
    <row r="77" spans="1:13" s="5" customFormat="1" ht="11.25" customHeight="1" x14ac:dyDescent="0.25">
      <c r="B77" s="135"/>
      <c r="C77" s="1106" t="s">
        <v>601</v>
      </c>
      <c r="D77" s="1107"/>
      <c r="E77" s="1132"/>
      <c r="F77" s="887"/>
      <c r="G77" s="1133"/>
      <c r="H77" s="1134"/>
      <c r="I77" s="887"/>
      <c r="J77" s="1133"/>
      <c r="K77" s="1132"/>
      <c r="L77" s="887"/>
      <c r="M77" s="1135"/>
    </row>
    <row r="78" spans="1:13" s="5" customFormat="1" ht="11.25" customHeight="1" x14ac:dyDescent="0.25">
      <c r="B78" s="135"/>
      <c r="C78" s="1112" t="s">
        <v>1064</v>
      </c>
      <c r="D78" s="1107"/>
      <c r="E78" s="1113"/>
      <c r="F78" s="1114"/>
      <c r="G78" s="1115"/>
      <c r="H78" s="1116"/>
      <c r="I78" s="1114"/>
      <c r="J78" s="1117"/>
      <c r="K78" s="1113"/>
      <c r="L78" s="1114"/>
      <c r="M78" s="1115"/>
    </row>
    <row r="79" spans="1:13" s="5" customFormat="1" ht="11.25" customHeight="1" x14ac:dyDescent="0.25">
      <c r="B79" s="135"/>
      <c r="C79" s="1112" t="s">
        <v>1065</v>
      </c>
      <c r="D79" s="1107"/>
      <c r="E79" s="1113"/>
      <c r="F79" s="1114"/>
      <c r="G79" s="1115"/>
      <c r="H79" s="1116"/>
      <c r="I79" s="1114"/>
      <c r="J79" s="1117"/>
      <c r="K79" s="1113"/>
      <c r="L79" s="1114"/>
      <c r="M79" s="1115"/>
    </row>
    <row r="80" spans="1:13" s="5" customFormat="1" ht="11.25" customHeight="1" x14ac:dyDescent="0.25">
      <c r="B80" s="135"/>
      <c r="C80" s="1112" t="s">
        <v>1066</v>
      </c>
      <c r="D80" s="1107"/>
      <c r="E80" s="1113"/>
      <c r="F80" s="1114"/>
      <c r="G80" s="1115"/>
      <c r="H80" s="1116"/>
      <c r="I80" s="1114"/>
      <c r="J80" s="1117"/>
      <c r="K80" s="1113"/>
      <c r="L80" s="1114"/>
      <c r="M80" s="1115"/>
    </row>
    <row r="81" spans="2:13" s="5" customFormat="1" ht="11.25" customHeight="1" x14ac:dyDescent="0.25">
      <c r="B81" s="135"/>
      <c r="C81" s="1112" t="s">
        <v>296</v>
      </c>
      <c r="D81" s="1107"/>
      <c r="E81" s="1113"/>
      <c r="F81" s="1114"/>
      <c r="G81" s="1115"/>
      <c r="H81" s="1116"/>
      <c r="I81" s="1114"/>
      <c r="J81" s="1117"/>
      <c r="K81" s="1113"/>
      <c r="L81" s="1114"/>
      <c r="M81" s="1115"/>
    </row>
    <row r="82" spans="2:13" s="5" customFormat="1" ht="11.25" customHeight="1" x14ac:dyDescent="0.25">
      <c r="B82" s="135"/>
      <c r="C82" s="1112" t="s">
        <v>298</v>
      </c>
      <c r="D82" s="1107"/>
      <c r="E82" s="1113"/>
      <c r="F82" s="1114"/>
      <c r="G82" s="1115"/>
      <c r="H82" s="1116"/>
      <c r="I82" s="1114"/>
      <c r="J82" s="1117"/>
      <c r="K82" s="1113"/>
      <c r="L82" s="1114"/>
      <c r="M82" s="1115"/>
    </row>
    <row r="83" spans="2:13" s="5" customFormat="1" ht="11.25" customHeight="1" x14ac:dyDescent="0.25">
      <c r="B83" s="135"/>
      <c r="C83" s="1158" t="s">
        <v>1119</v>
      </c>
      <c r="D83" s="1107"/>
      <c r="E83" s="1119">
        <f>SUM(E78:E82)</f>
        <v>0</v>
      </c>
      <c r="F83" s="701">
        <f t="shared" ref="F83:M83" si="6">SUM(F78:F82)</f>
        <v>0</v>
      </c>
      <c r="G83" s="1120">
        <f t="shared" si="6"/>
        <v>0</v>
      </c>
      <c r="H83" s="1121">
        <f t="shared" si="6"/>
        <v>0</v>
      </c>
      <c r="I83" s="701">
        <f t="shared" si="6"/>
        <v>0</v>
      </c>
      <c r="J83" s="1122">
        <f t="shared" si="6"/>
        <v>0</v>
      </c>
      <c r="K83" s="1119">
        <f t="shared" si="6"/>
        <v>0</v>
      </c>
      <c r="L83" s="701">
        <f t="shared" si="6"/>
        <v>0</v>
      </c>
      <c r="M83" s="1120">
        <f t="shared" si="6"/>
        <v>0</v>
      </c>
    </row>
    <row r="84" spans="2:13" s="5" customFormat="1" ht="11.25" customHeight="1" x14ac:dyDescent="0.25">
      <c r="B84" s="135"/>
      <c r="C84" s="1112" t="s">
        <v>297</v>
      </c>
      <c r="D84" s="1107"/>
      <c r="E84" s="1113"/>
      <c r="F84" s="1114"/>
      <c r="G84" s="1115"/>
      <c r="H84" s="1116"/>
      <c r="I84" s="1114"/>
      <c r="J84" s="1117"/>
      <c r="K84" s="1113"/>
      <c r="L84" s="1114"/>
      <c r="M84" s="1115"/>
    </row>
    <row r="85" spans="2:13" s="5" customFormat="1" ht="11.25" customHeight="1" x14ac:dyDescent="0.25">
      <c r="B85" s="135"/>
      <c r="C85" s="1112" t="s">
        <v>299</v>
      </c>
      <c r="D85" s="1107"/>
      <c r="E85" s="1113"/>
      <c r="F85" s="1114"/>
      <c r="G85" s="1115"/>
      <c r="H85" s="1116"/>
      <c r="I85" s="1114"/>
      <c r="J85" s="1117"/>
      <c r="K85" s="1113"/>
      <c r="L85" s="1114"/>
      <c r="M85" s="1115"/>
    </row>
    <row r="86" spans="2:13" s="5" customFormat="1" ht="11.25" customHeight="1" x14ac:dyDescent="0.25">
      <c r="B86" s="135"/>
      <c r="C86" s="1112" t="s">
        <v>1067</v>
      </c>
      <c r="D86" s="1107"/>
      <c r="E86" s="1113"/>
      <c r="F86" s="1114"/>
      <c r="G86" s="1115"/>
      <c r="H86" s="1116"/>
      <c r="I86" s="1114"/>
      <c r="J86" s="1117"/>
      <c r="K86" s="1113"/>
      <c r="L86" s="1114"/>
      <c r="M86" s="1115"/>
    </row>
    <row r="87" spans="2:13" s="5" customFormat="1" ht="11.25" customHeight="1" x14ac:dyDescent="0.25">
      <c r="B87" s="135"/>
      <c r="C87" s="1158" t="s">
        <v>1446</v>
      </c>
      <c r="D87" s="1107"/>
      <c r="E87" s="1123">
        <f>SUM(E84:E86)</f>
        <v>0</v>
      </c>
      <c r="F87" s="889">
        <f t="shared" ref="F87:M87" si="7">SUM(F84:F86)</f>
        <v>0</v>
      </c>
      <c r="G87" s="1124">
        <f t="shared" si="7"/>
        <v>0</v>
      </c>
      <c r="H87" s="1125">
        <f t="shared" si="7"/>
        <v>0</v>
      </c>
      <c r="I87" s="889">
        <f t="shared" si="7"/>
        <v>0</v>
      </c>
      <c r="J87" s="1126">
        <f t="shared" si="7"/>
        <v>0</v>
      </c>
      <c r="K87" s="1123">
        <f t="shared" si="7"/>
        <v>0</v>
      </c>
      <c r="L87" s="889">
        <f t="shared" si="7"/>
        <v>0</v>
      </c>
      <c r="M87" s="1124">
        <f t="shared" si="7"/>
        <v>0</v>
      </c>
    </row>
    <row r="88" spans="2:13" s="5" customFormat="1" ht="11.25" customHeight="1" x14ac:dyDescent="0.25">
      <c r="B88" s="135"/>
      <c r="C88" s="1127" t="s">
        <v>1063</v>
      </c>
      <c r="D88" s="1107"/>
      <c r="E88" s="1128">
        <f>E83+E87</f>
        <v>0</v>
      </c>
      <c r="F88" s="891">
        <f t="shared" ref="F88:M88" si="8">F83+F87</f>
        <v>0</v>
      </c>
      <c r="G88" s="1129">
        <f t="shared" si="8"/>
        <v>0</v>
      </c>
      <c r="H88" s="1130">
        <f t="shared" si="8"/>
        <v>0</v>
      </c>
      <c r="I88" s="891">
        <f t="shared" si="8"/>
        <v>0</v>
      </c>
      <c r="J88" s="1131">
        <f t="shared" si="8"/>
        <v>0</v>
      </c>
      <c r="K88" s="1128">
        <f t="shared" si="8"/>
        <v>0</v>
      </c>
      <c r="L88" s="891">
        <f t="shared" si="8"/>
        <v>0</v>
      </c>
      <c r="M88" s="1129">
        <f t="shared" si="8"/>
        <v>0</v>
      </c>
    </row>
    <row r="89" spans="2:13" s="5" customFormat="1" ht="11.25" customHeight="1" x14ac:dyDescent="0.25">
      <c r="B89" s="135"/>
      <c r="C89" s="1106" t="s">
        <v>602</v>
      </c>
      <c r="D89" s="1107"/>
      <c r="E89" s="1132"/>
      <c r="F89" s="887"/>
      <c r="G89" s="1133"/>
      <c r="H89" s="1134"/>
      <c r="I89" s="887"/>
      <c r="J89" s="1133"/>
      <c r="K89" s="1132"/>
      <c r="L89" s="887"/>
      <c r="M89" s="1135"/>
    </row>
    <row r="90" spans="2:13" s="5" customFormat="1" ht="11.25" customHeight="1" x14ac:dyDescent="0.25">
      <c r="B90" s="135"/>
      <c r="C90" s="1112" t="s">
        <v>1447</v>
      </c>
      <c r="D90" s="1107"/>
      <c r="E90" s="1113"/>
      <c r="F90" s="1114"/>
      <c r="G90" s="1115"/>
      <c r="H90" s="1116"/>
      <c r="I90" s="1114"/>
      <c r="J90" s="1117"/>
      <c r="K90" s="1113"/>
      <c r="L90" s="1114"/>
      <c r="M90" s="1115"/>
    </row>
    <row r="91" spans="2:13" s="5" customFormat="1" ht="11.25" customHeight="1" x14ac:dyDescent="0.25">
      <c r="B91" s="135"/>
      <c r="C91" s="1112" t="s">
        <v>1448</v>
      </c>
      <c r="D91" s="1107"/>
      <c r="E91" s="1113"/>
      <c r="F91" s="1114"/>
      <c r="G91" s="1115"/>
      <c r="H91" s="1116"/>
      <c r="I91" s="1114"/>
      <c r="J91" s="1117"/>
      <c r="K91" s="1113"/>
      <c r="L91" s="1114"/>
      <c r="M91" s="1115"/>
    </row>
    <row r="92" spans="2:13" s="5" customFormat="1" ht="11.25" customHeight="1" x14ac:dyDescent="0.25">
      <c r="B92" s="135"/>
      <c r="C92" s="1158" t="s">
        <v>1119</v>
      </c>
      <c r="D92" s="1107"/>
      <c r="E92" s="1119">
        <f>SUM(E90:E91)</f>
        <v>0</v>
      </c>
      <c r="F92" s="701">
        <f t="shared" ref="F92:M92" si="9">SUM(F90:F91)</f>
        <v>0</v>
      </c>
      <c r="G92" s="1120">
        <f t="shared" si="9"/>
        <v>0</v>
      </c>
      <c r="H92" s="1121">
        <f t="shared" si="9"/>
        <v>0</v>
      </c>
      <c r="I92" s="701">
        <f t="shared" si="9"/>
        <v>0</v>
      </c>
      <c r="J92" s="1122">
        <f t="shared" si="9"/>
        <v>0</v>
      </c>
      <c r="K92" s="1119">
        <f t="shared" si="9"/>
        <v>0</v>
      </c>
      <c r="L92" s="701">
        <f t="shared" si="9"/>
        <v>0</v>
      </c>
      <c r="M92" s="1120">
        <f t="shared" si="9"/>
        <v>0</v>
      </c>
    </row>
    <row r="93" spans="2:13" s="5" customFormat="1" ht="11.25" customHeight="1" x14ac:dyDescent="0.25">
      <c r="B93" s="135"/>
      <c r="C93" s="1112" t="s">
        <v>1068</v>
      </c>
      <c r="D93" s="1107"/>
      <c r="E93" s="1113"/>
      <c r="F93" s="1114"/>
      <c r="G93" s="1115"/>
      <c r="H93" s="1116"/>
      <c r="I93" s="1114"/>
      <c r="J93" s="1117"/>
      <c r="K93" s="1113"/>
      <c r="L93" s="1114"/>
      <c r="M93" s="1115"/>
    </row>
    <row r="94" spans="2:13" s="5" customFormat="1" ht="11.25" customHeight="1" x14ac:dyDescent="0.25">
      <c r="B94" s="135"/>
      <c r="C94" s="1112" t="s">
        <v>1069</v>
      </c>
      <c r="D94" s="1107"/>
      <c r="E94" s="1113"/>
      <c r="F94" s="1114"/>
      <c r="G94" s="1115"/>
      <c r="H94" s="1116"/>
      <c r="I94" s="1114"/>
      <c r="J94" s="1117"/>
      <c r="K94" s="1113"/>
      <c r="L94" s="1114"/>
      <c r="M94" s="1115"/>
    </row>
    <row r="95" spans="2:13" s="5" customFormat="1" ht="11.25" customHeight="1" x14ac:dyDescent="0.25">
      <c r="B95" s="135"/>
      <c r="C95" s="1112" t="s">
        <v>1070</v>
      </c>
      <c r="D95" s="1107"/>
      <c r="E95" s="1113"/>
      <c r="F95" s="1114"/>
      <c r="G95" s="1115"/>
      <c r="H95" s="1116"/>
      <c r="I95" s="1114"/>
      <c r="J95" s="1117"/>
      <c r="K95" s="1113"/>
      <c r="L95" s="1114"/>
      <c r="M95" s="1115"/>
    </row>
    <row r="96" spans="2:13" s="5" customFormat="1" ht="11.25" customHeight="1" x14ac:dyDescent="0.25">
      <c r="B96" s="135"/>
      <c r="C96" s="1158" t="s">
        <v>1446</v>
      </c>
      <c r="D96" s="1107"/>
      <c r="E96" s="1123">
        <f>SUM(E93:E95)</f>
        <v>0</v>
      </c>
      <c r="F96" s="889">
        <f t="shared" ref="F96:M96" si="10">SUM(F93:F95)</f>
        <v>0</v>
      </c>
      <c r="G96" s="1124">
        <f t="shared" si="10"/>
        <v>0</v>
      </c>
      <c r="H96" s="1125">
        <f t="shared" si="10"/>
        <v>0</v>
      </c>
      <c r="I96" s="889">
        <f t="shared" si="10"/>
        <v>0</v>
      </c>
      <c r="J96" s="1126">
        <f t="shared" si="10"/>
        <v>0</v>
      </c>
      <c r="K96" s="1123">
        <f t="shared" si="10"/>
        <v>0</v>
      </c>
      <c r="L96" s="889">
        <f t="shared" si="10"/>
        <v>0</v>
      </c>
      <c r="M96" s="1124">
        <f t="shared" si="10"/>
        <v>0</v>
      </c>
    </row>
    <row r="97" spans="1:13" s="5" customFormat="1" ht="11.25" customHeight="1" x14ac:dyDescent="0.25">
      <c r="B97" s="135"/>
      <c r="C97" s="1127" t="s">
        <v>1063</v>
      </c>
      <c r="D97" s="1107"/>
      <c r="E97" s="1128">
        <f>E92+E96</f>
        <v>0</v>
      </c>
      <c r="F97" s="891">
        <f t="shared" ref="F97:M97" si="11">F92+F96</f>
        <v>0</v>
      </c>
      <c r="G97" s="1129">
        <f t="shared" si="11"/>
        <v>0</v>
      </c>
      <c r="H97" s="1130">
        <f t="shared" si="11"/>
        <v>0</v>
      </c>
      <c r="I97" s="891">
        <f t="shared" si="11"/>
        <v>0</v>
      </c>
      <c r="J97" s="1131">
        <f t="shared" si="11"/>
        <v>0</v>
      </c>
      <c r="K97" s="1128">
        <f t="shared" si="11"/>
        <v>0</v>
      </c>
      <c r="L97" s="891">
        <f t="shared" si="11"/>
        <v>0</v>
      </c>
      <c r="M97" s="1129">
        <f t="shared" si="11"/>
        <v>0</v>
      </c>
    </row>
    <row r="98" spans="1:13" s="5" customFormat="1" ht="11.25" customHeight="1" x14ac:dyDescent="0.25">
      <c r="B98" s="135"/>
      <c r="C98" s="1106" t="s">
        <v>603</v>
      </c>
      <c r="D98" s="1107"/>
      <c r="E98" s="1132"/>
      <c r="F98" s="887"/>
      <c r="G98" s="1133"/>
      <c r="H98" s="1134"/>
      <c r="I98" s="887"/>
      <c r="J98" s="1133"/>
      <c r="K98" s="1132"/>
      <c r="L98" s="887"/>
      <c r="M98" s="1135"/>
    </row>
    <row r="99" spans="1:13" s="5" customFormat="1" ht="11.25" customHeight="1" x14ac:dyDescent="0.25">
      <c r="B99" s="135"/>
      <c r="C99" s="1112" t="s">
        <v>1449</v>
      </c>
      <c r="D99" s="1107"/>
      <c r="E99" s="1136"/>
      <c r="F99" s="1137"/>
      <c r="G99" s="1138"/>
      <c r="H99" s="1139"/>
      <c r="I99" s="1137"/>
      <c r="J99" s="1140"/>
      <c r="K99" s="1136"/>
      <c r="L99" s="1137"/>
      <c r="M99" s="1138"/>
    </row>
    <row r="100" spans="1:13" s="5" customFormat="1" ht="11.25" customHeight="1" x14ac:dyDescent="0.25">
      <c r="B100" s="135"/>
      <c r="C100" s="1158" t="s">
        <v>1119</v>
      </c>
      <c r="D100" s="1107"/>
      <c r="E100" s="1132">
        <f>SUM(E99)</f>
        <v>0</v>
      </c>
      <c r="F100" s="887">
        <f t="shared" ref="F100:M100" si="12">SUM(F99)</f>
        <v>0</v>
      </c>
      <c r="G100" s="1135">
        <f t="shared" si="12"/>
        <v>0</v>
      </c>
      <c r="H100" s="1134">
        <f t="shared" si="12"/>
        <v>0</v>
      </c>
      <c r="I100" s="887">
        <f t="shared" si="12"/>
        <v>0</v>
      </c>
      <c r="J100" s="1133">
        <f t="shared" si="12"/>
        <v>0</v>
      </c>
      <c r="K100" s="1132">
        <f t="shared" si="12"/>
        <v>0</v>
      </c>
      <c r="L100" s="887">
        <f t="shared" si="12"/>
        <v>0</v>
      </c>
      <c r="M100" s="1135">
        <f t="shared" si="12"/>
        <v>0</v>
      </c>
    </row>
    <row r="101" spans="1:13" s="5" customFormat="1" ht="11.25" customHeight="1" x14ac:dyDescent="0.25">
      <c r="B101" s="135"/>
      <c r="C101" s="1112" t="s">
        <v>1072</v>
      </c>
      <c r="D101" s="1107"/>
      <c r="E101" s="1113"/>
      <c r="F101" s="1114"/>
      <c r="G101" s="1115"/>
      <c r="H101" s="1116"/>
      <c r="I101" s="1114"/>
      <c r="J101" s="1117"/>
      <c r="K101" s="1113"/>
      <c r="L101" s="1114"/>
      <c r="M101" s="1115"/>
    </row>
    <row r="102" spans="1:13" s="5" customFormat="1" ht="11.25" customHeight="1" x14ac:dyDescent="0.25">
      <c r="B102" s="135"/>
      <c r="C102" s="1112" t="s">
        <v>1073</v>
      </c>
      <c r="D102" s="1107"/>
      <c r="E102" s="1113"/>
      <c r="F102" s="1114"/>
      <c r="G102" s="1115"/>
      <c r="H102" s="1116"/>
      <c r="I102" s="1114"/>
      <c r="J102" s="1117"/>
      <c r="K102" s="1113"/>
      <c r="L102" s="1114"/>
      <c r="M102" s="1115"/>
    </row>
    <row r="103" spans="1:13" s="5" customFormat="1" ht="11.25" customHeight="1" x14ac:dyDescent="0.25">
      <c r="B103" s="135"/>
      <c r="C103" s="1112" t="s">
        <v>1074</v>
      </c>
      <c r="D103" s="1107"/>
      <c r="E103" s="1113"/>
      <c r="F103" s="1114"/>
      <c r="G103" s="1115"/>
      <c r="H103" s="1116"/>
      <c r="I103" s="1114"/>
      <c r="J103" s="1117"/>
      <c r="K103" s="1113"/>
      <c r="L103" s="1114"/>
      <c r="M103" s="1115"/>
    </row>
    <row r="104" spans="1:13" s="5" customFormat="1" ht="11.25" customHeight="1" x14ac:dyDescent="0.25">
      <c r="B104" s="135"/>
      <c r="C104" s="1112" t="s">
        <v>1075</v>
      </c>
      <c r="D104" s="1107"/>
      <c r="E104" s="1113"/>
      <c r="F104" s="1114"/>
      <c r="G104" s="1115"/>
      <c r="H104" s="1116"/>
      <c r="I104" s="1114"/>
      <c r="J104" s="1117"/>
      <c r="K104" s="1113"/>
      <c r="L104" s="1114"/>
      <c r="M104" s="1115"/>
    </row>
    <row r="105" spans="1:13" s="5" customFormat="1" ht="11.25" customHeight="1" x14ac:dyDescent="0.25">
      <c r="B105" s="135"/>
      <c r="C105" s="1112" t="s">
        <v>1076</v>
      </c>
      <c r="D105" s="1107"/>
      <c r="E105" s="1113"/>
      <c r="F105" s="1114"/>
      <c r="G105" s="1115"/>
      <c r="H105" s="1116"/>
      <c r="I105" s="1114"/>
      <c r="J105" s="1117"/>
      <c r="K105" s="1113"/>
      <c r="L105" s="1114"/>
      <c r="M105" s="1115"/>
    </row>
    <row r="106" spans="1:13" s="5" customFormat="1" ht="11.25" customHeight="1" x14ac:dyDescent="0.25">
      <c r="B106" s="135"/>
      <c r="C106" s="1158" t="s">
        <v>1446</v>
      </c>
      <c r="D106" s="1107"/>
      <c r="E106" s="1123">
        <f t="shared" ref="E106:M106" si="13">SUM(E101:E105)</f>
        <v>0</v>
      </c>
      <c r="F106" s="889">
        <f t="shared" si="13"/>
        <v>0</v>
      </c>
      <c r="G106" s="1124">
        <f t="shared" si="13"/>
        <v>0</v>
      </c>
      <c r="H106" s="1125">
        <f t="shared" si="13"/>
        <v>0</v>
      </c>
      <c r="I106" s="889">
        <f t="shared" si="13"/>
        <v>0</v>
      </c>
      <c r="J106" s="1126">
        <f t="shared" si="13"/>
        <v>0</v>
      </c>
      <c r="K106" s="1123">
        <f t="shared" si="13"/>
        <v>0</v>
      </c>
      <c r="L106" s="889">
        <f t="shared" si="13"/>
        <v>0</v>
      </c>
      <c r="M106" s="1124">
        <f t="shared" si="13"/>
        <v>0</v>
      </c>
    </row>
    <row r="107" spans="1:13" s="5" customFormat="1" ht="11.25" customHeight="1" x14ac:dyDescent="0.25">
      <c r="B107" s="135"/>
      <c r="C107" s="1127" t="s">
        <v>1063</v>
      </c>
      <c r="D107" s="1107"/>
      <c r="E107" s="1128">
        <f>E100+E106</f>
        <v>0</v>
      </c>
      <c r="F107" s="891">
        <f t="shared" ref="F107:M107" si="14">F100+F106</f>
        <v>0</v>
      </c>
      <c r="G107" s="1129">
        <f t="shared" si="14"/>
        <v>0</v>
      </c>
      <c r="H107" s="1130">
        <f t="shared" si="14"/>
        <v>0</v>
      </c>
      <c r="I107" s="891">
        <f t="shared" si="14"/>
        <v>0</v>
      </c>
      <c r="J107" s="1131">
        <f t="shared" si="14"/>
        <v>0</v>
      </c>
      <c r="K107" s="1128">
        <f t="shared" si="14"/>
        <v>0</v>
      </c>
      <c r="L107" s="891">
        <f t="shared" si="14"/>
        <v>0</v>
      </c>
      <c r="M107" s="1129">
        <f t="shared" si="14"/>
        <v>0</v>
      </c>
    </row>
    <row r="108" spans="1:13" s="5" customFormat="1" ht="5.0999999999999996" customHeight="1" x14ac:dyDescent="0.25">
      <c r="B108" s="135"/>
      <c r="C108" s="1141"/>
      <c r="D108" s="1142"/>
      <c r="E108" s="1143"/>
      <c r="F108" s="270"/>
      <c r="G108" s="1144"/>
      <c r="H108" s="1145"/>
      <c r="I108" s="270"/>
      <c r="J108" s="1146"/>
      <c r="K108" s="1143"/>
      <c r="L108" s="270"/>
      <c r="M108" s="1144"/>
    </row>
    <row r="109" spans="1:13" s="5" customFormat="1" ht="24.95" customHeight="1" x14ac:dyDescent="0.25">
      <c r="A109" s="1460" t="s">
        <v>1450</v>
      </c>
      <c r="B109" s="1083"/>
      <c r="C109" s="1084"/>
      <c r="D109" s="1085"/>
      <c r="E109" s="1086" t="str">
        <f>Head1B</f>
        <v>2017/18</v>
      </c>
      <c r="F109" s="1087" t="str">
        <f>Head1A</f>
        <v>2018/19</v>
      </c>
      <c r="G109" s="1088" t="str">
        <f>Head1</f>
        <v>2019/20</v>
      </c>
      <c r="H109" s="1443" t="str">
        <f>Head2</f>
        <v>Budget Year 2020/21</v>
      </c>
      <c r="I109" s="1444"/>
      <c r="J109" s="1461"/>
      <c r="K109" s="1443" t="str">
        <f>Head3</f>
        <v>2020/21 Medium Term Revenue &amp; Expenditure Framework</v>
      </c>
      <c r="L109" s="1444"/>
      <c r="M109" s="1461"/>
    </row>
    <row r="110" spans="1:13" s="5" customFormat="1" ht="24.95" customHeight="1" x14ac:dyDescent="0.25">
      <c r="A110" s="1460"/>
      <c r="B110" s="1089" t="s">
        <v>1342</v>
      </c>
      <c r="C110" s="1090"/>
      <c r="D110" s="1091"/>
      <c r="E110" s="1092" t="str">
        <f>Head5A</f>
        <v>Outcome</v>
      </c>
      <c r="F110" s="1093" t="str">
        <f>Head5A</f>
        <v>Outcome</v>
      </c>
      <c r="G110" s="1094" t="str">
        <f>Head5A</f>
        <v>Outcome</v>
      </c>
      <c r="H110" s="1095" t="str">
        <f>Head6</f>
        <v>Original Budget</v>
      </c>
      <c r="I110" s="1093" t="str">
        <f>Head7</f>
        <v>Adjusted Budget</v>
      </c>
      <c r="J110" s="1094" t="str">
        <f>Head8</f>
        <v>Full Year Forecast</v>
      </c>
      <c r="K110" s="1095" t="str">
        <f>Head9</f>
        <v>Budget Year 2020/21</v>
      </c>
      <c r="L110" s="1093" t="str">
        <f>Head10</f>
        <v>Budget Year +1 2021/22</v>
      </c>
      <c r="M110" s="1094" t="str">
        <f>Head11</f>
        <v>Budget Year +2 2022/23</v>
      </c>
    </row>
    <row r="111" spans="1:13" s="5" customFormat="1" ht="11.25" customHeight="1" x14ac:dyDescent="0.25">
      <c r="B111" s="135"/>
      <c r="C111" s="1096" t="s">
        <v>1445</v>
      </c>
      <c r="D111" s="1107"/>
      <c r="E111" s="1098"/>
      <c r="F111" s="1099"/>
      <c r="G111" s="1100"/>
      <c r="H111" s="1101"/>
      <c r="I111" s="1102"/>
      <c r="J111" s="1103"/>
      <c r="K111" s="1104"/>
      <c r="L111" s="1102"/>
      <c r="M111" s="1105"/>
    </row>
    <row r="112" spans="1:13" s="5" customFormat="1" ht="11.25" customHeight="1" x14ac:dyDescent="0.25">
      <c r="B112" s="135"/>
      <c r="C112" s="1106" t="s">
        <v>600</v>
      </c>
      <c r="D112" s="1107"/>
      <c r="E112" s="704"/>
      <c r="F112" s="255"/>
      <c r="G112" s="1108"/>
      <c r="H112" s="1109"/>
      <c r="I112" s="130"/>
      <c r="J112" s="884"/>
      <c r="K112" s="1110"/>
      <c r="L112" s="130"/>
      <c r="M112" s="1111"/>
    </row>
    <row r="113" spans="2:13" s="5" customFormat="1" ht="11.25" customHeight="1" x14ac:dyDescent="0.25">
      <c r="B113" s="135"/>
      <c r="C113" s="1112" t="s">
        <v>1055</v>
      </c>
      <c r="D113" s="1107"/>
      <c r="E113" s="1113"/>
      <c r="F113" s="1114"/>
      <c r="G113" s="1115"/>
      <c r="H113" s="1116"/>
      <c r="I113" s="1114"/>
      <c r="J113" s="1117"/>
      <c r="K113" s="1113"/>
      <c r="L113" s="1114"/>
      <c r="M113" s="1115"/>
    </row>
    <row r="114" spans="2:13" s="5" customFormat="1" ht="11.25" customHeight="1" x14ac:dyDescent="0.25">
      <c r="B114" s="135"/>
      <c r="C114" s="1112" t="s">
        <v>1056</v>
      </c>
      <c r="D114" s="1107"/>
      <c r="E114" s="1113"/>
      <c r="F114" s="1114"/>
      <c r="G114" s="1115"/>
      <c r="H114" s="1116"/>
      <c r="I114" s="1114"/>
      <c r="J114" s="1117"/>
      <c r="K114" s="1113"/>
      <c r="L114" s="1114"/>
      <c r="M114" s="1115"/>
    </row>
    <row r="115" spans="2:13" s="5" customFormat="1" ht="11.25" customHeight="1" x14ac:dyDescent="0.25">
      <c r="B115" s="1118">
        <v>8</v>
      </c>
      <c r="C115" s="1112" t="s">
        <v>1057</v>
      </c>
      <c r="D115" s="1107"/>
      <c r="E115" s="1113"/>
      <c r="F115" s="1114"/>
      <c r="G115" s="1115"/>
      <c r="H115" s="1116"/>
      <c r="I115" s="1114"/>
      <c r="J115" s="1117"/>
      <c r="K115" s="1113"/>
      <c r="L115" s="1114"/>
      <c r="M115" s="1115"/>
    </row>
    <row r="116" spans="2:13" s="5" customFormat="1" ht="11.25" customHeight="1" x14ac:dyDescent="0.25">
      <c r="B116" s="1118">
        <v>10</v>
      </c>
      <c r="C116" s="1112" t="s">
        <v>1058</v>
      </c>
      <c r="D116" s="1107"/>
      <c r="E116" s="1113"/>
      <c r="F116" s="1114"/>
      <c r="G116" s="1115"/>
      <c r="H116" s="1116"/>
      <c r="I116" s="1114"/>
      <c r="J116" s="1117"/>
      <c r="K116" s="1113"/>
      <c r="L116" s="1114"/>
      <c r="M116" s="1115"/>
    </row>
    <row r="117" spans="2:13" s="5" customFormat="1" ht="11.25" customHeight="1" x14ac:dyDescent="0.25">
      <c r="B117" s="1118"/>
      <c r="C117" s="1158" t="s">
        <v>1119</v>
      </c>
      <c r="D117" s="1107"/>
      <c r="E117" s="1119">
        <f>SUM(E113:E116)</f>
        <v>0</v>
      </c>
      <c r="F117" s="701">
        <f t="shared" ref="F117:M117" si="15">SUM(F113:F116)</f>
        <v>0</v>
      </c>
      <c r="G117" s="1120">
        <f t="shared" si="15"/>
        <v>0</v>
      </c>
      <c r="H117" s="1121">
        <f t="shared" si="15"/>
        <v>0</v>
      </c>
      <c r="I117" s="701">
        <f t="shared" si="15"/>
        <v>0</v>
      </c>
      <c r="J117" s="1122">
        <f t="shared" si="15"/>
        <v>0</v>
      </c>
      <c r="K117" s="1119">
        <f t="shared" si="15"/>
        <v>0</v>
      </c>
      <c r="L117" s="701">
        <f t="shared" si="15"/>
        <v>0</v>
      </c>
      <c r="M117" s="1120">
        <f t="shared" si="15"/>
        <v>0</v>
      </c>
    </row>
    <row r="118" spans="2:13" s="5" customFormat="1" ht="11.25" customHeight="1" x14ac:dyDescent="0.25">
      <c r="B118" s="1118">
        <v>9</v>
      </c>
      <c r="C118" s="1112" t="s">
        <v>1059</v>
      </c>
      <c r="D118" s="1107"/>
      <c r="E118" s="1113"/>
      <c r="F118" s="1114"/>
      <c r="G118" s="1115"/>
      <c r="H118" s="1116"/>
      <c r="I118" s="1114"/>
      <c r="J118" s="1117"/>
      <c r="K118" s="1113"/>
      <c r="L118" s="1114"/>
      <c r="M118" s="1115"/>
    </row>
    <row r="119" spans="2:13" s="5" customFormat="1" ht="11.25" customHeight="1" x14ac:dyDescent="0.25">
      <c r="B119" s="1118">
        <v>10</v>
      </c>
      <c r="C119" s="1112" t="s">
        <v>1060</v>
      </c>
      <c r="D119" s="1107"/>
      <c r="E119" s="1113"/>
      <c r="F119" s="1114"/>
      <c r="G119" s="1115"/>
      <c r="H119" s="1116"/>
      <c r="I119" s="1114"/>
      <c r="J119" s="1117"/>
      <c r="K119" s="1113"/>
      <c r="L119" s="1114"/>
      <c r="M119" s="1115"/>
    </row>
    <row r="120" spans="2:13" s="5" customFormat="1" ht="11.25" customHeight="1" x14ac:dyDescent="0.25">
      <c r="B120" s="135"/>
      <c r="C120" s="1112" t="s">
        <v>1062</v>
      </c>
      <c r="D120" s="1107"/>
      <c r="E120" s="1113"/>
      <c r="F120" s="1114"/>
      <c r="G120" s="1115"/>
      <c r="H120" s="1116"/>
      <c r="I120" s="1114"/>
      <c r="J120" s="1117"/>
      <c r="K120" s="1113"/>
      <c r="L120" s="1114"/>
      <c r="M120" s="1115"/>
    </row>
    <row r="121" spans="2:13" s="5" customFormat="1" ht="11.25" customHeight="1" x14ac:dyDescent="0.25">
      <c r="B121" s="135"/>
      <c r="C121" s="1158" t="s">
        <v>1446</v>
      </c>
      <c r="D121" s="1107"/>
      <c r="E121" s="1123">
        <f>SUM(E118:E120)</f>
        <v>0</v>
      </c>
      <c r="F121" s="889">
        <f t="shared" ref="F121:M121" si="16">SUM(F118:F120)</f>
        <v>0</v>
      </c>
      <c r="G121" s="1124">
        <f t="shared" si="16"/>
        <v>0</v>
      </c>
      <c r="H121" s="1125">
        <f t="shared" si="16"/>
        <v>0</v>
      </c>
      <c r="I121" s="889">
        <f t="shared" si="16"/>
        <v>0</v>
      </c>
      <c r="J121" s="1126">
        <f t="shared" si="16"/>
        <v>0</v>
      </c>
      <c r="K121" s="1123">
        <f t="shared" si="16"/>
        <v>0</v>
      </c>
      <c r="L121" s="889">
        <f t="shared" si="16"/>
        <v>0</v>
      </c>
      <c r="M121" s="1124">
        <f t="shared" si="16"/>
        <v>0</v>
      </c>
    </row>
    <row r="122" spans="2:13" s="5" customFormat="1" ht="11.25" customHeight="1" x14ac:dyDescent="0.25">
      <c r="B122" s="135"/>
      <c r="C122" s="1127" t="s">
        <v>1063</v>
      </c>
      <c r="D122" s="1107"/>
      <c r="E122" s="1128">
        <f>E117+E121</f>
        <v>0</v>
      </c>
      <c r="F122" s="891">
        <f t="shared" ref="F122:M122" si="17">F117+F121</f>
        <v>0</v>
      </c>
      <c r="G122" s="1129">
        <f t="shared" si="17"/>
        <v>0</v>
      </c>
      <c r="H122" s="1130">
        <f t="shared" si="17"/>
        <v>0</v>
      </c>
      <c r="I122" s="891">
        <f t="shared" si="17"/>
        <v>0</v>
      </c>
      <c r="J122" s="1131">
        <f t="shared" si="17"/>
        <v>0</v>
      </c>
      <c r="K122" s="1128">
        <f t="shared" si="17"/>
        <v>0</v>
      </c>
      <c r="L122" s="891">
        <f t="shared" si="17"/>
        <v>0</v>
      </c>
      <c r="M122" s="1129">
        <f t="shared" si="17"/>
        <v>0</v>
      </c>
    </row>
    <row r="123" spans="2:13" s="5" customFormat="1" ht="11.25" customHeight="1" x14ac:dyDescent="0.25">
      <c r="B123" s="135"/>
      <c r="C123" s="1106" t="s">
        <v>601</v>
      </c>
      <c r="D123" s="1107"/>
      <c r="E123" s="1132"/>
      <c r="F123" s="887"/>
      <c r="G123" s="1133"/>
      <c r="H123" s="1134"/>
      <c r="I123" s="887"/>
      <c r="J123" s="1133"/>
      <c r="K123" s="1132"/>
      <c r="L123" s="887"/>
      <c r="M123" s="1135"/>
    </row>
    <row r="124" spans="2:13" s="5" customFormat="1" ht="11.25" customHeight="1" x14ac:dyDescent="0.25">
      <c r="B124" s="135"/>
      <c r="C124" s="1112" t="s">
        <v>1064</v>
      </c>
      <c r="D124" s="1107"/>
      <c r="E124" s="1113"/>
      <c r="F124" s="1114"/>
      <c r="G124" s="1115"/>
      <c r="H124" s="1116"/>
      <c r="I124" s="1114"/>
      <c r="J124" s="1117"/>
      <c r="K124" s="1113"/>
      <c r="L124" s="1114"/>
      <c r="M124" s="1115"/>
    </row>
    <row r="125" spans="2:13" s="5" customFormat="1" ht="11.25" customHeight="1" x14ac:dyDescent="0.25">
      <c r="B125" s="135"/>
      <c r="C125" s="1112" t="s">
        <v>1065</v>
      </c>
      <c r="D125" s="1107"/>
      <c r="E125" s="1113"/>
      <c r="F125" s="1114"/>
      <c r="G125" s="1115"/>
      <c r="H125" s="1116"/>
      <c r="I125" s="1114"/>
      <c r="J125" s="1117"/>
      <c r="K125" s="1113"/>
      <c r="L125" s="1114"/>
      <c r="M125" s="1115"/>
    </row>
    <row r="126" spans="2:13" s="5" customFormat="1" ht="11.25" customHeight="1" x14ac:dyDescent="0.25">
      <c r="B126" s="135"/>
      <c r="C126" s="1112" t="s">
        <v>1066</v>
      </c>
      <c r="D126" s="1107"/>
      <c r="E126" s="1113"/>
      <c r="F126" s="1114"/>
      <c r="G126" s="1115"/>
      <c r="H126" s="1116"/>
      <c r="I126" s="1114"/>
      <c r="J126" s="1117"/>
      <c r="K126" s="1113"/>
      <c r="L126" s="1114"/>
      <c r="M126" s="1115"/>
    </row>
    <row r="127" spans="2:13" s="5" customFormat="1" ht="11.25" customHeight="1" x14ac:dyDescent="0.25">
      <c r="B127" s="135"/>
      <c r="C127" s="1112" t="s">
        <v>296</v>
      </c>
      <c r="D127" s="1107"/>
      <c r="E127" s="1113"/>
      <c r="F127" s="1114"/>
      <c r="G127" s="1115"/>
      <c r="H127" s="1116"/>
      <c r="I127" s="1114"/>
      <c r="J127" s="1117"/>
      <c r="K127" s="1113"/>
      <c r="L127" s="1114"/>
      <c r="M127" s="1115"/>
    </row>
    <row r="128" spans="2:13" s="5" customFormat="1" ht="11.25" customHeight="1" x14ac:dyDescent="0.25">
      <c r="B128" s="135"/>
      <c r="C128" s="1112" t="s">
        <v>298</v>
      </c>
      <c r="D128" s="1107"/>
      <c r="E128" s="1113"/>
      <c r="F128" s="1114"/>
      <c r="G128" s="1115"/>
      <c r="H128" s="1116"/>
      <c r="I128" s="1114"/>
      <c r="J128" s="1117"/>
      <c r="K128" s="1113"/>
      <c r="L128" s="1114"/>
      <c r="M128" s="1115"/>
    </row>
    <row r="129" spans="2:13" s="5" customFormat="1" ht="11.25" customHeight="1" x14ac:dyDescent="0.25">
      <c r="B129" s="135"/>
      <c r="C129" s="1158" t="s">
        <v>1119</v>
      </c>
      <c r="D129" s="1107"/>
      <c r="E129" s="1119">
        <f>SUM(E124:E128)</f>
        <v>0</v>
      </c>
      <c r="F129" s="701">
        <f t="shared" ref="F129:M129" si="18">SUM(F124:F128)</f>
        <v>0</v>
      </c>
      <c r="G129" s="1120">
        <f t="shared" si="18"/>
        <v>0</v>
      </c>
      <c r="H129" s="1121">
        <f t="shared" si="18"/>
        <v>0</v>
      </c>
      <c r="I129" s="701">
        <f t="shared" si="18"/>
        <v>0</v>
      </c>
      <c r="J129" s="1122">
        <f t="shared" si="18"/>
        <v>0</v>
      </c>
      <c r="K129" s="1119">
        <f t="shared" si="18"/>
        <v>0</v>
      </c>
      <c r="L129" s="701">
        <f t="shared" si="18"/>
        <v>0</v>
      </c>
      <c r="M129" s="1120">
        <f t="shared" si="18"/>
        <v>0</v>
      </c>
    </row>
    <row r="130" spans="2:13" s="5" customFormat="1" ht="11.25" customHeight="1" x14ac:dyDescent="0.25">
      <c r="B130" s="135"/>
      <c r="C130" s="1112" t="s">
        <v>297</v>
      </c>
      <c r="D130" s="1107"/>
      <c r="E130" s="1113"/>
      <c r="F130" s="1114"/>
      <c r="G130" s="1115"/>
      <c r="H130" s="1116"/>
      <c r="I130" s="1114"/>
      <c r="J130" s="1117"/>
      <c r="K130" s="1113"/>
      <c r="L130" s="1114"/>
      <c r="M130" s="1115"/>
    </row>
    <row r="131" spans="2:13" s="5" customFormat="1" ht="11.25" customHeight="1" x14ac:dyDescent="0.25">
      <c r="B131" s="135"/>
      <c r="C131" s="1112" t="s">
        <v>299</v>
      </c>
      <c r="D131" s="1107"/>
      <c r="E131" s="1113"/>
      <c r="F131" s="1114"/>
      <c r="G131" s="1115"/>
      <c r="H131" s="1116"/>
      <c r="I131" s="1114"/>
      <c r="J131" s="1117"/>
      <c r="K131" s="1113"/>
      <c r="L131" s="1114"/>
      <c r="M131" s="1115"/>
    </row>
    <row r="132" spans="2:13" s="5" customFormat="1" ht="11.25" customHeight="1" x14ac:dyDescent="0.25">
      <c r="B132" s="135"/>
      <c r="C132" s="1112" t="s">
        <v>1067</v>
      </c>
      <c r="D132" s="1107"/>
      <c r="E132" s="1113"/>
      <c r="F132" s="1114"/>
      <c r="G132" s="1115"/>
      <c r="H132" s="1116"/>
      <c r="I132" s="1114"/>
      <c r="J132" s="1117"/>
      <c r="K132" s="1113"/>
      <c r="L132" s="1114"/>
      <c r="M132" s="1115"/>
    </row>
    <row r="133" spans="2:13" s="5" customFormat="1" ht="11.25" customHeight="1" x14ac:dyDescent="0.25">
      <c r="B133" s="135"/>
      <c r="C133" s="1158" t="s">
        <v>1446</v>
      </c>
      <c r="D133" s="1107"/>
      <c r="E133" s="1123">
        <f>SUM(E130:E132)</f>
        <v>0</v>
      </c>
      <c r="F133" s="889">
        <f t="shared" ref="F133:M133" si="19">SUM(F130:F132)</f>
        <v>0</v>
      </c>
      <c r="G133" s="1124">
        <f t="shared" si="19"/>
        <v>0</v>
      </c>
      <c r="H133" s="1125">
        <f t="shared" si="19"/>
        <v>0</v>
      </c>
      <c r="I133" s="889">
        <f t="shared" si="19"/>
        <v>0</v>
      </c>
      <c r="J133" s="1126">
        <f t="shared" si="19"/>
        <v>0</v>
      </c>
      <c r="K133" s="1123">
        <f t="shared" si="19"/>
        <v>0</v>
      </c>
      <c r="L133" s="889">
        <f t="shared" si="19"/>
        <v>0</v>
      </c>
      <c r="M133" s="1124">
        <f t="shared" si="19"/>
        <v>0</v>
      </c>
    </row>
    <row r="134" spans="2:13" s="5" customFormat="1" ht="11.25" customHeight="1" x14ac:dyDescent="0.25">
      <c r="B134" s="135"/>
      <c r="C134" s="1127" t="s">
        <v>1063</v>
      </c>
      <c r="D134" s="1107"/>
      <c r="E134" s="1128">
        <f>E129+E133</f>
        <v>0</v>
      </c>
      <c r="F134" s="891">
        <f t="shared" ref="F134:M134" si="20">F129+F133</f>
        <v>0</v>
      </c>
      <c r="G134" s="1129">
        <f t="shared" si="20"/>
        <v>0</v>
      </c>
      <c r="H134" s="1130">
        <f t="shared" si="20"/>
        <v>0</v>
      </c>
      <c r="I134" s="891">
        <f t="shared" si="20"/>
        <v>0</v>
      </c>
      <c r="J134" s="1131">
        <f t="shared" si="20"/>
        <v>0</v>
      </c>
      <c r="K134" s="1128">
        <f t="shared" si="20"/>
        <v>0</v>
      </c>
      <c r="L134" s="891">
        <f t="shared" si="20"/>
        <v>0</v>
      </c>
      <c r="M134" s="1129">
        <f t="shared" si="20"/>
        <v>0</v>
      </c>
    </row>
    <row r="135" spans="2:13" s="5" customFormat="1" ht="11.25" customHeight="1" x14ac:dyDescent="0.25">
      <c r="B135" s="135"/>
      <c r="C135" s="1106" t="s">
        <v>602</v>
      </c>
      <c r="D135" s="1107"/>
      <c r="E135" s="1132"/>
      <c r="F135" s="887"/>
      <c r="G135" s="1133"/>
      <c r="H135" s="1134"/>
      <c r="I135" s="887"/>
      <c r="J135" s="1133"/>
      <c r="K135" s="1132"/>
      <c r="L135" s="887"/>
      <c r="M135" s="1135"/>
    </row>
    <row r="136" spans="2:13" s="5" customFormat="1" ht="11.25" customHeight="1" x14ac:dyDescent="0.25">
      <c r="B136" s="135"/>
      <c r="C136" s="1112" t="s">
        <v>1447</v>
      </c>
      <c r="D136" s="1107"/>
      <c r="E136" s="1113"/>
      <c r="F136" s="1114"/>
      <c r="G136" s="1115"/>
      <c r="H136" s="1116"/>
      <c r="I136" s="1114"/>
      <c r="J136" s="1117"/>
      <c r="K136" s="1113"/>
      <c r="L136" s="1114"/>
      <c r="M136" s="1115"/>
    </row>
    <row r="137" spans="2:13" s="5" customFormat="1" ht="11.25" customHeight="1" x14ac:dyDescent="0.25">
      <c r="B137" s="135"/>
      <c r="C137" s="1112" t="s">
        <v>1448</v>
      </c>
      <c r="D137" s="1107"/>
      <c r="E137" s="1113"/>
      <c r="F137" s="1114"/>
      <c r="G137" s="1115"/>
      <c r="H137" s="1116"/>
      <c r="I137" s="1114"/>
      <c r="J137" s="1117"/>
      <c r="K137" s="1113"/>
      <c r="L137" s="1114"/>
      <c r="M137" s="1115"/>
    </row>
    <row r="138" spans="2:13" s="5" customFormat="1" ht="11.25" customHeight="1" x14ac:dyDescent="0.25">
      <c r="B138" s="135"/>
      <c r="C138" s="1158" t="s">
        <v>1119</v>
      </c>
      <c r="D138" s="1107"/>
      <c r="E138" s="1119">
        <f>SUM(E136:E137)</f>
        <v>0</v>
      </c>
      <c r="F138" s="701">
        <f t="shared" ref="F138:M138" si="21">SUM(F136:F137)</f>
        <v>0</v>
      </c>
      <c r="G138" s="1120">
        <f t="shared" si="21"/>
        <v>0</v>
      </c>
      <c r="H138" s="1121">
        <f t="shared" si="21"/>
        <v>0</v>
      </c>
      <c r="I138" s="701">
        <f t="shared" si="21"/>
        <v>0</v>
      </c>
      <c r="J138" s="1122">
        <f t="shared" si="21"/>
        <v>0</v>
      </c>
      <c r="K138" s="1119">
        <f t="shared" si="21"/>
        <v>0</v>
      </c>
      <c r="L138" s="701">
        <f t="shared" si="21"/>
        <v>0</v>
      </c>
      <c r="M138" s="1120">
        <f t="shared" si="21"/>
        <v>0</v>
      </c>
    </row>
    <row r="139" spans="2:13" s="5" customFormat="1" ht="11.25" customHeight="1" x14ac:dyDescent="0.25">
      <c r="B139" s="135"/>
      <c r="C139" s="1112" t="s">
        <v>1068</v>
      </c>
      <c r="D139" s="1107"/>
      <c r="E139" s="1113"/>
      <c r="F139" s="1114"/>
      <c r="G139" s="1115"/>
      <c r="H139" s="1116"/>
      <c r="I139" s="1114"/>
      <c r="J139" s="1117"/>
      <c r="K139" s="1113"/>
      <c r="L139" s="1114"/>
      <c r="M139" s="1115"/>
    </row>
    <row r="140" spans="2:13" s="5" customFormat="1" ht="11.25" customHeight="1" x14ac:dyDescent="0.25">
      <c r="B140" s="135"/>
      <c r="C140" s="1112" t="s">
        <v>1069</v>
      </c>
      <c r="D140" s="1107"/>
      <c r="E140" s="1113"/>
      <c r="F140" s="1114"/>
      <c r="G140" s="1115"/>
      <c r="H140" s="1116"/>
      <c r="I140" s="1114"/>
      <c r="J140" s="1117"/>
      <c r="K140" s="1113"/>
      <c r="L140" s="1114"/>
      <c r="M140" s="1115"/>
    </row>
    <row r="141" spans="2:13" s="5" customFormat="1" ht="11.25" customHeight="1" x14ac:dyDescent="0.25">
      <c r="B141" s="135"/>
      <c r="C141" s="1112" t="s">
        <v>1070</v>
      </c>
      <c r="D141" s="1107"/>
      <c r="E141" s="1113"/>
      <c r="F141" s="1114"/>
      <c r="G141" s="1115"/>
      <c r="H141" s="1116"/>
      <c r="I141" s="1114"/>
      <c r="J141" s="1117"/>
      <c r="K141" s="1113"/>
      <c r="L141" s="1114"/>
      <c r="M141" s="1115"/>
    </row>
    <row r="142" spans="2:13" s="5" customFormat="1" ht="11.25" customHeight="1" x14ac:dyDescent="0.25">
      <c r="B142" s="135"/>
      <c r="C142" s="1158" t="s">
        <v>1446</v>
      </c>
      <c r="D142" s="1107"/>
      <c r="E142" s="1123">
        <f>SUM(E139:E141)</f>
        <v>0</v>
      </c>
      <c r="F142" s="889">
        <f t="shared" ref="F142:M142" si="22">SUM(F139:F141)</f>
        <v>0</v>
      </c>
      <c r="G142" s="1124">
        <f t="shared" si="22"/>
        <v>0</v>
      </c>
      <c r="H142" s="1125">
        <f t="shared" si="22"/>
        <v>0</v>
      </c>
      <c r="I142" s="889">
        <f t="shared" si="22"/>
        <v>0</v>
      </c>
      <c r="J142" s="1126">
        <f t="shared" si="22"/>
        <v>0</v>
      </c>
      <c r="K142" s="1123">
        <f t="shared" si="22"/>
        <v>0</v>
      </c>
      <c r="L142" s="889">
        <f t="shared" si="22"/>
        <v>0</v>
      </c>
      <c r="M142" s="1124">
        <f t="shared" si="22"/>
        <v>0</v>
      </c>
    </row>
    <row r="143" spans="2:13" s="5" customFormat="1" ht="11.25" customHeight="1" x14ac:dyDescent="0.25">
      <c r="B143" s="135"/>
      <c r="C143" s="1127" t="s">
        <v>1063</v>
      </c>
      <c r="D143" s="1107"/>
      <c r="E143" s="1128">
        <f>E138+E142</f>
        <v>0</v>
      </c>
      <c r="F143" s="891">
        <f t="shared" ref="F143:M143" si="23">F138+F142</f>
        <v>0</v>
      </c>
      <c r="G143" s="1129">
        <f t="shared" si="23"/>
        <v>0</v>
      </c>
      <c r="H143" s="1130">
        <f t="shared" si="23"/>
        <v>0</v>
      </c>
      <c r="I143" s="891">
        <f t="shared" si="23"/>
        <v>0</v>
      </c>
      <c r="J143" s="1131">
        <f t="shared" si="23"/>
        <v>0</v>
      </c>
      <c r="K143" s="1128">
        <f t="shared" si="23"/>
        <v>0</v>
      </c>
      <c r="L143" s="891">
        <f t="shared" si="23"/>
        <v>0</v>
      </c>
      <c r="M143" s="1129">
        <f t="shared" si="23"/>
        <v>0</v>
      </c>
    </row>
    <row r="144" spans="2:13" s="5" customFormat="1" ht="11.25" customHeight="1" x14ac:dyDescent="0.25">
      <c r="B144" s="135"/>
      <c r="C144" s="1106" t="s">
        <v>603</v>
      </c>
      <c r="D144" s="1107"/>
      <c r="E144" s="1132"/>
      <c r="F144" s="887"/>
      <c r="G144" s="1133"/>
      <c r="H144" s="1134"/>
      <c r="I144" s="887"/>
      <c r="J144" s="1133"/>
      <c r="K144" s="1132"/>
      <c r="L144" s="887"/>
      <c r="M144" s="1135"/>
    </row>
    <row r="145" spans="1:13" s="5" customFormat="1" ht="11.25" customHeight="1" x14ac:dyDescent="0.25">
      <c r="B145" s="135"/>
      <c r="C145" s="1112" t="s">
        <v>1449</v>
      </c>
      <c r="D145" s="1107"/>
      <c r="E145" s="1136"/>
      <c r="F145" s="1137"/>
      <c r="G145" s="1138"/>
      <c r="H145" s="1139"/>
      <c r="I145" s="1137"/>
      <c r="J145" s="1140"/>
      <c r="K145" s="1136"/>
      <c r="L145" s="1137"/>
      <c r="M145" s="1138"/>
    </row>
    <row r="146" spans="1:13" s="5" customFormat="1" ht="11.25" customHeight="1" x14ac:dyDescent="0.25">
      <c r="B146" s="135"/>
      <c r="C146" s="1158" t="s">
        <v>1119</v>
      </c>
      <c r="D146" s="1107"/>
      <c r="E146" s="1132">
        <f>SUM(E145)</f>
        <v>0</v>
      </c>
      <c r="F146" s="887">
        <f t="shared" ref="F146:M146" si="24">SUM(F145)</f>
        <v>0</v>
      </c>
      <c r="G146" s="1135">
        <f t="shared" si="24"/>
        <v>0</v>
      </c>
      <c r="H146" s="1134">
        <f t="shared" si="24"/>
        <v>0</v>
      </c>
      <c r="I146" s="887">
        <f t="shared" si="24"/>
        <v>0</v>
      </c>
      <c r="J146" s="1133">
        <f t="shared" si="24"/>
        <v>0</v>
      </c>
      <c r="K146" s="1132">
        <f t="shared" si="24"/>
        <v>0</v>
      </c>
      <c r="L146" s="887">
        <f t="shared" si="24"/>
        <v>0</v>
      </c>
      <c r="M146" s="1135">
        <f t="shared" si="24"/>
        <v>0</v>
      </c>
    </row>
    <row r="147" spans="1:13" s="5" customFormat="1" ht="11.25" customHeight="1" x14ac:dyDescent="0.25">
      <c r="B147" s="135"/>
      <c r="C147" s="1112" t="s">
        <v>1072</v>
      </c>
      <c r="D147" s="1107"/>
      <c r="E147" s="1113"/>
      <c r="F147" s="1114"/>
      <c r="G147" s="1115"/>
      <c r="H147" s="1116"/>
      <c r="I147" s="1114"/>
      <c r="J147" s="1117"/>
      <c r="K147" s="1113"/>
      <c r="L147" s="1114"/>
      <c r="M147" s="1115"/>
    </row>
    <row r="148" spans="1:13" s="5" customFormat="1" ht="11.25" customHeight="1" x14ac:dyDescent="0.25">
      <c r="B148" s="135"/>
      <c r="C148" s="1112" t="s">
        <v>1073</v>
      </c>
      <c r="D148" s="1107"/>
      <c r="E148" s="1113"/>
      <c r="F148" s="1114"/>
      <c r="G148" s="1115"/>
      <c r="H148" s="1116"/>
      <c r="I148" s="1114"/>
      <c r="J148" s="1117"/>
      <c r="K148" s="1113"/>
      <c r="L148" s="1114"/>
      <c r="M148" s="1115"/>
    </row>
    <row r="149" spans="1:13" s="5" customFormat="1" ht="11.25" customHeight="1" x14ac:dyDescent="0.25">
      <c r="B149" s="135"/>
      <c r="C149" s="1112" t="s">
        <v>1074</v>
      </c>
      <c r="D149" s="1107"/>
      <c r="E149" s="1113"/>
      <c r="F149" s="1114"/>
      <c r="G149" s="1115"/>
      <c r="H149" s="1116"/>
      <c r="I149" s="1114"/>
      <c r="J149" s="1117"/>
      <c r="K149" s="1113"/>
      <c r="L149" s="1114"/>
      <c r="M149" s="1115"/>
    </row>
    <row r="150" spans="1:13" s="5" customFormat="1" ht="11.25" customHeight="1" x14ac:dyDescent="0.25">
      <c r="B150" s="135"/>
      <c r="C150" s="1112" t="s">
        <v>1075</v>
      </c>
      <c r="D150" s="1107"/>
      <c r="E150" s="1113"/>
      <c r="F150" s="1114"/>
      <c r="G150" s="1115"/>
      <c r="H150" s="1116"/>
      <c r="I150" s="1114"/>
      <c r="J150" s="1117"/>
      <c r="K150" s="1113"/>
      <c r="L150" s="1114"/>
      <c r="M150" s="1115"/>
    </row>
    <row r="151" spans="1:13" s="5" customFormat="1" ht="11.25" customHeight="1" x14ac:dyDescent="0.25">
      <c r="B151" s="135"/>
      <c r="C151" s="1112" t="s">
        <v>1076</v>
      </c>
      <c r="D151" s="1107"/>
      <c r="E151" s="1113"/>
      <c r="F151" s="1114"/>
      <c r="G151" s="1115"/>
      <c r="H151" s="1116"/>
      <c r="I151" s="1114"/>
      <c r="J151" s="1117"/>
      <c r="K151" s="1113"/>
      <c r="L151" s="1114"/>
      <c r="M151" s="1115"/>
    </row>
    <row r="152" spans="1:13" s="5" customFormat="1" ht="11.25" customHeight="1" x14ac:dyDescent="0.25">
      <c r="B152" s="135"/>
      <c r="C152" s="1158" t="s">
        <v>1446</v>
      </c>
      <c r="D152" s="1107"/>
      <c r="E152" s="1123">
        <f t="shared" ref="E152:M152" si="25">SUM(E147:E151)</f>
        <v>0</v>
      </c>
      <c r="F152" s="889">
        <f t="shared" si="25"/>
        <v>0</v>
      </c>
      <c r="G152" s="1124">
        <f t="shared" si="25"/>
        <v>0</v>
      </c>
      <c r="H152" s="1125">
        <f t="shared" si="25"/>
        <v>0</v>
      </c>
      <c r="I152" s="889">
        <f t="shared" si="25"/>
        <v>0</v>
      </c>
      <c r="J152" s="1126">
        <f t="shared" si="25"/>
        <v>0</v>
      </c>
      <c r="K152" s="1123">
        <f t="shared" si="25"/>
        <v>0</v>
      </c>
      <c r="L152" s="889">
        <f t="shared" si="25"/>
        <v>0</v>
      </c>
      <c r="M152" s="1124">
        <f t="shared" si="25"/>
        <v>0</v>
      </c>
    </row>
    <row r="153" spans="1:13" s="5" customFormat="1" ht="11.25" customHeight="1" x14ac:dyDescent="0.25">
      <c r="B153" s="135"/>
      <c r="C153" s="1127" t="s">
        <v>1063</v>
      </c>
      <c r="D153" s="1107"/>
      <c r="E153" s="1128">
        <f>E146+E152</f>
        <v>0</v>
      </c>
      <c r="F153" s="891">
        <f t="shared" ref="F153:M153" si="26">F146+F152</f>
        <v>0</v>
      </c>
      <c r="G153" s="1129">
        <f t="shared" si="26"/>
        <v>0</v>
      </c>
      <c r="H153" s="1130">
        <f t="shared" si="26"/>
        <v>0</v>
      </c>
      <c r="I153" s="891">
        <f t="shared" si="26"/>
        <v>0</v>
      </c>
      <c r="J153" s="1131">
        <f t="shared" si="26"/>
        <v>0</v>
      </c>
      <c r="K153" s="1128">
        <f t="shared" si="26"/>
        <v>0</v>
      </c>
      <c r="L153" s="891">
        <f t="shared" si="26"/>
        <v>0</v>
      </c>
      <c r="M153" s="1129">
        <f t="shared" si="26"/>
        <v>0</v>
      </c>
    </row>
    <row r="154" spans="1:13" s="5" customFormat="1" ht="5.0999999999999996" customHeight="1" x14ac:dyDescent="0.25">
      <c r="B154" s="135"/>
      <c r="C154" s="1141"/>
      <c r="D154" s="1142"/>
      <c r="E154" s="1143"/>
      <c r="F154" s="270"/>
      <c r="G154" s="1144"/>
      <c r="H154" s="1145"/>
      <c r="I154" s="270"/>
      <c r="J154" s="1146"/>
      <c r="K154" s="1143"/>
      <c r="L154" s="270"/>
      <c r="M154" s="1144"/>
    </row>
    <row r="155" spans="1:13" s="5" customFormat="1" ht="24.95" customHeight="1" x14ac:dyDescent="0.25">
      <c r="A155" s="1460" t="s">
        <v>1451</v>
      </c>
      <c r="B155" s="1083"/>
      <c r="C155" s="1084"/>
      <c r="D155" s="1085"/>
      <c r="E155" s="1086" t="str">
        <f>Head1B</f>
        <v>2017/18</v>
      </c>
      <c r="F155" s="1087" t="str">
        <f>Head1A</f>
        <v>2018/19</v>
      </c>
      <c r="G155" s="1088" t="str">
        <f>Head1</f>
        <v>2019/20</v>
      </c>
      <c r="H155" s="1443" t="str">
        <f>Head2</f>
        <v>Budget Year 2020/21</v>
      </c>
      <c r="I155" s="1444"/>
      <c r="J155" s="1461"/>
      <c r="K155" s="1443" t="str">
        <f>Head3</f>
        <v>2020/21 Medium Term Revenue &amp; Expenditure Framework</v>
      </c>
      <c r="L155" s="1444"/>
      <c r="M155" s="1461"/>
    </row>
    <row r="156" spans="1:13" s="5" customFormat="1" ht="24.95" customHeight="1" x14ac:dyDescent="0.25">
      <c r="A156" s="1460"/>
      <c r="B156" s="1089" t="s">
        <v>1342</v>
      </c>
      <c r="C156" s="1090"/>
      <c r="D156" s="1091"/>
      <c r="E156" s="1092" t="str">
        <f>Head5A</f>
        <v>Outcome</v>
      </c>
      <c r="F156" s="1093" t="str">
        <f>Head5A</f>
        <v>Outcome</v>
      </c>
      <c r="G156" s="1094" t="str">
        <f>Head5A</f>
        <v>Outcome</v>
      </c>
      <c r="H156" s="1095" t="str">
        <f>Head6</f>
        <v>Original Budget</v>
      </c>
      <c r="I156" s="1093" t="str">
        <f>Head7</f>
        <v>Adjusted Budget</v>
      </c>
      <c r="J156" s="1094" t="str">
        <f>Head8</f>
        <v>Full Year Forecast</v>
      </c>
      <c r="K156" s="1095" t="str">
        <f>Head9</f>
        <v>Budget Year 2020/21</v>
      </c>
      <c r="L156" s="1093" t="str">
        <f>Head10</f>
        <v>Budget Year +1 2021/22</v>
      </c>
      <c r="M156" s="1094" t="str">
        <f>Head11</f>
        <v>Budget Year +2 2022/23</v>
      </c>
    </row>
    <row r="157" spans="1:13" s="5" customFormat="1" ht="11.25" customHeight="1" x14ac:dyDescent="0.25">
      <c r="B157" s="135"/>
      <c r="C157" s="1096" t="s">
        <v>1445</v>
      </c>
      <c r="D157" s="1107"/>
      <c r="E157" s="1098"/>
      <c r="F157" s="1099"/>
      <c r="G157" s="1100"/>
      <c r="H157" s="1101"/>
      <c r="I157" s="1102"/>
      <c r="J157" s="1103"/>
      <c r="K157" s="1104"/>
      <c r="L157" s="1102"/>
      <c r="M157" s="1105"/>
    </row>
    <row r="158" spans="1:13" s="5" customFormat="1" ht="11.25" customHeight="1" x14ac:dyDescent="0.25">
      <c r="A158" s="1147" t="s">
        <v>1452</v>
      </c>
      <c r="B158" s="135"/>
      <c r="C158" s="1106" t="s">
        <v>600</v>
      </c>
      <c r="D158" s="1107"/>
      <c r="E158" s="704"/>
      <c r="F158" s="255"/>
      <c r="G158" s="1108"/>
      <c r="H158" s="1109"/>
      <c r="I158" s="130"/>
      <c r="J158" s="884"/>
      <c r="K158" s="1110"/>
      <c r="L158" s="130"/>
      <c r="M158" s="1111"/>
    </row>
    <row r="159" spans="1:13" s="5" customFormat="1" ht="11.25" customHeight="1" x14ac:dyDescent="0.25">
      <c r="B159" s="135"/>
      <c r="C159" s="1112" t="s">
        <v>1055</v>
      </c>
      <c r="D159" s="1107"/>
      <c r="E159" s="1113"/>
      <c r="F159" s="1114"/>
      <c r="G159" s="1115"/>
      <c r="H159" s="1116"/>
      <c r="I159" s="1114"/>
      <c r="J159" s="1117"/>
      <c r="K159" s="1113"/>
      <c r="L159" s="1114"/>
      <c r="M159" s="1115"/>
    </row>
    <row r="160" spans="1:13" s="5" customFormat="1" ht="11.25" customHeight="1" x14ac:dyDescent="0.25">
      <c r="B160" s="135"/>
      <c r="C160" s="1112" t="s">
        <v>1056</v>
      </c>
      <c r="D160" s="1107"/>
      <c r="E160" s="1113"/>
      <c r="F160" s="1114"/>
      <c r="G160" s="1115"/>
      <c r="H160" s="1116"/>
      <c r="I160" s="1114"/>
      <c r="J160" s="1117"/>
      <c r="K160" s="1113"/>
      <c r="L160" s="1114"/>
      <c r="M160" s="1115"/>
    </row>
    <row r="161" spans="1:13" s="5" customFormat="1" ht="11.25" customHeight="1" x14ac:dyDescent="0.25">
      <c r="B161" s="1118">
        <v>8</v>
      </c>
      <c r="C161" s="1112" t="s">
        <v>1057</v>
      </c>
      <c r="D161" s="1107"/>
      <c r="E161" s="1113"/>
      <c r="F161" s="1114"/>
      <c r="G161" s="1115"/>
      <c r="H161" s="1116"/>
      <c r="I161" s="1114"/>
      <c r="J161" s="1117"/>
      <c r="K161" s="1113"/>
      <c r="L161" s="1114"/>
      <c r="M161" s="1115"/>
    </row>
    <row r="162" spans="1:13" s="5" customFormat="1" ht="11.25" customHeight="1" x14ac:dyDescent="0.25">
      <c r="B162" s="1118">
        <v>10</v>
      </c>
      <c r="C162" s="1112" t="s">
        <v>1058</v>
      </c>
      <c r="D162" s="1107"/>
      <c r="E162" s="1113"/>
      <c r="F162" s="1114"/>
      <c r="G162" s="1115"/>
      <c r="H162" s="1116"/>
      <c r="I162" s="1114"/>
      <c r="J162" s="1117"/>
      <c r="K162" s="1113"/>
      <c r="L162" s="1114"/>
      <c r="M162" s="1115"/>
    </row>
    <row r="163" spans="1:13" s="5" customFormat="1" ht="11.25" customHeight="1" x14ac:dyDescent="0.25">
      <c r="B163" s="1118"/>
      <c r="C163" s="1158" t="s">
        <v>1119</v>
      </c>
      <c r="D163" s="1107"/>
      <c r="E163" s="1119">
        <f>SUM(E159:E162)</f>
        <v>0</v>
      </c>
      <c r="F163" s="701">
        <f t="shared" ref="F163:M163" si="27">SUM(F159:F162)</f>
        <v>0</v>
      </c>
      <c r="G163" s="1120">
        <f t="shared" si="27"/>
        <v>0</v>
      </c>
      <c r="H163" s="1121">
        <f t="shared" si="27"/>
        <v>0</v>
      </c>
      <c r="I163" s="701">
        <f t="shared" si="27"/>
        <v>0</v>
      </c>
      <c r="J163" s="1122">
        <f t="shared" si="27"/>
        <v>0</v>
      </c>
      <c r="K163" s="1119">
        <f t="shared" si="27"/>
        <v>0</v>
      </c>
      <c r="L163" s="701">
        <f t="shared" si="27"/>
        <v>0</v>
      </c>
      <c r="M163" s="1120">
        <f t="shared" si="27"/>
        <v>0</v>
      </c>
    </row>
    <row r="164" spans="1:13" s="5" customFormat="1" ht="11.25" customHeight="1" x14ac:dyDescent="0.25">
      <c r="B164" s="1118">
        <v>9</v>
      </c>
      <c r="C164" s="1112" t="s">
        <v>1059</v>
      </c>
      <c r="D164" s="1107"/>
      <c r="E164" s="1113"/>
      <c r="F164" s="1114"/>
      <c r="G164" s="1115"/>
      <c r="H164" s="1116"/>
      <c r="I164" s="1114"/>
      <c r="J164" s="1117"/>
      <c r="K164" s="1113"/>
      <c r="L164" s="1114"/>
      <c r="M164" s="1115"/>
    </row>
    <row r="165" spans="1:13" s="5" customFormat="1" ht="11.25" customHeight="1" x14ac:dyDescent="0.25">
      <c r="B165" s="1118">
        <v>10</v>
      </c>
      <c r="C165" s="1112" t="s">
        <v>1060</v>
      </c>
      <c r="D165" s="1107"/>
      <c r="E165" s="1113"/>
      <c r="F165" s="1114"/>
      <c r="G165" s="1115"/>
      <c r="H165" s="1116"/>
      <c r="I165" s="1114"/>
      <c r="J165" s="1117"/>
      <c r="K165" s="1113"/>
      <c r="L165" s="1114"/>
      <c r="M165" s="1115"/>
    </row>
    <row r="166" spans="1:13" s="5" customFormat="1" ht="11.25" customHeight="1" x14ac:dyDescent="0.25">
      <c r="B166" s="135"/>
      <c r="C166" s="1112" t="s">
        <v>1062</v>
      </c>
      <c r="D166" s="1107"/>
      <c r="E166" s="1113"/>
      <c r="F166" s="1114"/>
      <c r="G166" s="1115"/>
      <c r="H166" s="1116"/>
      <c r="I166" s="1114"/>
      <c r="J166" s="1117"/>
      <c r="K166" s="1113"/>
      <c r="L166" s="1114"/>
      <c r="M166" s="1115"/>
    </row>
    <row r="167" spans="1:13" s="5" customFormat="1" ht="11.25" customHeight="1" x14ac:dyDescent="0.25">
      <c r="B167" s="135"/>
      <c r="C167" s="1158" t="s">
        <v>1446</v>
      </c>
      <c r="D167" s="1107"/>
      <c r="E167" s="1123">
        <f>SUM(E164:E166)</f>
        <v>0</v>
      </c>
      <c r="F167" s="889">
        <f t="shared" ref="F167:M167" si="28">SUM(F164:F166)</f>
        <v>0</v>
      </c>
      <c r="G167" s="1124">
        <f t="shared" si="28"/>
        <v>0</v>
      </c>
      <c r="H167" s="1125">
        <f t="shared" si="28"/>
        <v>0</v>
      </c>
      <c r="I167" s="889">
        <f t="shared" si="28"/>
        <v>0</v>
      </c>
      <c r="J167" s="1126">
        <f t="shared" si="28"/>
        <v>0</v>
      </c>
      <c r="K167" s="1123">
        <f t="shared" si="28"/>
        <v>0</v>
      </c>
      <c r="L167" s="889">
        <f t="shared" si="28"/>
        <v>0</v>
      </c>
      <c r="M167" s="1124">
        <f t="shared" si="28"/>
        <v>0</v>
      </c>
    </row>
    <row r="168" spans="1:13" s="5" customFormat="1" ht="11.25" customHeight="1" x14ac:dyDescent="0.25">
      <c r="B168" s="135"/>
      <c r="C168" s="1127" t="s">
        <v>1063</v>
      </c>
      <c r="D168" s="1107"/>
      <c r="E168" s="1128">
        <f>E163+E167</f>
        <v>0</v>
      </c>
      <c r="F168" s="891">
        <f t="shared" ref="F168:M168" si="29">F163+F167</f>
        <v>0</v>
      </c>
      <c r="G168" s="1129">
        <f t="shared" si="29"/>
        <v>0</v>
      </c>
      <c r="H168" s="1130">
        <f t="shared" si="29"/>
        <v>0</v>
      </c>
      <c r="I168" s="891">
        <f t="shared" si="29"/>
        <v>0</v>
      </c>
      <c r="J168" s="1131">
        <f t="shared" si="29"/>
        <v>0</v>
      </c>
      <c r="K168" s="1128">
        <f t="shared" si="29"/>
        <v>0</v>
      </c>
      <c r="L168" s="891">
        <f t="shared" si="29"/>
        <v>0</v>
      </c>
      <c r="M168" s="1129">
        <f t="shared" si="29"/>
        <v>0</v>
      </c>
    </row>
    <row r="169" spans="1:13" s="5" customFormat="1" ht="11.25" customHeight="1" x14ac:dyDescent="0.25">
      <c r="A169" s="1147" t="s">
        <v>1452</v>
      </c>
      <c r="B169" s="135"/>
      <c r="C169" s="1106" t="s">
        <v>601</v>
      </c>
      <c r="D169" s="1107"/>
      <c r="E169" s="1132"/>
      <c r="F169" s="887"/>
      <c r="G169" s="1133"/>
      <c r="H169" s="1134"/>
      <c r="I169" s="887"/>
      <c r="J169" s="1133"/>
      <c r="K169" s="1132"/>
      <c r="L169" s="887"/>
      <c r="M169" s="1135"/>
    </row>
    <row r="170" spans="1:13" s="5" customFormat="1" ht="11.25" customHeight="1" x14ac:dyDescent="0.25">
      <c r="B170" s="135"/>
      <c r="C170" s="1112" t="s">
        <v>1064</v>
      </c>
      <c r="D170" s="1107"/>
      <c r="E170" s="1113"/>
      <c r="F170" s="1114"/>
      <c r="G170" s="1115"/>
      <c r="H170" s="1116"/>
      <c r="I170" s="1114"/>
      <c r="J170" s="1117"/>
      <c r="K170" s="1113"/>
      <c r="L170" s="1114"/>
      <c r="M170" s="1115"/>
    </row>
    <row r="171" spans="1:13" s="5" customFormat="1" ht="11.25" customHeight="1" x14ac:dyDescent="0.25">
      <c r="B171" s="135"/>
      <c r="C171" s="1112" t="s">
        <v>1065</v>
      </c>
      <c r="D171" s="1107"/>
      <c r="E171" s="1113"/>
      <c r="F171" s="1114"/>
      <c r="G171" s="1115"/>
      <c r="H171" s="1116"/>
      <c r="I171" s="1114"/>
      <c r="J171" s="1117"/>
      <c r="K171" s="1113"/>
      <c r="L171" s="1114"/>
      <c r="M171" s="1115"/>
    </row>
    <row r="172" spans="1:13" s="5" customFormat="1" ht="11.25" customHeight="1" x14ac:dyDescent="0.25">
      <c r="B172" s="135"/>
      <c r="C172" s="1112" t="s">
        <v>1066</v>
      </c>
      <c r="D172" s="1107"/>
      <c r="E172" s="1113"/>
      <c r="F172" s="1114"/>
      <c r="G172" s="1115"/>
      <c r="H172" s="1116"/>
      <c r="I172" s="1114"/>
      <c r="J172" s="1117"/>
      <c r="K172" s="1113"/>
      <c r="L172" s="1114"/>
      <c r="M172" s="1115"/>
    </row>
    <row r="173" spans="1:13" s="5" customFormat="1" ht="11.25" customHeight="1" x14ac:dyDescent="0.25">
      <c r="B173" s="135"/>
      <c r="C173" s="1112" t="s">
        <v>296</v>
      </c>
      <c r="D173" s="1107"/>
      <c r="E173" s="1113"/>
      <c r="F173" s="1114"/>
      <c r="G173" s="1115"/>
      <c r="H173" s="1116"/>
      <c r="I173" s="1114"/>
      <c r="J173" s="1117"/>
      <c r="K173" s="1113"/>
      <c r="L173" s="1114"/>
      <c r="M173" s="1115"/>
    </row>
    <row r="174" spans="1:13" s="5" customFormat="1" ht="11.25" customHeight="1" x14ac:dyDescent="0.25">
      <c r="B174" s="135"/>
      <c r="C174" s="1112" t="s">
        <v>298</v>
      </c>
      <c r="D174" s="1107"/>
      <c r="E174" s="1113"/>
      <c r="F174" s="1114"/>
      <c r="G174" s="1115"/>
      <c r="H174" s="1116"/>
      <c r="I174" s="1114"/>
      <c r="J174" s="1117"/>
      <c r="K174" s="1113"/>
      <c r="L174" s="1114"/>
      <c r="M174" s="1115"/>
    </row>
    <row r="175" spans="1:13" s="5" customFormat="1" ht="11.25" customHeight="1" x14ac:dyDescent="0.25">
      <c r="B175" s="135"/>
      <c r="C175" s="1158" t="s">
        <v>1119</v>
      </c>
      <c r="D175" s="1107"/>
      <c r="E175" s="1119">
        <f>SUM(E170:E174)</f>
        <v>0</v>
      </c>
      <c r="F175" s="701">
        <f t="shared" ref="F175:M175" si="30">SUM(F170:F174)</f>
        <v>0</v>
      </c>
      <c r="G175" s="1120">
        <f t="shared" si="30"/>
        <v>0</v>
      </c>
      <c r="H175" s="1121">
        <f t="shared" si="30"/>
        <v>0</v>
      </c>
      <c r="I175" s="701">
        <f t="shared" si="30"/>
        <v>0</v>
      </c>
      <c r="J175" s="1122">
        <f t="shared" si="30"/>
        <v>0</v>
      </c>
      <c r="K175" s="1119">
        <f t="shared" si="30"/>
        <v>0</v>
      </c>
      <c r="L175" s="701">
        <f t="shared" si="30"/>
        <v>0</v>
      </c>
      <c r="M175" s="1120">
        <f t="shared" si="30"/>
        <v>0</v>
      </c>
    </row>
    <row r="176" spans="1:13" s="5" customFormat="1" ht="11.25" customHeight="1" x14ac:dyDescent="0.25">
      <c r="B176" s="135"/>
      <c r="C176" s="1112" t="s">
        <v>297</v>
      </c>
      <c r="D176" s="1107"/>
      <c r="E176" s="1113"/>
      <c r="F176" s="1114"/>
      <c r="G176" s="1115"/>
      <c r="H176" s="1116"/>
      <c r="I176" s="1114"/>
      <c r="J176" s="1117"/>
      <c r="K176" s="1113"/>
      <c r="L176" s="1114"/>
      <c r="M176" s="1115"/>
    </row>
    <row r="177" spans="1:13" s="5" customFormat="1" ht="11.25" customHeight="1" x14ac:dyDescent="0.25">
      <c r="B177" s="135"/>
      <c r="C177" s="1112" t="s">
        <v>299</v>
      </c>
      <c r="D177" s="1107"/>
      <c r="E177" s="1113"/>
      <c r="F177" s="1114"/>
      <c r="G177" s="1115"/>
      <c r="H177" s="1116"/>
      <c r="I177" s="1114"/>
      <c r="J177" s="1117"/>
      <c r="K177" s="1113"/>
      <c r="L177" s="1114"/>
      <c r="M177" s="1115"/>
    </row>
    <row r="178" spans="1:13" s="5" customFormat="1" ht="11.25" customHeight="1" x14ac:dyDescent="0.25">
      <c r="B178" s="135"/>
      <c r="C178" s="1112" t="s">
        <v>1067</v>
      </c>
      <c r="D178" s="1107"/>
      <c r="E178" s="1113"/>
      <c r="F178" s="1114"/>
      <c r="G178" s="1115"/>
      <c r="H178" s="1116"/>
      <c r="I178" s="1114"/>
      <c r="J178" s="1117"/>
      <c r="K178" s="1113"/>
      <c r="L178" s="1114"/>
      <c r="M178" s="1115"/>
    </row>
    <row r="179" spans="1:13" s="5" customFormat="1" ht="11.25" customHeight="1" x14ac:dyDescent="0.25">
      <c r="B179" s="135"/>
      <c r="C179" s="1158" t="s">
        <v>1446</v>
      </c>
      <c r="D179" s="1107"/>
      <c r="E179" s="1123">
        <f>SUM(E176:E178)</f>
        <v>0</v>
      </c>
      <c r="F179" s="889">
        <f t="shared" ref="F179:M179" si="31">SUM(F176:F178)</f>
        <v>0</v>
      </c>
      <c r="G179" s="1124">
        <f t="shared" si="31"/>
        <v>0</v>
      </c>
      <c r="H179" s="1125">
        <f t="shared" si="31"/>
        <v>0</v>
      </c>
      <c r="I179" s="889">
        <f t="shared" si="31"/>
        <v>0</v>
      </c>
      <c r="J179" s="1126">
        <f t="shared" si="31"/>
        <v>0</v>
      </c>
      <c r="K179" s="1123">
        <f t="shared" si="31"/>
        <v>0</v>
      </c>
      <c r="L179" s="889">
        <f t="shared" si="31"/>
        <v>0</v>
      </c>
      <c r="M179" s="1124">
        <f t="shared" si="31"/>
        <v>0</v>
      </c>
    </row>
    <row r="180" spans="1:13" s="5" customFormat="1" ht="11.25" customHeight="1" x14ac:dyDescent="0.25">
      <c r="B180" s="135"/>
      <c r="C180" s="1127" t="s">
        <v>1063</v>
      </c>
      <c r="D180" s="1107"/>
      <c r="E180" s="1128">
        <f>E175+E179</f>
        <v>0</v>
      </c>
      <c r="F180" s="891">
        <f t="shared" ref="F180:M180" si="32">F175+F179</f>
        <v>0</v>
      </c>
      <c r="G180" s="1129">
        <f t="shared" si="32"/>
        <v>0</v>
      </c>
      <c r="H180" s="1130">
        <f t="shared" si="32"/>
        <v>0</v>
      </c>
      <c r="I180" s="891">
        <f t="shared" si="32"/>
        <v>0</v>
      </c>
      <c r="J180" s="1131">
        <f t="shared" si="32"/>
        <v>0</v>
      </c>
      <c r="K180" s="1128">
        <f t="shared" si="32"/>
        <v>0</v>
      </c>
      <c r="L180" s="891">
        <f t="shared" si="32"/>
        <v>0</v>
      </c>
      <c r="M180" s="1129">
        <f t="shared" si="32"/>
        <v>0</v>
      </c>
    </row>
    <row r="181" spans="1:13" s="5" customFormat="1" ht="11.25" customHeight="1" x14ac:dyDescent="0.25">
      <c r="A181" s="1147" t="s">
        <v>1452</v>
      </c>
      <c r="B181" s="135"/>
      <c r="C181" s="1106" t="s">
        <v>602</v>
      </c>
      <c r="D181" s="1107"/>
      <c r="E181" s="1132"/>
      <c r="F181" s="887"/>
      <c r="G181" s="1133"/>
      <c r="H181" s="1134"/>
      <c r="I181" s="887"/>
      <c r="J181" s="1133"/>
      <c r="K181" s="1132"/>
      <c r="L181" s="887"/>
      <c r="M181" s="1135"/>
    </row>
    <row r="182" spans="1:13" s="5" customFormat="1" ht="11.25" customHeight="1" x14ac:dyDescent="0.25">
      <c r="B182" s="135"/>
      <c r="C182" s="1112" t="s">
        <v>1447</v>
      </c>
      <c r="D182" s="1107"/>
      <c r="E182" s="1113"/>
      <c r="F182" s="1114"/>
      <c r="G182" s="1115"/>
      <c r="H182" s="1116"/>
      <c r="I182" s="1114"/>
      <c r="J182" s="1117"/>
      <c r="K182" s="1113"/>
      <c r="L182" s="1114"/>
      <c r="M182" s="1115"/>
    </row>
    <row r="183" spans="1:13" s="5" customFormat="1" ht="11.25" customHeight="1" x14ac:dyDescent="0.25">
      <c r="B183" s="135"/>
      <c r="C183" s="1112" t="s">
        <v>1448</v>
      </c>
      <c r="D183" s="1107"/>
      <c r="E183" s="1113"/>
      <c r="F183" s="1114"/>
      <c r="G183" s="1115"/>
      <c r="H183" s="1116"/>
      <c r="I183" s="1114"/>
      <c r="J183" s="1117"/>
      <c r="K183" s="1113"/>
      <c r="L183" s="1114"/>
      <c r="M183" s="1115"/>
    </row>
    <row r="184" spans="1:13" s="5" customFormat="1" ht="11.25" customHeight="1" x14ac:dyDescent="0.25">
      <c r="B184" s="135"/>
      <c r="C184" s="1158" t="s">
        <v>1119</v>
      </c>
      <c r="D184" s="1107"/>
      <c r="E184" s="1119">
        <f>SUM(E182:E183)</f>
        <v>0</v>
      </c>
      <c r="F184" s="701">
        <f t="shared" ref="F184:M184" si="33">SUM(F182:F183)</f>
        <v>0</v>
      </c>
      <c r="G184" s="1120">
        <f t="shared" si="33"/>
        <v>0</v>
      </c>
      <c r="H184" s="1121">
        <f t="shared" si="33"/>
        <v>0</v>
      </c>
      <c r="I184" s="701">
        <f t="shared" si="33"/>
        <v>0</v>
      </c>
      <c r="J184" s="1122">
        <f t="shared" si="33"/>
        <v>0</v>
      </c>
      <c r="K184" s="1119">
        <f t="shared" si="33"/>
        <v>0</v>
      </c>
      <c r="L184" s="701">
        <f t="shared" si="33"/>
        <v>0</v>
      </c>
      <c r="M184" s="1120">
        <f t="shared" si="33"/>
        <v>0</v>
      </c>
    </row>
    <row r="185" spans="1:13" s="5" customFormat="1" ht="11.25" customHeight="1" x14ac:dyDescent="0.25">
      <c r="B185" s="135"/>
      <c r="C185" s="1112" t="s">
        <v>1068</v>
      </c>
      <c r="D185" s="1107"/>
      <c r="E185" s="1113"/>
      <c r="F185" s="1114"/>
      <c r="G185" s="1115"/>
      <c r="H185" s="1116"/>
      <c r="I185" s="1114"/>
      <c r="J185" s="1117"/>
      <c r="K185" s="1113"/>
      <c r="L185" s="1114"/>
      <c r="M185" s="1115"/>
    </row>
    <row r="186" spans="1:13" s="5" customFormat="1" ht="11.25" customHeight="1" x14ac:dyDescent="0.25">
      <c r="B186" s="135"/>
      <c r="C186" s="1112" t="s">
        <v>1069</v>
      </c>
      <c r="D186" s="1107"/>
      <c r="E186" s="1113"/>
      <c r="F186" s="1114"/>
      <c r="G186" s="1115"/>
      <c r="H186" s="1116"/>
      <c r="I186" s="1114"/>
      <c r="J186" s="1117"/>
      <c r="K186" s="1113"/>
      <c r="L186" s="1114"/>
      <c r="M186" s="1115"/>
    </row>
    <row r="187" spans="1:13" s="5" customFormat="1" ht="11.25" customHeight="1" x14ac:dyDescent="0.25">
      <c r="B187" s="135"/>
      <c r="C187" s="1112" t="s">
        <v>1070</v>
      </c>
      <c r="D187" s="1107"/>
      <c r="E187" s="1113"/>
      <c r="F187" s="1114"/>
      <c r="G187" s="1115"/>
      <c r="H187" s="1116"/>
      <c r="I187" s="1114"/>
      <c r="J187" s="1117"/>
      <c r="K187" s="1113"/>
      <c r="L187" s="1114"/>
      <c r="M187" s="1115"/>
    </row>
    <row r="188" spans="1:13" s="5" customFormat="1" ht="11.25" customHeight="1" x14ac:dyDescent="0.25">
      <c r="B188" s="135"/>
      <c r="C188" s="1158" t="s">
        <v>1446</v>
      </c>
      <c r="D188" s="1107"/>
      <c r="E188" s="1123">
        <f>SUM(E185:E187)</f>
        <v>0</v>
      </c>
      <c r="F188" s="889">
        <f t="shared" ref="F188:M188" si="34">SUM(F185:F187)</f>
        <v>0</v>
      </c>
      <c r="G188" s="1124">
        <f t="shared" si="34"/>
        <v>0</v>
      </c>
      <c r="H188" s="1125">
        <f t="shared" si="34"/>
        <v>0</v>
      </c>
      <c r="I188" s="889">
        <f t="shared" si="34"/>
        <v>0</v>
      </c>
      <c r="J188" s="1126">
        <f t="shared" si="34"/>
        <v>0</v>
      </c>
      <c r="K188" s="1123">
        <f t="shared" si="34"/>
        <v>0</v>
      </c>
      <c r="L188" s="889">
        <f t="shared" si="34"/>
        <v>0</v>
      </c>
      <c r="M188" s="1124">
        <f t="shared" si="34"/>
        <v>0</v>
      </c>
    </row>
    <row r="189" spans="1:13" s="5" customFormat="1" ht="11.25" customHeight="1" x14ac:dyDescent="0.25">
      <c r="B189" s="135"/>
      <c r="C189" s="1127" t="s">
        <v>1063</v>
      </c>
      <c r="D189" s="1107"/>
      <c r="E189" s="1128">
        <f>E184+E188</f>
        <v>0</v>
      </c>
      <c r="F189" s="891">
        <f t="shared" ref="F189:M189" si="35">F184+F188</f>
        <v>0</v>
      </c>
      <c r="G189" s="1129">
        <f t="shared" si="35"/>
        <v>0</v>
      </c>
      <c r="H189" s="1130">
        <f t="shared" si="35"/>
        <v>0</v>
      </c>
      <c r="I189" s="891">
        <f t="shared" si="35"/>
        <v>0</v>
      </c>
      <c r="J189" s="1131">
        <f t="shared" si="35"/>
        <v>0</v>
      </c>
      <c r="K189" s="1128">
        <f t="shared" si="35"/>
        <v>0</v>
      </c>
      <c r="L189" s="891">
        <f t="shared" si="35"/>
        <v>0</v>
      </c>
      <c r="M189" s="1129">
        <f t="shared" si="35"/>
        <v>0</v>
      </c>
    </row>
    <row r="190" spans="1:13" s="5" customFormat="1" ht="11.25" customHeight="1" x14ac:dyDescent="0.25">
      <c r="A190" s="1147" t="s">
        <v>1452</v>
      </c>
      <c r="B190" s="135"/>
      <c r="C190" s="1106" t="s">
        <v>603</v>
      </c>
      <c r="D190" s="1107"/>
      <c r="E190" s="1132"/>
      <c r="F190" s="887"/>
      <c r="G190" s="1133"/>
      <c r="H190" s="1134"/>
      <c r="I190" s="887"/>
      <c r="J190" s="1133"/>
      <c r="K190" s="1132"/>
      <c r="L190" s="887"/>
      <c r="M190" s="1135"/>
    </row>
    <row r="191" spans="1:13" s="5" customFormat="1" ht="11.25" customHeight="1" x14ac:dyDescent="0.25">
      <c r="B191" s="135"/>
      <c r="C191" s="1112" t="s">
        <v>1449</v>
      </c>
      <c r="D191" s="1107"/>
      <c r="E191" s="1136"/>
      <c r="F191" s="1137"/>
      <c r="G191" s="1138"/>
      <c r="H191" s="1139"/>
      <c r="I191" s="1137"/>
      <c r="J191" s="1140"/>
      <c r="K191" s="1136"/>
      <c r="L191" s="1137"/>
      <c r="M191" s="1138"/>
    </row>
    <row r="192" spans="1:13" s="5" customFormat="1" ht="11.25" customHeight="1" x14ac:dyDescent="0.25">
      <c r="B192" s="135"/>
      <c r="C192" s="1158" t="s">
        <v>1119</v>
      </c>
      <c r="D192" s="1107"/>
      <c r="E192" s="1132">
        <f>SUM(E191)</f>
        <v>0</v>
      </c>
      <c r="F192" s="887">
        <f t="shared" ref="F192:M192" si="36">SUM(F191)</f>
        <v>0</v>
      </c>
      <c r="G192" s="1135">
        <f t="shared" si="36"/>
        <v>0</v>
      </c>
      <c r="H192" s="1134">
        <f t="shared" si="36"/>
        <v>0</v>
      </c>
      <c r="I192" s="887">
        <f t="shared" si="36"/>
        <v>0</v>
      </c>
      <c r="J192" s="1133">
        <f t="shared" si="36"/>
        <v>0</v>
      </c>
      <c r="K192" s="1132">
        <f t="shared" si="36"/>
        <v>0</v>
      </c>
      <c r="L192" s="887">
        <f t="shared" si="36"/>
        <v>0</v>
      </c>
      <c r="M192" s="1135">
        <f t="shared" si="36"/>
        <v>0</v>
      </c>
    </row>
    <row r="193" spans="1:13" s="5" customFormat="1" ht="11.25" customHeight="1" x14ac:dyDescent="0.25">
      <c r="B193" s="135"/>
      <c r="C193" s="1112" t="s">
        <v>1072</v>
      </c>
      <c r="D193" s="1107"/>
      <c r="E193" s="1113"/>
      <c r="F193" s="1114"/>
      <c r="G193" s="1115"/>
      <c r="H193" s="1116"/>
      <c r="I193" s="1114"/>
      <c r="J193" s="1117"/>
      <c r="K193" s="1113"/>
      <c r="L193" s="1114"/>
      <c r="M193" s="1115"/>
    </row>
    <row r="194" spans="1:13" s="5" customFormat="1" ht="11.25" customHeight="1" x14ac:dyDescent="0.25">
      <c r="B194" s="135"/>
      <c r="C194" s="1112" t="s">
        <v>1073</v>
      </c>
      <c r="D194" s="1107"/>
      <c r="E194" s="1113"/>
      <c r="F194" s="1114"/>
      <c r="G194" s="1115"/>
      <c r="H194" s="1116"/>
      <c r="I194" s="1114"/>
      <c r="J194" s="1117"/>
      <c r="K194" s="1113"/>
      <c r="L194" s="1114"/>
      <c r="M194" s="1115"/>
    </row>
    <row r="195" spans="1:13" s="5" customFormat="1" ht="11.25" customHeight="1" x14ac:dyDescent="0.25">
      <c r="B195" s="135"/>
      <c r="C195" s="1112" t="s">
        <v>1074</v>
      </c>
      <c r="D195" s="1107"/>
      <c r="E195" s="1113"/>
      <c r="F195" s="1114"/>
      <c r="G195" s="1115"/>
      <c r="H195" s="1116"/>
      <c r="I195" s="1114"/>
      <c r="J195" s="1117"/>
      <c r="K195" s="1113"/>
      <c r="L195" s="1114"/>
      <c r="M195" s="1115"/>
    </row>
    <row r="196" spans="1:13" s="5" customFormat="1" ht="11.25" customHeight="1" x14ac:dyDescent="0.25">
      <c r="B196" s="135"/>
      <c r="C196" s="1112" t="s">
        <v>1075</v>
      </c>
      <c r="D196" s="1107"/>
      <c r="E196" s="1113"/>
      <c r="F196" s="1114"/>
      <c r="G196" s="1115"/>
      <c r="H196" s="1116"/>
      <c r="I196" s="1114"/>
      <c r="J196" s="1117"/>
      <c r="K196" s="1113"/>
      <c r="L196" s="1114"/>
      <c r="M196" s="1115"/>
    </row>
    <row r="197" spans="1:13" s="5" customFormat="1" ht="11.25" customHeight="1" x14ac:dyDescent="0.25">
      <c r="B197" s="135"/>
      <c r="C197" s="1112" t="s">
        <v>1076</v>
      </c>
      <c r="D197" s="1107"/>
      <c r="E197" s="1113"/>
      <c r="F197" s="1114"/>
      <c r="G197" s="1115"/>
      <c r="H197" s="1116"/>
      <c r="I197" s="1114"/>
      <c r="J197" s="1117"/>
      <c r="K197" s="1113"/>
      <c r="L197" s="1114"/>
      <c r="M197" s="1115"/>
    </row>
    <row r="198" spans="1:13" s="5" customFormat="1" ht="11.25" customHeight="1" x14ac:dyDescent="0.25">
      <c r="B198" s="135"/>
      <c r="C198" s="1158" t="s">
        <v>1446</v>
      </c>
      <c r="D198" s="1107"/>
      <c r="E198" s="1123">
        <f t="shared" ref="E198:M198" si="37">SUM(E193:E197)</f>
        <v>0</v>
      </c>
      <c r="F198" s="889">
        <f t="shared" si="37"/>
        <v>0</v>
      </c>
      <c r="G198" s="1124">
        <f t="shared" si="37"/>
        <v>0</v>
      </c>
      <c r="H198" s="1125">
        <f t="shared" si="37"/>
        <v>0</v>
      </c>
      <c r="I198" s="889">
        <f t="shared" si="37"/>
        <v>0</v>
      </c>
      <c r="J198" s="1126">
        <f t="shared" si="37"/>
        <v>0</v>
      </c>
      <c r="K198" s="1123">
        <f t="shared" si="37"/>
        <v>0</v>
      </c>
      <c r="L198" s="889">
        <f t="shared" si="37"/>
        <v>0</v>
      </c>
      <c r="M198" s="1124">
        <f t="shared" si="37"/>
        <v>0</v>
      </c>
    </row>
    <row r="199" spans="1:13" s="5" customFormat="1" ht="11.25" customHeight="1" x14ac:dyDescent="0.25">
      <c r="B199" s="135"/>
      <c r="C199" s="1127" t="s">
        <v>1063</v>
      </c>
      <c r="D199" s="1107"/>
      <c r="E199" s="1128">
        <f>E192+E198</f>
        <v>0</v>
      </c>
      <c r="F199" s="891">
        <f t="shared" ref="F199:M199" si="38">F192+F198</f>
        <v>0</v>
      </c>
      <c r="G199" s="1129">
        <f t="shared" si="38"/>
        <v>0</v>
      </c>
      <c r="H199" s="1130">
        <f t="shared" si="38"/>
        <v>0</v>
      </c>
      <c r="I199" s="891">
        <f t="shared" si="38"/>
        <v>0</v>
      </c>
      <c r="J199" s="1131">
        <f t="shared" si="38"/>
        <v>0</v>
      </c>
      <c r="K199" s="1128">
        <f t="shared" si="38"/>
        <v>0</v>
      </c>
      <c r="L199" s="891">
        <f t="shared" si="38"/>
        <v>0</v>
      </c>
      <c r="M199" s="1129">
        <f t="shared" si="38"/>
        <v>0</v>
      </c>
    </row>
    <row r="200" spans="1:13" s="5" customFormat="1" ht="5.0999999999999996" customHeight="1" x14ac:dyDescent="0.25">
      <c r="B200" s="135"/>
      <c r="C200" s="1141"/>
      <c r="D200" s="1142"/>
      <c r="E200" s="1143"/>
      <c r="F200" s="270"/>
      <c r="G200" s="1144"/>
      <c r="H200" s="1145"/>
      <c r="I200" s="270"/>
      <c r="J200" s="1146"/>
      <c r="K200" s="1143"/>
      <c r="L200" s="270"/>
      <c r="M200" s="1144"/>
    </row>
    <row r="201" spans="1:13" s="5" customFormat="1" ht="24.95" customHeight="1" x14ac:dyDescent="0.25">
      <c r="A201" s="1460" t="s">
        <v>1453</v>
      </c>
      <c r="B201" s="1083"/>
      <c r="C201" s="1084"/>
      <c r="D201" s="1085"/>
      <c r="E201" s="1086" t="str">
        <f>Head1B</f>
        <v>2017/18</v>
      </c>
      <c r="F201" s="1087" t="str">
        <f>Head1A</f>
        <v>2018/19</v>
      </c>
      <c r="G201" s="1088" t="str">
        <f>Head1</f>
        <v>2019/20</v>
      </c>
      <c r="H201" s="1443" t="str">
        <f>Head2</f>
        <v>Budget Year 2020/21</v>
      </c>
      <c r="I201" s="1444"/>
      <c r="J201" s="1461"/>
      <c r="K201" s="1443" t="str">
        <f>Head3</f>
        <v>2020/21 Medium Term Revenue &amp; Expenditure Framework</v>
      </c>
      <c r="L201" s="1444"/>
      <c r="M201" s="1461"/>
    </row>
    <row r="202" spans="1:13" s="5" customFormat="1" ht="24.95" customHeight="1" x14ac:dyDescent="0.25">
      <c r="A202" s="1460"/>
      <c r="B202" s="1089" t="s">
        <v>1342</v>
      </c>
      <c r="C202" s="1090"/>
      <c r="D202" s="1091"/>
      <c r="E202" s="1092" t="str">
        <f>Head5A</f>
        <v>Outcome</v>
      </c>
      <c r="F202" s="1093" t="str">
        <f>Head5A</f>
        <v>Outcome</v>
      </c>
      <c r="G202" s="1094" t="str">
        <f>Head5A</f>
        <v>Outcome</v>
      </c>
      <c r="H202" s="1095" t="str">
        <f>Head6</f>
        <v>Original Budget</v>
      </c>
      <c r="I202" s="1093" t="str">
        <f>Head7</f>
        <v>Adjusted Budget</v>
      </c>
      <c r="J202" s="1094" t="str">
        <f>Head8</f>
        <v>Full Year Forecast</v>
      </c>
      <c r="K202" s="1095" t="str">
        <f>Head9</f>
        <v>Budget Year 2020/21</v>
      </c>
      <c r="L202" s="1093" t="str">
        <f>Head10</f>
        <v>Budget Year +1 2021/22</v>
      </c>
      <c r="M202" s="1094" t="str">
        <f>Head11</f>
        <v>Budget Year +2 2022/23</v>
      </c>
    </row>
    <row r="203" spans="1:13" s="5" customFormat="1" ht="11.25" customHeight="1" x14ac:dyDescent="0.25">
      <c r="A203" s="1148" t="s">
        <v>1454</v>
      </c>
      <c r="B203" s="135"/>
      <c r="C203" s="1096" t="s">
        <v>1445</v>
      </c>
      <c r="D203" s="1107"/>
      <c r="E203" s="1098"/>
      <c r="F203" s="1099"/>
      <c r="G203" s="1100"/>
      <c r="H203" s="1101"/>
      <c r="I203" s="1102"/>
      <c r="J203" s="1103"/>
      <c r="K203" s="1104"/>
      <c r="L203" s="1102"/>
      <c r="M203" s="1105"/>
    </row>
    <row r="204" spans="1:13" s="5" customFormat="1" ht="11.25" customHeight="1" x14ac:dyDescent="0.25">
      <c r="A204" s="1149"/>
      <c r="B204" s="135"/>
      <c r="C204" s="1106" t="s">
        <v>600</v>
      </c>
      <c r="D204" s="1107"/>
      <c r="E204" s="704"/>
      <c r="F204" s="255"/>
      <c r="G204" s="1108"/>
      <c r="H204" s="1109"/>
      <c r="I204" s="130"/>
      <c r="J204" s="884"/>
      <c r="K204" s="1110"/>
      <c r="L204" s="130"/>
      <c r="M204" s="1111"/>
    </row>
    <row r="205" spans="1:13" s="5" customFormat="1" ht="11.25" customHeight="1" x14ac:dyDescent="0.25">
      <c r="A205" s="1149"/>
      <c r="B205" s="135"/>
      <c r="C205" s="1112" t="s">
        <v>1055</v>
      </c>
      <c r="D205" s="1107"/>
      <c r="E205" s="1113"/>
      <c r="F205" s="1114"/>
      <c r="G205" s="1115"/>
      <c r="H205" s="1116"/>
      <c r="I205" s="1114"/>
      <c r="J205" s="1117"/>
      <c r="K205" s="1113"/>
      <c r="L205" s="1114"/>
      <c r="M205" s="1115"/>
    </row>
    <row r="206" spans="1:13" s="5" customFormat="1" ht="11.25" customHeight="1" x14ac:dyDescent="0.25">
      <c r="A206" s="1149"/>
      <c r="B206" s="135"/>
      <c r="C206" s="1112" t="s">
        <v>1056</v>
      </c>
      <c r="D206" s="1107"/>
      <c r="E206" s="1113"/>
      <c r="F206" s="1114"/>
      <c r="G206" s="1115"/>
      <c r="H206" s="1116"/>
      <c r="I206" s="1114"/>
      <c r="J206" s="1117"/>
      <c r="K206" s="1113"/>
      <c r="L206" s="1114"/>
      <c r="M206" s="1115"/>
    </row>
    <row r="207" spans="1:13" s="5" customFormat="1" ht="11.25" customHeight="1" x14ac:dyDescent="0.25">
      <c r="A207" s="1149"/>
      <c r="B207" s="1118">
        <v>8</v>
      </c>
      <c r="C207" s="1112" t="s">
        <v>1057</v>
      </c>
      <c r="D207" s="1107"/>
      <c r="E207" s="1113"/>
      <c r="F207" s="1114"/>
      <c r="G207" s="1115"/>
      <c r="H207" s="1116"/>
      <c r="I207" s="1114"/>
      <c r="J207" s="1117"/>
      <c r="K207" s="1113"/>
      <c r="L207" s="1114"/>
      <c r="M207" s="1115"/>
    </row>
    <row r="208" spans="1:13" s="5" customFormat="1" ht="11.25" customHeight="1" x14ac:dyDescent="0.25">
      <c r="A208" s="1149"/>
      <c r="B208" s="1118">
        <v>10</v>
      </c>
      <c r="C208" s="1112" t="s">
        <v>1058</v>
      </c>
      <c r="D208" s="1107"/>
      <c r="E208" s="1113"/>
      <c r="F208" s="1114"/>
      <c r="G208" s="1115"/>
      <c r="H208" s="1116"/>
      <c r="I208" s="1114"/>
      <c r="J208" s="1117"/>
      <c r="K208" s="1113"/>
      <c r="L208" s="1114"/>
      <c r="M208" s="1115"/>
    </row>
    <row r="209" spans="1:13" s="5" customFormat="1" ht="11.25" customHeight="1" x14ac:dyDescent="0.25">
      <c r="A209" s="1149"/>
      <c r="B209" s="1118"/>
      <c r="C209" s="1158" t="s">
        <v>1119</v>
      </c>
      <c r="D209" s="1107"/>
      <c r="E209" s="1119">
        <f>SUM(E205:E208)</f>
        <v>0</v>
      </c>
      <c r="F209" s="701">
        <f t="shared" ref="F209:M209" si="39">SUM(F205:F208)</f>
        <v>0</v>
      </c>
      <c r="G209" s="1120">
        <f t="shared" si="39"/>
        <v>0</v>
      </c>
      <c r="H209" s="1121">
        <f t="shared" si="39"/>
        <v>0</v>
      </c>
      <c r="I209" s="701">
        <f t="shared" si="39"/>
        <v>0</v>
      </c>
      <c r="J209" s="1122">
        <f t="shared" si="39"/>
        <v>0</v>
      </c>
      <c r="K209" s="1119">
        <f t="shared" si="39"/>
        <v>0</v>
      </c>
      <c r="L209" s="701">
        <f t="shared" si="39"/>
        <v>0</v>
      </c>
      <c r="M209" s="1120">
        <f t="shared" si="39"/>
        <v>0</v>
      </c>
    </row>
    <row r="210" spans="1:13" s="5" customFormat="1" ht="11.25" customHeight="1" x14ac:dyDescent="0.25">
      <c r="A210" s="1149"/>
      <c r="B210" s="1118">
        <v>9</v>
      </c>
      <c r="C210" s="1112" t="s">
        <v>1059</v>
      </c>
      <c r="D210" s="1107"/>
      <c r="E210" s="1113"/>
      <c r="F210" s="1114"/>
      <c r="G210" s="1115"/>
      <c r="H210" s="1116"/>
      <c r="I210" s="1114"/>
      <c r="J210" s="1117"/>
      <c r="K210" s="1113"/>
      <c r="L210" s="1114"/>
      <c r="M210" s="1115"/>
    </row>
    <row r="211" spans="1:13" s="5" customFormat="1" ht="11.25" customHeight="1" x14ac:dyDescent="0.25">
      <c r="A211" s="1149"/>
      <c r="B211" s="1118">
        <v>10</v>
      </c>
      <c r="C211" s="1112" t="s">
        <v>1060</v>
      </c>
      <c r="D211" s="1107"/>
      <c r="E211" s="1113"/>
      <c r="F211" s="1114"/>
      <c r="G211" s="1115"/>
      <c r="H211" s="1116"/>
      <c r="I211" s="1114"/>
      <c r="J211" s="1117"/>
      <c r="K211" s="1113"/>
      <c r="L211" s="1114"/>
      <c r="M211" s="1115"/>
    </row>
    <row r="212" spans="1:13" s="5" customFormat="1" ht="11.25" customHeight="1" x14ac:dyDescent="0.25">
      <c r="A212" s="1149"/>
      <c r="B212" s="135"/>
      <c r="C212" s="1112" t="s">
        <v>1062</v>
      </c>
      <c r="D212" s="1107"/>
      <c r="E212" s="1113"/>
      <c r="F212" s="1114"/>
      <c r="G212" s="1115"/>
      <c r="H212" s="1116"/>
      <c r="I212" s="1114"/>
      <c r="J212" s="1117"/>
      <c r="K212" s="1113"/>
      <c r="L212" s="1114"/>
      <c r="M212" s="1115"/>
    </row>
    <row r="213" spans="1:13" s="5" customFormat="1" ht="11.25" customHeight="1" x14ac:dyDescent="0.25">
      <c r="A213" s="1149"/>
      <c r="B213" s="135"/>
      <c r="C213" s="1158" t="s">
        <v>1446</v>
      </c>
      <c r="D213" s="1107"/>
      <c r="E213" s="1123">
        <f>SUM(E210:E212)</f>
        <v>0</v>
      </c>
      <c r="F213" s="889">
        <f t="shared" ref="F213:M213" si="40">SUM(F210:F212)</f>
        <v>0</v>
      </c>
      <c r="G213" s="1124">
        <f t="shared" si="40"/>
        <v>0</v>
      </c>
      <c r="H213" s="1125">
        <f t="shared" si="40"/>
        <v>0</v>
      </c>
      <c r="I213" s="889">
        <f t="shared" si="40"/>
        <v>0</v>
      </c>
      <c r="J213" s="1126">
        <f t="shared" si="40"/>
        <v>0</v>
      </c>
      <c r="K213" s="1123">
        <f t="shared" si="40"/>
        <v>0</v>
      </c>
      <c r="L213" s="889">
        <f t="shared" si="40"/>
        <v>0</v>
      </c>
      <c r="M213" s="1124">
        <f t="shared" si="40"/>
        <v>0</v>
      </c>
    </row>
    <row r="214" spans="1:13" s="5" customFormat="1" ht="11.25" customHeight="1" x14ac:dyDescent="0.25">
      <c r="B214" s="135"/>
      <c r="C214" s="1127" t="s">
        <v>1063</v>
      </c>
      <c r="D214" s="1107"/>
      <c r="E214" s="1128">
        <f>E209+E213</f>
        <v>0</v>
      </c>
      <c r="F214" s="891">
        <f t="shared" ref="F214:M214" si="41">F209+F213</f>
        <v>0</v>
      </c>
      <c r="G214" s="1129">
        <f t="shared" si="41"/>
        <v>0</v>
      </c>
      <c r="H214" s="1130">
        <f t="shared" si="41"/>
        <v>0</v>
      </c>
      <c r="I214" s="891">
        <f t="shared" si="41"/>
        <v>0</v>
      </c>
      <c r="J214" s="1131">
        <f t="shared" si="41"/>
        <v>0</v>
      </c>
      <c r="K214" s="1128">
        <f t="shared" si="41"/>
        <v>0</v>
      </c>
      <c r="L214" s="891">
        <f t="shared" si="41"/>
        <v>0</v>
      </c>
      <c r="M214" s="1129">
        <f t="shared" si="41"/>
        <v>0</v>
      </c>
    </row>
    <row r="215" spans="1:13" s="5" customFormat="1" ht="11.25" customHeight="1" x14ac:dyDescent="0.25">
      <c r="A215" s="1148" t="s">
        <v>1454</v>
      </c>
      <c r="B215" s="135"/>
      <c r="C215" s="1106" t="s">
        <v>601</v>
      </c>
      <c r="D215" s="1107"/>
      <c r="E215" s="1132"/>
      <c r="F215" s="887"/>
      <c r="G215" s="1133"/>
      <c r="H215" s="1134"/>
      <c r="I215" s="887"/>
      <c r="J215" s="1133"/>
      <c r="K215" s="1132"/>
      <c r="L215" s="887"/>
      <c r="M215" s="1135"/>
    </row>
    <row r="216" spans="1:13" s="5" customFormat="1" ht="11.25" customHeight="1" x14ac:dyDescent="0.25">
      <c r="A216" s="1149"/>
      <c r="B216" s="135"/>
      <c r="C216" s="1112" t="s">
        <v>1064</v>
      </c>
      <c r="D216" s="1107"/>
      <c r="E216" s="1113"/>
      <c r="F216" s="1114"/>
      <c r="G216" s="1115"/>
      <c r="H216" s="1116"/>
      <c r="I216" s="1114"/>
      <c r="J216" s="1117"/>
      <c r="K216" s="1113"/>
      <c r="L216" s="1114"/>
      <c r="M216" s="1115"/>
    </row>
    <row r="217" spans="1:13" s="5" customFormat="1" ht="11.25" customHeight="1" x14ac:dyDescent="0.25">
      <c r="A217" s="1149"/>
      <c r="B217" s="135"/>
      <c r="C217" s="1112" t="s">
        <v>1065</v>
      </c>
      <c r="D217" s="1107"/>
      <c r="E217" s="1113"/>
      <c r="F217" s="1114"/>
      <c r="G217" s="1115"/>
      <c r="H217" s="1116"/>
      <c r="I217" s="1114"/>
      <c r="J217" s="1117"/>
      <c r="K217" s="1113"/>
      <c r="L217" s="1114"/>
      <c r="M217" s="1115"/>
    </row>
    <row r="218" spans="1:13" s="5" customFormat="1" ht="11.25" customHeight="1" x14ac:dyDescent="0.25">
      <c r="A218" s="1149"/>
      <c r="B218" s="135"/>
      <c r="C218" s="1112" t="s">
        <v>1066</v>
      </c>
      <c r="D218" s="1107"/>
      <c r="E218" s="1113"/>
      <c r="F218" s="1114"/>
      <c r="G218" s="1115"/>
      <c r="H218" s="1116"/>
      <c r="I218" s="1114"/>
      <c r="J218" s="1117"/>
      <c r="K218" s="1113"/>
      <c r="L218" s="1114"/>
      <c r="M218" s="1115"/>
    </row>
    <row r="219" spans="1:13" s="5" customFormat="1" ht="11.25" customHeight="1" x14ac:dyDescent="0.25">
      <c r="A219" s="1149"/>
      <c r="B219" s="135"/>
      <c r="C219" s="1112" t="s">
        <v>296</v>
      </c>
      <c r="D219" s="1107"/>
      <c r="E219" s="1113"/>
      <c r="F219" s="1114"/>
      <c r="G219" s="1115"/>
      <c r="H219" s="1116"/>
      <c r="I219" s="1114"/>
      <c r="J219" s="1117"/>
      <c r="K219" s="1113"/>
      <c r="L219" s="1114"/>
      <c r="M219" s="1115"/>
    </row>
    <row r="220" spans="1:13" s="5" customFormat="1" ht="11.25" customHeight="1" x14ac:dyDescent="0.25">
      <c r="A220" s="1149"/>
      <c r="B220" s="135"/>
      <c r="C220" s="1112" t="s">
        <v>298</v>
      </c>
      <c r="D220" s="1107"/>
      <c r="E220" s="1113"/>
      <c r="F220" s="1114"/>
      <c r="G220" s="1115"/>
      <c r="H220" s="1116"/>
      <c r="I220" s="1114"/>
      <c r="J220" s="1117"/>
      <c r="K220" s="1113"/>
      <c r="L220" s="1114"/>
      <c r="M220" s="1115"/>
    </row>
    <row r="221" spans="1:13" s="5" customFormat="1" ht="11.25" customHeight="1" x14ac:dyDescent="0.25">
      <c r="A221" s="1149"/>
      <c r="B221" s="135"/>
      <c r="C221" s="1158" t="s">
        <v>1119</v>
      </c>
      <c r="D221" s="1107"/>
      <c r="E221" s="1119">
        <f>SUM(E216:E220)</f>
        <v>0</v>
      </c>
      <c r="F221" s="701">
        <f t="shared" ref="F221:M221" si="42">SUM(F216:F220)</f>
        <v>0</v>
      </c>
      <c r="G221" s="1120">
        <f t="shared" si="42"/>
        <v>0</v>
      </c>
      <c r="H221" s="1121">
        <f t="shared" si="42"/>
        <v>0</v>
      </c>
      <c r="I221" s="701">
        <f t="shared" si="42"/>
        <v>0</v>
      </c>
      <c r="J221" s="1122">
        <f t="shared" si="42"/>
        <v>0</v>
      </c>
      <c r="K221" s="1119">
        <f t="shared" si="42"/>
        <v>0</v>
      </c>
      <c r="L221" s="701">
        <f t="shared" si="42"/>
        <v>0</v>
      </c>
      <c r="M221" s="1120">
        <f t="shared" si="42"/>
        <v>0</v>
      </c>
    </row>
    <row r="222" spans="1:13" s="5" customFormat="1" ht="11.25" customHeight="1" x14ac:dyDescent="0.25">
      <c r="A222" s="1149"/>
      <c r="B222" s="135"/>
      <c r="C222" s="1112" t="s">
        <v>297</v>
      </c>
      <c r="D222" s="1107"/>
      <c r="E222" s="1113"/>
      <c r="F222" s="1114"/>
      <c r="G222" s="1115"/>
      <c r="H222" s="1116"/>
      <c r="I222" s="1114"/>
      <c r="J222" s="1117"/>
      <c r="K222" s="1113"/>
      <c r="L222" s="1114"/>
      <c r="M222" s="1115"/>
    </row>
    <row r="223" spans="1:13" s="5" customFormat="1" ht="11.25" customHeight="1" x14ac:dyDescent="0.25">
      <c r="A223" s="1149"/>
      <c r="B223" s="135"/>
      <c r="C223" s="1112" t="s">
        <v>299</v>
      </c>
      <c r="D223" s="1107"/>
      <c r="E223" s="1113"/>
      <c r="F223" s="1114"/>
      <c r="G223" s="1115"/>
      <c r="H223" s="1116"/>
      <c r="I223" s="1114"/>
      <c r="J223" s="1117"/>
      <c r="K223" s="1113"/>
      <c r="L223" s="1114"/>
      <c r="M223" s="1115"/>
    </row>
    <row r="224" spans="1:13" s="5" customFormat="1" ht="11.25" customHeight="1" x14ac:dyDescent="0.25">
      <c r="A224" s="1149"/>
      <c r="B224" s="135"/>
      <c r="C224" s="1112" t="s">
        <v>1067</v>
      </c>
      <c r="D224" s="1107"/>
      <c r="E224" s="1113"/>
      <c r="F224" s="1114"/>
      <c r="G224" s="1115"/>
      <c r="H224" s="1116"/>
      <c r="I224" s="1114"/>
      <c r="J224" s="1117"/>
      <c r="K224" s="1113"/>
      <c r="L224" s="1114"/>
      <c r="M224" s="1115"/>
    </row>
    <row r="225" spans="1:13" s="5" customFormat="1" ht="11.25" customHeight="1" x14ac:dyDescent="0.25">
      <c r="A225" s="1149"/>
      <c r="B225" s="135"/>
      <c r="C225" s="1158" t="s">
        <v>1446</v>
      </c>
      <c r="D225" s="1107"/>
      <c r="E225" s="1123">
        <f>SUM(E222:E224)</f>
        <v>0</v>
      </c>
      <c r="F225" s="889">
        <f t="shared" ref="F225:M225" si="43">SUM(F222:F224)</f>
        <v>0</v>
      </c>
      <c r="G225" s="1124">
        <f t="shared" si="43"/>
        <v>0</v>
      </c>
      <c r="H225" s="1125">
        <f t="shared" si="43"/>
        <v>0</v>
      </c>
      <c r="I225" s="889">
        <f t="shared" si="43"/>
        <v>0</v>
      </c>
      <c r="J225" s="1126">
        <f t="shared" si="43"/>
        <v>0</v>
      </c>
      <c r="K225" s="1123">
        <f t="shared" si="43"/>
        <v>0</v>
      </c>
      <c r="L225" s="889">
        <f t="shared" si="43"/>
        <v>0</v>
      </c>
      <c r="M225" s="1124">
        <f t="shared" si="43"/>
        <v>0</v>
      </c>
    </row>
    <row r="226" spans="1:13" s="5" customFormat="1" ht="11.25" customHeight="1" x14ac:dyDescent="0.25">
      <c r="B226" s="135"/>
      <c r="C226" s="1127" t="s">
        <v>1063</v>
      </c>
      <c r="D226" s="1107"/>
      <c r="E226" s="1128">
        <f>E221+E225</f>
        <v>0</v>
      </c>
      <c r="F226" s="891">
        <f t="shared" ref="F226:M226" si="44">F221+F225</f>
        <v>0</v>
      </c>
      <c r="G226" s="1129">
        <f t="shared" si="44"/>
        <v>0</v>
      </c>
      <c r="H226" s="1130">
        <f t="shared" si="44"/>
        <v>0</v>
      </c>
      <c r="I226" s="891">
        <f t="shared" si="44"/>
        <v>0</v>
      </c>
      <c r="J226" s="1131">
        <f t="shared" si="44"/>
        <v>0</v>
      </c>
      <c r="K226" s="1128">
        <f t="shared" si="44"/>
        <v>0</v>
      </c>
      <c r="L226" s="891">
        <f t="shared" si="44"/>
        <v>0</v>
      </c>
      <c r="M226" s="1129">
        <f t="shared" si="44"/>
        <v>0</v>
      </c>
    </row>
    <row r="227" spans="1:13" s="5" customFormat="1" ht="11.25" customHeight="1" x14ac:dyDescent="0.25">
      <c r="A227" s="1148" t="s">
        <v>1454</v>
      </c>
      <c r="B227" s="135"/>
      <c r="C227" s="1106" t="s">
        <v>602</v>
      </c>
      <c r="D227" s="1107"/>
      <c r="E227" s="1132"/>
      <c r="F227" s="887"/>
      <c r="G227" s="1133"/>
      <c r="H227" s="1134"/>
      <c r="I227" s="887"/>
      <c r="J227" s="1133"/>
      <c r="K227" s="1132"/>
      <c r="L227" s="887"/>
      <c r="M227" s="1135"/>
    </row>
    <row r="228" spans="1:13" s="5" customFormat="1" ht="11.25" customHeight="1" x14ac:dyDescent="0.25">
      <c r="A228" s="1149"/>
      <c r="B228" s="135"/>
      <c r="C228" s="1112" t="s">
        <v>1447</v>
      </c>
      <c r="D228" s="1107"/>
      <c r="E228" s="1113"/>
      <c r="F228" s="1114"/>
      <c r="G228" s="1115"/>
      <c r="H228" s="1116"/>
      <c r="I228" s="1114"/>
      <c r="J228" s="1117"/>
      <c r="K228" s="1113"/>
      <c r="L228" s="1114"/>
      <c r="M228" s="1115"/>
    </row>
    <row r="229" spans="1:13" s="5" customFormat="1" ht="11.25" customHeight="1" x14ac:dyDescent="0.25">
      <c r="A229" s="1149"/>
      <c r="B229" s="135"/>
      <c r="C229" s="1112" t="s">
        <v>1448</v>
      </c>
      <c r="D229" s="1107"/>
      <c r="E229" s="1113"/>
      <c r="F229" s="1114"/>
      <c r="G229" s="1115"/>
      <c r="H229" s="1116"/>
      <c r="I229" s="1114"/>
      <c r="J229" s="1117"/>
      <c r="K229" s="1113"/>
      <c r="L229" s="1114"/>
      <c r="M229" s="1115"/>
    </row>
    <row r="230" spans="1:13" s="5" customFormat="1" ht="11.25" customHeight="1" x14ac:dyDescent="0.25">
      <c r="A230" s="1149"/>
      <c r="B230" s="135"/>
      <c r="C230" s="1158" t="s">
        <v>1119</v>
      </c>
      <c r="D230" s="1107"/>
      <c r="E230" s="1119">
        <f>SUM(E228:E229)</f>
        <v>0</v>
      </c>
      <c r="F230" s="701">
        <f t="shared" ref="F230:M230" si="45">SUM(F228:F229)</f>
        <v>0</v>
      </c>
      <c r="G230" s="1120">
        <f t="shared" si="45"/>
        <v>0</v>
      </c>
      <c r="H230" s="1121">
        <f t="shared" si="45"/>
        <v>0</v>
      </c>
      <c r="I230" s="701">
        <f t="shared" si="45"/>
        <v>0</v>
      </c>
      <c r="J230" s="1122">
        <f t="shared" si="45"/>
        <v>0</v>
      </c>
      <c r="K230" s="1119">
        <f t="shared" si="45"/>
        <v>0</v>
      </c>
      <c r="L230" s="701">
        <f t="shared" si="45"/>
        <v>0</v>
      </c>
      <c r="M230" s="1120">
        <f t="shared" si="45"/>
        <v>0</v>
      </c>
    </row>
    <row r="231" spans="1:13" s="5" customFormat="1" ht="11.25" customHeight="1" x14ac:dyDescent="0.25">
      <c r="A231" s="1149"/>
      <c r="B231" s="135"/>
      <c r="C231" s="1112" t="s">
        <v>1068</v>
      </c>
      <c r="D231" s="1107"/>
      <c r="E231" s="1113"/>
      <c r="F231" s="1114"/>
      <c r="G231" s="1115"/>
      <c r="H231" s="1116"/>
      <c r="I231" s="1114"/>
      <c r="J231" s="1117"/>
      <c r="K231" s="1113"/>
      <c r="L231" s="1114"/>
      <c r="M231" s="1115"/>
    </row>
    <row r="232" spans="1:13" s="5" customFormat="1" ht="11.25" customHeight="1" x14ac:dyDescent="0.25">
      <c r="A232" s="1149"/>
      <c r="B232" s="135"/>
      <c r="C232" s="1112" t="s">
        <v>1069</v>
      </c>
      <c r="D232" s="1107"/>
      <c r="E232" s="1113"/>
      <c r="F232" s="1114"/>
      <c r="G232" s="1115"/>
      <c r="H232" s="1116"/>
      <c r="I232" s="1114"/>
      <c r="J232" s="1117"/>
      <c r="K232" s="1113"/>
      <c r="L232" s="1114"/>
      <c r="M232" s="1115"/>
    </row>
    <row r="233" spans="1:13" s="5" customFormat="1" ht="11.25" customHeight="1" x14ac:dyDescent="0.25">
      <c r="A233" s="1149"/>
      <c r="B233" s="135"/>
      <c r="C233" s="1112" t="s">
        <v>1070</v>
      </c>
      <c r="D233" s="1107"/>
      <c r="E233" s="1113"/>
      <c r="F233" s="1114"/>
      <c r="G233" s="1115"/>
      <c r="H233" s="1116"/>
      <c r="I233" s="1114"/>
      <c r="J233" s="1117"/>
      <c r="K233" s="1113"/>
      <c r="L233" s="1114"/>
      <c r="M233" s="1115"/>
    </row>
    <row r="234" spans="1:13" s="5" customFormat="1" ht="11.25" customHeight="1" x14ac:dyDescent="0.25">
      <c r="A234" s="1149"/>
      <c r="B234" s="135"/>
      <c r="C234" s="1158" t="s">
        <v>1446</v>
      </c>
      <c r="D234" s="1107"/>
      <c r="E234" s="1123">
        <f>SUM(E231:E233)</f>
        <v>0</v>
      </c>
      <c r="F234" s="889">
        <f t="shared" ref="F234:M234" si="46">SUM(F231:F233)</f>
        <v>0</v>
      </c>
      <c r="G234" s="1124">
        <f t="shared" si="46"/>
        <v>0</v>
      </c>
      <c r="H234" s="1125">
        <f t="shared" si="46"/>
        <v>0</v>
      </c>
      <c r="I234" s="889">
        <f t="shared" si="46"/>
        <v>0</v>
      </c>
      <c r="J234" s="1126">
        <f t="shared" si="46"/>
        <v>0</v>
      </c>
      <c r="K234" s="1123">
        <f t="shared" si="46"/>
        <v>0</v>
      </c>
      <c r="L234" s="889">
        <f t="shared" si="46"/>
        <v>0</v>
      </c>
      <c r="M234" s="1124">
        <f t="shared" si="46"/>
        <v>0</v>
      </c>
    </row>
    <row r="235" spans="1:13" s="5" customFormat="1" ht="11.25" customHeight="1" x14ac:dyDescent="0.25">
      <c r="A235" s="1150"/>
      <c r="B235" s="135"/>
      <c r="C235" s="1127" t="s">
        <v>1063</v>
      </c>
      <c r="D235" s="1107"/>
      <c r="E235" s="1128">
        <f>E230+E234</f>
        <v>0</v>
      </c>
      <c r="F235" s="891">
        <f t="shared" ref="F235:M235" si="47">F230+F234</f>
        <v>0</v>
      </c>
      <c r="G235" s="1129">
        <f t="shared" si="47"/>
        <v>0</v>
      </c>
      <c r="H235" s="1130">
        <f t="shared" si="47"/>
        <v>0</v>
      </c>
      <c r="I235" s="891">
        <f t="shared" si="47"/>
        <v>0</v>
      </c>
      <c r="J235" s="1131">
        <f t="shared" si="47"/>
        <v>0</v>
      </c>
      <c r="K235" s="1128">
        <f t="shared" si="47"/>
        <v>0</v>
      </c>
      <c r="L235" s="891">
        <f t="shared" si="47"/>
        <v>0</v>
      </c>
      <c r="M235" s="1129">
        <f t="shared" si="47"/>
        <v>0</v>
      </c>
    </row>
    <row r="236" spans="1:13" s="5" customFormat="1" ht="11.25" customHeight="1" x14ac:dyDescent="0.25">
      <c r="A236" s="1148" t="s">
        <v>1454</v>
      </c>
      <c r="B236" s="135"/>
      <c r="C236" s="1106" t="s">
        <v>603</v>
      </c>
      <c r="D236" s="1107"/>
      <c r="E236" s="1132"/>
      <c r="F236" s="887"/>
      <c r="G236" s="1133"/>
      <c r="H236" s="1134"/>
      <c r="I236" s="887"/>
      <c r="J236" s="1133"/>
      <c r="K236" s="1132"/>
      <c r="L236" s="887"/>
      <c r="M236" s="1135"/>
    </row>
    <row r="237" spans="1:13" s="5" customFormat="1" ht="11.25" customHeight="1" x14ac:dyDescent="0.25">
      <c r="A237" s="1149"/>
      <c r="B237" s="135"/>
      <c r="C237" s="1112" t="s">
        <v>1449</v>
      </c>
      <c r="D237" s="1107"/>
      <c r="E237" s="1136"/>
      <c r="F237" s="1137"/>
      <c r="G237" s="1138"/>
      <c r="H237" s="1139"/>
      <c r="I237" s="1137"/>
      <c r="J237" s="1140"/>
      <c r="K237" s="1136"/>
      <c r="L237" s="1137"/>
      <c r="M237" s="1138"/>
    </row>
    <row r="238" spans="1:13" s="5" customFormat="1" ht="11.25" customHeight="1" x14ac:dyDescent="0.25">
      <c r="A238" s="1149"/>
      <c r="B238" s="135"/>
      <c r="C238" s="1158" t="s">
        <v>1119</v>
      </c>
      <c r="D238" s="1107"/>
      <c r="E238" s="1132">
        <f>SUM(E237)</f>
        <v>0</v>
      </c>
      <c r="F238" s="887">
        <f t="shared" ref="F238:M238" si="48">SUM(F237)</f>
        <v>0</v>
      </c>
      <c r="G238" s="1135">
        <f t="shared" si="48"/>
        <v>0</v>
      </c>
      <c r="H238" s="1134">
        <f t="shared" si="48"/>
        <v>0</v>
      </c>
      <c r="I238" s="887">
        <f t="shared" si="48"/>
        <v>0</v>
      </c>
      <c r="J238" s="1133">
        <f t="shared" si="48"/>
        <v>0</v>
      </c>
      <c r="K238" s="1132">
        <f t="shared" si="48"/>
        <v>0</v>
      </c>
      <c r="L238" s="887">
        <f t="shared" si="48"/>
        <v>0</v>
      </c>
      <c r="M238" s="1135">
        <f t="shared" si="48"/>
        <v>0</v>
      </c>
    </row>
    <row r="239" spans="1:13" s="5" customFormat="1" ht="11.25" customHeight="1" x14ac:dyDescent="0.25">
      <c r="A239" s="1149"/>
      <c r="B239" s="135"/>
      <c r="C239" s="1112" t="s">
        <v>1072</v>
      </c>
      <c r="D239" s="1107"/>
      <c r="E239" s="1113"/>
      <c r="F239" s="1114"/>
      <c r="G239" s="1115"/>
      <c r="H239" s="1116"/>
      <c r="I239" s="1114"/>
      <c r="J239" s="1117"/>
      <c r="K239" s="1113"/>
      <c r="L239" s="1114"/>
      <c r="M239" s="1115"/>
    </row>
    <row r="240" spans="1:13" s="5" customFormat="1" ht="11.25" customHeight="1" x14ac:dyDescent="0.25">
      <c r="A240" s="1149"/>
      <c r="B240" s="135"/>
      <c r="C240" s="1112" t="s">
        <v>1073</v>
      </c>
      <c r="D240" s="1107"/>
      <c r="E240" s="1113"/>
      <c r="F240" s="1114"/>
      <c r="G240" s="1115"/>
      <c r="H240" s="1116"/>
      <c r="I240" s="1114"/>
      <c r="J240" s="1117"/>
      <c r="K240" s="1113"/>
      <c r="L240" s="1114"/>
      <c r="M240" s="1115"/>
    </row>
    <row r="241" spans="1:15" s="5" customFormat="1" ht="11.25" customHeight="1" x14ac:dyDescent="0.25">
      <c r="A241" s="1149"/>
      <c r="B241" s="135"/>
      <c r="C241" s="1112" t="s">
        <v>1074</v>
      </c>
      <c r="D241" s="1107"/>
      <c r="E241" s="1113"/>
      <c r="F241" s="1114"/>
      <c r="G241" s="1115"/>
      <c r="H241" s="1116"/>
      <c r="I241" s="1114"/>
      <c r="J241" s="1117"/>
      <c r="K241" s="1113"/>
      <c r="L241" s="1114"/>
      <c r="M241" s="1115"/>
    </row>
    <row r="242" spans="1:15" s="5" customFormat="1" ht="11.25" customHeight="1" x14ac:dyDescent="0.25">
      <c r="A242" s="1149"/>
      <c r="B242" s="135"/>
      <c r="C242" s="1112" t="s">
        <v>1075</v>
      </c>
      <c r="D242" s="1107"/>
      <c r="E242" s="1113"/>
      <c r="F242" s="1114"/>
      <c r="G242" s="1115"/>
      <c r="H242" s="1116"/>
      <c r="I242" s="1114"/>
      <c r="J242" s="1117"/>
      <c r="K242" s="1113"/>
      <c r="L242" s="1114"/>
      <c r="M242" s="1115"/>
    </row>
    <row r="243" spans="1:15" s="5" customFormat="1" ht="11.25" customHeight="1" x14ac:dyDescent="0.25">
      <c r="A243" s="1149"/>
      <c r="B243" s="135"/>
      <c r="C243" s="1112" t="s">
        <v>1076</v>
      </c>
      <c r="D243" s="1107"/>
      <c r="E243" s="1113"/>
      <c r="F243" s="1114"/>
      <c r="G243" s="1115"/>
      <c r="H243" s="1116"/>
      <c r="I243" s="1114"/>
      <c r="J243" s="1117"/>
      <c r="K243" s="1113"/>
      <c r="L243" s="1114"/>
      <c r="M243" s="1115"/>
    </row>
    <row r="244" spans="1:15" s="5" customFormat="1" ht="11.25" customHeight="1" x14ac:dyDescent="0.25">
      <c r="A244" s="1149"/>
      <c r="B244" s="135"/>
      <c r="C244" s="1158" t="s">
        <v>1446</v>
      </c>
      <c r="D244" s="1107"/>
      <c r="E244" s="1123">
        <f t="shared" ref="E244:M244" si="49">SUM(E239:E243)</f>
        <v>0</v>
      </c>
      <c r="F244" s="889">
        <f t="shared" si="49"/>
        <v>0</v>
      </c>
      <c r="G244" s="1124">
        <f t="shared" si="49"/>
        <v>0</v>
      </c>
      <c r="H244" s="1125">
        <f t="shared" si="49"/>
        <v>0</v>
      </c>
      <c r="I244" s="889">
        <f t="shared" si="49"/>
        <v>0</v>
      </c>
      <c r="J244" s="1126">
        <f t="shared" si="49"/>
        <v>0</v>
      </c>
      <c r="K244" s="1123">
        <f t="shared" si="49"/>
        <v>0</v>
      </c>
      <c r="L244" s="889">
        <f t="shared" si="49"/>
        <v>0</v>
      </c>
      <c r="M244" s="1124">
        <f t="shared" si="49"/>
        <v>0</v>
      </c>
    </row>
    <row r="245" spans="1:15" s="5" customFormat="1" ht="11.25" customHeight="1" x14ac:dyDescent="0.25">
      <c r="B245" s="135"/>
      <c r="C245" s="1127" t="s">
        <v>1063</v>
      </c>
      <c r="D245" s="1107"/>
      <c r="E245" s="1128">
        <f>E238+E244</f>
        <v>0</v>
      </c>
      <c r="F245" s="891">
        <f t="shared" ref="F245:M245" si="50">F238+F244</f>
        <v>0</v>
      </c>
      <c r="G245" s="1129">
        <f t="shared" si="50"/>
        <v>0</v>
      </c>
      <c r="H245" s="1130">
        <f t="shared" si="50"/>
        <v>0</v>
      </c>
      <c r="I245" s="891">
        <f t="shared" si="50"/>
        <v>0</v>
      </c>
      <c r="J245" s="1131">
        <f t="shared" si="50"/>
        <v>0</v>
      </c>
      <c r="K245" s="1128">
        <f t="shared" si="50"/>
        <v>0</v>
      </c>
      <c r="L245" s="891">
        <f t="shared" si="50"/>
        <v>0</v>
      </c>
      <c r="M245" s="1129">
        <f t="shared" si="50"/>
        <v>0</v>
      </c>
    </row>
    <row r="246" spans="1:15" s="5" customFormat="1" ht="5.0999999999999996" customHeight="1" x14ac:dyDescent="0.25">
      <c r="A246" s="1090"/>
      <c r="B246" s="1089"/>
      <c r="C246" s="1151"/>
      <c r="D246" s="1152"/>
      <c r="E246" s="1153"/>
      <c r="F246" s="1154"/>
      <c r="G246" s="1155"/>
      <c r="H246" s="1156"/>
      <c r="I246" s="1154"/>
      <c r="J246" s="1157"/>
      <c r="K246" s="1153"/>
      <c r="L246" s="1154"/>
      <c r="M246" s="1155"/>
    </row>
    <row r="247" spans="1:15" s="5" customFormat="1" ht="23.1" customHeight="1" x14ac:dyDescent="0.25">
      <c r="A247" s="1466" t="s">
        <v>1694</v>
      </c>
      <c r="B247" s="1234"/>
      <c r="C247" s="1232"/>
      <c r="D247" s="1233"/>
      <c r="E247" s="1417" t="str">
        <f>Head2</f>
        <v>Budget Year 2020/21</v>
      </c>
      <c r="F247" s="1418"/>
      <c r="G247" s="1418"/>
      <c r="H247" s="1418"/>
      <c r="I247" s="1418"/>
      <c r="J247" s="1418"/>
      <c r="K247" s="1418"/>
      <c r="L247" s="1418"/>
      <c r="M247" s="1418"/>
      <c r="N247" s="103" t="str">
        <f>Head10</f>
        <v>Budget Year +1 2021/22</v>
      </c>
      <c r="O247" s="61" t="str">
        <f>Head11</f>
        <v>Budget Year +2 2022/23</v>
      </c>
    </row>
    <row r="248" spans="1:15" s="5" customFormat="1" ht="24.6" customHeight="1" x14ac:dyDescent="0.25">
      <c r="A248" s="1467"/>
      <c r="B248" s="1235"/>
      <c r="C248" s="1231"/>
      <c r="D248" s="1236"/>
      <c r="E248" s="1249" t="str">
        <f>Head6</f>
        <v>Original Budget</v>
      </c>
      <c r="F248" s="1250" t="str">
        <f>Head54</f>
        <v>Prior Adjusted</v>
      </c>
      <c r="G248" s="1250" t="str">
        <f>Head51</f>
        <v>Accum. Funds</v>
      </c>
      <c r="H248" s="1250" t="str">
        <f>Head52</f>
        <v>Multi-year capital</v>
      </c>
      <c r="I248" s="1250" t="str">
        <f>Head53</f>
        <v>Unfore. Unavoid.</v>
      </c>
      <c r="J248" s="1250" t="str">
        <f>Head55</f>
        <v>Nat. or Prov. Govt</v>
      </c>
      <c r="K248" s="1251" t="str">
        <f>Head50</f>
        <v>Other Adjusts.</v>
      </c>
      <c r="L248" s="1251" t="str">
        <f>Head56</f>
        <v>Total Adjusts.</v>
      </c>
      <c r="M248" s="1251" t="str">
        <f>Head7</f>
        <v>Adjusted Budget</v>
      </c>
      <c r="N248" s="1251" t="str">
        <f>Head7</f>
        <v>Adjusted Budget</v>
      </c>
      <c r="O248" s="1252" t="str">
        <f>Head7</f>
        <v>Adjusted Budget</v>
      </c>
    </row>
    <row r="249" spans="1:15" s="5" customFormat="1" ht="14.45" customHeight="1" x14ac:dyDescent="0.25">
      <c r="A249" s="1239" t="s">
        <v>628</v>
      </c>
      <c r="B249" s="1245" t="s">
        <v>1342</v>
      </c>
      <c r="C249" s="1244" t="s">
        <v>1695</v>
      </c>
      <c r="D249" s="1237"/>
      <c r="E249" s="238"/>
      <c r="F249" s="75"/>
      <c r="G249" s="75"/>
      <c r="H249" s="75"/>
      <c r="I249" s="75"/>
      <c r="J249" s="75"/>
      <c r="K249" s="75"/>
      <c r="L249" s="75"/>
      <c r="M249" s="75"/>
      <c r="N249" s="75"/>
      <c r="O249" s="76"/>
    </row>
    <row r="250" spans="1:15" s="5" customFormat="1" ht="14.45" customHeight="1" x14ac:dyDescent="0.25">
      <c r="A250" s="1230" t="s">
        <v>1696</v>
      </c>
      <c r="B250" s="1226"/>
      <c r="C250" s="1238" t="s">
        <v>1725</v>
      </c>
      <c r="D250" s="1227"/>
      <c r="E250" s="380"/>
      <c r="F250" s="109"/>
      <c r="G250" s="109"/>
      <c r="H250" s="109"/>
      <c r="I250" s="109"/>
      <c r="J250" s="109"/>
      <c r="K250" s="109"/>
      <c r="L250" s="169">
        <f>SUM(G250:K250)</f>
        <v>0</v>
      </c>
      <c r="M250" s="169">
        <f t="shared" ref="M250:M259" si="51">IF(F250=0,E250+L250,F250+L250)</f>
        <v>0</v>
      </c>
      <c r="N250" s="109"/>
      <c r="O250" s="110"/>
    </row>
    <row r="251" spans="1:15" s="5" customFormat="1" ht="12.6" customHeight="1" x14ac:dyDescent="0.25">
      <c r="A251" s="1230"/>
      <c r="B251" s="1226"/>
      <c r="C251" s="1241" t="s">
        <v>1697</v>
      </c>
      <c r="D251" s="1227"/>
      <c r="E251" s="380"/>
      <c r="F251" s="109"/>
      <c r="G251" s="109"/>
      <c r="H251" s="109"/>
      <c r="I251" s="109"/>
      <c r="J251" s="109"/>
      <c r="K251" s="109"/>
      <c r="L251" s="169">
        <f t="shared" ref="L251:L259" si="52">SUM(G251:K251)</f>
        <v>0</v>
      </c>
      <c r="M251" s="169">
        <f t="shared" si="51"/>
        <v>0</v>
      </c>
      <c r="N251" s="109"/>
      <c r="O251" s="110"/>
    </row>
    <row r="252" spans="1:15" s="5" customFormat="1" ht="14.45" customHeight="1" x14ac:dyDescent="0.25">
      <c r="A252" s="1230"/>
      <c r="B252" s="1226"/>
      <c r="C252" s="1238" t="s">
        <v>1727</v>
      </c>
      <c r="D252" s="1227"/>
      <c r="E252" s="380"/>
      <c r="F252" s="109"/>
      <c r="G252" s="109"/>
      <c r="H252" s="109"/>
      <c r="I252" s="109"/>
      <c r="J252" s="109"/>
      <c r="K252" s="109"/>
      <c r="L252" s="169">
        <f t="shared" si="52"/>
        <v>0</v>
      </c>
      <c r="M252" s="169">
        <f t="shared" si="51"/>
        <v>0</v>
      </c>
      <c r="N252" s="109"/>
      <c r="O252" s="110"/>
    </row>
    <row r="253" spans="1:15" s="5" customFormat="1" ht="12.6" customHeight="1" x14ac:dyDescent="0.25">
      <c r="A253" s="1230"/>
      <c r="B253" s="1226"/>
      <c r="C253" s="1241" t="s">
        <v>1697</v>
      </c>
      <c r="D253" s="1227"/>
      <c r="E253" s="380"/>
      <c r="F253" s="109"/>
      <c r="G253" s="109"/>
      <c r="H253" s="109"/>
      <c r="I253" s="109"/>
      <c r="J253" s="109"/>
      <c r="K253" s="109"/>
      <c r="L253" s="169">
        <f t="shared" si="52"/>
        <v>0</v>
      </c>
      <c r="M253" s="169">
        <f t="shared" si="51"/>
        <v>0</v>
      </c>
      <c r="N253" s="109"/>
      <c r="O253" s="110"/>
    </row>
    <row r="254" spans="1:15" s="5" customFormat="1" ht="12.6" customHeight="1" x14ac:dyDescent="0.25">
      <c r="A254" s="1230"/>
      <c r="B254" s="1226"/>
      <c r="C254" s="1225" t="s">
        <v>1730</v>
      </c>
      <c r="D254" s="1227"/>
      <c r="E254" s="380"/>
      <c r="F254" s="109"/>
      <c r="G254" s="109"/>
      <c r="H254" s="109"/>
      <c r="I254" s="109"/>
      <c r="J254" s="109"/>
      <c r="K254" s="109"/>
      <c r="L254" s="169">
        <f t="shared" si="52"/>
        <v>0</v>
      </c>
      <c r="M254" s="169">
        <f t="shared" si="51"/>
        <v>0</v>
      </c>
      <c r="N254" s="109"/>
      <c r="O254" s="110"/>
    </row>
    <row r="255" spans="1:15" s="5" customFormat="1" ht="12.6" customHeight="1" x14ac:dyDescent="0.25">
      <c r="A255" s="1230"/>
      <c r="B255" s="1226"/>
      <c r="C255" s="1241" t="s">
        <v>1697</v>
      </c>
      <c r="D255" s="1227"/>
      <c r="E255" s="380"/>
      <c r="F255" s="109"/>
      <c r="G255" s="109"/>
      <c r="H255" s="109"/>
      <c r="I255" s="109"/>
      <c r="J255" s="109"/>
      <c r="K255" s="109"/>
      <c r="L255" s="169">
        <f t="shared" si="52"/>
        <v>0</v>
      </c>
      <c r="M255" s="169">
        <f t="shared" si="51"/>
        <v>0</v>
      </c>
      <c r="N255" s="109"/>
      <c r="O255" s="110"/>
    </row>
    <row r="256" spans="1:15" s="5" customFormat="1" ht="12.6" customHeight="1" x14ac:dyDescent="0.25">
      <c r="A256" s="1230"/>
      <c r="B256" s="1226"/>
      <c r="C256" s="1225" t="s">
        <v>1728</v>
      </c>
      <c r="D256" s="1227"/>
      <c r="E256" s="380"/>
      <c r="F256" s="109"/>
      <c r="G256" s="109"/>
      <c r="H256" s="109"/>
      <c r="I256" s="109"/>
      <c r="J256" s="109"/>
      <c r="K256" s="109"/>
      <c r="L256" s="169">
        <f t="shared" si="52"/>
        <v>0</v>
      </c>
      <c r="M256" s="169">
        <f t="shared" si="51"/>
        <v>0</v>
      </c>
      <c r="N256" s="109"/>
      <c r="O256" s="110"/>
    </row>
    <row r="257" spans="1:15" s="5" customFormat="1" ht="12.6" customHeight="1" x14ac:dyDescent="0.25">
      <c r="A257" s="1230"/>
      <c r="B257" s="1226"/>
      <c r="C257" s="1241" t="s">
        <v>1697</v>
      </c>
      <c r="D257" s="1227"/>
      <c r="E257" s="380"/>
      <c r="F257" s="109"/>
      <c r="G257" s="109"/>
      <c r="H257" s="109"/>
      <c r="I257" s="109"/>
      <c r="J257" s="109"/>
      <c r="K257" s="109"/>
      <c r="L257" s="169">
        <f t="shared" si="52"/>
        <v>0</v>
      </c>
      <c r="M257" s="169">
        <f t="shared" si="51"/>
        <v>0</v>
      </c>
      <c r="N257" s="109"/>
      <c r="O257" s="110"/>
    </row>
    <row r="258" spans="1:15" s="5" customFormat="1" ht="12.6" customHeight="1" x14ac:dyDescent="0.25">
      <c r="A258" s="1230"/>
      <c r="B258" s="1226"/>
      <c r="C258" s="1225" t="s">
        <v>1729</v>
      </c>
      <c r="D258" s="1227"/>
      <c r="E258" s="380"/>
      <c r="F258" s="109"/>
      <c r="G258" s="109"/>
      <c r="H258" s="109"/>
      <c r="I258" s="109"/>
      <c r="J258" s="109"/>
      <c r="K258" s="109"/>
      <c r="L258" s="169">
        <f t="shared" si="52"/>
        <v>0</v>
      </c>
      <c r="M258" s="169">
        <f t="shared" si="51"/>
        <v>0</v>
      </c>
      <c r="N258" s="109"/>
      <c r="O258" s="110"/>
    </row>
    <row r="259" spans="1:15" s="5" customFormat="1" ht="12.6" customHeight="1" x14ac:dyDescent="0.25">
      <c r="A259" s="1230"/>
      <c r="B259" s="1226"/>
      <c r="C259" s="1242" t="s">
        <v>1697</v>
      </c>
      <c r="D259" s="1228"/>
      <c r="E259" s="380"/>
      <c r="F259" s="109"/>
      <c r="G259" s="109"/>
      <c r="H259" s="109"/>
      <c r="I259" s="109"/>
      <c r="J259" s="109"/>
      <c r="K259" s="109"/>
      <c r="L259" s="169">
        <f t="shared" si="52"/>
        <v>0</v>
      </c>
      <c r="M259" s="169">
        <f t="shared" si="51"/>
        <v>0</v>
      </c>
      <c r="N259" s="109"/>
      <c r="O259" s="110"/>
    </row>
    <row r="260" spans="1:15" s="5" customFormat="1" ht="12.6" customHeight="1" x14ac:dyDescent="0.25">
      <c r="A260" s="1246"/>
      <c r="B260" s="1243"/>
      <c r="C260" s="1240" t="s">
        <v>1698</v>
      </c>
      <c r="D260" s="1229"/>
      <c r="E260" s="1265">
        <f>E252+E254+E256+E258</f>
        <v>0</v>
      </c>
      <c r="F260" s="1264">
        <f t="shared" ref="F260:O260" si="53">F252+F254+F256+F258</f>
        <v>0</v>
      </c>
      <c r="G260" s="1247">
        <f t="shared" si="53"/>
        <v>0</v>
      </c>
      <c r="H260" s="1266">
        <f t="shared" si="53"/>
        <v>0</v>
      </c>
      <c r="I260" s="1264">
        <f t="shared" si="53"/>
        <v>0</v>
      </c>
      <c r="J260" s="1267">
        <f t="shared" si="53"/>
        <v>0</v>
      </c>
      <c r="K260" s="1265">
        <f t="shared" si="53"/>
        <v>0</v>
      </c>
      <c r="L260" s="1264">
        <f>L252+L254+L256+L258</f>
        <v>0</v>
      </c>
      <c r="M260" s="1267">
        <f t="shared" si="53"/>
        <v>0</v>
      </c>
      <c r="N260" s="1264">
        <f>N252+N254+N256+N258</f>
        <v>0</v>
      </c>
      <c r="O260" s="1247">
        <f t="shared" si="53"/>
        <v>0</v>
      </c>
    </row>
    <row r="261" spans="1:15" s="5" customFormat="1" ht="12.6" customHeight="1" x14ac:dyDescent="0.25">
      <c r="A261" s="1239" t="s">
        <v>629</v>
      </c>
      <c r="B261" s="1245" t="s">
        <v>1342</v>
      </c>
      <c r="C261" s="1244" t="s">
        <v>1695</v>
      </c>
      <c r="D261" s="1237"/>
      <c r="E261" s="238"/>
      <c r="F261" s="75"/>
      <c r="G261" s="75"/>
      <c r="H261" s="75"/>
      <c r="I261" s="75"/>
      <c r="J261" s="75"/>
      <c r="K261" s="75"/>
      <c r="L261" s="75"/>
      <c r="M261" s="75"/>
      <c r="N261" s="75"/>
      <c r="O261" s="76"/>
    </row>
    <row r="262" spans="1:15" s="5" customFormat="1" ht="12.6" customHeight="1" x14ac:dyDescent="0.25">
      <c r="A262" s="1230" t="s">
        <v>1696</v>
      </c>
      <c r="B262" s="1226"/>
      <c r="C262" s="1238" t="s">
        <v>1726</v>
      </c>
      <c r="D262" s="1227"/>
      <c r="E262" s="380"/>
      <c r="F262" s="109"/>
      <c r="G262" s="109"/>
      <c r="H262" s="109"/>
      <c r="I262" s="109"/>
      <c r="J262" s="109"/>
      <c r="K262" s="109"/>
      <c r="L262" s="169">
        <f t="shared" ref="L262:L271" si="54">SUM(G262:K262)</f>
        <v>0</v>
      </c>
      <c r="M262" s="169">
        <f t="shared" ref="M262:M271" si="55">IF(F262=0,E262+L262,F262+L262)</f>
        <v>0</v>
      </c>
      <c r="N262" s="109"/>
      <c r="O262" s="110"/>
    </row>
    <row r="263" spans="1:15" s="5" customFormat="1" ht="12.6" customHeight="1" x14ac:dyDescent="0.25">
      <c r="A263" s="1230"/>
      <c r="B263" s="1226"/>
      <c r="C263" s="1241" t="s">
        <v>1697</v>
      </c>
      <c r="D263" s="1227"/>
      <c r="E263" s="380"/>
      <c r="F263" s="109"/>
      <c r="G263" s="109"/>
      <c r="H263" s="109"/>
      <c r="I263" s="109"/>
      <c r="J263" s="109"/>
      <c r="K263" s="109"/>
      <c r="L263" s="169">
        <f t="shared" si="54"/>
        <v>0</v>
      </c>
      <c r="M263" s="169">
        <f t="shared" si="55"/>
        <v>0</v>
      </c>
      <c r="N263" s="109"/>
      <c r="O263" s="110"/>
    </row>
    <row r="264" spans="1:15" s="5" customFormat="1" ht="12.6" customHeight="1" x14ac:dyDescent="0.25">
      <c r="A264" s="1230"/>
      <c r="B264" s="1226"/>
      <c r="C264" s="1225" t="s">
        <v>1727</v>
      </c>
      <c r="D264" s="1227"/>
      <c r="E264" s="380"/>
      <c r="F264" s="109"/>
      <c r="G264" s="109"/>
      <c r="H264" s="109"/>
      <c r="I264" s="109"/>
      <c r="J264" s="109"/>
      <c r="K264" s="109"/>
      <c r="L264" s="169">
        <f t="shared" si="54"/>
        <v>0</v>
      </c>
      <c r="M264" s="169">
        <f t="shared" si="55"/>
        <v>0</v>
      </c>
      <c r="N264" s="109"/>
      <c r="O264" s="110"/>
    </row>
    <row r="265" spans="1:15" s="5" customFormat="1" ht="12.6" customHeight="1" x14ac:dyDescent="0.25">
      <c r="A265" s="1230"/>
      <c r="B265" s="1226"/>
      <c r="C265" s="1241" t="s">
        <v>1697</v>
      </c>
      <c r="D265" s="1227"/>
      <c r="E265" s="380"/>
      <c r="F265" s="109"/>
      <c r="G265" s="109"/>
      <c r="H265" s="109"/>
      <c r="I265" s="109"/>
      <c r="J265" s="109"/>
      <c r="K265" s="109"/>
      <c r="L265" s="169">
        <f t="shared" si="54"/>
        <v>0</v>
      </c>
      <c r="M265" s="169">
        <f t="shared" si="55"/>
        <v>0</v>
      </c>
      <c r="N265" s="109"/>
      <c r="O265" s="110"/>
    </row>
    <row r="266" spans="1:15" s="5" customFormat="1" ht="12.6" customHeight="1" x14ac:dyDescent="0.25">
      <c r="A266" s="1230"/>
      <c r="B266" s="1226"/>
      <c r="C266" s="1225" t="s">
        <v>1730</v>
      </c>
      <c r="D266" s="1227"/>
      <c r="E266" s="380"/>
      <c r="F266" s="109"/>
      <c r="G266" s="109"/>
      <c r="H266" s="109"/>
      <c r="I266" s="109"/>
      <c r="J266" s="109"/>
      <c r="K266" s="109"/>
      <c r="L266" s="169">
        <f>SUM(G266:K266)</f>
        <v>0</v>
      </c>
      <c r="M266" s="169">
        <f t="shared" si="55"/>
        <v>0</v>
      </c>
      <c r="N266" s="109"/>
      <c r="O266" s="110"/>
    </row>
    <row r="267" spans="1:15" s="5" customFormat="1" ht="12.6" customHeight="1" x14ac:dyDescent="0.25">
      <c r="A267" s="1230"/>
      <c r="B267" s="1226"/>
      <c r="C267" s="1241" t="s">
        <v>1697</v>
      </c>
      <c r="D267" s="1227"/>
      <c r="E267" s="380"/>
      <c r="F267" s="109"/>
      <c r="G267" s="109"/>
      <c r="H267" s="109"/>
      <c r="I267" s="109"/>
      <c r="J267" s="109"/>
      <c r="K267" s="109"/>
      <c r="L267" s="169">
        <f t="shared" si="54"/>
        <v>0</v>
      </c>
      <c r="M267" s="169">
        <f t="shared" si="55"/>
        <v>0</v>
      </c>
      <c r="N267" s="109"/>
      <c r="O267" s="110"/>
    </row>
    <row r="268" spans="1:15" s="5" customFormat="1" ht="12.6" customHeight="1" x14ac:dyDescent="0.25">
      <c r="A268" s="1230"/>
      <c r="B268" s="1226"/>
      <c r="C268" s="1225" t="s">
        <v>1728</v>
      </c>
      <c r="D268" s="1227"/>
      <c r="E268" s="380"/>
      <c r="F268" s="109"/>
      <c r="G268" s="109"/>
      <c r="H268" s="109"/>
      <c r="I268" s="109"/>
      <c r="J268" s="109"/>
      <c r="K268" s="109"/>
      <c r="L268" s="169">
        <f t="shared" si="54"/>
        <v>0</v>
      </c>
      <c r="M268" s="169">
        <f t="shared" si="55"/>
        <v>0</v>
      </c>
      <c r="N268" s="109"/>
      <c r="O268" s="110"/>
    </row>
    <row r="269" spans="1:15" s="5" customFormat="1" ht="12.6" customHeight="1" x14ac:dyDescent="0.25">
      <c r="A269" s="1230"/>
      <c r="B269" s="1226"/>
      <c r="C269" s="1241" t="s">
        <v>1697</v>
      </c>
      <c r="D269" s="1227"/>
      <c r="E269" s="380"/>
      <c r="F269" s="109"/>
      <c r="G269" s="109"/>
      <c r="H269" s="109"/>
      <c r="I269" s="109"/>
      <c r="J269" s="109"/>
      <c r="K269" s="109"/>
      <c r="L269" s="169">
        <f t="shared" si="54"/>
        <v>0</v>
      </c>
      <c r="M269" s="169">
        <f t="shared" si="55"/>
        <v>0</v>
      </c>
      <c r="N269" s="109"/>
      <c r="O269" s="110"/>
    </row>
    <row r="270" spans="1:15" s="5" customFormat="1" ht="12.6" customHeight="1" x14ac:dyDescent="0.25">
      <c r="A270" s="1230"/>
      <c r="B270" s="1226"/>
      <c r="C270" s="1225" t="s">
        <v>1729</v>
      </c>
      <c r="D270" s="1227"/>
      <c r="E270" s="380"/>
      <c r="F270" s="109"/>
      <c r="G270" s="109"/>
      <c r="H270" s="109"/>
      <c r="I270" s="109"/>
      <c r="J270" s="109"/>
      <c r="K270" s="109"/>
      <c r="L270" s="169">
        <f t="shared" si="54"/>
        <v>0</v>
      </c>
      <c r="M270" s="169">
        <f t="shared" si="55"/>
        <v>0</v>
      </c>
      <c r="N270" s="109"/>
      <c r="O270" s="110"/>
    </row>
    <row r="271" spans="1:15" s="5" customFormat="1" ht="12.6" customHeight="1" x14ac:dyDescent="0.25">
      <c r="A271" s="1230"/>
      <c r="B271" s="1226"/>
      <c r="C271" s="1242" t="s">
        <v>1697</v>
      </c>
      <c r="D271" s="1228"/>
      <c r="E271" s="380"/>
      <c r="F271" s="109"/>
      <c r="G271" s="109"/>
      <c r="H271" s="109"/>
      <c r="I271" s="109"/>
      <c r="J271" s="109"/>
      <c r="K271" s="109"/>
      <c r="L271" s="169">
        <f t="shared" si="54"/>
        <v>0</v>
      </c>
      <c r="M271" s="169">
        <f t="shared" si="55"/>
        <v>0</v>
      </c>
      <c r="N271" s="109"/>
      <c r="O271" s="110"/>
    </row>
    <row r="272" spans="1:15" s="5" customFormat="1" ht="12.6" customHeight="1" x14ac:dyDescent="0.25">
      <c r="A272" s="1246"/>
      <c r="B272" s="1243"/>
      <c r="C272" s="1240" t="s">
        <v>1699</v>
      </c>
      <c r="D272" s="1229"/>
      <c r="E272" s="1265">
        <f>E264+E266+E268+E270</f>
        <v>0</v>
      </c>
      <c r="F272" s="1264">
        <f t="shared" ref="F272:M272" si="56">F264+F266+F268+F270</f>
        <v>0</v>
      </c>
      <c r="G272" s="1247">
        <f t="shared" si="56"/>
        <v>0</v>
      </c>
      <c r="H272" s="1266">
        <f t="shared" si="56"/>
        <v>0</v>
      </c>
      <c r="I272" s="1264">
        <f t="shared" si="56"/>
        <v>0</v>
      </c>
      <c r="J272" s="1267">
        <f t="shared" si="56"/>
        <v>0</v>
      </c>
      <c r="K272" s="1265">
        <f t="shared" si="56"/>
        <v>0</v>
      </c>
      <c r="L272" s="1264">
        <f t="shared" si="56"/>
        <v>0</v>
      </c>
      <c r="M272" s="1267">
        <f t="shared" si="56"/>
        <v>0</v>
      </c>
      <c r="N272" s="1264">
        <f>N264+N266+N268+N270</f>
        <v>0</v>
      </c>
      <c r="O272" s="1247">
        <f>O264+O266+O268+O270</f>
        <v>0</v>
      </c>
    </row>
    <row r="273" spans="1:15" s="5" customFormat="1" ht="12.6" customHeight="1" x14ac:dyDescent="0.25">
      <c r="A273" s="1239" t="s">
        <v>1088</v>
      </c>
      <c r="B273" s="1245" t="s">
        <v>1342</v>
      </c>
      <c r="C273" s="1244" t="s">
        <v>1695</v>
      </c>
      <c r="D273" s="1237"/>
      <c r="E273" s="238"/>
      <c r="F273" s="75"/>
      <c r="G273" s="75"/>
      <c r="H273" s="75"/>
      <c r="I273" s="75"/>
      <c r="J273" s="75"/>
      <c r="K273" s="75"/>
      <c r="L273" s="75"/>
      <c r="M273" s="75"/>
      <c r="N273" s="75"/>
      <c r="O273" s="76"/>
    </row>
    <row r="274" spans="1:15" s="5" customFormat="1" ht="12.6" customHeight="1" x14ac:dyDescent="0.25">
      <c r="A274" s="1230" t="s">
        <v>1696</v>
      </c>
      <c r="B274" s="1226"/>
      <c r="C274" s="1238" t="s">
        <v>1731</v>
      </c>
      <c r="D274" s="1227"/>
      <c r="E274" s="380"/>
      <c r="F274" s="109"/>
      <c r="G274" s="109"/>
      <c r="H274" s="109"/>
      <c r="I274" s="109"/>
      <c r="J274" s="109"/>
      <c r="K274" s="109"/>
      <c r="L274" s="169">
        <f t="shared" ref="L274:L283" si="57">SUM(G274:K274)</f>
        <v>0</v>
      </c>
      <c r="M274" s="169">
        <f t="shared" ref="M274:M283" si="58">IF(F274=0,E274+L274,F274+L274)</f>
        <v>0</v>
      </c>
      <c r="N274" s="109"/>
      <c r="O274" s="110"/>
    </row>
    <row r="275" spans="1:15" s="5" customFormat="1" ht="12.6" customHeight="1" x14ac:dyDescent="0.25">
      <c r="A275" s="1230"/>
      <c r="B275" s="1226"/>
      <c r="C275" s="1241" t="s">
        <v>1697</v>
      </c>
      <c r="D275" s="1227"/>
      <c r="E275" s="380"/>
      <c r="F275" s="109"/>
      <c r="G275" s="109"/>
      <c r="H275" s="109"/>
      <c r="I275" s="109"/>
      <c r="J275" s="109"/>
      <c r="K275" s="109"/>
      <c r="L275" s="169">
        <f t="shared" si="57"/>
        <v>0</v>
      </c>
      <c r="M275" s="169">
        <f t="shared" si="58"/>
        <v>0</v>
      </c>
      <c r="N275" s="109"/>
      <c r="O275" s="110"/>
    </row>
    <row r="276" spans="1:15" s="5" customFormat="1" ht="12.6" customHeight="1" x14ac:dyDescent="0.25">
      <c r="A276" s="1230"/>
      <c r="B276" s="1226"/>
      <c r="C276" s="1225" t="s">
        <v>1727</v>
      </c>
      <c r="D276" s="1227"/>
      <c r="E276" s="380"/>
      <c r="F276" s="109"/>
      <c r="G276" s="109"/>
      <c r="H276" s="109"/>
      <c r="I276" s="109"/>
      <c r="J276" s="109"/>
      <c r="K276" s="109"/>
      <c r="L276" s="169">
        <f t="shared" si="57"/>
        <v>0</v>
      </c>
      <c r="M276" s="169">
        <f t="shared" si="58"/>
        <v>0</v>
      </c>
      <c r="N276" s="109"/>
      <c r="O276" s="110"/>
    </row>
    <row r="277" spans="1:15" s="5" customFormat="1" ht="12.6" customHeight="1" x14ac:dyDescent="0.25">
      <c r="A277" s="1230"/>
      <c r="B277" s="1226"/>
      <c r="C277" s="1241" t="s">
        <v>1697</v>
      </c>
      <c r="D277" s="1227"/>
      <c r="E277" s="380"/>
      <c r="F277" s="109"/>
      <c r="G277" s="109"/>
      <c r="H277" s="109"/>
      <c r="I277" s="109"/>
      <c r="J277" s="109"/>
      <c r="K277" s="109"/>
      <c r="L277" s="169">
        <f t="shared" si="57"/>
        <v>0</v>
      </c>
      <c r="M277" s="169">
        <f t="shared" si="58"/>
        <v>0</v>
      </c>
      <c r="N277" s="109"/>
      <c r="O277" s="110"/>
    </row>
    <row r="278" spans="1:15" s="5" customFormat="1" ht="12.6" customHeight="1" x14ac:dyDescent="0.25">
      <c r="A278" s="1230"/>
      <c r="B278" s="1226"/>
      <c r="C278" s="1225" t="s">
        <v>1730</v>
      </c>
      <c r="D278" s="1227"/>
      <c r="E278" s="380"/>
      <c r="F278" s="109"/>
      <c r="G278" s="109"/>
      <c r="H278" s="109"/>
      <c r="I278" s="109"/>
      <c r="J278" s="109"/>
      <c r="K278" s="109"/>
      <c r="L278" s="169">
        <f t="shared" si="57"/>
        <v>0</v>
      </c>
      <c r="M278" s="169">
        <f t="shared" si="58"/>
        <v>0</v>
      </c>
      <c r="N278" s="109"/>
      <c r="O278" s="110"/>
    </row>
    <row r="279" spans="1:15" s="5" customFormat="1" ht="12.6" customHeight="1" x14ac:dyDescent="0.25">
      <c r="A279" s="1230"/>
      <c r="B279" s="1226"/>
      <c r="C279" s="1241" t="s">
        <v>1697</v>
      </c>
      <c r="D279" s="1227"/>
      <c r="E279" s="380"/>
      <c r="F279" s="109"/>
      <c r="G279" s="109"/>
      <c r="H279" s="109"/>
      <c r="I279" s="109"/>
      <c r="J279" s="109"/>
      <c r="K279" s="109"/>
      <c r="L279" s="169">
        <f t="shared" si="57"/>
        <v>0</v>
      </c>
      <c r="M279" s="169">
        <f t="shared" si="58"/>
        <v>0</v>
      </c>
      <c r="N279" s="109"/>
      <c r="O279" s="110"/>
    </row>
    <row r="280" spans="1:15" s="5" customFormat="1" ht="12.6" customHeight="1" x14ac:dyDescent="0.25">
      <c r="A280" s="1230"/>
      <c r="B280" s="1226"/>
      <c r="C280" s="1225" t="s">
        <v>1728</v>
      </c>
      <c r="D280" s="1227"/>
      <c r="E280" s="380"/>
      <c r="F280" s="109"/>
      <c r="G280" s="109"/>
      <c r="H280" s="109"/>
      <c r="I280" s="109"/>
      <c r="J280" s="109"/>
      <c r="K280" s="109"/>
      <c r="L280" s="169">
        <f t="shared" si="57"/>
        <v>0</v>
      </c>
      <c r="M280" s="169">
        <f t="shared" si="58"/>
        <v>0</v>
      </c>
      <c r="N280" s="109"/>
      <c r="O280" s="110"/>
    </row>
    <row r="281" spans="1:15" s="5" customFormat="1" ht="12.6" customHeight="1" x14ac:dyDescent="0.25">
      <c r="A281" s="1230"/>
      <c r="B281" s="1226"/>
      <c r="C281" s="1241" t="s">
        <v>1697</v>
      </c>
      <c r="D281" s="1227"/>
      <c r="E281" s="380"/>
      <c r="F281" s="109"/>
      <c r="G281" s="109"/>
      <c r="H281" s="109"/>
      <c r="I281" s="109"/>
      <c r="J281" s="109"/>
      <c r="K281" s="109"/>
      <c r="L281" s="169">
        <f t="shared" si="57"/>
        <v>0</v>
      </c>
      <c r="M281" s="169">
        <f t="shared" si="58"/>
        <v>0</v>
      </c>
      <c r="N281" s="109"/>
      <c r="O281" s="110"/>
    </row>
    <row r="282" spans="1:15" s="5" customFormat="1" ht="12.6" customHeight="1" x14ac:dyDescent="0.25">
      <c r="A282" s="1230"/>
      <c r="B282" s="1226"/>
      <c r="C282" s="1225" t="s">
        <v>1729</v>
      </c>
      <c r="D282" s="1227"/>
      <c r="E282" s="380"/>
      <c r="F282" s="109"/>
      <c r="G282" s="109"/>
      <c r="H282" s="109"/>
      <c r="I282" s="109"/>
      <c r="J282" s="109"/>
      <c r="K282" s="109"/>
      <c r="L282" s="169">
        <f t="shared" si="57"/>
        <v>0</v>
      </c>
      <c r="M282" s="169">
        <f t="shared" si="58"/>
        <v>0</v>
      </c>
      <c r="N282" s="109"/>
      <c r="O282" s="110"/>
    </row>
    <row r="283" spans="1:15" s="5" customFormat="1" ht="12.6" customHeight="1" x14ac:dyDescent="0.25">
      <c r="A283" s="1230"/>
      <c r="B283" s="1226"/>
      <c r="C283" s="1242" t="s">
        <v>1697</v>
      </c>
      <c r="D283" s="1228"/>
      <c r="E283" s="380"/>
      <c r="F283" s="109"/>
      <c r="G283" s="109"/>
      <c r="H283" s="109"/>
      <c r="I283" s="109"/>
      <c r="J283" s="109"/>
      <c r="K283" s="109"/>
      <c r="L283" s="169">
        <f t="shared" si="57"/>
        <v>0</v>
      </c>
      <c r="M283" s="169">
        <f t="shared" si="58"/>
        <v>0</v>
      </c>
      <c r="N283" s="109"/>
      <c r="O283" s="110"/>
    </row>
    <row r="284" spans="1:15" s="5" customFormat="1" ht="12.6" customHeight="1" x14ac:dyDescent="0.25">
      <c r="A284" s="1246"/>
      <c r="B284" s="1243"/>
      <c r="C284" s="1240" t="s">
        <v>1700</v>
      </c>
      <c r="D284" s="1229"/>
      <c r="E284" s="1265">
        <f>E276+E278+E280+E282</f>
        <v>0</v>
      </c>
      <c r="F284" s="1264">
        <f t="shared" ref="F284:M284" si="59">F276+F278+F280+F282</f>
        <v>0</v>
      </c>
      <c r="G284" s="1247">
        <f t="shared" si="59"/>
        <v>0</v>
      </c>
      <c r="H284" s="1266">
        <f t="shared" si="59"/>
        <v>0</v>
      </c>
      <c r="I284" s="1264">
        <f t="shared" si="59"/>
        <v>0</v>
      </c>
      <c r="J284" s="1267">
        <f t="shared" si="59"/>
        <v>0</v>
      </c>
      <c r="K284" s="1265">
        <f t="shared" si="59"/>
        <v>0</v>
      </c>
      <c r="L284" s="1264">
        <f t="shared" si="59"/>
        <v>0</v>
      </c>
      <c r="M284" s="1267">
        <f t="shared" si="59"/>
        <v>0</v>
      </c>
      <c r="N284" s="1264">
        <f>N276+N278+N280+N282</f>
        <v>0</v>
      </c>
      <c r="O284" s="1247">
        <f>O276+O278+O280+O282</f>
        <v>0</v>
      </c>
    </row>
    <row r="285" spans="1:15" s="5" customFormat="1" ht="12.6" customHeight="1" x14ac:dyDescent="0.25">
      <c r="A285" s="1239" t="s">
        <v>1701</v>
      </c>
      <c r="B285" s="1245" t="s">
        <v>1342</v>
      </c>
      <c r="C285" s="1244" t="s">
        <v>1695</v>
      </c>
      <c r="D285" s="1237"/>
      <c r="E285" s="238"/>
      <c r="F285" s="75"/>
      <c r="G285" s="75"/>
      <c r="H285" s="75"/>
      <c r="I285" s="75"/>
      <c r="J285" s="75"/>
      <c r="K285" s="75"/>
      <c r="L285" s="75"/>
      <c r="M285" s="75"/>
      <c r="N285" s="75"/>
      <c r="O285" s="76"/>
    </row>
    <row r="286" spans="1:15" s="5" customFormat="1" ht="12.6" customHeight="1" x14ac:dyDescent="0.25">
      <c r="A286" s="1230" t="s">
        <v>1696</v>
      </c>
      <c r="B286" s="1226"/>
      <c r="C286" s="1238" t="s">
        <v>1732</v>
      </c>
      <c r="D286" s="1227"/>
      <c r="E286" s="380"/>
      <c r="F286" s="109"/>
      <c r="G286" s="109"/>
      <c r="H286" s="109"/>
      <c r="I286" s="109"/>
      <c r="J286" s="109"/>
      <c r="K286" s="109"/>
      <c r="L286" s="169">
        <f t="shared" ref="L286:L295" si="60">SUM(G286:K286)</f>
        <v>0</v>
      </c>
      <c r="M286" s="169">
        <f t="shared" ref="M286:M295" si="61">IF(F286=0,E286+L286,F286+L286)</f>
        <v>0</v>
      </c>
      <c r="N286" s="109"/>
      <c r="O286" s="110"/>
    </row>
    <row r="287" spans="1:15" s="5" customFormat="1" ht="12.6" customHeight="1" x14ac:dyDescent="0.25">
      <c r="A287" s="1230"/>
      <c r="B287" s="1226"/>
      <c r="C287" s="1241" t="s">
        <v>1697</v>
      </c>
      <c r="D287" s="1227"/>
      <c r="E287" s="380"/>
      <c r="F287" s="109"/>
      <c r="G287" s="109"/>
      <c r="H287" s="109"/>
      <c r="I287" s="109"/>
      <c r="J287" s="109"/>
      <c r="K287" s="109"/>
      <c r="L287" s="169">
        <f t="shared" si="60"/>
        <v>0</v>
      </c>
      <c r="M287" s="169">
        <f t="shared" si="61"/>
        <v>0</v>
      </c>
      <c r="N287" s="109"/>
      <c r="O287" s="110"/>
    </row>
    <row r="288" spans="1:15" s="5" customFormat="1" ht="12.6" customHeight="1" x14ac:dyDescent="0.25">
      <c r="A288" s="1230"/>
      <c r="B288" s="1226"/>
      <c r="C288" s="1225" t="s">
        <v>1727</v>
      </c>
      <c r="D288" s="1227"/>
      <c r="E288" s="380"/>
      <c r="F288" s="109"/>
      <c r="G288" s="109"/>
      <c r="H288" s="109"/>
      <c r="I288" s="109"/>
      <c r="J288" s="109"/>
      <c r="K288" s="109"/>
      <c r="L288" s="169">
        <f t="shared" si="60"/>
        <v>0</v>
      </c>
      <c r="M288" s="169">
        <f t="shared" si="61"/>
        <v>0</v>
      </c>
      <c r="N288" s="109"/>
      <c r="O288" s="110"/>
    </row>
    <row r="289" spans="1:15" s="5" customFormat="1" ht="12.6" customHeight="1" x14ac:dyDescent="0.25">
      <c r="A289" s="1230"/>
      <c r="B289" s="1226"/>
      <c r="C289" s="1241" t="s">
        <v>1697</v>
      </c>
      <c r="D289" s="1227"/>
      <c r="E289" s="380"/>
      <c r="F289" s="109"/>
      <c r="G289" s="109"/>
      <c r="H289" s="109"/>
      <c r="I289" s="109"/>
      <c r="J289" s="109"/>
      <c r="K289" s="109"/>
      <c r="L289" s="169">
        <f t="shared" si="60"/>
        <v>0</v>
      </c>
      <c r="M289" s="169">
        <f t="shared" si="61"/>
        <v>0</v>
      </c>
      <c r="N289" s="109"/>
      <c r="O289" s="110"/>
    </row>
    <row r="290" spans="1:15" s="5" customFormat="1" ht="12.6" customHeight="1" x14ac:dyDescent="0.25">
      <c r="A290" s="1230"/>
      <c r="B290" s="1226"/>
      <c r="C290" s="1225" t="s">
        <v>1730</v>
      </c>
      <c r="D290" s="1227"/>
      <c r="E290" s="380"/>
      <c r="F290" s="109"/>
      <c r="G290" s="109"/>
      <c r="H290" s="109"/>
      <c r="I290" s="109"/>
      <c r="J290" s="109"/>
      <c r="K290" s="109"/>
      <c r="L290" s="169">
        <f t="shared" si="60"/>
        <v>0</v>
      </c>
      <c r="M290" s="169">
        <f t="shared" si="61"/>
        <v>0</v>
      </c>
      <c r="N290" s="109"/>
      <c r="O290" s="110"/>
    </row>
    <row r="291" spans="1:15" s="5" customFormat="1" ht="12.6" customHeight="1" x14ac:dyDescent="0.25">
      <c r="A291" s="1230"/>
      <c r="B291" s="1226"/>
      <c r="C291" s="1241" t="s">
        <v>1697</v>
      </c>
      <c r="D291" s="1227"/>
      <c r="E291" s="380"/>
      <c r="F291" s="109"/>
      <c r="G291" s="109"/>
      <c r="H291" s="109"/>
      <c r="I291" s="109"/>
      <c r="J291" s="109"/>
      <c r="K291" s="109"/>
      <c r="L291" s="169">
        <f t="shared" si="60"/>
        <v>0</v>
      </c>
      <c r="M291" s="169">
        <f t="shared" si="61"/>
        <v>0</v>
      </c>
      <c r="N291" s="109"/>
      <c r="O291" s="110"/>
    </row>
    <row r="292" spans="1:15" s="5" customFormat="1" ht="12.6" customHeight="1" x14ac:dyDescent="0.25">
      <c r="A292" s="1230"/>
      <c r="B292" s="1226"/>
      <c r="C292" s="1225" t="s">
        <v>1728</v>
      </c>
      <c r="D292" s="1227"/>
      <c r="E292" s="380"/>
      <c r="F292" s="109"/>
      <c r="G292" s="109"/>
      <c r="H292" s="109"/>
      <c r="I292" s="109"/>
      <c r="J292" s="109"/>
      <c r="K292" s="109"/>
      <c r="L292" s="169">
        <f t="shared" si="60"/>
        <v>0</v>
      </c>
      <c r="M292" s="169">
        <f t="shared" si="61"/>
        <v>0</v>
      </c>
      <c r="N292" s="109"/>
      <c r="O292" s="110"/>
    </row>
    <row r="293" spans="1:15" s="5" customFormat="1" ht="12.6" customHeight="1" x14ac:dyDescent="0.25">
      <c r="A293" s="1230"/>
      <c r="B293" s="1226"/>
      <c r="C293" s="1241" t="s">
        <v>1697</v>
      </c>
      <c r="D293" s="1227"/>
      <c r="E293" s="380"/>
      <c r="F293" s="109"/>
      <c r="G293" s="109"/>
      <c r="H293" s="109"/>
      <c r="I293" s="109"/>
      <c r="J293" s="109"/>
      <c r="K293" s="109"/>
      <c r="L293" s="169">
        <f t="shared" si="60"/>
        <v>0</v>
      </c>
      <c r="M293" s="169">
        <f t="shared" si="61"/>
        <v>0</v>
      </c>
      <c r="N293" s="109"/>
      <c r="O293" s="110"/>
    </row>
    <row r="294" spans="1:15" s="5" customFormat="1" ht="12.6" customHeight="1" x14ac:dyDescent="0.25">
      <c r="A294" s="1230"/>
      <c r="B294" s="1226"/>
      <c r="C294" s="1225" t="s">
        <v>1729</v>
      </c>
      <c r="D294" s="1227"/>
      <c r="E294" s="380"/>
      <c r="F294" s="109"/>
      <c r="G294" s="109"/>
      <c r="H294" s="109"/>
      <c r="I294" s="109"/>
      <c r="J294" s="109"/>
      <c r="K294" s="109"/>
      <c r="L294" s="169">
        <f t="shared" si="60"/>
        <v>0</v>
      </c>
      <c r="M294" s="169">
        <f t="shared" si="61"/>
        <v>0</v>
      </c>
      <c r="N294" s="109"/>
      <c r="O294" s="110"/>
    </row>
    <row r="295" spans="1:15" s="5" customFormat="1" ht="12.6" customHeight="1" x14ac:dyDescent="0.25">
      <c r="A295" s="1230"/>
      <c r="B295" s="1226"/>
      <c r="C295" s="1242" t="s">
        <v>1697</v>
      </c>
      <c r="D295" s="1228"/>
      <c r="E295" s="380"/>
      <c r="F295" s="109"/>
      <c r="G295" s="109"/>
      <c r="H295" s="109"/>
      <c r="I295" s="109"/>
      <c r="J295" s="109"/>
      <c r="K295" s="109"/>
      <c r="L295" s="169">
        <f t="shared" si="60"/>
        <v>0</v>
      </c>
      <c r="M295" s="169">
        <f t="shared" si="61"/>
        <v>0</v>
      </c>
      <c r="N295" s="109"/>
      <c r="O295" s="110"/>
    </row>
    <row r="296" spans="1:15" s="5" customFormat="1" ht="12.6" customHeight="1" x14ac:dyDescent="0.25">
      <c r="A296" s="1246"/>
      <c r="B296" s="1243"/>
      <c r="C296" s="1240" t="s">
        <v>1702</v>
      </c>
      <c r="D296" s="1229"/>
      <c r="E296" s="1265">
        <f>E288+E290+E292+E294</f>
        <v>0</v>
      </c>
      <c r="F296" s="1264">
        <f t="shared" ref="F296:M296" si="62">F288+F290+F292+F294</f>
        <v>0</v>
      </c>
      <c r="G296" s="1247">
        <f t="shared" si="62"/>
        <v>0</v>
      </c>
      <c r="H296" s="1266">
        <f t="shared" si="62"/>
        <v>0</v>
      </c>
      <c r="I296" s="1264">
        <f t="shared" si="62"/>
        <v>0</v>
      </c>
      <c r="J296" s="1267">
        <f t="shared" si="62"/>
        <v>0</v>
      </c>
      <c r="K296" s="1265">
        <f t="shared" si="62"/>
        <v>0</v>
      </c>
      <c r="L296" s="1264">
        <f t="shared" si="62"/>
        <v>0</v>
      </c>
      <c r="M296" s="1267">
        <f t="shared" si="62"/>
        <v>0</v>
      </c>
      <c r="N296" s="1264">
        <f>N288+N290+N292+N294</f>
        <v>0</v>
      </c>
      <c r="O296" s="1247">
        <f>O288+O290+O292+O294</f>
        <v>0</v>
      </c>
    </row>
    <row r="297" spans="1:15" s="5" customFormat="1" ht="11.25" customHeight="1" x14ac:dyDescent="0.25">
      <c r="B297" s="58"/>
    </row>
    <row r="298" spans="1:15" ht="11.25" customHeight="1" x14ac:dyDescent="0.25">
      <c r="A298" s="282" t="str">
        <f>head27a</f>
        <v>References</v>
      </c>
    </row>
    <row r="299" spans="1:15" ht="11.25" customHeight="1" x14ac:dyDescent="0.25">
      <c r="A299" s="285" t="s">
        <v>1350</v>
      </c>
    </row>
    <row r="300" spans="1:15" ht="11.25" customHeight="1" x14ac:dyDescent="0.25">
      <c r="A300" s="285" t="s">
        <v>1351</v>
      </c>
    </row>
    <row r="301" spans="1:15" ht="11.25" customHeight="1" x14ac:dyDescent="0.25">
      <c r="A301" s="285" t="s">
        <v>1352</v>
      </c>
    </row>
    <row r="302" spans="1:15" ht="11.25" customHeight="1" x14ac:dyDescent="0.25">
      <c r="A302" s="285" t="s">
        <v>1353</v>
      </c>
    </row>
    <row r="303" spans="1:15" ht="11.25" customHeight="1" x14ac:dyDescent="0.25">
      <c r="A303" s="285" t="s">
        <v>1354</v>
      </c>
    </row>
    <row r="304" spans="1:15" ht="11.25" customHeight="1" x14ac:dyDescent="0.25">
      <c r="A304" s="283" t="s">
        <v>1355</v>
      </c>
      <c r="B304" s="834"/>
      <c r="F304" s="444"/>
      <c r="G304" s="444"/>
      <c r="H304" s="444"/>
      <c r="I304" s="444"/>
      <c r="J304" s="444"/>
      <c r="K304" s="444"/>
    </row>
    <row r="305" spans="1:11" ht="11.25" customHeight="1" x14ac:dyDescent="0.25">
      <c r="A305" s="283" t="s">
        <v>1356</v>
      </c>
      <c r="F305" s="444"/>
      <c r="G305" s="444"/>
      <c r="H305" s="444"/>
      <c r="I305" s="444"/>
      <c r="J305" s="444"/>
      <c r="K305" s="444"/>
    </row>
    <row r="306" spans="1:11" ht="11.25" customHeight="1" x14ac:dyDescent="0.25">
      <c r="A306" s="826" t="s">
        <v>1357</v>
      </c>
      <c r="F306" s="444"/>
      <c r="G306" s="444"/>
      <c r="H306" s="444"/>
      <c r="I306" s="444"/>
      <c r="J306" s="444"/>
      <c r="K306" s="444"/>
    </row>
    <row r="307" spans="1:11" ht="11.25" customHeight="1" x14ac:dyDescent="0.25">
      <c r="A307" s="826" t="s">
        <v>1358</v>
      </c>
      <c r="F307" s="444"/>
      <c r="G307" s="444"/>
      <c r="H307" s="444"/>
      <c r="I307" s="444"/>
      <c r="J307" s="444"/>
      <c r="K307" s="444"/>
    </row>
    <row r="308" spans="1:11" ht="11.25" customHeight="1" x14ac:dyDescent="0.25">
      <c r="A308" s="826" t="s">
        <v>1359</v>
      </c>
      <c r="F308" s="444"/>
      <c r="G308" s="444"/>
      <c r="H308" s="444"/>
      <c r="I308" s="444"/>
      <c r="J308" s="444"/>
      <c r="K308" s="444"/>
    </row>
    <row r="309" spans="1:11" ht="11.25" customHeight="1" x14ac:dyDescent="0.25">
      <c r="A309" s="826" t="s">
        <v>1360</v>
      </c>
    </row>
    <row r="310" spans="1:11" ht="11.25" customHeight="1" x14ac:dyDescent="0.25">
      <c r="A310" s="285" t="s">
        <v>1361</v>
      </c>
      <c r="F310" s="445"/>
      <c r="G310" s="445"/>
      <c r="H310" s="445"/>
      <c r="I310" s="445"/>
      <c r="J310" s="445"/>
      <c r="K310" s="445"/>
    </row>
    <row r="311" spans="1:11" ht="11.25" customHeight="1" x14ac:dyDescent="0.25">
      <c r="A311" s="997" t="s">
        <v>1362</v>
      </c>
      <c r="F311" s="445"/>
      <c r="G311" s="445"/>
      <c r="H311" s="445"/>
      <c r="I311" s="446"/>
      <c r="J311" s="446"/>
      <c r="K311" s="446"/>
    </row>
  </sheetData>
  <sheetProtection sheet="1" objects="1" scenarios="1"/>
  <mergeCells count="21">
    <mergeCell ref="A247:A248"/>
    <mergeCell ref="E247:M247"/>
    <mergeCell ref="A155:A156"/>
    <mergeCell ref="K109:M109"/>
    <mergeCell ref="H155:J155"/>
    <mergeCell ref="A2:A3"/>
    <mergeCell ref="A201:A202"/>
    <mergeCell ref="C2:C3"/>
    <mergeCell ref="K201:M201"/>
    <mergeCell ref="K155:M155"/>
    <mergeCell ref="H63:J63"/>
    <mergeCell ref="B2:B3"/>
    <mergeCell ref="A109:A110"/>
    <mergeCell ref="E2:E3"/>
    <mergeCell ref="F2:F3"/>
    <mergeCell ref="K63:M63"/>
    <mergeCell ref="H201:J201"/>
    <mergeCell ref="H109:J109"/>
    <mergeCell ref="A63:A64"/>
    <mergeCell ref="D2:D3"/>
    <mergeCell ref="K2:M2"/>
  </mergeCells>
  <phoneticPr fontId="4"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xr:uid="{00000000-0002-0000-1800-000000000000}">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14"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96">
    <tabColor indexed="42"/>
    <pageSetUpPr fitToPage="1"/>
  </sheetPr>
  <dimension ref="A1:P93"/>
  <sheetViews>
    <sheetView showGridLines="0" zoomScaleNormal="100" workbookViewId="0">
      <pane xSplit="2" ySplit="3" topLeftCell="C28" activePane="bottomRight" state="frozen"/>
      <selection activeCell="C6" sqref="C6"/>
      <selection pane="topRight" activeCell="C6" sqref="C6"/>
      <selection pane="bottomLeft" activeCell="C6" sqref="C6"/>
      <selection pane="bottomRight" activeCell="G37" sqref="G37"/>
    </sheetView>
  </sheetViews>
  <sheetFormatPr defaultColWidth="9.140625" defaultRowHeight="12.75" x14ac:dyDescent="0.25"/>
  <cols>
    <col min="1" max="1" width="41.5703125" style="5" customWidth="1"/>
    <col min="2" max="2" width="3.5703125" style="58" customWidth="1"/>
    <col min="3" max="5" width="8.5703125" style="58" customWidth="1"/>
    <col min="6" max="11" width="8.570312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 xml:space="preserve">KZN226 Mkhambathini - Supporting Table SB6 Adjustments Budget - funding measurement - </v>
      </c>
      <c r="C1" s="5"/>
      <c r="D1" s="5"/>
      <c r="E1" s="5"/>
    </row>
    <row r="2" spans="1:11" x14ac:dyDescent="0.25">
      <c r="A2" s="59" t="str">
        <f>desc</f>
        <v>Description</v>
      </c>
      <c r="B2" s="1458" t="str">
        <f>head27</f>
        <v>Ref</v>
      </c>
      <c r="C2" s="1458" t="s">
        <v>105</v>
      </c>
      <c r="D2" s="447" t="str">
        <f>Head1B</f>
        <v>2017/18</v>
      </c>
      <c r="E2" s="317" t="str">
        <f>Head1A</f>
        <v>2018/19</v>
      </c>
      <c r="F2" s="317" t="str">
        <f>Head1</f>
        <v>2019/20</v>
      </c>
      <c r="G2" s="448" t="str">
        <f>Head3a</f>
        <v>Medium Term Revenue and Expenditure Framework</v>
      </c>
      <c r="H2" s="167"/>
      <c r="I2" s="448"/>
      <c r="J2" s="167"/>
      <c r="K2" s="168"/>
    </row>
    <row r="3" spans="1:11" ht="38.25" x14ac:dyDescent="0.25">
      <c r="A3" s="449" t="s">
        <v>605</v>
      </c>
      <c r="B3" s="1468"/>
      <c r="C3" s="1468"/>
      <c r="D3" s="450" t="str">
        <f>Head5</f>
        <v>Audited Outcome</v>
      </c>
      <c r="E3" s="318" t="str">
        <f>Head5</f>
        <v>Audited Outcome</v>
      </c>
      <c r="F3" s="318" t="str">
        <f>Head5</f>
        <v>Audited Outcome</v>
      </c>
      <c r="G3" s="318" t="str">
        <f>Head6</f>
        <v>Original Budget</v>
      </c>
      <c r="H3" s="318" t="str">
        <f>Head54</f>
        <v>Prior Adjusted</v>
      </c>
      <c r="I3" s="318" t="str">
        <f>Head7</f>
        <v>Adjusted Budget</v>
      </c>
      <c r="J3" s="318" t="str">
        <f>Head10</f>
        <v>Budget Year +1 2021/22</v>
      </c>
      <c r="K3" s="320" t="str">
        <f>Head11</f>
        <v>Budget Year +2 2022/23</v>
      </c>
    </row>
    <row r="4" spans="1:11" ht="12.75" customHeight="1" x14ac:dyDescent="0.25">
      <c r="A4" s="124" t="s">
        <v>106</v>
      </c>
      <c r="B4" s="451"/>
      <c r="C4" s="451"/>
      <c r="D4" s="452"/>
      <c r="E4" s="453"/>
      <c r="F4" s="453"/>
      <c r="G4" s="453"/>
      <c r="H4" s="454"/>
      <c r="I4" s="453"/>
      <c r="J4" s="454"/>
      <c r="K4" s="455"/>
    </row>
    <row r="5" spans="1:11" ht="12.75" customHeight="1" x14ac:dyDescent="0.25">
      <c r="A5" s="127" t="s">
        <v>107</v>
      </c>
      <c r="B5" s="73">
        <v>1</v>
      </c>
      <c r="C5" s="73" t="s">
        <v>108</v>
      </c>
      <c r="D5" s="380">
        <v>58973389</v>
      </c>
      <c r="E5" s="109">
        <v>63941157</v>
      </c>
      <c r="F5" s="109">
        <v>65454699</v>
      </c>
      <c r="G5" s="169">
        <f>'B7-CFlow'!C42</f>
        <v>-3411192</v>
      </c>
      <c r="H5" s="169">
        <f>'B7-CFlow'!D42</f>
        <v>62043661</v>
      </c>
      <c r="I5" s="169">
        <f>'B7-CFlow'!K42</f>
        <v>100225661</v>
      </c>
      <c r="J5" s="456">
        <f>'B7-CFlow'!L42</f>
        <v>-142720336</v>
      </c>
      <c r="K5" s="233">
        <f>'B7-CFlow'!M42</f>
        <v>-142736886</v>
      </c>
    </row>
    <row r="6" spans="1:11" ht="12.75" customHeight="1" x14ac:dyDescent="0.25">
      <c r="A6" s="127" t="s">
        <v>109</v>
      </c>
      <c r="B6" s="73">
        <v>2</v>
      </c>
      <c r="C6" s="73" t="s">
        <v>108</v>
      </c>
      <c r="D6" s="380">
        <v>170808920</v>
      </c>
      <c r="E6" s="109">
        <v>174304825</v>
      </c>
      <c r="F6" s="109">
        <v>179447967</v>
      </c>
      <c r="G6" s="169">
        <f>'B8-ResRecon'!C21</f>
        <v>78816638</v>
      </c>
      <c r="H6" s="169">
        <f>'B8-ResRecon'!D21</f>
        <v>78816638</v>
      </c>
      <c r="I6" s="169">
        <f>'B8-ResRecon'!K21</f>
        <v>-29870395</v>
      </c>
      <c r="J6" s="456">
        <f>'B8-ResRecon'!L21</f>
        <v>163141516</v>
      </c>
      <c r="K6" s="233">
        <f>'B8-ResRecon'!M21</f>
        <v>163158066</v>
      </c>
    </row>
    <row r="7" spans="1:11" x14ac:dyDescent="0.25">
      <c r="A7" s="127" t="s">
        <v>110</v>
      </c>
      <c r="B7" s="73">
        <v>3</v>
      </c>
      <c r="C7" s="73" t="s">
        <v>108</v>
      </c>
      <c r="D7" s="380">
        <v>0</v>
      </c>
      <c r="E7" s="109">
        <v>0</v>
      </c>
      <c r="F7" s="109">
        <v>0</v>
      </c>
      <c r="G7" s="169">
        <f>'SB4'!F39</f>
        <v>0</v>
      </c>
      <c r="H7" s="169">
        <f>'SB4'!G39</f>
        <v>0</v>
      </c>
      <c r="I7" s="169">
        <f>'SB4'!H39</f>
        <v>0</v>
      </c>
      <c r="J7" s="456">
        <f>'SB4'!I39</f>
        <v>0</v>
      </c>
      <c r="K7" s="233">
        <f>'SB4'!J39</f>
        <v>0</v>
      </c>
    </row>
    <row r="8" spans="1:11" ht="12.75" customHeight="1" x14ac:dyDescent="0.25">
      <c r="A8" s="127" t="s">
        <v>111</v>
      </c>
      <c r="B8" s="73">
        <v>4</v>
      </c>
      <c r="C8" s="73" t="s">
        <v>112</v>
      </c>
      <c r="D8" s="380">
        <v>19258496</v>
      </c>
      <c r="E8" s="109">
        <v>26829753</v>
      </c>
      <c r="F8" s="109">
        <v>17074492</v>
      </c>
      <c r="G8" s="169">
        <f>'B4-FinPerf RE'!C43+'SB2'!C54</f>
        <v>2685553</v>
      </c>
      <c r="H8" s="169">
        <f>'B4-FinPerf RE'!D43+'SB2'!D54</f>
        <v>15090553</v>
      </c>
      <c r="I8" s="169">
        <f>'B4-FinPerf RE'!K43+'SB2'!K54</f>
        <v>-6916624</v>
      </c>
      <c r="J8" s="169">
        <f>'B4-FinPerf RE'!L43+'SB2'!L54</f>
        <v>5584299</v>
      </c>
      <c r="K8" s="233">
        <f>'B4-FinPerf RE'!M43+'SB2'!M54</f>
        <v>5455423</v>
      </c>
    </row>
    <row r="9" spans="1:11" ht="12.75" customHeight="1" x14ac:dyDescent="0.25">
      <c r="A9" s="30" t="s">
        <v>113</v>
      </c>
      <c r="B9" s="135">
        <v>5</v>
      </c>
      <c r="C9" s="135" t="s">
        <v>114</v>
      </c>
      <c r="D9" s="457">
        <v>0.85</v>
      </c>
      <c r="E9" s="325">
        <v>0.85</v>
      </c>
      <c r="F9" s="325">
        <v>0.85</v>
      </c>
      <c r="G9" s="326">
        <f>IF(ISERROR(((G36/G37)-1)-G35),0,(((G36/G37)-1)-G35))</f>
        <v>-0.10620424515040766</v>
      </c>
      <c r="H9" s="326">
        <f>IF(ISERROR(((H36/H37)-1)-H35),0,(((H36/H37)-1)-H35))</f>
        <v>0</v>
      </c>
      <c r="I9" s="326">
        <f>IF(ISERROR(((I36/I37)-1)-I35),0,(((I36/I37)-1)-I35))</f>
        <v>-0.10620424515040766</v>
      </c>
      <c r="J9" s="326">
        <f>IF(ISERROR(((J36/J37)-1)-J35),0,(((J36/J37)-1)-J35))</f>
        <v>3.6370991833379329E-3</v>
      </c>
      <c r="K9" s="328">
        <f>IF(ISERROR(((K36/K37)-1)-K35),0,(((K36/K37)-1)-K35))</f>
        <v>3.4195175347438433E-3</v>
      </c>
    </row>
    <row r="10" spans="1:11" ht="12.75" customHeight="1" x14ac:dyDescent="0.25">
      <c r="A10" s="30" t="s">
        <v>115</v>
      </c>
      <c r="B10" s="135">
        <v>6</v>
      </c>
      <c r="C10" s="135" t="s">
        <v>114</v>
      </c>
      <c r="D10" s="1048">
        <f>IF(ISERROR(D40/D41),0,(D40/D41))</f>
        <v>0.86823420479199342</v>
      </c>
      <c r="E10" s="458">
        <f t="shared" ref="E10:K10" si="0">IF(ISERROR(E40/E41),0,(E40/E41))</f>
        <v>0.71370482516523026</v>
      </c>
      <c r="F10" s="458">
        <f t="shared" si="0"/>
        <v>0.81586855079168208</v>
      </c>
      <c r="G10" s="458">
        <f t="shared" si="0"/>
        <v>0.84310341397598587</v>
      </c>
      <c r="H10" s="458">
        <f t="shared" si="0"/>
        <v>0.84310341397598587</v>
      </c>
      <c r="I10" s="458">
        <f t="shared" si="0"/>
        <v>0.85292305185099371</v>
      </c>
      <c r="J10" s="458">
        <f t="shared" si="0"/>
        <v>0</v>
      </c>
      <c r="K10" s="1049">
        <f t="shared" si="0"/>
        <v>0</v>
      </c>
    </row>
    <row r="11" spans="1:11" ht="12.75" customHeight="1" x14ac:dyDescent="0.25">
      <c r="A11" s="30" t="s">
        <v>116</v>
      </c>
      <c r="B11" s="135">
        <v>7</v>
      </c>
      <c r="C11" s="135" t="s">
        <v>114</v>
      </c>
      <c r="D11" s="329">
        <v>0.151</v>
      </c>
      <c r="E11" s="325">
        <v>0.152</v>
      </c>
      <c r="F11" s="325">
        <v>0.153</v>
      </c>
      <c r="G11" s="326">
        <f>IF(ISERROR('B4-FinPerf RE'!C28/(SUM('B4-FinPerf RE'!C7:C13))),0,('B4-FinPerf RE'!C28/(SUM('B4-FinPerf RE'!C7:C13))))</f>
        <v>0.15168935548804435</v>
      </c>
      <c r="H11" s="326">
        <f>IF(ISERROR('B4-FinPerf RE'!D28/(SUM('B4-FinPerf RE'!D7:D13))),0,('B4-FinPerf RE'!D28/(SUM('B4-FinPerf RE'!D7:D13))))</f>
        <v>0.15168935548804435</v>
      </c>
      <c r="I11" s="326">
        <f>IF(ISERROR('B4-FinPerf RE'!K28/(SUM('B4-FinPerf RE'!K7:K13))),0,('B4-FinPerf RE'!K28/(SUM('B4-FinPerf RE'!K7:K13))))</f>
        <v>0.15168935548804435</v>
      </c>
      <c r="J11" s="327">
        <f>IF(ISERROR('B4-FinPerf RE'!L28/(SUM('B4-FinPerf RE'!L7:L13))),0,('B4-FinPerf RE'!L28/(SUM('B4-FinPerf RE'!L7:L13))))</f>
        <v>0.16258898954962103</v>
      </c>
      <c r="K11" s="328">
        <f>IF(ISERROR('B4-FinPerf RE'!M28/(SUM('B4-FinPerf RE'!M7:M13))),0,('B4-FinPerf RE'!M28/(SUM('B4-FinPerf RE'!M7:M13))))</f>
        <v>0.17430691550892927</v>
      </c>
    </row>
    <row r="12" spans="1:11" ht="12.75" customHeight="1" x14ac:dyDescent="0.25">
      <c r="A12" s="30" t="s">
        <v>117</v>
      </c>
      <c r="B12" s="135">
        <v>8</v>
      </c>
      <c r="C12" s="135" t="s">
        <v>118</v>
      </c>
      <c r="D12" s="329">
        <v>0.83</v>
      </c>
      <c r="E12" s="325">
        <v>1</v>
      </c>
      <c r="F12" s="325">
        <v>1</v>
      </c>
      <c r="G12" s="326">
        <f>IF(ISERROR(-'B7-CFlow'!C28/'B5-Capex'!C65),0,(-'B7-CFlow'!C28/'B5-Capex'!C65))</f>
        <v>1.2429968330257266</v>
      </c>
      <c r="H12" s="326">
        <f>IF(ISERROR(-'B7-CFlow'!D28/'B5-Capex'!D65),0,(-'B7-CFlow'!D28/'B5-Capex'!D65))</f>
        <v>0.95572355762671046</v>
      </c>
      <c r="I12" s="326">
        <f>IF(ISERROR(-'B7-CFlow'!E28/'B5-Capex'!E65),0,(-'B7-CFlow'!E28/'B5-Capex'!E65))</f>
        <v>0</v>
      </c>
      <c r="J12" s="326">
        <f>IF(ISERROR(-'B7-CFlow'!F28/'B5-Capex'!F65),0,(-'B7-CFlow'!F28/'B5-Capex'!F65))</f>
        <v>0</v>
      </c>
      <c r="K12" s="328">
        <f>IF(ISERROR(-'B7-CFlow'!G28/'B5-Capex'!G65),0,(-'B7-CFlow'!G28/'B5-Capex'!G65))</f>
        <v>0</v>
      </c>
    </row>
    <row r="13" spans="1:11" ht="12.75" customHeight="1" x14ac:dyDescent="0.25">
      <c r="A13" s="30" t="s">
        <v>119</v>
      </c>
      <c r="B13" s="135">
        <v>9</v>
      </c>
      <c r="C13" s="135" t="s">
        <v>120</v>
      </c>
      <c r="D13" s="329">
        <v>0</v>
      </c>
      <c r="E13" s="325">
        <v>0</v>
      </c>
      <c r="F13" s="325">
        <v>0</v>
      </c>
      <c r="G13" s="326">
        <f>IF(ISERROR('SB4'!F9),0,('SB4'!F9))</f>
        <v>0</v>
      </c>
      <c r="H13" s="326">
        <f>IF(ISERROR('SB4'!G9),0,('SB4'!G9))</f>
        <v>0</v>
      </c>
      <c r="I13" s="326">
        <f>IF(ISERROR('SB4'!H9),0,('SB4'!H9))</f>
        <v>0</v>
      </c>
      <c r="J13" s="327">
        <f>IF(ISERROR('SB4'!I9),0,('SB4'!I9))</f>
        <v>0</v>
      </c>
      <c r="K13" s="328">
        <f>IF(ISERROR('SB4'!J9),0,('SB4'!J9))</f>
        <v>0</v>
      </c>
    </row>
    <row r="14" spans="1:11" ht="12.75" customHeight="1" x14ac:dyDescent="0.25">
      <c r="A14" s="30" t="s">
        <v>121</v>
      </c>
      <c r="B14" s="135">
        <v>10</v>
      </c>
      <c r="C14" s="135" t="s">
        <v>122</v>
      </c>
      <c r="D14" s="329">
        <v>0.72</v>
      </c>
      <c r="E14" s="325">
        <v>0.68</v>
      </c>
      <c r="F14" s="325">
        <v>0.79</v>
      </c>
      <c r="G14" s="326">
        <f>IF(ISERROR(('B4-FinPerf RE'!C20+'B4-FinPerf RE'!C40)/('SB6'!G38+'SB6'!G39)),0,(('B4-FinPerf RE'!C20+'B4-FinPerf RE'!C40)/('SB6'!G38+'SB6'!G39)))</f>
        <v>0.84005690621742679</v>
      </c>
      <c r="H14" s="326">
        <f>IF(ISERROR(('B4-FinPerf RE'!D20+'B4-FinPerf RE'!D40)/('SB6'!H38+'SB6'!H39)),0,(('B4-FinPerf RE'!D20+'B4-FinPerf RE'!D40)/('SB6'!H38+'SB6'!H39)))</f>
        <v>0.95654562357382311</v>
      </c>
      <c r="I14" s="326">
        <f>IF(ISERROR(('B4-FinPerf RE'!K20+'B4-FinPerf RE'!K40)/('SB6'!I38+'SB6'!I39)),0,(('B4-FinPerf RE'!K20+'B4-FinPerf RE'!K40)/('SB6'!I38+'SB6'!I39)))</f>
        <v>0.95120714426571262</v>
      </c>
      <c r="J14" s="327">
        <f>IF(ISERROR(('B4-FinPerf RE'!L20+'B4-FinPerf RE'!L40)/('SB6'!J38+'SB6'!J39)),0,(('B4-FinPerf RE'!L20+'B4-FinPerf RE'!L40)/('SB6'!J38+'SB6'!J39)))</f>
        <v>0.92177339708801476</v>
      </c>
      <c r="K14" s="328">
        <f>IF(ISERROR(('B4-FinPerf RE'!M20+'B4-FinPerf RE'!M40)/('SB6'!K38+'SB6'!K39)),0,(('B4-FinPerf RE'!M20+'B4-FinPerf RE'!M40)/('SB6'!K38+'SB6'!K39)))</f>
        <v>0.91718731309636636</v>
      </c>
    </row>
    <row r="15" spans="1:11" ht="12.75" customHeight="1" x14ac:dyDescent="0.25">
      <c r="A15" s="30" t="s">
        <v>123</v>
      </c>
      <c r="B15" s="135">
        <v>11</v>
      </c>
      <c r="C15" s="135" t="s">
        <v>122</v>
      </c>
      <c r="D15" s="329">
        <v>0.3</v>
      </c>
      <c r="E15" s="325">
        <v>0.26</v>
      </c>
      <c r="F15" s="325">
        <v>0.05</v>
      </c>
      <c r="G15" s="325">
        <v>0.46</v>
      </c>
      <c r="H15" s="332">
        <v>0.46</v>
      </c>
      <c r="I15" s="325">
        <v>0.46</v>
      </c>
      <c r="J15" s="327">
        <f>IF(ISERROR((SUM('B6-FinPos'!L10:L12)-SUM('B6-FinPos'!K10:K12))/SUM('B6-FinPos'!K10:K12)), 0, (SUM('B6-FinPos'!L10:L12)-SUM('B6-FinPos'!K10:K12))/SUM('B6-FinPos'!K10:K12))</f>
        <v>0</v>
      </c>
      <c r="K15" s="328">
        <f>IF(ISERROR((SUM('B6-FinPos'!M10:M12)-SUM('B6-FinPos'!L10:L12))/SUM('B6-FinPos'!L10:L12)), 0, (SUM('B6-FinPos'!M10:M12)-SUM('B6-FinPos'!L10:L12))/SUM('B6-FinPos'!L10:L12))</f>
        <v>0</v>
      </c>
    </row>
    <row r="16" spans="1:11" ht="12.75" customHeight="1" x14ac:dyDescent="0.25">
      <c r="A16" s="127" t="s">
        <v>124</v>
      </c>
      <c r="B16" s="73">
        <v>12</v>
      </c>
      <c r="C16" s="73" t="s">
        <v>122</v>
      </c>
      <c r="D16" s="329">
        <v>0</v>
      </c>
      <c r="E16" s="325">
        <v>0</v>
      </c>
      <c r="F16" s="325">
        <v>0</v>
      </c>
      <c r="G16" s="325">
        <v>0</v>
      </c>
      <c r="H16" s="332">
        <v>0</v>
      </c>
      <c r="I16" s="325">
        <v>0</v>
      </c>
      <c r="J16" s="327">
        <f>IF(ISERROR(('B6-FinPos'!L17-'B6-FinPos'!K17)/'B6-FinPos'!K17),0,(('B6-FinPos'!L17-'B6-FinPos'!K17)/'B6-FinPos'!K17))</f>
        <v>0</v>
      </c>
      <c r="K16" s="328">
        <f>IF(ISERROR(('B6-FinPos'!M17-'B6-FinPos'!L17)/'B6-FinPos'!L17),0,(('B6-FinPos'!M17-'B6-FinPos'!L17)/'B6-FinPos'!L17))</f>
        <v>0</v>
      </c>
    </row>
    <row r="17" spans="1:11" ht="12.75" customHeight="1" x14ac:dyDescent="0.25">
      <c r="A17" s="127" t="s">
        <v>125</v>
      </c>
      <c r="B17" s="73">
        <v>13</v>
      </c>
      <c r="C17" s="459" t="s">
        <v>126</v>
      </c>
      <c r="D17" s="329">
        <v>2.9000000000000001E-2</v>
      </c>
      <c r="E17" s="325">
        <v>2.1999999999999999E-2</v>
      </c>
      <c r="F17" s="325">
        <v>0.04</v>
      </c>
      <c r="G17" s="326">
        <f>IF(ISERROR('B9-Asset'!C171/'B9-Asset'!C167),0,('B9-Asset'!C171/'B9-Asset'!C167))</f>
        <v>0.11405039981759503</v>
      </c>
      <c r="H17" s="326">
        <f>IF(ISERROR('B9-Asset'!D171/'B9-Asset'!D167),0,('B9-Asset'!D171/'B9-Asset'!D167))</f>
        <v>0.10943292209850179</v>
      </c>
      <c r="I17" s="326">
        <f>IF(ISERROR('B9-Asset'!K171/'B9-Asset'!K167),0,('B9-Asset'!K171/'B9-Asset'!K167))</f>
        <v>1.7109245546052367</v>
      </c>
      <c r="J17" s="327">
        <f>IF(ISERROR('B9-Asset'!L171/'B9-Asset'!L167),0,('B9-Asset'!L171/'B9-Asset'!L167))</f>
        <v>0.89426315789473687</v>
      </c>
      <c r="K17" s="328">
        <f>IF(ISERROR('B9-Asset'!M171/'B9-Asset'!M167),0,('B9-Asset'!M171/'B9-Asset'!M167))</f>
        <v>2.1948436363636366</v>
      </c>
    </row>
    <row r="18" spans="1:11" ht="12.75" customHeight="1" x14ac:dyDescent="0.25">
      <c r="A18" s="173" t="s">
        <v>127</v>
      </c>
      <c r="B18" s="88">
        <v>14</v>
      </c>
      <c r="C18" s="460" t="str">
        <f>C17</f>
        <v>20(1)(vi)</v>
      </c>
      <c r="D18" s="461">
        <v>0</v>
      </c>
      <c r="E18" s="462">
        <v>0</v>
      </c>
      <c r="F18" s="462">
        <v>0</v>
      </c>
      <c r="G18" s="463">
        <f>IF(ISERROR('B9-Asset'!C39/'B9-Asset'!C134),0,('B9-Asset'!C39/'B9-Asset'!C134))</f>
        <v>0</v>
      </c>
      <c r="H18" s="463">
        <f>IF(ISERROR('B9-Asset'!D39/'B9-Asset'!D134),0,('B9-Asset'!D39/'B9-Asset'!D134))</f>
        <v>0</v>
      </c>
      <c r="I18" s="463">
        <f>IF(ISERROR('B9-Asset'!K39/'B9-Asset'!K134),0,('B9-Asset'!K39/'B9-Asset'!K134))</f>
        <v>1.6290268655556429E-2</v>
      </c>
      <c r="J18" s="464">
        <f>IF(ISERROR('B9-Asset'!L39/'B9-Asset'!L134),0,('B9-Asset'!L39/'B9-Asset'!L134))</f>
        <v>3.7235858131380521E-2</v>
      </c>
      <c r="K18" s="465">
        <f>IF(ISERROR('B9-Asset'!M39/'B9-Asset'!M134),0,('B9-Asset'!M39/'B9-Asset'!M134))</f>
        <v>0</v>
      </c>
    </row>
    <row r="19" spans="1:11" ht="12.75" customHeight="1" x14ac:dyDescent="0.25">
      <c r="A19" s="156" t="str">
        <f>head27a</f>
        <v>References</v>
      </c>
      <c r="B19" s="466"/>
      <c r="C19" s="466"/>
      <c r="D19" s="466"/>
      <c r="E19" s="466"/>
      <c r="F19" s="466"/>
      <c r="G19" s="466"/>
      <c r="H19" s="466"/>
      <c r="I19" s="466"/>
      <c r="J19" s="466"/>
      <c r="K19" s="466"/>
    </row>
    <row r="20" spans="1:11" ht="12.75" customHeight="1" x14ac:dyDescent="0.25">
      <c r="A20" s="95" t="s">
        <v>128</v>
      </c>
      <c r="B20" s="466"/>
      <c r="C20" s="466"/>
      <c r="D20" s="466"/>
      <c r="E20" s="466"/>
      <c r="F20" s="466"/>
      <c r="G20" s="466"/>
      <c r="H20" s="466"/>
      <c r="I20" s="466"/>
      <c r="J20" s="466"/>
      <c r="K20" s="466"/>
    </row>
    <row r="21" spans="1:11" ht="12.75" customHeight="1" x14ac:dyDescent="0.25">
      <c r="A21" s="99" t="s">
        <v>129</v>
      </c>
      <c r="B21" s="466"/>
      <c r="C21" s="466"/>
      <c r="D21" s="466"/>
      <c r="E21" s="466"/>
      <c r="F21" s="466"/>
      <c r="G21" s="466"/>
      <c r="H21" s="466"/>
      <c r="I21" s="466"/>
      <c r="J21" s="466"/>
      <c r="K21" s="466"/>
    </row>
    <row r="22" spans="1:11" ht="12.75" customHeight="1" x14ac:dyDescent="0.25">
      <c r="A22" s="99" t="s">
        <v>130</v>
      </c>
      <c r="B22" s="466"/>
      <c r="C22" s="466"/>
      <c r="D22" s="466"/>
      <c r="E22" s="466"/>
      <c r="F22" s="466"/>
      <c r="G22" s="466"/>
      <c r="H22" s="466"/>
      <c r="I22" s="466"/>
      <c r="J22" s="466"/>
      <c r="K22" s="466"/>
    </row>
    <row r="23" spans="1:11" ht="12.75" customHeight="1" x14ac:dyDescent="0.25">
      <c r="A23" s="99" t="s">
        <v>131</v>
      </c>
      <c r="B23" s="466"/>
      <c r="C23" s="466"/>
      <c r="D23" s="466"/>
      <c r="E23" s="466"/>
      <c r="F23" s="466"/>
      <c r="G23" s="466"/>
      <c r="H23" s="466"/>
      <c r="I23" s="466"/>
      <c r="J23" s="466"/>
      <c r="K23" s="466"/>
    </row>
    <row r="24" spans="1:11" ht="12.75" customHeight="1" x14ac:dyDescent="0.25">
      <c r="A24" s="99" t="s">
        <v>132</v>
      </c>
      <c r="B24" s="466"/>
      <c r="C24" s="466"/>
      <c r="D24" s="466"/>
      <c r="E24" s="466"/>
      <c r="F24" s="466"/>
      <c r="G24" s="466"/>
      <c r="H24" s="466"/>
      <c r="I24" s="466"/>
      <c r="J24" s="466"/>
      <c r="K24" s="466"/>
    </row>
    <row r="25" spans="1:11" ht="12.75" customHeight="1" x14ac:dyDescent="0.25">
      <c r="A25" s="99" t="s">
        <v>133</v>
      </c>
      <c r="B25" s="466"/>
      <c r="C25" s="466"/>
      <c r="D25" s="466"/>
      <c r="E25" s="466"/>
      <c r="F25" s="466"/>
      <c r="G25" s="466"/>
      <c r="H25" s="466"/>
      <c r="I25" s="466"/>
      <c r="J25" s="466"/>
      <c r="K25" s="466"/>
    </row>
    <row r="26" spans="1:11" ht="12.75" customHeight="1" x14ac:dyDescent="0.25">
      <c r="A26" s="99" t="s">
        <v>134</v>
      </c>
      <c r="B26" s="466"/>
      <c r="C26" s="466"/>
      <c r="D26" s="466"/>
      <c r="E26" s="466"/>
      <c r="F26" s="466"/>
      <c r="G26" s="466"/>
      <c r="H26" s="466"/>
      <c r="I26" s="466"/>
      <c r="J26" s="466"/>
      <c r="K26" s="466"/>
    </row>
    <row r="27" spans="1:11" ht="12.75" customHeight="1" x14ac:dyDescent="0.25">
      <c r="A27" s="99" t="s">
        <v>135</v>
      </c>
      <c r="B27" s="466"/>
      <c r="C27" s="466"/>
      <c r="D27" s="466"/>
      <c r="E27" s="466"/>
      <c r="F27" s="466"/>
      <c r="G27" s="466"/>
      <c r="H27" s="466"/>
      <c r="I27" s="466"/>
      <c r="J27" s="466"/>
      <c r="K27" s="466"/>
    </row>
    <row r="28" spans="1:11" ht="12.75" customHeight="1" x14ac:dyDescent="0.25">
      <c r="A28" s="99" t="s">
        <v>136</v>
      </c>
      <c r="B28" s="466"/>
      <c r="C28" s="466"/>
      <c r="D28" s="466"/>
      <c r="E28" s="466"/>
      <c r="F28" s="466"/>
      <c r="G28" s="466"/>
      <c r="H28" s="466"/>
      <c r="I28" s="466"/>
      <c r="J28" s="466"/>
      <c r="K28" s="466"/>
    </row>
    <row r="29" spans="1:11" ht="12.75" customHeight="1" x14ac:dyDescent="0.25">
      <c r="A29" s="99" t="s">
        <v>137</v>
      </c>
      <c r="B29" s="466"/>
      <c r="C29" s="466"/>
      <c r="D29" s="466"/>
      <c r="E29" s="466"/>
      <c r="F29" s="466"/>
      <c r="G29" s="466"/>
      <c r="H29" s="466"/>
      <c r="I29" s="466"/>
      <c r="J29" s="466"/>
      <c r="K29" s="466"/>
    </row>
    <row r="30" spans="1:11" ht="12.75" customHeight="1" x14ac:dyDescent="0.25">
      <c r="A30" s="99" t="s">
        <v>138</v>
      </c>
      <c r="B30" s="466"/>
      <c r="C30" s="466"/>
      <c r="D30" s="466"/>
      <c r="E30" s="466"/>
      <c r="F30" s="466"/>
      <c r="G30" s="466"/>
      <c r="H30" s="466"/>
      <c r="I30" s="466"/>
      <c r="J30" s="466"/>
      <c r="K30" s="466"/>
    </row>
    <row r="31" spans="1:11" ht="12.75" customHeight="1" x14ac:dyDescent="0.25">
      <c r="A31" s="99" t="s">
        <v>139</v>
      </c>
      <c r="B31" s="466"/>
      <c r="C31" s="466"/>
      <c r="D31" s="466"/>
      <c r="E31" s="466"/>
      <c r="F31" s="466"/>
      <c r="G31" s="466"/>
      <c r="H31" s="466"/>
      <c r="I31" s="466"/>
      <c r="J31" s="466"/>
      <c r="K31" s="466"/>
    </row>
    <row r="32" spans="1:11" ht="12.75" customHeight="1" x14ac:dyDescent="0.25">
      <c r="A32" s="99" t="s">
        <v>140</v>
      </c>
      <c r="B32" s="466"/>
      <c r="C32" s="466"/>
      <c r="D32" s="466"/>
      <c r="E32" s="466"/>
      <c r="F32" s="466"/>
      <c r="G32" s="466"/>
      <c r="H32" s="466"/>
      <c r="I32" s="466"/>
      <c r="J32" s="466"/>
      <c r="K32" s="466"/>
    </row>
    <row r="33" spans="1:16" ht="12.75" customHeight="1" x14ac:dyDescent="0.25">
      <c r="A33" s="99" t="s">
        <v>141</v>
      </c>
      <c r="B33" s="466"/>
      <c r="C33" s="466"/>
      <c r="D33" s="466"/>
      <c r="E33" s="466"/>
      <c r="F33" s="466"/>
      <c r="G33" s="466"/>
      <c r="H33" s="466"/>
      <c r="I33" s="466"/>
      <c r="J33" s="466"/>
      <c r="K33" s="466"/>
    </row>
    <row r="34" spans="1:16" ht="12.75" customHeight="1" x14ac:dyDescent="0.25">
      <c r="A34" s="99"/>
      <c r="B34" s="466"/>
      <c r="C34" s="466"/>
      <c r="D34" s="466"/>
      <c r="E34" s="466"/>
      <c r="F34" s="466"/>
      <c r="G34" s="466"/>
      <c r="H34" s="466"/>
      <c r="I34" s="466"/>
      <c r="J34" s="466"/>
      <c r="K34" s="466"/>
    </row>
    <row r="35" spans="1:16" ht="12.75" customHeight="1" x14ac:dyDescent="0.25">
      <c r="A35" s="99" t="s">
        <v>142</v>
      </c>
      <c r="B35" s="466"/>
      <c r="C35" s="466"/>
      <c r="D35" s="466"/>
      <c r="E35" s="466"/>
      <c r="F35" s="466"/>
      <c r="G35" s="798">
        <v>0.06</v>
      </c>
      <c r="H35" s="799">
        <v>0.06</v>
      </c>
      <c r="I35" s="799">
        <v>0.06</v>
      </c>
      <c r="J35" s="799">
        <v>0.06</v>
      </c>
      <c r="K35" s="800">
        <v>0.06</v>
      </c>
    </row>
    <row r="36" spans="1:16" ht="12.75" customHeight="1" x14ac:dyDescent="0.25">
      <c r="A36" s="467" t="s">
        <v>143</v>
      </c>
      <c r="B36" s="468"/>
      <c r="C36" s="468"/>
      <c r="D36" s="468"/>
      <c r="E36" s="468"/>
      <c r="F36" s="84"/>
      <c r="G36" s="338">
        <f>IF(ISERROR(SUM('B4-FinPerf RE'!C7:C12)),0,(SUM('B4-FinPerf RE'!C7:C12)))</f>
        <v>20355909</v>
      </c>
      <c r="H36" s="338">
        <f>IF(ISERROR(SUM('B4-FinPerf RE'!D7:D12)),0,(SUM('B4-FinPerf RE'!D7:D12)))</f>
        <v>20355909</v>
      </c>
      <c r="I36" s="338">
        <f>IF(ISERROR(SUM('B4-FinPerf RE'!K7:K12)),0,(SUM('B4-FinPerf RE'!K7:K12)))</f>
        <v>20355909</v>
      </c>
      <c r="J36" s="338">
        <f>IF(ISERROR(SUM('B4-FinPerf RE'!L7:L12)),0,(SUM('B4-FinPerf RE'!L7:L12)))</f>
        <v>21651300</v>
      </c>
      <c r="K36" s="338">
        <f>IF(ISERROR(SUM('B4-FinPerf RE'!M7:M12)),0,(SUM('B4-FinPerf RE'!M7:M12)))</f>
        <v>23024415</v>
      </c>
    </row>
    <row r="37" spans="1:16" ht="12.75" customHeight="1" x14ac:dyDescent="0.25">
      <c r="A37" s="467" t="s">
        <v>144</v>
      </c>
      <c r="B37" s="119"/>
      <c r="C37" s="119"/>
      <c r="D37" s="339"/>
      <c r="E37" s="339"/>
      <c r="F37" s="339"/>
      <c r="G37" s="1050">
        <v>21342000</v>
      </c>
      <c r="H37" s="338"/>
      <c r="I37" s="338">
        <f>G37</f>
        <v>21342000</v>
      </c>
      <c r="J37" s="338">
        <f>I36</f>
        <v>20355909</v>
      </c>
      <c r="K37" s="338">
        <f>J36</f>
        <v>21651300</v>
      </c>
      <c r="O37" s="166"/>
      <c r="P37" s="166"/>
    </row>
    <row r="38" spans="1:16" ht="12.75" customHeight="1" x14ac:dyDescent="0.25">
      <c r="A38" s="469" t="s">
        <v>145</v>
      </c>
      <c r="B38" s="119"/>
      <c r="C38" s="119"/>
      <c r="D38" s="1051">
        <v>1418312</v>
      </c>
      <c r="E38" s="1052">
        <v>2033814</v>
      </c>
      <c r="F38" s="1052">
        <v>1714000</v>
      </c>
      <c r="G38" s="1052">
        <v>1817000</v>
      </c>
      <c r="H38" s="1052">
        <v>1817000</v>
      </c>
      <c r="I38" s="1052">
        <v>1817000</v>
      </c>
      <c r="J38" s="1052">
        <v>1817000</v>
      </c>
      <c r="K38" s="1053">
        <v>1817000</v>
      </c>
      <c r="O38" s="166"/>
      <c r="P38" s="166"/>
    </row>
    <row r="39" spans="1:16" ht="12.75" customHeight="1" x14ac:dyDescent="0.25">
      <c r="A39" s="469" t="s">
        <v>146</v>
      </c>
      <c r="B39" s="119"/>
      <c r="C39" s="119"/>
      <c r="D39" s="1054">
        <v>54147898</v>
      </c>
      <c r="E39" s="1055">
        <v>58574940</v>
      </c>
      <c r="F39" s="1055">
        <v>67378059</v>
      </c>
      <c r="G39" s="1056">
        <v>104674000</v>
      </c>
      <c r="H39" s="1056">
        <v>104674000</v>
      </c>
      <c r="I39" s="1056">
        <v>104674000</v>
      </c>
      <c r="J39" s="1056">
        <v>100450000</v>
      </c>
      <c r="K39" s="1057">
        <v>106862000</v>
      </c>
      <c r="O39" s="166"/>
      <c r="P39" s="166"/>
    </row>
    <row r="40" spans="1:16" ht="12.75" customHeight="1" x14ac:dyDescent="0.25">
      <c r="A40" s="469" t="s">
        <v>147</v>
      </c>
      <c r="B40" s="119"/>
      <c r="C40" s="119"/>
      <c r="D40" s="1054">
        <v>21019305</v>
      </c>
      <c r="E40" s="1055">
        <v>17487965</v>
      </c>
      <c r="F40" s="1058">
        <v>22533972</v>
      </c>
      <c r="G40" s="338">
        <f>'B7-CFlow'!C8+'B7-CFlow'!C9+'B7-CFlow'!C10</f>
        <v>26063661</v>
      </c>
      <c r="H40" s="338">
        <f>'B7-CFlow'!D8+'B7-CFlow'!D9+'B7-CFlow'!D10</f>
        <v>26063661</v>
      </c>
      <c r="I40" s="338">
        <f>'B7-CFlow'!K8+'B7-CFlow'!K9+'B7-CFlow'!K10</f>
        <v>26063661</v>
      </c>
      <c r="J40" s="338">
        <f>'B7-CFlow'!L8+'B7-CFlow'!L9+'B7-CFlow'!L10</f>
        <v>0</v>
      </c>
      <c r="K40" s="338">
        <f>'B7-CFlow'!M8+'B7-CFlow'!M9+'B7-CFlow'!M10</f>
        <v>0</v>
      </c>
      <c r="O40" s="166"/>
      <c r="P40" s="166"/>
    </row>
    <row r="41" spans="1:16" ht="12.75" customHeight="1" x14ac:dyDescent="0.25">
      <c r="A41" s="469" t="s">
        <v>148</v>
      </c>
      <c r="B41" s="119"/>
      <c r="C41" s="119"/>
      <c r="D41" s="1054">
        <v>24209257</v>
      </c>
      <c r="E41" s="1055">
        <v>24503078</v>
      </c>
      <c r="F41" s="1058">
        <v>27619611</v>
      </c>
      <c r="G41" s="338">
        <f>SUM('B4-FinPerf RE'!C7:C13)+'B4-FinPerf RE'!C15+SUM('B4-FinPerf RE'!C17:C19)+'B4-FinPerf RE'!C21</f>
        <v>30913955</v>
      </c>
      <c r="H41" s="338">
        <f>SUM('B4-FinPerf RE'!D7:D13)+'B4-FinPerf RE'!D15+SUM('B4-FinPerf RE'!D17:D19)+'B4-FinPerf RE'!D21</f>
        <v>30913955</v>
      </c>
      <c r="I41" s="338">
        <f>SUM('B4-FinPerf RE'!K7:K13)+'B4-FinPerf RE'!K15+SUM('B4-FinPerf RE'!K17:K19)+'B4-FinPerf RE'!K21</f>
        <v>30558045</v>
      </c>
      <c r="J41" s="338">
        <f>SUM('B4-FinPerf RE'!L7:L13)+'B4-FinPerf RE'!L15+SUM('B4-FinPerf RE'!L17:L19)+'B4-FinPerf RE'!L21</f>
        <v>32790703</v>
      </c>
      <c r="K41" s="338">
        <f>SUM('B4-FinPerf RE'!M7:M13)+'B4-FinPerf RE'!M15+SUM('B4-FinPerf RE'!M17:M19)+'B4-FinPerf RE'!M21</f>
        <v>34778013</v>
      </c>
      <c r="O41" s="166"/>
      <c r="P41" s="166"/>
    </row>
    <row r="42" spans="1:16" ht="12.75" customHeight="1" x14ac:dyDescent="0.25">
      <c r="A42" s="469" t="s">
        <v>149</v>
      </c>
      <c r="B42" s="119"/>
      <c r="C42" s="119"/>
      <c r="D42" s="1059">
        <v>0</v>
      </c>
      <c r="E42" s="1056">
        <v>0</v>
      </c>
      <c r="F42" s="1056">
        <v>0</v>
      </c>
      <c r="G42" s="1060">
        <v>0</v>
      </c>
      <c r="H42" s="1060">
        <v>0</v>
      </c>
      <c r="I42" s="1061">
        <v>0</v>
      </c>
      <c r="J42" s="338">
        <f>(SUM('B6-FinPos'!L10:L12)+'B6-FinPos'!L17)-(SUM('B6-FinPos'!K10:K12)+'B6-FinPos'!K17)</f>
        <v>0</v>
      </c>
      <c r="K42" s="338">
        <f>(SUM('B6-FinPos'!M10:M12)+'B6-FinPos'!M17)-(SUM('B6-FinPos'!L10:L12)+'B6-FinPos'!L17)</f>
        <v>0</v>
      </c>
      <c r="O42" s="166"/>
      <c r="P42" s="166"/>
    </row>
    <row r="43" spans="1:16" ht="12.75" customHeight="1" x14ac:dyDescent="0.25">
      <c r="A43" s="469"/>
      <c r="B43" s="119"/>
      <c r="C43" s="119"/>
      <c r="D43" s="339"/>
      <c r="E43" s="339"/>
      <c r="F43" s="339"/>
      <c r="G43" s="339"/>
      <c r="H43" s="339"/>
      <c r="I43" s="339"/>
      <c r="J43" s="339"/>
      <c r="K43" s="339"/>
      <c r="O43" s="166"/>
      <c r="P43" s="166"/>
    </row>
    <row r="44" spans="1:16" ht="12.75" customHeight="1" x14ac:dyDescent="0.25">
      <c r="A44" s="469"/>
      <c r="B44" s="119"/>
      <c r="C44" s="119"/>
      <c r="D44" s="339"/>
      <c r="E44" s="339"/>
      <c r="F44" s="339"/>
      <c r="G44" s="339"/>
      <c r="H44" s="339"/>
      <c r="I44" s="339"/>
      <c r="J44" s="339"/>
      <c r="K44" s="339"/>
      <c r="O44" s="166"/>
      <c r="P44" s="166"/>
    </row>
    <row r="45" spans="1:16" ht="12.75" customHeight="1" x14ac:dyDescent="0.25">
      <c r="A45" s="469"/>
      <c r="B45" s="119"/>
      <c r="C45" s="119"/>
      <c r="D45" s="339"/>
      <c r="E45" s="339"/>
      <c r="F45" s="339"/>
      <c r="G45" s="339"/>
      <c r="H45" s="339"/>
      <c r="I45" s="339"/>
      <c r="J45" s="339"/>
      <c r="K45" s="339"/>
      <c r="O45" s="166"/>
      <c r="P45" s="166"/>
    </row>
    <row r="46" spans="1:16" ht="12.75" customHeight="1" x14ac:dyDescent="0.25">
      <c r="A46" s="469"/>
      <c r="B46" s="119"/>
      <c r="C46" s="119"/>
      <c r="D46" s="470"/>
      <c r="E46" s="470"/>
      <c r="F46" s="470"/>
      <c r="G46" s="470"/>
      <c r="H46" s="470"/>
      <c r="I46" s="470"/>
      <c r="J46" s="470"/>
      <c r="K46" s="470"/>
    </row>
    <row r="47" spans="1:16" ht="12.75" customHeight="1" x14ac:dyDescent="0.25">
      <c r="A47" s="469"/>
      <c r="B47" s="119"/>
      <c r="C47" s="119"/>
      <c r="D47" s="470"/>
      <c r="E47" s="470"/>
      <c r="F47" s="470"/>
      <c r="G47" s="470"/>
      <c r="H47" s="470"/>
      <c r="I47" s="470"/>
      <c r="J47" s="470"/>
      <c r="K47" s="470"/>
    </row>
    <row r="48" spans="1:16" ht="12.75" customHeight="1" x14ac:dyDescent="0.25">
      <c r="A48" s="469"/>
      <c r="B48" s="119"/>
      <c r="C48" s="119"/>
      <c r="D48" s="470"/>
      <c r="E48" s="470"/>
      <c r="F48" s="470"/>
      <c r="G48" s="470"/>
      <c r="H48" s="470"/>
      <c r="I48" s="470"/>
      <c r="J48" s="470"/>
      <c r="K48" s="470"/>
    </row>
    <row r="49" spans="1:11" ht="12.75" customHeight="1" x14ac:dyDescent="0.25">
      <c r="A49" s="469"/>
      <c r="B49" s="119"/>
      <c r="C49" s="119"/>
      <c r="D49" s="470"/>
      <c r="E49" s="470"/>
      <c r="F49" s="470"/>
      <c r="G49" s="470"/>
      <c r="H49" s="470"/>
      <c r="I49" s="470"/>
      <c r="J49" s="470"/>
      <c r="K49" s="470"/>
    </row>
    <row r="50" spans="1:11" ht="10.5" customHeight="1" x14ac:dyDescent="0.25">
      <c r="A50" s="469"/>
      <c r="B50" s="119"/>
      <c r="C50" s="119"/>
      <c r="D50" s="470"/>
      <c r="E50" s="470"/>
      <c r="F50" s="470"/>
      <c r="G50" s="470"/>
      <c r="H50" s="470"/>
      <c r="I50" s="470"/>
      <c r="J50" s="470"/>
      <c r="K50" s="470"/>
    </row>
    <row r="51" spans="1:11" ht="12.75" customHeight="1" x14ac:dyDescent="0.25">
      <c r="A51" s="469"/>
      <c r="B51" s="119"/>
      <c r="C51" s="119"/>
      <c r="D51" s="470"/>
      <c r="E51" s="470"/>
      <c r="F51" s="470"/>
      <c r="G51" s="470"/>
      <c r="H51" s="470"/>
      <c r="I51" s="470"/>
      <c r="J51" s="470"/>
      <c r="K51" s="470"/>
    </row>
    <row r="52" spans="1:11" ht="12.75" customHeight="1" x14ac:dyDescent="0.25">
      <c r="A52" s="469"/>
      <c r="B52" s="119"/>
      <c r="C52" s="119"/>
      <c r="D52" s="470"/>
      <c r="E52" s="470"/>
      <c r="F52" s="470"/>
      <c r="G52" s="470"/>
      <c r="H52" s="470"/>
      <c r="I52" s="470"/>
      <c r="J52" s="470"/>
      <c r="K52" s="470"/>
    </row>
    <row r="53" spans="1:11" ht="12.75" customHeight="1" x14ac:dyDescent="0.25">
      <c r="A53" s="469"/>
      <c r="B53" s="119"/>
      <c r="C53" s="119"/>
      <c r="D53" s="470"/>
      <c r="E53" s="470"/>
      <c r="F53" s="470"/>
      <c r="G53" s="470"/>
      <c r="H53" s="470"/>
      <c r="I53" s="470"/>
      <c r="J53" s="470"/>
      <c r="K53" s="470"/>
    </row>
    <row r="54" spans="1:11" ht="12.75" customHeight="1" x14ac:dyDescent="0.25">
      <c r="A54" s="469"/>
      <c r="B54" s="119"/>
      <c r="C54" s="119"/>
      <c r="D54" s="470"/>
      <c r="E54" s="470"/>
      <c r="F54" s="470"/>
      <c r="G54" s="470"/>
      <c r="H54" s="470"/>
      <c r="I54" s="470"/>
      <c r="J54" s="470"/>
      <c r="K54" s="470"/>
    </row>
    <row r="55" spans="1:11" ht="12.75" customHeight="1" x14ac:dyDescent="0.25">
      <c r="A55" s="469"/>
      <c r="B55" s="119"/>
      <c r="C55" s="119"/>
      <c r="D55" s="470"/>
      <c r="E55" s="470"/>
      <c r="F55" s="470"/>
      <c r="G55" s="470"/>
      <c r="H55" s="470"/>
      <c r="I55" s="470"/>
      <c r="J55" s="470"/>
      <c r="K55" s="470"/>
    </row>
    <row r="56" spans="1:11" ht="12.75" customHeight="1" x14ac:dyDescent="0.25">
      <c r="A56" s="469"/>
      <c r="B56" s="781"/>
      <c r="C56" s="119"/>
      <c r="D56" s="470"/>
      <c r="E56" s="470"/>
      <c r="F56" s="470"/>
      <c r="G56" s="470"/>
      <c r="H56" s="470"/>
      <c r="I56" s="470"/>
      <c r="J56" s="470"/>
      <c r="K56" s="470"/>
    </row>
    <row r="57" spans="1:11" ht="12.75" customHeight="1" x14ac:dyDescent="0.25">
      <c r="A57" s="467"/>
      <c r="B57" s="119"/>
      <c r="C57" s="119"/>
      <c r="D57" s="470"/>
      <c r="E57" s="470"/>
      <c r="F57" s="470"/>
      <c r="G57" s="470"/>
      <c r="H57" s="470"/>
      <c r="I57" s="470"/>
      <c r="J57" s="470"/>
      <c r="K57" s="470"/>
    </row>
    <row r="58" spans="1:11" ht="12.75" customHeight="1" x14ac:dyDescent="0.25">
      <c r="A58" s="467"/>
      <c r="B58" s="119"/>
      <c r="C58" s="119"/>
      <c r="D58" s="470"/>
      <c r="E58" s="470"/>
      <c r="F58" s="470"/>
      <c r="G58" s="470"/>
      <c r="H58" s="470"/>
      <c r="I58" s="470"/>
      <c r="J58" s="470"/>
      <c r="K58" s="470"/>
    </row>
    <row r="59" spans="1:11" ht="12.75" customHeight="1" x14ac:dyDescent="0.25">
      <c r="A59" s="467"/>
      <c r="B59" s="119"/>
      <c r="C59" s="471"/>
      <c r="D59" s="470"/>
      <c r="E59" s="470"/>
      <c r="F59" s="470"/>
      <c r="G59" s="470"/>
      <c r="H59" s="470"/>
      <c r="I59" s="470"/>
      <c r="J59" s="470"/>
      <c r="K59" s="470"/>
    </row>
    <row r="60" spans="1:11" ht="12.75" customHeight="1" x14ac:dyDescent="0.25">
      <c r="A60" s="467"/>
      <c r="B60" s="119"/>
      <c r="C60" s="471"/>
      <c r="D60" s="470"/>
      <c r="E60" s="470"/>
      <c r="F60" s="470"/>
      <c r="G60" s="470"/>
      <c r="H60" s="470"/>
      <c r="I60" s="470"/>
      <c r="J60" s="470"/>
      <c r="K60" s="470"/>
    </row>
    <row r="61" spans="1:11" ht="12.75" customHeight="1" x14ac:dyDescent="0.25">
      <c r="A61" s="467"/>
      <c r="B61" s="119"/>
      <c r="C61" s="119"/>
      <c r="D61" s="119"/>
      <c r="E61" s="119"/>
      <c r="F61" s="84"/>
      <c r="G61" s="84"/>
      <c r="H61" s="84"/>
      <c r="I61" s="84"/>
      <c r="J61" s="84"/>
      <c r="K61" s="84"/>
    </row>
    <row r="62" spans="1:11" ht="12.75" customHeight="1" x14ac:dyDescent="0.25">
      <c r="A62" s="472"/>
      <c r="B62" s="119"/>
      <c r="C62" s="119"/>
      <c r="D62" s="119"/>
      <c r="E62" s="119"/>
      <c r="F62" s="84"/>
      <c r="G62" s="84"/>
      <c r="H62" s="84"/>
      <c r="I62" s="84"/>
      <c r="J62" s="84"/>
      <c r="K62" s="84"/>
    </row>
    <row r="63" spans="1:11" ht="12.75" customHeight="1" x14ac:dyDescent="0.25">
      <c r="A63" s="467"/>
      <c r="B63" s="119"/>
      <c r="C63" s="119"/>
      <c r="D63" s="339"/>
      <c r="E63" s="339"/>
      <c r="F63" s="339"/>
      <c r="G63" s="339"/>
      <c r="H63" s="339"/>
      <c r="I63" s="339"/>
      <c r="J63" s="339"/>
      <c r="K63" s="339"/>
    </row>
    <row r="64" spans="1:11" ht="12.75" customHeight="1" x14ac:dyDescent="0.25">
      <c r="A64" s="467"/>
      <c r="B64" s="119"/>
      <c r="C64" s="119"/>
      <c r="D64" s="339"/>
      <c r="E64" s="339"/>
      <c r="F64" s="339"/>
      <c r="G64" s="339"/>
      <c r="H64" s="339"/>
      <c r="I64" s="339"/>
      <c r="J64" s="339"/>
      <c r="K64" s="339"/>
    </row>
    <row r="65" spans="1:11" ht="12.75" customHeight="1" x14ac:dyDescent="0.25">
      <c r="A65" s="467"/>
      <c r="B65" s="119"/>
      <c r="C65" s="119"/>
      <c r="D65" s="470"/>
      <c r="E65" s="470"/>
      <c r="F65" s="470"/>
      <c r="G65" s="470"/>
      <c r="H65" s="470"/>
      <c r="I65" s="470"/>
      <c r="J65" s="470"/>
      <c r="K65" s="470"/>
    </row>
    <row r="66" spans="1:11" ht="12.75" customHeight="1" x14ac:dyDescent="0.25">
      <c r="A66" s="467"/>
      <c r="B66" s="119"/>
      <c r="C66" s="119"/>
      <c r="D66" s="470"/>
      <c r="E66" s="470"/>
      <c r="F66" s="470"/>
      <c r="G66" s="470"/>
      <c r="H66" s="470"/>
      <c r="I66" s="470"/>
      <c r="J66" s="470"/>
      <c r="K66" s="470"/>
    </row>
    <row r="67" spans="1:11" ht="12.75" customHeight="1" x14ac:dyDescent="0.25">
      <c r="A67" s="467"/>
      <c r="B67" s="119"/>
      <c r="C67" s="119"/>
      <c r="D67" s="470"/>
      <c r="E67" s="470"/>
      <c r="F67" s="470"/>
      <c r="G67" s="470"/>
      <c r="H67" s="470"/>
      <c r="I67" s="470"/>
      <c r="J67" s="470"/>
      <c r="K67" s="470"/>
    </row>
    <row r="68" spans="1:11" ht="12.75" customHeight="1" x14ac:dyDescent="0.25">
      <c r="A68" s="467"/>
      <c r="B68" s="119"/>
      <c r="C68" s="119"/>
      <c r="D68" s="470"/>
      <c r="E68" s="470"/>
      <c r="F68" s="470"/>
      <c r="G68" s="470"/>
      <c r="H68" s="470"/>
      <c r="I68" s="470"/>
      <c r="J68" s="470"/>
      <c r="K68" s="470"/>
    </row>
    <row r="69" spans="1:11" ht="12.75" customHeight="1" x14ac:dyDescent="0.25">
      <c r="A69" s="467"/>
      <c r="B69" s="119"/>
      <c r="C69" s="119"/>
      <c r="D69" s="470"/>
      <c r="E69" s="470"/>
      <c r="F69" s="470"/>
      <c r="G69" s="470"/>
      <c r="H69" s="470"/>
      <c r="I69" s="470"/>
      <c r="J69" s="470"/>
      <c r="K69" s="470"/>
    </row>
    <row r="70" spans="1:11" ht="12.75" customHeight="1" x14ac:dyDescent="0.25">
      <c r="A70" s="467"/>
      <c r="B70" s="119"/>
      <c r="C70" s="119"/>
      <c r="D70" s="470"/>
      <c r="E70" s="470"/>
      <c r="F70" s="470"/>
      <c r="G70" s="470"/>
      <c r="H70" s="470"/>
      <c r="I70" s="470"/>
      <c r="J70" s="470"/>
      <c r="K70" s="470"/>
    </row>
    <row r="71" spans="1:11" ht="12.75" customHeight="1" x14ac:dyDescent="0.25">
      <c r="A71" s="467" t="s">
        <v>150</v>
      </c>
      <c r="B71" s="119"/>
      <c r="C71" s="119"/>
      <c r="D71" s="470"/>
      <c r="E71" s="470"/>
      <c r="F71" s="470"/>
      <c r="G71" s="470"/>
      <c r="H71" s="470"/>
      <c r="I71" s="470"/>
      <c r="J71" s="470"/>
      <c r="K71" s="470"/>
    </row>
    <row r="72" spans="1:11" ht="12.75" customHeight="1" x14ac:dyDescent="0.25">
      <c r="A72" s="467"/>
      <c r="B72" s="119"/>
      <c r="C72" s="119"/>
      <c r="D72" s="119"/>
      <c r="E72" s="119"/>
      <c r="F72" s="84"/>
      <c r="G72" s="84"/>
      <c r="H72" s="84"/>
      <c r="I72" s="84"/>
      <c r="J72" s="84"/>
      <c r="K72" s="84"/>
    </row>
    <row r="73" spans="1:11" ht="12.75" customHeight="1" x14ac:dyDescent="0.25">
      <c r="A73" s="48"/>
      <c r="B73" s="119"/>
      <c r="C73" s="119"/>
      <c r="D73" s="119"/>
      <c r="E73" s="119"/>
      <c r="F73" s="48"/>
      <c r="G73" s="48"/>
      <c r="H73" s="48"/>
      <c r="I73" s="48"/>
      <c r="J73" s="48"/>
      <c r="K73" s="48"/>
    </row>
    <row r="74" spans="1:11" ht="12.75" customHeight="1" x14ac:dyDescent="0.25">
      <c r="A74" s="48"/>
      <c r="B74" s="119"/>
      <c r="C74" s="119"/>
      <c r="D74" s="119"/>
      <c r="E74" s="119"/>
      <c r="F74" s="48"/>
      <c r="G74" s="48"/>
      <c r="H74" s="48"/>
      <c r="I74" s="48"/>
      <c r="J74" s="48"/>
      <c r="K74" s="48"/>
    </row>
    <row r="75" spans="1:11" ht="12.75" customHeight="1" x14ac:dyDescent="0.25">
      <c r="A75" s="48"/>
      <c r="B75" s="119"/>
      <c r="C75" s="119"/>
      <c r="D75" s="119"/>
      <c r="E75" s="119"/>
      <c r="F75" s="48"/>
      <c r="G75" s="48"/>
      <c r="H75" s="48"/>
      <c r="I75" s="48"/>
      <c r="J75" s="48"/>
      <c r="K75" s="48"/>
    </row>
    <row r="76" spans="1:11" ht="12.75" customHeight="1" x14ac:dyDescent="0.25">
      <c r="A76" s="48"/>
      <c r="B76" s="119"/>
      <c r="C76" s="119"/>
      <c r="D76" s="119"/>
      <c r="E76" s="119"/>
      <c r="F76" s="48"/>
      <c r="G76" s="48"/>
      <c r="H76" s="48"/>
      <c r="I76" s="48"/>
      <c r="J76" s="48"/>
      <c r="K76" s="48"/>
    </row>
    <row r="77" spans="1:11" ht="12.75" customHeight="1" x14ac:dyDescent="0.25">
      <c r="A77" s="48"/>
      <c r="B77" s="119"/>
      <c r="C77" s="119"/>
      <c r="D77" s="119"/>
      <c r="E77" s="119"/>
      <c r="F77" s="48"/>
      <c r="G77" s="48"/>
      <c r="H77" s="48"/>
      <c r="I77" s="48"/>
      <c r="J77" s="48"/>
      <c r="K77" s="48"/>
    </row>
    <row r="78" spans="1:11" ht="12.75" customHeight="1" x14ac:dyDescent="0.25">
      <c r="A78" s="48"/>
      <c r="B78" s="119"/>
      <c r="C78" s="119"/>
      <c r="D78" s="119"/>
      <c r="E78" s="119"/>
      <c r="F78" s="48"/>
      <c r="G78" s="48"/>
      <c r="H78" s="48"/>
      <c r="I78" s="48"/>
      <c r="J78" s="48"/>
      <c r="K78" s="48"/>
    </row>
    <row r="79" spans="1:11" ht="12.75" customHeight="1" x14ac:dyDescent="0.25">
      <c r="A79" s="48"/>
      <c r="B79" s="119"/>
      <c r="C79" s="119"/>
      <c r="D79" s="119"/>
      <c r="E79" s="119"/>
      <c r="F79" s="48"/>
      <c r="G79" s="48"/>
      <c r="H79" s="48"/>
      <c r="I79" s="48"/>
      <c r="J79" s="48"/>
      <c r="K79" s="48"/>
    </row>
    <row r="80" spans="1:11" ht="12.75" customHeight="1" x14ac:dyDescent="0.25">
      <c r="A80" s="48"/>
      <c r="B80" s="119"/>
      <c r="C80" s="119"/>
      <c r="D80" s="119"/>
      <c r="E80" s="119"/>
      <c r="F80" s="48"/>
      <c r="G80" s="48"/>
      <c r="H80" s="48"/>
      <c r="I80" s="48"/>
      <c r="J80" s="48"/>
      <c r="K80" s="48"/>
    </row>
    <row r="81" spans="1:11" ht="12.75" customHeight="1" x14ac:dyDescent="0.25">
      <c r="A81" s="48"/>
      <c r="B81" s="119"/>
      <c r="C81" s="119"/>
      <c r="D81" s="119"/>
      <c r="E81" s="119"/>
      <c r="F81" s="48"/>
      <c r="G81" s="48"/>
      <c r="H81" s="48"/>
      <c r="I81" s="48"/>
      <c r="J81" s="48"/>
      <c r="K81" s="48"/>
    </row>
    <row r="82" spans="1:11" ht="12.75" customHeight="1" x14ac:dyDescent="0.25">
      <c r="A82" s="48"/>
      <c r="B82" s="119"/>
      <c r="C82" s="119"/>
      <c r="D82" s="119"/>
      <c r="E82" s="119"/>
      <c r="F82" s="48"/>
      <c r="G82" s="48"/>
      <c r="H82" s="48"/>
      <c r="I82" s="48"/>
      <c r="J82" s="48"/>
      <c r="K82" s="48"/>
    </row>
    <row r="83" spans="1:11" ht="12.75" customHeight="1" x14ac:dyDescent="0.25">
      <c r="A83" s="48"/>
      <c r="B83" s="119"/>
      <c r="C83" s="119"/>
      <c r="D83" s="119"/>
      <c r="E83" s="119"/>
      <c r="F83" s="48"/>
      <c r="G83" s="48"/>
      <c r="H83" s="48"/>
      <c r="I83" s="48"/>
      <c r="J83" s="48"/>
      <c r="K83" s="48"/>
    </row>
    <row r="84" spans="1:11" ht="12.75" customHeight="1" x14ac:dyDescent="0.25">
      <c r="A84" s="48"/>
      <c r="B84" s="119"/>
      <c r="C84" s="119"/>
      <c r="D84" s="119"/>
      <c r="E84" s="119"/>
      <c r="F84" s="48"/>
      <c r="G84" s="48"/>
      <c r="H84" s="48"/>
      <c r="I84" s="48"/>
      <c r="J84" s="48"/>
      <c r="K84" s="48"/>
    </row>
    <row r="85" spans="1:11" ht="12.75" customHeight="1" x14ac:dyDescent="0.25">
      <c r="A85" s="48"/>
      <c r="B85" s="119"/>
      <c r="C85" s="119"/>
      <c r="D85" s="119"/>
      <c r="E85" s="119"/>
      <c r="F85" s="48"/>
      <c r="G85" s="48"/>
      <c r="H85" s="48"/>
      <c r="I85" s="48"/>
      <c r="J85" s="48"/>
      <c r="K85" s="48"/>
    </row>
    <row r="86" spans="1:11" ht="12.75" customHeight="1" x14ac:dyDescent="0.25">
      <c r="A86" s="48"/>
      <c r="B86" s="119"/>
      <c r="C86" s="119"/>
      <c r="D86" s="119"/>
      <c r="E86" s="119"/>
      <c r="F86" s="48"/>
      <c r="G86" s="48"/>
      <c r="H86" s="48"/>
      <c r="I86" s="48"/>
      <c r="J86" s="48"/>
      <c r="K86" s="48"/>
    </row>
    <row r="87" spans="1:11" ht="12.75" customHeight="1" x14ac:dyDescent="0.25">
      <c r="A87" s="48"/>
      <c r="B87" s="119"/>
      <c r="C87" s="119"/>
      <c r="D87" s="119"/>
      <c r="E87" s="119"/>
      <c r="F87" s="48"/>
      <c r="G87" s="48"/>
      <c r="H87" s="48"/>
      <c r="I87" s="48"/>
      <c r="J87" s="48"/>
      <c r="K87" s="48"/>
    </row>
    <row r="88" spans="1:11" ht="12.75" customHeight="1" x14ac:dyDescent="0.25">
      <c r="A88" s="48"/>
      <c r="B88" s="119"/>
      <c r="C88" s="119"/>
      <c r="D88" s="119"/>
      <c r="E88" s="119"/>
      <c r="F88" s="48"/>
      <c r="G88" s="48"/>
      <c r="H88" s="48"/>
      <c r="I88" s="48"/>
      <c r="J88" s="48"/>
      <c r="K88" s="48"/>
    </row>
    <row r="89" spans="1:11" ht="12.75" customHeight="1" x14ac:dyDescent="0.25">
      <c r="A89" s="48"/>
      <c r="B89" s="119"/>
      <c r="C89" s="119"/>
      <c r="D89" s="119"/>
      <c r="E89" s="119"/>
      <c r="F89" s="48"/>
      <c r="G89" s="48"/>
      <c r="H89" s="48"/>
      <c r="I89" s="48"/>
      <c r="J89" s="48"/>
      <c r="K89" s="48"/>
    </row>
    <row r="90" spans="1:11" ht="12.75" customHeight="1" x14ac:dyDescent="0.25">
      <c r="A90" s="48"/>
      <c r="B90" s="119"/>
      <c r="C90" s="119"/>
      <c r="D90" s="119"/>
      <c r="E90" s="119"/>
      <c r="F90" s="48"/>
      <c r="G90" s="48"/>
      <c r="H90" s="48"/>
      <c r="I90" s="48"/>
      <c r="J90" s="48"/>
      <c r="K90" s="48"/>
    </row>
    <row r="91" spans="1:11" ht="12.75" customHeight="1" x14ac:dyDescent="0.25">
      <c r="A91" s="48"/>
      <c r="B91" s="119"/>
      <c r="C91" s="119"/>
      <c r="D91" s="119"/>
      <c r="E91" s="119"/>
      <c r="F91" s="48"/>
      <c r="G91" s="48"/>
      <c r="H91" s="48"/>
      <c r="I91" s="48"/>
      <c r="J91" s="48"/>
      <c r="K91" s="48"/>
    </row>
    <row r="92" spans="1:11" ht="12.75" customHeight="1" x14ac:dyDescent="0.25">
      <c r="A92" s="48"/>
      <c r="B92" s="119"/>
      <c r="C92" s="119"/>
      <c r="D92" s="119"/>
      <c r="E92" s="119"/>
      <c r="F92" s="48"/>
      <c r="G92" s="48"/>
      <c r="H92" s="48"/>
      <c r="I92" s="48"/>
      <c r="J92" s="48"/>
      <c r="K92" s="48"/>
    </row>
    <row r="93" spans="1:11" ht="12.75" customHeight="1" x14ac:dyDescent="0.25">
      <c r="A93" s="48"/>
      <c r="B93" s="119"/>
      <c r="C93" s="119"/>
      <c r="D93" s="119"/>
      <c r="E93" s="119"/>
      <c r="F93" s="48"/>
      <c r="G93" s="48"/>
      <c r="H93" s="48"/>
      <c r="I93" s="48"/>
      <c r="J93" s="48"/>
      <c r="K93" s="48"/>
    </row>
  </sheetData>
  <sheetProtection sheet="1" objects="1" scenarios="1"/>
  <mergeCells count="2">
    <mergeCell ref="B2:B3"/>
    <mergeCell ref="C2:C3"/>
  </mergeCells>
  <phoneticPr fontId="4" type="noConversion"/>
  <printOptions horizontalCentered="1"/>
  <pageMargins left="0.37" right="0.16" top="0.77" bottom="0.79" header="0.51181102362204722" footer="0.51181102362204722"/>
  <pageSetup paperSize="9" scale="7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97">
    <tabColor indexed="42"/>
    <pageSetUpPr fitToPage="1"/>
  </sheetPr>
  <dimension ref="A1:W86"/>
  <sheetViews>
    <sheetView showGridLines="0" zoomScaleNormal="100" workbookViewId="0">
      <pane xSplit="2" ySplit="5" topLeftCell="C27" activePane="bottomRight" state="frozen"/>
      <selection activeCell="C6" sqref="C6"/>
      <selection pane="topRight" activeCell="C6" sqref="C6"/>
      <selection pane="bottomLeft" activeCell="C6" sqref="C6"/>
      <selection pane="bottomRight" activeCell="G21" sqref="G21"/>
    </sheetView>
  </sheetViews>
  <sheetFormatPr defaultColWidth="9.140625" defaultRowHeight="12.75" x14ac:dyDescent="0.25"/>
  <cols>
    <col min="1" max="1" width="35.5703125" style="5" customWidth="1"/>
    <col min="2" max="2" width="3.42578125" style="58" customWidth="1"/>
    <col min="3" max="11" width="8.5703125" style="5" customWidth="1"/>
    <col min="12" max="12" width="9.85546875" style="5" hidden="1" customWidth="1"/>
    <col min="13" max="13" width="9.5703125" style="5" hidden="1" customWidth="1"/>
    <col min="14" max="14" width="9.85546875" style="5" hidden="1" customWidth="1"/>
    <col min="15" max="17" width="9.5703125" style="5" hidden="1" customWidth="1"/>
    <col min="18" max="18" width="9.85546875" style="5" hidden="1" customWidth="1"/>
    <col min="19" max="21" width="9.5703125" style="5" hidden="1" customWidth="1"/>
    <col min="22" max="23" width="9.85546875" style="5" hidden="1" customWidth="1"/>
    <col min="24" max="27" width="0" style="5" hidden="1" customWidth="1"/>
    <col min="28" max="16384" width="9.140625" style="5"/>
  </cols>
  <sheetData>
    <row r="1" spans="1:11" ht="13.5" x14ac:dyDescent="0.25">
      <c r="A1" s="57" t="str">
        <f>muni&amp;" - "&amp;ADJB7&amp;" - "&amp;Date</f>
        <v xml:space="preserve">KZN226 Mkhambathini - Supporting Table SB7 Adjustments Budget - transfers and grant receipts - </v>
      </c>
      <c r="B1" s="5"/>
      <c r="C1" s="58"/>
    </row>
    <row r="2" spans="1:11" ht="38.25" x14ac:dyDescent="0.25">
      <c r="A2" s="1420" t="str">
        <f>desc</f>
        <v>Description</v>
      </c>
      <c r="B2" s="1420" t="str">
        <f>head27</f>
        <v>Ref</v>
      </c>
      <c r="C2" s="1417" t="str">
        <f>Head2</f>
        <v>Budget Year 2020/21</v>
      </c>
      <c r="D2" s="1418"/>
      <c r="E2" s="1418"/>
      <c r="F2" s="1418"/>
      <c r="G2" s="1418"/>
      <c r="H2" s="1418"/>
      <c r="I2" s="1418"/>
      <c r="J2" s="103" t="str">
        <f>Head10</f>
        <v>Budget Year +1 2021/22</v>
      </c>
      <c r="K2" s="61" t="str">
        <f>Head11</f>
        <v>Budget Year +2 2022/23</v>
      </c>
    </row>
    <row r="3" spans="1:11" ht="25.5" x14ac:dyDescent="0.25">
      <c r="A3" s="1421"/>
      <c r="B3" s="1421"/>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421"/>
      <c r="B4" s="1421"/>
      <c r="C4" s="14"/>
      <c r="D4" s="15">
        <v>7</v>
      </c>
      <c r="E4" s="15">
        <v>8</v>
      </c>
      <c r="F4" s="15">
        <v>9</v>
      </c>
      <c r="G4" s="15">
        <v>10</v>
      </c>
      <c r="H4" s="15">
        <v>11</v>
      </c>
      <c r="I4" s="15">
        <v>12</v>
      </c>
      <c r="J4" s="15"/>
      <c r="K4" s="17"/>
    </row>
    <row r="5" spans="1:11" x14ac:dyDescent="0.25">
      <c r="A5" s="66" t="s">
        <v>605</v>
      </c>
      <c r="B5" s="104"/>
      <c r="C5" s="473" t="s">
        <v>549</v>
      </c>
      <c r="D5" s="68" t="s">
        <v>550</v>
      </c>
      <c r="E5" s="69" t="s">
        <v>551</v>
      </c>
      <c r="F5" s="69" t="s">
        <v>552</v>
      </c>
      <c r="G5" s="70" t="s">
        <v>553</v>
      </c>
      <c r="H5" s="70" t="s">
        <v>554</v>
      </c>
      <c r="I5" s="70" t="s">
        <v>555</v>
      </c>
      <c r="J5" s="70"/>
      <c r="K5" s="71"/>
    </row>
    <row r="6" spans="1:11" ht="12.75" customHeight="1" x14ac:dyDescent="0.25">
      <c r="A6" s="137" t="s">
        <v>151</v>
      </c>
      <c r="B6" s="73" t="s">
        <v>152</v>
      </c>
      <c r="C6" s="238"/>
      <c r="D6" s="75"/>
      <c r="E6" s="75"/>
      <c r="F6" s="75"/>
      <c r="G6" s="75"/>
      <c r="H6" s="75"/>
      <c r="I6" s="75"/>
      <c r="J6" s="75"/>
      <c r="K6" s="76"/>
    </row>
    <row r="7" spans="1:11" ht="5.0999999999999996" customHeight="1" x14ac:dyDescent="0.25">
      <c r="A7" s="124"/>
      <c r="B7" s="73"/>
      <c r="C7" s="238"/>
      <c r="D7" s="75"/>
      <c r="E7" s="75"/>
      <c r="F7" s="75"/>
      <c r="G7" s="75"/>
      <c r="H7" s="75"/>
      <c r="I7" s="75"/>
      <c r="J7" s="75"/>
      <c r="K7" s="76"/>
    </row>
    <row r="8" spans="1:11" ht="12.75" customHeight="1" x14ac:dyDescent="0.25">
      <c r="A8" s="484" t="s">
        <v>1111</v>
      </c>
      <c r="B8" s="73"/>
      <c r="C8" s="238"/>
      <c r="D8" s="75"/>
      <c r="E8" s="75"/>
      <c r="F8" s="75"/>
      <c r="G8" s="75"/>
      <c r="H8" s="75"/>
      <c r="I8" s="75"/>
      <c r="J8" s="75"/>
      <c r="K8" s="76"/>
    </row>
    <row r="9" spans="1:11" ht="12.75" customHeight="1" x14ac:dyDescent="0.25">
      <c r="A9" s="137" t="s">
        <v>153</v>
      </c>
      <c r="B9" s="73"/>
      <c r="C9" s="474">
        <f t="shared" ref="C9:K9" si="0">SUM(C10:C16)</f>
        <v>88678000</v>
      </c>
      <c r="D9" s="139">
        <f t="shared" si="0"/>
        <v>0</v>
      </c>
      <c r="E9" s="139">
        <f t="shared" si="0"/>
        <v>0</v>
      </c>
      <c r="F9" s="139">
        <f t="shared" si="0"/>
        <v>0</v>
      </c>
      <c r="G9" s="139">
        <f t="shared" si="0"/>
        <v>0</v>
      </c>
      <c r="H9" s="139">
        <f t="shared" si="0"/>
        <v>0</v>
      </c>
      <c r="I9" s="139">
        <f t="shared" si="0"/>
        <v>88678000</v>
      </c>
      <c r="J9" s="139">
        <f t="shared" si="0"/>
        <v>83423000</v>
      </c>
      <c r="K9" s="140">
        <f t="shared" si="0"/>
        <v>89081000</v>
      </c>
    </row>
    <row r="10" spans="1:11" ht="12.75" customHeight="1" x14ac:dyDescent="0.25">
      <c r="A10" s="108" t="s">
        <v>1273</v>
      </c>
      <c r="B10" s="73"/>
      <c r="C10" s="476">
        <v>79735000</v>
      </c>
      <c r="D10" s="477"/>
      <c r="E10" s="477"/>
      <c r="F10" s="477"/>
      <c r="G10" s="477"/>
      <c r="H10" s="478">
        <f t="shared" ref="H10:H16" si="1">SUM(E10:G10)</f>
        <v>0</v>
      </c>
      <c r="I10" s="478">
        <f t="shared" ref="I10:I16" si="2">IF(D10=0,C10+H10,D10+H10)</f>
        <v>79735000</v>
      </c>
      <c r="J10" s="477">
        <v>72423000</v>
      </c>
      <c r="K10" s="479">
        <v>76881000</v>
      </c>
    </row>
    <row r="11" spans="1:11" ht="12.75" customHeight="1" x14ac:dyDescent="0.25">
      <c r="A11" s="475" t="s">
        <v>1275</v>
      </c>
      <c r="B11" s="73">
        <v>3</v>
      </c>
      <c r="C11" s="380">
        <v>2800000</v>
      </c>
      <c r="D11" s="109"/>
      <c r="E11" s="109"/>
      <c r="F11" s="109"/>
      <c r="G11" s="109"/>
      <c r="H11" s="75">
        <f t="shared" si="1"/>
        <v>0</v>
      </c>
      <c r="I11" s="75">
        <f t="shared" si="2"/>
        <v>2800000</v>
      </c>
      <c r="J11" s="109">
        <v>3000000</v>
      </c>
      <c r="K11" s="110">
        <v>3200000</v>
      </c>
    </row>
    <row r="12" spans="1:11" ht="12.75" customHeight="1" x14ac:dyDescent="0.25">
      <c r="A12" s="475" t="s">
        <v>1282</v>
      </c>
      <c r="B12" s="73"/>
      <c r="C12" s="380">
        <v>1143000</v>
      </c>
      <c r="D12" s="109"/>
      <c r="E12" s="109"/>
      <c r="F12" s="109"/>
      <c r="G12" s="109"/>
      <c r="H12" s="75">
        <f t="shared" si="1"/>
        <v>0</v>
      </c>
      <c r="I12" s="75">
        <f t="shared" si="2"/>
        <v>1143000</v>
      </c>
      <c r="J12" s="109">
        <v>0</v>
      </c>
      <c r="K12" s="110">
        <v>0</v>
      </c>
    </row>
    <row r="13" spans="1:11" ht="12.75" customHeight="1" x14ac:dyDescent="0.25">
      <c r="A13" s="475" t="s">
        <v>1278</v>
      </c>
      <c r="B13" s="73"/>
      <c r="C13" s="380">
        <v>5000000</v>
      </c>
      <c r="D13" s="109"/>
      <c r="E13" s="109"/>
      <c r="F13" s="109"/>
      <c r="G13" s="109"/>
      <c r="H13" s="75">
        <f t="shared" si="1"/>
        <v>0</v>
      </c>
      <c r="I13" s="75">
        <f t="shared" si="2"/>
        <v>5000000</v>
      </c>
      <c r="J13" s="109">
        <v>8000000</v>
      </c>
      <c r="K13" s="110">
        <v>9000000</v>
      </c>
    </row>
    <row r="14" spans="1:11" ht="12.75" customHeight="1" x14ac:dyDescent="0.25">
      <c r="A14" s="475"/>
      <c r="B14" s="73"/>
      <c r="C14" s="380"/>
      <c r="D14" s="109"/>
      <c r="E14" s="109"/>
      <c r="F14" s="109"/>
      <c r="G14" s="109"/>
      <c r="H14" s="75">
        <f t="shared" si="1"/>
        <v>0</v>
      </c>
      <c r="I14" s="75">
        <f t="shared" si="2"/>
        <v>0</v>
      </c>
      <c r="J14" s="109"/>
      <c r="K14" s="110"/>
    </row>
    <row r="15" spans="1:11" ht="12.75" customHeight="1" x14ac:dyDescent="0.25">
      <c r="A15" s="475"/>
      <c r="B15" s="73"/>
      <c r="C15" s="380"/>
      <c r="D15" s="109"/>
      <c r="E15" s="109"/>
      <c r="F15" s="109"/>
      <c r="G15" s="109"/>
      <c r="H15" s="75">
        <f t="shared" si="1"/>
        <v>0</v>
      </c>
      <c r="I15" s="75">
        <f t="shared" si="2"/>
        <v>0</v>
      </c>
      <c r="J15" s="109"/>
      <c r="K15" s="110"/>
    </row>
    <row r="16" spans="1:11" ht="12.75" customHeight="1" x14ac:dyDescent="0.25">
      <c r="A16" s="475" t="s">
        <v>154</v>
      </c>
      <c r="B16" s="73"/>
      <c r="C16" s="480"/>
      <c r="D16" s="142"/>
      <c r="E16" s="142"/>
      <c r="F16" s="142"/>
      <c r="G16" s="142"/>
      <c r="H16" s="143">
        <f t="shared" si="1"/>
        <v>0</v>
      </c>
      <c r="I16" s="143">
        <f t="shared" si="2"/>
        <v>0</v>
      </c>
      <c r="J16" s="142"/>
      <c r="K16" s="111"/>
    </row>
    <row r="17" spans="1:11" ht="12.75" customHeight="1" x14ac:dyDescent="0.25">
      <c r="A17" s="137" t="s">
        <v>155</v>
      </c>
      <c r="B17" s="73"/>
      <c r="C17" s="474">
        <f t="shared" ref="C17:K17" si="3">SUM(C18:C22)</f>
        <v>1817000</v>
      </c>
      <c r="D17" s="139">
        <f t="shared" si="3"/>
        <v>0</v>
      </c>
      <c r="E17" s="139">
        <f t="shared" si="3"/>
        <v>0</v>
      </c>
      <c r="F17" s="139">
        <f t="shared" si="3"/>
        <v>0</v>
      </c>
      <c r="G17" s="139">
        <f t="shared" si="3"/>
        <v>0</v>
      </c>
      <c r="H17" s="139">
        <f t="shared" si="3"/>
        <v>0</v>
      </c>
      <c r="I17" s="139">
        <f t="shared" si="3"/>
        <v>1817000</v>
      </c>
      <c r="J17" s="139">
        <f t="shared" si="3"/>
        <v>0</v>
      </c>
      <c r="K17" s="140">
        <f t="shared" si="3"/>
        <v>0</v>
      </c>
    </row>
    <row r="18" spans="1:11" ht="12.75" customHeight="1" x14ac:dyDescent="0.25">
      <c r="A18" s="475" t="s">
        <v>5489</v>
      </c>
      <c r="B18" s="73"/>
      <c r="C18" s="476">
        <v>1817000</v>
      </c>
      <c r="D18" s="481"/>
      <c r="E18" s="477"/>
      <c r="F18" s="477"/>
      <c r="G18" s="477"/>
      <c r="H18" s="478">
        <f>SUM(E18:G18)</f>
        <v>0</v>
      </c>
      <c r="I18" s="478">
        <f>IF(D18=0,C18+H18,D18+H18)</f>
        <v>1817000</v>
      </c>
      <c r="J18" s="477">
        <v>0</v>
      </c>
      <c r="K18" s="479">
        <v>0</v>
      </c>
    </row>
    <row r="19" spans="1:11" ht="12.75" customHeight="1" x14ac:dyDescent="0.25">
      <c r="A19" s="475"/>
      <c r="B19" s="73"/>
      <c r="C19" s="380"/>
      <c r="D19" s="128"/>
      <c r="E19" s="109"/>
      <c r="F19" s="109"/>
      <c r="G19" s="109"/>
      <c r="H19" s="75">
        <f>SUM(E19:G19)</f>
        <v>0</v>
      </c>
      <c r="I19" s="75">
        <f>IF(D19=0,C19+H19,D19+H19)</f>
        <v>0</v>
      </c>
      <c r="J19" s="109"/>
      <c r="K19" s="110"/>
    </row>
    <row r="20" spans="1:11" ht="12.75" customHeight="1" x14ac:dyDescent="0.25">
      <c r="A20" s="475"/>
      <c r="B20" s="73">
        <v>4</v>
      </c>
      <c r="C20" s="380"/>
      <c r="D20" s="128"/>
      <c r="E20" s="109"/>
      <c r="F20" s="109"/>
      <c r="G20" s="109"/>
      <c r="H20" s="75">
        <f>SUM(E20:G20)</f>
        <v>0</v>
      </c>
      <c r="I20" s="75">
        <f>IF(D20=0,C20+H20,D20+H20)</f>
        <v>0</v>
      </c>
      <c r="J20" s="109"/>
      <c r="K20" s="110"/>
    </row>
    <row r="21" spans="1:11" ht="12.75" customHeight="1" x14ac:dyDescent="0.25">
      <c r="A21" s="475"/>
      <c r="B21" s="73"/>
      <c r="C21" s="380"/>
      <c r="D21" s="128"/>
      <c r="E21" s="109"/>
      <c r="F21" s="109"/>
      <c r="G21" s="109"/>
      <c r="H21" s="75">
        <f>SUM(E21:G21)</f>
        <v>0</v>
      </c>
      <c r="I21" s="75">
        <f>IF(D21=0,C21+H21,D21+H21)</f>
        <v>0</v>
      </c>
      <c r="J21" s="109"/>
      <c r="K21" s="110"/>
    </row>
    <row r="22" spans="1:11" ht="12.75" customHeight="1" x14ac:dyDescent="0.25">
      <c r="A22" s="475" t="s">
        <v>154</v>
      </c>
      <c r="B22" s="73">
        <v>5</v>
      </c>
      <c r="C22" s="480"/>
      <c r="D22" s="141"/>
      <c r="E22" s="142"/>
      <c r="F22" s="142"/>
      <c r="G22" s="142"/>
      <c r="H22" s="143">
        <f>SUM(E22:G22)</f>
        <v>0</v>
      </c>
      <c r="I22" s="143">
        <f>IF(D22=0,C22+H22,D22+H22)</f>
        <v>0</v>
      </c>
      <c r="J22" s="142"/>
      <c r="K22" s="111"/>
    </row>
    <row r="23" spans="1:11" ht="12.75" customHeight="1" x14ac:dyDescent="0.25">
      <c r="A23" s="137" t="s">
        <v>156</v>
      </c>
      <c r="B23" s="73"/>
      <c r="C23" s="474">
        <f t="shared" ref="C23:K23" si="4">SUM(C24:C25)</f>
        <v>0</v>
      </c>
      <c r="D23" s="139">
        <f t="shared" si="4"/>
        <v>0</v>
      </c>
      <c r="E23" s="139">
        <f t="shared" si="4"/>
        <v>0</v>
      </c>
      <c r="F23" s="139">
        <f t="shared" si="4"/>
        <v>0</v>
      </c>
      <c r="G23" s="139">
        <f t="shared" si="4"/>
        <v>0</v>
      </c>
      <c r="H23" s="139">
        <f t="shared" si="4"/>
        <v>0</v>
      </c>
      <c r="I23" s="139">
        <f t="shared" si="4"/>
        <v>0</v>
      </c>
      <c r="J23" s="139">
        <f t="shared" si="4"/>
        <v>0</v>
      </c>
      <c r="K23" s="140">
        <f t="shared" si="4"/>
        <v>0</v>
      </c>
    </row>
    <row r="24" spans="1:11" ht="12.75" customHeight="1" x14ac:dyDescent="0.25">
      <c r="A24" s="291" t="s">
        <v>157</v>
      </c>
      <c r="B24" s="73"/>
      <c r="C24" s="476"/>
      <c r="D24" s="477"/>
      <c r="E24" s="477"/>
      <c r="F24" s="477"/>
      <c r="G24" s="477"/>
      <c r="H24" s="478">
        <f>SUM(E24:G24)</f>
        <v>0</v>
      </c>
      <c r="I24" s="478">
        <f>IF(D24=0,C24+H24,D24+H24)</f>
        <v>0</v>
      </c>
      <c r="J24" s="477"/>
      <c r="K24" s="479"/>
    </row>
    <row r="25" spans="1:11" ht="12.75" customHeight="1" x14ac:dyDescent="0.25">
      <c r="A25" s="291"/>
      <c r="B25" s="73"/>
      <c r="C25" s="480"/>
      <c r="D25" s="142"/>
      <c r="E25" s="142"/>
      <c r="F25" s="142"/>
      <c r="G25" s="142"/>
      <c r="H25" s="143">
        <f>SUM(E25:G25)</f>
        <v>0</v>
      </c>
      <c r="I25" s="143">
        <f>IF(D25=0,C25+H25,D25+H25)</f>
        <v>0</v>
      </c>
      <c r="J25" s="142"/>
      <c r="K25" s="111"/>
    </row>
    <row r="26" spans="1:11" ht="12.75" customHeight="1" x14ac:dyDescent="0.25">
      <c r="A26" s="137" t="s">
        <v>158</v>
      </c>
      <c r="B26" s="73"/>
      <c r="C26" s="238">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291" t="s">
        <v>157</v>
      </c>
      <c r="B27" s="73"/>
      <c r="C27" s="476"/>
      <c r="D27" s="477"/>
      <c r="E27" s="477"/>
      <c r="F27" s="477"/>
      <c r="G27" s="477"/>
      <c r="H27" s="478">
        <f>SUM(E27:G27)</f>
        <v>0</v>
      </c>
      <c r="I27" s="478">
        <f>IF(D27=0,C27+H27,D27+H27)</f>
        <v>0</v>
      </c>
      <c r="J27" s="477"/>
      <c r="K27" s="479"/>
    </row>
    <row r="28" spans="1:11" ht="12.75" customHeight="1" x14ac:dyDescent="0.25">
      <c r="A28" s="291"/>
      <c r="B28" s="73"/>
      <c r="C28" s="480"/>
      <c r="D28" s="142"/>
      <c r="E28" s="142"/>
      <c r="F28" s="142"/>
      <c r="G28" s="142"/>
      <c r="H28" s="143">
        <f>SUM(E28:G28)</f>
        <v>0</v>
      </c>
      <c r="I28" s="143">
        <f>IF(D28=0,C28+H28,D28+H28)</f>
        <v>0</v>
      </c>
      <c r="J28" s="142"/>
      <c r="K28" s="111"/>
    </row>
    <row r="29" spans="1:11" ht="12.75" customHeight="1" x14ac:dyDescent="0.25">
      <c r="A29" s="482" t="s">
        <v>1112</v>
      </c>
      <c r="B29" s="79">
        <v>6</v>
      </c>
      <c r="C29" s="483">
        <f t="shared" ref="C29:K29" si="6">C9+C17+C23+C26</f>
        <v>90495000</v>
      </c>
      <c r="D29" s="81">
        <f t="shared" si="6"/>
        <v>0</v>
      </c>
      <c r="E29" s="81">
        <f t="shared" si="6"/>
        <v>0</v>
      </c>
      <c r="F29" s="81">
        <f t="shared" si="6"/>
        <v>0</v>
      </c>
      <c r="G29" s="81">
        <f t="shared" si="6"/>
        <v>0</v>
      </c>
      <c r="H29" s="81">
        <f t="shared" si="6"/>
        <v>0</v>
      </c>
      <c r="I29" s="81">
        <f>I9+I17+I23+I26</f>
        <v>90495000</v>
      </c>
      <c r="J29" s="81">
        <f t="shared" si="6"/>
        <v>83423000</v>
      </c>
      <c r="K29" s="82">
        <f t="shared" si="6"/>
        <v>89081000</v>
      </c>
    </row>
    <row r="30" spans="1:11" ht="5.0999999999999996" customHeight="1" x14ac:dyDescent="0.25">
      <c r="A30" s="134"/>
      <c r="B30" s="73"/>
      <c r="C30" s="238"/>
      <c r="D30" s="75"/>
      <c r="E30" s="75"/>
      <c r="F30" s="75"/>
      <c r="G30" s="75"/>
      <c r="H30" s="75"/>
      <c r="I30" s="75"/>
      <c r="J30" s="75"/>
      <c r="K30" s="76"/>
    </row>
    <row r="31" spans="1:11" ht="12.75" customHeight="1" x14ac:dyDescent="0.25">
      <c r="A31" s="484" t="s">
        <v>1113</v>
      </c>
      <c r="B31" s="73"/>
      <c r="C31" s="238"/>
      <c r="D31" s="75"/>
      <c r="E31" s="75"/>
      <c r="F31" s="75"/>
      <c r="G31" s="75"/>
      <c r="H31" s="75"/>
      <c r="I31" s="75"/>
      <c r="J31" s="75"/>
      <c r="K31" s="76"/>
    </row>
    <row r="32" spans="1:11" ht="12.75" customHeight="1" x14ac:dyDescent="0.25">
      <c r="A32" s="137" t="str">
        <f>A9</f>
        <v>National Government:</v>
      </c>
      <c r="B32" s="73"/>
      <c r="C32" s="474">
        <f t="shared" ref="C32:K32" si="7">SUM(C33:C38)</f>
        <v>15996000</v>
      </c>
      <c r="D32" s="139">
        <f t="shared" si="7"/>
        <v>0</v>
      </c>
      <c r="E32" s="139">
        <f t="shared" si="7"/>
        <v>0</v>
      </c>
      <c r="F32" s="139">
        <f t="shared" si="7"/>
        <v>0</v>
      </c>
      <c r="G32" s="139">
        <f t="shared" si="7"/>
        <v>-196000</v>
      </c>
      <c r="H32" s="139">
        <f t="shared" si="7"/>
        <v>-196000</v>
      </c>
      <c r="I32" s="139">
        <f t="shared" si="7"/>
        <v>15800000</v>
      </c>
      <c r="J32" s="139">
        <f t="shared" si="7"/>
        <v>17027000</v>
      </c>
      <c r="K32" s="140">
        <f t="shared" si="7"/>
        <v>17781000</v>
      </c>
    </row>
    <row r="33" spans="1:13" ht="12.75" customHeight="1" x14ac:dyDescent="0.25">
      <c r="A33" s="475" t="s">
        <v>1285</v>
      </c>
      <c r="B33" s="73"/>
      <c r="C33" s="476">
        <v>15996000</v>
      </c>
      <c r="D33" s="477"/>
      <c r="E33" s="477"/>
      <c r="F33" s="477"/>
      <c r="G33" s="477">
        <v>-196000</v>
      </c>
      <c r="H33" s="478">
        <f t="shared" ref="H33:H38" si="8">SUM(E33:G33)</f>
        <v>-196000</v>
      </c>
      <c r="I33" s="478">
        <f t="shared" ref="I33:I38" si="9">IF(D33=0,C33+H33,D33+H33)</f>
        <v>15800000</v>
      </c>
      <c r="J33" s="477">
        <v>17027000</v>
      </c>
      <c r="K33" s="479">
        <v>17781000</v>
      </c>
    </row>
    <row r="34" spans="1:13" ht="12.75" customHeight="1" x14ac:dyDescent="0.25">
      <c r="A34" s="475"/>
      <c r="B34" s="73"/>
      <c r="C34" s="380"/>
      <c r="D34" s="109"/>
      <c r="E34" s="109"/>
      <c r="F34" s="109"/>
      <c r="G34" s="109"/>
      <c r="H34" s="75">
        <f t="shared" si="8"/>
        <v>0</v>
      </c>
      <c r="I34" s="75">
        <f t="shared" si="9"/>
        <v>0</v>
      </c>
      <c r="J34" s="109"/>
      <c r="K34" s="110"/>
    </row>
    <row r="35" spans="1:13" ht="12.75" customHeight="1" x14ac:dyDescent="0.25">
      <c r="A35" s="475"/>
      <c r="B35" s="73"/>
      <c r="C35" s="380"/>
      <c r="D35" s="109"/>
      <c r="E35" s="109"/>
      <c r="F35" s="109"/>
      <c r="G35" s="109"/>
      <c r="H35" s="75">
        <f t="shared" si="8"/>
        <v>0</v>
      </c>
      <c r="I35" s="75">
        <f t="shared" si="9"/>
        <v>0</v>
      </c>
      <c r="J35" s="109"/>
      <c r="K35" s="110"/>
    </row>
    <row r="36" spans="1:13" ht="12.75" customHeight="1" x14ac:dyDescent="0.25">
      <c r="A36" s="475"/>
      <c r="B36" s="73"/>
      <c r="C36" s="380"/>
      <c r="D36" s="109"/>
      <c r="E36" s="109"/>
      <c r="F36" s="109"/>
      <c r="G36" s="109"/>
      <c r="H36" s="75">
        <f t="shared" si="8"/>
        <v>0</v>
      </c>
      <c r="I36" s="75">
        <f t="shared" si="9"/>
        <v>0</v>
      </c>
      <c r="J36" s="109"/>
      <c r="K36" s="110"/>
      <c r="M36" s="5" t="s">
        <v>1272</v>
      </c>
    </row>
    <row r="37" spans="1:13" ht="12.75" customHeight="1" x14ac:dyDescent="0.25">
      <c r="A37" s="475"/>
      <c r="B37" s="73"/>
      <c r="C37" s="380"/>
      <c r="D37" s="109"/>
      <c r="E37" s="109"/>
      <c r="F37" s="109"/>
      <c r="G37" s="109"/>
      <c r="H37" s="75">
        <f t="shared" si="8"/>
        <v>0</v>
      </c>
      <c r="I37" s="75">
        <f t="shared" si="9"/>
        <v>0</v>
      </c>
      <c r="J37" s="109"/>
      <c r="K37" s="110"/>
    </row>
    <row r="38" spans="1:13" ht="12.75" customHeight="1" x14ac:dyDescent="0.25">
      <c r="A38" s="475" t="s">
        <v>159</v>
      </c>
      <c r="B38" s="73"/>
      <c r="C38" s="480"/>
      <c r="D38" s="142"/>
      <c r="E38" s="142"/>
      <c r="F38" s="142"/>
      <c r="G38" s="142"/>
      <c r="H38" s="143">
        <f t="shared" si="8"/>
        <v>0</v>
      </c>
      <c r="I38" s="143">
        <f t="shared" si="9"/>
        <v>0</v>
      </c>
      <c r="J38" s="142"/>
      <c r="K38" s="111"/>
    </row>
    <row r="39" spans="1:13" ht="12.75" customHeight="1" x14ac:dyDescent="0.25">
      <c r="A39" s="137" t="str">
        <f>A17</f>
        <v>Provincial Government:</v>
      </c>
      <c r="B39" s="73"/>
      <c r="C39" s="474">
        <f t="shared" ref="C39:K39" si="10">SUM(C40:C41)</f>
        <v>0</v>
      </c>
      <c r="D39" s="139">
        <f t="shared" si="10"/>
        <v>0</v>
      </c>
      <c r="E39" s="139">
        <f t="shared" si="10"/>
        <v>0</v>
      </c>
      <c r="F39" s="139">
        <f t="shared" si="10"/>
        <v>0</v>
      </c>
      <c r="G39" s="139">
        <f t="shared" si="10"/>
        <v>0</v>
      </c>
      <c r="H39" s="139">
        <f t="shared" si="10"/>
        <v>0</v>
      </c>
      <c r="I39" s="139">
        <f t="shared" si="10"/>
        <v>0</v>
      </c>
      <c r="J39" s="139">
        <f t="shared" si="10"/>
        <v>0</v>
      </c>
      <c r="K39" s="140">
        <f t="shared" si="10"/>
        <v>0</v>
      </c>
    </row>
    <row r="40" spans="1:13" ht="12.75" customHeight="1" x14ac:dyDescent="0.25">
      <c r="A40" s="1172" t="s">
        <v>1458</v>
      </c>
      <c r="B40" s="73"/>
      <c r="C40" s="476"/>
      <c r="D40" s="477"/>
      <c r="E40" s="477"/>
      <c r="F40" s="477"/>
      <c r="G40" s="477"/>
      <c r="H40" s="478">
        <f>SUM(E40:G40)</f>
        <v>0</v>
      </c>
      <c r="I40" s="478">
        <f>IF(D40=0,C40+H40,D40+H40)</f>
        <v>0</v>
      </c>
      <c r="J40" s="477"/>
      <c r="K40" s="479"/>
    </row>
    <row r="41" spans="1:13" ht="12.75" customHeight="1" x14ac:dyDescent="0.25">
      <c r="A41" s="475"/>
      <c r="B41" s="73"/>
      <c r="C41" s="480"/>
      <c r="D41" s="142"/>
      <c r="E41" s="142"/>
      <c r="F41" s="142"/>
      <c r="G41" s="142"/>
      <c r="H41" s="143">
        <f>SUM(E41:G41)</f>
        <v>0</v>
      </c>
      <c r="I41" s="143">
        <f>IF(D41=0,C41+H41,D41+H41)</f>
        <v>0</v>
      </c>
      <c r="J41" s="142"/>
      <c r="K41" s="111"/>
    </row>
    <row r="42" spans="1:13" ht="12.75" customHeight="1" x14ac:dyDescent="0.25">
      <c r="A42" s="137" t="str">
        <f>A23</f>
        <v>District Municipality:</v>
      </c>
      <c r="B42" s="73"/>
      <c r="C42" s="474">
        <f t="shared" ref="C42:K42" si="11">SUM(C43:C44)</f>
        <v>0</v>
      </c>
      <c r="D42" s="139">
        <f t="shared" si="11"/>
        <v>0</v>
      </c>
      <c r="E42" s="139">
        <f t="shared" si="11"/>
        <v>0</v>
      </c>
      <c r="F42" s="139">
        <f t="shared" si="11"/>
        <v>0</v>
      </c>
      <c r="G42" s="139">
        <f t="shared" si="11"/>
        <v>0</v>
      </c>
      <c r="H42" s="139">
        <f t="shared" si="11"/>
        <v>0</v>
      </c>
      <c r="I42" s="139">
        <f t="shared" si="11"/>
        <v>0</v>
      </c>
      <c r="J42" s="139">
        <f t="shared" si="11"/>
        <v>0</v>
      </c>
      <c r="K42" s="140">
        <f t="shared" si="11"/>
        <v>0</v>
      </c>
    </row>
    <row r="43" spans="1:13" ht="12.75" customHeight="1" x14ac:dyDescent="0.25">
      <c r="A43" s="291" t="s">
        <v>157</v>
      </c>
      <c r="B43" s="73"/>
      <c r="C43" s="476"/>
      <c r="D43" s="477"/>
      <c r="E43" s="477"/>
      <c r="F43" s="477"/>
      <c r="G43" s="477"/>
      <c r="H43" s="478">
        <f>SUM(E43:G43)</f>
        <v>0</v>
      </c>
      <c r="I43" s="478">
        <f>IF(D43=0,C43+H43,D43+H43)</f>
        <v>0</v>
      </c>
      <c r="J43" s="477"/>
      <c r="K43" s="479"/>
    </row>
    <row r="44" spans="1:13" ht="12.75" customHeight="1" x14ac:dyDescent="0.25">
      <c r="A44" s="291"/>
      <c r="B44" s="73"/>
      <c r="C44" s="480"/>
      <c r="D44" s="142"/>
      <c r="E44" s="142"/>
      <c r="F44" s="142"/>
      <c r="G44" s="142"/>
      <c r="H44" s="143">
        <f>SUM(E44:G44)</f>
        <v>0</v>
      </c>
      <c r="I44" s="143">
        <f>IF(D44=0,C44+H44,D44+H44)</f>
        <v>0</v>
      </c>
      <c r="J44" s="142"/>
      <c r="K44" s="111"/>
    </row>
    <row r="45" spans="1:13" ht="12.75" customHeight="1" x14ac:dyDescent="0.25">
      <c r="A45" s="137" t="str">
        <f>A26</f>
        <v>Other grant providers:</v>
      </c>
      <c r="B45" s="73"/>
      <c r="C45" s="474">
        <f t="shared" ref="C45:K45" si="12">SUM(C46:C47)</f>
        <v>0</v>
      </c>
      <c r="D45" s="139">
        <f t="shared" si="12"/>
        <v>0</v>
      </c>
      <c r="E45" s="139">
        <f t="shared" si="12"/>
        <v>0</v>
      </c>
      <c r="F45" s="139">
        <f t="shared" si="12"/>
        <v>0</v>
      </c>
      <c r="G45" s="139">
        <f t="shared" si="12"/>
        <v>0</v>
      </c>
      <c r="H45" s="139">
        <f t="shared" si="12"/>
        <v>0</v>
      </c>
      <c r="I45" s="139">
        <f t="shared" si="12"/>
        <v>0</v>
      </c>
      <c r="J45" s="139">
        <f t="shared" si="12"/>
        <v>0</v>
      </c>
      <c r="K45" s="140">
        <f t="shared" si="12"/>
        <v>0</v>
      </c>
    </row>
    <row r="46" spans="1:13" ht="12.75" customHeight="1" x14ac:dyDescent="0.25">
      <c r="A46" s="291" t="s">
        <v>157</v>
      </c>
      <c r="B46" s="73"/>
      <c r="C46" s="476"/>
      <c r="D46" s="477"/>
      <c r="E46" s="477"/>
      <c r="F46" s="477"/>
      <c r="G46" s="477"/>
      <c r="H46" s="478">
        <f>SUM(E46:G46)</f>
        <v>0</v>
      </c>
      <c r="I46" s="478">
        <f>IF(D46=0,C46+H46,D46+H46)</f>
        <v>0</v>
      </c>
      <c r="J46" s="477"/>
      <c r="K46" s="479"/>
    </row>
    <row r="47" spans="1:13" ht="12.75" customHeight="1" x14ac:dyDescent="0.25">
      <c r="A47" s="291"/>
      <c r="B47" s="73"/>
      <c r="C47" s="480"/>
      <c r="D47" s="142"/>
      <c r="E47" s="142"/>
      <c r="F47" s="142"/>
      <c r="G47" s="142"/>
      <c r="H47" s="143">
        <f>SUM(E47:G47)</f>
        <v>0</v>
      </c>
      <c r="I47" s="143">
        <f>IF(D47=0,C47+H47,D47+H47)</f>
        <v>0</v>
      </c>
      <c r="J47" s="142"/>
      <c r="K47" s="111"/>
    </row>
    <row r="48" spans="1:13" ht="12.75" customHeight="1" x14ac:dyDescent="0.25">
      <c r="A48" s="485" t="s">
        <v>1114</v>
      </c>
      <c r="B48" s="79">
        <v>6</v>
      </c>
      <c r="C48" s="483">
        <f t="shared" ref="C48:K48" si="13">C32+C39+C42+C45</f>
        <v>15996000</v>
      </c>
      <c r="D48" s="81">
        <f t="shared" si="13"/>
        <v>0</v>
      </c>
      <c r="E48" s="81">
        <f t="shared" si="13"/>
        <v>0</v>
      </c>
      <c r="F48" s="81">
        <f t="shared" si="13"/>
        <v>0</v>
      </c>
      <c r="G48" s="81">
        <f t="shared" si="13"/>
        <v>-196000</v>
      </c>
      <c r="H48" s="81">
        <f t="shared" si="13"/>
        <v>-196000</v>
      </c>
      <c r="I48" s="81">
        <f>I32+I39+I42+I45</f>
        <v>15800000</v>
      </c>
      <c r="J48" s="81">
        <f t="shared" si="13"/>
        <v>17027000</v>
      </c>
      <c r="K48" s="82">
        <f t="shared" si="13"/>
        <v>17781000</v>
      </c>
    </row>
    <row r="49" spans="1:13" ht="12.75" customHeight="1" x14ac:dyDescent="0.25">
      <c r="A49" s="486" t="s">
        <v>1115</v>
      </c>
      <c r="B49" s="154"/>
      <c r="C49" s="114">
        <f t="shared" ref="C49:K49" si="14">C29+C48</f>
        <v>106491000</v>
      </c>
      <c r="D49" s="115">
        <f t="shared" si="14"/>
        <v>0</v>
      </c>
      <c r="E49" s="115">
        <f t="shared" si="14"/>
        <v>0</v>
      </c>
      <c r="F49" s="115">
        <f t="shared" si="14"/>
        <v>0</v>
      </c>
      <c r="G49" s="115">
        <f t="shared" si="14"/>
        <v>-196000</v>
      </c>
      <c r="H49" s="115">
        <f t="shared" si="14"/>
        <v>-196000</v>
      </c>
      <c r="I49" s="115">
        <f>I29+I48</f>
        <v>106295000</v>
      </c>
      <c r="J49" s="115">
        <f t="shared" si="14"/>
        <v>100450000</v>
      </c>
      <c r="K49" s="116">
        <f t="shared" si="14"/>
        <v>106862000</v>
      </c>
    </row>
    <row r="50" spans="1:13" ht="12.75" customHeight="1" x14ac:dyDescent="0.25">
      <c r="A50" s="156" t="str">
        <f>head27a</f>
        <v>References</v>
      </c>
      <c r="B50" s="93"/>
      <c r="C50" s="96"/>
      <c r="D50" s="96"/>
      <c r="E50" s="96"/>
      <c r="F50" s="96"/>
      <c r="G50" s="96"/>
      <c r="H50" s="96"/>
      <c r="I50" s="96"/>
      <c r="J50" s="96"/>
      <c r="K50" s="96"/>
    </row>
    <row r="51" spans="1:13" ht="12.75" customHeight="1" x14ac:dyDescent="0.25">
      <c r="A51" s="99" t="s">
        <v>160</v>
      </c>
      <c r="B51" s="93"/>
      <c r="C51" s="96"/>
      <c r="D51" s="96"/>
      <c r="E51" s="96"/>
      <c r="F51" s="96"/>
      <c r="G51" s="96"/>
      <c r="H51" s="96"/>
      <c r="I51" s="96"/>
      <c r="J51" s="96"/>
      <c r="K51" s="96"/>
    </row>
    <row r="52" spans="1:13" ht="12.75" customHeight="1" x14ac:dyDescent="0.25">
      <c r="A52" s="99" t="s">
        <v>546</v>
      </c>
      <c r="B52" s="93"/>
      <c r="C52" s="96"/>
      <c r="D52" s="96"/>
      <c r="E52" s="96"/>
      <c r="F52" s="96"/>
      <c r="G52" s="96"/>
      <c r="H52" s="96"/>
      <c r="I52" s="96"/>
      <c r="J52" s="96"/>
      <c r="K52" s="96"/>
    </row>
    <row r="53" spans="1:13" ht="12.75" customHeight="1" x14ac:dyDescent="0.25">
      <c r="A53" s="99" t="s">
        <v>161</v>
      </c>
      <c r="B53" s="93"/>
      <c r="C53" s="96"/>
      <c r="D53" s="96"/>
      <c r="E53" s="96"/>
      <c r="F53" s="96"/>
      <c r="G53" s="96"/>
      <c r="H53" s="96"/>
      <c r="I53" s="96"/>
      <c r="J53" s="96"/>
      <c r="K53" s="96"/>
    </row>
    <row r="54" spans="1:13" ht="12.75" customHeight="1" x14ac:dyDescent="0.25">
      <c r="A54" s="95" t="s">
        <v>163</v>
      </c>
      <c r="B54" s="93"/>
      <c r="C54" s="96"/>
      <c r="D54" s="96"/>
      <c r="E54" s="96"/>
      <c r="F54" s="96"/>
      <c r="G54" s="96"/>
      <c r="H54" s="96"/>
      <c r="I54" s="96"/>
      <c r="J54" s="96"/>
      <c r="K54" s="96"/>
    </row>
    <row r="55" spans="1:13" ht="12.75" customHeight="1" x14ac:dyDescent="0.25">
      <c r="A55" s="487" t="s">
        <v>164</v>
      </c>
      <c r="B55" s="93"/>
      <c r="C55" s="96"/>
      <c r="D55" s="96"/>
      <c r="E55" s="96"/>
      <c r="F55" s="96"/>
      <c r="G55" s="96"/>
      <c r="H55" s="96"/>
      <c r="I55" s="96"/>
      <c r="J55" s="96"/>
      <c r="K55" s="96"/>
    </row>
    <row r="56" spans="1:13" ht="12.75" customHeight="1" x14ac:dyDescent="0.25">
      <c r="A56" s="487" t="s">
        <v>165</v>
      </c>
      <c r="B56" s="158"/>
      <c r="C56" s="488"/>
      <c r="D56" s="488"/>
      <c r="E56" s="488"/>
      <c r="F56" s="488"/>
      <c r="G56" s="488"/>
      <c r="H56" s="488"/>
      <c r="I56" s="488"/>
      <c r="J56" s="488"/>
      <c r="K56" s="489"/>
    </row>
    <row r="57" spans="1:13" ht="12.75" customHeight="1" x14ac:dyDescent="0.25">
      <c r="A57" s="1416" t="s">
        <v>986</v>
      </c>
      <c r="B57" s="1416"/>
      <c r="C57" s="1416"/>
      <c r="D57" s="1416"/>
      <c r="E57" s="1416"/>
      <c r="F57" s="1416"/>
      <c r="G57" s="1416"/>
      <c r="H57" s="1416"/>
      <c r="I57" s="1416"/>
      <c r="J57" s="1416"/>
      <c r="K57" s="1416"/>
    </row>
    <row r="58" spans="1:13" ht="12.75" customHeight="1" x14ac:dyDescent="0.25">
      <c r="A58" s="99" t="s">
        <v>1182</v>
      </c>
      <c r="B58" s="99"/>
      <c r="C58" s="99"/>
      <c r="D58" s="99"/>
      <c r="E58" s="99"/>
      <c r="F58" s="99"/>
      <c r="G58" s="99"/>
      <c r="H58" s="99"/>
      <c r="I58" s="99"/>
      <c r="J58" s="99"/>
      <c r="K58" s="98"/>
    </row>
    <row r="59" spans="1:13" ht="12.75" customHeight="1" x14ac:dyDescent="0.25">
      <c r="A59" s="99" t="s">
        <v>636</v>
      </c>
      <c r="B59" s="93"/>
      <c r="C59" s="96"/>
      <c r="D59" s="96"/>
      <c r="E59" s="96"/>
      <c r="F59" s="96"/>
      <c r="G59" s="96"/>
      <c r="H59" s="96"/>
      <c r="I59" s="96"/>
      <c r="J59" s="96"/>
      <c r="K59" s="96"/>
    </row>
    <row r="60" spans="1:13" ht="24.95" customHeight="1" x14ac:dyDescent="0.25">
      <c r="A60" s="1416" t="s">
        <v>166</v>
      </c>
      <c r="B60" s="1416"/>
      <c r="C60" s="1416"/>
      <c r="D60" s="1416"/>
      <c r="E60" s="1416"/>
      <c r="F60" s="1416"/>
      <c r="G60" s="1416"/>
      <c r="H60" s="1416"/>
      <c r="I60" s="1416"/>
      <c r="J60" s="1416"/>
      <c r="K60" s="1416"/>
      <c r="L60" s="54"/>
      <c r="M60" s="54"/>
    </row>
    <row r="61" spans="1:13" ht="12.75" customHeight="1" x14ac:dyDescent="0.25">
      <c r="A61" s="99" t="s">
        <v>167</v>
      </c>
      <c r="B61" s="93"/>
      <c r="C61" s="96"/>
      <c r="D61" s="96"/>
      <c r="E61" s="96"/>
      <c r="F61" s="96"/>
      <c r="G61" s="96"/>
      <c r="H61" s="96"/>
      <c r="I61" s="96"/>
      <c r="J61" s="96"/>
      <c r="K61" s="96"/>
    </row>
    <row r="62" spans="1:13" ht="12.75" customHeight="1" x14ac:dyDescent="0.25">
      <c r="A62" s="99" t="s">
        <v>168</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4" type="noConversion"/>
  <dataValidations count="4">
    <dataValidation type="list" allowBlank="1" showInputMessage="1" showErrorMessage="1" sqref="A11:A15" xr:uid="{00000000-0002-0000-1A00-000000000000}">
      <formula1>NatOpexGrantNames</formula1>
    </dataValidation>
    <dataValidation type="list" allowBlank="1" showInputMessage="1" showErrorMessage="1" sqref="A18:A21" xr:uid="{00000000-0002-0000-1A00-000001000000}">
      <formula1>ProvOpexGrantNames</formula1>
    </dataValidation>
    <dataValidation type="list" allowBlank="1" showInputMessage="1" showErrorMessage="1" sqref="A33:A37" xr:uid="{00000000-0002-0000-1A00-000002000000}">
      <formula1>NatCapexGrantNames</formula1>
    </dataValidation>
    <dataValidation showInputMessage="1" showErrorMessage="1" prompt="Select transfer/grant description" sqref="A10" xr:uid="{00000000-0002-0000-1A00-000003000000}"/>
  </dataValidations>
  <printOptions horizontalCentered="1"/>
  <pageMargins left="0.35433070866141736" right="0.15748031496062992" top="0.78740157480314965" bottom="0.78740157480314965" header="0.51181102362204722" footer="0.51181102362204722"/>
  <pageSetup paperSize="9" scale="86"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8">
    <tabColor indexed="42"/>
    <pageSetUpPr fitToPage="1"/>
  </sheetPr>
  <dimension ref="A1:K83"/>
  <sheetViews>
    <sheetView showGridLines="0" showZeros="0" zoomScaleNormal="100" workbookViewId="0">
      <pane xSplit="2" ySplit="5" topLeftCell="C6" activePane="bottomRight" state="frozen"/>
      <selection activeCell="C6" sqref="C6"/>
      <selection pane="topRight" activeCell="C6" sqref="C6"/>
      <selection pane="bottomLeft" activeCell="C6" sqref="C6"/>
      <selection pane="bottomRight" activeCell="K19" sqref="K19"/>
    </sheetView>
  </sheetViews>
  <sheetFormatPr defaultColWidth="9.140625" defaultRowHeight="12.75" x14ac:dyDescent="0.25"/>
  <cols>
    <col min="1" max="1" width="40.570312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 xml:space="preserve">KZN226 Mkhambathini - Supporting Table SB8 Adjustments Budget - expenditure on transfers and grant programme - </v>
      </c>
      <c r="B1" s="5"/>
      <c r="C1" s="58"/>
    </row>
    <row r="2" spans="1:11" ht="25.5" x14ac:dyDescent="0.25">
      <c r="A2" s="1420" t="str">
        <f>desc</f>
        <v>Description</v>
      </c>
      <c r="B2" s="1420" t="str">
        <f>head27</f>
        <v>Ref</v>
      </c>
      <c r="C2" s="1417" t="str">
        <f>Head2</f>
        <v>Budget Year 2020/21</v>
      </c>
      <c r="D2" s="1418"/>
      <c r="E2" s="1418"/>
      <c r="F2" s="1418"/>
      <c r="G2" s="1418"/>
      <c r="H2" s="1418"/>
      <c r="I2" s="1418"/>
      <c r="J2" s="103" t="str">
        <f>Head10</f>
        <v>Budget Year +1 2021/22</v>
      </c>
      <c r="K2" s="61" t="str">
        <f>Head11</f>
        <v>Budget Year +2 2022/23</v>
      </c>
    </row>
    <row r="3" spans="1:11" ht="25.5" x14ac:dyDescent="0.25">
      <c r="A3" s="1421"/>
      <c r="B3" s="1421"/>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421"/>
      <c r="B4" s="1421"/>
      <c r="C4" s="65"/>
      <c r="D4" s="15">
        <v>2</v>
      </c>
      <c r="E4" s="15">
        <v>3</v>
      </c>
      <c r="F4" s="15">
        <v>4</v>
      </c>
      <c r="G4" s="15">
        <v>5</v>
      </c>
      <c r="H4" s="15">
        <v>6</v>
      </c>
      <c r="I4" s="15">
        <v>7</v>
      </c>
      <c r="J4" s="15"/>
      <c r="K4" s="17"/>
    </row>
    <row r="5" spans="1:11" x14ac:dyDescent="0.25">
      <c r="A5" s="66" t="s">
        <v>605</v>
      </c>
      <c r="B5" s="104"/>
      <c r="C5" s="67" t="s">
        <v>549</v>
      </c>
      <c r="D5" s="68" t="s">
        <v>550</v>
      </c>
      <c r="E5" s="69" t="s">
        <v>551</v>
      </c>
      <c r="F5" s="69" t="s">
        <v>552</v>
      </c>
      <c r="G5" s="70" t="s">
        <v>553</v>
      </c>
      <c r="H5" s="70" t="s">
        <v>554</v>
      </c>
      <c r="I5" s="70" t="s">
        <v>555</v>
      </c>
      <c r="J5" s="70"/>
      <c r="K5" s="71"/>
    </row>
    <row r="6" spans="1:11" ht="12.75" customHeight="1" x14ac:dyDescent="0.25">
      <c r="A6" s="137" t="s">
        <v>169</v>
      </c>
      <c r="B6" s="73">
        <v>1</v>
      </c>
      <c r="C6" s="238"/>
      <c r="D6" s="75"/>
      <c r="E6" s="75"/>
      <c r="F6" s="75"/>
      <c r="G6" s="75"/>
      <c r="H6" s="75"/>
      <c r="I6" s="75"/>
      <c r="J6" s="75"/>
      <c r="K6" s="76"/>
    </row>
    <row r="7" spans="1:11" ht="5.0999999999999996" customHeight="1" x14ac:dyDescent="0.25">
      <c r="A7" s="137"/>
      <c r="B7" s="73"/>
      <c r="C7" s="238"/>
      <c r="D7" s="75"/>
      <c r="E7" s="75"/>
      <c r="F7" s="75"/>
      <c r="G7" s="75"/>
      <c r="H7" s="75"/>
      <c r="I7" s="75"/>
      <c r="J7" s="75"/>
      <c r="K7" s="76"/>
    </row>
    <row r="8" spans="1:11" ht="12.75" customHeight="1" x14ac:dyDescent="0.25">
      <c r="A8" s="484" t="s">
        <v>1107</v>
      </c>
      <c r="B8" s="73"/>
      <c r="C8" s="238"/>
      <c r="D8" s="75"/>
      <c r="E8" s="75"/>
      <c r="F8" s="75"/>
      <c r="G8" s="75"/>
      <c r="H8" s="75"/>
      <c r="I8" s="75"/>
      <c r="J8" s="75"/>
      <c r="K8" s="76"/>
    </row>
    <row r="9" spans="1:11" ht="12.75" customHeight="1" x14ac:dyDescent="0.25">
      <c r="A9" s="137" t="s">
        <v>153</v>
      </c>
      <c r="B9" s="73"/>
      <c r="C9" s="474">
        <f t="shared" ref="C9:K9" si="0">SUM(C10:C16)</f>
        <v>88678000</v>
      </c>
      <c r="D9" s="139">
        <f t="shared" si="0"/>
        <v>0</v>
      </c>
      <c r="E9" s="139">
        <f t="shared" si="0"/>
        <v>0</v>
      </c>
      <c r="F9" s="139">
        <f t="shared" si="0"/>
        <v>0</v>
      </c>
      <c r="G9" s="139">
        <f t="shared" si="0"/>
        <v>0</v>
      </c>
      <c r="H9" s="139">
        <f t="shared" si="0"/>
        <v>0</v>
      </c>
      <c r="I9" s="139">
        <f t="shared" si="0"/>
        <v>88678000</v>
      </c>
      <c r="J9" s="139">
        <f t="shared" si="0"/>
        <v>83423000</v>
      </c>
      <c r="K9" s="140">
        <f t="shared" si="0"/>
        <v>89081000</v>
      </c>
    </row>
    <row r="10" spans="1:11" ht="12.75" customHeight="1" x14ac:dyDescent="0.25">
      <c r="A10" s="490" t="str">
        <f>'SB7'!A10</f>
        <v>Local Government Equitable Share</v>
      </c>
      <c r="B10" s="73"/>
      <c r="C10" s="476">
        <v>79735000</v>
      </c>
      <c r="D10" s="477"/>
      <c r="E10" s="477"/>
      <c r="F10" s="477"/>
      <c r="G10" s="477"/>
      <c r="H10" s="478">
        <f t="shared" ref="H10:H16" si="1">SUM(E10:G10)</f>
        <v>0</v>
      </c>
      <c r="I10" s="478">
        <f t="shared" ref="I10:I16" si="2">IF(D10=0,C10+H10,D10+H10)</f>
        <v>79735000</v>
      </c>
      <c r="J10" s="477">
        <v>72423000</v>
      </c>
      <c r="K10" s="479">
        <v>76881000</v>
      </c>
    </row>
    <row r="11" spans="1:11" ht="12.75" customHeight="1" x14ac:dyDescent="0.25">
      <c r="A11" s="490" t="str">
        <f>'SB7'!A11</f>
        <v xml:space="preserve">Finance Management </v>
      </c>
      <c r="B11" s="73"/>
      <c r="C11" s="380">
        <v>2800000</v>
      </c>
      <c r="D11" s="109"/>
      <c r="E11" s="109"/>
      <c r="F11" s="109"/>
      <c r="G11" s="109"/>
      <c r="H11" s="75">
        <f t="shared" si="1"/>
        <v>0</v>
      </c>
      <c r="I11" s="75">
        <f t="shared" si="2"/>
        <v>2800000</v>
      </c>
      <c r="J11" s="109">
        <v>3000000</v>
      </c>
      <c r="K11" s="110">
        <v>3200000</v>
      </c>
    </row>
    <row r="12" spans="1:11" ht="12.75" customHeight="1" x14ac:dyDescent="0.25">
      <c r="A12" s="490" t="str">
        <f>'SB7'!A12</f>
        <v>EPWP Incentive</v>
      </c>
      <c r="B12" s="73"/>
      <c r="C12" s="380">
        <v>1143000</v>
      </c>
      <c r="D12" s="109"/>
      <c r="E12" s="109"/>
      <c r="F12" s="109"/>
      <c r="G12" s="109"/>
      <c r="H12" s="75">
        <f t="shared" si="1"/>
        <v>0</v>
      </c>
      <c r="I12" s="75">
        <f t="shared" si="2"/>
        <v>1143000</v>
      </c>
      <c r="J12" s="109">
        <v>0</v>
      </c>
      <c r="K12" s="110">
        <v>0</v>
      </c>
    </row>
    <row r="13" spans="1:11" ht="12.75" customHeight="1" x14ac:dyDescent="0.25">
      <c r="A13" s="490" t="str">
        <f>'SB7'!A13</f>
        <v>Integrated National Electrification Programme</v>
      </c>
      <c r="B13" s="73"/>
      <c r="C13" s="380">
        <v>5000000</v>
      </c>
      <c r="D13" s="109"/>
      <c r="E13" s="109"/>
      <c r="F13" s="109"/>
      <c r="G13" s="109"/>
      <c r="H13" s="75">
        <f t="shared" si="1"/>
        <v>0</v>
      </c>
      <c r="I13" s="75">
        <f t="shared" si="2"/>
        <v>5000000</v>
      </c>
      <c r="J13" s="109">
        <v>8000000</v>
      </c>
      <c r="K13" s="110">
        <v>9000000</v>
      </c>
    </row>
    <row r="14" spans="1:11" ht="12.75" customHeight="1" x14ac:dyDescent="0.25">
      <c r="A14" s="490">
        <f>'SB7'!A14</f>
        <v>0</v>
      </c>
      <c r="B14" s="73"/>
      <c r="C14" s="380"/>
      <c r="D14" s="109"/>
      <c r="E14" s="109"/>
      <c r="F14" s="109"/>
      <c r="G14" s="109"/>
      <c r="H14" s="75">
        <f t="shared" si="1"/>
        <v>0</v>
      </c>
      <c r="I14" s="75">
        <f t="shared" si="2"/>
        <v>0</v>
      </c>
      <c r="J14" s="109"/>
      <c r="K14" s="110"/>
    </row>
    <row r="15" spans="1:11" ht="12.75" customHeight="1" x14ac:dyDescent="0.25">
      <c r="A15" s="490">
        <f>'SB7'!A15</f>
        <v>0</v>
      </c>
      <c r="B15" s="73"/>
      <c r="C15" s="380"/>
      <c r="D15" s="109"/>
      <c r="E15" s="109"/>
      <c r="F15" s="109"/>
      <c r="G15" s="109"/>
      <c r="H15" s="75">
        <f t="shared" si="1"/>
        <v>0</v>
      </c>
      <c r="I15" s="75">
        <f t="shared" si="2"/>
        <v>0</v>
      </c>
      <c r="J15" s="109"/>
      <c r="K15" s="110"/>
    </row>
    <row r="16" spans="1:11" ht="12.75" customHeight="1" x14ac:dyDescent="0.25">
      <c r="A16" s="801" t="str">
        <f>'SB7'!A16</f>
        <v>Other transfers and grants [insert description]</v>
      </c>
      <c r="B16" s="73"/>
      <c r="C16" s="480"/>
      <c r="D16" s="142"/>
      <c r="E16" s="142"/>
      <c r="F16" s="142"/>
      <c r="G16" s="142"/>
      <c r="H16" s="143">
        <f t="shared" si="1"/>
        <v>0</v>
      </c>
      <c r="I16" s="143">
        <f t="shared" si="2"/>
        <v>0</v>
      </c>
      <c r="J16" s="142"/>
      <c r="K16" s="111"/>
    </row>
    <row r="17" spans="1:11" ht="12.75" customHeight="1" x14ac:dyDescent="0.25">
      <c r="A17" s="491" t="s">
        <v>155</v>
      </c>
      <c r="B17" s="73"/>
      <c r="C17" s="474">
        <f t="shared" ref="C17:K17" si="3">SUM(C18:C22)</f>
        <v>1817000</v>
      </c>
      <c r="D17" s="139">
        <f t="shared" si="3"/>
        <v>0</v>
      </c>
      <c r="E17" s="139">
        <f t="shared" si="3"/>
        <v>0</v>
      </c>
      <c r="F17" s="139">
        <f t="shared" si="3"/>
        <v>0</v>
      </c>
      <c r="G17" s="139">
        <f t="shared" si="3"/>
        <v>0</v>
      </c>
      <c r="H17" s="139">
        <f t="shared" si="3"/>
        <v>0</v>
      </c>
      <c r="I17" s="139">
        <f t="shared" si="3"/>
        <v>1817000</v>
      </c>
      <c r="J17" s="139">
        <f t="shared" si="3"/>
        <v>0</v>
      </c>
      <c r="K17" s="140">
        <f t="shared" si="3"/>
        <v>0</v>
      </c>
    </row>
    <row r="18" spans="1:11" ht="12.75" customHeight="1" x14ac:dyDescent="0.25">
      <c r="A18" s="490" t="str">
        <f>'SB7'!A18</f>
        <v>Provincialisation</v>
      </c>
      <c r="B18" s="73"/>
      <c r="C18" s="476">
        <v>1817000</v>
      </c>
      <c r="D18" s="481"/>
      <c r="E18" s="477"/>
      <c r="F18" s="477"/>
      <c r="G18" s="477"/>
      <c r="H18" s="478">
        <f>SUM(E18:G18)</f>
        <v>0</v>
      </c>
      <c r="I18" s="478">
        <f>IF(D18=0,C18+H18,D18+H18)</f>
        <v>1817000</v>
      </c>
      <c r="J18" s="477"/>
      <c r="K18" s="479"/>
    </row>
    <row r="19" spans="1:11" ht="12.75" customHeight="1" x14ac:dyDescent="0.25">
      <c r="A19" s="490">
        <f>'SB7'!A19</f>
        <v>0</v>
      </c>
      <c r="B19" s="73"/>
      <c r="C19" s="380"/>
      <c r="D19" s="128"/>
      <c r="E19" s="109"/>
      <c r="F19" s="109"/>
      <c r="G19" s="109"/>
      <c r="H19" s="75">
        <f>SUM(E19:G19)</f>
        <v>0</v>
      </c>
      <c r="I19" s="75">
        <f>IF(D19=0,C19+H19,D19+H19)</f>
        <v>0</v>
      </c>
      <c r="J19" s="109"/>
      <c r="K19" s="110"/>
    </row>
    <row r="20" spans="1:11" ht="12.75" customHeight="1" x14ac:dyDescent="0.25">
      <c r="A20" s="490">
        <f>'SB7'!A20</f>
        <v>0</v>
      </c>
      <c r="B20" s="73"/>
      <c r="C20" s="380"/>
      <c r="D20" s="128"/>
      <c r="E20" s="109"/>
      <c r="F20" s="109"/>
      <c r="G20" s="109"/>
      <c r="H20" s="75">
        <f>SUM(E20:G20)</f>
        <v>0</v>
      </c>
      <c r="I20" s="75">
        <f>IF(D20=0,C20+H20,D20+H20)</f>
        <v>0</v>
      </c>
      <c r="J20" s="109"/>
      <c r="K20" s="110"/>
    </row>
    <row r="21" spans="1:11" ht="12.75" customHeight="1" x14ac:dyDescent="0.25">
      <c r="A21" s="490">
        <f>'SB7'!A21</f>
        <v>0</v>
      </c>
      <c r="B21" s="73"/>
      <c r="C21" s="380"/>
      <c r="D21" s="128"/>
      <c r="E21" s="109"/>
      <c r="F21" s="109"/>
      <c r="G21" s="109"/>
      <c r="H21" s="75">
        <f>SUM(E21:G21)</f>
        <v>0</v>
      </c>
      <c r="I21" s="75">
        <f>IF(D21=0,C21+H21,D21+H21)</f>
        <v>0</v>
      </c>
      <c r="J21" s="109"/>
      <c r="K21" s="110"/>
    </row>
    <row r="22" spans="1:11" ht="12.75" customHeight="1" x14ac:dyDescent="0.25">
      <c r="A22" s="490" t="str">
        <f>'SB7'!A22</f>
        <v>Other transfers and grants [insert description]</v>
      </c>
      <c r="B22" s="73"/>
      <c r="C22" s="480"/>
      <c r="D22" s="141"/>
      <c r="E22" s="142"/>
      <c r="F22" s="142"/>
      <c r="G22" s="142"/>
      <c r="H22" s="143">
        <f>SUM(E22:G22)</f>
        <v>0</v>
      </c>
      <c r="I22" s="143">
        <f>IF(D22=0,C22+H22,D22+H22)</f>
        <v>0</v>
      </c>
      <c r="J22" s="142"/>
      <c r="K22" s="111"/>
    </row>
    <row r="23" spans="1:11" ht="12.75" customHeight="1" x14ac:dyDescent="0.25">
      <c r="A23" s="491" t="s">
        <v>156</v>
      </c>
      <c r="B23" s="73"/>
      <c r="C23" s="474">
        <f t="shared" ref="C23:K23" si="4">SUM(C24:C25)</f>
        <v>0</v>
      </c>
      <c r="D23" s="139">
        <f t="shared" si="4"/>
        <v>0</v>
      </c>
      <c r="E23" s="139">
        <f t="shared" si="4"/>
        <v>0</v>
      </c>
      <c r="F23" s="139">
        <f t="shared" si="4"/>
        <v>0</v>
      </c>
      <c r="G23" s="139">
        <f t="shared" si="4"/>
        <v>0</v>
      </c>
      <c r="H23" s="139">
        <f t="shared" si="4"/>
        <v>0</v>
      </c>
      <c r="I23" s="139">
        <f t="shared" si="4"/>
        <v>0</v>
      </c>
      <c r="J23" s="139">
        <f t="shared" si="4"/>
        <v>0</v>
      </c>
      <c r="K23" s="140">
        <f t="shared" si="4"/>
        <v>0</v>
      </c>
    </row>
    <row r="24" spans="1:11" ht="12.75" customHeight="1" x14ac:dyDescent="0.25">
      <c r="A24" s="492" t="str">
        <f>'SB7'!A24</f>
        <v>[insert description]</v>
      </c>
      <c r="B24" s="73"/>
      <c r="C24" s="476"/>
      <c r="D24" s="477"/>
      <c r="E24" s="477"/>
      <c r="F24" s="477"/>
      <c r="G24" s="477"/>
      <c r="H24" s="478">
        <f>SUM(E24:G24)</f>
        <v>0</v>
      </c>
      <c r="I24" s="478">
        <f>IF(D24=0,C24+H24,D24+H24)</f>
        <v>0</v>
      </c>
      <c r="J24" s="477"/>
      <c r="K24" s="479"/>
    </row>
    <row r="25" spans="1:11" ht="12.75" customHeight="1" x14ac:dyDescent="0.25">
      <c r="A25" s="492">
        <f>'SB7'!A25</f>
        <v>0</v>
      </c>
      <c r="B25" s="73"/>
      <c r="C25" s="480"/>
      <c r="D25" s="142"/>
      <c r="E25" s="142"/>
      <c r="F25" s="142"/>
      <c r="G25" s="142"/>
      <c r="H25" s="143">
        <f>SUM(E25:G25)</f>
        <v>0</v>
      </c>
      <c r="I25" s="143">
        <f>IF(D25=0,C25+H25,D25+H25)</f>
        <v>0</v>
      </c>
      <c r="J25" s="142"/>
      <c r="K25" s="111"/>
    </row>
    <row r="26" spans="1:11" ht="12.75" customHeight="1" x14ac:dyDescent="0.25">
      <c r="A26" s="491" t="s">
        <v>158</v>
      </c>
      <c r="B26" s="73"/>
      <c r="C26" s="238">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492" t="str">
        <f>'SB7'!A27</f>
        <v>[insert description]</v>
      </c>
      <c r="B27" s="73"/>
      <c r="C27" s="476"/>
      <c r="D27" s="477"/>
      <c r="E27" s="477"/>
      <c r="F27" s="477"/>
      <c r="G27" s="477"/>
      <c r="H27" s="478">
        <f>SUM(E27:G27)</f>
        <v>0</v>
      </c>
      <c r="I27" s="478">
        <f>IF(D27=0,C27+H27,D27+H27)</f>
        <v>0</v>
      </c>
      <c r="J27" s="477"/>
      <c r="K27" s="479"/>
    </row>
    <row r="28" spans="1:11" ht="12.75" customHeight="1" x14ac:dyDescent="0.25">
      <c r="A28" s="492">
        <f>'SB7'!A28</f>
        <v>0</v>
      </c>
      <c r="B28" s="73"/>
      <c r="C28" s="480"/>
      <c r="D28" s="142"/>
      <c r="E28" s="142"/>
      <c r="F28" s="142"/>
      <c r="G28" s="142"/>
      <c r="H28" s="143">
        <f>SUM(E28:G28)</f>
        <v>0</v>
      </c>
      <c r="I28" s="143">
        <f>IF(D28=0,C28+H28,D28+H28)</f>
        <v>0</v>
      </c>
      <c r="J28" s="142"/>
      <c r="K28" s="111"/>
    </row>
    <row r="29" spans="1:11" ht="12.75" customHeight="1" x14ac:dyDescent="0.25">
      <c r="A29" s="482" t="s">
        <v>1108</v>
      </c>
      <c r="B29" s="79"/>
      <c r="C29" s="483">
        <f t="shared" ref="C29:K29" si="6">C9+C17+C23+C26</f>
        <v>90495000</v>
      </c>
      <c r="D29" s="81">
        <f t="shared" si="6"/>
        <v>0</v>
      </c>
      <c r="E29" s="81">
        <f t="shared" si="6"/>
        <v>0</v>
      </c>
      <c r="F29" s="81">
        <f t="shared" si="6"/>
        <v>0</v>
      </c>
      <c r="G29" s="81">
        <f t="shared" si="6"/>
        <v>0</v>
      </c>
      <c r="H29" s="81">
        <f t="shared" si="6"/>
        <v>0</v>
      </c>
      <c r="I29" s="81">
        <f>I9+I17+I23+I26</f>
        <v>90495000</v>
      </c>
      <c r="J29" s="81">
        <f t="shared" si="6"/>
        <v>83423000</v>
      </c>
      <c r="K29" s="82">
        <f t="shared" si="6"/>
        <v>89081000</v>
      </c>
    </row>
    <row r="30" spans="1:11" ht="5.0999999999999996" customHeight="1" x14ac:dyDescent="0.25">
      <c r="A30" s="134"/>
      <c r="B30" s="73"/>
      <c r="C30" s="238"/>
      <c r="D30" s="75"/>
      <c r="E30" s="75"/>
      <c r="F30" s="75"/>
      <c r="G30" s="75"/>
      <c r="H30" s="75"/>
      <c r="I30" s="75"/>
      <c r="J30" s="75"/>
      <c r="K30" s="76"/>
    </row>
    <row r="31" spans="1:11" ht="12.75" customHeight="1" x14ac:dyDescent="0.25">
      <c r="A31" s="484" t="s">
        <v>1109</v>
      </c>
      <c r="B31" s="73"/>
      <c r="C31" s="238"/>
      <c r="D31" s="75"/>
      <c r="E31" s="75"/>
      <c r="F31" s="75"/>
      <c r="G31" s="75"/>
      <c r="H31" s="75"/>
      <c r="I31" s="75"/>
      <c r="J31" s="75"/>
      <c r="K31" s="76"/>
    </row>
    <row r="32" spans="1:11" ht="12.75" customHeight="1" x14ac:dyDescent="0.25">
      <c r="A32" s="491" t="s">
        <v>153</v>
      </c>
      <c r="B32" s="73"/>
      <c r="C32" s="474">
        <f t="shared" ref="C32:K32" si="7">SUM(C33:C38)</f>
        <v>15996000</v>
      </c>
      <c r="D32" s="139">
        <f t="shared" si="7"/>
        <v>0</v>
      </c>
      <c r="E32" s="139">
        <f t="shared" si="7"/>
        <v>0</v>
      </c>
      <c r="F32" s="139">
        <f t="shared" si="7"/>
        <v>0</v>
      </c>
      <c r="G32" s="139">
        <f t="shared" si="7"/>
        <v>-196000</v>
      </c>
      <c r="H32" s="139">
        <f t="shared" si="7"/>
        <v>-196000</v>
      </c>
      <c r="I32" s="139">
        <f t="shared" si="7"/>
        <v>15800000</v>
      </c>
      <c r="J32" s="139">
        <f t="shared" si="7"/>
        <v>17027000</v>
      </c>
      <c r="K32" s="140">
        <f t="shared" si="7"/>
        <v>17781000</v>
      </c>
    </row>
    <row r="33" spans="1:11" ht="12.75" customHeight="1" x14ac:dyDescent="0.25">
      <c r="A33" s="493" t="str">
        <f>'SB7'!A33</f>
        <v xml:space="preserve"> Municipal Infrastructure Grant (MIG)</v>
      </c>
      <c r="B33" s="73"/>
      <c r="C33" s="476">
        <v>15996000</v>
      </c>
      <c r="D33" s="477"/>
      <c r="E33" s="477"/>
      <c r="F33" s="477"/>
      <c r="G33" s="477">
        <v>-196000</v>
      </c>
      <c r="H33" s="478">
        <f t="shared" ref="H33:H38" si="8">SUM(E33:G33)</f>
        <v>-196000</v>
      </c>
      <c r="I33" s="478">
        <f t="shared" ref="I33:I38" si="9">IF(D33=0,C33+H33,D33+H33)</f>
        <v>15800000</v>
      </c>
      <c r="J33" s="477">
        <v>17027000</v>
      </c>
      <c r="K33" s="479">
        <v>17781000</v>
      </c>
    </row>
    <row r="34" spans="1:11" ht="12.75" customHeight="1" x14ac:dyDescent="0.25">
      <c r="A34" s="493">
        <f>'SB7'!A34</f>
        <v>0</v>
      </c>
      <c r="B34" s="73"/>
      <c r="C34" s="380"/>
      <c r="D34" s="109"/>
      <c r="E34" s="109"/>
      <c r="F34" s="109"/>
      <c r="G34" s="109"/>
      <c r="H34" s="75">
        <f t="shared" si="8"/>
        <v>0</v>
      </c>
      <c r="I34" s="75">
        <f t="shared" si="9"/>
        <v>0</v>
      </c>
      <c r="J34" s="109"/>
      <c r="K34" s="110"/>
    </row>
    <row r="35" spans="1:11" ht="12.75" customHeight="1" x14ac:dyDescent="0.25">
      <c r="A35" s="493">
        <f>'SB7'!A35</f>
        <v>0</v>
      </c>
      <c r="B35" s="73"/>
      <c r="C35" s="380"/>
      <c r="D35" s="109"/>
      <c r="E35" s="109"/>
      <c r="F35" s="109"/>
      <c r="G35" s="109"/>
      <c r="H35" s="75">
        <f t="shared" si="8"/>
        <v>0</v>
      </c>
      <c r="I35" s="75">
        <f t="shared" si="9"/>
        <v>0</v>
      </c>
      <c r="J35" s="109"/>
      <c r="K35" s="110"/>
    </row>
    <row r="36" spans="1:11" ht="12.75" customHeight="1" x14ac:dyDescent="0.25">
      <c r="A36" s="493">
        <f>'SB7'!A36</f>
        <v>0</v>
      </c>
      <c r="B36" s="73"/>
      <c r="C36" s="380"/>
      <c r="D36" s="109"/>
      <c r="E36" s="109"/>
      <c r="F36" s="109"/>
      <c r="G36" s="109"/>
      <c r="H36" s="75">
        <f t="shared" si="8"/>
        <v>0</v>
      </c>
      <c r="I36" s="75">
        <f t="shared" si="9"/>
        <v>0</v>
      </c>
      <c r="J36" s="109"/>
      <c r="K36" s="110"/>
    </row>
    <row r="37" spans="1:11" ht="12.75" customHeight="1" x14ac:dyDescent="0.25">
      <c r="A37" s="493">
        <f>'SB7'!A37</f>
        <v>0</v>
      </c>
      <c r="B37" s="73"/>
      <c r="C37" s="380"/>
      <c r="D37" s="109"/>
      <c r="E37" s="109"/>
      <c r="F37" s="109"/>
      <c r="G37" s="109"/>
      <c r="H37" s="75">
        <f t="shared" si="8"/>
        <v>0</v>
      </c>
      <c r="I37" s="75">
        <f t="shared" si="9"/>
        <v>0</v>
      </c>
      <c r="J37" s="109"/>
      <c r="K37" s="110"/>
    </row>
    <row r="38" spans="1:11" ht="12.75" customHeight="1" x14ac:dyDescent="0.25">
      <c r="A38" s="493" t="str">
        <f>'SB7'!A38</f>
        <v>Other capital transfers [insert description]</v>
      </c>
      <c r="B38" s="73"/>
      <c r="C38" s="480"/>
      <c r="D38" s="142"/>
      <c r="E38" s="142"/>
      <c r="F38" s="142"/>
      <c r="G38" s="142"/>
      <c r="H38" s="143">
        <f t="shared" si="8"/>
        <v>0</v>
      </c>
      <c r="I38" s="143">
        <f t="shared" si="9"/>
        <v>0</v>
      </c>
      <c r="J38" s="142"/>
      <c r="K38" s="111"/>
    </row>
    <row r="39" spans="1:11" ht="12.75" customHeight="1" x14ac:dyDescent="0.25">
      <c r="A39" s="491" t="s">
        <v>155</v>
      </c>
      <c r="B39" s="73"/>
      <c r="C39" s="474">
        <f t="shared" ref="C39:K39" si="10">SUM(C40:C41)</f>
        <v>0</v>
      </c>
      <c r="D39" s="139">
        <f t="shared" si="10"/>
        <v>0</v>
      </c>
      <c r="E39" s="139">
        <f t="shared" si="10"/>
        <v>0</v>
      </c>
      <c r="F39" s="139">
        <f t="shared" si="10"/>
        <v>0</v>
      </c>
      <c r="G39" s="139">
        <f t="shared" si="10"/>
        <v>0</v>
      </c>
      <c r="H39" s="139">
        <f t="shared" si="10"/>
        <v>0</v>
      </c>
      <c r="I39" s="139">
        <f t="shared" si="10"/>
        <v>0</v>
      </c>
      <c r="J39" s="139">
        <f t="shared" si="10"/>
        <v>0</v>
      </c>
      <c r="K39" s="140">
        <f t="shared" si="10"/>
        <v>0</v>
      </c>
    </row>
    <row r="40" spans="1:11" ht="12.75" customHeight="1" x14ac:dyDescent="0.25">
      <c r="A40" s="493" t="str">
        <f>'SB7'!A40</f>
        <v>Other capital transfers/grants [insert description]</v>
      </c>
      <c r="B40" s="73"/>
      <c r="C40" s="476"/>
      <c r="D40" s="477"/>
      <c r="E40" s="477"/>
      <c r="F40" s="477"/>
      <c r="G40" s="477"/>
      <c r="H40" s="478">
        <f>SUM(E40:G40)</f>
        <v>0</v>
      </c>
      <c r="I40" s="478">
        <f>IF(D40=0,C40+H40,D40+H40)</f>
        <v>0</v>
      </c>
      <c r="J40" s="477"/>
      <c r="K40" s="479"/>
    </row>
    <row r="41" spans="1:11" ht="12.75" customHeight="1" x14ac:dyDescent="0.25">
      <c r="A41" s="493">
        <f>'SB7'!A41</f>
        <v>0</v>
      </c>
      <c r="B41" s="73"/>
      <c r="C41" s="480"/>
      <c r="D41" s="142"/>
      <c r="E41" s="142"/>
      <c r="F41" s="142"/>
      <c r="G41" s="142"/>
      <c r="H41" s="143">
        <f>SUM(E41:G41)</f>
        <v>0</v>
      </c>
      <c r="I41" s="143">
        <f>IF(D41=0,C41+H41,D41+H41)</f>
        <v>0</v>
      </c>
      <c r="J41" s="142"/>
      <c r="K41" s="111"/>
    </row>
    <row r="42" spans="1:11" ht="12.75" customHeight="1" x14ac:dyDescent="0.25">
      <c r="A42" s="491" t="s">
        <v>156</v>
      </c>
      <c r="B42" s="73"/>
      <c r="C42" s="474">
        <f t="shared" ref="C42:K42" si="11">SUM(C43:C44)</f>
        <v>0</v>
      </c>
      <c r="D42" s="139">
        <f t="shared" si="11"/>
        <v>0</v>
      </c>
      <c r="E42" s="139">
        <f t="shared" si="11"/>
        <v>0</v>
      </c>
      <c r="F42" s="139">
        <f t="shared" si="11"/>
        <v>0</v>
      </c>
      <c r="G42" s="139">
        <f t="shared" si="11"/>
        <v>0</v>
      </c>
      <c r="H42" s="139">
        <f t="shared" si="11"/>
        <v>0</v>
      </c>
      <c r="I42" s="139">
        <f t="shared" si="11"/>
        <v>0</v>
      </c>
      <c r="J42" s="139">
        <f t="shared" si="11"/>
        <v>0</v>
      </c>
      <c r="K42" s="140">
        <f t="shared" si="11"/>
        <v>0</v>
      </c>
    </row>
    <row r="43" spans="1:11" ht="12.75" customHeight="1" x14ac:dyDescent="0.25">
      <c r="A43" s="492" t="str">
        <f>'SB7'!A43</f>
        <v>[insert description]</v>
      </c>
      <c r="B43" s="73"/>
      <c r="C43" s="476"/>
      <c r="D43" s="477"/>
      <c r="E43" s="477"/>
      <c r="F43" s="477"/>
      <c r="G43" s="477"/>
      <c r="H43" s="478">
        <f>SUM(E43:G43)</f>
        <v>0</v>
      </c>
      <c r="I43" s="478">
        <f>IF(D43=0,C43+H43,D43+H43)</f>
        <v>0</v>
      </c>
      <c r="J43" s="477"/>
      <c r="K43" s="479"/>
    </row>
    <row r="44" spans="1:11" ht="12.75" customHeight="1" x14ac:dyDescent="0.25">
      <c r="A44" s="492">
        <f>'SB7'!A44</f>
        <v>0</v>
      </c>
      <c r="B44" s="73"/>
      <c r="C44" s="480"/>
      <c r="D44" s="142"/>
      <c r="E44" s="142"/>
      <c r="F44" s="142"/>
      <c r="G44" s="142"/>
      <c r="H44" s="143">
        <f>SUM(E44:G44)</f>
        <v>0</v>
      </c>
      <c r="I44" s="143">
        <f>IF(D44=0,C44+H44,D44+H44)</f>
        <v>0</v>
      </c>
      <c r="J44" s="142"/>
      <c r="K44" s="111"/>
    </row>
    <row r="45" spans="1:11" ht="12.75" customHeight="1" x14ac:dyDescent="0.25">
      <c r="A45" s="491" t="s">
        <v>158</v>
      </c>
      <c r="B45" s="73"/>
      <c r="C45" s="474">
        <f t="shared" ref="C45:K45" si="12">SUM(C46:C47)</f>
        <v>0</v>
      </c>
      <c r="D45" s="139">
        <f t="shared" si="12"/>
        <v>0</v>
      </c>
      <c r="E45" s="139">
        <f t="shared" si="12"/>
        <v>0</v>
      </c>
      <c r="F45" s="139">
        <f t="shared" si="12"/>
        <v>0</v>
      </c>
      <c r="G45" s="139">
        <f t="shared" si="12"/>
        <v>0</v>
      </c>
      <c r="H45" s="139">
        <f t="shared" si="12"/>
        <v>0</v>
      </c>
      <c r="I45" s="139">
        <f t="shared" si="12"/>
        <v>0</v>
      </c>
      <c r="J45" s="139">
        <f t="shared" si="12"/>
        <v>0</v>
      </c>
      <c r="K45" s="140">
        <f t="shared" si="12"/>
        <v>0</v>
      </c>
    </row>
    <row r="46" spans="1:11" ht="12.75" customHeight="1" x14ac:dyDescent="0.25">
      <c r="A46" s="492" t="str">
        <f>'SB7'!A46</f>
        <v>[insert description]</v>
      </c>
      <c r="B46" s="73"/>
      <c r="C46" s="476"/>
      <c r="D46" s="477"/>
      <c r="E46" s="477"/>
      <c r="F46" s="477"/>
      <c r="G46" s="477"/>
      <c r="H46" s="478">
        <f>SUM(E46:G46)</f>
        <v>0</v>
      </c>
      <c r="I46" s="478">
        <f>IF(D46=0,C46+H46,D46+H46)</f>
        <v>0</v>
      </c>
      <c r="J46" s="477"/>
      <c r="K46" s="479"/>
    </row>
    <row r="47" spans="1:11" ht="12.75" customHeight="1" x14ac:dyDescent="0.25">
      <c r="A47" s="492">
        <f>'SB7'!A47</f>
        <v>0</v>
      </c>
      <c r="B47" s="73"/>
      <c r="C47" s="480"/>
      <c r="D47" s="142"/>
      <c r="E47" s="142"/>
      <c r="F47" s="142"/>
      <c r="G47" s="142"/>
      <c r="H47" s="143">
        <f>SUM(E47:G47)</f>
        <v>0</v>
      </c>
      <c r="I47" s="143">
        <f>IF(D47=0,C47+H47,D47+H47)</f>
        <v>0</v>
      </c>
      <c r="J47" s="142"/>
      <c r="K47" s="111"/>
    </row>
    <row r="48" spans="1:11" ht="12.75" customHeight="1" x14ac:dyDescent="0.25">
      <c r="A48" s="485" t="s">
        <v>1110</v>
      </c>
      <c r="B48" s="105"/>
      <c r="C48" s="300">
        <f t="shared" ref="C48:K48" si="13">C32+C39+C42+C45</f>
        <v>15996000</v>
      </c>
      <c r="D48" s="149">
        <f t="shared" si="13"/>
        <v>0</v>
      </c>
      <c r="E48" s="149">
        <f t="shared" si="13"/>
        <v>0</v>
      </c>
      <c r="F48" s="149">
        <f t="shared" si="13"/>
        <v>0</v>
      </c>
      <c r="G48" s="149">
        <f t="shared" si="13"/>
        <v>-196000</v>
      </c>
      <c r="H48" s="149">
        <f t="shared" si="13"/>
        <v>-196000</v>
      </c>
      <c r="I48" s="149">
        <f t="shared" si="13"/>
        <v>15800000</v>
      </c>
      <c r="J48" s="149">
        <f t="shared" si="13"/>
        <v>17027000</v>
      </c>
      <c r="K48" s="150">
        <f t="shared" si="13"/>
        <v>17781000</v>
      </c>
    </row>
    <row r="49" spans="1:11" ht="5.0999999999999996" customHeight="1" x14ac:dyDescent="0.25">
      <c r="A49" s="134"/>
      <c r="B49" s="73"/>
      <c r="C49" s="238"/>
      <c r="D49" s="75"/>
      <c r="E49" s="75"/>
      <c r="F49" s="75"/>
      <c r="G49" s="75"/>
      <c r="H49" s="75"/>
      <c r="I49" s="75"/>
      <c r="J49" s="75"/>
      <c r="K49" s="76"/>
    </row>
    <row r="50" spans="1:11" ht="12.75" customHeight="1" x14ac:dyDescent="0.25">
      <c r="A50" s="494" t="s">
        <v>1110</v>
      </c>
      <c r="B50" s="154"/>
      <c r="C50" s="114">
        <f t="shared" ref="C50:K50" si="14">C29+C48</f>
        <v>106491000</v>
      </c>
      <c r="D50" s="115">
        <f t="shared" si="14"/>
        <v>0</v>
      </c>
      <c r="E50" s="115">
        <f t="shared" si="14"/>
        <v>0</v>
      </c>
      <c r="F50" s="115">
        <f t="shared" si="14"/>
        <v>0</v>
      </c>
      <c r="G50" s="115">
        <f t="shared" si="14"/>
        <v>-196000</v>
      </c>
      <c r="H50" s="115">
        <f t="shared" si="14"/>
        <v>-196000</v>
      </c>
      <c r="I50" s="115">
        <f t="shared" si="14"/>
        <v>106295000</v>
      </c>
      <c r="J50" s="115">
        <f t="shared" si="14"/>
        <v>100450000</v>
      </c>
      <c r="K50" s="116">
        <f t="shared" si="14"/>
        <v>106862000</v>
      </c>
    </row>
    <row r="51" spans="1:11" ht="12.75" customHeight="1" x14ac:dyDescent="0.25">
      <c r="A51" s="156" t="str">
        <f>head27a</f>
        <v>References</v>
      </c>
      <c r="B51" s="93"/>
      <c r="C51" s="99"/>
      <c r="D51" s="99"/>
      <c r="E51" s="99"/>
      <c r="F51" s="99"/>
      <c r="G51" s="99"/>
      <c r="H51" s="99"/>
      <c r="I51" s="99"/>
      <c r="J51" s="99"/>
      <c r="K51" s="99"/>
    </row>
    <row r="52" spans="1:11" ht="12.75" customHeight="1" x14ac:dyDescent="0.25">
      <c r="A52" s="99" t="s">
        <v>170</v>
      </c>
      <c r="B52" s="93"/>
      <c r="C52" s="99"/>
      <c r="D52" s="99"/>
      <c r="E52" s="99"/>
      <c r="F52" s="99"/>
      <c r="G52" s="99"/>
      <c r="H52" s="99"/>
      <c r="I52" s="99"/>
      <c r="J52" s="99"/>
      <c r="K52" s="99"/>
    </row>
    <row r="53" spans="1:11" ht="12.75" customHeight="1" x14ac:dyDescent="0.25">
      <c r="A53" s="99" t="s">
        <v>987</v>
      </c>
      <c r="B53" s="99"/>
      <c r="C53" s="99"/>
      <c r="D53" s="99"/>
      <c r="E53" s="99"/>
      <c r="F53" s="99"/>
      <c r="G53" s="99"/>
      <c r="H53" s="99"/>
      <c r="I53" s="99"/>
      <c r="J53" s="99"/>
      <c r="K53" s="99"/>
    </row>
    <row r="54" spans="1:11" ht="12.75" customHeight="1" x14ac:dyDescent="0.25">
      <c r="A54" s="99" t="s">
        <v>171</v>
      </c>
      <c r="B54" s="93"/>
      <c r="C54" s="99"/>
      <c r="D54" s="99"/>
      <c r="E54" s="99"/>
      <c r="F54" s="99"/>
      <c r="G54" s="99"/>
      <c r="H54" s="99"/>
      <c r="I54" s="99"/>
      <c r="J54" s="99"/>
      <c r="K54" s="99"/>
    </row>
    <row r="55" spans="1:11" ht="12.75" customHeight="1" x14ac:dyDescent="0.25">
      <c r="A55" s="99" t="s">
        <v>172</v>
      </c>
      <c r="B55" s="93"/>
      <c r="C55" s="99"/>
      <c r="D55" s="99"/>
      <c r="E55" s="99"/>
      <c r="F55" s="99"/>
      <c r="G55" s="99"/>
      <c r="H55" s="99"/>
      <c r="I55" s="99"/>
      <c r="J55" s="99"/>
      <c r="K55" s="99"/>
    </row>
    <row r="56" spans="1:11" ht="24.95" customHeight="1" x14ac:dyDescent="0.25">
      <c r="A56" s="1416" t="s">
        <v>173</v>
      </c>
      <c r="B56" s="1422"/>
      <c r="C56" s="1416"/>
      <c r="D56" s="1416"/>
      <c r="E56" s="1416"/>
      <c r="F56" s="1416"/>
      <c r="G56" s="1416"/>
      <c r="H56" s="1416"/>
      <c r="I56" s="1416"/>
      <c r="J56" s="1416"/>
      <c r="K56" s="1416"/>
    </row>
    <row r="57" spans="1:11" ht="12.75" customHeight="1" x14ac:dyDescent="0.25">
      <c r="A57" s="99" t="s">
        <v>174</v>
      </c>
      <c r="B57" s="93"/>
      <c r="C57" s="99"/>
      <c r="D57" s="99"/>
      <c r="E57" s="99"/>
      <c r="F57" s="99"/>
      <c r="G57" s="99"/>
      <c r="H57" s="99"/>
      <c r="I57" s="99"/>
      <c r="J57" s="99"/>
      <c r="K57" s="99"/>
    </row>
    <row r="58" spans="1:11" ht="12.75" customHeight="1" x14ac:dyDescent="0.25">
      <c r="A58" s="99" t="s">
        <v>175</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4">
    <mergeCell ref="A56:K56"/>
    <mergeCell ref="A2:A4"/>
    <mergeCell ref="B2:B4"/>
    <mergeCell ref="C2:I2"/>
  </mergeCells>
  <phoneticPr fontId="4" type="noConversion"/>
  <printOptions horizontalCentered="1"/>
  <pageMargins left="0.35433070866141736" right="0.15748031496062992" top="0.78740157480314965" bottom="0.78740157480314965" header="0.51181102362204722" footer="0.51181102362204722"/>
  <pageSetup paperSize="9" scale="8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O28" sqref="O28"/>
    </sheetView>
  </sheetViews>
  <sheetFormatPr defaultColWidth="9.140625" defaultRowHeight="12.75" x14ac:dyDescent="0.25"/>
  <cols>
    <col min="1" max="1" width="40.5703125" style="5" customWidth="1"/>
    <col min="2" max="2" width="3.140625" style="58" customWidth="1"/>
    <col min="3" max="3" width="9.42578125" style="5" customWidth="1"/>
    <col min="4" max="8" width="9.42578125" style="5" bestFit="1" customWidth="1"/>
    <col min="9" max="10" width="9.425781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 xml:space="preserve">KZN226 Mkhambathini - Supporting Table SB9 Adjustments Budget - reconciliation of transfers, grant receipts, and unspent funds - </v>
      </c>
      <c r="B1" s="5"/>
      <c r="C1" s="58"/>
    </row>
    <row r="2" spans="1:11" ht="25.5" x14ac:dyDescent="0.25">
      <c r="A2" s="1420" t="str">
        <f>desc</f>
        <v>Description</v>
      </c>
      <c r="B2" s="1420" t="str">
        <f>head27</f>
        <v>Ref</v>
      </c>
      <c r="C2" s="1417" t="str">
        <f>Head2</f>
        <v>Budget Year 2020/21</v>
      </c>
      <c r="D2" s="1418"/>
      <c r="E2" s="1418"/>
      <c r="F2" s="1418"/>
      <c r="G2" s="1418"/>
      <c r="H2" s="1418"/>
      <c r="I2" s="1418"/>
      <c r="J2" s="103" t="str">
        <f>Head10</f>
        <v>Budget Year +1 2021/22</v>
      </c>
      <c r="K2" s="61" t="str">
        <f>Head11</f>
        <v>Budget Year +2 2022/23</v>
      </c>
    </row>
    <row r="3" spans="1:11" ht="25.5" x14ac:dyDescent="0.25">
      <c r="A3" s="1421"/>
      <c r="B3" s="1421"/>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421"/>
      <c r="B4" s="1421"/>
      <c r="C4" s="65"/>
      <c r="D4" s="15">
        <v>2</v>
      </c>
      <c r="E4" s="15">
        <v>3</v>
      </c>
      <c r="F4" s="15">
        <v>4</v>
      </c>
      <c r="G4" s="15">
        <v>5</v>
      </c>
      <c r="H4" s="15">
        <v>6</v>
      </c>
      <c r="I4" s="15">
        <v>7</v>
      </c>
      <c r="J4" s="15"/>
      <c r="K4" s="17"/>
    </row>
    <row r="5" spans="1:11" x14ac:dyDescent="0.25">
      <c r="A5" s="66" t="s">
        <v>605</v>
      </c>
      <c r="B5" s="104"/>
      <c r="C5" s="67" t="s">
        <v>549</v>
      </c>
      <c r="D5" s="68" t="s">
        <v>550</v>
      </c>
      <c r="E5" s="69" t="s">
        <v>551</v>
      </c>
      <c r="F5" s="69" t="s">
        <v>552</v>
      </c>
      <c r="G5" s="70" t="s">
        <v>553</v>
      </c>
      <c r="H5" s="70" t="s">
        <v>554</v>
      </c>
      <c r="I5" s="70" t="s">
        <v>555</v>
      </c>
      <c r="J5" s="70"/>
      <c r="K5" s="71"/>
    </row>
    <row r="6" spans="1:11" ht="12.75" customHeight="1" x14ac:dyDescent="0.25">
      <c r="A6" s="124" t="s">
        <v>1099</v>
      </c>
      <c r="B6" s="73"/>
      <c r="C6" s="238"/>
      <c r="D6" s="75"/>
      <c r="E6" s="75"/>
      <c r="F6" s="75"/>
      <c r="G6" s="75"/>
      <c r="H6" s="75"/>
      <c r="I6" s="75"/>
      <c r="J6" s="75"/>
      <c r="K6" s="76"/>
    </row>
    <row r="7" spans="1:11" ht="12.75" customHeight="1" x14ac:dyDescent="0.25">
      <c r="A7" s="163" t="s">
        <v>153</v>
      </c>
      <c r="B7" s="73"/>
      <c r="C7" s="238"/>
      <c r="D7" s="75"/>
      <c r="E7" s="75"/>
      <c r="F7" s="75"/>
      <c r="G7" s="75"/>
      <c r="H7" s="75"/>
      <c r="I7" s="75"/>
      <c r="J7" s="75"/>
      <c r="K7" s="76"/>
    </row>
    <row r="8" spans="1:11" ht="12.75" customHeight="1" x14ac:dyDescent="0.25">
      <c r="A8" s="161" t="s">
        <v>176</v>
      </c>
      <c r="B8" s="73"/>
      <c r="C8" s="380"/>
      <c r="D8" s="109"/>
      <c r="E8" s="109"/>
      <c r="F8" s="109"/>
      <c r="G8" s="109"/>
      <c r="H8" s="75">
        <f>SUM(E8:G8)</f>
        <v>0</v>
      </c>
      <c r="I8" s="75">
        <f>IF(D8=0,C8+H8,D8+H8)</f>
        <v>0</v>
      </c>
      <c r="J8" s="109"/>
      <c r="K8" s="110"/>
    </row>
    <row r="9" spans="1:11" ht="12.75" customHeight="1" x14ac:dyDescent="0.25">
      <c r="A9" s="161" t="s">
        <v>177</v>
      </c>
      <c r="B9" s="73"/>
      <c r="C9" s="380"/>
      <c r="D9" s="109"/>
      <c r="E9" s="109"/>
      <c r="F9" s="109"/>
      <c r="G9" s="109"/>
      <c r="H9" s="75">
        <f>SUM(E9:G9)</f>
        <v>0</v>
      </c>
      <c r="I9" s="75">
        <f>IF(D9=0,C9+H9,D9+H9)</f>
        <v>0</v>
      </c>
      <c r="J9" s="109"/>
      <c r="K9" s="110"/>
    </row>
    <row r="10" spans="1:11" ht="12.75" customHeight="1" x14ac:dyDescent="0.25">
      <c r="A10" s="495" t="s">
        <v>178</v>
      </c>
      <c r="B10" s="147"/>
      <c r="C10" s="483">
        <f t="shared" ref="C10:K10" si="0">C8+C9-C11</f>
        <v>0</v>
      </c>
      <c r="D10" s="81">
        <f t="shared" si="0"/>
        <v>0</v>
      </c>
      <c r="E10" s="81">
        <f t="shared" si="0"/>
        <v>0</v>
      </c>
      <c r="F10" s="81">
        <f t="shared" si="0"/>
        <v>0</v>
      </c>
      <c r="G10" s="81">
        <f t="shared" si="0"/>
        <v>0</v>
      </c>
      <c r="H10" s="81">
        <f t="shared" si="0"/>
        <v>0</v>
      </c>
      <c r="I10" s="81">
        <f t="shared" si="0"/>
        <v>0</v>
      </c>
      <c r="J10" s="81">
        <f t="shared" si="0"/>
        <v>0</v>
      </c>
      <c r="K10" s="82">
        <f t="shared" si="0"/>
        <v>0</v>
      </c>
    </row>
    <row r="11" spans="1:11" ht="12.75" customHeight="1" x14ac:dyDescent="0.25">
      <c r="A11" s="161" t="s">
        <v>179</v>
      </c>
      <c r="B11" s="73"/>
      <c r="C11" s="380"/>
      <c r="D11" s="109"/>
      <c r="E11" s="109"/>
      <c r="F11" s="109"/>
      <c r="G11" s="109"/>
      <c r="H11" s="75">
        <f>SUM(E11:G11)</f>
        <v>0</v>
      </c>
      <c r="I11" s="75">
        <f>IF(D11=0,C11+H11,D11+H11)</f>
        <v>0</v>
      </c>
      <c r="J11" s="109"/>
      <c r="K11" s="110"/>
    </row>
    <row r="12" spans="1:11" ht="12.75" customHeight="1" x14ac:dyDescent="0.25">
      <c r="A12" s="496" t="s">
        <v>155</v>
      </c>
      <c r="B12" s="73"/>
      <c r="C12" s="238"/>
      <c r="D12" s="75"/>
      <c r="E12" s="75"/>
      <c r="F12" s="75"/>
      <c r="G12" s="75"/>
      <c r="H12" s="75"/>
      <c r="I12" s="75"/>
      <c r="J12" s="75"/>
      <c r="K12" s="76"/>
    </row>
    <row r="13" spans="1:11" ht="12.75" customHeight="1" x14ac:dyDescent="0.25">
      <c r="A13" s="161" t="s">
        <v>176</v>
      </c>
      <c r="B13" s="73"/>
      <c r="C13" s="380"/>
      <c r="D13" s="109"/>
      <c r="E13" s="109"/>
      <c r="F13" s="109"/>
      <c r="G13" s="109"/>
      <c r="H13" s="75">
        <f>SUM(E13:G13)</f>
        <v>0</v>
      </c>
      <c r="I13" s="75">
        <f>IF(D13=0,C13+H13,D13+H13)</f>
        <v>0</v>
      </c>
      <c r="J13" s="109"/>
      <c r="K13" s="110"/>
    </row>
    <row r="14" spans="1:11" ht="12.75" customHeight="1" x14ac:dyDescent="0.25">
      <c r="A14" s="497" t="str">
        <f>A9</f>
        <v>Current year receipts</v>
      </c>
      <c r="B14" s="73"/>
      <c r="C14" s="380"/>
      <c r="D14" s="109"/>
      <c r="E14" s="109"/>
      <c r="F14" s="109"/>
      <c r="G14" s="109"/>
      <c r="H14" s="75">
        <f>SUM(E14:G14)</f>
        <v>0</v>
      </c>
      <c r="I14" s="75">
        <f>IF(D14=0,C14+H14,D14+H14)</f>
        <v>0</v>
      </c>
      <c r="J14" s="109"/>
      <c r="K14" s="110"/>
    </row>
    <row r="15" spans="1:11" ht="12.75" customHeight="1" x14ac:dyDescent="0.25">
      <c r="A15" s="495" t="str">
        <f>A10</f>
        <v>Conditions met - transferred to revenue</v>
      </c>
      <c r="B15" s="147"/>
      <c r="C15" s="483">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5">
      <c r="A16" s="497" t="str">
        <f>A11</f>
        <v>Conditions still to be met - transferred to liabilities</v>
      </c>
      <c r="B16" s="73"/>
      <c r="C16" s="380"/>
      <c r="D16" s="109"/>
      <c r="E16" s="109"/>
      <c r="F16" s="109"/>
      <c r="G16" s="109"/>
      <c r="H16" s="75">
        <f>SUM(E16:G16)</f>
        <v>0</v>
      </c>
      <c r="I16" s="75">
        <f>IF(D16=0,C16+H16,D16+H16)</f>
        <v>0</v>
      </c>
      <c r="J16" s="109"/>
      <c r="K16" s="110"/>
    </row>
    <row r="17" spans="1:11" ht="12.75" customHeight="1" x14ac:dyDescent="0.25">
      <c r="A17" s="496" t="s">
        <v>156</v>
      </c>
      <c r="B17" s="73"/>
      <c r="C17" s="238"/>
      <c r="D17" s="75"/>
      <c r="E17" s="75"/>
      <c r="F17" s="75"/>
      <c r="G17" s="75"/>
      <c r="H17" s="75"/>
      <c r="I17" s="75"/>
      <c r="J17" s="75"/>
      <c r="K17" s="76"/>
    </row>
    <row r="18" spans="1:11" ht="12.75" customHeight="1" x14ac:dyDescent="0.25">
      <c r="A18" s="161" t="str">
        <f>A13</f>
        <v>Balance unspent at beginning of the year</v>
      </c>
      <c r="B18" s="73"/>
      <c r="C18" s="380"/>
      <c r="D18" s="109"/>
      <c r="E18" s="109"/>
      <c r="F18" s="109"/>
      <c r="G18" s="109"/>
      <c r="H18" s="75">
        <f>SUM(E18:G18)</f>
        <v>0</v>
      </c>
      <c r="I18" s="75">
        <f>IF(D18=0,C18+H18,D18+H18)</f>
        <v>0</v>
      </c>
      <c r="J18" s="109"/>
      <c r="K18" s="110"/>
    </row>
    <row r="19" spans="1:11" ht="12.75" customHeight="1" x14ac:dyDescent="0.25">
      <c r="A19" s="497" t="str">
        <f>A14</f>
        <v>Current year receipts</v>
      </c>
      <c r="B19" s="73"/>
      <c r="C19" s="380"/>
      <c r="D19" s="109"/>
      <c r="E19" s="109"/>
      <c r="F19" s="109"/>
      <c r="G19" s="109"/>
      <c r="H19" s="75">
        <f>SUM(E19:G19)</f>
        <v>0</v>
      </c>
      <c r="I19" s="75">
        <f>IF(D19=0,C19+H19,D19+H19)</f>
        <v>0</v>
      </c>
      <c r="J19" s="109"/>
      <c r="K19" s="110"/>
    </row>
    <row r="20" spans="1:11" ht="12.75" customHeight="1" x14ac:dyDescent="0.25">
      <c r="A20" s="495" t="str">
        <f>A15</f>
        <v>Conditions met - transferred to revenue</v>
      </c>
      <c r="B20" s="147"/>
      <c r="C20" s="483">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497" t="str">
        <f>A16</f>
        <v>Conditions still to be met - transferred to liabilities</v>
      </c>
      <c r="B21" s="73"/>
      <c r="C21" s="380"/>
      <c r="D21" s="109"/>
      <c r="E21" s="109"/>
      <c r="F21" s="109"/>
      <c r="G21" s="109"/>
      <c r="H21" s="75">
        <f>SUM(E21:G21)</f>
        <v>0</v>
      </c>
      <c r="I21" s="75">
        <f>IF(D21=0,C21+H21,D21+H21)</f>
        <v>0</v>
      </c>
      <c r="J21" s="109"/>
      <c r="K21" s="110"/>
    </row>
    <row r="22" spans="1:11" ht="12.75" customHeight="1" x14ac:dyDescent="0.25">
      <c r="A22" s="496" t="s">
        <v>158</v>
      </c>
      <c r="B22" s="73"/>
      <c r="C22" s="238"/>
      <c r="D22" s="75"/>
      <c r="E22" s="75"/>
      <c r="F22" s="75"/>
      <c r="G22" s="75"/>
      <c r="H22" s="75"/>
      <c r="I22" s="75"/>
      <c r="J22" s="75"/>
      <c r="K22" s="76"/>
    </row>
    <row r="23" spans="1:11" ht="12.75" customHeight="1" x14ac:dyDescent="0.25">
      <c r="A23" s="497" t="str">
        <f>A13</f>
        <v>Balance unspent at beginning of the year</v>
      </c>
      <c r="B23" s="73"/>
      <c r="C23" s="380"/>
      <c r="D23" s="109"/>
      <c r="E23" s="109"/>
      <c r="F23" s="109"/>
      <c r="G23" s="109"/>
      <c r="H23" s="75">
        <f>SUM(E23:G23)</f>
        <v>0</v>
      </c>
      <c r="I23" s="75">
        <f>IF(D23=0,C23+H23,D23+H23)</f>
        <v>0</v>
      </c>
      <c r="J23" s="109"/>
      <c r="K23" s="110"/>
    </row>
    <row r="24" spans="1:11" ht="12.75" customHeight="1" x14ac:dyDescent="0.25">
      <c r="A24" s="497" t="str">
        <f>A14</f>
        <v>Current year receipts</v>
      </c>
      <c r="B24" s="73"/>
      <c r="C24" s="380"/>
      <c r="D24" s="109"/>
      <c r="E24" s="109"/>
      <c r="F24" s="109"/>
      <c r="G24" s="109"/>
      <c r="H24" s="75">
        <f>SUM(E24:G24)</f>
        <v>0</v>
      </c>
      <c r="I24" s="75">
        <f>IF(D24=0,C24+H24,D24+H24)</f>
        <v>0</v>
      </c>
      <c r="J24" s="109"/>
      <c r="K24" s="110"/>
    </row>
    <row r="25" spans="1:11" ht="12.75" customHeight="1" x14ac:dyDescent="0.25">
      <c r="A25" s="495" t="str">
        <f>A15</f>
        <v>Conditions met - transferred to revenue</v>
      </c>
      <c r="B25" s="147"/>
      <c r="C25" s="483">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497" t="str">
        <f>A16</f>
        <v>Conditions still to be met - transferred to liabilities</v>
      </c>
      <c r="B26" s="73"/>
      <c r="C26" s="380"/>
      <c r="D26" s="109"/>
      <c r="E26" s="109"/>
      <c r="F26" s="109"/>
      <c r="G26" s="109"/>
      <c r="H26" s="75">
        <f>SUM(E26:G26)</f>
        <v>0</v>
      </c>
      <c r="I26" s="75">
        <f>IF(D26=0,C26+H26,D26+H26)</f>
        <v>0</v>
      </c>
      <c r="J26" s="109"/>
      <c r="K26" s="110"/>
    </row>
    <row r="27" spans="1:11" ht="12.75" customHeight="1" x14ac:dyDescent="0.25">
      <c r="A27" s="160" t="s">
        <v>1100</v>
      </c>
      <c r="B27" s="79"/>
      <c r="C27" s="483">
        <f t="shared" ref="C27:K27" si="4">C10+C15+C20+C25</f>
        <v>0</v>
      </c>
      <c r="D27" s="81">
        <f t="shared" si="4"/>
        <v>0</v>
      </c>
      <c r="E27" s="81">
        <f t="shared" si="4"/>
        <v>0</v>
      </c>
      <c r="F27" s="81">
        <f t="shared" si="4"/>
        <v>0</v>
      </c>
      <c r="G27" s="81">
        <f t="shared" si="4"/>
        <v>0</v>
      </c>
      <c r="H27" s="81">
        <f t="shared" si="4"/>
        <v>0</v>
      </c>
      <c r="I27" s="81">
        <f t="shared" si="4"/>
        <v>0</v>
      </c>
      <c r="J27" s="81">
        <f t="shared" si="4"/>
        <v>0</v>
      </c>
      <c r="K27" s="82">
        <f t="shared" si="4"/>
        <v>0</v>
      </c>
    </row>
    <row r="28" spans="1:11" ht="12.75" customHeight="1" x14ac:dyDescent="0.25">
      <c r="A28" s="160" t="s">
        <v>1101</v>
      </c>
      <c r="B28" s="79">
        <v>2</v>
      </c>
      <c r="C28" s="483">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5">
      <c r="A29" s="134"/>
      <c r="B29" s="73"/>
      <c r="C29" s="238"/>
      <c r="D29" s="75"/>
      <c r="E29" s="75"/>
      <c r="F29" s="75"/>
      <c r="G29" s="75"/>
      <c r="H29" s="75"/>
      <c r="I29" s="75"/>
      <c r="J29" s="75"/>
      <c r="K29" s="76"/>
    </row>
    <row r="30" spans="1:11" ht="12.75" customHeight="1" x14ac:dyDescent="0.25">
      <c r="A30" s="124" t="s">
        <v>1102</v>
      </c>
      <c r="B30" s="73"/>
      <c r="C30" s="238"/>
      <c r="D30" s="75"/>
      <c r="E30" s="75"/>
      <c r="F30" s="75"/>
      <c r="G30" s="75"/>
      <c r="H30" s="75"/>
      <c r="I30" s="75"/>
      <c r="J30" s="75"/>
      <c r="K30" s="76"/>
    </row>
    <row r="31" spans="1:11" ht="12.75" customHeight="1" x14ac:dyDescent="0.25">
      <c r="A31" s="496" t="str">
        <f>A7</f>
        <v>National Government:</v>
      </c>
      <c r="B31" s="73"/>
      <c r="C31" s="238"/>
      <c r="D31" s="75"/>
      <c r="E31" s="75"/>
      <c r="F31" s="75"/>
      <c r="G31" s="75"/>
      <c r="H31" s="75"/>
      <c r="I31" s="75"/>
      <c r="J31" s="75"/>
      <c r="K31" s="76"/>
    </row>
    <row r="32" spans="1:11" ht="12.75" customHeight="1" x14ac:dyDescent="0.25">
      <c r="A32" s="161" t="s">
        <v>176</v>
      </c>
      <c r="B32" s="73"/>
      <c r="C32" s="380"/>
      <c r="D32" s="109"/>
      <c r="E32" s="109"/>
      <c r="F32" s="109"/>
      <c r="G32" s="109"/>
      <c r="H32" s="75">
        <f>SUM(E32:G32)</f>
        <v>0</v>
      </c>
      <c r="I32" s="75">
        <f>IF(D32=0,C32+H32,D32+H32)</f>
        <v>0</v>
      </c>
      <c r="J32" s="109"/>
      <c r="K32" s="110"/>
    </row>
    <row r="33" spans="1:11" ht="12.75" customHeight="1" x14ac:dyDescent="0.25">
      <c r="A33" s="161" t="s">
        <v>177</v>
      </c>
      <c r="B33" s="73"/>
      <c r="C33" s="380"/>
      <c r="D33" s="109"/>
      <c r="E33" s="109"/>
      <c r="F33" s="109"/>
      <c r="G33" s="109"/>
      <c r="H33" s="75">
        <f>SUM(E33:G33)</f>
        <v>0</v>
      </c>
      <c r="I33" s="75">
        <f>IF(D33=0,C33+H33,D33+H33)</f>
        <v>0</v>
      </c>
      <c r="J33" s="109"/>
      <c r="K33" s="110"/>
    </row>
    <row r="34" spans="1:11" ht="12.75" customHeight="1" x14ac:dyDescent="0.25">
      <c r="A34" s="495" t="s">
        <v>178</v>
      </c>
      <c r="B34" s="147"/>
      <c r="C34" s="483">
        <f t="shared" ref="C34:K34" si="6">C32+C33-C35</f>
        <v>0</v>
      </c>
      <c r="D34" s="81">
        <f t="shared" si="6"/>
        <v>0</v>
      </c>
      <c r="E34" s="81">
        <f t="shared" si="6"/>
        <v>0</v>
      </c>
      <c r="F34" s="81">
        <f t="shared" si="6"/>
        <v>0</v>
      </c>
      <c r="G34" s="81">
        <f t="shared" si="6"/>
        <v>0</v>
      </c>
      <c r="H34" s="81">
        <f t="shared" si="6"/>
        <v>0</v>
      </c>
      <c r="I34" s="81">
        <f t="shared" si="6"/>
        <v>0</v>
      </c>
      <c r="J34" s="81">
        <f t="shared" si="6"/>
        <v>0</v>
      </c>
      <c r="K34" s="82">
        <f t="shared" si="6"/>
        <v>0</v>
      </c>
    </row>
    <row r="35" spans="1:11" ht="12.75" customHeight="1" x14ac:dyDescent="0.25">
      <c r="A35" s="161" t="s">
        <v>179</v>
      </c>
      <c r="B35" s="73"/>
      <c r="C35" s="380"/>
      <c r="D35" s="109"/>
      <c r="E35" s="109"/>
      <c r="F35" s="109"/>
      <c r="G35" s="109"/>
      <c r="H35" s="75">
        <f>SUM(E35:G35)</f>
        <v>0</v>
      </c>
      <c r="I35" s="75">
        <f>IF(D35=0,C35+H35,D35+H35)</f>
        <v>0</v>
      </c>
      <c r="J35" s="109"/>
      <c r="K35" s="110"/>
    </row>
    <row r="36" spans="1:11" ht="12.75" customHeight="1" x14ac:dyDescent="0.25">
      <c r="A36" s="496" t="s">
        <v>155</v>
      </c>
      <c r="B36" s="73"/>
      <c r="C36" s="238"/>
      <c r="D36" s="75"/>
      <c r="E36" s="75"/>
      <c r="F36" s="75"/>
      <c r="G36" s="75"/>
      <c r="H36" s="75"/>
      <c r="I36" s="75"/>
      <c r="J36" s="75"/>
      <c r="K36" s="76"/>
    </row>
    <row r="37" spans="1:11" ht="12.75" customHeight="1" x14ac:dyDescent="0.25">
      <c r="A37" s="161" t="s">
        <v>176</v>
      </c>
      <c r="B37" s="73"/>
      <c r="C37" s="380"/>
      <c r="D37" s="109"/>
      <c r="E37" s="109"/>
      <c r="F37" s="109"/>
      <c r="G37" s="109"/>
      <c r="H37" s="75">
        <f>SUM(E37:G37)</f>
        <v>0</v>
      </c>
      <c r="I37" s="75">
        <f>IF(D37=0,C37+H37,D37+H37)</f>
        <v>0</v>
      </c>
      <c r="J37" s="109"/>
      <c r="K37" s="110"/>
    </row>
    <row r="38" spans="1:11" ht="12.75" customHeight="1" x14ac:dyDescent="0.25">
      <c r="A38" s="497" t="str">
        <f>A33</f>
        <v>Current year receipts</v>
      </c>
      <c r="B38" s="73"/>
      <c r="C38" s="380"/>
      <c r="D38" s="109"/>
      <c r="E38" s="109"/>
      <c r="F38" s="109"/>
      <c r="G38" s="109"/>
      <c r="H38" s="75">
        <f>SUM(E38:G38)</f>
        <v>0</v>
      </c>
      <c r="I38" s="75">
        <f>IF(D38=0,C38+H38,D38+H38)</f>
        <v>0</v>
      </c>
      <c r="J38" s="109"/>
      <c r="K38" s="110"/>
    </row>
    <row r="39" spans="1:11" ht="12.75" customHeight="1" x14ac:dyDescent="0.25">
      <c r="A39" s="495" t="str">
        <f>A34</f>
        <v>Conditions met - transferred to revenue</v>
      </c>
      <c r="B39" s="147"/>
      <c r="C39" s="483">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497" t="str">
        <f>A35</f>
        <v>Conditions still to be met - transferred to liabilities</v>
      </c>
      <c r="B40" s="73"/>
      <c r="C40" s="905"/>
      <c r="D40" s="894"/>
      <c r="E40" s="894"/>
      <c r="F40" s="894"/>
      <c r="G40" s="894"/>
      <c r="H40" s="75">
        <f>SUM(E40:G40)</f>
        <v>0</v>
      </c>
      <c r="I40" s="75">
        <f>IF(D40=0,C40+H40,D40+H40)</f>
        <v>0</v>
      </c>
      <c r="J40" s="894"/>
      <c r="K40" s="895"/>
    </row>
    <row r="41" spans="1:11" ht="12.75" customHeight="1" x14ac:dyDescent="0.25">
      <c r="A41" s="496" t="s">
        <v>156</v>
      </c>
      <c r="B41" s="73"/>
      <c r="C41" s="238"/>
      <c r="D41" s="75"/>
      <c r="E41" s="75"/>
      <c r="F41" s="75"/>
      <c r="G41" s="75"/>
      <c r="H41" s="75"/>
      <c r="I41" s="75"/>
      <c r="J41" s="75"/>
      <c r="K41" s="76"/>
    </row>
    <row r="42" spans="1:11" ht="12.75" customHeight="1" x14ac:dyDescent="0.25">
      <c r="A42" s="161" t="str">
        <f>A37</f>
        <v>Balance unspent at beginning of the year</v>
      </c>
      <c r="B42" s="73"/>
      <c r="C42" s="380"/>
      <c r="D42" s="109"/>
      <c r="E42" s="109"/>
      <c r="F42" s="109"/>
      <c r="G42" s="109"/>
      <c r="H42" s="75">
        <f>SUM(E42:G42)</f>
        <v>0</v>
      </c>
      <c r="I42" s="75">
        <f>IF(D42=0,C42+H42,D42+H42)</f>
        <v>0</v>
      </c>
      <c r="J42" s="109"/>
      <c r="K42" s="110"/>
    </row>
    <row r="43" spans="1:11" ht="12.75" customHeight="1" x14ac:dyDescent="0.25">
      <c r="A43" s="497" t="str">
        <f>A38</f>
        <v>Current year receipts</v>
      </c>
      <c r="B43" s="73"/>
      <c r="C43" s="380"/>
      <c r="D43" s="109"/>
      <c r="E43" s="109"/>
      <c r="F43" s="109"/>
      <c r="G43" s="109"/>
      <c r="H43" s="75">
        <f>SUM(E43:G43)</f>
        <v>0</v>
      </c>
      <c r="I43" s="75">
        <f>IF(D43=0,C43+H43,D43+H43)</f>
        <v>0</v>
      </c>
      <c r="J43" s="109"/>
      <c r="K43" s="110"/>
    </row>
    <row r="44" spans="1:11" ht="12.75" customHeight="1" x14ac:dyDescent="0.25">
      <c r="A44" s="495" t="str">
        <f>A39</f>
        <v>Conditions met - transferred to revenue</v>
      </c>
      <c r="B44" s="147"/>
      <c r="C44" s="483">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497" t="str">
        <f>A40</f>
        <v>Conditions still to be met - transferred to liabilities</v>
      </c>
      <c r="B45" s="73"/>
      <c r="C45" s="380"/>
      <c r="D45" s="109"/>
      <c r="E45" s="109"/>
      <c r="F45" s="109"/>
      <c r="G45" s="109"/>
      <c r="H45" s="75">
        <f>SUM(E45:G45)</f>
        <v>0</v>
      </c>
      <c r="I45" s="75">
        <f>IF(D45=0,C45+H45,D45+H45)</f>
        <v>0</v>
      </c>
      <c r="J45" s="109"/>
      <c r="K45" s="110"/>
    </row>
    <row r="46" spans="1:11" ht="12.75" customHeight="1" x14ac:dyDescent="0.25">
      <c r="A46" s="496" t="s">
        <v>158</v>
      </c>
      <c r="B46" s="73"/>
      <c r="C46" s="238"/>
      <c r="D46" s="75"/>
      <c r="E46" s="75"/>
      <c r="F46" s="75"/>
      <c r="G46" s="75"/>
      <c r="H46" s="75"/>
      <c r="I46" s="75"/>
      <c r="J46" s="75"/>
      <c r="K46" s="76"/>
    </row>
    <row r="47" spans="1:11" ht="12.75" customHeight="1" x14ac:dyDescent="0.25">
      <c r="A47" s="497" t="str">
        <f>A37</f>
        <v>Balance unspent at beginning of the year</v>
      </c>
      <c r="B47" s="73"/>
      <c r="C47" s="380"/>
      <c r="D47" s="109"/>
      <c r="E47" s="109"/>
      <c r="F47" s="109"/>
      <c r="G47" s="109"/>
      <c r="H47" s="75">
        <f>SUM(E47:G47)</f>
        <v>0</v>
      </c>
      <c r="I47" s="75">
        <f>IF(D47=0,C47+H47,D47+H47)</f>
        <v>0</v>
      </c>
      <c r="J47" s="109"/>
      <c r="K47" s="110"/>
    </row>
    <row r="48" spans="1:11" ht="12.75" customHeight="1" x14ac:dyDescent="0.25">
      <c r="A48" s="497" t="str">
        <f>A38</f>
        <v>Current year receipts</v>
      </c>
      <c r="B48" s="73"/>
      <c r="C48" s="380"/>
      <c r="D48" s="109"/>
      <c r="E48" s="109"/>
      <c r="F48" s="109"/>
      <c r="G48" s="109"/>
      <c r="H48" s="75">
        <f>SUM(E48:G48)</f>
        <v>0</v>
      </c>
      <c r="I48" s="75">
        <f>IF(D48=0,C48+H48,D48+H48)</f>
        <v>0</v>
      </c>
      <c r="J48" s="109"/>
      <c r="K48" s="110"/>
    </row>
    <row r="49" spans="1:13" ht="12.75" customHeight="1" x14ac:dyDescent="0.25">
      <c r="A49" s="495" t="str">
        <f>A39</f>
        <v>Conditions met - transferred to revenue</v>
      </c>
      <c r="B49" s="147"/>
      <c r="C49" s="483">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497" t="str">
        <f>A40</f>
        <v>Conditions still to be met - transferred to liabilities</v>
      </c>
      <c r="B50" s="73"/>
      <c r="C50" s="380"/>
      <c r="D50" s="109"/>
      <c r="E50" s="109"/>
      <c r="F50" s="109"/>
      <c r="G50" s="109"/>
      <c r="H50" s="75">
        <f>SUM(E50:G50)</f>
        <v>0</v>
      </c>
      <c r="I50" s="75">
        <f>IF(D50=0,C50+H50,D50+H50)</f>
        <v>0</v>
      </c>
      <c r="J50" s="109"/>
      <c r="K50" s="110"/>
    </row>
    <row r="51" spans="1:13" ht="12.75" customHeight="1" x14ac:dyDescent="0.25">
      <c r="A51" s="160" t="s">
        <v>1103</v>
      </c>
      <c r="B51" s="79"/>
      <c r="C51" s="483">
        <f t="shared" ref="C51:K51" si="10">C34+C39+C44+C49</f>
        <v>0</v>
      </c>
      <c r="D51" s="81">
        <f t="shared" si="10"/>
        <v>0</v>
      </c>
      <c r="E51" s="81">
        <f t="shared" si="10"/>
        <v>0</v>
      </c>
      <c r="F51" s="81">
        <f t="shared" si="10"/>
        <v>0</v>
      </c>
      <c r="G51" s="81">
        <f t="shared" si="10"/>
        <v>0</v>
      </c>
      <c r="H51" s="81">
        <f t="shared" si="10"/>
        <v>0</v>
      </c>
      <c r="I51" s="81">
        <f t="shared" si="10"/>
        <v>0</v>
      </c>
      <c r="J51" s="81">
        <f t="shared" si="10"/>
        <v>0</v>
      </c>
      <c r="K51" s="82">
        <f t="shared" si="10"/>
        <v>0</v>
      </c>
    </row>
    <row r="52" spans="1:13" ht="12.75" customHeight="1" x14ac:dyDescent="0.25">
      <c r="A52" s="160" t="s">
        <v>1104</v>
      </c>
      <c r="B52" s="79"/>
      <c r="C52" s="483">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5">
      <c r="A53" s="491"/>
      <c r="B53" s="73"/>
      <c r="C53" s="238"/>
      <c r="D53" s="75"/>
      <c r="E53" s="75"/>
      <c r="F53" s="75"/>
      <c r="G53" s="75"/>
      <c r="H53" s="75"/>
      <c r="I53" s="75"/>
      <c r="J53" s="75"/>
      <c r="K53" s="76"/>
    </row>
    <row r="54" spans="1:13" ht="12.75" customHeight="1" x14ac:dyDescent="0.25">
      <c r="A54" s="160" t="s">
        <v>1105</v>
      </c>
      <c r="B54" s="79"/>
      <c r="C54" s="483">
        <f t="shared" ref="C54:K54" si="12">C27+C51</f>
        <v>0</v>
      </c>
      <c r="D54" s="81">
        <f t="shared" si="12"/>
        <v>0</v>
      </c>
      <c r="E54" s="81">
        <f t="shared" si="12"/>
        <v>0</v>
      </c>
      <c r="F54" s="81">
        <f t="shared" si="12"/>
        <v>0</v>
      </c>
      <c r="G54" s="81">
        <f t="shared" si="12"/>
        <v>0</v>
      </c>
      <c r="H54" s="81">
        <f t="shared" si="12"/>
        <v>0</v>
      </c>
      <c r="I54" s="81">
        <f t="shared" si="12"/>
        <v>0</v>
      </c>
      <c r="J54" s="81">
        <f t="shared" si="12"/>
        <v>0</v>
      </c>
      <c r="K54" s="82">
        <f t="shared" si="12"/>
        <v>0</v>
      </c>
    </row>
    <row r="55" spans="1:13" ht="12.75" customHeight="1" x14ac:dyDescent="0.25">
      <c r="A55" s="293" t="s">
        <v>1106</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498"/>
      <c r="B56" s="781"/>
      <c r="C56" s="499"/>
      <c r="D56" s="499"/>
      <c r="E56" s="499"/>
      <c r="F56" s="499"/>
      <c r="G56" s="499"/>
      <c r="H56" s="499"/>
      <c r="I56" s="499"/>
      <c r="J56" s="499"/>
      <c r="K56" s="499"/>
    </row>
    <row r="57" spans="1:13" ht="12.75" customHeight="1" x14ac:dyDescent="0.25">
      <c r="A57" s="156" t="str">
        <f>head27a</f>
        <v>References</v>
      </c>
      <c r="B57" s="93"/>
      <c r="C57" s="99"/>
      <c r="D57" s="99"/>
      <c r="E57" s="99"/>
      <c r="F57" s="99"/>
      <c r="G57" s="99"/>
      <c r="H57" s="99"/>
      <c r="I57" s="99"/>
      <c r="J57" s="99"/>
      <c r="K57" s="99"/>
    </row>
    <row r="58" spans="1:13" ht="12.75" customHeight="1" x14ac:dyDescent="0.25">
      <c r="A58" s="99" t="s">
        <v>180</v>
      </c>
      <c r="B58" s="156"/>
      <c r="C58" s="99"/>
      <c r="D58" s="99"/>
      <c r="E58" s="99"/>
      <c r="F58" s="99"/>
      <c r="G58" s="99"/>
      <c r="H58" s="99"/>
      <c r="I58" s="99"/>
      <c r="J58" s="99"/>
      <c r="K58" s="99"/>
    </row>
    <row r="59" spans="1:13" ht="12.75" customHeight="1" x14ac:dyDescent="0.25">
      <c r="A59" s="99" t="s">
        <v>181</v>
      </c>
      <c r="B59" s="156"/>
      <c r="C59" s="99"/>
      <c r="D59" s="99"/>
      <c r="E59" s="99"/>
      <c r="F59" s="99"/>
      <c r="G59" s="99"/>
      <c r="H59" s="99"/>
      <c r="I59" s="99"/>
      <c r="J59" s="99"/>
      <c r="K59" s="99"/>
    </row>
    <row r="60" spans="1:13" ht="12.75" customHeight="1" x14ac:dyDescent="0.25">
      <c r="A60" s="1416" t="s">
        <v>988</v>
      </c>
      <c r="B60" s="1416"/>
      <c r="C60" s="1416"/>
      <c r="D60" s="1416"/>
      <c r="E60" s="1416"/>
      <c r="F60" s="1416"/>
      <c r="G60" s="1416"/>
      <c r="H60" s="1416"/>
      <c r="I60" s="1416"/>
      <c r="J60" s="1416"/>
      <c r="K60" s="1416"/>
    </row>
    <row r="61" spans="1:13" ht="12.75" customHeight="1" x14ac:dyDescent="0.25">
      <c r="A61" s="99" t="s">
        <v>745</v>
      </c>
      <c r="B61" s="93"/>
      <c r="C61" s="99"/>
      <c r="D61" s="99"/>
      <c r="E61" s="99"/>
      <c r="F61" s="99"/>
      <c r="G61" s="99"/>
      <c r="H61" s="99"/>
      <c r="I61" s="99"/>
      <c r="J61" s="99"/>
      <c r="K61" s="99"/>
    </row>
    <row r="62" spans="1:13" ht="12.75" customHeight="1" x14ac:dyDescent="0.25">
      <c r="A62" s="99" t="s">
        <v>182</v>
      </c>
      <c r="B62" s="93"/>
      <c r="C62" s="99"/>
      <c r="D62" s="99"/>
      <c r="E62" s="99"/>
      <c r="F62" s="99"/>
      <c r="G62" s="99"/>
      <c r="H62" s="99"/>
      <c r="I62" s="99"/>
      <c r="J62" s="99"/>
      <c r="K62" s="99"/>
    </row>
    <row r="63" spans="1:13" ht="24.95" customHeight="1" x14ac:dyDescent="0.25">
      <c r="A63" s="1416" t="s">
        <v>183</v>
      </c>
      <c r="B63" s="1416"/>
      <c r="C63" s="1416"/>
      <c r="D63" s="1416"/>
      <c r="E63" s="1416"/>
      <c r="F63" s="1416"/>
      <c r="G63" s="1416"/>
      <c r="H63" s="1416"/>
      <c r="I63" s="1416"/>
      <c r="J63" s="1416"/>
      <c r="K63" s="1416"/>
      <c r="L63" s="54"/>
      <c r="M63" s="54"/>
    </row>
    <row r="64" spans="1:13" ht="12.75" customHeight="1" x14ac:dyDescent="0.25">
      <c r="A64" s="99" t="s">
        <v>174</v>
      </c>
      <c r="B64" s="93"/>
      <c r="C64" s="99"/>
      <c r="D64" s="99"/>
      <c r="E64" s="99"/>
      <c r="F64" s="99"/>
      <c r="G64" s="99"/>
      <c r="H64" s="99"/>
      <c r="I64" s="99"/>
      <c r="J64" s="99"/>
      <c r="K64" s="99"/>
    </row>
    <row r="65" spans="1:11" ht="12.75" customHeight="1" x14ac:dyDescent="0.25">
      <c r="A65" s="99" t="s">
        <v>175</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4" type="noConversion"/>
  <printOptions horizontalCentered="1"/>
  <pageMargins left="0.37" right="0.16" top="0.77" bottom="0.61" header="0.51181102362204722" footer="0.38"/>
  <pageSetup paperSize="9" scale="79"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1">
    <tabColor indexed="46"/>
  </sheetPr>
  <dimension ref="D2:Y38"/>
  <sheetViews>
    <sheetView showGridLines="0" zoomScaleNormal="100" workbookViewId="0">
      <selection activeCell="N12" sqref="N12"/>
    </sheetView>
  </sheetViews>
  <sheetFormatPr defaultRowHeight="12.75" x14ac:dyDescent="0.2"/>
  <cols>
    <col min="23" max="23" width="19.5703125" style="669" customWidth="1"/>
    <col min="24" max="25" width="9.140625" style="669" customWidth="1"/>
  </cols>
  <sheetData>
    <row r="2" spans="4:24" x14ac:dyDescent="0.2">
      <c r="D2">
        <v>2020</v>
      </c>
    </row>
    <row r="4" spans="4:24" x14ac:dyDescent="0.2">
      <c r="X4" s="696" t="s">
        <v>257</v>
      </c>
    </row>
    <row r="5" spans="4:24" x14ac:dyDescent="0.2">
      <c r="X5" s="696" t="s">
        <v>548</v>
      </c>
    </row>
    <row r="7" spans="4:24" x14ac:dyDescent="0.2">
      <c r="W7" s="696" t="s">
        <v>75</v>
      </c>
      <c r="X7" s="696" t="s">
        <v>74</v>
      </c>
    </row>
    <row r="8" spans="4:24" x14ac:dyDescent="0.2">
      <c r="X8" s="696" t="s">
        <v>76</v>
      </c>
    </row>
    <row r="10" spans="4:24" x14ac:dyDescent="0.2">
      <c r="W10" s="696" t="s">
        <v>24</v>
      </c>
      <c r="X10" s="672" t="s">
        <v>1224</v>
      </c>
    </row>
    <row r="19" spans="14:24" ht="15.75" x14ac:dyDescent="0.25">
      <c r="W19" s="696" t="s">
        <v>77</v>
      </c>
      <c r="X19" s="812">
        <v>2008</v>
      </c>
    </row>
    <row r="20" spans="14:24" ht="15.75" x14ac:dyDescent="0.25">
      <c r="X20" s="812">
        <v>2009</v>
      </c>
    </row>
    <row r="21" spans="14:24" ht="15.75" x14ac:dyDescent="0.25">
      <c r="N21" s="669"/>
      <c r="X21" s="812">
        <v>2010</v>
      </c>
    </row>
    <row r="22" spans="14:24" ht="15.75" x14ac:dyDescent="0.25">
      <c r="X22" s="812">
        <v>2011</v>
      </c>
    </row>
    <row r="23" spans="14:24" ht="15.75" x14ac:dyDescent="0.25">
      <c r="X23" s="812">
        <v>2012</v>
      </c>
    </row>
    <row r="24" spans="14:24" ht="15.75" x14ac:dyDescent="0.25">
      <c r="X24" s="812">
        <v>2013</v>
      </c>
    </row>
    <row r="25" spans="14:24" ht="15.75" x14ac:dyDescent="0.25">
      <c r="X25" s="812">
        <v>2014</v>
      </c>
    </row>
    <row r="26" spans="14:24" ht="15.75" x14ac:dyDescent="0.25">
      <c r="X26" s="812">
        <v>2015</v>
      </c>
    </row>
    <row r="27" spans="14:24" ht="15.75" x14ac:dyDescent="0.25">
      <c r="X27" s="812">
        <v>2016</v>
      </c>
    </row>
    <row r="28" spans="14:24" ht="15.75" x14ac:dyDescent="0.25">
      <c r="X28" s="812">
        <v>2017</v>
      </c>
    </row>
    <row r="29" spans="14:24" ht="15.75" x14ac:dyDescent="0.25">
      <c r="X29" s="812">
        <v>2018</v>
      </c>
    </row>
    <row r="30" spans="14:24" ht="15.75" x14ac:dyDescent="0.25">
      <c r="X30" s="812">
        <v>2019</v>
      </c>
    </row>
    <row r="31" spans="14:24" ht="15.75" x14ac:dyDescent="0.25">
      <c r="X31" s="812">
        <v>2020</v>
      </c>
    </row>
    <row r="32" spans="14:24" ht="15.75" x14ac:dyDescent="0.25">
      <c r="X32" s="812">
        <v>2021</v>
      </c>
    </row>
    <row r="33" spans="23:24" ht="15.75" x14ac:dyDescent="0.25">
      <c r="W33" s="696" t="s">
        <v>78</v>
      </c>
      <c r="X33" s="812">
        <v>2022</v>
      </c>
    </row>
    <row r="34" spans="23:24" x14ac:dyDescent="0.2">
      <c r="W34" s="696" t="s">
        <v>79</v>
      </c>
      <c r="X34" s="810"/>
    </row>
    <row r="35" spans="23:24" x14ac:dyDescent="0.2">
      <c r="X35" s="810">
        <v>13</v>
      </c>
    </row>
    <row r="36" spans="23:24" x14ac:dyDescent="0.2">
      <c r="W36" s="696" t="s">
        <v>80</v>
      </c>
      <c r="X36" s="811">
        <f>INDEX(X19:X33,X35,1)</f>
        <v>2020</v>
      </c>
    </row>
    <row r="38" spans="23:24" x14ac:dyDescent="0.2">
      <c r="X38" s="697" t="str">
        <f>MTREF&amp;"/"&amp;RIGHT(MTREF,2)+1</f>
        <v>2020/21</v>
      </c>
    </row>
  </sheetData>
  <sheetProtection sheet="1" objects="1" scenarios="1"/>
  <phoneticPr fontId="4"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34" r:id="rId4" name="TextBox3">
          <controlPr defaultSize="0" autoLine="0" linkedCell="Contacts!#REF!" r:id="rId5">
            <anchor moveWithCells="1">
              <from>
                <xdr:col>5</xdr:col>
                <xdr:colOff>190500</xdr:colOff>
                <xdr:row>7</xdr:row>
                <xdr:rowOff>47625</xdr:rowOff>
              </from>
              <to>
                <xdr:col>11</xdr:col>
                <xdr:colOff>276225</xdr:colOff>
                <xdr:row>8</xdr:row>
                <xdr:rowOff>142875</xdr:rowOff>
              </to>
            </anchor>
          </controlPr>
        </control>
      </mc:Choice>
      <mc:Fallback>
        <control shapeId="13334" r:id="rId4" name="TextBox3"/>
      </mc:Fallback>
    </mc:AlternateContent>
    <mc:AlternateContent xmlns:mc="http://schemas.openxmlformats.org/markup-compatibility/2006">
      <mc:Choice Requires="x14">
        <control shapeId="13335" r:id="rId6" name="TextBox4">
          <controlPr defaultSize="0" autoLine="0" linkedCell="Contacts!#REF!" r:id="rId7">
            <anchor moveWithCells="1">
              <from>
                <xdr:col>5</xdr:col>
                <xdr:colOff>190500</xdr:colOff>
                <xdr:row>9</xdr:row>
                <xdr:rowOff>123825</xdr:rowOff>
              </from>
              <to>
                <xdr:col>7</xdr:col>
                <xdr:colOff>533400</xdr:colOff>
                <xdr:row>11</xdr:row>
                <xdr:rowOff>57150</xdr:rowOff>
              </to>
            </anchor>
          </controlPr>
        </control>
      </mc:Choice>
      <mc:Fallback>
        <control shapeId="13335" r:id="rId6" name="TextBox4"/>
      </mc:Fallback>
    </mc:AlternateContent>
    <mc:AlternateContent xmlns:mc="http://schemas.openxmlformats.org/markup-compatibility/2006">
      <mc:Choice Requires="x14">
        <control shapeId="13336" r:id="rId8" name="TextBox5">
          <controlPr defaultSize="0" autoLine="0" linkedCell="Contacts!#REF!" r:id="rId9">
            <anchor moveWithCells="1">
              <from>
                <xdr:col>5</xdr:col>
                <xdr:colOff>190500</xdr:colOff>
                <xdr:row>12</xdr:row>
                <xdr:rowOff>28575</xdr:rowOff>
              </from>
              <to>
                <xdr:col>11</xdr:col>
                <xdr:colOff>276225</xdr:colOff>
                <xdr:row>13</xdr:row>
                <xdr:rowOff>123825</xdr:rowOff>
              </to>
            </anchor>
          </controlPr>
        </control>
      </mc:Choice>
      <mc:Fallback>
        <control shapeId="13336" r:id="rId8" name="TextBox5"/>
      </mc:Fallback>
    </mc:AlternateContent>
    <mc:AlternateContent xmlns:mc="http://schemas.openxmlformats.org/markup-compatibility/2006">
      <mc:Choice Requires="x14">
        <control shapeId="13337" r:id="rId10" name="TextBox6">
          <controlPr defaultSize="0" autoLine="0" linkedCell="Contacts!#REF!" r:id="rId11">
            <anchor moveWithCells="1">
              <from>
                <xdr:col>9</xdr:col>
                <xdr:colOff>66675</xdr:colOff>
                <xdr:row>9</xdr:row>
                <xdr:rowOff>142875</xdr:rowOff>
              </from>
              <to>
                <xdr:col>11</xdr:col>
                <xdr:colOff>285750</xdr:colOff>
                <xdr:row>11</xdr:row>
                <xdr:rowOff>76200</xdr:rowOff>
              </to>
            </anchor>
          </controlPr>
        </control>
      </mc:Choice>
      <mc:Fallback>
        <control shapeId="13337" r:id="rId10" name="TextBox6"/>
      </mc:Fallback>
    </mc:AlternateContent>
    <mc:AlternateContent xmlns:mc="http://schemas.openxmlformats.org/markup-compatibility/2006">
      <mc:Choice Requires="x14">
        <control shapeId="13338" r:id="rId12" name="ToggleReferenceColumns">
          <controlPr defaultSize="0" autoLine="0" r:id="rId13">
            <anchor moveWithCells="1">
              <from>
                <xdr:col>1</xdr:col>
                <xdr:colOff>76200</xdr:colOff>
                <xdr:row>34</xdr:row>
                <xdr:rowOff>104775</xdr:rowOff>
              </from>
              <to>
                <xdr:col>5</xdr:col>
                <xdr:colOff>57150</xdr:colOff>
                <xdr:row>36</xdr:row>
                <xdr:rowOff>95250</xdr:rowOff>
              </to>
            </anchor>
          </controlPr>
        </control>
      </mc:Choice>
      <mc:Fallback>
        <control shapeId="13338" r:id="rId12" name="ToggleReferenceColumns"/>
      </mc:Fallback>
    </mc:AlternateContent>
    <mc:AlternateContent xmlns:mc="http://schemas.openxmlformats.org/markup-compatibility/2006">
      <mc:Choice Requires="x14">
        <control shapeId="13339" r:id="rId14" name="TogglePreAuditColums">
          <controlPr defaultSize="0" autoLine="0" r:id="rId15">
            <anchor moveWithCells="1">
              <from>
                <xdr:col>1</xdr:col>
                <xdr:colOff>76200</xdr:colOff>
                <xdr:row>37</xdr:row>
                <xdr:rowOff>28575</xdr:rowOff>
              </from>
              <to>
                <xdr:col>5</xdr:col>
                <xdr:colOff>57150</xdr:colOff>
                <xdr:row>39</xdr:row>
                <xdr:rowOff>28575</xdr:rowOff>
              </to>
            </anchor>
          </controlPr>
        </control>
      </mc:Choice>
      <mc:Fallback>
        <control shapeId="13339" r:id="rId14" name="TogglePreAuditColums"/>
      </mc:Fallback>
    </mc:AlternateContent>
    <mc:AlternateContent xmlns:mc="http://schemas.openxmlformats.org/markup-compatibility/2006">
      <mc:Choice Requires="x14">
        <control shapeId="13340" r:id="rId16" name="ToggleHiddenColumns">
          <controlPr defaultSize="0" autoLine="0" r:id="rId17">
            <anchor moveWithCells="1">
              <from>
                <xdr:col>1</xdr:col>
                <xdr:colOff>76200</xdr:colOff>
                <xdr:row>42</xdr:row>
                <xdr:rowOff>104775</xdr:rowOff>
              </from>
              <to>
                <xdr:col>5</xdr:col>
                <xdr:colOff>57150</xdr:colOff>
                <xdr:row>44</xdr:row>
                <xdr:rowOff>95250</xdr:rowOff>
              </to>
            </anchor>
          </controlPr>
        </control>
      </mc:Choice>
      <mc:Fallback>
        <control shapeId="13340" r:id="rId16" name="ToggleHiddenColumns"/>
      </mc:Fallback>
    </mc:AlternateContent>
    <mc:AlternateContent xmlns:mc="http://schemas.openxmlformats.org/markup-compatibility/2006">
      <mc:Choice Requires="x14">
        <control shapeId="13342" r:id="rId18" name="DateOfAdjustment">
          <controlPr defaultSize="0" autoLine="0" linkedCell="Date" r:id="rId19">
            <anchor moveWithCells="1">
              <from>
                <xdr:col>5</xdr:col>
                <xdr:colOff>190500</xdr:colOff>
                <xdr:row>14</xdr:row>
                <xdr:rowOff>142875</xdr:rowOff>
              </from>
              <to>
                <xdr:col>7</xdr:col>
                <xdr:colOff>381000</xdr:colOff>
                <xdr:row>16</xdr:row>
                <xdr:rowOff>76200</xdr:rowOff>
              </to>
            </anchor>
          </controlPr>
        </control>
      </mc:Choice>
      <mc:Fallback>
        <control shapeId="13342" r:id="rId18" name="DateOfAdjustment"/>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180975</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66675</xdr:rowOff>
              </from>
              <to>
                <xdr:col>7</xdr:col>
                <xdr:colOff>219075</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0">
    <tabColor indexed="42"/>
    <pageSetUpPr fitToPage="1"/>
  </sheetPr>
  <dimension ref="A1:AD7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D25" sqref="D25"/>
    </sheetView>
  </sheetViews>
  <sheetFormatPr defaultColWidth="9.140625" defaultRowHeight="12.75" x14ac:dyDescent="0.25"/>
  <cols>
    <col min="1" max="1" width="36.5703125" style="5" customWidth="1"/>
    <col min="2" max="2" width="3.140625" style="58" customWidth="1"/>
    <col min="3" max="13" width="8.570312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27" width="9.140625" style="5" customWidth="1"/>
    <col min="28" max="28" width="9.140625" style="5"/>
    <col min="29" max="30" width="9.140625" style="1336"/>
    <col min="31" max="16384" width="9.140625" style="5"/>
  </cols>
  <sheetData>
    <row r="1" spans="1:29" ht="13.5" x14ac:dyDescent="0.25">
      <c r="A1" s="57" t="str">
        <f>muni&amp;" - "&amp;ADJB10&amp;" - "&amp;Date</f>
        <v xml:space="preserve">KZN226 Mkhambathini - Supporting Table SB10 Adjustments Budget - transfers and grants made by the municipality - </v>
      </c>
      <c r="B1" s="5"/>
      <c r="C1" s="58"/>
    </row>
    <row r="2" spans="1:29" ht="38.25" x14ac:dyDescent="0.25">
      <c r="A2" s="1420" t="str">
        <f>desc</f>
        <v>Description</v>
      </c>
      <c r="B2" s="1420" t="str">
        <f>head27</f>
        <v>Ref</v>
      </c>
      <c r="C2" s="1417" t="str">
        <f>Head2</f>
        <v>Budget Year 2020/21</v>
      </c>
      <c r="D2" s="1418"/>
      <c r="E2" s="1418"/>
      <c r="F2" s="1418"/>
      <c r="G2" s="1418"/>
      <c r="H2" s="1418"/>
      <c r="I2" s="1418"/>
      <c r="J2" s="1418"/>
      <c r="K2" s="1418"/>
      <c r="L2" s="103" t="str">
        <f>Head10</f>
        <v>Budget Year +1 2021/22</v>
      </c>
      <c r="M2" s="61" t="str">
        <f>Head11</f>
        <v>Budget Year +2 2022/23</v>
      </c>
    </row>
    <row r="3" spans="1:29" ht="25.5" x14ac:dyDescent="0.25">
      <c r="A3" s="1421"/>
      <c r="B3" s="14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9" x14ac:dyDescent="0.25">
      <c r="A4" s="1421"/>
      <c r="B4" s="1421"/>
      <c r="C4" s="65"/>
      <c r="D4" s="15">
        <v>6</v>
      </c>
      <c r="E4" s="15">
        <v>7</v>
      </c>
      <c r="F4" s="15">
        <v>8</v>
      </c>
      <c r="G4" s="15">
        <v>9</v>
      </c>
      <c r="H4" s="15">
        <v>10</v>
      </c>
      <c r="I4" s="15">
        <v>11</v>
      </c>
      <c r="J4" s="15">
        <v>12</v>
      </c>
      <c r="K4" s="15">
        <v>13</v>
      </c>
      <c r="L4" s="15"/>
      <c r="M4" s="17"/>
    </row>
    <row r="5" spans="1:29" x14ac:dyDescent="0.25">
      <c r="A5" s="66" t="s">
        <v>605</v>
      </c>
      <c r="B5" s="104"/>
      <c r="C5" s="67" t="s">
        <v>549</v>
      </c>
      <c r="D5" s="68" t="s">
        <v>550</v>
      </c>
      <c r="E5" s="68" t="s">
        <v>551</v>
      </c>
      <c r="F5" s="69" t="s">
        <v>552</v>
      </c>
      <c r="G5" s="69" t="s">
        <v>553</v>
      </c>
      <c r="H5" s="69" t="s">
        <v>554</v>
      </c>
      <c r="I5" s="70" t="s">
        <v>555</v>
      </c>
      <c r="J5" s="70" t="s">
        <v>556</v>
      </c>
      <c r="K5" s="70" t="s">
        <v>557</v>
      </c>
      <c r="L5" s="70"/>
      <c r="M5" s="71"/>
    </row>
    <row r="6" spans="1:29" ht="12.75" customHeight="1" x14ac:dyDescent="0.25">
      <c r="A6" s="124" t="s">
        <v>1402</v>
      </c>
      <c r="B6" s="73"/>
      <c r="C6" s="74"/>
      <c r="D6" s="75"/>
      <c r="E6" s="75"/>
      <c r="F6" s="75"/>
      <c r="G6" s="75"/>
      <c r="H6" s="75"/>
      <c r="I6" s="75"/>
      <c r="J6" s="75"/>
      <c r="K6" s="75"/>
      <c r="L6" s="75"/>
      <c r="M6" s="76"/>
    </row>
    <row r="7" spans="1:29" ht="12.75" customHeight="1" x14ac:dyDescent="0.25">
      <c r="A7" s="291" t="s">
        <v>157</v>
      </c>
      <c r="B7" s="73">
        <v>1</v>
      </c>
      <c r="C7" s="1355">
        <f>SUMIFS(Sheet1!S71_OriginalBudget,Sheet1!S71_A4SubCode,$AC:$AC)</f>
        <v>0</v>
      </c>
      <c r="D7" s="1356">
        <f>SUMIFS(Sheet1!S71_SpecialAdjustedBudget,Sheet1!S71_A4SubCode,$AC:$AC)</f>
        <v>0</v>
      </c>
      <c r="E7" s="1356"/>
      <c r="F7" s="1356"/>
      <c r="G7" s="1356"/>
      <c r="H7" s="1356"/>
      <c r="I7" s="1356">
        <f>SUMIFS(Sheet1!S71_AdjustmentAmount,Sheet1!S71_A4SubCode,$AC:$AC)</f>
        <v>0</v>
      </c>
      <c r="J7" s="75">
        <f>SUM(E7:I7)</f>
        <v>0</v>
      </c>
      <c r="K7" s="75">
        <f>IF(D7=0,C7+J7,D7+J7)</f>
        <v>0</v>
      </c>
      <c r="L7" s="1356">
        <f>SUMIFS(Sheet1!S71_OY1AdjustedBudget,Sheet1!S71_A4SubCode,$AC:$AC)</f>
        <v>0</v>
      </c>
      <c r="M7" s="1357">
        <f>SUMIFS(Sheet1!S71_OY2AdjustedBudget,Sheet1!S71_A4SubCode,$AC:$AC)</f>
        <v>0</v>
      </c>
      <c r="AC7" s="1343" t="s">
        <v>2221</v>
      </c>
    </row>
    <row r="8" spans="1:29" ht="12.75" customHeight="1" x14ac:dyDescent="0.25">
      <c r="A8" s="291" t="s">
        <v>157</v>
      </c>
      <c r="B8" s="73"/>
      <c r="C8" s="1355">
        <f>SUMIFS(Sheet1!S71_OriginalBudget,Sheet1!S71_A4SubCode,$AC:$AC)</f>
        <v>0</v>
      </c>
      <c r="D8" s="1356">
        <f>SUMIFS(Sheet1!S71_SpecialAdjustedBudget,Sheet1!S71_A4SubCode,$AC:$AC)</f>
        <v>0</v>
      </c>
      <c r="E8" s="1356"/>
      <c r="F8" s="1356"/>
      <c r="G8" s="1356"/>
      <c r="H8" s="1356"/>
      <c r="I8" s="1356">
        <f>SUMIFS(Sheet1!S71_AdjustmentAmount,Sheet1!S71_A4SubCode,$AC:$AC)</f>
        <v>0</v>
      </c>
      <c r="J8" s="75">
        <f>SUM(E8:I8)</f>
        <v>0</v>
      </c>
      <c r="K8" s="75">
        <f>IF(D8=0,C8+J8,D8+J8)</f>
        <v>0</v>
      </c>
      <c r="L8" s="1356">
        <f>SUMIFS(Sheet1!S71_OY1AdjustedBudget,Sheet1!S71_A4SubCode,$AC:$AC)</f>
        <v>0</v>
      </c>
      <c r="M8" s="1357">
        <f>SUMIFS(Sheet1!S71_OY2AdjustedBudget,Sheet1!S71_A4SubCode,$AC:$AC)</f>
        <v>0</v>
      </c>
    </row>
    <row r="9" spans="1:29" ht="12.75" customHeight="1" x14ac:dyDescent="0.25">
      <c r="A9" s="291" t="s">
        <v>157</v>
      </c>
      <c r="B9" s="73"/>
      <c r="C9" s="1355">
        <f>SUMIFS(Sheet1!S71_OriginalBudget,Sheet1!S71_A4SubCode,$AC:$AC)</f>
        <v>0</v>
      </c>
      <c r="D9" s="1356">
        <f>SUMIFS(Sheet1!S71_SpecialAdjustedBudget,Sheet1!S71_A4SubCode,$AC:$AC)</f>
        <v>0</v>
      </c>
      <c r="E9" s="1356"/>
      <c r="F9" s="1356"/>
      <c r="G9" s="1356"/>
      <c r="H9" s="1356"/>
      <c r="I9" s="1356">
        <f>SUMIFS(Sheet1!S71_AdjustmentAmount,Sheet1!S71_A4SubCode,$AC:$AC)</f>
        <v>0</v>
      </c>
      <c r="J9" s="75">
        <f>SUM(E9:I9)</f>
        <v>0</v>
      </c>
      <c r="K9" s="75">
        <f>IF(D9=0,C9+J9,D9+J9)</f>
        <v>0</v>
      </c>
      <c r="L9" s="1356">
        <f>SUMIFS(Sheet1!S71_OY1AdjustedBudget,Sheet1!S71_A4SubCode,$AC:$AC)</f>
        <v>0</v>
      </c>
      <c r="M9" s="1357">
        <f>SUMIFS(Sheet1!S71_OY2AdjustedBudget,Sheet1!S71_A4SubCode,$AC:$AC)</f>
        <v>0</v>
      </c>
    </row>
    <row r="10" spans="1:29" ht="12.75" customHeight="1" x14ac:dyDescent="0.25">
      <c r="A10" s="160" t="s">
        <v>184</v>
      </c>
      <c r="B10" s="79"/>
      <c r="C10" s="80">
        <f>SUM(C7:C9)</f>
        <v>0</v>
      </c>
      <c r="D10" s="81">
        <f t="shared" ref="D10:M10" si="0">SUM(D7:D9)</f>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29" ht="5.0999999999999996" customHeight="1" x14ac:dyDescent="0.25">
      <c r="A11" s="134"/>
      <c r="B11" s="73"/>
      <c r="C11" s="74"/>
      <c r="D11" s="75"/>
      <c r="E11" s="75"/>
      <c r="F11" s="75"/>
      <c r="G11" s="75"/>
      <c r="H11" s="75"/>
      <c r="I11" s="75"/>
      <c r="J11" s="75"/>
      <c r="K11" s="75"/>
      <c r="L11" s="75"/>
      <c r="M11" s="76"/>
    </row>
    <row r="12" spans="1:29" ht="12.75" customHeight="1" x14ac:dyDescent="0.25">
      <c r="A12" s="52" t="s">
        <v>1403</v>
      </c>
      <c r="B12" s="135"/>
      <c r="C12" s="74"/>
      <c r="D12" s="75"/>
      <c r="E12" s="75"/>
      <c r="F12" s="75"/>
      <c r="G12" s="75"/>
      <c r="H12" s="75"/>
      <c r="I12" s="75"/>
      <c r="J12" s="75"/>
      <c r="K12" s="75"/>
      <c r="L12" s="75"/>
      <c r="M12" s="76"/>
    </row>
    <row r="13" spans="1:29" ht="12.75" customHeight="1" x14ac:dyDescent="0.25">
      <c r="A13" s="291" t="s">
        <v>157</v>
      </c>
      <c r="B13" s="135">
        <v>2</v>
      </c>
      <c r="C13" s="1355">
        <f>SUMIFS(Sheet1!S71_OriginalBudget,Sheet1!S71_A4SubCode,$AC:$AC)</f>
        <v>0</v>
      </c>
      <c r="D13" s="1356">
        <f>SUMIFS(Sheet1!S71_SpecialAdjustedBudget,Sheet1!S71_A4SubCode,$AC:$AC)</f>
        <v>0</v>
      </c>
      <c r="E13" s="1356"/>
      <c r="F13" s="1356"/>
      <c r="G13" s="1356"/>
      <c r="H13" s="1356"/>
      <c r="I13" s="1356">
        <f>SUMIFS(Sheet1!S71_AdjustmentAmount,Sheet1!S71_A4SubCode,$AC:$AC)</f>
        <v>0</v>
      </c>
      <c r="J13" s="75">
        <f>SUM(E13:I13)</f>
        <v>0</v>
      </c>
      <c r="K13" s="75">
        <f>IF(D13=0,C13+J13,D13+J13)</f>
        <v>0</v>
      </c>
      <c r="L13" s="1356">
        <f>SUMIFS(Sheet1!S71_OY1AdjustedBudget,Sheet1!S71_A4SubCode,$AC:$AC)</f>
        <v>0</v>
      </c>
      <c r="M13" s="1357">
        <f>SUMIFS(Sheet1!S71_OY2AdjustedBudget,Sheet1!S71_A4SubCode,$AC:$AC)</f>
        <v>0</v>
      </c>
      <c r="AC13" s="1336" t="s">
        <v>2222</v>
      </c>
    </row>
    <row r="14" spans="1:29" ht="12.75" customHeight="1" x14ac:dyDescent="0.25">
      <c r="A14" s="291" t="s">
        <v>157</v>
      </c>
      <c r="B14" s="135"/>
      <c r="C14" s="1355">
        <f>SUMIFS(Sheet1!S71_OriginalBudget,Sheet1!S71_A4SubCode,$AC:$AC)</f>
        <v>0</v>
      </c>
      <c r="D14" s="1356">
        <f>SUMIFS(Sheet1!S71_SpecialAdjustedBudget,Sheet1!S71_A4SubCode,$AC:$AC)</f>
        <v>0</v>
      </c>
      <c r="E14" s="1356"/>
      <c r="F14" s="1356"/>
      <c r="G14" s="1356"/>
      <c r="H14" s="1356"/>
      <c r="I14" s="1356">
        <f>SUMIFS(Sheet1!S71_AdjustmentAmount,Sheet1!S71_A4SubCode,$AC:$AC)</f>
        <v>0</v>
      </c>
      <c r="J14" s="75">
        <f>SUM(E14:I14)</f>
        <v>0</v>
      </c>
      <c r="K14" s="75">
        <f>IF(D14=0,C14+J14,D14+J14)</f>
        <v>0</v>
      </c>
      <c r="L14" s="1356">
        <f>SUMIFS(Sheet1!S71_OY1AdjustedBudget,Sheet1!S71_A4SubCode,$AC:$AC)</f>
        <v>0</v>
      </c>
      <c r="M14" s="1357">
        <f>SUMIFS(Sheet1!S71_OY2AdjustedBudget,Sheet1!S71_A4SubCode,$AC:$AC)</f>
        <v>0</v>
      </c>
    </row>
    <row r="15" spans="1:29" ht="12.75" customHeight="1" x14ac:dyDescent="0.25">
      <c r="A15" s="291" t="s">
        <v>157</v>
      </c>
      <c r="B15" s="135"/>
      <c r="C15" s="1355">
        <f>SUMIFS(Sheet1!S71_OriginalBudget,Sheet1!S71_A4SubCode,$AC:$AC)</f>
        <v>0</v>
      </c>
      <c r="D15" s="1356">
        <f>SUMIFS(Sheet1!S71_SpecialAdjustedBudget,Sheet1!S71_A4SubCode,$AC:$AC)</f>
        <v>0</v>
      </c>
      <c r="E15" s="1356"/>
      <c r="F15" s="1356"/>
      <c r="G15" s="1356"/>
      <c r="H15" s="1356"/>
      <c r="I15" s="1356">
        <f>SUMIFS(Sheet1!S71_AdjustmentAmount,Sheet1!S71_A4SubCode,$AC:$AC)</f>
        <v>0</v>
      </c>
      <c r="J15" s="75">
        <f>SUM(E15:I15)</f>
        <v>0</v>
      </c>
      <c r="K15" s="75">
        <f>IF(D15=0,C15+J15,D15+J15)</f>
        <v>0</v>
      </c>
      <c r="L15" s="1356">
        <f>SUMIFS(Sheet1!S71_OY1AdjustedBudget,Sheet1!S71_A4SubCode,$AC:$AC)</f>
        <v>0</v>
      </c>
      <c r="M15" s="1357">
        <f>SUMIFS(Sheet1!S71_OY2AdjustedBudget,Sheet1!S71_A4SubCode,$AC:$AC)</f>
        <v>0</v>
      </c>
    </row>
    <row r="16" spans="1:29" ht="12.75" customHeight="1" x14ac:dyDescent="0.25">
      <c r="A16" s="160" t="s">
        <v>185</v>
      </c>
      <c r="B16" s="79"/>
      <c r="C16" s="80">
        <f>SUM(C13:C15)</f>
        <v>0</v>
      </c>
      <c r="D16" s="81">
        <f t="shared" ref="D16:M16" si="1">SUM(D13:D15)</f>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29" ht="5.0999999999999996" customHeight="1" x14ac:dyDescent="0.25">
      <c r="A17" s="51"/>
      <c r="B17" s="135"/>
      <c r="C17" s="74"/>
      <c r="D17" s="75"/>
      <c r="E17" s="75"/>
      <c r="F17" s="75"/>
      <c r="G17" s="75"/>
      <c r="H17" s="75"/>
      <c r="I17" s="75"/>
      <c r="J17" s="75"/>
      <c r="K17" s="75"/>
      <c r="L17" s="75"/>
      <c r="M17" s="76"/>
    </row>
    <row r="18" spans="1:29" ht="12.75" customHeight="1" x14ac:dyDescent="0.25">
      <c r="A18" s="52" t="s">
        <v>1404</v>
      </c>
      <c r="B18" s="135"/>
      <c r="C18" s="74"/>
      <c r="D18" s="75"/>
      <c r="E18" s="75"/>
      <c r="F18" s="75"/>
      <c r="G18" s="75"/>
      <c r="H18" s="75"/>
      <c r="I18" s="75"/>
      <c r="J18" s="75"/>
      <c r="K18" s="75"/>
      <c r="L18" s="75"/>
      <c r="M18" s="76"/>
    </row>
    <row r="19" spans="1:29" ht="12.75" customHeight="1" x14ac:dyDescent="0.25">
      <c r="A19" s="291" t="s">
        <v>157</v>
      </c>
      <c r="B19" s="135">
        <v>3</v>
      </c>
      <c r="C19" s="1355">
        <f>SUMIFS(Sheet1!S71_OriginalBudget,Sheet1!S71_A4SubCode,$AC:$AC)</f>
        <v>0</v>
      </c>
      <c r="D19" s="1356">
        <f>SUMIFS(Sheet1!S71_SpecialAdjustedBudget,Sheet1!S71_A4SubCode,$AC:$AC)</f>
        <v>0</v>
      </c>
      <c r="E19" s="1356"/>
      <c r="F19" s="1356"/>
      <c r="G19" s="1356"/>
      <c r="H19" s="1356"/>
      <c r="I19" s="1356">
        <f>SUMIFS(Sheet1!S71_AdjustmentAmount,Sheet1!S71_A4SubCode,$AC:$AC)</f>
        <v>0</v>
      </c>
      <c r="J19" s="75">
        <f>SUM(E19:I19)</f>
        <v>0</v>
      </c>
      <c r="K19" s="75">
        <f>IF(D19=0,C19+J19,D19+J19)</f>
        <v>0</v>
      </c>
      <c r="L19" s="1356">
        <f>SUMIFS(Sheet1!S71_OY1AdjustedBudget,Sheet1!S71_A4SubCode,$AC:$AC)</f>
        <v>0</v>
      </c>
      <c r="M19" s="1357">
        <f>SUMIFS(Sheet1!S71_OY2AdjustedBudget,Sheet1!S71_A4SubCode,$AC:$AC)</f>
        <v>0</v>
      </c>
      <c r="AC19" s="1336" t="s">
        <v>2223</v>
      </c>
    </row>
    <row r="20" spans="1:29" ht="12.75" customHeight="1" x14ac:dyDescent="0.25">
      <c r="A20" s="291" t="s">
        <v>157</v>
      </c>
      <c r="B20" s="135"/>
      <c r="C20" s="1355">
        <f>SUMIFS(Sheet1!S71_OriginalBudget,Sheet1!S71_A4SubCode,$AC:$AC)</f>
        <v>0</v>
      </c>
      <c r="D20" s="1356">
        <f>SUMIFS(Sheet1!S71_SpecialAdjustedBudget,Sheet1!S71_A4SubCode,$AC:$AC)</f>
        <v>0</v>
      </c>
      <c r="E20" s="1356"/>
      <c r="F20" s="1356"/>
      <c r="G20" s="1356"/>
      <c r="H20" s="1356"/>
      <c r="I20" s="1356">
        <f>SUMIFS(Sheet1!S71_AdjustmentAmount,Sheet1!S71_A4SubCode,$AC:$AC)</f>
        <v>0</v>
      </c>
      <c r="J20" s="75">
        <f>SUM(E20:I20)</f>
        <v>0</v>
      </c>
      <c r="K20" s="75">
        <f>IF(D20=0,C20+J20,D20+J20)</f>
        <v>0</v>
      </c>
      <c r="L20" s="1356">
        <f>SUMIFS(Sheet1!S71_OY1AdjustedBudget,Sheet1!S71_A4SubCode,$AC:$AC)</f>
        <v>0</v>
      </c>
      <c r="M20" s="1357">
        <f>SUMIFS(Sheet1!S71_OY2AdjustedBudget,Sheet1!S71_A4SubCode,$AC:$AC)</f>
        <v>0</v>
      </c>
    </row>
    <row r="21" spans="1:29" ht="12.75" customHeight="1" x14ac:dyDescent="0.25">
      <c r="A21" s="291" t="s">
        <v>157</v>
      </c>
      <c r="B21" s="135"/>
      <c r="C21" s="1355">
        <f>SUMIFS(Sheet1!S71_OriginalBudget,Sheet1!S71_A4SubCode,$AC:$AC)</f>
        <v>0</v>
      </c>
      <c r="D21" s="1356">
        <f>SUMIFS(Sheet1!S71_SpecialAdjustedBudget,Sheet1!S71_A4SubCode,$AC:$AC)</f>
        <v>0</v>
      </c>
      <c r="E21" s="1356"/>
      <c r="F21" s="1356"/>
      <c r="G21" s="1356"/>
      <c r="H21" s="1356"/>
      <c r="I21" s="1356">
        <f>SUMIFS(Sheet1!S71_AdjustmentAmount,Sheet1!S71_A4SubCode,$AC:$AC)</f>
        <v>0</v>
      </c>
      <c r="J21" s="75">
        <f>SUM(E21:I21)</f>
        <v>0</v>
      </c>
      <c r="K21" s="75">
        <f>IF(D21=0,C21+J21,D21+J21)</f>
        <v>0</v>
      </c>
      <c r="L21" s="1356">
        <f>SUMIFS(Sheet1!S71_OY1AdjustedBudget,Sheet1!S71_A4SubCode,$AC:$AC)</f>
        <v>0</v>
      </c>
      <c r="M21" s="1357">
        <f>SUMIFS(Sheet1!S71_OY2AdjustedBudget,Sheet1!S71_A4SubCode,$AC:$AC)</f>
        <v>0</v>
      </c>
    </row>
    <row r="22" spans="1:29" ht="12.75" customHeight="1" x14ac:dyDescent="0.25">
      <c r="A22" s="160" t="s">
        <v>186</v>
      </c>
      <c r="B22" s="79"/>
      <c r="C22" s="80">
        <f>SUM(C19:C21)</f>
        <v>0</v>
      </c>
      <c r="D22" s="81">
        <f t="shared" ref="D22:M22" si="2">SUM(D19:D21)</f>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29" ht="5.0999999999999996" customHeight="1" x14ac:dyDescent="0.25">
      <c r="A23" s="50"/>
      <c r="B23" s="135"/>
      <c r="C23" s="74"/>
      <c r="D23" s="75"/>
      <c r="E23" s="75"/>
      <c r="F23" s="75"/>
      <c r="G23" s="75"/>
      <c r="H23" s="75"/>
      <c r="I23" s="75"/>
      <c r="J23" s="75"/>
      <c r="K23" s="75"/>
      <c r="L23" s="75"/>
      <c r="M23" s="76"/>
    </row>
    <row r="24" spans="1:29" ht="12.75" customHeight="1" x14ac:dyDescent="0.25">
      <c r="A24" s="52" t="s">
        <v>1405</v>
      </c>
      <c r="B24" s="135"/>
      <c r="C24" s="74"/>
      <c r="D24" s="75"/>
      <c r="E24" s="75"/>
      <c r="F24" s="75"/>
      <c r="G24" s="75"/>
      <c r="H24" s="75"/>
      <c r="I24" s="75"/>
      <c r="J24" s="75"/>
      <c r="K24" s="75"/>
      <c r="L24" s="75"/>
      <c r="M24" s="76"/>
    </row>
    <row r="25" spans="1:29" ht="12.75" customHeight="1" x14ac:dyDescent="0.25">
      <c r="A25" s="291" t="s">
        <v>157</v>
      </c>
      <c r="B25" s="135">
        <v>4</v>
      </c>
      <c r="C25" s="1355">
        <f>SUMIFS(Sheet1!S71_OriginalBudget,Sheet1!S71_A4SubCode,$AC:$AC)</f>
        <v>0</v>
      </c>
      <c r="D25" s="1356">
        <f>SUMIFS(Sheet1!S71_SpecialAdjustedBudget,Sheet1!S71_A4SubCode,$AC:$AC)</f>
        <v>0</v>
      </c>
      <c r="E25" s="1356"/>
      <c r="F25" s="1356"/>
      <c r="G25" s="1356"/>
      <c r="H25" s="1356"/>
      <c r="I25" s="1356">
        <f>SUMIFS(Sheet1!S71_AdjustmentAmount,Sheet1!S71_A4SubCode,$AC:$AC)</f>
        <v>0</v>
      </c>
      <c r="J25" s="75">
        <f>SUM(E25:I25)</f>
        <v>0</v>
      </c>
      <c r="K25" s="75">
        <f>IF(D25=0,C25+J25,D25+J25)</f>
        <v>0</v>
      </c>
      <c r="L25" s="1356">
        <f>SUMIFS(Sheet1!S71_OY1AdjustedBudget,Sheet1!S71_A4SubCode,$AC:$AC)</f>
        <v>0</v>
      </c>
      <c r="M25" s="1357">
        <f>SUMIFS(Sheet1!S71_OY2AdjustedBudget,Sheet1!S71_A4SubCode,$AC:$AC)</f>
        <v>0</v>
      </c>
      <c r="AC25" s="1336" t="s">
        <v>2224</v>
      </c>
    </row>
    <row r="26" spans="1:29" ht="12.75" customHeight="1" x14ac:dyDescent="0.25">
      <c r="A26" s="291" t="s">
        <v>157</v>
      </c>
      <c r="B26" s="135"/>
      <c r="C26" s="1355">
        <f>SUMIFS(Sheet1!S71_OriginalBudget,Sheet1!S71_A4SubCode,$AC:$AC)</f>
        <v>0</v>
      </c>
      <c r="D26" s="1356">
        <f>SUMIFS(Sheet1!S71_SpecialAdjustedBudget,Sheet1!S71_A4SubCode,$AC:$AC)</f>
        <v>0</v>
      </c>
      <c r="E26" s="1356"/>
      <c r="F26" s="1356"/>
      <c r="G26" s="1356"/>
      <c r="H26" s="1356"/>
      <c r="I26" s="1356">
        <f>SUMIFS(Sheet1!S71_AdjustmentAmount,Sheet1!S71_A4SubCode,$AC:$AC)</f>
        <v>0</v>
      </c>
      <c r="J26" s="75">
        <f>SUM(E26:I26)</f>
        <v>0</v>
      </c>
      <c r="K26" s="75">
        <f>IF(D26=0,C26+J26,D26+J26)</f>
        <v>0</v>
      </c>
      <c r="L26" s="1356">
        <f>SUMIFS(Sheet1!S71_OY1AdjustedBudget,Sheet1!S71_A4SubCode,$AC:$AC)</f>
        <v>0</v>
      </c>
      <c r="M26" s="1357">
        <f>SUMIFS(Sheet1!S71_OY2AdjustedBudget,Sheet1!S71_A4SubCode,$AC:$AC)</f>
        <v>0</v>
      </c>
    </row>
    <row r="27" spans="1:29" ht="12.75" customHeight="1" x14ac:dyDescent="0.25">
      <c r="A27" s="291" t="s">
        <v>157</v>
      </c>
      <c r="B27" s="135"/>
      <c r="C27" s="1355">
        <f>SUMIFS(Sheet1!S71_OriginalBudget,Sheet1!S71_A4SubCode,$AC:$AC)</f>
        <v>0</v>
      </c>
      <c r="D27" s="1356">
        <f>SUMIFS(Sheet1!S71_SpecialAdjustedBudget,Sheet1!S71_A4SubCode,$AC:$AC)</f>
        <v>0</v>
      </c>
      <c r="E27" s="1356"/>
      <c r="F27" s="1356"/>
      <c r="G27" s="1356"/>
      <c r="H27" s="1356"/>
      <c r="I27" s="1356">
        <f>SUMIFS(Sheet1!S71_AdjustmentAmount,Sheet1!S71_A4SubCode,$AC:$AC)</f>
        <v>0</v>
      </c>
      <c r="J27" s="75">
        <f>SUM(E27:I27)</f>
        <v>0</v>
      </c>
      <c r="K27" s="75">
        <f>IF(D27=0,C27+J27,D27+J27)</f>
        <v>0</v>
      </c>
      <c r="L27" s="1356">
        <f>SUMIFS(Sheet1!S71_OY1AdjustedBudget,Sheet1!S71_A4SubCode,$AC:$AC)</f>
        <v>0</v>
      </c>
      <c r="M27" s="1357">
        <f>SUMIFS(Sheet1!S71_OY2AdjustedBudget,Sheet1!S71_A4SubCode,$AC:$AC)</f>
        <v>0</v>
      </c>
    </row>
    <row r="28" spans="1:29" ht="13.5" customHeight="1" x14ac:dyDescent="0.25">
      <c r="A28" s="160" t="s">
        <v>1406</v>
      </c>
      <c r="B28" s="79"/>
      <c r="C28" s="80">
        <f>SUM(C25:C27)</f>
        <v>0</v>
      </c>
      <c r="D28" s="81">
        <f t="shared" ref="D28:M28" si="3">SUM(D25:D27)</f>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29" ht="13.5" customHeight="1" x14ac:dyDescent="0.25">
      <c r="A29" s="50"/>
      <c r="B29" s="135"/>
      <c r="C29" s="74"/>
      <c r="D29" s="75"/>
      <c r="E29" s="75"/>
      <c r="F29" s="75"/>
      <c r="G29" s="75"/>
      <c r="H29" s="75"/>
      <c r="I29" s="75"/>
      <c r="J29" s="75"/>
      <c r="K29" s="75"/>
      <c r="L29" s="75"/>
      <c r="M29" s="76"/>
    </row>
    <row r="30" spans="1:29" ht="12.75" customHeight="1" x14ac:dyDescent="0.25">
      <c r="A30" s="560" t="s">
        <v>1407</v>
      </c>
      <c r="B30" s="105">
        <v>5</v>
      </c>
      <c r="C30" s="148">
        <f>C10+C16+C22+C28</f>
        <v>0</v>
      </c>
      <c r="D30" s="148">
        <f t="shared" ref="D30:M30" si="4">D10+D16+D22+D28</f>
        <v>0</v>
      </c>
      <c r="E30" s="148">
        <f t="shared" si="4"/>
        <v>0</v>
      </c>
      <c r="F30" s="148">
        <f t="shared" si="4"/>
        <v>0</v>
      </c>
      <c r="G30" s="148">
        <f t="shared" si="4"/>
        <v>0</v>
      </c>
      <c r="H30" s="148">
        <f t="shared" si="4"/>
        <v>0</v>
      </c>
      <c r="I30" s="148">
        <f t="shared" si="4"/>
        <v>0</v>
      </c>
      <c r="J30" s="148">
        <f t="shared" si="4"/>
        <v>0</v>
      </c>
      <c r="K30" s="148">
        <f t="shared" si="4"/>
        <v>0</v>
      </c>
      <c r="L30" s="148">
        <f t="shared" si="4"/>
        <v>0</v>
      </c>
      <c r="M30" s="148">
        <f t="shared" si="4"/>
        <v>0</v>
      </c>
    </row>
    <row r="31" spans="1:29" ht="12.75" customHeight="1" x14ac:dyDescent="0.25">
      <c r="A31" s="1033"/>
      <c r="B31" s="1034"/>
      <c r="C31" s="1035"/>
      <c r="D31" s="1035"/>
      <c r="E31" s="1035"/>
      <c r="F31" s="1035"/>
      <c r="G31" s="1035"/>
      <c r="H31" s="1035"/>
      <c r="I31" s="1035"/>
      <c r="J31" s="1035"/>
      <c r="K31" s="1035"/>
      <c r="L31" s="1035"/>
      <c r="M31" s="1035"/>
    </row>
    <row r="32" spans="1:29" ht="12.75" customHeight="1" x14ac:dyDescent="0.25">
      <c r="A32" s="124" t="s">
        <v>1408</v>
      </c>
      <c r="B32" s="73"/>
      <c r="C32" s="74"/>
      <c r="D32" s="75"/>
      <c r="E32" s="75"/>
      <c r="F32" s="75"/>
      <c r="G32" s="75"/>
      <c r="H32" s="75"/>
      <c r="I32" s="75"/>
      <c r="J32" s="75"/>
      <c r="K32" s="75"/>
      <c r="L32" s="75"/>
      <c r="M32" s="76"/>
    </row>
    <row r="33" spans="1:29" ht="12.75" customHeight="1" x14ac:dyDescent="0.25">
      <c r="A33" s="291" t="s">
        <v>157</v>
      </c>
      <c r="B33" s="73">
        <v>1</v>
      </c>
      <c r="C33" s="1355">
        <f>SUMIFS(Sheet1!S71_OriginalBudget,Sheet1!S71_A4SubCode,$AC:$AC)</f>
        <v>0</v>
      </c>
      <c r="D33" s="1356">
        <f>SUMIFS(Sheet1!S71_SpecialAdjustedBudget,Sheet1!S71_A4SubCode,$AC:$AC)</f>
        <v>0</v>
      </c>
      <c r="E33" s="1356"/>
      <c r="F33" s="1356"/>
      <c r="G33" s="1356"/>
      <c r="H33" s="1356"/>
      <c r="I33" s="1356">
        <f>SUMIFS(Sheet1!S71_AdjustmentAmount,Sheet1!S71_A4SubCode,$AC:$AC)</f>
        <v>0</v>
      </c>
      <c r="J33" s="75">
        <f>SUM(E33:I33)</f>
        <v>0</v>
      </c>
      <c r="K33" s="75">
        <f>IF(D33=0,C33+J33,D33+J33)</f>
        <v>0</v>
      </c>
      <c r="L33" s="1356">
        <f>SUMIFS(Sheet1!S71_OY1AdjustedBudget,Sheet1!S71_A4SubCode,$AC:$AC)</f>
        <v>0</v>
      </c>
      <c r="M33" s="1357">
        <f>SUMIFS(Sheet1!S71_OY2AdjustedBudget,Sheet1!S71_A4SubCode,$AC:$AC)</f>
        <v>0</v>
      </c>
      <c r="AC33" s="1343" t="s">
        <v>2225</v>
      </c>
    </row>
    <row r="34" spans="1:29" ht="12.75" customHeight="1" x14ac:dyDescent="0.25">
      <c r="A34" s="291" t="s">
        <v>157</v>
      </c>
      <c r="B34" s="73"/>
      <c r="C34" s="1355">
        <f>SUMIFS(Sheet1!S71_OriginalBudget,Sheet1!S71_A4SubCode,$AC:$AC)</f>
        <v>0</v>
      </c>
      <c r="D34" s="1356">
        <f>SUMIFS(Sheet1!S71_SpecialAdjustedBudget,Sheet1!S71_A4SubCode,$AC:$AC)</f>
        <v>0</v>
      </c>
      <c r="E34" s="1356"/>
      <c r="F34" s="1356"/>
      <c r="G34" s="1356"/>
      <c r="H34" s="1356"/>
      <c r="I34" s="1356">
        <f>SUMIFS(Sheet1!S71_AdjustmentAmount,Sheet1!S71_A4SubCode,$AC:$AC)</f>
        <v>0</v>
      </c>
      <c r="J34" s="75">
        <f>SUM(E34:I34)</f>
        <v>0</v>
      </c>
      <c r="K34" s="75">
        <f>IF(D34=0,C34+J34,D34+J34)</f>
        <v>0</v>
      </c>
      <c r="L34" s="1356">
        <f>SUMIFS(Sheet1!S71_OY1AdjustedBudget,Sheet1!S71_A4SubCode,$AC:$AC)</f>
        <v>0</v>
      </c>
      <c r="M34" s="1357">
        <f>SUMIFS(Sheet1!S71_OY2AdjustedBudget,Sheet1!S71_A4SubCode,$AC:$AC)</f>
        <v>0</v>
      </c>
    </row>
    <row r="35" spans="1:29" ht="12.75" customHeight="1" x14ac:dyDescent="0.25">
      <c r="A35" s="291" t="s">
        <v>157</v>
      </c>
      <c r="B35" s="73"/>
      <c r="C35" s="1355">
        <f>SUMIFS(Sheet1!S71_OriginalBudget,Sheet1!S71_A4SubCode,$AC:$AC)</f>
        <v>0</v>
      </c>
      <c r="D35" s="1356">
        <f>SUMIFS(Sheet1!S71_SpecialAdjustedBudget,Sheet1!S71_A4SubCode,$AC:$AC)</f>
        <v>0</v>
      </c>
      <c r="E35" s="1356"/>
      <c r="F35" s="1356"/>
      <c r="G35" s="1356"/>
      <c r="H35" s="1356"/>
      <c r="I35" s="1356">
        <f>SUMIFS(Sheet1!S71_AdjustmentAmount,Sheet1!S71_A4SubCode,$AC:$AC)</f>
        <v>0</v>
      </c>
      <c r="J35" s="75">
        <f>SUM(E35:I35)</f>
        <v>0</v>
      </c>
      <c r="K35" s="75">
        <f>IF(D35=0,C35+J35,D35+J35)</f>
        <v>0</v>
      </c>
      <c r="L35" s="1356">
        <f>SUMIFS(Sheet1!S71_OY1AdjustedBudget,Sheet1!S71_A4SubCode,$AC:$AC)</f>
        <v>0</v>
      </c>
      <c r="M35" s="1357">
        <f>SUMIFS(Sheet1!S71_OY2AdjustedBudget,Sheet1!S71_A4SubCode,$AC:$AC)</f>
        <v>0</v>
      </c>
    </row>
    <row r="36" spans="1:29" ht="12.75" customHeight="1" x14ac:dyDescent="0.25">
      <c r="A36" s="160" t="s">
        <v>184</v>
      </c>
      <c r="B36" s="79"/>
      <c r="C36" s="80">
        <f>SUM(C33:C35)</f>
        <v>0</v>
      </c>
      <c r="D36" s="81">
        <f t="shared" ref="D36:M36" si="5">SUM(D33:D35)</f>
        <v>0</v>
      </c>
      <c r="E36" s="81">
        <f t="shared" si="5"/>
        <v>0</v>
      </c>
      <c r="F36" s="81">
        <f t="shared" si="5"/>
        <v>0</v>
      </c>
      <c r="G36" s="81">
        <f t="shared" si="5"/>
        <v>0</v>
      </c>
      <c r="H36" s="81">
        <f t="shared" si="5"/>
        <v>0</v>
      </c>
      <c r="I36" s="81">
        <f>SUM(I33:I35)</f>
        <v>0</v>
      </c>
      <c r="J36" s="81">
        <f t="shared" si="5"/>
        <v>0</v>
      </c>
      <c r="K36" s="81">
        <f t="shared" si="5"/>
        <v>0</v>
      </c>
      <c r="L36" s="81">
        <f t="shared" si="5"/>
        <v>0</v>
      </c>
      <c r="M36" s="82">
        <f t="shared" si="5"/>
        <v>0</v>
      </c>
    </row>
    <row r="37" spans="1:29" ht="12.75" customHeight="1" x14ac:dyDescent="0.25">
      <c r="A37" s="134"/>
      <c r="B37" s="73"/>
      <c r="C37" s="74"/>
      <c r="D37" s="75"/>
      <c r="E37" s="75"/>
      <c r="F37" s="75"/>
      <c r="G37" s="75"/>
      <c r="H37" s="75"/>
      <c r="I37" s="75"/>
      <c r="J37" s="75"/>
      <c r="K37" s="75"/>
      <c r="L37" s="75"/>
      <c r="M37" s="76"/>
    </row>
    <row r="38" spans="1:29" ht="24.95" customHeight="1" x14ac:dyDescent="0.25">
      <c r="A38" s="52" t="s">
        <v>1409</v>
      </c>
      <c r="B38" s="135"/>
      <c r="C38" s="74"/>
      <c r="D38" s="75"/>
      <c r="E38" s="75"/>
      <c r="F38" s="75"/>
      <c r="G38" s="75"/>
      <c r="H38" s="75"/>
      <c r="I38" s="75"/>
      <c r="J38" s="75"/>
      <c r="K38" s="75"/>
      <c r="L38" s="75"/>
      <c r="M38" s="76"/>
    </row>
    <row r="39" spans="1:29" ht="12.75" customHeight="1" x14ac:dyDescent="0.25">
      <c r="A39" s="291" t="s">
        <v>157</v>
      </c>
      <c r="B39" s="135">
        <v>2</v>
      </c>
      <c r="C39" s="1355">
        <f>SUMIFS(Sheet1!S71_OriginalBudget,Sheet1!S71_A4SubCode,$AC:$AC)</f>
        <v>0</v>
      </c>
      <c r="D39" s="1356">
        <f>SUMIFS(Sheet1!S71_SpecialAdjustedBudget,Sheet1!S71_A4SubCode,$AC:$AC)</f>
        <v>0</v>
      </c>
      <c r="E39" s="1356"/>
      <c r="F39" s="1356"/>
      <c r="G39" s="1356"/>
      <c r="H39" s="1356"/>
      <c r="I39" s="1356">
        <f>SUMIFS(Sheet1!S71_AdjustmentAmount,Sheet1!S71_A4SubCode,$AC:$AC)</f>
        <v>0</v>
      </c>
      <c r="J39" s="75">
        <f>SUM(E39:I39)</f>
        <v>0</v>
      </c>
      <c r="K39" s="75">
        <f>IF(D39=0,C39+J39,D39+J39)</f>
        <v>0</v>
      </c>
      <c r="L39" s="1356">
        <f>SUMIFS(Sheet1!S71_OY1AdjustedBudget,Sheet1!S71_A4SubCode,$AC:$AC)</f>
        <v>0</v>
      </c>
      <c r="M39" s="1357">
        <f>SUMIFS(Sheet1!S71_OY2AdjustedBudget,Sheet1!S71_A4SubCode,$AC:$AC)</f>
        <v>0</v>
      </c>
      <c r="AC39" s="1336" t="s">
        <v>2226</v>
      </c>
    </row>
    <row r="40" spans="1:29" ht="12.75" customHeight="1" x14ac:dyDescent="0.25">
      <c r="A40" s="291" t="s">
        <v>157</v>
      </c>
      <c r="B40" s="135"/>
      <c r="C40" s="1355">
        <f>SUMIFS(Sheet1!S71_OriginalBudget,Sheet1!S71_A4SubCode,$AC:$AC)</f>
        <v>0</v>
      </c>
      <c r="D40" s="1356">
        <f>SUMIFS(Sheet1!S71_SpecialAdjustedBudget,Sheet1!S71_A4SubCode,$AC:$AC)</f>
        <v>0</v>
      </c>
      <c r="E40" s="1356"/>
      <c r="F40" s="1356"/>
      <c r="G40" s="1356"/>
      <c r="H40" s="1356"/>
      <c r="I40" s="1356">
        <f>SUMIFS(Sheet1!S71_AdjustmentAmount,Sheet1!S71_A4SubCode,$AC:$AC)</f>
        <v>0</v>
      </c>
      <c r="J40" s="75">
        <f>SUM(E40:I40)</f>
        <v>0</v>
      </c>
      <c r="K40" s="75">
        <f>IF(D40=0,C40+J40,D40+J40)</f>
        <v>0</v>
      </c>
      <c r="L40" s="1356">
        <f>SUMIFS(Sheet1!S71_OY1AdjustedBudget,Sheet1!S71_A4SubCode,$AC:$AC)</f>
        <v>0</v>
      </c>
      <c r="M40" s="1357">
        <f>SUMIFS(Sheet1!S71_OY2AdjustedBudget,Sheet1!S71_A4SubCode,$AC:$AC)</f>
        <v>0</v>
      </c>
    </row>
    <row r="41" spans="1:29" ht="12.75" customHeight="1" x14ac:dyDescent="0.25">
      <c r="A41" s="291" t="s">
        <v>157</v>
      </c>
      <c r="B41" s="135"/>
      <c r="C41" s="1355">
        <f>SUMIFS(Sheet1!S71_OriginalBudget,Sheet1!S71_A4SubCode,$AC:$AC)</f>
        <v>0</v>
      </c>
      <c r="D41" s="1356">
        <f>SUMIFS(Sheet1!S71_SpecialAdjustedBudget,Sheet1!S71_A4SubCode,$AC:$AC)</f>
        <v>0</v>
      </c>
      <c r="E41" s="1356"/>
      <c r="F41" s="1356"/>
      <c r="G41" s="1356"/>
      <c r="H41" s="1356"/>
      <c r="I41" s="1356">
        <f>SUMIFS(Sheet1!S71_AdjustmentAmount,Sheet1!S71_A4SubCode,$AC:$AC)</f>
        <v>0</v>
      </c>
      <c r="J41" s="75">
        <f>SUM(E41:I41)</f>
        <v>0</v>
      </c>
      <c r="K41" s="75">
        <f>IF(D41=0,C41+J41,D41+J41)</f>
        <v>0</v>
      </c>
      <c r="L41" s="1356">
        <f>SUMIFS(Sheet1!S71_OY1AdjustedBudget,Sheet1!S71_A4SubCode,$AC:$AC)</f>
        <v>0</v>
      </c>
      <c r="M41" s="1357">
        <f>SUMIFS(Sheet1!S71_OY2AdjustedBudget,Sheet1!S71_A4SubCode,$AC:$AC)</f>
        <v>0</v>
      </c>
    </row>
    <row r="42" spans="1:29" ht="24.95" customHeight="1" x14ac:dyDescent="0.25">
      <c r="A42" s="160" t="s">
        <v>185</v>
      </c>
      <c r="B42" s="79"/>
      <c r="C42" s="80">
        <f>SUM(C39:C41)</f>
        <v>0</v>
      </c>
      <c r="D42" s="81">
        <f t="shared" ref="D42:M42" si="6">SUM(D39:D41)</f>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29" ht="12.75" customHeight="1" x14ac:dyDescent="0.25">
      <c r="A43" s="51"/>
      <c r="B43" s="135"/>
      <c r="C43" s="74"/>
      <c r="D43" s="75"/>
      <c r="E43" s="75"/>
      <c r="F43" s="75"/>
      <c r="G43" s="75"/>
      <c r="H43" s="75"/>
      <c r="I43" s="75"/>
      <c r="J43" s="75"/>
      <c r="K43" s="75"/>
      <c r="L43" s="75"/>
      <c r="M43" s="76"/>
    </row>
    <row r="44" spans="1:29" ht="12.75" customHeight="1" x14ac:dyDescent="0.25">
      <c r="A44" s="52" t="s">
        <v>1410</v>
      </c>
      <c r="B44" s="135"/>
      <c r="C44" s="74"/>
      <c r="D44" s="75"/>
      <c r="E44" s="75"/>
      <c r="F44" s="75"/>
      <c r="G44" s="75"/>
      <c r="H44" s="75"/>
      <c r="I44" s="75"/>
      <c r="J44" s="75"/>
      <c r="K44" s="75"/>
      <c r="L44" s="75"/>
      <c r="M44" s="76"/>
    </row>
    <row r="45" spans="1:29" ht="11.25" customHeight="1" x14ac:dyDescent="0.25">
      <c r="A45" s="291" t="s">
        <v>157</v>
      </c>
      <c r="B45" s="135">
        <v>3</v>
      </c>
      <c r="C45" s="1355">
        <f>SUMIFS(Sheet1!S71_OriginalBudget,Sheet1!S71_A4SubCode,$AC:$AC)</f>
        <v>0</v>
      </c>
      <c r="D45" s="1356">
        <f>SUMIFS(Sheet1!S71_SpecialAdjustedBudget,Sheet1!S71_A4SubCode,$AC:$AC)</f>
        <v>0</v>
      </c>
      <c r="E45" s="1356"/>
      <c r="F45" s="1356"/>
      <c r="G45" s="1356"/>
      <c r="H45" s="1356"/>
      <c r="I45" s="1356">
        <f>SUMIFS(Sheet1!S71_AdjustmentAmount,Sheet1!S71_A4SubCode,$AC:$AC)</f>
        <v>0</v>
      </c>
      <c r="J45" s="75">
        <f>SUM(E45:I45)</f>
        <v>0</v>
      </c>
      <c r="K45" s="75">
        <f>IF(D45=0,C45+J45,D45+J45)</f>
        <v>0</v>
      </c>
      <c r="L45" s="1356">
        <f>SUMIFS(Sheet1!S71_OY1AdjustedBudget,Sheet1!S71_A4SubCode,$AC:$AC)</f>
        <v>0</v>
      </c>
      <c r="M45" s="1357">
        <f>SUMIFS(Sheet1!S71_OY2AdjustedBudget,Sheet1!S71_A4SubCode,$AC:$AC)</f>
        <v>0</v>
      </c>
      <c r="AC45" s="1336" t="s">
        <v>2227</v>
      </c>
    </row>
    <row r="46" spans="1:29" ht="11.25" customHeight="1" x14ac:dyDescent="0.25">
      <c r="A46" s="291" t="s">
        <v>157</v>
      </c>
      <c r="B46" s="135"/>
      <c r="C46" s="1355">
        <f>SUMIFS(Sheet1!S71_OriginalBudget,Sheet1!S71_A4SubCode,$AC:$AC)</f>
        <v>0</v>
      </c>
      <c r="D46" s="1356">
        <f>SUMIFS(Sheet1!S71_SpecialAdjustedBudget,Sheet1!S71_A4SubCode,$AC:$AC)</f>
        <v>0</v>
      </c>
      <c r="E46" s="1356"/>
      <c r="F46" s="1356"/>
      <c r="G46" s="1356"/>
      <c r="H46" s="1356"/>
      <c r="I46" s="1356">
        <f>SUMIFS(Sheet1!S71_AdjustmentAmount,Sheet1!S71_A4SubCode,$AC:$AC)</f>
        <v>0</v>
      </c>
      <c r="J46" s="75">
        <f>SUM(E46:I46)</f>
        <v>0</v>
      </c>
      <c r="K46" s="75">
        <f>IF(D46=0,C46+J46,D46+J46)</f>
        <v>0</v>
      </c>
      <c r="L46" s="1356">
        <f>SUMIFS(Sheet1!S71_OY1AdjustedBudget,Sheet1!S71_A4SubCode,$AC:$AC)</f>
        <v>0</v>
      </c>
      <c r="M46" s="1357">
        <f>SUMIFS(Sheet1!S71_OY2AdjustedBudget,Sheet1!S71_A4SubCode,$AC:$AC)</f>
        <v>0</v>
      </c>
    </row>
    <row r="47" spans="1:29" ht="11.25" customHeight="1" x14ac:dyDescent="0.25">
      <c r="A47" s="291" t="s">
        <v>157</v>
      </c>
      <c r="B47" s="135"/>
      <c r="C47" s="1355">
        <f>SUMIFS(Sheet1!S71_OriginalBudget,Sheet1!S71_A4SubCode,$AC:$AC)</f>
        <v>0</v>
      </c>
      <c r="D47" s="1356">
        <f>SUMIFS(Sheet1!S71_SpecialAdjustedBudget,Sheet1!S71_A4SubCode,$AC:$AC)</f>
        <v>0</v>
      </c>
      <c r="E47" s="1356"/>
      <c r="F47" s="1356"/>
      <c r="G47" s="1356"/>
      <c r="H47" s="1356"/>
      <c r="I47" s="1356">
        <f>SUMIFS(Sheet1!S71_AdjustmentAmount,Sheet1!S71_A4SubCode,$AC:$AC)</f>
        <v>0</v>
      </c>
      <c r="J47" s="75">
        <f>SUM(E47:I47)</f>
        <v>0</v>
      </c>
      <c r="K47" s="75">
        <f>IF(D47=0,C47+J47,D47+J47)</f>
        <v>0</v>
      </c>
      <c r="L47" s="1356">
        <f>SUMIFS(Sheet1!S71_OY1AdjustedBudget,Sheet1!S71_A4SubCode,$AC:$AC)</f>
        <v>0</v>
      </c>
      <c r="M47" s="1357">
        <f>SUMIFS(Sheet1!S71_OY2AdjustedBudget,Sheet1!S71_A4SubCode,$AC:$AC)</f>
        <v>0</v>
      </c>
    </row>
    <row r="48" spans="1:29" ht="11.25" customHeight="1" x14ac:dyDescent="0.25">
      <c r="A48" s="160" t="s">
        <v>186</v>
      </c>
      <c r="B48" s="79"/>
      <c r="C48" s="80">
        <f>SUM(C45:C47)</f>
        <v>0</v>
      </c>
      <c r="D48" s="81">
        <f t="shared" ref="D48:M48" si="7">SUM(D45:D47)</f>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29" ht="11.25" customHeight="1" x14ac:dyDescent="0.25">
      <c r="A49" s="50"/>
      <c r="B49" s="135"/>
      <c r="C49" s="74"/>
      <c r="D49" s="75"/>
      <c r="E49" s="75"/>
      <c r="F49" s="75"/>
      <c r="G49" s="75"/>
      <c r="H49" s="75"/>
      <c r="I49" s="75"/>
      <c r="J49" s="75"/>
      <c r="K49" s="75"/>
      <c r="L49" s="75"/>
      <c r="M49" s="76"/>
    </row>
    <row r="50" spans="1:29" ht="11.25" customHeight="1" x14ac:dyDescent="0.25">
      <c r="A50" s="52" t="s">
        <v>1411</v>
      </c>
      <c r="B50" s="135"/>
      <c r="C50" s="74"/>
      <c r="D50" s="75"/>
      <c r="E50" s="75"/>
      <c r="F50" s="75"/>
      <c r="G50" s="75"/>
      <c r="H50" s="75"/>
      <c r="I50" s="75"/>
      <c r="J50" s="75"/>
      <c r="K50" s="75"/>
      <c r="L50" s="75"/>
      <c r="M50" s="76"/>
    </row>
    <row r="51" spans="1:29" ht="11.25" customHeight="1" x14ac:dyDescent="0.25">
      <c r="A51" s="291" t="s">
        <v>157</v>
      </c>
      <c r="B51" s="135">
        <v>4</v>
      </c>
      <c r="C51" s="1355">
        <f>SUMIFS(Sheet1!S71_OriginalBudget,Sheet1!S71_A4SubCode,$AC:$AC)</f>
        <v>0</v>
      </c>
      <c r="D51" s="1356">
        <f>SUMIFS(Sheet1!S71_SpecialAdjustedBudget,Sheet1!S71_A4SubCode,$AC:$AC)</f>
        <v>0</v>
      </c>
      <c r="E51" s="1356"/>
      <c r="F51" s="1356"/>
      <c r="G51" s="1356"/>
      <c r="H51" s="1356"/>
      <c r="I51" s="1356">
        <f>SUMIFS(Sheet1!S71_AdjustmentAmount,Sheet1!S71_A4SubCode,$AC:$AC)</f>
        <v>0</v>
      </c>
      <c r="J51" s="75">
        <f>SUM(E51:I51)</f>
        <v>0</v>
      </c>
      <c r="K51" s="75">
        <f>IF(D51=0,C51+J51,D51+J51)</f>
        <v>0</v>
      </c>
      <c r="L51" s="1356">
        <f>SUMIFS(Sheet1!S71_OY1AdjustedBudget,Sheet1!S71_A4SubCode,$AC:$AC)</f>
        <v>0</v>
      </c>
      <c r="M51" s="1357">
        <f>SUMIFS(Sheet1!S71_OY2AdjustedBudget,Sheet1!S71_A4SubCode,$AC:$AC)</f>
        <v>0</v>
      </c>
      <c r="AC51" s="1336" t="s">
        <v>2228</v>
      </c>
    </row>
    <row r="52" spans="1:29" ht="11.25" customHeight="1" x14ac:dyDescent="0.25">
      <c r="A52" s="291" t="s">
        <v>157</v>
      </c>
      <c r="B52" s="135"/>
      <c r="C52" s="1355">
        <f>SUMIFS(Sheet1!S71_OriginalBudget,Sheet1!S71_A4SubCode,$AC:$AC)</f>
        <v>0</v>
      </c>
      <c r="D52" s="1356">
        <f>SUMIFS(Sheet1!S71_SpecialAdjustedBudget,Sheet1!S71_A4SubCode,$AC:$AC)</f>
        <v>0</v>
      </c>
      <c r="E52" s="1356"/>
      <c r="F52" s="1356"/>
      <c r="G52" s="1356"/>
      <c r="H52" s="1356"/>
      <c r="I52" s="1356">
        <f>SUMIFS(Sheet1!S71_AdjustmentAmount,Sheet1!S71_A4SubCode,$AC:$AC)</f>
        <v>0</v>
      </c>
      <c r="J52" s="75">
        <f>SUM(E52:I52)</f>
        <v>0</v>
      </c>
      <c r="K52" s="75">
        <f>IF(D52=0,C52+J52,D52+J52)</f>
        <v>0</v>
      </c>
      <c r="L52" s="1356">
        <f>SUMIFS(Sheet1!S71_OY1AdjustedBudget,Sheet1!S71_A4SubCode,$AC:$AC)</f>
        <v>0</v>
      </c>
      <c r="M52" s="1357">
        <f>SUMIFS(Sheet1!S71_OY2AdjustedBudget,Sheet1!S71_A4SubCode,$AC:$AC)</f>
        <v>0</v>
      </c>
    </row>
    <row r="53" spans="1:29" ht="11.25" customHeight="1" x14ac:dyDescent="0.25">
      <c r="A53" s="291" t="s">
        <v>157</v>
      </c>
      <c r="B53" s="135"/>
      <c r="C53" s="1355">
        <f>SUMIFS(Sheet1!S71_OriginalBudget,Sheet1!S71_A4SubCode,$AC:$AC)</f>
        <v>0</v>
      </c>
      <c r="D53" s="1356">
        <f>SUMIFS(Sheet1!S71_SpecialAdjustedBudget,Sheet1!S71_A4SubCode,$AC:$AC)</f>
        <v>0</v>
      </c>
      <c r="E53" s="1356"/>
      <c r="F53" s="1356"/>
      <c r="G53" s="1356"/>
      <c r="H53" s="1356"/>
      <c r="I53" s="1356">
        <f>SUMIFS(Sheet1!S71_AdjustmentAmount,Sheet1!S71_A4SubCode,$AC:$AC)</f>
        <v>0</v>
      </c>
      <c r="J53" s="75">
        <f>SUM(E53:I53)</f>
        <v>0</v>
      </c>
      <c r="K53" s="75">
        <f>IF(D53=0,C53+J53,D53+J53)</f>
        <v>0</v>
      </c>
      <c r="L53" s="1356">
        <f>SUMIFS(Sheet1!S71_OY1AdjustedBudget,Sheet1!S71_A4SubCode,$AC:$AC)</f>
        <v>0</v>
      </c>
      <c r="M53" s="1357">
        <f>SUMIFS(Sheet1!S71_OY2AdjustedBudget,Sheet1!S71_A4SubCode,$AC:$AC)</f>
        <v>0</v>
      </c>
    </row>
    <row r="54" spans="1:29" ht="23.25" customHeight="1" x14ac:dyDescent="0.25">
      <c r="A54" s="1036" t="s">
        <v>1412</v>
      </c>
      <c r="B54" s="79"/>
      <c r="C54" s="80">
        <f>SUM(C51:C53)</f>
        <v>0</v>
      </c>
      <c r="D54" s="81">
        <f t="shared" ref="D54:M54" si="8">SUM(D51:D53)</f>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29" ht="11.25" customHeight="1" x14ac:dyDescent="0.25">
      <c r="A55" s="50"/>
      <c r="B55" s="135"/>
      <c r="C55" s="74"/>
      <c r="D55" s="75"/>
      <c r="E55" s="75"/>
      <c r="F55" s="75"/>
      <c r="G55" s="75"/>
      <c r="H55" s="75"/>
      <c r="I55" s="75"/>
      <c r="J55" s="75"/>
      <c r="K55" s="75"/>
      <c r="L55" s="75"/>
      <c r="M55" s="76"/>
    </row>
    <row r="56" spans="1:29" ht="11.25" customHeight="1" x14ac:dyDescent="0.25">
      <c r="A56" s="1037" t="s">
        <v>1413</v>
      </c>
      <c r="B56" s="1038">
        <v>5</v>
      </c>
      <c r="C56" s="1039">
        <f>C36+C42+C48+C54</f>
        <v>0</v>
      </c>
      <c r="D56" s="1039">
        <f t="shared" ref="D56:M56" si="9">D36+D42+D48+D54</f>
        <v>0</v>
      </c>
      <c r="E56" s="1039">
        <f t="shared" si="9"/>
        <v>0</v>
      </c>
      <c r="F56" s="1039">
        <f t="shared" si="9"/>
        <v>0</v>
      </c>
      <c r="G56" s="1039">
        <f t="shared" si="9"/>
        <v>0</v>
      </c>
      <c r="H56" s="1039">
        <f t="shared" si="9"/>
        <v>0</v>
      </c>
      <c r="I56" s="1039">
        <f t="shared" si="9"/>
        <v>0</v>
      </c>
      <c r="J56" s="1039">
        <f t="shared" si="9"/>
        <v>0</v>
      </c>
      <c r="K56" s="1039">
        <f t="shared" si="9"/>
        <v>0</v>
      </c>
      <c r="L56" s="1039">
        <f t="shared" si="9"/>
        <v>0</v>
      </c>
      <c r="M56" s="1039">
        <f t="shared" si="9"/>
        <v>0</v>
      </c>
    </row>
    <row r="57" spans="1:29" ht="11.25" customHeight="1" x14ac:dyDescent="0.25">
      <c r="A57" s="153" t="s">
        <v>1414</v>
      </c>
      <c r="B57" s="154"/>
      <c r="C57" s="155">
        <f>C30+C56</f>
        <v>0</v>
      </c>
      <c r="D57" s="155">
        <f t="shared" ref="D57:M57" si="10">D30+D56</f>
        <v>0</v>
      </c>
      <c r="E57" s="155">
        <f t="shared" si="10"/>
        <v>0</v>
      </c>
      <c r="F57" s="155">
        <f t="shared" si="10"/>
        <v>0</v>
      </c>
      <c r="G57" s="155">
        <f t="shared" si="10"/>
        <v>0</v>
      </c>
      <c r="H57" s="155">
        <f t="shared" si="10"/>
        <v>0</v>
      </c>
      <c r="I57" s="155">
        <f t="shared" si="10"/>
        <v>0</v>
      </c>
      <c r="J57" s="155">
        <f t="shared" si="10"/>
        <v>0</v>
      </c>
      <c r="K57" s="155">
        <f t="shared" si="10"/>
        <v>0</v>
      </c>
      <c r="L57" s="155">
        <f t="shared" si="10"/>
        <v>0</v>
      </c>
      <c r="M57" s="155">
        <f t="shared" si="10"/>
        <v>0</v>
      </c>
    </row>
    <row r="58" spans="1:29" ht="11.25" customHeight="1" x14ac:dyDescent="0.25">
      <c r="A58" s="156" t="str">
        <f>head27a</f>
        <v>References</v>
      </c>
      <c r="B58" s="93"/>
      <c r="C58" s="96"/>
      <c r="D58" s="96"/>
      <c r="E58" s="96"/>
      <c r="F58" s="96"/>
      <c r="G58" s="96"/>
      <c r="H58" s="96"/>
      <c r="I58" s="96"/>
      <c r="J58" s="96"/>
      <c r="K58" s="96"/>
      <c r="L58" s="96"/>
      <c r="M58" s="96"/>
    </row>
    <row r="59" spans="1:29" ht="11.25" customHeight="1" x14ac:dyDescent="0.25">
      <c r="A59" s="97" t="s">
        <v>187</v>
      </c>
      <c r="B59" s="93"/>
      <c r="C59" s="99"/>
      <c r="D59" s="99"/>
      <c r="E59" s="99"/>
      <c r="F59" s="99"/>
      <c r="G59" s="99"/>
      <c r="H59" s="99"/>
      <c r="I59" s="99"/>
      <c r="J59" s="99"/>
      <c r="K59" s="99"/>
      <c r="L59" s="99"/>
      <c r="M59" s="99"/>
    </row>
    <row r="60" spans="1:29" ht="11.25" customHeight="1" x14ac:dyDescent="0.25">
      <c r="A60" s="97" t="s">
        <v>188</v>
      </c>
      <c r="B60" s="93"/>
      <c r="C60" s="99"/>
      <c r="D60" s="99"/>
      <c r="E60" s="99"/>
      <c r="F60" s="99"/>
      <c r="G60" s="99"/>
      <c r="H60" s="99"/>
      <c r="I60" s="99"/>
      <c r="J60" s="99"/>
      <c r="K60" s="99"/>
      <c r="L60" s="99"/>
      <c r="M60" s="99"/>
    </row>
    <row r="61" spans="1:29" ht="11.25" customHeight="1" x14ac:dyDescent="0.25">
      <c r="A61" s="97" t="s">
        <v>189</v>
      </c>
      <c r="B61" s="93"/>
      <c r="C61" s="99"/>
      <c r="D61" s="99"/>
      <c r="E61" s="99"/>
      <c r="F61" s="99"/>
      <c r="G61" s="99"/>
      <c r="H61" s="99"/>
      <c r="I61" s="99"/>
      <c r="J61" s="99"/>
      <c r="K61" s="99"/>
      <c r="L61" s="99"/>
      <c r="M61" s="99"/>
    </row>
    <row r="62" spans="1:29" ht="11.25" customHeight="1" x14ac:dyDescent="0.25">
      <c r="A62" s="97" t="s">
        <v>190</v>
      </c>
      <c r="B62" s="93"/>
      <c r="C62" s="99"/>
      <c r="D62" s="99"/>
      <c r="E62" s="99"/>
      <c r="F62" s="99"/>
      <c r="G62" s="99"/>
      <c r="H62" s="99"/>
      <c r="I62" s="99"/>
      <c r="J62" s="99"/>
      <c r="K62" s="99"/>
      <c r="L62" s="99"/>
      <c r="M62" s="99"/>
    </row>
    <row r="63" spans="1:29" ht="11.25" customHeight="1" x14ac:dyDescent="0.25">
      <c r="A63" s="97" t="s">
        <v>191</v>
      </c>
      <c r="B63" s="93"/>
      <c r="C63" s="99"/>
      <c r="D63" s="99"/>
      <c r="E63" s="99"/>
      <c r="F63" s="99"/>
      <c r="G63" s="99"/>
      <c r="H63" s="99"/>
      <c r="I63" s="99"/>
      <c r="J63" s="99"/>
      <c r="K63" s="99"/>
      <c r="L63" s="99"/>
      <c r="M63" s="99"/>
    </row>
    <row r="64" spans="1:29" ht="11.25" customHeight="1" x14ac:dyDescent="0.25">
      <c r="A64" s="98" t="s">
        <v>162</v>
      </c>
      <c r="B64" s="98"/>
      <c r="C64" s="98"/>
      <c r="D64" s="98"/>
      <c r="E64" s="98"/>
      <c r="F64" s="98"/>
      <c r="G64" s="98"/>
      <c r="H64" s="98"/>
      <c r="I64" s="98"/>
      <c r="J64" s="98"/>
      <c r="K64" s="98"/>
      <c r="L64" s="98"/>
      <c r="M64" s="98"/>
    </row>
    <row r="65" spans="1:13" ht="11.25" customHeight="1" x14ac:dyDescent="0.25">
      <c r="A65" s="98" t="s">
        <v>1181</v>
      </c>
      <c r="B65" s="98"/>
      <c r="C65" s="98"/>
      <c r="D65" s="98"/>
      <c r="E65" s="98"/>
      <c r="F65" s="98"/>
      <c r="G65" s="98"/>
      <c r="H65" s="98"/>
      <c r="I65" s="98"/>
      <c r="J65" s="98"/>
      <c r="K65" s="98"/>
      <c r="L65" s="98"/>
      <c r="M65" s="98"/>
    </row>
    <row r="66" spans="1:13" ht="11.25" customHeight="1" x14ac:dyDescent="0.25">
      <c r="A66" s="98" t="s">
        <v>1182</v>
      </c>
      <c r="B66" s="98"/>
      <c r="C66" s="98"/>
      <c r="D66" s="98"/>
      <c r="E66" s="98"/>
      <c r="F66" s="98"/>
      <c r="G66" s="98"/>
      <c r="H66" s="98"/>
      <c r="I66" s="98"/>
      <c r="J66" s="98"/>
      <c r="K66" s="98"/>
      <c r="L66" s="98"/>
      <c r="M66" s="98"/>
    </row>
    <row r="67" spans="1:13" ht="25.5" x14ac:dyDescent="0.25">
      <c r="A67" s="98" t="s">
        <v>1183</v>
      </c>
      <c r="B67" s="98"/>
      <c r="C67" s="98"/>
      <c r="D67" s="98"/>
      <c r="E67" s="98"/>
      <c r="F67" s="98"/>
      <c r="G67" s="98"/>
      <c r="H67" s="98"/>
      <c r="I67" s="98"/>
      <c r="J67" s="98"/>
      <c r="K67" s="98"/>
      <c r="L67" s="98"/>
      <c r="M67" s="98"/>
    </row>
    <row r="68" spans="1:13" x14ac:dyDescent="0.25">
      <c r="A68" s="99" t="s">
        <v>1184</v>
      </c>
      <c r="B68" s="93"/>
      <c r="C68" s="96"/>
      <c r="D68" s="96"/>
      <c r="E68" s="96"/>
      <c r="F68" s="96"/>
      <c r="G68" s="96"/>
      <c r="H68" s="96"/>
      <c r="I68" s="96"/>
      <c r="J68" s="96"/>
      <c r="K68" s="96"/>
      <c r="L68" s="96"/>
      <c r="M68" s="96"/>
    </row>
    <row r="69" spans="1:13" ht="63.75" x14ac:dyDescent="0.25">
      <c r="A69" s="98" t="s">
        <v>1193</v>
      </c>
      <c r="B69" s="98"/>
      <c r="C69" s="98"/>
      <c r="D69" s="98"/>
      <c r="E69" s="98"/>
      <c r="F69" s="98"/>
      <c r="G69" s="98"/>
      <c r="H69" s="98"/>
      <c r="I69" s="98"/>
      <c r="J69" s="98"/>
      <c r="K69" s="98"/>
      <c r="L69" s="98"/>
      <c r="M69" s="98"/>
    </row>
    <row r="70" spans="1:13" x14ac:dyDescent="0.25">
      <c r="A70" s="99" t="s">
        <v>192</v>
      </c>
      <c r="B70" s="93"/>
      <c r="C70" s="96"/>
      <c r="D70" s="96"/>
      <c r="E70" s="96"/>
      <c r="F70" s="96"/>
      <c r="G70" s="96"/>
      <c r="H70" s="96"/>
      <c r="I70" s="96"/>
      <c r="J70" s="96"/>
      <c r="K70" s="96"/>
      <c r="L70" s="96"/>
      <c r="M70" s="96"/>
    </row>
    <row r="71" spans="1:13" x14ac:dyDescent="0.25">
      <c r="A71" s="99" t="s">
        <v>1195</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4"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1">
    <tabColor indexed="42"/>
    <pageSetUpPr fitToPage="1"/>
  </sheetPr>
  <dimension ref="A1:AD192"/>
  <sheetViews>
    <sheetView showGridLines="0" zoomScaleNormal="100" workbookViewId="0">
      <pane xSplit="2" ySplit="5" topLeftCell="C6" activePane="bottomRight" state="frozen"/>
      <selection activeCell="C227" sqref="C227"/>
      <selection pane="topRight" activeCell="C227" sqref="C227"/>
      <selection pane="bottomLeft" activeCell="C227" sqref="C227"/>
      <selection pane="bottomRight" activeCell="I46" sqref="I46"/>
    </sheetView>
  </sheetViews>
  <sheetFormatPr defaultColWidth="9.140625" defaultRowHeight="12.75" x14ac:dyDescent="0.25"/>
  <cols>
    <col min="1" max="1" width="35.5703125" style="5" customWidth="1"/>
    <col min="2" max="2" width="3.140625" style="58" customWidth="1"/>
    <col min="3" max="11" width="8.5703125" style="5" customWidth="1"/>
    <col min="12" max="12" width="5.570312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28" width="9.140625" style="5" customWidth="1"/>
    <col min="29" max="30" width="9.140625" style="1339"/>
    <col min="31" max="16384" width="9.140625" style="5"/>
  </cols>
  <sheetData>
    <row r="1" spans="1:29" ht="13.5" x14ac:dyDescent="0.25">
      <c r="A1" s="57" t="str">
        <f>muni&amp;" - "&amp;ADJB11&amp;" - "&amp;Date</f>
        <v xml:space="preserve">KZN226 Mkhambathini - Supporting Table SB11 Adjustments Budget - councillor and staff benefits - </v>
      </c>
      <c r="B1" s="5"/>
      <c r="C1" s="58"/>
      <c r="AC1" s="1338"/>
    </row>
    <row r="2" spans="1:29" x14ac:dyDescent="0.25">
      <c r="A2" s="1423" t="s">
        <v>193</v>
      </c>
      <c r="B2" s="1420" t="str">
        <f>head27</f>
        <v>Ref</v>
      </c>
      <c r="C2" s="1417" t="str">
        <f>Head2</f>
        <v>Budget Year 2020/21</v>
      </c>
      <c r="D2" s="1418"/>
      <c r="E2" s="1418"/>
      <c r="F2" s="1418"/>
      <c r="G2" s="1418"/>
      <c r="H2" s="1418"/>
      <c r="I2" s="1418"/>
      <c r="J2" s="1418"/>
      <c r="K2" s="1469"/>
      <c r="L2" s="500"/>
      <c r="AC2" s="1340"/>
    </row>
    <row r="3" spans="1:29" ht="38.25" x14ac:dyDescent="0.25">
      <c r="A3" s="1424"/>
      <c r="B3" s="14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01" t="str">
        <f>Head7</f>
        <v>Adjusted Budget</v>
      </c>
      <c r="L3" s="502" t="s">
        <v>194</v>
      </c>
      <c r="AC3" s="1338"/>
    </row>
    <row r="4" spans="1:29" ht="13.5" x14ac:dyDescent="0.25">
      <c r="A4" s="64"/>
      <c r="B4" s="295"/>
      <c r="C4" s="65"/>
      <c r="D4" s="15">
        <v>5</v>
      </c>
      <c r="E4" s="15">
        <v>6</v>
      </c>
      <c r="F4" s="15">
        <v>7</v>
      </c>
      <c r="G4" s="15">
        <v>8</v>
      </c>
      <c r="H4" s="15">
        <v>9</v>
      </c>
      <c r="I4" s="16">
        <v>10</v>
      </c>
      <c r="J4" s="16">
        <v>11</v>
      </c>
      <c r="K4" s="16">
        <v>12</v>
      </c>
      <c r="L4" s="73"/>
      <c r="AC4" s="1338"/>
    </row>
    <row r="5" spans="1:29" ht="13.5" x14ac:dyDescent="0.25">
      <c r="A5" s="66" t="s">
        <v>605</v>
      </c>
      <c r="B5" s="104"/>
      <c r="C5" s="67" t="s">
        <v>549</v>
      </c>
      <c r="D5" s="68" t="s">
        <v>550</v>
      </c>
      <c r="E5" s="68" t="s">
        <v>551</v>
      </c>
      <c r="F5" s="69" t="s">
        <v>552</v>
      </c>
      <c r="G5" s="69" t="s">
        <v>553</v>
      </c>
      <c r="H5" s="69" t="s">
        <v>554</v>
      </c>
      <c r="I5" s="70" t="s">
        <v>555</v>
      </c>
      <c r="J5" s="503" t="s">
        <v>556</v>
      </c>
      <c r="K5" s="504" t="s">
        <v>557</v>
      </c>
      <c r="L5" s="73"/>
      <c r="AC5" s="1338"/>
    </row>
    <row r="6" spans="1:29" ht="12.75" customHeight="1" x14ac:dyDescent="0.25">
      <c r="A6" s="505" t="s">
        <v>195</v>
      </c>
      <c r="B6" s="105"/>
      <c r="C6" s="74"/>
      <c r="D6" s="75"/>
      <c r="E6" s="75"/>
      <c r="F6" s="75"/>
      <c r="G6" s="75"/>
      <c r="H6" s="75"/>
      <c r="I6" s="75"/>
      <c r="J6" s="506"/>
      <c r="K6" s="506"/>
      <c r="L6" s="73"/>
      <c r="AC6" s="1338"/>
    </row>
    <row r="7" spans="1:29" ht="12.75" customHeight="1" x14ac:dyDescent="0.25">
      <c r="A7" s="584" t="s">
        <v>203</v>
      </c>
      <c r="B7" s="73"/>
      <c r="C7" s="1355">
        <f>SUMIFS(Sheet1!S71_OriginalBudget,Sheet1!S71_A4SubCode,$AC:$AC)</f>
        <v>5752321</v>
      </c>
      <c r="D7" s="1356">
        <f>SUMIFS(Sheet1!S71_SpecialAdjustedBudget,Sheet1!S71_A4SubCode,$AC:$AC)</f>
        <v>5752321</v>
      </c>
      <c r="E7" s="507"/>
      <c r="F7" s="507"/>
      <c r="G7" s="109"/>
      <c r="H7" s="507"/>
      <c r="I7" s="1356">
        <v>0</v>
      </c>
      <c r="J7" s="506">
        <f>G7+I7</f>
        <v>0</v>
      </c>
      <c r="K7" s="506">
        <f t="shared" ref="K7:K13" si="0">IF(D7=0,C7+J7,D7+J7)</f>
        <v>5752321</v>
      </c>
      <c r="L7" s="508">
        <f>IF(K7=0,"",(K7/C7)-1)</f>
        <v>0</v>
      </c>
      <c r="AC7" s="1340" t="s">
        <v>2184</v>
      </c>
    </row>
    <row r="8" spans="1:29" ht="12.75" customHeight="1" x14ac:dyDescent="0.25">
      <c r="A8" s="584" t="s">
        <v>1375</v>
      </c>
      <c r="B8" s="73"/>
      <c r="C8" s="1355">
        <f>SUMIFS(Sheet1!S71_OriginalBudget,Sheet1!S71_A4SubCode,$AC:$AC)</f>
        <v>0</v>
      </c>
      <c r="D8" s="1356">
        <f>SUMIFS(Sheet1!S71_SpecialAdjustedBudget,Sheet1!S71_A4SubCode,$AC:$AC)</f>
        <v>0</v>
      </c>
      <c r="E8" s="507"/>
      <c r="F8" s="507"/>
      <c r="G8" s="109"/>
      <c r="H8" s="507"/>
      <c r="I8" s="1356">
        <f>SUMIFS(Sheet1!S71_AdjustmentAmount,Sheet1!S71_A4SubCode,$AC:$AC)</f>
        <v>0</v>
      </c>
      <c r="J8" s="506">
        <f t="shared" ref="J8:J13" si="1">G8+I8</f>
        <v>0</v>
      </c>
      <c r="K8" s="506">
        <f t="shared" si="0"/>
        <v>0</v>
      </c>
      <c r="L8" s="508" t="str">
        <f>IF(K8=0,"",(K8/C8)-1)</f>
        <v/>
      </c>
      <c r="AC8" s="1340">
        <v>210002</v>
      </c>
    </row>
    <row r="9" spans="1:29" ht="12.75" customHeight="1" x14ac:dyDescent="0.25">
      <c r="A9" s="584" t="s">
        <v>196</v>
      </c>
      <c r="B9" s="73"/>
      <c r="C9" s="1355">
        <f>SUMIFS(Sheet1!S71_OriginalBudget,Sheet1!S71_A4SubCode,$AC:$AC)</f>
        <v>0</v>
      </c>
      <c r="D9" s="1356">
        <f>SUMIFS(Sheet1!S71_SpecialAdjustedBudget,Sheet1!S71_A4SubCode,$AC:$AC)</f>
        <v>0</v>
      </c>
      <c r="E9" s="507"/>
      <c r="F9" s="507"/>
      <c r="G9" s="109"/>
      <c r="H9" s="507"/>
      <c r="I9" s="1356">
        <f>SUMIFS(Sheet1!S71_AdjustmentAmount,Sheet1!S71_A4SubCode,$AC:$AC)</f>
        <v>0</v>
      </c>
      <c r="J9" s="506">
        <f t="shared" si="1"/>
        <v>0</v>
      </c>
      <c r="K9" s="506">
        <f t="shared" si="0"/>
        <v>0</v>
      </c>
      <c r="L9" s="508" t="str">
        <f>IF(K9=0,"",(K9/C9)-1)</f>
        <v/>
      </c>
      <c r="AC9" s="1340">
        <v>210003</v>
      </c>
    </row>
    <row r="10" spans="1:29" ht="12.75" customHeight="1" x14ac:dyDescent="0.25">
      <c r="A10" s="584" t="s">
        <v>1376</v>
      </c>
      <c r="B10" s="73"/>
      <c r="C10" s="1355">
        <f>SUMIFS(Sheet1!S71_OriginalBudget,Sheet1!S71_A4SubCode,$AC:$AC)</f>
        <v>0</v>
      </c>
      <c r="D10" s="1356">
        <f>SUMIFS(Sheet1!S71_SpecialAdjustedBudget,Sheet1!S71_A4SubCode,$AC:$AC)</f>
        <v>0</v>
      </c>
      <c r="E10" s="507"/>
      <c r="F10" s="507"/>
      <c r="G10" s="109"/>
      <c r="H10" s="507"/>
      <c r="I10" s="1356">
        <f>SUMIFS(Sheet1!S71_AdjustmentAmount,Sheet1!S71_A4SubCode,$AC:$AC)</f>
        <v>0</v>
      </c>
      <c r="J10" s="506">
        <f t="shared" si="1"/>
        <v>0</v>
      </c>
      <c r="K10" s="506">
        <f t="shared" si="0"/>
        <v>0</v>
      </c>
      <c r="L10" s="508" t="str">
        <f t="shared" ref="L10:L11" si="2">IF(K10=0,"",(K10/C10)-1)</f>
        <v/>
      </c>
      <c r="AC10" s="1340">
        <v>210004</v>
      </c>
    </row>
    <row r="11" spans="1:29" ht="12.75" customHeight="1" x14ac:dyDescent="0.25">
      <c r="A11" s="127" t="s">
        <v>1377</v>
      </c>
      <c r="B11" s="73"/>
      <c r="C11" s="1355">
        <f>SUMIFS(Sheet1!S71_OriginalBudget,Sheet1!S71_A4SubCode,$AC:$AC)</f>
        <v>621600</v>
      </c>
      <c r="D11" s="1356">
        <f>SUMIFS(Sheet1!S71_SpecialAdjustedBudget,Sheet1!S71_A4SubCode,$AC:$AC)</f>
        <v>621600</v>
      </c>
      <c r="E11" s="507"/>
      <c r="F11" s="507"/>
      <c r="G11" s="109"/>
      <c r="H11" s="507"/>
      <c r="I11" s="1356">
        <v>0</v>
      </c>
      <c r="J11" s="506">
        <f t="shared" si="1"/>
        <v>0</v>
      </c>
      <c r="K11" s="506">
        <f t="shared" si="0"/>
        <v>621600</v>
      </c>
      <c r="L11" s="508">
        <f t="shared" si="2"/>
        <v>0</v>
      </c>
      <c r="AC11" s="1340">
        <v>210005</v>
      </c>
    </row>
    <row r="12" spans="1:29" ht="12.75" customHeight="1" x14ac:dyDescent="0.25">
      <c r="A12" s="127" t="s">
        <v>1378</v>
      </c>
      <c r="B12" s="73"/>
      <c r="C12" s="1355">
        <f>SUMIFS(Sheet1!S71_OriginalBudget,Sheet1!S71_A4SubCode,$AC:$AC)</f>
        <v>0</v>
      </c>
      <c r="D12" s="1356">
        <f>SUMIFS(Sheet1!S71_SpecialAdjustedBudget,Sheet1!S71_A4SubCode,$AC:$AC)</f>
        <v>0</v>
      </c>
      <c r="E12" s="507"/>
      <c r="F12" s="507"/>
      <c r="G12" s="109"/>
      <c r="H12" s="507"/>
      <c r="I12" s="1356">
        <f>SUMIFS(Sheet1!S71_AdjustmentAmount,Sheet1!S71_A4SubCode,$AC:$AC)</f>
        <v>0</v>
      </c>
      <c r="J12" s="506">
        <f t="shared" si="1"/>
        <v>0</v>
      </c>
      <c r="K12" s="506">
        <f t="shared" si="0"/>
        <v>0</v>
      </c>
      <c r="L12" s="508" t="str">
        <f t="shared" ref="L12:L13" si="3">IF(K12=0,"",(K12/C12)-1)</f>
        <v/>
      </c>
      <c r="N12" s="126"/>
      <c r="AC12" s="1340">
        <v>210006</v>
      </c>
    </row>
    <row r="13" spans="1:29" ht="12.75" customHeight="1" x14ac:dyDescent="0.25">
      <c r="A13" s="127" t="s">
        <v>1185</v>
      </c>
      <c r="B13" s="73"/>
      <c r="C13" s="1355">
        <f>SUMIFS(Sheet1!S71_OriginalBudget,Sheet1!S71_A4SubCode,$AC:$AC)</f>
        <v>0</v>
      </c>
      <c r="D13" s="1356">
        <f>SUMIFS(Sheet1!S71_SpecialAdjustedBudget,Sheet1!S71_A4SubCode,$AC:$AC)</f>
        <v>0</v>
      </c>
      <c r="E13" s="507"/>
      <c r="F13" s="507"/>
      <c r="G13" s="109"/>
      <c r="H13" s="507"/>
      <c r="I13" s="1356">
        <f>SUMIFS(Sheet1!S71_AdjustmentAmount,Sheet1!S71_A4SubCode,$AC:$AC)</f>
        <v>0</v>
      </c>
      <c r="J13" s="506">
        <f t="shared" si="1"/>
        <v>0</v>
      </c>
      <c r="K13" s="506">
        <f t="shared" si="0"/>
        <v>0</v>
      </c>
      <c r="L13" s="508" t="str">
        <f t="shared" si="3"/>
        <v/>
      </c>
      <c r="N13" s="126"/>
      <c r="AC13" s="1340">
        <v>210007</v>
      </c>
    </row>
    <row r="14" spans="1:29" ht="12.75" customHeight="1" x14ac:dyDescent="0.25">
      <c r="A14" s="137" t="s">
        <v>197</v>
      </c>
      <c r="B14" s="73"/>
      <c r="C14" s="300">
        <f>SUM(C7:C13)</f>
        <v>6373921</v>
      </c>
      <c r="D14" s="149">
        <f>SUM(D7:D13)</f>
        <v>6373921</v>
      </c>
      <c r="E14" s="509"/>
      <c r="F14" s="509"/>
      <c r="G14" s="149">
        <f>SUM(G7:G13)</f>
        <v>0</v>
      </c>
      <c r="H14" s="509"/>
      <c r="I14" s="149">
        <f>SUM(I7:I13)</f>
        <v>0</v>
      </c>
      <c r="J14" s="149">
        <f>SUM(J7:J13)</f>
        <v>0</v>
      </c>
      <c r="K14" s="150">
        <f>SUM(K7:K13)</f>
        <v>6373921</v>
      </c>
      <c r="L14" s="510">
        <f>IF(K14=0,"",(K14/C14)-1)</f>
        <v>0</v>
      </c>
      <c r="AC14" s="1338"/>
    </row>
    <row r="15" spans="1:29" ht="12.75" customHeight="1" x14ac:dyDescent="0.25">
      <c r="A15" s="823" t="s">
        <v>198</v>
      </c>
      <c r="B15" s="73"/>
      <c r="C15" s="511"/>
      <c r="D15" s="139">
        <f>IF(ISERROR((D14/C14)-1),0,((D14/C14)-1))</f>
        <v>0</v>
      </c>
      <c r="E15" s="512"/>
      <c r="F15" s="512"/>
      <c r="G15" s="512"/>
      <c r="H15" s="512"/>
      <c r="I15" s="512"/>
      <c r="J15" s="513"/>
      <c r="K15" s="514">
        <f>IF(ISERROR((K14/J14)-1),0,((K14/J14)-1))</f>
        <v>0</v>
      </c>
      <c r="L15" s="510"/>
      <c r="AC15" s="1338"/>
    </row>
    <row r="16" spans="1:29" ht="3.75" customHeight="1" x14ac:dyDescent="0.25">
      <c r="A16" s="137"/>
      <c r="B16" s="73"/>
      <c r="C16" s="138"/>
      <c r="D16" s="139"/>
      <c r="E16" s="512"/>
      <c r="F16" s="512"/>
      <c r="G16" s="139"/>
      <c r="H16" s="512"/>
      <c r="I16" s="139"/>
      <c r="J16" s="514"/>
      <c r="K16" s="514"/>
      <c r="L16" s="510"/>
      <c r="AC16" s="1338"/>
    </row>
    <row r="17" spans="1:30" ht="12.75" customHeight="1" x14ac:dyDescent="0.25">
      <c r="A17" s="124" t="s">
        <v>199</v>
      </c>
      <c r="B17" s="73"/>
      <c r="C17" s="74"/>
      <c r="D17" s="75"/>
      <c r="E17" s="75"/>
      <c r="F17" s="75"/>
      <c r="G17" s="75"/>
      <c r="H17" s="75"/>
      <c r="I17" s="75"/>
      <c r="J17" s="506"/>
      <c r="K17" s="506"/>
      <c r="L17" s="508"/>
      <c r="AC17" s="1338"/>
    </row>
    <row r="18" spans="1:30" ht="12.75" customHeight="1" x14ac:dyDescent="0.25">
      <c r="A18" s="127" t="s">
        <v>203</v>
      </c>
      <c r="B18" s="73"/>
      <c r="C18" s="1355">
        <f>SUMIFS(Sheet1!S71_OriginalBudget,Sheet1!S71_SA1SubCode,$AC:$AC,Sheet1!S71_StaffCode,$AD:$AD)</f>
        <v>4718457</v>
      </c>
      <c r="D18" s="1356">
        <f>SUMIFS(Sheet1!S71_SpecialAdjustedBudget,Sheet1!S71_SA1SubCode,$AC:$AC,Sheet1!S71_StaffCode,$AD:$AD)</f>
        <v>4718457</v>
      </c>
      <c r="E18" s="109"/>
      <c r="F18" s="507"/>
      <c r="G18" s="109"/>
      <c r="H18" s="507"/>
      <c r="I18" s="1356">
        <v>0</v>
      </c>
      <c r="J18" s="506">
        <f t="shared" ref="J18:J29" si="4">D18+G18+I18</f>
        <v>4718457</v>
      </c>
      <c r="K18" s="506">
        <f t="shared" ref="K18:K29" si="5">IF(D18=0,C18+J18,D18+J18)</f>
        <v>9436914</v>
      </c>
      <c r="L18" s="508">
        <f>IF(K18=0,"",(K18/C18)-1)</f>
        <v>1</v>
      </c>
      <c r="AC18" s="1340" t="s">
        <v>1882</v>
      </c>
      <c r="AD18" s="1339" t="s">
        <v>2176</v>
      </c>
    </row>
    <row r="19" spans="1:30" ht="12.75" customHeight="1" x14ac:dyDescent="0.25">
      <c r="A19" s="127" t="s">
        <v>1375</v>
      </c>
      <c r="B19" s="73"/>
      <c r="C19" s="1355">
        <f>SUMIFS(Sheet1!S71_OriginalBudget,Sheet1!S71_SA1SubCode,$AC:$AC,Sheet1!S71_StaffCode,$AD:$AD)</f>
        <v>29458</v>
      </c>
      <c r="D19" s="1356">
        <f>SUMIFS(Sheet1!S71_SpecialAdjustedBudget,Sheet1!S71_SA1SubCode,$AC:$AC,Sheet1!S71_StaffCode,$AD:$AD)</f>
        <v>29458</v>
      </c>
      <c r="E19" s="109"/>
      <c r="F19" s="507"/>
      <c r="G19" s="109"/>
      <c r="H19" s="507"/>
      <c r="I19" s="1356">
        <v>0</v>
      </c>
      <c r="J19" s="506">
        <f t="shared" si="4"/>
        <v>29458</v>
      </c>
      <c r="K19" s="506">
        <f t="shared" si="5"/>
        <v>58916</v>
      </c>
      <c r="L19" s="508">
        <f t="shared" ref="L19:L30" si="6">IF(K19=0,"",(K19/C19)-1)</f>
        <v>1</v>
      </c>
      <c r="AC19" s="1340" t="s">
        <v>1883</v>
      </c>
      <c r="AD19" s="1339" t="s">
        <v>2176</v>
      </c>
    </row>
    <row r="20" spans="1:30" ht="12.75" customHeight="1" x14ac:dyDescent="0.25">
      <c r="A20" s="127" t="s">
        <v>196</v>
      </c>
      <c r="B20" s="73"/>
      <c r="C20" s="1355">
        <f>SUMIFS(Sheet1!S71_OriginalBudget,Sheet1!S71_SA1SubCode,$AC:$AC,Sheet1!S71_StaffCode,$AD:$AD)</f>
        <v>0</v>
      </c>
      <c r="D20" s="1356">
        <f>SUMIFS(Sheet1!S71_SpecialAdjustedBudget,Sheet1!S71_SA1SubCode,$AC:$AC,Sheet1!S71_StaffCode,$AD:$AD)</f>
        <v>0</v>
      </c>
      <c r="E20" s="109"/>
      <c r="F20" s="507"/>
      <c r="G20" s="109"/>
      <c r="H20" s="507"/>
      <c r="I20" s="1356">
        <v>0</v>
      </c>
      <c r="J20" s="506">
        <f t="shared" si="4"/>
        <v>0</v>
      </c>
      <c r="K20" s="506">
        <f t="shared" si="5"/>
        <v>0</v>
      </c>
      <c r="L20" s="508" t="str">
        <f t="shared" si="6"/>
        <v/>
      </c>
      <c r="AC20" s="1340" t="s">
        <v>1884</v>
      </c>
      <c r="AD20" s="1339" t="s">
        <v>2176</v>
      </c>
    </row>
    <row r="21" spans="1:30" ht="12.75" customHeight="1" x14ac:dyDescent="0.25">
      <c r="A21" s="127" t="s">
        <v>1157</v>
      </c>
      <c r="B21" s="73"/>
      <c r="C21" s="1355">
        <f>SUMIFS(Sheet1!S71_OriginalBudget,Sheet1!S71_SA1SubCode,$AC:$AC,Sheet1!S71_StaffCode,$AD:$AD)</f>
        <v>0</v>
      </c>
      <c r="D21" s="1356">
        <f>SUMIFS(Sheet1!S71_SpecialAdjustedBudget,Sheet1!S71_SA1SubCode,$AC:$AC,Sheet1!S71_StaffCode,$AD:$AD)</f>
        <v>0</v>
      </c>
      <c r="E21" s="109"/>
      <c r="F21" s="507"/>
      <c r="G21" s="109"/>
      <c r="H21" s="507"/>
      <c r="I21" s="1356">
        <f>SUMIFS(Sheet1!S71_AdjustmentAmount,Sheet1!S71_SA1SubCode,$AC:$AC,Sheet1!S71_StaffCode,$AD:$AD)</f>
        <v>0</v>
      </c>
      <c r="J21" s="506">
        <f t="shared" si="4"/>
        <v>0</v>
      </c>
      <c r="K21" s="506">
        <f t="shared" si="5"/>
        <v>0</v>
      </c>
      <c r="L21" s="508" t="str">
        <f>IF(K21=0,"",(K21/C21)-1)</f>
        <v/>
      </c>
      <c r="AC21" s="1340" t="s">
        <v>1885</v>
      </c>
      <c r="AD21" s="1339" t="s">
        <v>2176</v>
      </c>
    </row>
    <row r="22" spans="1:30" ht="12.75" customHeight="1" x14ac:dyDescent="0.25">
      <c r="A22" s="127" t="s">
        <v>200</v>
      </c>
      <c r="B22" s="73"/>
      <c r="C22" s="1355">
        <f>SUMIFS(Sheet1!S71_OriginalBudget,Sheet1!S71_SA1SubCode,$AC:$AC,Sheet1!S71_StaffCode,$AD:$AD)</f>
        <v>122042</v>
      </c>
      <c r="D22" s="1356">
        <f>SUMIFS(Sheet1!S71_SpecialAdjustedBudget,Sheet1!S71_SA1SubCode,$AC:$AC,Sheet1!S71_StaffCode,$AD:$AD)</f>
        <v>122042</v>
      </c>
      <c r="E22" s="109"/>
      <c r="F22" s="507"/>
      <c r="G22" s="109"/>
      <c r="H22" s="507"/>
      <c r="I22" s="1356">
        <f>SUMIFS(Sheet1!S71_AdjustmentAmount,Sheet1!S71_SA1SubCode,$AC:$AC,Sheet1!S71_StaffCode,$AD:$AD)</f>
        <v>0</v>
      </c>
      <c r="J22" s="506">
        <f t="shared" si="4"/>
        <v>122042</v>
      </c>
      <c r="K22" s="506">
        <f>IF(D22=0,C22+J22,D22+J22)</f>
        <v>244084</v>
      </c>
      <c r="L22" s="508">
        <f t="shared" si="6"/>
        <v>1</v>
      </c>
      <c r="AC22" s="1340" t="s">
        <v>1886</v>
      </c>
      <c r="AD22" s="1339" t="s">
        <v>2176</v>
      </c>
    </row>
    <row r="23" spans="1:30" ht="12.75" customHeight="1" x14ac:dyDescent="0.25">
      <c r="A23" s="127" t="s">
        <v>1376</v>
      </c>
      <c r="B23" s="73"/>
      <c r="C23" s="1355">
        <f>SUMIFS(Sheet1!S71_OriginalBudget,Sheet1!S71_SA1SubCode,$AC:$AC,Sheet1!S71_StaffCode,$AD:$AD)</f>
        <v>0</v>
      </c>
      <c r="D23" s="1356">
        <f>SUMIFS(Sheet1!S71_SpecialAdjustedBudget,Sheet1!S71_SA1SubCode,$AC:$AC,Sheet1!S71_StaffCode,$AD:$AD)</f>
        <v>0</v>
      </c>
      <c r="E23" s="109"/>
      <c r="F23" s="507"/>
      <c r="G23" s="109"/>
      <c r="H23" s="507"/>
      <c r="I23" s="1356">
        <v>0</v>
      </c>
      <c r="J23" s="506">
        <f t="shared" si="4"/>
        <v>0</v>
      </c>
      <c r="K23" s="506">
        <f t="shared" si="5"/>
        <v>0</v>
      </c>
      <c r="L23" s="508" t="str">
        <f t="shared" si="6"/>
        <v/>
      </c>
      <c r="AC23" s="1340" t="s">
        <v>1887</v>
      </c>
      <c r="AD23" s="1339" t="s">
        <v>2176</v>
      </c>
    </row>
    <row r="24" spans="1:30" ht="12.75" customHeight="1" x14ac:dyDescent="0.25">
      <c r="A24" s="127" t="s">
        <v>1377</v>
      </c>
      <c r="B24" s="73"/>
      <c r="C24" s="1355">
        <f>SUMIFS(Sheet1!S71_OriginalBudget,Sheet1!S71_SA1SubCode,$AC:$AC,Sheet1!S71_StaffCode,$AD:$AD)</f>
        <v>78000</v>
      </c>
      <c r="D24" s="1356">
        <f>SUMIFS(Sheet1!S71_SpecialAdjustedBudget,Sheet1!S71_SA1SubCode,$AC:$AC,Sheet1!S71_StaffCode,$AD:$AD)</f>
        <v>78000</v>
      </c>
      <c r="E24" s="109"/>
      <c r="F24" s="507"/>
      <c r="G24" s="109"/>
      <c r="H24" s="507"/>
      <c r="I24" s="1356">
        <f>SUMIFS(Sheet1!S71_AdjustmentAmount,Sheet1!S71_SA1SubCode,$AC:$AC,Sheet1!S71_StaffCode,$AD:$AD)</f>
        <v>0</v>
      </c>
      <c r="J24" s="506">
        <f t="shared" si="4"/>
        <v>78000</v>
      </c>
      <c r="K24" s="506">
        <f t="shared" si="5"/>
        <v>156000</v>
      </c>
      <c r="L24" s="508">
        <f t="shared" si="6"/>
        <v>1</v>
      </c>
      <c r="AC24" s="1340" t="s">
        <v>1888</v>
      </c>
      <c r="AD24" s="1339" t="s">
        <v>2176</v>
      </c>
    </row>
    <row r="25" spans="1:30" ht="12.75" customHeight="1" x14ac:dyDescent="0.25">
      <c r="A25" s="127" t="s">
        <v>1378</v>
      </c>
      <c r="B25" s="73"/>
      <c r="C25" s="1355">
        <f>SUMIFS(Sheet1!S71_OriginalBudget,Sheet1!S71_SA1SubCode,$AC:$AC,Sheet1!S71_StaffCode,$AD:$AD)</f>
        <v>13200</v>
      </c>
      <c r="D25" s="1356">
        <f>SUMIFS(Sheet1!S71_SpecialAdjustedBudget,Sheet1!S71_SA1SubCode,$AC:$AC,Sheet1!S71_StaffCode,$AD:$AD)</f>
        <v>13200</v>
      </c>
      <c r="E25" s="109"/>
      <c r="F25" s="507"/>
      <c r="G25" s="109"/>
      <c r="H25" s="507"/>
      <c r="I25" s="1356">
        <f>SUMIFS(Sheet1!S71_AdjustmentAmount,Sheet1!S71_SA1SubCode,$AC:$AC,Sheet1!S71_StaffCode,$AD:$AD)</f>
        <v>0</v>
      </c>
      <c r="J25" s="506">
        <f t="shared" si="4"/>
        <v>13200</v>
      </c>
      <c r="K25" s="506">
        <f>IF(D25=0,C25+J25,D25+J25)</f>
        <v>26400</v>
      </c>
      <c r="L25" s="508">
        <f t="shared" si="6"/>
        <v>1</v>
      </c>
      <c r="AC25" s="1340" t="s">
        <v>1889</v>
      </c>
      <c r="AD25" s="1339" t="s">
        <v>2176</v>
      </c>
    </row>
    <row r="26" spans="1:30" ht="12.75" customHeight="1" x14ac:dyDescent="0.25">
      <c r="A26" s="127" t="s">
        <v>1185</v>
      </c>
      <c r="B26" s="73"/>
      <c r="C26" s="1355">
        <f>SUMIFS(Sheet1!S71_OriginalBudget,Sheet1!S71_SA1SubCode,$AC:$AC,Sheet1!S71_StaffCode,$AD:$AD)</f>
        <v>142</v>
      </c>
      <c r="D26" s="1356">
        <f>SUMIFS(Sheet1!S71_SpecialAdjustedBudget,Sheet1!S71_SA1SubCode,$AC:$AC,Sheet1!S71_StaffCode,$AD:$AD)</f>
        <v>142</v>
      </c>
      <c r="E26" s="109"/>
      <c r="F26" s="507"/>
      <c r="G26" s="109"/>
      <c r="H26" s="507"/>
      <c r="I26" s="1356">
        <f>SUMIFS(Sheet1!S71_AdjustmentAmount,Sheet1!S71_SA1SubCode,$AC:$AC,Sheet1!S71_StaffCode,$AD:$AD)</f>
        <v>0</v>
      </c>
      <c r="J26" s="506">
        <f t="shared" si="4"/>
        <v>142</v>
      </c>
      <c r="K26" s="506">
        <f>IF(D26=0,C26+J26,D26+J26)</f>
        <v>284</v>
      </c>
      <c r="L26" s="508">
        <f t="shared" si="6"/>
        <v>1</v>
      </c>
      <c r="AC26" s="1340" t="s">
        <v>1890</v>
      </c>
      <c r="AD26" s="1339" t="s">
        <v>2176</v>
      </c>
    </row>
    <row r="27" spans="1:30" ht="12.75" customHeight="1" x14ac:dyDescent="0.25">
      <c r="A27" s="127" t="s">
        <v>1159</v>
      </c>
      <c r="B27" s="73"/>
      <c r="C27" s="1355">
        <f>SUMIFS(Sheet1!S71_OriginalBudget,Sheet1!S71_SA1SubCode,$AC:$AC,Sheet1!S71_StaffCode,$AD:$AD)</f>
        <v>120931</v>
      </c>
      <c r="D27" s="1356">
        <f>SUMIFS(Sheet1!S71_SpecialAdjustedBudget,Sheet1!S71_SA1SubCode,$AC:$AC,Sheet1!S71_StaffCode,$AD:$AD)</f>
        <v>120931</v>
      </c>
      <c r="E27" s="109"/>
      <c r="F27" s="507"/>
      <c r="G27" s="109"/>
      <c r="H27" s="507"/>
      <c r="I27" s="1356">
        <f>SUMIFS(Sheet1!S71_AdjustmentAmount,Sheet1!S71_SA1SubCode,$AC:$AC,Sheet1!S71_StaffCode,$AD:$AD)</f>
        <v>0</v>
      </c>
      <c r="J27" s="506">
        <f t="shared" si="4"/>
        <v>120931</v>
      </c>
      <c r="K27" s="506">
        <f>IF(D27=0,C27+J27,D27+J27)</f>
        <v>241862</v>
      </c>
      <c r="L27" s="508">
        <f t="shared" si="6"/>
        <v>1</v>
      </c>
      <c r="AC27" s="1340" t="s">
        <v>1853</v>
      </c>
      <c r="AD27" s="1339" t="s">
        <v>2176</v>
      </c>
    </row>
    <row r="28" spans="1:30" ht="12.75" customHeight="1" x14ac:dyDescent="0.25">
      <c r="A28" s="127" t="s">
        <v>1158</v>
      </c>
      <c r="B28" s="73"/>
      <c r="C28" s="1355">
        <f>SUMIFS(Sheet1!S71_OriginalBudget,Sheet1!S71_SA1SubCode,$AC:$AC,Sheet1!S71_StaffCode,$AD:$AD)</f>
        <v>0</v>
      </c>
      <c r="D28" s="1356">
        <f>SUMIFS(Sheet1!S71_SpecialAdjustedBudget,Sheet1!S71_SA1SubCode,$AC:$AC,Sheet1!S71_StaffCode,$AD:$AD)</f>
        <v>0</v>
      </c>
      <c r="E28" s="109"/>
      <c r="F28" s="507"/>
      <c r="G28" s="109"/>
      <c r="H28" s="507"/>
      <c r="I28" s="1356">
        <f>SUMIFS(Sheet1!S71_AdjustmentAmount,Sheet1!S71_SA1SubCode,$AC:$AC,Sheet1!S71_StaffCode,$AD:$AD)</f>
        <v>0</v>
      </c>
      <c r="J28" s="506">
        <f t="shared" si="4"/>
        <v>0</v>
      </c>
      <c r="K28" s="506">
        <f t="shared" si="5"/>
        <v>0</v>
      </c>
      <c r="L28" s="508" t="str">
        <f t="shared" si="6"/>
        <v/>
      </c>
      <c r="AC28" s="1340" t="s">
        <v>1891</v>
      </c>
      <c r="AD28" s="1339" t="s">
        <v>2176</v>
      </c>
    </row>
    <row r="29" spans="1:30" ht="12.75" customHeight="1" x14ac:dyDescent="0.25">
      <c r="A29" s="127" t="s">
        <v>1160</v>
      </c>
      <c r="B29" s="73">
        <v>5</v>
      </c>
      <c r="C29" s="1355">
        <f>SUMIFS(Sheet1!S71_OriginalBudget,Sheet1!S71_SA1SubCode,$AC:$AC,Sheet1!S71_StaffCode,$AD:$AD)</f>
        <v>0</v>
      </c>
      <c r="D29" s="1356">
        <f>SUMIFS(Sheet1!S71_SpecialAdjustedBudget,Sheet1!S71_SA1SubCode,$AC:$AC,Sheet1!S71_StaffCode,$AD:$AD)</f>
        <v>0</v>
      </c>
      <c r="E29" s="109"/>
      <c r="F29" s="507"/>
      <c r="G29" s="109"/>
      <c r="H29" s="507"/>
      <c r="I29" s="1356">
        <f>SUMIFS(Sheet1!S71_AdjustmentAmount,Sheet1!S71_SA1SubCode,$AC:$AC,Sheet1!S71_StaffCode,$AD:$AD)</f>
        <v>0</v>
      </c>
      <c r="J29" s="506">
        <f t="shared" si="4"/>
        <v>0</v>
      </c>
      <c r="K29" s="506">
        <f t="shared" si="5"/>
        <v>0</v>
      </c>
      <c r="L29" s="508" t="str">
        <f t="shared" si="6"/>
        <v/>
      </c>
      <c r="AC29" s="1340" t="s">
        <v>1892</v>
      </c>
      <c r="AD29" s="1339" t="s">
        <v>2176</v>
      </c>
    </row>
    <row r="30" spans="1:30" ht="12.75" customHeight="1" x14ac:dyDescent="0.25">
      <c r="A30" s="137" t="s">
        <v>201</v>
      </c>
      <c r="B30" s="73"/>
      <c r="C30" s="300">
        <f>SUM(C18:C29)</f>
        <v>5082230</v>
      </c>
      <c r="D30" s="149">
        <f>SUM(D18:D29)</f>
        <v>5082230</v>
      </c>
      <c r="E30" s="149">
        <f>SUM(E18:E29)</f>
        <v>0</v>
      </c>
      <c r="F30" s="509"/>
      <c r="G30" s="149">
        <f>SUM(G18:G29)</f>
        <v>0</v>
      </c>
      <c r="H30" s="509"/>
      <c r="I30" s="149">
        <f>SUM(I18:I29)</f>
        <v>0</v>
      </c>
      <c r="J30" s="149">
        <f>SUM(J18:J29)</f>
        <v>5082230</v>
      </c>
      <c r="K30" s="150">
        <f>SUM(K18:K29)</f>
        <v>10164460</v>
      </c>
      <c r="L30" s="510">
        <f t="shared" si="6"/>
        <v>1</v>
      </c>
      <c r="AC30" s="1338"/>
    </row>
    <row r="31" spans="1:30" ht="12.75" customHeight="1" x14ac:dyDescent="0.25">
      <c r="A31" s="823" t="str">
        <f>$A$15</f>
        <v>% increase</v>
      </c>
      <c r="B31" s="73"/>
      <c r="C31" s="511"/>
      <c r="D31" s="139">
        <f>IF(ISERROR((D30/C30)-1),0,((D30/C30)-1))</f>
        <v>0</v>
      </c>
      <c r="E31" s="512"/>
      <c r="F31" s="512"/>
      <c r="G31" s="512"/>
      <c r="H31" s="512"/>
      <c r="I31" s="512"/>
      <c r="J31" s="513"/>
      <c r="K31" s="514">
        <f>IF(ISERROR((K30/J30)-1),0,((K30/J30)-1))</f>
        <v>1</v>
      </c>
      <c r="L31" s="510"/>
      <c r="AC31" s="1338"/>
    </row>
    <row r="32" spans="1:30" ht="4.5" customHeight="1" x14ac:dyDescent="0.25">
      <c r="A32" s="137"/>
      <c r="B32" s="73"/>
      <c r="C32" s="138"/>
      <c r="D32" s="139"/>
      <c r="E32" s="139"/>
      <c r="F32" s="512"/>
      <c r="G32" s="139"/>
      <c r="H32" s="512"/>
      <c r="I32" s="139"/>
      <c r="J32" s="514"/>
      <c r="K32" s="514"/>
      <c r="L32" s="510"/>
      <c r="AC32" s="1338"/>
    </row>
    <row r="33" spans="1:30" ht="12.75" customHeight="1" x14ac:dyDescent="0.25">
      <c r="A33" s="124" t="s">
        <v>202</v>
      </c>
      <c r="B33" s="73"/>
      <c r="C33" s="74"/>
      <c r="D33" s="75"/>
      <c r="E33" s="75"/>
      <c r="F33" s="75"/>
      <c r="G33" s="75"/>
      <c r="H33" s="75"/>
      <c r="I33" s="75"/>
      <c r="J33" s="506"/>
      <c r="K33" s="506"/>
      <c r="L33" s="508"/>
      <c r="AC33" s="1338"/>
    </row>
    <row r="34" spans="1:30" ht="12.75" customHeight="1" x14ac:dyDescent="0.25">
      <c r="A34" s="127" t="s">
        <v>203</v>
      </c>
      <c r="B34" s="73"/>
      <c r="C34" s="1355">
        <f>SUMIFS(Sheet1!S71_OriginalBudget,Sheet1!S71_SA1SubCode,$AC:$AC,Sheet1!S71_StaffCode,$AD:$AD)</f>
        <v>28014700</v>
      </c>
      <c r="D34" s="1356">
        <f>SUMIFS(Sheet1!S71_SpecialAdjustedBudget,Sheet1!S71_SA1SubCode,$AC:$AC,Sheet1!S71_StaffCode,$AD:$AD)</f>
        <v>28014700</v>
      </c>
      <c r="E34" s="109"/>
      <c r="F34" s="109"/>
      <c r="G34" s="109"/>
      <c r="H34" s="109"/>
      <c r="I34" s="1356">
        <v>0</v>
      </c>
      <c r="J34" s="506">
        <f t="shared" ref="J34:J45" si="7">SUM(D34:I34)</f>
        <v>28014700</v>
      </c>
      <c r="K34" s="506">
        <f t="shared" ref="K34:K45" si="8">IF(D34=0,C34+J34,D34+J34)</f>
        <v>56029400</v>
      </c>
      <c r="L34" s="508">
        <f t="shared" ref="L34:L46" si="9">IF(K34=0,"",(K34/C34)-1)</f>
        <v>1</v>
      </c>
      <c r="AC34" s="1340" t="s">
        <v>1882</v>
      </c>
      <c r="AD34" s="1339" t="s">
        <v>2177</v>
      </c>
    </row>
    <row r="35" spans="1:30" ht="12.75" customHeight="1" x14ac:dyDescent="0.25">
      <c r="A35" s="127" t="s">
        <v>1375</v>
      </c>
      <c r="B35" s="73"/>
      <c r="C35" s="1355">
        <f>SUMIFS(Sheet1!S71_OriginalBudget,Sheet1!S71_SA1SubCode,$AC:$AC,Sheet1!S71_StaffCode,$AD:$AD)</f>
        <v>4402609</v>
      </c>
      <c r="D35" s="1356">
        <f>SUMIFS(Sheet1!S71_SpecialAdjustedBudget,Sheet1!S71_SA1SubCode,$AC:$AC,Sheet1!S71_StaffCode,$AD:$AD)</f>
        <v>4402609</v>
      </c>
      <c r="E35" s="109"/>
      <c r="F35" s="109"/>
      <c r="G35" s="109"/>
      <c r="H35" s="109"/>
      <c r="I35" s="1356">
        <v>0</v>
      </c>
      <c r="J35" s="506">
        <f t="shared" si="7"/>
        <v>4402609</v>
      </c>
      <c r="K35" s="506">
        <f t="shared" si="8"/>
        <v>8805218</v>
      </c>
      <c r="L35" s="508">
        <f t="shared" si="9"/>
        <v>1</v>
      </c>
      <c r="AC35" s="1340" t="s">
        <v>1883</v>
      </c>
      <c r="AD35" s="1339" t="s">
        <v>2177</v>
      </c>
    </row>
    <row r="36" spans="1:30" ht="12.75" customHeight="1" x14ac:dyDescent="0.25">
      <c r="A36" s="127" t="s">
        <v>196</v>
      </c>
      <c r="B36" s="73"/>
      <c r="C36" s="1355">
        <f>SUMIFS(Sheet1!S71_OriginalBudget,Sheet1!S71_SA1SubCode,$AC:$AC,Sheet1!S71_StaffCode,$AD:$AD)</f>
        <v>1893423</v>
      </c>
      <c r="D36" s="1356">
        <f>SUMIFS(Sheet1!S71_SpecialAdjustedBudget,Sheet1!S71_SA1SubCode,$AC:$AC,Sheet1!S71_StaffCode,$AD:$AD)</f>
        <v>1893423</v>
      </c>
      <c r="E36" s="109"/>
      <c r="F36" s="109"/>
      <c r="G36" s="109"/>
      <c r="H36" s="109"/>
      <c r="I36" s="1356">
        <f>SUMIFS(Sheet1!S71_AdjustmentAmount,Sheet1!S71_SA1SubCode,$AC:$AC,Sheet1!S71_StaffCode,$AD:$AD)</f>
        <v>0</v>
      </c>
      <c r="J36" s="506">
        <f t="shared" si="7"/>
        <v>1893423</v>
      </c>
      <c r="K36" s="506">
        <f t="shared" si="8"/>
        <v>3786846</v>
      </c>
      <c r="L36" s="508">
        <f t="shared" si="9"/>
        <v>1</v>
      </c>
      <c r="AC36" s="1340" t="s">
        <v>1884</v>
      </c>
      <c r="AD36" s="1339" t="s">
        <v>2177</v>
      </c>
    </row>
    <row r="37" spans="1:30" ht="12.75" customHeight="1" x14ac:dyDescent="0.25">
      <c r="A37" s="127" t="s">
        <v>1157</v>
      </c>
      <c r="B37" s="73"/>
      <c r="C37" s="1355">
        <f>SUMIFS(Sheet1!S71_OriginalBudget,Sheet1!S71_SA1SubCode,$AC:$AC,Sheet1!S71_StaffCode,$AD:$AD)</f>
        <v>0</v>
      </c>
      <c r="D37" s="1356">
        <f>SUMIFS(Sheet1!S71_SpecialAdjustedBudget,Sheet1!S71_SA1SubCode,$AC:$AC,Sheet1!S71_StaffCode,$AD:$AD)</f>
        <v>0</v>
      </c>
      <c r="E37" s="109"/>
      <c r="F37" s="109"/>
      <c r="G37" s="109"/>
      <c r="H37" s="109"/>
      <c r="I37" s="1356">
        <f>SUMIFS(Sheet1!S71_AdjustmentAmount,Sheet1!S71_SA1SubCode,$AC:$AC,Sheet1!S71_StaffCode,$AD:$AD)</f>
        <v>0</v>
      </c>
      <c r="J37" s="506">
        <f t="shared" si="7"/>
        <v>0</v>
      </c>
      <c r="K37" s="506">
        <f t="shared" si="8"/>
        <v>0</v>
      </c>
      <c r="L37" s="508" t="str">
        <f t="shared" si="9"/>
        <v/>
      </c>
      <c r="AC37" s="1340" t="s">
        <v>1885</v>
      </c>
      <c r="AD37" s="1339" t="s">
        <v>2177</v>
      </c>
    </row>
    <row r="38" spans="1:30" ht="12.75" customHeight="1" x14ac:dyDescent="0.25">
      <c r="A38" s="127" t="s">
        <v>200</v>
      </c>
      <c r="B38" s="73"/>
      <c r="C38" s="1355">
        <f>SUMIFS(Sheet1!S71_OriginalBudget,Sheet1!S71_SA1SubCode,$AC:$AC,Sheet1!S71_StaffCode,$AD:$AD)</f>
        <v>2167886</v>
      </c>
      <c r="D38" s="1356">
        <f>SUMIFS(Sheet1!S71_SpecialAdjustedBudget,Sheet1!S71_SA1SubCode,$AC:$AC,Sheet1!S71_StaffCode,$AD:$AD)</f>
        <v>2167886</v>
      </c>
      <c r="E38" s="109"/>
      <c r="F38" s="109"/>
      <c r="G38" s="109"/>
      <c r="H38" s="109"/>
      <c r="I38" s="1356">
        <f>SUMIFS(Sheet1!S71_AdjustmentAmount,Sheet1!S71_SA1SubCode,$AC:$AC,Sheet1!S71_StaffCode,$AD:$AD)</f>
        <v>0</v>
      </c>
      <c r="J38" s="506">
        <f t="shared" si="7"/>
        <v>2167886</v>
      </c>
      <c r="K38" s="506">
        <f>IF(D38=0,C38+J38,D38+J38)</f>
        <v>4335772</v>
      </c>
      <c r="L38" s="508">
        <f t="shared" si="9"/>
        <v>1</v>
      </c>
      <c r="AC38" s="1340" t="s">
        <v>1886</v>
      </c>
      <c r="AD38" s="1339" t="s">
        <v>2177</v>
      </c>
    </row>
    <row r="39" spans="1:30" ht="12.75" customHeight="1" x14ac:dyDescent="0.25">
      <c r="A39" s="127" t="s">
        <v>1376</v>
      </c>
      <c r="B39" s="73"/>
      <c r="C39" s="1355">
        <f>SUMIFS(Sheet1!S71_OriginalBudget,Sheet1!S71_SA1SubCode,$AC:$AC,Sheet1!S71_StaffCode,$AD:$AD)</f>
        <v>0</v>
      </c>
      <c r="D39" s="1356">
        <f>SUMIFS(Sheet1!S71_SpecialAdjustedBudget,Sheet1!S71_SA1SubCode,$AC:$AC,Sheet1!S71_StaffCode,$AD:$AD)</f>
        <v>0</v>
      </c>
      <c r="E39" s="109"/>
      <c r="F39" s="109"/>
      <c r="G39" s="109"/>
      <c r="H39" s="109"/>
      <c r="I39" s="1356">
        <v>0</v>
      </c>
      <c r="J39" s="506">
        <f t="shared" si="7"/>
        <v>0</v>
      </c>
      <c r="K39" s="506">
        <f t="shared" si="8"/>
        <v>0</v>
      </c>
      <c r="L39" s="508" t="str">
        <f t="shared" si="9"/>
        <v/>
      </c>
      <c r="AC39" s="1340" t="s">
        <v>1887</v>
      </c>
      <c r="AD39" s="1339" t="s">
        <v>2177</v>
      </c>
    </row>
    <row r="40" spans="1:30" ht="12.75" customHeight="1" x14ac:dyDescent="0.25">
      <c r="A40" s="127" t="s">
        <v>1377</v>
      </c>
      <c r="B40" s="73"/>
      <c r="C40" s="1355">
        <f>SUMIFS(Sheet1!S71_OriginalBudget,Sheet1!S71_SA1SubCode,$AC:$AC,Sheet1!S71_StaffCode,$AD:$AD)</f>
        <v>57001</v>
      </c>
      <c r="D40" s="1356">
        <f>SUMIFS(Sheet1!S71_SpecialAdjustedBudget,Sheet1!S71_SA1SubCode,$AC:$AC,Sheet1!S71_StaffCode,$AD:$AD)</f>
        <v>57001</v>
      </c>
      <c r="E40" s="109"/>
      <c r="F40" s="109"/>
      <c r="G40" s="109"/>
      <c r="H40" s="109"/>
      <c r="I40" s="1356">
        <v>0</v>
      </c>
      <c r="J40" s="506">
        <f t="shared" si="7"/>
        <v>57001</v>
      </c>
      <c r="K40" s="506">
        <f t="shared" si="8"/>
        <v>114002</v>
      </c>
      <c r="L40" s="508">
        <f t="shared" si="9"/>
        <v>1</v>
      </c>
      <c r="AC40" s="1340" t="s">
        <v>1888</v>
      </c>
      <c r="AD40" s="1339" t="s">
        <v>2177</v>
      </c>
    </row>
    <row r="41" spans="1:30" ht="12.75" customHeight="1" x14ac:dyDescent="0.25">
      <c r="A41" s="127" t="s">
        <v>1378</v>
      </c>
      <c r="B41" s="73"/>
      <c r="C41" s="1355">
        <f>SUMIFS(Sheet1!S71_OriginalBudget,Sheet1!S71_SA1SubCode,$AC:$AC,Sheet1!S71_StaffCode,$AD:$AD)</f>
        <v>324047</v>
      </c>
      <c r="D41" s="1356">
        <f>SUMIFS(Sheet1!S71_SpecialAdjustedBudget,Sheet1!S71_SA1SubCode,$AC:$AC,Sheet1!S71_StaffCode,$AD:$AD)</f>
        <v>324047</v>
      </c>
      <c r="E41" s="109"/>
      <c r="F41" s="109"/>
      <c r="G41" s="109"/>
      <c r="H41" s="109"/>
      <c r="I41" s="1356">
        <v>0</v>
      </c>
      <c r="J41" s="506">
        <f t="shared" si="7"/>
        <v>324047</v>
      </c>
      <c r="K41" s="506">
        <f>IF(D41=0,C41+J41,D41+J41)</f>
        <v>648094</v>
      </c>
      <c r="L41" s="508">
        <f t="shared" si="9"/>
        <v>1</v>
      </c>
      <c r="AC41" s="1340" t="s">
        <v>1889</v>
      </c>
      <c r="AD41" s="1339" t="s">
        <v>2177</v>
      </c>
    </row>
    <row r="42" spans="1:30" ht="12.75" customHeight="1" x14ac:dyDescent="0.25">
      <c r="A42" s="127" t="s">
        <v>1185</v>
      </c>
      <c r="B42" s="73"/>
      <c r="C42" s="1355">
        <f>SUMIFS(Sheet1!S71_OriginalBudget,Sheet1!S71_SA1SubCode,$AC:$AC,Sheet1!S71_StaffCode,$AD:$AD)</f>
        <v>1068111</v>
      </c>
      <c r="D42" s="1356">
        <f>SUMIFS(Sheet1!S71_SpecialAdjustedBudget,Sheet1!S71_SA1SubCode,$AC:$AC,Sheet1!S71_StaffCode,$AD:$AD)</f>
        <v>1068111</v>
      </c>
      <c r="E42" s="109"/>
      <c r="F42" s="109"/>
      <c r="G42" s="109"/>
      <c r="H42" s="109"/>
      <c r="I42" s="1356">
        <v>0</v>
      </c>
      <c r="J42" s="506">
        <f t="shared" si="7"/>
        <v>1068111</v>
      </c>
      <c r="K42" s="506">
        <f>IF(D42=0,C42+J42,D42+J42)</f>
        <v>2136222</v>
      </c>
      <c r="L42" s="508">
        <f t="shared" si="9"/>
        <v>1</v>
      </c>
      <c r="AC42" s="1340" t="s">
        <v>1890</v>
      </c>
      <c r="AD42" s="1339" t="s">
        <v>2177</v>
      </c>
    </row>
    <row r="43" spans="1:30" ht="12.75" customHeight="1" x14ac:dyDescent="0.25">
      <c r="A43" s="127" t="s">
        <v>1159</v>
      </c>
      <c r="B43" s="73"/>
      <c r="C43" s="1355">
        <f>SUMIFS(Sheet1!S71_OriginalBudget,Sheet1!S71_SA1SubCode,$AC:$AC,Sheet1!S71_StaffCode,$AD:$AD)</f>
        <v>1681578</v>
      </c>
      <c r="D43" s="1356">
        <f>SUMIFS(Sheet1!S71_SpecialAdjustedBudget,Sheet1!S71_SA1SubCode,$AC:$AC,Sheet1!S71_StaffCode,$AD:$AD)</f>
        <v>1681578</v>
      </c>
      <c r="E43" s="109"/>
      <c r="F43" s="109"/>
      <c r="G43" s="109"/>
      <c r="H43" s="109"/>
      <c r="I43" s="1356">
        <f>SUMIFS(Sheet1!S71_AdjustmentAmount,Sheet1!S71_SA1SubCode,$AC:$AC,Sheet1!S71_StaffCode,$AD:$AD)</f>
        <v>0</v>
      </c>
      <c r="J43" s="506">
        <f t="shared" si="7"/>
        <v>1681578</v>
      </c>
      <c r="K43" s="506">
        <f t="shared" si="8"/>
        <v>3363156</v>
      </c>
      <c r="L43" s="508">
        <f t="shared" si="9"/>
        <v>1</v>
      </c>
      <c r="AC43" s="1340" t="s">
        <v>1853</v>
      </c>
      <c r="AD43" s="1339" t="s">
        <v>2177</v>
      </c>
    </row>
    <row r="44" spans="1:30" ht="12.75" customHeight="1" x14ac:dyDescent="0.25">
      <c r="A44" s="127" t="s">
        <v>1158</v>
      </c>
      <c r="B44" s="73"/>
      <c r="C44" s="1355">
        <f>SUMIFS(Sheet1!S71_OriginalBudget,Sheet1!S71_SA1SubCode,$AC:$AC,Sheet1!S71_StaffCode,$AD:$AD)</f>
        <v>0</v>
      </c>
      <c r="D44" s="1356">
        <f>SUMIFS(Sheet1!S71_SpecialAdjustedBudget,Sheet1!S71_SA1SubCode,$AC:$AC,Sheet1!S71_StaffCode,$AD:$AD)</f>
        <v>0</v>
      </c>
      <c r="E44" s="109"/>
      <c r="F44" s="109"/>
      <c r="G44" s="109"/>
      <c r="H44" s="109"/>
      <c r="I44" s="1356">
        <v>0</v>
      </c>
      <c r="J44" s="506">
        <f t="shared" si="7"/>
        <v>0</v>
      </c>
      <c r="K44" s="506">
        <f t="shared" si="8"/>
        <v>0</v>
      </c>
      <c r="L44" s="508" t="str">
        <f t="shared" si="9"/>
        <v/>
      </c>
      <c r="AC44" s="1340" t="s">
        <v>1891</v>
      </c>
      <c r="AD44" s="1339" t="s">
        <v>2177</v>
      </c>
    </row>
    <row r="45" spans="1:30" ht="12.75" customHeight="1" x14ac:dyDescent="0.25">
      <c r="A45" s="127" t="s">
        <v>1160</v>
      </c>
      <c r="B45" s="73">
        <v>5</v>
      </c>
      <c r="C45" s="1355">
        <f>SUMIFS(Sheet1!S71_OriginalBudget,Sheet1!S71_SA1SubCode,$AC:$AC,Sheet1!S71_StaffCode,$AD:$AD)</f>
        <v>0</v>
      </c>
      <c r="D45" s="1356">
        <f>SUMIFS(Sheet1!S71_SpecialAdjustedBudget,Sheet1!S71_SA1SubCode,$AC:$AC,Sheet1!S71_StaffCode,$AD:$AD)</f>
        <v>0</v>
      </c>
      <c r="E45" s="109"/>
      <c r="F45" s="109"/>
      <c r="G45" s="109"/>
      <c r="H45" s="109"/>
      <c r="I45" s="1356">
        <v>0</v>
      </c>
      <c r="J45" s="506">
        <f t="shared" si="7"/>
        <v>0</v>
      </c>
      <c r="K45" s="506">
        <f t="shared" si="8"/>
        <v>0</v>
      </c>
      <c r="L45" s="508" t="str">
        <f t="shared" si="9"/>
        <v/>
      </c>
      <c r="AC45" s="1340" t="s">
        <v>1892</v>
      </c>
      <c r="AD45" s="1339" t="s">
        <v>2177</v>
      </c>
    </row>
    <row r="46" spans="1:30" ht="12.75" customHeight="1" x14ac:dyDescent="0.25">
      <c r="A46" s="137" t="s">
        <v>204</v>
      </c>
      <c r="B46" s="73"/>
      <c r="C46" s="300">
        <f t="shared" ref="C46:K46" si="10">SUM(C34:C45)</f>
        <v>39609355</v>
      </c>
      <c r="D46" s="149">
        <f t="shared" si="10"/>
        <v>39609355</v>
      </c>
      <c r="E46" s="149">
        <f t="shared" si="10"/>
        <v>0</v>
      </c>
      <c r="F46" s="149">
        <f t="shared" si="10"/>
        <v>0</v>
      </c>
      <c r="G46" s="149">
        <f t="shared" si="10"/>
        <v>0</v>
      </c>
      <c r="H46" s="149">
        <f t="shared" si="10"/>
        <v>0</v>
      </c>
      <c r="I46" s="149">
        <f t="shared" si="10"/>
        <v>0</v>
      </c>
      <c r="J46" s="149">
        <f t="shared" si="10"/>
        <v>39609355</v>
      </c>
      <c r="K46" s="150">
        <f t="shared" si="10"/>
        <v>79218710</v>
      </c>
      <c r="L46" s="510">
        <f t="shared" si="9"/>
        <v>1</v>
      </c>
      <c r="AC46" s="1338"/>
    </row>
    <row r="47" spans="1:30" ht="12.75" customHeight="1" x14ac:dyDescent="0.25">
      <c r="A47" s="823" t="str">
        <f>$A$15</f>
        <v>% increase</v>
      </c>
      <c r="B47" s="73"/>
      <c r="C47" s="515"/>
      <c r="D47" s="235"/>
      <c r="E47" s="235"/>
      <c r="F47" s="235"/>
      <c r="G47" s="235"/>
      <c r="H47" s="235"/>
      <c r="I47" s="235"/>
      <c r="J47" s="235"/>
      <c r="K47" s="516"/>
      <c r="L47" s="510"/>
      <c r="AC47" s="1338"/>
    </row>
    <row r="48" spans="1:30" ht="12.75" customHeight="1" x14ac:dyDescent="0.25">
      <c r="A48" s="160" t="s">
        <v>205</v>
      </c>
      <c r="B48" s="79"/>
      <c r="C48" s="80">
        <f t="shared" ref="C48:K48" si="11">C14+C30+C46</f>
        <v>51065506</v>
      </c>
      <c r="D48" s="81">
        <f t="shared" si="11"/>
        <v>51065506</v>
      </c>
      <c r="E48" s="81">
        <f t="shared" si="11"/>
        <v>0</v>
      </c>
      <c r="F48" s="81">
        <f t="shared" si="11"/>
        <v>0</v>
      </c>
      <c r="G48" s="81">
        <f t="shared" si="11"/>
        <v>0</v>
      </c>
      <c r="H48" s="81">
        <f t="shared" si="11"/>
        <v>0</v>
      </c>
      <c r="I48" s="81">
        <f t="shared" si="11"/>
        <v>0</v>
      </c>
      <c r="J48" s="81">
        <f t="shared" si="11"/>
        <v>44691585</v>
      </c>
      <c r="K48" s="517">
        <f t="shared" si="11"/>
        <v>95757091</v>
      </c>
      <c r="L48" s="510">
        <f>IF(K48=0,"",(K48/C48)-1)</f>
        <v>0.87518147768867705</v>
      </c>
      <c r="AC48" s="1338"/>
    </row>
    <row r="49" spans="1:29" ht="14.25" customHeight="1" x14ac:dyDescent="0.25">
      <c r="A49" s="137"/>
      <c r="B49" s="73"/>
      <c r="C49" s="138"/>
      <c r="D49" s="139"/>
      <c r="E49" s="139"/>
      <c r="F49" s="139"/>
      <c r="G49" s="139"/>
      <c r="H49" s="139"/>
      <c r="I49" s="139"/>
      <c r="J49" s="514"/>
      <c r="K49" s="514"/>
      <c r="L49" s="510"/>
      <c r="AC49" s="1338"/>
    </row>
    <row r="50" spans="1:29" ht="5.25" customHeight="1" x14ac:dyDescent="0.25">
      <c r="A50" s="137"/>
      <c r="B50" s="73"/>
      <c r="C50" s="138"/>
      <c r="D50" s="139"/>
      <c r="E50" s="139"/>
      <c r="F50" s="139"/>
      <c r="G50" s="139"/>
      <c r="H50" s="139"/>
      <c r="I50" s="139"/>
      <c r="J50" s="514"/>
      <c r="K50" s="514"/>
      <c r="L50" s="510"/>
      <c r="AC50" s="1338"/>
    </row>
    <row r="51" spans="1:29" ht="12.75" customHeight="1" x14ac:dyDescent="0.25">
      <c r="A51" s="124" t="s">
        <v>206</v>
      </c>
      <c r="B51" s="73"/>
      <c r="C51" s="74"/>
      <c r="D51" s="75"/>
      <c r="E51" s="75"/>
      <c r="F51" s="75"/>
      <c r="G51" s="75"/>
      <c r="H51" s="75"/>
      <c r="I51" s="75"/>
      <c r="J51" s="506"/>
      <c r="K51" s="506"/>
      <c r="L51" s="508"/>
      <c r="AC51" s="1338"/>
    </row>
    <row r="52" spans="1:29" ht="12.75" customHeight="1" x14ac:dyDescent="0.25">
      <c r="A52" s="127" t="s">
        <v>203</v>
      </c>
      <c r="B52" s="73"/>
      <c r="C52" s="128"/>
      <c r="D52" s="109"/>
      <c r="E52" s="109"/>
      <c r="F52" s="109"/>
      <c r="G52" s="109"/>
      <c r="H52" s="109"/>
      <c r="I52" s="109"/>
      <c r="J52" s="506">
        <f t="shared" ref="J52:J58" si="12">SUM(D52:I52)</f>
        <v>0</v>
      </c>
      <c r="K52" s="506">
        <f t="shared" ref="K52:K64" si="13">IF(D52=0,C52+J52,D52+J52)</f>
        <v>0</v>
      </c>
      <c r="L52" s="508" t="str">
        <f>IF(K52=0,"",(K52/C52)-1)</f>
        <v/>
      </c>
      <c r="AC52" s="1338"/>
    </row>
    <row r="53" spans="1:29" ht="12.75" customHeight="1" x14ac:dyDescent="0.25">
      <c r="A53" s="127" t="s">
        <v>1375</v>
      </c>
      <c r="B53" s="73"/>
      <c r="C53" s="128"/>
      <c r="D53" s="109"/>
      <c r="E53" s="109"/>
      <c r="F53" s="109"/>
      <c r="G53" s="109"/>
      <c r="H53" s="109"/>
      <c r="I53" s="109"/>
      <c r="J53" s="506">
        <f t="shared" si="12"/>
        <v>0</v>
      </c>
      <c r="K53" s="506">
        <f t="shared" si="13"/>
        <v>0</v>
      </c>
      <c r="L53" s="508" t="str">
        <f>IF(K53=0,"",(K53/C53)-1)</f>
        <v/>
      </c>
      <c r="AC53" s="1340"/>
    </row>
    <row r="54" spans="1:29" ht="12.75" customHeight="1" x14ac:dyDescent="0.25">
      <c r="A54" s="127" t="s">
        <v>196</v>
      </c>
      <c r="B54" s="73"/>
      <c r="C54" s="128"/>
      <c r="D54" s="109"/>
      <c r="E54" s="109"/>
      <c r="F54" s="109"/>
      <c r="G54" s="109"/>
      <c r="H54" s="109"/>
      <c r="I54" s="109"/>
      <c r="J54" s="506">
        <f t="shared" si="12"/>
        <v>0</v>
      </c>
      <c r="K54" s="506">
        <f t="shared" si="13"/>
        <v>0</v>
      </c>
      <c r="L54" s="508" t="str">
        <f>IF(K54=0,"",(K54/C54)-1)</f>
        <v/>
      </c>
      <c r="AC54" s="1340"/>
    </row>
    <row r="55" spans="1:29" ht="12.75" customHeight="1" x14ac:dyDescent="0.25">
      <c r="A55" s="127" t="s">
        <v>1157</v>
      </c>
      <c r="B55" s="73"/>
      <c r="C55" s="128"/>
      <c r="D55" s="109"/>
      <c r="E55" s="109"/>
      <c r="F55" s="109"/>
      <c r="G55" s="109"/>
      <c r="H55" s="109"/>
      <c r="I55" s="109"/>
      <c r="J55" s="506">
        <f t="shared" si="12"/>
        <v>0</v>
      </c>
      <c r="K55" s="506">
        <f>IF(D55=0,C55+J55,D55+J55)</f>
        <v>0</v>
      </c>
      <c r="L55" s="508"/>
      <c r="AC55" s="1340"/>
    </row>
    <row r="56" spans="1:29" ht="12.75" customHeight="1" x14ac:dyDescent="0.25">
      <c r="A56" s="127" t="s">
        <v>200</v>
      </c>
      <c r="B56" s="73"/>
      <c r="C56" s="128"/>
      <c r="D56" s="109"/>
      <c r="E56" s="109"/>
      <c r="F56" s="109"/>
      <c r="G56" s="109"/>
      <c r="H56" s="109"/>
      <c r="I56" s="109"/>
      <c r="J56" s="506">
        <f t="shared" si="12"/>
        <v>0</v>
      </c>
      <c r="K56" s="506">
        <f>IF(D56=0,C56+J56,D56+J56)</f>
        <v>0</v>
      </c>
      <c r="L56" s="508"/>
      <c r="AC56" s="1340"/>
    </row>
    <row r="57" spans="1:29" ht="12.75" customHeight="1" x14ac:dyDescent="0.25">
      <c r="A57" s="127" t="s">
        <v>1376</v>
      </c>
      <c r="B57" s="73"/>
      <c r="C57" s="128"/>
      <c r="D57" s="109"/>
      <c r="E57" s="109"/>
      <c r="F57" s="109"/>
      <c r="G57" s="109"/>
      <c r="H57" s="109"/>
      <c r="I57" s="109"/>
      <c r="J57" s="506">
        <f t="shared" si="12"/>
        <v>0</v>
      </c>
      <c r="K57" s="506">
        <f>IF(D57=0,C57+J57,D57+J57)</f>
        <v>0</v>
      </c>
      <c r="L57" s="508"/>
      <c r="AC57" s="1340"/>
    </row>
    <row r="58" spans="1:29" ht="12.75" customHeight="1" x14ac:dyDescent="0.25">
      <c r="A58" s="127" t="s">
        <v>1377</v>
      </c>
      <c r="B58" s="73"/>
      <c r="C58" s="128"/>
      <c r="D58" s="109"/>
      <c r="E58" s="109"/>
      <c r="F58" s="109"/>
      <c r="G58" s="109"/>
      <c r="H58" s="109"/>
      <c r="I58" s="109"/>
      <c r="J58" s="506">
        <f t="shared" si="12"/>
        <v>0</v>
      </c>
      <c r="K58" s="506">
        <f>IF(D58=0,C58+J58,D58+J58)</f>
        <v>0</v>
      </c>
      <c r="L58" s="508"/>
      <c r="AC58" s="1340"/>
    </row>
    <row r="59" spans="1:29" ht="12.75" customHeight="1" x14ac:dyDescent="0.25">
      <c r="A59" s="127" t="s">
        <v>1378</v>
      </c>
      <c r="B59" s="73"/>
      <c r="C59" s="128"/>
      <c r="D59" s="109"/>
      <c r="E59" s="507"/>
      <c r="F59" s="507"/>
      <c r="G59" s="109"/>
      <c r="H59" s="507"/>
      <c r="I59" s="109"/>
      <c r="J59" s="506">
        <f>G59+I59</f>
        <v>0</v>
      </c>
      <c r="K59" s="506">
        <f t="shared" si="13"/>
        <v>0</v>
      </c>
      <c r="L59" s="508" t="str">
        <f>IF(K59=0,"",(K59/C59)-1)</f>
        <v/>
      </c>
      <c r="AC59" s="1340"/>
    </row>
    <row r="60" spans="1:29" ht="12.75" customHeight="1" x14ac:dyDescent="0.25">
      <c r="A60" s="127" t="s">
        <v>1185</v>
      </c>
      <c r="B60" s="73"/>
      <c r="C60" s="128"/>
      <c r="D60" s="109"/>
      <c r="E60" s="507"/>
      <c r="F60" s="507"/>
      <c r="G60" s="109"/>
      <c r="H60" s="507"/>
      <c r="I60" s="109"/>
      <c r="J60" s="506">
        <f>G60+I60</f>
        <v>0</v>
      </c>
      <c r="K60" s="506">
        <f t="shared" si="13"/>
        <v>0</v>
      </c>
      <c r="L60" s="508"/>
      <c r="AC60" s="1340"/>
    </row>
    <row r="61" spans="1:29" ht="12.75" customHeight="1" x14ac:dyDescent="0.25">
      <c r="A61" s="127" t="s">
        <v>207</v>
      </c>
      <c r="B61" s="73"/>
      <c r="C61" s="128"/>
      <c r="D61" s="109"/>
      <c r="E61" s="109"/>
      <c r="F61" s="109"/>
      <c r="G61" s="109"/>
      <c r="H61" s="109"/>
      <c r="I61" s="109"/>
      <c r="J61" s="506">
        <f>SUM(D61:I61)</f>
        <v>0</v>
      </c>
      <c r="K61" s="506">
        <f t="shared" si="13"/>
        <v>0</v>
      </c>
      <c r="L61" s="508" t="str">
        <f>IF(K61=0,"",(K61/C61)-1)</f>
        <v/>
      </c>
      <c r="AC61" s="1340"/>
    </row>
    <row r="62" spans="1:29" ht="12.75" customHeight="1" x14ac:dyDescent="0.25">
      <c r="A62" s="127" t="s">
        <v>1159</v>
      </c>
      <c r="B62" s="73"/>
      <c r="C62" s="128"/>
      <c r="D62" s="109"/>
      <c r="E62" s="109"/>
      <c r="F62" s="109"/>
      <c r="G62" s="109"/>
      <c r="H62" s="109"/>
      <c r="I62" s="109"/>
      <c r="J62" s="506">
        <f>SUM(D62:I62)</f>
        <v>0</v>
      </c>
      <c r="K62" s="506">
        <f t="shared" si="13"/>
        <v>0</v>
      </c>
      <c r="L62" s="508" t="str">
        <f>IF(K62=0,"",(K62/C62)-1)</f>
        <v/>
      </c>
      <c r="AC62" s="1340"/>
    </row>
    <row r="63" spans="1:29" ht="12.75" customHeight="1" x14ac:dyDescent="0.25">
      <c r="A63" s="127" t="s">
        <v>1158</v>
      </c>
      <c r="B63" s="73"/>
      <c r="C63" s="128"/>
      <c r="D63" s="109"/>
      <c r="E63" s="109"/>
      <c r="F63" s="109"/>
      <c r="G63" s="109"/>
      <c r="H63" s="109"/>
      <c r="I63" s="109"/>
      <c r="J63" s="506">
        <f>SUM(D63:I63)</f>
        <v>0</v>
      </c>
      <c r="K63" s="506">
        <f>IF(D63=0,C63+J63,D63+J63)</f>
        <v>0</v>
      </c>
      <c r="L63" s="508"/>
      <c r="AC63" s="1340"/>
    </row>
    <row r="64" spans="1:29" ht="12.75" customHeight="1" x14ac:dyDescent="0.25">
      <c r="A64" s="127" t="s">
        <v>1160</v>
      </c>
      <c r="B64" s="135">
        <v>5</v>
      </c>
      <c r="C64" s="128"/>
      <c r="D64" s="109"/>
      <c r="E64" s="109"/>
      <c r="F64" s="109"/>
      <c r="G64" s="109"/>
      <c r="H64" s="109"/>
      <c r="I64" s="109"/>
      <c r="J64" s="506">
        <f>SUM(D64:I64)</f>
        <v>0</v>
      </c>
      <c r="K64" s="506">
        <f t="shared" si="13"/>
        <v>0</v>
      </c>
      <c r="L64" s="508" t="str">
        <f>IF(K64=0,"",(K64/C64)-1)</f>
        <v/>
      </c>
      <c r="AC64" s="1340"/>
    </row>
    <row r="65" spans="1:29" ht="12.75" customHeight="1" x14ac:dyDescent="0.25">
      <c r="A65" s="137" t="s">
        <v>208</v>
      </c>
      <c r="B65" s="73"/>
      <c r="C65" s="300">
        <f t="shared" ref="C65:K65" si="14">SUM(C52:C64)</f>
        <v>0</v>
      </c>
      <c r="D65" s="149">
        <f t="shared" si="14"/>
        <v>0</v>
      </c>
      <c r="E65" s="149">
        <f t="shared" si="14"/>
        <v>0</v>
      </c>
      <c r="F65" s="149">
        <f t="shared" si="14"/>
        <v>0</v>
      </c>
      <c r="G65" s="149">
        <f t="shared" si="14"/>
        <v>0</v>
      </c>
      <c r="H65" s="149">
        <f t="shared" si="14"/>
        <v>0</v>
      </c>
      <c r="I65" s="149">
        <f t="shared" si="14"/>
        <v>0</v>
      </c>
      <c r="J65" s="149">
        <f t="shared" si="14"/>
        <v>0</v>
      </c>
      <c r="K65" s="150">
        <f t="shared" si="14"/>
        <v>0</v>
      </c>
      <c r="L65" s="510" t="str">
        <f>IF(K65=0,"",(K65/C65)-1)</f>
        <v/>
      </c>
      <c r="AC65" s="1338"/>
    </row>
    <row r="66" spans="1:29" ht="12.75" customHeight="1" x14ac:dyDescent="0.25">
      <c r="A66" s="823" t="str">
        <f>$A$15</f>
        <v>% increase</v>
      </c>
      <c r="B66" s="73"/>
      <c r="C66" s="138"/>
      <c r="D66" s="139"/>
      <c r="E66" s="139"/>
      <c r="F66" s="139"/>
      <c r="G66" s="139"/>
      <c r="H66" s="139"/>
      <c r="I66" s="139"/>
      <c r="J66" s="514"/>
      <c r="K66" s="514"/>
      <c r="L66" s="510"/>
      <c r="AC66" s="1338"/>
    </row>
    <row r="67" spans="1:29" ht="5.25" customHeight="1" x14ac:dyDescent="0.25">
      <c r="A67" s="823"/>
      <c r="B67" s="73"/>
      <c r="C67" s="138"/>
      <c r="D67" s="139"/>
      <c r="E67" s="139"/>
      <c r="F67" s="139"/>
      <c r="G67" s="139"/>
      <c r="H67" s="139"/>
      <c r="I67" s="139"/>
      <c r="J67" s="514"/>
      <c r="K67" s="514"/>
      <c r="L67" s="510"/>
      <c r="AC67" s="1338"/>
    </row>
    <row r="68" spans="1:29" ht="12.75" customHeight="1" x14ac:dyDescent="0.25">
      <c r="A68" s="124" t="s">
        <v>209</v>
      </c>
      <c r="B68" s="73"/>
      <c r="C68" s="74"/>
      <c r="D68" s="75"/>
      <c r="E68" s="75"/>
      <c r="F68" s="75"/>
      <c r="G68" s="75"/>
      <c r="H68" s="75"/>
      <c r="I68" s="75"/>
      <c r="J68" s="506"/>
      <c r="K68" s="506"/>
      <c r="L68" s="508"/>
      <c r="AC68" s="1338"/>
    </row>
    <row r="69" spans="1:29" ht="12.75" customHeight="1" x14ac:dyDescent="0.25">
      <c r="A69" s="584" t="s">
        <v>203</v>
      </c>
      <c r="B69" s="73"/>
      <c r="C69" s="128"/>
      <c r="D69" s="109"/>
      <c r="E69" s="109"/>
      <c r="F69" s="109"/>
      <c r="G69" s="109"/>
      <c r="H69" s="109"/>
      <c r="I69" s="109"/>
      <c r="J69" s="506">
        <f t="shared" ref="J69:J80" si="15">SUM(D69:I69)</f>
        <v>0</v>
      </c>
      <c r="K69" s="506">
        <f t="shared" ref="K69:K80" si="16">IF(D69=0,C69+J69,D69+J69)</f>
        <v>0</v>
      </c>
      <c r="L69" s="508" t="str">
        <f t="shared" ref="L69:L81" si="17">IF(K69=0,"",(K69/C69)-1)</f>
        <v/>
      </c>
      <c r="AC69" s="1338"/>
    </row>
    <row r="70" spans="1:29" ht="12.75" customHeight="1" x14ac:dyDescent="0.25">
      <c r="A70" s="584" t="s">
        <v>1375</v>
      </c>
      <c r="B70" s="73"/>
      <c r="C70" s="128"/>
      <c r="D70" s="109"/>
      <c r="E70" s="109"/>
      <c r="F70" s="109"/>
      <c r="G70" s="109"/>
      <c r="H70" s="109"/>
      <c r="I70" s="109"/>
      <c r="J70" s="506">
        <f t="shared" si="15"/>
        <v>0</v>
      </c>
      <c r="K70" s="506">
        <f t="shared" si="16"/>
        <v>0</v>
      </c>
      <c r="L70" s="508" t="str">
        <f t="shared" si="17"/>
        <v/>
      </c>
      <c r="AC70" s="1340"/>
    </row>
    <row r="71" spans="1:29" ht="12.75" customHeight="1" x14ac:dyDescent="0.25">
      <c r="A71" s="584" t="s">
        <v>196</v>
      </c>
      <c r="B71" s="73"/>
      <c r="C71" s="128"/>
      <c r="D71" s="109"/>
      <c r="E71" s="109"/>
      <c r="F71" s="109"/>
      <c r="G71" s="109"/>
      <c r="H71" s="109"/>
      <c r="I71" s="109"/>
      <c r="J71" s="506">
        <f t="shared" si="15"/>
        <v>0</v>
      </c>
      <c r="K71" s="506">
        <f t="shared" si="16"/>
        <v>0</v>
      </c>
      <c r="L71" s="508" t="str">
        <f t="shared" si="17"/>
        <v/>
      </c>
      <c r="AC71" s="1340"/>
    </row>
    <row r="72" spans="1:29" ht="12.75" customHeight="1" x14ac:dyDescent="0.25">
      <c r="A72" s="584" t="s">
        <v>1157</v>
      </c>
      <c r="B72" s="73"/>
      <c r="C72" s="128"/>
      <c r="D72" s="109"/>
      <c r="E72" s="109"/>
      <c r="F72" s="109"/>
      <c r="G72" s="109"/>
      <c r="H72" s="109"/>
      <c r="I72" s="109"/>
      <c r="J72" s="506">
        <f t="shared" si="15"/>
        <v>0</v>
      </c>
      <c r="K72" s="506">
        <f>IF(D72=0,C72+J72,D72+J72)</f>
        <v>0</v>
      </c>
      <c r="L72" s="508"/>
      <c r="AC72" s="1340"/>
    </row>
    <row r="73" spans="1:29" ht="12.75" customHeight="1" x14ac:dyDescent="0.25">
      <c r="A73" s="584" t="s">
        <v>200</v>
      </c>
      <c r="B73" s="73"/>
      <c r="C73" s="128"/>
      <c r="D73" s="109"/>
      <c r="E73" s="109"/>
      <c r="F73" s="109"/>
      <c r="G73" s="109"/>
      <c r="H73" s="109"/>
      <c r="I73" s="109"/>
      <c r="J73" s="506">
        <f t="shared" si="15"/>
        <v>0</v>
      </c>
      <c r="K73" s="506">
        <f>IF(D73=0,C73+J73,D73+J73)</f>
        <v>0</v>
      </c>
      <c r="L73" s="508"/>
      <c r="AC73" s="1340"/>
    </row>
    <row r="74" spans="1:29" ht="12.75" customHeight="1" x14ac:dyDescent="0.25">
      <c r="A74" s="584" t="s">
        <v>1376</v>
      </c>
      <c r="B74" s="73"/>
      <c r="C74" s="128"/>
      <c r="D74" s="109"/>
      <c r="E74" s="109"/>
      <c r="F74" s="109"/>
      <c r="G74" s="109"/>
      <c r="H74" s="109"/>
      <c r="I74" s="109"/>
      <c r="J74" s="506">
        <f t="shared" si="15"/>
        <v>0</v>
      </c>
      <c r="K74" s="506">
        <f>IF(D74=0,C74+J74,D74+J74)</f>
        <v>0</v>
      </c>
      <c r="L74" s="508"/>
      <c r="AC74" s="1340"/>
    </row>
    <row r="75" spans="1:29" ht="12.75" customHeight="1" x14ac:dyDescent="0.25">
      <c r="A75" s="584" t="s">
        <v>1377</v>
      </c>
      <c r="B75" s="73"/>
      <c r="C75" s="128"/>
      <c r="D75" s="109"/>
      <c r="E75" s="109"/>
      <c r="F75" s="109"/>
      <c r="G75" s="109"/>
      <c r="H75" s="109"/>
      <c r="I75" s="109"/>
      <c r="J75" s="506">
        <f t="shared" si="15"/>
        <v>0</v>
      </c>
      <c r="K75" s="506">
        <f>IF(D75=0,C75+J75,D75+J75)</f>
        <v>0</v>
      </c>
      <c r="L75" s="508"/>
      <c r="AC75" s="1340"/>
    </row>
    <row r="76" spans="1:29" ht="12.75" customHeight="1" x14ac:dyDescent="0.25">
      <c r="A76" s="584" t="s">
        <v>1378</v>
      </c>
      <c r="B76" s="73"/>
      <c r="C76" s="128"/>
      <c r="D76" s="109"/>
      <c r="E76" s="109"/>
      <c r="F76" s="109"/>
      <c r="G76" s="109"/>
      <c r="H76" s="109"/>
      <c r="I76" s="109"/>
      <c r="J76" s="506">
        <f t="shared" si="15"/>
        <v>0</v>
      </c>
      <c r="K76" s="506">
        <f t="shared" si="16"/>
        <v>0</v>
      </c>
      <c r="L76" s="508" t="str">
        <f t="shared" si="17"/>
        <v/>
      </c>
      <c r="AC76" s="1340"/>
    </row>
    <row r="77" spans="1:29" ht="12.75" customHeight="1" x14ac:dyDescent="0.25">
      <c r="A77" s="584" t="s">
        <v>1185</v>
      </c>
      <c r="B77" s="73"/>
      <c r="C77" s="128"/>
      <c r="D77" s="109"/>
      <c r="E77" s="109"/>
      <c r="F77" s="109"/>
      <c r="G77" s="109"/>
      <c r="H77" s="109"/>
      <c r="I77" s="109"/>
      <c r="J77" s="506">
        <f t="shared" si="15"/>
        <v>0</v>
      </c>
      <c r="K77" s="506">
        <f>IF(D77=0,C77+J77,D77+J77)</f>
        <v>0</v>
      </c>
      <c r="L77" s="508"/>
      <c r="AC77" s="1340"/>
    </row>
    <row r="78" spans="1:29" ht="12.75" customHeight="1" x14ac:dyDescent="0.25">
      <c r="A78" s="584" t="s">
        <v>1159</v>
      </c>
      <c r="B78" s="73"/>
      <c r="C78" s="128"/>
      <c r="D78" s="109"/>
      <c r="E78" s="109"/>
      <c r="F78" s="109"/>
      <c r="G78" s="109"/>
      <c r="H78" s="109"/>
      <c r="I78" s="109"/>
      <c r="J78" s="506">
        <f t="shared" si="15"/>
        <v>0</v>
      </c>
      <c r="K78" s="506">
        <f t="shared" si="16"/>
        <v>0</v>
      </c>
      <c r="L78" s="508" t="str">
        <f t="shared" si="17"/>
        <v/>
      </c>
      <c r="AC78" s="1340"/>
    </row>
    <row r="79" spans="1:29" ht="12.75" customHeight="1" x14ac:dyDescent="0.25">
      <c r="A79" s="584" t="s">
        <v>1158</v>
      </c>
      <c r="B79" s="73"/>
      <c r="C79" s="128"/>
      <c r="D79" s="109"/>
      <c r="E79" s="109"/>
      <c r="F79" s="109"/>
      <c r="G79" s="109"/>
      <c r="H79" s="109"/>
      <c r="I79" s="109"/>
      <c r="J79" s="506">
        <f t="shared" si="15"/>
        <v>0</v>
      </c>
      <c r="K79" s="506">
        <f t="shared" si="16"/>
        <v>0</v>
      </c>
      <c r="L79" s="508" t="str">
        <f t="shared" si="17"/>
        <v/>
      </c>
      <c r="AC79" s="1340"/>
    </row>
    <row r="80" spans="1:29" ht="12.75" customHeight="1" x14ac:dyDescent="0.25">
      <c r="A80" s="584" t="s">
        <v>1160</v>
      </c>
      <c r="B80" s="73">
        <v>5</v>
      </c>
      <c r="C80" s="128"/>
      <c r="D80" s="109"/>
      <c r="E80" s="109"/>
      <c r="F80" s="109"/>
      <c r="G80" s="109"/>
      <c r="H80" s="109"/>
      <c r="I80" s="109"/>
      <c r="J80" s="506">
        <f t="shared" si="15"/>
        <v>0</v>
      </c>
      <c r="K80" s="506">
        <f t="shared" si="16"/>
        <v>0</v>
      </c>
      <c r="L80" s="508" t="str">
        <f t="shared" si="17"/>
        <v/>
      </c>
      <c r="AC80" s="1340"/>
    </row>
    <row r="81" spans="1:29" ht="12.75" customHeight="1" x14ac:dyDescent="0.25">
      <c r="A81" s="137" t="s">
        <v>210</v>
      </c>
      <c r="B81" s="73"/>
      <c r="C81" s="300">
        <f t="shared" ref="C81:K81" si="18">SUM(C69:C80)</f>
        <v>0</v>
      </c>
      <c r="D81" s="149">
        <f t="shared" si="18"/>
        <v>0</v>
      </c>
      <c r="E81" s="149">
        <f t="shared" si="18"/>
        <v>0</v>
      </c>
      <c r="F81" s="149">
        <f t="shared" si="18"/>
        <v>0</v>
      </c>
      <c r="G81" s="149">
        <f t="shared" si="18"/>
        <v>0</v>
      </c>
      <c r="H81" s="149">
        <f t="shared" si="18"/>
        <v>0</v>
      </c>
      <c r="I81" s="149">
        <f t="shared" si="18"/>
        <v>0</v>
      </c>
      <c r="J81" s="149">
        <f t="shared" si="18"/>
        <v>0</v>
      </c>
      <c r="K81" s="150">
        <f t="shared" si="18"/>
        <v>0</v>
      </c>
      <c r="L81" s="510" t="str">
        <f t="shared" si="17"/>
        <v/>
      </c>
      <c r="AC81" s="1340"/>
    </row>
    <row r="82" spans="1:29" ht="12.75" customHeight="1" x14ac:dyDescent="0.25">
      <c r="A82" s="823" t="str">
        <f>$A$15</f>
        <v>% increase</v>
      </c>
      <c r="B82" s="73"/>
      <c r="C82" s="138"/>
      <c r="D82" s="139"/>
      <c r="E82" s="139"/>
      <c r="F82" s="139"/>
      <c r="G82" s="139"/>
      <c r="H82" s="139"/>
      <c r="I82" s="139"/>
      <c r="J82" s="514"/>
      <c r="K82" s="514"/>
      <c r="L82" s="510"/>
      <c r="AC82" s="1338"/>
    </row>
    <row r="83" spans="1:29" ht="3.75" customHeight="1" x14ac:dyDescent="0.25">
      <c r="A83" s="823"/>
      <c r="B83" s="73"/>
      <c r="C83" s="138"/>
      <c r="D83" s="139"/>
      <c r="E83" s="139"/>
      <c r="F83" s="139"/>
      <c r="G83" s="139"/>
      <c r="H83" s="139"/>
      <c r="I83" s="139"/>
      <c r="J83" s="514"/>
      <c r="K83" s="514"/>
      <c r="L83" s="510"/>
      <c r="AC83" s="1338"/>
    </row>
    <row r="84" spans="1:29" ht="12.75" customHeight="1" x14ac:dyDescent="0.25">
      <c r="A84" s="124" t="s">
        <v>211</v>
      </c>
      <c r="B84" s="73"/>
      <c r="C84" s="74"/>
      <c r="D84" s="75"/>
      <c r="E84" s="75"/>
      <c r="F84" s="75"/>
      <c r="G84" s="75"/>
      <c r="H84" s="75"/>
      <c r="I84" s="75"/>
      <c r="J84" s="506"/>
      <c r="K84" s="506"/>
      <c r="L84" s="508"/>
      <c r="AC84" s="1338"/>
    </row>
    <row r="85" spans="1:29" ht="12.75" customHeight="1" x14ac:dyDescent="0.25">
      <c r="A85" s="584" t="s">
        <v>203</v>
      </c>
      <c r="B85" s="73"/>
      <c r="C85" s="128"/>
      <c r="D85" s="109"/>
      <c r="E85" s="109"/>
      <c r="F85" s="109"/>
      <c r="G85" s="109"/>
      <c r="H85" s="109"/>
      <c r="I85" s="109"/>
      <c r="J85" s="506">
        <f t="shared" ref="J85:J96" si="19">SUM(D85:I85)</f>
        <v>0</v>
      </c>
      <c r="K85" s="506">
        <f t="shared" ref="K85:K96" si="20">IF(D85=0,C85+J85,D85+J85)</f>
        <v>0</v>
      </c>
      <c r="L85" s="508" t="str">
        <f t="shared" ref="L85:L97" si="21">IF(K85=0,"",(K85/C85)-1)</f>
        <v/>
      </c>
      <c r="AC85" s="1338"/>
    </row>
    <row r="86" spans="1:29" ht="12.75" customHeight="1" x14ac:dyDescent="0.25">
      <c r="A86" s="584" t="s">
        <v>1375</v>
      </c>
      <c r="B86" s="73"/>
      <c r="C86" s="128"/>
      <c r="D86" s="109"/>
      <c r="E86" s="109"/>
      <c r="F86" s="109"/>
      <c r="G86" s="109"/>
      <c r="H86" s="109"/>
      <c r="I86" s="109"/>
      <c r="J86" s="506">
        <f t="shared" si="19"/>
        <v>0</v>
      </c>
      <c r="K86" s="506">
        <f t="shared" si="20"/>
        <v>0</v>
      </c>
      <c r="L86" s="508" t="str">
        <f t="shared" si="21"/>
        <v/>
      </c>
      <c r="AC86" s="1340"/>
    </row>
    <row r="87" spans="1:29" ht="12.75" customHeight="1" x14ac:dyDescent="0.25">
      <c r="A87" s="584" t="s">
        <v>196</v>
      </c>
      <c r="B87" s="73"/>
      <c r="C87" s="128"/>
      <c r="D87" s="109"/>
      <c r="E87" s="109"/>
      <c r="F87" s="109"/>
      <c r="G87" s="109"/>
      <c r="H87" s="109"/>
      <c r="I87" s="109"/>
      <c r="J87" s="506">
        <f t="shared" si="19"/>
        <v>0</v>
      </c>
      <c r="K87" s="506">
        <f t="shared" si="20"/>
        <v>0</v>
      </c>
      <c r="L87" s="508" t="str">
        <f t="shared" si="21"/>
        <v/>
      </c>
      <c r="AC87" s="1340"/>
    </row>
    <row r="88" spans="1:29" ht="12.75" customHeight="1" x14ac:dyDescent="0.25">
      <c r="A88" s="584" t="s">
        <v>1157</v>
      </c>
      <c r="B88" s="73"/>
      <c r="C88" s="128"/>
      <c r="D88" s="109"/>
      <c r="E88" s="109"/>
      <c r="F88" s="109"/>
      <c r="G88" s="109"/>
      <c r="H88" s="109"/>
      <c r="I88" s="109"/>
      <c r="J88" s="506">
        <f t="shared" si="19"/>
        <v>0</v>
      </c>
      <c r="K88" s="506">
        <f t="shared" si="20"/>
        <v>0</v>
      </c>
      <c r="L88" s="508" t="str">
        <f t="shared" si="21"/>
        <v/>
      </c>
      <c r="AC88" s="1340"/>
    </row>
    <row r="89" spans="1:29" ht="12.75" customHeight="1" x14ac:dyDescent="0.25">
      <c r="A89" s="584" t="s">
        <v>200</v>
      </c>
      <c r="B89" s="73"/>
      <c r="C89" s="128"/>
      <c r="D89" s="109"/>
      <c r="E89" s="109"/>
      <c r="F89" s="109"/>
      <c r="G89" s="109"/>
      <c r="H89" s="109"/>
      <c r="I89" s="109"/>
      <c r="J89" s="506">
        <f t="shared" si="19"/>
        <v>0</v>
      </c>
      <c r="K89" s="506">
        <f>IF(D89=0,C89+J89,D89+J89)</f>
        <v>0</v>
      </c>
      <c r="L89" s="508"/>
      <c r="AC89" s="1340"/>
    </row>
    <row r="90" spans="1:29" ht="12.75" customHeight="1" x14ac:dyDescent="0.25">
      <c r="A90" s="584" t="s">
        <v>1376</v>
      </c>
      <c r="B90" s="73"/>
      <c r="C90" s="128"/>
      <c r="D90" s="109"/>
      <c r="E90" s="109"/>
      <c r="F90" s="109"/>
      <c r="G90" s="109"/>
      <c r="H90" s="109"/>
      <c r="I90" s="109"/>
      <c r="J90" s="506">
        <f t="shared" si="19"/>
        <v>0</v>
      </c>
      <c r="K90" s="506">
        <f t="shared" si="20"/>
        <v>0</v>
      </c>
      <c r="L90" s="508" t="str">
        <f t="shared" si="21"/>
        <v/>
      </c>
      <c r="AC90" s="1340"/>
    </row>
    <row r="91" spans="1:29" ht="12.75" customHeight="1" x14ac:dyDescent="0.25">
      <c r="A91" s="584" t="s">
        <v>1377</v>
      </c>
      <c r="B91" s="73"/>
      <c r="C91" s="128"/>
      <c r="D91" s="109"/>
      <c r="E91" s="109"/>
      <c r="F91" s="109"/>
      <c r="G91" s="109"/>
      <c r="H91" s="109"/>
      <c r="I91" s="109"/>
      <c r="J91" s="506">
        <f t="shared" si="19"/>
        <v>0</v>
      </c>
      <c r="K91" s="506">
        <f t="shared" si="20"/>
        <v>0</v>
      </c>
      <c r="L91" s="508" t="str">
        <f t="shared" si="21"/>
        <v/>
      </c>
      <c r="AC91" s="1340"/>
    </row>
    <row r="92" spans="1:29" ht="12.75" customHeight="1" x14ac:dyDescent="0.25">
      <c r="A92" s="584" t="s">
        <v>1378</v>
      </c>
      <c r="B92" s="73"/>
      <c r="C92" s="128"/>
      <c r="D92" s="109"/>
      <c r="E92" s="109"/>
      <c r="F92" s="109"/>
      <c r="G92" s="109"/>
      <c r="H92" s="109"/>
      <c r="I92" s="109"/>
      <c r="J92" s="506">
        <f t="shared" si="19"/>
        <v>0</v>
      </c>
      <c r="K92" s="506">
        <f>IF(D92=0,C92+J92,D92+J92)</f>
        <v>0</v>
      </c>
      <c r="L92" s="508"/>
      <c r="AC92" s="1340"/>
    </row>
    <row r="93" spans="1:29" ht="12.75" customHeight="1" x14ac:dyDescent="0.25">
      <c r="A93" s="584" t="s">
        <v>1185</v>
      </c>
      <c r="B93" s="73"/>
      <c r="C93" s="128"/>
      <c r="D93" s="109"/>
      <c r="E93" s="109"/>
      <c r="F93" s="109"/>
      <c r="G93" s="109"/>
      <c r="H93" s="109"/>
      <c r="I93" s="109"/>
      <c r="J93" s="506">
        <f t="shared" si="19"/>
        <v>0</v>
      </c>
      <c r="K93" s="506">
        <f>IF(D93=0,C93+J93,D93+J93)</f>
        <v>0</v>
      </c>
      <c r="L93" s="508"/>
      <c r="AC93" s="1340"/>
    </row>
    <row r="94" spans="1:29" ht="12.75" customHeight="1" x14ac:dyDescent="0.25">
      <c r="A94" s="584" t="s">
        <v>1159</v>
      </c>
      <c r="B94" s="73"/>
      <c r="C94" s="128"/>
      <c r="D94" s="109"/>
      <c r="E94" s="109"/>
      <c r="F94" s="109"/>
      <c r="G94" s="109"/>
      <c r="H94" s="109"/>
      <c r="I94" s="109"/>
      <c r="J94" s="506">
        <f t="shared" si="19"/>
        <v>0</v>
      </c>
      <c r="K94" s="506">
        <f t="shared" si="20"/>
        <v>0</v>
      </c>
      <c r="L94" s="508" t="str">
        <f t="shared" si="21"/>
        <v/>
      </c>
      <c r="AC94" s="1340"/>
    </row>
    <row r="95" spans="1:29" ht="12.75" customHeight="1" x14ac:dyDescent="0.25">
      <c r="A95" s="584" t="s">
        <v>1158</v>
      </c>
      <c r="B95" s="73"/>
      <c r="C95" s="128"/>
      <c r="D95" s="109"/>
      <c r="E95" s="109"/>
      <c r="F95" s="109"/>
      <c r="G95" s="109"/>
      <c r="H95" s="109"/>
      <c r="I95" s="109"/>
      <c r="J95" s="506">
        <f t="shared" si="19"/>
        <v>0</v>
      </c>
      <c r="K95" s="506">
        <f t="shared" si="20"/>
        <v>0</v>
      </c>
      <c r="L95" s="508" t="str">
        <f t="shared" si="21"/>
        <v/>
      </c>
      <c r="AC95" s="1340"/>
    </row>
    <row r="96" spans="1:29" ht="12.75" customHeight="1" x14ac:dyDescent="0.25">
      <c r="A96" s="584" t="s">
        <v>1160</v>
      </c>
      <c r="B96" s="73">
        <v>5</v>
      </c>
      <c r="C96" s="128"/>
      <c r="D96" s="109"/>
      <c r="E96" s="109"/>
      <c r="F96" s="109"/>
      <c r="G96" s="109"/>
      <c r="H96" s="109"/>
      <c r="I96" s="109"/>
      <c r="J96" s="506">
        <f t="shared" si="19"/>
        <v>0</v>
      </c>
      <c r="K96" s="506">
        <f t="shared" si="20"/>
        <v>0</v>
      </c>
      <c r="L96" s="508" t="str">
        <f t="shared" si="21"/>
        <v/>
      </c>
      <c r="AC96" s="1340"/>
    </row>
    <row r="97" spans="1:30" ht="12.75" customHeight="1" x14ac:dyDescent="0.25">
      <c r="A97" s="137" t="s">
        <v>212</v>
      </c>
      <c r="B97" s="73"/>
      <c r="C97" s="300">
        <f t="shared" ref="C97:K97" si="22">SUM(C85:C96)</f>
        <v>0</v>
      </c>
      <c r="D97" s="149">
        <f t="shared" si="22"/>
        <v>0</v>
      </c>
      <c r="E97" s="149">
        <f t="shared" si="22"/>
        <v>0</v>
      </c>
      <c r="F97" s="149">
        <f t="shared" si="22"/>
        <v>0</v>
      </c>
      <c r="G97" s="149">
        <f t="shared" si="22"/>
        <v>0</v>
      </c>
      <c r="H97" s="149">
        <f t="shared" si="22"/>
        <v>0</v>
      </c>
      <c r="I97" s="149">
        <f t="shared" si="22"/>
        <v>0</v>
      </c>
      <c r="J97" s="149">
        <f t="shared" si="22"/>
        <v>0</v>
      </c>
      <c r="K97" s="150">
        <f t="shared" si="22"/>
        <v>0</v>
      </c>
      <c r="L97" s="510" t="str">
        <f t="shared" si="21"/>
        <v/>
      </c>
      <c r="AC97" s="1340"/>
    </row>
    <row r="98" spans="1:30" ht="12.75" customHeight="1" x14ac:dyDescent="0.25">
      <c r="A98" s="823" t="str">
        <f>$A$15</f>
        <v>% increase</v>
      </c>
      <c r="B98" s="152"/>
      <c r="C98" s="515"/>
      <c r="D98" s="235"/>
      <c r="E98" s="235"/>
      <c r="F98" s="235"/>
      <c r="G98" s="235"/>
      <c r="H98" s="235"/>
      <c r="I98" s="235"/>
      <c r="J98" s="235"/>
      <c r="K98" s="516"/>
      <c r="L98" s="510"/>
      <c r="AC98" s="1338"/>
    </row>
    <row r="99" spans="1:30" ht="12.75" customHeight="1" x14ac:dyDescent="0.25">
      <c r="A99" s="160" t="s">
        <v>213</v>
      </c>
      <c r="B99" s="79"/>
      <c r="C99" s="80">
        <f t="shared" ref="C99:K99" si="23">C65+C81+C97</f>
        <v>0</v>
      </c>
      <c r="D99" s="81">
        <f t="shared" si="23"/>
        <v>0</v>
      </c>
      <c r="E99" s="81">
        <f t="shared" si="23"/>
        <v>0</v>
      </c>
      <c r="F99" s="81">
        <f t="shared" si="23"/>
        <v>0</v>
      </c>
      <c r="G99" s="81">
        <f t="shared" si="23"/>
        <v>0</v>
      </c>
      <c r="H99" s="81">
        <f t="shared" si="23"/>
        <v>0</v>
      </c>
      <c r="I99" s="81">
        <f t="shared" si="23"/>
        <v>0</v>
      </c>
      <c r="J99" s="81">
        <f t="shared" si="23"/>
        <v>0</v>
      </c>
      <c r="K99" s="517">
        <f t="shared" si="23"/>
        <v>0</v>
      </c>
      <c r="L99" s="510" t="str">
        <f>IF(K99=0,"",(K99/C99)-1)</f>
        <v/>
      </c>
      <c r="AC99" s="1338"/>
    </row>
    <row r="100" spans="1:30" ht="5.0999999999999996" customHeight="1" x14ac:dyDescent="0.25">
      <c r="A100" s="134"/>
      <c r="B100" s="105"/>
      <c r="C100" s="106"/>
      <c r="D100" s="478"/>
      <c r="E100" s="478"/>
      <c r="F100" s="478"/>
      <c r="G100" s="478"/>
      <c r="H100" s="478"/>
      <c r="I100" s="478"/>
      <c r="J100" s="478"/>
      <c r="K100" s="518"/>
      <c r="L100" s="510"/>
      <c r="AC100" s="1338"/>
    </row>
    <row r="101" spans="1:30" ht="24.75" customHeight="1" x14ac:dyDescent="0.25">
      <c r="A101" s="1173" t="s">
        <v>1459</v>
      </c>
      <c r="B101" s="152"/>
      <c r="C101" s="515">
        <f t="shared" ref="C101:K101" si="24">C48+C99</f>
        <v>51065506</v>
      </c>
      <c r="D101" s="235">
        <f t="shared" si="24"/>
        <v>51065506</v>
      </c>
      <c r="E101" s="235">
        <f t="shared" si="24"/>
        <v>0</v>
      </c>
      <c r="F101" s="235">
        <f t="shared" si="24"/>
        <v>0</v>
      </c>
      <c r="G101" s="235">
        <f t="shared" si="24"/>
        <v>0</v>
      </c>
      <c r="H101" s="235">
        <f t="shared" si="24"/>
        <v>0</v>
      </c>
      <c r="I101" s="235">
        <f t="shared" si="24"/>
        <v>0</v>
      </c>
      <c r="J101" s="235">
        <f t="shared" si="24"/>
        <v>44691585</v>
      </c>
      <c r="K101" s="516">
        <f t="shared" si="24"/>
        <v>95757091</v>
      </c>
      <c r="L101" s="510">
        <f>IF(K101=0,"",(K101/C101)-1)</f>
        <v>0.87518147768867705</v>
      </c>
      <c r="AC101" s="1338"/>
    </row>
    <row r="102" spans="1:30" ht="13.5" x14ac:dyDescent="0.25">
      <c r="A102" s="823" t="str">
        <f>$A$15</f>
        <v>% increase</v>
      </c>
      <c r="B102" s="105"/>
      <c r="C102" s="148"/>
      <c r="D102" s="149"/>
      <c r="E102" s="149"/>
      <c r="F102" s="149"/>
      <c r="G102" s="149"/>
      <c r="H102" s="149"/>
      <c r="I102" s="149"/>
      <c r="J102" s="149"/>
      <c r="K102" s="519"/>
      <c r="L102" s="510"/>
      <c r="AC102" s="1338"/>
    </row>
    <row r="103" spans="1:30" ht="12.75" customHeight="1" x14ac:dyDescent="0.25">
      <c r="A103" s="153" t="s">
        <v>214</v>
      </c>
      <c r="B103" s="154"/>
      <c r="C103" s="155">
        <f t="shared" ref="C103:K103" si="25">C30+C46+C81+C97</f>
        <v>44691585</v>
      </c>
      <c r="D103" s="115">
        <f t="shared" si="25"/>
        <v>44691585</v>
      </c>
      <c r="E103" s="115">
        <f t="shared" si="25"/>
        <v>0</v>
      </c>
      <c r="F103" s="115">
        <f t="shared" si="25"/>
        <v>0</v>
      </c>
      <c r="G103" s="115">
        <f t="shared" si="25"/>
        <v>0</v>
      </c>
      <c r="H103" s="115">
        <f t="shared" si="25"/>
        <v>0</v>
      </c>
      <c r="I103" s="115">
        <f t="shared" si="25"/>
        <v>0</v>
      </c>
      <c r="J103" s="115">
        <f t="shared" si="25"/>
        <v>44691585</v>
      </c>
      <c r="K103" s="520">
        <f t="shared" si="25"/>
        <v>89383170</v>
      </c>
      <c r="L103" s="521">
        <f>IF(K103=0,"",(K103/C103)-1)</f>
        <v>1</v>
      </c>
      <c r="AC103" s="1338"/>
    </row>
    <row r="104" spans="1:30" ht="12.75" customHeight="1" x14ac:dyDescent="0.25">
      <c r="A104" s="156" t="str">
        <f>head27a</f>
        <v>References</v>
      </c>
      <c r="B104" s="93"/>
      <c r="C104" s="489"/>
      <c r="D104" s="489"/>
      <c r="E104" s="489"/>
      <c r="F104" s="489"/>
      <c r="G104" s="489"/>
      <c r="H104" s="489"/>
      <c r="I104" s="489"/>
      <c r="J104" s="489"/>
      <c r="K104" s="489"/>
      <c r="L104" s="522"/>
      <c r="M104" s="48"/>
      <c r="N104" s="48"/>
      <c r="O104" s="48"/>
      <c r="AC104" s="1338"/>
    </row>
    <row r="105" spans="1:30" ht="12.75" customHeight="1" x14ac:dyDescent="0.25">
      <c r="A105" s="99" t="s">
        <v>215</v>
      </c>
      <c r="B105" s="93"/>
      <c r="C105" s="489"/>
      <c r="D105" s="489"/>
      <c r="E105" s="489"/>
      <c r="F105" s="489"/>
      <c r="G105" s="489"/>
      <c r="H105" s="489"/>
      <c r="I105" s="489"/>
      <c r="J105" s="489"/>
      <c r="K105" s="489"/>
      <c r="L105" s="522"/>
      <c r="M105" s="48"/>
      <c r="N105" s="48"/>
      <c r="O105" s="48"/>
      <c r="AC105" s="1338"/>
    </row>
    <row r="106" spans="1:30" ht="12.75" customHeight="1" x14ac:dyDescent="0.25">
      <c r="A106" s="99" t="s">
        <v>216</v>
      </c>
      <c r="B106" s="93"/>
      <c r="C106" s="489"/>
      <c r="D106" s="489"/>
      <c r="E106" s="489"/>
      <c r="F106" s="489"/>
      <c r="G106" s="489"/>
      <c r="H106" s="489"/>
      <c r="I106" s="489"/>
      <c r="J106" s="489"/>
      <c r="K106" s="489"/>
      <c r="L106" s="522"/>
      <c r="M106" s="48"/>
      <c r="N106" s="48"/>
      <c r="O106" s="48"/>
      <c r="AC106" s="1341"/>
      <c r="AD106" s="1342"/>
    </row>
    <row r="107" spans="1:30" ht="12.75" customHeight="1" x14ac:dyDescent="0.25">
      <c r="A107" s="99" t="s">
        <v>217</v>
      </c>
      <c r="B107" s="93"/>
      <c r="C107" s="99"/>
      <c r="D107" s="99"/>
      <c r="E107" s="99"/>
      <c r="F107" s="99"/>
      <c r="G107" s="99"/>
      <c r="H107" s="99"/>
      <c r="I107" s="99"/>
      <c r="J107" s="99"/>
      <c r="K107" s="99"/>
      <c r="L107" s="93"/>
      <c r="AC107" s="1341"/>
      <c r="AD107" s="1342"/>
    </row>
    <row r="108" spans="1:30" ht="12.75" customHeight="1" x14ac:dyDescent="0.25">
      <c r="A108" s="157" t="s">
        <v>218</v>
      </c>
      <c r="B108" s="93"/>
      <c r="C108" s="99"/>
      <c r="D108" s="99"/>
      <c r="E108" s="99"/>
      <c r="F108" s="99"/>
      <c r="G108" s="99"/>
      <c r="H108" s="99"/>
      <c r="I108" s="99"/>
      <c r="J108" s="99"/>
      <c r="K108" s="99"/>
      <c r="L108" s="93"/>
      <c r="AC108" s="1341"/>
      <c r="AD108" s="1342"/>
    </row>
    <row r="109" spans="1:30" ht="12.75" customHeight="1" x14ac:dyDescent="0.25">
      <c r="A109" s="1012" t="s">
        <v>1379</v>
      </c>
      <c r="B109" s="93"/>
      <c r="C109" s="99"/>
      <c r="D109" s="99"/>
      <c r="E109" s="99"/>
      <c r="F109" s="99"/>
      <c r="G109" s="99"/>
      <c r="H109" s="99"/>
      <c r="I109" s="99"/>
      <c r="J109" s="99"/>
      <c r="K109" s="99"/>
      <c r="L109" s="93"/>
      <c r="AC109" s="1341"/>
      <c r="AD109" s="1342"/>
    </row>
    <row r="110" spans="1:30" ht="12.75" customHeight="1" x14ac:dyDescent="0.25">
      <c r="A110" s="1012"/>
      <c r="B110" s="93"/>
      <c r="C110" s="99"/>
      <c r="D110" s="99"/>
      <c r="E110" s="99"/>
      <c r="F110" s="99"/>
      <c r="G110" s="99"/>
      <c r="H110" s="99"/>
      <c r="I110" s="99"/>
      <c r="J110" s="99"/>
      <c r="K110" s="99"/>
      <c r="L110" s="93"/>
      <c r="AC110" s="1341"/>
      <c r="AD110" s="1342"/>
    </row>
    <row r="111" spans="1:30" ht="12.75" customHeight="1" x14ac:dyDescent="0.25">
      <c r="A111" s="156" t="s">
        <v>219</v>
      </c>
      <c r="B111" s="93"/>
      <c r="C111" s="99"/>
      <c r="D111" s="99"/>
      <c r="E111" s="99"/>
      <c r="F111" s="99"/>
      <c r="G111" s="99"/>
      <c r="H111" s="99"/>
      <c r="I111" s="99"/>
      <c r="J111" s="99"/>
      <c r="K111" s="99"/>
      <c r="L111" s="93"/>
      <c r="AC111" s="1341"/>
      <c r="AD111" s="1342"/>
    </row>
    <row r="112" spans="1:30" ht="12.75" customHeight="1" x14ac:dyDescent="0.25">
      <c r="A112" s="99" t="s">
        <v>220</v>
      </c>
      <c r="B112" s="93"/>
      <c r="C112" s="99"/>
      <c r="D112" s="99"/>
      <c r="E112" s="99"/>
      <c r="F112" s="99"/>
      <c r="G112" s="99"/>
      <c r="H112" s="99"/>
      <c r="I112" s="99"/>
      <c r="J112" s="99"/>
      <c r="K112" s="99"/>
      <c r="L112" s="93"/>
      <c r="AC112" s="1341"/>
      <c r="AD112" s="1342"/>
    </row>
    <row r="113" spans="1:30" ht="12.75" customHeight="1" x14ac:dyDescent="0.25">
      <c r="A113" s="1416" t="s">
        <v>989</v>
      </c>
      <c r="B113" s="1416"/>
      <c r="C113" s="1416"/>
      <c r="D113" s="1416"/>
      <c r="E113" s="1416"/>
      <c r="F113" s="1416"/>
      <c r="G113" s="1416"/>
      <c r="H113" s="1416"/>
      <c r="I113" s="1416"/>
      <c r="J113" s="1416"/>
      <c r="K113" s="1416"/>
      <c r="L113" s="1416"/>
      <c r="AC113" s="1341"/>
      <c r="AD113" s="1342"/>
    </row>
    <row r="114" spans="1:30" ht="24.95" customHeight="1" x14ac:dyDescent="0.25">
      <c r="A114" s="1416" t="s">
        <v>672</v>
      </c>
      <c r="B114" s="1416"/>
      <c r="C114" s="1416"/>
      <c r="D114" s="1416"/>
      <c r="E114" s="1416"/>
      <c r="F114" s="1416"/>
      <c r="G114" s="1416"/>
      <c r="H114" s="1416"/>
      <c r="I114" s="1416"/>
      <c r="J114" s="1416"/>
      <c r="K114" s="1416"/>
      <c r="L114" s="1416"/>
      <c r="AC114" s="1341"/>
      <c r="AD114" s="1342"/>
    </row>
    <row r="115" spans="1:30" ht="12.75" customHeight="1" x14ac:dyDescent="0.25">
      <c r="A115" s="1416" t="s">
        <v>634</v>
      </c>
      <c r="B115" s="1416"/>
      <c r="C115" s="1416"/>
      <c r="D115" s="1416"/>
      <c r="E115" s="1416"/>
      <c r="F115" s="1416"/>
      <c r="G115" s="1416"/>
      <c r="H115" s="1416"/>
      <c r="I115" s="1416"/>
      <c r="J115" s="1416"/>
      <c r="K115" s="98"/>
      <c r="L115" s="523"/>
      <c r="AC115" s="1341"/>
      <c r="AD115" s="1342"/>
    </row>
    <row r="116" spans="1:30" ht="12.75" customHeight="1" x14ac:dyDescent="0.25">
      <c r="A116" s="1416" t="s">
        <v>635</v>
      </c>
      <c r="B116" s="1416"/>
      <c r="C116" s="1416"/>
      <c r="D116" s="1416"/>
      <c r="E116" s="1416"/>
      <c r="F116" s="1416"/>
      <c r="G116" s="1416"/>
      <c r="H116" s="1416"/>
      <c r="I116" s="1416"/>
      <c r="J116" s="1416"/>
      <c r="K116" s="1416"/>
      <c r="L116" s="1416"/>
      <c r="AC116" s="1341"/>
      <c r="AD116" s="1342"/>
    </row>
    <row r="117" spans="1:30" ht="12.75" customHeight="1" x14ac:dyDescent="0.25">
      <c r="A117" s="99" t="s">
        <v>223</v>
      </c>
      <c r="B117" s="93"/>
      <c r="C117" s="96"/>
      <c r="D117" s="96"/>
      <c r="E117" s="96"/>
      <c r="F117" s="96"/>
      <c r="G117" s="96"/>
      <c r="H117" s="96"/>
      <c r="I117" s="96"/>
      <c r="J117" s="96"/>
      <c r="K117" s="96"/>
      <c r="L117" s="524"/>
      <c r="AC117" s="1341"/>
      <c r="AD117" s="1342"/>
    </row>
    <row r="118" spans="1:30" ht="24.95" customHeight="1" x14ac:dyDescent="0.25">
      <c r="A118" s="1416" t="s">
        <v>637</v>
      </c>
      <c r="B118" s="1416"/>
      <c r="C118" s="1416"/>
      <c r="D118" s="1416"/>
      <c r="E118" s="1416"/>
      <c r="F118" s="1416"/>
      <c r="G118" s="1416"/>
      <c r="H118" s="1416"/>
      <c r="I118" s="1416"/>
      <c r="J118" s="1416"/>
      <c r="K118" s="1416"/>
      <c r="L118" s="1416"/>
      <c r="AC118" s="1341"/>
      <c r="AD118" s="1342"/>
    </row>
    <row r="119" spans="1:30" ht="12.75" customHeight="1" x14ac:dyDescent="0.25">
      <c r="A119" s="99" t="s">
        <v>224</v>
      </c>
      <c r="B119" s="93"/>
      <c r="C119" s="96"/>
      <c r="D119" s="96"/>
      <c r="E119" s="96"/>
      <c r="F119" s="96"/>
      <c r="G119" s="96"/>
      <c r="H119" s="96"/>
      <c r="I119" s="96"/>
      <c r="J119" s="96"/>
      <c r="K119" s="96"/>
      <c r="L119" s="524"/>
      <c r="AC119" s="1341"/>
      <c r="AD119" s="1342"/>
    </row>
    <row r="120" spans="1:30" ht="12.75" customHeight="1" x14ac:dyDescent="0.25">
      <c r="A120" s="1416" t="s">
        <v>639</v>
      </c>
      <c r="B120" s="1416"/>
      <c r="C120" s="1416"/>
      <c r="D120" s="1416"/>
      <c r="E120" s="1416"/>
      <c r="F120" s="1416"/>
      <c r="G120" s="1416"/>
      <c r="H120" s="1416"/>
      <c r="I120" s="1416"/>
      <c r="J120" s="1416"/>
      <c r="K120" s="1416"/>
      <c r="L120" s="1416"/>
      <c r="AC120" s="1341"/>
      <c r="AD120" s="1342"/>
    </row>
    <row r="121" spans="1:30" x14ac:dyDescent="0.25">
      <c r="B121" s="5"/>
      <c r="AC121" s="1341"/>
      <c r="AD121" s="1342"/>
    </row>
    <row r="122" spans="1:30" x14ac:dyDescent="0.25">
      <c r="B122" s="5"/>
    </row>
    <row r="123" spans="1:30" ht="13.5" x14ac:dyDescent="0.25">
      <c r="B123" s="5"/>
      <c r="AC123" s="1338"/>
    </row>
    <row r="124" spans="1:30" ht="13.5" x14ac:dyDescent="0.25">
      <c r="B124" s="5"/>
      <c r="AC124" s="1338"/>
    </row>
    <row r="125" spans="1:30" ht="13.5" x14ac:dyDescent="0.25">
      <c r="B125" s="5"/>
      <c r="AC125" s="1338"/>
    </row>
    <row r="126" spans="1:30" ht="13.5" x14ac:dyDescent="0.25">
      <c r="B126" s="5"/>
      <c r="AC126" s="1338"/>
    </row>
    <row r="127" spans="1:30" ht="13.5" x14ac:dyDescent="0.25">
      <c r="B127" s="5"/>
      <c r="AC127" s="1338"/>
    </row>
    <row r="128" spans="1:30" ht="13.5" x14ac:dyDescent="0.25">
      <c r="B128" s="5"/>
      <c r="AC128" s="1338"/>
    </row>
    <row r="129" spans="2:29" ht="13.5" x14ac:dyDescent="0.25">
      <c r="B129" s="5"/>
      <c r="AC129" s="1338"/>
    </row>
    <row r="130" spans="2:29" x14ac:dyDescent="0.25">
      <c r="B130" s="5"/>
    </row>
    <row r="131" spans="2:29" x14ac:dyDescent="0.25">
      <c r="B131" s="5"/>
    </row>
    <row r="132" spans="2:29" x14ac:dyDescent="0.25">
      <c r="B132" s="5"/>
    </row>
    <row r="133" spans="2:29" x14ac:dyDescent="0.25">
      <c r="B133" s="5"/>
    </row>
    <row r="134" spans="2:29" x14ac:dyDescent="0.25">
      <c r="B134" s="5"/>
    </row>
    <row r="135" spans="2:29" x14ac:dyDescent="0.25">
      <c r="B135" s="5"/>
    </row>
    <row r="136" spans="2:29" x14ac:dyDescent="0.25">
      <c r="B136" s="5"/>
    </row>
    <row r="137" spans="2:29" x14ac:dyDescent="0.25">
      <c r="B137" s="5"/>
    </row>
    <row r="138" spans="2:29" x14ac:dyDescent="0.25">
      <c r="B138" s="5"/>
    </row>
    <row r="139" spans="2:29" x14ac:dyDescent="0.25">
      <c r="B139" s="5"/>
    </row>
    <row r="140" spans="2:29" x14ac:dyDescent="0.25">
      <c r="B140" s="5"/>
    </row>
    <row r="141" spans="2:29" x14ac:dyDescent="0.25">
      <c r="B141" s="5"/>
    </row>
    <row r="142" spans="2:29" x14ac:dyDescent="0.25">
      <c r="B142" s="5"/>
    </row>
    <row r="143" spans="2:29" x14ac:dyDescent="0.25">
      <c r="B143" s="5"/>
    </row>
    <row r="144" spans="2:29"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mergeCells count="9">
    <mergeCell ref="A2:A3"/>
    <mergeCell ref="B2:B3"/>
    <mergeCell ref="A118:L118"/>
    <mergeCell ref="A120:L120"/>
    <mergeCell ref="A113:L113"/>
    <mergeCell ref="A115:J115"/>
    <mergeCell ref="A116:L116"/>
    <mergeCell ref="A114:L114"/>
    <mergeCell ref="C2:K2"/>
  </mergeCells>
  <phoneticPr fontId="4" type="noConversion"/>
  <printOptions horizontalCentered="1"/>
  <pageMargins left="0.35" right="0.16" top="0.59" bottom="0.41" header="0.51181102362204722" footer="0.4"/>
  <pageSetup paperSize="9" scale="34"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2">
    <tabColor indexed="42"/>
    <pageSetUpPr fitToPage="1"/>
  </sheetPr>
  <dimension ref="A1:AD56"/>
  <sheetViews>
    <sheetView showGridLines="0" zoomScale="90" zoomScaleNormal="90" workbookViewId="0">
      <pane xSplit="2" ySplit="4" topLeftCell="C5" activePane="bottomRight" state="frozen"/>
      <selection activeCell="C6" sqref="C6"/>
      <selection pane="topRight" activeCell="C6" sqref="C6"/>
      <selection pane="bottomLeft" activeCell="C6" sqref="C6"/>
      <selection pane="bottomRight" activeCell="I7" sqref="I7"/>
    </sheetView>
  </sheetViews>
  <sheetFormatPr defaultColWidth="9.140625" defaultRowHeight="12.75" x14ac:dyDescent="0.25"/>
  <cols>
    <col min="1" max="1" width="25.5703125" style="5" customWidth="1"/>
    <col min="2" max="2" width="3.140625" style="5" customWidth="1"/>
    <col min="3" max="14" width="8.5703125" style="5" customWidth="1"/>
    <col min="15" max="15" width="8.5703125" style="5" hidden="1" customWidth="1"/>
    <col min="16" max="18" width="8.5703125" style="5" customWidth="1"/>
    <col min="19" max="28" width="9.140625" style="5" customWidth="1"/>
    <col min="29" max="30" width="0" style="5" hidden="1" customWidth="1"/>
    <col min="31" max="16384" width="9.140625" style="5"/>
  </cols>
  <sheetData>
    <row r="1" spans="1:30" ht="13.5" x14ac:dyDescent="0.25">
      <c r="A1" s="57" t="str">
        <f>muni&amp;" - "&amp;ADJB12&amp;" - "&amp;Date</f>
        <v xml:space="preserve">KZN226 Mkhambathini - Supporting Table SB12 Adjustments Budget - monthly revenue and expenditure (municipal vote) - </v>
      </c>
      <c r="B1" s="57"/>
      <c r="D1" s="58"/>
    </row>
    <row r="2" spans="1:30" ht="25.5" x14ac:dyDescent="0.25">
      <c r="A2" s="1423" t="str">
        <f>desc</f>
        <v>Description</v>
      </c>
      <c r="B2" s="1420" t="str">
        <f>head27</f>
        <v>Ref</v>
      </c>
      <c r="C2" s="1417" t="str">
        <f>Head2</f>
        <v>Budget Year 2020/21</v>
      </c>
      <c r="D2" s="1418"/>
      <c r="E2" s="1418"/>
      <c r="F2" s="1418"/>
      <c r="G2" s="1418"/>
      <c r="H2" s="1418"/>
      <c r="I2" s="1418"/>
      <c r="J2" s="1418"/>
      <c r="K2" s="1418"/>
      <c r="L2" s="1418"/>
      <c r="M2" s="1418"/>
      <c r="N2" s="1419"/>
      <c r="O2" s="525"/>
      <c r="P2" s="526" t="s">
        <v>225</v>
      </c>
      <c r="Q2" s="527"/>
      <c r="R2" s="528"/>
    </row>
    <row r="3" spans="1:30" ht="38.25" x14ac:dyDescent="0.25">
      <c r="A3" s="1424"/>
      <c r="B3" s="1421"/>
      <c r="C3" s="450" t="s">
        <v>226</v>
      </c>
      <c r="D3" s="318" t="s">
        <v>227</v>
      </c>
      <c r="E3" s="318" t="s">
        <v>228</v>
      </c>
      <c r="F3" s="318" t="s">
        <v>229</v>
      </c>
      <c r="G3" s="318" t="s">
        <v>230</v>
      </c>
      <c r="H3" s="319" t="s">
        <v>231</v>
      </c>
      <c r="I3" s="529" t="s">
        <v>232</v>
      </c>
      <c r="J3" s="530" t="s">
        <v>233</v>
      </c>
      <c r="K3" s="318" t="s">
        <v>234</v>
      </c>
      <c r="L3" s="318" t="s">
        <v>235</v>
      </c>
      <c r="M3" s="531" t="s">
        <v>236</v>
      </c>
      <c r="N3" s="530" t="s">
        <v>237</v>
      </c>
      <c r="O3" s="532" t="s">
        <v>238</v>
      </c>
      <c r="P3" s="529" t="str">
        <f>Head9</f>
        <v>Budget Year 2020/21</v>
      </c>
      <c r="Q3" s="530" t="str">
        <f>Head10</f>
        <v>Budget Year +1 2021/22</v>
      </c>
      <c r="R3" s="320" t="str">
        <f>Head11</f>
        <v>Budget Year +2 2022/23</v>
      </c>
    </row>
    <row r="4" spans="1:30" ht="25.5" x14ac:dyDescent="0.25">
      <c r="A4" s="533" t="s">
        <v>605</v>
      </c>
      <c r="B4" s="104"/>
      <c r="C4" s="802" t="str">
        <f t="shared" ref="C4:H4" si="0">Head5A</f>
        <v>Outcome</v>
      </c>
      <c r="D4" s="803" t="str">
        <f t="shared" si="0"/>
        <v>Outcome</v>
      </c>
      <c r="E4" s="803" t="str">
        <f t="shared" si="0"/>
        <v>Outcome</v>
      </c>
      <c r="F4" s="803" t="str">
        <f t="shared" si="0"/>
        <v>Outcome</v>
      </c>
      <c r="G4" s="803" t="str">
        <f t="shared" si="0"/>
        <v>Outcome</v>
      </c>
      <c r="H4" s="804" t="str">
        <f t="shared" si="0"/>
        <v>Outcome</v>
      </c>
      <c r="I4" s="802" t="str">
        <f t="shared" ref="I4:N4" si="1">Head7</f>
        <v>Adjusted Budget</v>
      </c>
      <c r="J4" s="804" t="str">
        <f t="shared" si="1"/>
        <v>Adjusted Budget</v>
      </c>
      <c r="K4" s="803" t="str">
        <f t="shared" si="1"/>
        <v>Adjusted Budget</v>
      </c>
      <c r="L4" s="803" t="str">
        <f t="shared" si="1"/>
        <v>Adjusted Budget</v>
      </c>
      <c r="M4" s="803" t="str">
        <f t="shared" si="1"/>
        <v>Adjusted Budget</v>
      </c>
      <c r="N4" s="804" t="str">
        <f t="shared" si="1"/>
        <v>Adjusted Budget</v>
      </c>
      <c r="O4" s="534"/>
      <c r="P4" s="535" t="str">
        <f>Head7</f>
        <v>Adjusted Budget</v>
      </c>
      <c r="Q4" s="536" t="s">
        <v>239</v>
      </c>
      <c r="R4" s="537" t="s">
        <v>239</v>
      </c>
    </row>
    <row r="5" spans="1:30" ht="12.75" customHeight="1" x14ac:dyDescent="0.25">
      <c r="A5" s="505" t="str">
        <f>'B3-FinPerf V'!A6</f>
        <v>Revenue by Vote</v>
      </c>
      <c r="B5" s="127"/>
      <c r="C5" s="238"/>
      <c r="D5" s="75"/>
      <c r="E5" s="75"/>
      <c r="F5" s="75"/>
      <c r="G5" s="75"/>
      <c r="H5" s="506"/>
      <c r="I5" s="238"/>
      <c r="J5" s="75"/>
      <c r="K5" s="75"/>
      <c r="L5" s="75"/>
      <c r="M5" s="75"/>
      <c r="N5" s="506"/>
      <c r="O5" s="538"/>
      <c r="P5" s="238"/>
      <c r="Q5" s="75"/>
      <c r="R5" s="76"/>
    </row>
    <row r="6" spans="1:30" ht="12.75" customHeight="1" x14ac:dyDescent="0.25">
      <c r="A6" s="127" t="str">
        <f>'B3-FinPerf V'!A7</f>
        <v>Vote 1 - Finance and Administration</v>
      </c>
      <c r="B6" s="127"/>
      <c r="C6" s="1360">
        <f>-SUMIFS(Sheet1!S71_MonthlyOutcomeJul,Sheet1!S71_MasterVoteMunicipal,$AC:$AC,Sheet1!S71_ItemType,$AD:$AD)</f>
        <v>38522230.549999997</v>
      </c>
      <c r="D6" s="1356">
        <f>-SUMIFS(Sheet1!S71_MonthlyOutcomeAug,Sheet1!S71_MasterVoteMunicipal,$AC:$AC,Sheet1!S71_ItemType,$AD:$AD)</f>
        <v>2569821.2800000003</v>
      </c>
      <c r="E6" s="1356">
        <f>-SUMIFS(Sheet1!S71_MonthlyOutcomeSep,Sheet1!S71_MasterVoteMunicipal,$AC:$AC,Sheet1!S71_ItemType,$AD:$AD)</f>
        <v>3531660.9900000007</v>
      </c>
      <c r="F6" s="1356">
        <f>-SUMIFS(Sheet1!S71_MonthlyOutcomeOct,Sheet1!S71_MasterVoteMunicipal,$AC:$AC,Sheet1!S71_ItemType,$AD:$AD)</f>
        <v>3989176.8400000008</v>
      </c>
      <c r="G6" s="1356">
        <f>-SUMIFS(Sheet1!S71_MonthlyOutcomeNov,Sheet1!S71_MasterVoteMunicipal,$AC:$AC,Sheet1!S71_ItemType,$AD:$AD)</f>
        <v>2599214.2200000002</v>
      </c>
      <c r="H6" s="1361">
        <f>-SUMIFS(Sheet1!S71_MonthlyOutcomeDec,Sheet1!S71_MasterVoteMunicipal,$AC:$AC,Sheet1!S71_ItemType,$AD:$AD)</f>
        <v>34985517.299999997</v>
      </c>
      <c r="I6" s="1360">
        <f>(P6-SUM(C6:H6))/6</f>
        <v>6245677.8033333318</v>
      </c>
      <c r="J6" s="1356">
        <f>(P6-SUM(C6:H6))/6</f>
        <v>6245677.8033333318</v>
      </c>
      <c r="K6" s="1356">
        <f>(P6-SUM(C6:H6))/6</f>
        <v>6245677.8033333318</v>
      </c>
      <c r="L6" s="1356">
        <f>(P6-SUM(C6:H6))/6</f>
        <v>6245677.8033333318</v>
      </c>
      <c r="M6" s="1356">
        <f>(P6-SUM(C6:H6))/6</f>
        <v>6245677.8033333318</v>
      </c>
      <c r="N6" s="506">
        <f t="shared" ref="N6:N20" si="2">P6-SUM(C6:M6)</f>
        <v>6245677.803333357</v>
      </c>
      <c r="O6" s="538">
        <f t="shared" ref="O6:O14" si="3">SUM(C6:N6)</f>
        <v>123671688</v>
      </c>
      <c r="P6" s="238">
        <f>'B3-FinPerf V'!K7</f>
        <v>123671688</v>
      </c>
      <c r="Q6" s="75">
        <f>'B3-FinPerf V'!L7</f>
        <v>120122929</v>
      </c>
      <c r="R6" s="76">
        <f>'B3-FinPerf V'!M7</f>
        <v>127225032</v>
      </c>
      <c r="AC6" s="5">
        <v>1</v>
      </c>
      <c r="AD6" s="5" t="s">
        <v>1811</v>
      </c>
    </row>
    <row r="7" spans="1:30" ht="12.75" customHeight="1" x14ac:dyDescent="0.25">
      <c r="A7" s="127" t="str">
        <f>'B3-FinPerf V'!A8</f>
        <v>Vote 2 - Finance and Administration2</v>
      </c>
      <c r="B7" s="127"/>
      <c r="C7" s="1360">
        <f>-SUMIFS(Sheet1!S71_MonthlyOutcomeJul,Sheet1!S71_MasterVoteMunicipal,$AC:$AC,Sheet1!S71_ItemType,$AD:$AD)</f>
        <v>0</v>
      </c>
      <c r="D7" s="1356">
        <f>-SUMIFS(Sheet1!S71_MonthlyOutcomeAug,Sheet1!S71_MasterVoteMunicipal,$AC:$AC,Sheet1!S71_ItemType,$AD:$AD)</f>
        <v>0</v>
      </c>
      <c r="E7" s="1356">
        <f>-SUMIFS(Sheet1!S71_MonthlyOutcomeSep,Sheet1!S71_MasterVoteMunicipal,$AC:$AC,Sheet1!S71_ItemType,$AD:$AD)</f>
        <v>0</v>
      </c>
      <c r="F7" s="1356">
        <f>-SUMIFS(Sheet1!S71_MonthlyOutcomeOct,Sheet1!S71_MasterVoteMunicipal,$AC:$AC,Sheet1!S71_ItemType,$AD:$AD)</f>
        <v>0</v>
      </c>
      <c r="G7" s="1356">
        <f>-SUMIFS(Sheet1!S71_MonthlyOutcomeNov,Sheet1!S71_MasterVoteMunicipal,$AC:$AC,Sheet1!S71_ItemType,$AD:$AD)</f>
        <v>0</v>
      </c>
      <c r="H7" s="1361">
        <f>-SUMIFS(Sheet1!S71_MonthlyOutcomeDec,Sheet1!S71_MasterVoteMunicipal,$AC:$AC,Sheet1!S71_ItemType,$AD:$AD)</f>
        <v>0</v>
      </c>
      <c r="I7" s="1360">
        <f t="shared" ref="I7:I20" si="4">(P7-SUM(C7:H7))/6</f>
        <v>0</v>
      </c>
      <c r="J7" s="1356">
        <f t="shared" ref="J7:J20" si="5">(P7-SUM(C7:H7))/6</f>
        <v>0</v>
      </c>
      <c r="K7" s="1356">
        <f t="shared" ref="K7:K20" si="6">(P7-SUM(C7:H7))/6</f>
        <v>0</v>
      </c>
      <c r="L7" s="1356">
        <f t="shared" ref="L7:L20" si="7">(P7-SUM(C7:H7))/6</f>
        <v>0</v>
      </c>
      <c r="M7" s="1356">
        <f t="shared" ref="M7:M20" si="8">(P7-SUM(C7:H7))/6</f>
        <v>0</v>
      </c>
      <c r="N7" s="506">
        <f t="shared" si="2"/>
        <v>0</v>
      </c>
      <c r="O7" s="538">
        <f t="shared" si="3"/>
        <v>0</v>
      </c>
      <c r="P7" s="238">
        <f>'B3-FinPerf V'!K8</f>
        <v>0</v>
      </c>
      <c r="Q7" s="75">
        <f>'B3-FinPerf V'!L8</f>
        <v>0</v>
      </c>
      <c r="R7" s="76">
        <f>'B3-FinPerf V'!M8</f>
        <v>0</v>
      </c>
      <c r="AC7" s="5">
        <v>2</v>
      </c>
      <c r="AD7" s="5" t="s">
        <v>1811</v>
      </c>
    </row>
    <row r="8" spans="1:30" ht="12.75" customHeight="1" x14ac:dyDescent="0.25">
      <c r="A8" s="127" t="str">
        <f>'B3-FinPerf V'!A9</f>
        <v>Vote 3 - Executive and Council</v>
      </c>
      <c r="B8" s="127"/>
      <c r="C8" s="1360">
        <f>-SUMIFS(Sheet1!S71_MonthlyOutcomeJul,Sheet1!S71_MasterVoteMunicipal,$AC:$AC,Sheet1!S71_ItemType,$AD:$AD)</f>
        <v>0</v>
      </c>
      <c r="D8" s="1356">
        <f>-SUMIFS(Sheet1!S71_MonthlyOutcomeAug,Sheet1!S71_MasterVoteMunicipal,$AC:$AC,Sheet1!S71_ItemType,$AD:$AD)</f>
        <v>0</v>
      </c>
      <c r="E8" s="1356">
        <f>-SUMIFS(Sheet1!S71_MonthlyOutcomeSep,Sheet1!S71_MasterVoteMunicipal,$AC:$AC,Sheet1!S71_ItemType,$AD:$AD)</f>
        <v>0</v>
      </c>
      <c r="F8" s="1356">
        <f>-SUMIFS(Sheet1!S71_MonthlyOutcomeOct,Sheet1!S71_MasterVoteMunicipal,$AC:$AC,Sheet1!S71_ItemType,$AD:$AD)</f>
        <v>0</v>
      </c>
      <c r="G8" s="1356">
        <f>-SUMIFS(Sheet1!S71_MonthlyOutcomeNov,Sheet1!S71_MasterVoteMunicipal,$AC:$AC,Sheet1!S71_ItemType,$AD:$AD)</f>
        <v>0</v>
      </c>
      <c r="H8" s="1361">
        <f>-SUMIFS(Sheet1!S71_MonthlyOutcomeDec,Sheet1!S71_MasterVoteMunicipal,$AC:$AC,Sheet1!S71_ItemType,$AD:$AD)</f>
        <v>0</v>
      </c>
      <c r="I8" s="1360">
        <f t="shared" si="4"/>
        <v>0</v>
      </c>
      <c r="J8" s="1356">
        <f t="shared" si="5"/>
        <v>0</v>
      </c>
      <c r="K8" s="1356">
        <f t="shared" si="6"/>
        <v>0</v>
      </c>
      <c r="L8" s="1356">
        <f t="shared" si="7"/>
        <v>0</v>
      </c>
      <c r="M8" s="1356">
        <f t="shared" si="8"/>
        <v>0</v>
      </c>
      <c r="N8" s="506">
        <f t="shared" si="2"/>
        <v>0</v>
      </c>
      <c r="O8" s="538">
        <f t="shared" si="3"/>
        <v>0</v>
      </c>
      <c r="P8" s="238">
        <f>'B3-FinPerf V'!K9</f>
        <v>0</v>
      </c>
      <c r="Q8" s="75">
        <f>'B3-FinPerf V'!L9</f>
        <v>0</v>
      </c>
      <c r="R8" s="76">
        <f>'B3-FinPerf V'!M9</f>
        <v>0</v>
      </c>
      <c r="AC8" s="5">
        <v>3</v>
      </c>
      <c r="AD8" s="5" t="s">
        <v>1811</v>
      </c>
    </row>
    <row r="9" spans="1:30" ht="12.75" customHeight="1" x14ac:dyDescent="0.25">
      <c r="A9" s="127" t="str">
        <f>'B3-FinPerf V'!A10</f>
        <v>Vote 4 - Community and Social Services</v>
      </c>
      <c r="B9" s="127"/>
      <c r="C9" s="1360">
        <f>-SUMIFS(Sheet1!S71_MonthlyOutcomeJul,Sheet1!S71_MasterVoteMunicipal,$AC:$AC,Sheet1!S71_ItemType,$AD:$AD)</f>
        <v>0</v>
      </c>
      <c r="D9" s="1356">
        <f>-SUMIFS(Sheet1!S71_MonthlyOutcomeAug,Sheet1!S71_MasterVoteMunicipal,$AC:$AC,Sheet1!S71_ItemType,$AD:$AD)</f>
        <v>198822.34</v>
      </c>
      <c r="E9" s="1356">
        <f>-SUMIFS(Sheet1!S71_MonthlyOutcomeSep,Sheet1!S71_MasterVoteMunicipal,$AC:$AC,Sheet1!S71_ItemType,$AD:$AD)</f>
        <v>190961.37999999998</v>
      </c>
      <c r="F9" s="1356">
        <f>-SUMIFS(Sheet1!S71_MonthlyOutcomeOct,Sheet1!S71_MasterVoteMunicipal,$AC:$AC,Sheet1!S71_ItemType,$AD:$AD)</f>
        <v>189825.59000000122</v>
      </c>
      <c r="G9" s="1356">
        <f>-SUMIFS(Sheet1!S71_MonthlyOutcomeNov,Sheet1!S71_MasterVoteMunicipal,$AC:$AC,Sheet1!S71_ItemType,$AD:$AD)</f>
        <v>197813.85</v>
      </c>
      <c r="H9" s="1361">
        <f>-SUMIFS(Sheet1!S71_MonthlyOutcomeDec,Sheet1!S71_MasterVoteMunicipal,$AC:$AC,Sheet1!S71_ItemType,$AD:$AD)</f>
        <v>341137.12</v>
      </c>
      <c r="I9" s="1360">
        <f t="shared" si="4"/>
        <v>120172.28666666646</v>
      </c>
      <c r="J9" s="1356">
        <f t="shared" si="5"/>
        <v>120172.28666666646</v>
      </c>
      <c r="K9" s="1356">
        <f t="shared" si="6"/>
        <v>120172.28666666646</v>
      </c>
      <c r="L9" s="1356">
        <f t="shared" si="7"/>
        <v>120172.28666666646</v>
      </c>
      <c r="M9" s="1356">
        <f t="shared" si="8"/>
        <v>120172.28666666646</v>
      </c>
      <c r="N9" s="506">
        <f t="shared" si="2"/>
        <v>120172.28666666686</v>
      </c>
      <c r="O9" s="538">
        <f t="shared" si="3"/>
        <v>1839594</v>
      </c>
      <c r="P9" s="238">
        <f>'B3-FinPerf V'!K10</f>
        <v>1839594</v>
      </c>
      <c r="Q9" s="75">
        <f>'B3-FinPerf V'!L10</f>
        <v>1840950</v>
      </c>
      <c r="R9" s="76">
        <f>'B3-FinPerf V'!M10</f>
        <v>1842387</v>
      </c>
      <c r="AC9" s="5">
        <v>4</v>
      </c>
      <c r="AD9" s="5" t="s">
        <v>1811</v>
      </c>
    </row>
    <row r="10" spans="1:30" ht="12.75" customHeight="1" x14ac:dyDescent="0.25">
      <c r="A10" s="127" t="str">
        <f>'B3-FinPerf V'!A11</f>
        <v>Vote 5 - Community and Social Services2</v>
      </c>
      <c r="B10" s="127"/>
      <c r="C10" s="1360">
        <f>-SUMIFS(Sheet1!S71_MonthlyOutcomeJul,Sheet1!S71_MasterVoteMunicipal,$AC:$AC,Sheet1!S71_ItemType,$AD:$AD)</f>
        <v>0</v>
      </c>
      <c r="D10" s="1356">
        <f>-SUMIFS(Sheet1!S71_MonthlyOutcomeAug,Sheet1!S71_MasterVoteMunicipal,$AC:$AC,Sheet1!S71_ItemType,$AD:$AD)</f>
        <v>0</v>
      </c>
      <c r="E10" s="1356">
        <f>-SUMIFS(Sheet1!S71_MonthlyOutcomeSep,Sheet1!S71_MasterVoteMunicipal,$AC:$AC,Sheet1!S71_ItemType,$AD:$AD)</f>
        <v>0</v>
      </c>
      <c r="F10" s="1356">
        <f>-SUMIFS(Sheet1!S71_MonthlyOutcomeOct,Sheet1!S71_MasterVoteMunicipal,$AC:$AC,Sheet1!S71_ItemType,$AD:$AD)</f>
        <v>0</v>
      </c>
      <c r="G10" s="1356">
        <f>-SUMIFS(Sheet1!S71_MonthlyOutcomeNov,Sheet1!S71_MasterVoteMunicipal,$AC:$AC,Sheet1!S71_ItemType,$AD:$AD)</f>
        <v>0</v>
      </c>
      <c r="H10" s="1361">
        <f>-SUMIFS(Sheet1!S71_MonthlyOutcomeDec,Sheet1!S71_MasterVoteMunicipal,$AC:$AC,Sheet1!S71_ItemType,$AD:$AD)</f>
        <v>0</v>
      </c>
      <c r="I10" s="1360">
        <f t="shared" si="4"/>
        <v>0</v>
      </c>
      <c r="J10" s="1356">
        <f t="shared" si="5"/>
        <v>0</v>
      </c>
      <c r="K10" s="1356">
        <f t="shared" si="6"/>
        <v>0</v>
      </c>
      <c r="L10" s="1356">
        <f t="shared" si="7"/>
        <v>0</v>
      </c>
      <c r="M10" s="1356">
        <f t="shared" si="8"/>
        <v>0</v>
      </c>
      <c r="N10" s="506">
        <f t="shared" si="2"/>
        <v>0</v>
      </c>
      <c r="O10" s="538">
        <f t="shared" si="3"/>
        <v>0</v>
      </c>
      <c r="P10" s="238">
        <f>'B3-FinPerf V'!K11</f>
        <v>0</v>
      </c>
      <c r="Q10" s="75">
        <f>'B3-FinPerf V'!L11</f>
        <v>0</v>
      </c>
      <c r="R10" s="76">
        <f>'B3-FinPerf V'!M11</f>
        <v>0</v>
      </c>
      <c r="AC10" s="5">
        <v>5</v>
      </c>
      <c r="AD10" s="5" t="s">
        <v>1811</v>
      </c>
    </row>
    <row r="11" spans="1:30" ht="12.75" customHeight="1" x14ac:dyDescent="0.25">
      <c r="A11" s="127" t="str">
        <f>'B3-FinPerf V'!A12</f>
        <v>Vote 6 - Energy Sources</v>
      </c>
      <c r="B11" s="127"/>
      <c r="C11" s="1360">
        <f>-SUMIFS(Sheet1!S71_MonthlyOutcomeJul,Sheet1!S71_MasterVoteMunicipal,$AC:$AC,Sheet1!S71_ItemType,$AD:$AD)</f>
        <v>0</v>
      </c>
      <c r="D11" s="1356">
        <f>-SUMIFS(Sheet1!S71_MonthlyOutcomeAug,Sheet1!S71_MasterVoteMunicipal,$AC:$AC,Sheet1!S71_ItemType,$AD:$AD)</f>
        <v>0</v>
      </c>
      <c r="E11" s="1356">
        <f>-SUMIFS(Sheet1!S71_MonthlyOutcomeSep,Sheet1!S71_MasterVoteMunicipal,$AC:$AC,Sheet1!S71_ItemType,$AD:$AD)</f>
        <v>0</v>
      </c>
      <c r="F11" s="1356">
        <f>-SUMIFS(Sheet1!S71_MonthlyOutcomeOct,Sheet1!S71_MasterVoteMunicipal,$AC:$AC,Sheet1!S71_ItemType,$AD:$AD)</f>
        <v>0</v>
      </c>
      <c r="G11" s="1356">
        <f>-SUMIFS(Sheet1!S71_MonthlyOutcomeNov,Sheet1!S71_MasterVoteMunicipal,$AC:$AC,Sheet1!S71_ItemType,$AD:$AD)</f>
        <v>0</v>
      </c>
      <c r="H11" s="1361">
        <f>-SUMIFS(Sheet1!S71_MonthlyOutcomeDec,Sheet1!S71_MasterVoteMunicipal,$AC:$AC,Sheet1!S71_ItemType,$AD:$AD)</f>
        <v>0</v>
      </c>
      <c r="I11" s="1360">
        <f t="shared" si="4"/>
        <v>0</v>
      </c>
      <c r="J11" s="1356">
        <f t="shared" si="5"/>
        <v>0</v>
      </c>
      <c r="K11" s="1356">
        <f t="shared" si="6"/>
        <v>0</v>
      </c>
      <c r="L11" s="1356">
        <f t="shared" si="7"/>
        <v>0</v>
      </c>
      <c r="M11" s="1356">
        <f t="shared" si="8"/>
        <v>0</v>
      </c>
      <c r="N11" s="506">
        <f t="shared" si="2"/>
        <v>0</v>
      </c>
      <c r="O11" s="538">
        <f t="shared" si="3"/>
        <v>0</v>
      </c>
      <c r="P11" s="238">
        <f>'B3-FinPerf V'!K12</f>
        <v>0</v>
      </c>
      <c r="Q11" s="75">
        <f>'B3-FinPerf V'!L12</f>
        <v>0</v>
      </c>
      <c r="R11" s="76">
        <f>'B3-FinPerf V'!M12</f>
        <v>0</v>
      </c>
      <c r="AC11" s="5">
        <v>6</v>
      </c>
      <c r="AD11" s="5" t="s">
        <v>1811</v>
      </c>
    </row>
    <row r="12" spans="1:30" ht="12.75" customHeight="1" x14ac:dyDescent="0.25">
      <c r="A12" s="127" t="str">
        <f>'B3-FinPerf V'!A13</f>
        <v>Vote 7 - Road Transport</v>
      </c>
      <c r="B12" s="127"/>
      <c r="C12" s="1360">
        <f>-SUMIFS(Sheet1!S71_MonthlyOutcomeJul,Sheet1!S71_MasterVoteMunicipal,$AC:$AC,Sheet1!S71_ItemType,$AD:$AD)</f>
        <v>0</v>
      </c>
      <c r="D12" s="1356">
        <f>-SUMIFS(Sheet1!S71_MonthlyOutcomeAug,Sheet1!S71_MasterVoteMunicipal,$AC:$AC,Sheet1!S71_ItemType,$AD:$AD)</f>
        <v>0</v>
      </c>
      <c r="E12" s="1356">
        <f>-SUMIFS(Sheet1!S71_MonthlyOutcomeSep,Sheet1!S71_MasterVoteMunicipal,$AC:$AC,Sheet1!S71_ItemType,$AD:$AD)</f>
        <v>0</v>
      </c>
      <c r="F12" s="1356">
        <f>-SUMIFS(Sheet1!S71_MonthlyOutcomeOct,Sheet1!S71_MasterVoteMunicipal,$AC:$AC,Sheet1!S71_ItemType,$AD:$AD)</f>
        <v>0</v>
      </c>
      <c r="G12" s="1356">
        <f>-SUMIFS(Sheet1!S71_MonthlyOutcomeNov,Sheet1!S71_MasterVoteMunicipal,$AC:$AC,Sheet1!S71_ItemType,$AD:$AD)</f>
        <v>0</v>
      </c>
      <c r="H12" s="1361">
        <f>-SUMIFS(Sheet1!S71_MonthlyOutcomeDec,Sheet1!S71_MasterVoteMunicipal,$AC:$AC,Sheet1!S71_ItemType,$AD:$AD)</f>
        <v>0</v>
      </c>
      <c r="I12" s="1360">
        <f t="shared" si="4"/>
        <v>5000</v>
      </c>
      <c r="J12" s="1356">
        <f t="shared" si="5"/>
        <v>5000</v>
      </c>
      <c r="K12" s="1356">
        <f t="shared" si="6"/>
        <v>5000</v>
      </c>
      <c r="L12" s="1356">
        <f t="shared" si="7"/>
        <v>5000</v>
      </c>
      <c r="M12" s="1356">
        <f t="shared" si="8"/>
        <v>5000</v>
      </c>
      <c r="N12" s="506">
        <f t="shared" si="2"/>
        <v>5000</v>
      </c>
      <c r="O12" s="538">
        <f t="shared" si="3"/>
        <v>30000</v>
      </c>
      <c r="P12" s="238">
        <f>'B3-FinPerf V'!K13</f>
        <v>30000</v>
      </c>
      <c r="Q12" s="75">
        <f>'B3-FinPerf V'!L13</f>
        <v>31800</v>
      </c>
      <c r="R12" s="76">
        <f>'B3-FinPerf V'!M13</f>
        <v>33708</v>
      </c>
      <c r="AC12" s="5">
        <v>7</v>
      </c>
      <c r="AD12" s="5" t="s">
        <v>1811</v>
      </c>
    </row>
    <row r="13" spans="1:30" ht="12.75" customHeight="1" x14ac:dyDescent="0.25">
      <c r="A13" s="127" t="str">
        <f>'B3-FinPerf V'!A14</f>
        <v>Vote 8 - Planning and Development</v>
      </c>
      <c r="B13" s="127"/>
      <c r="C13" s="1360">
        <f>-SUMIFS(Sheet1!S71_MonthlyOutcomeJul,Sheet1!S71_MasterVoteMunicipal,$AC:$AC,Sheet1!S71_ItemType,$AD:$AD)</f>
        <v>39239.750000000007</v>
      </c>
      <c r="D13" s="1356">
        <f>-SUMIFS(Sheet1!S71_MonthlyOutcomeAug,Sheet1!S71_MasterVoteMunicipal,$AC:$AC,Sheet1!S71_ItemType,$AD:$AD)</f>
        <v>48536.39</v>
      </c>
      <c r="E13" s="1356">
        <f>-SUMIFS(Sheet1!S71_MonthlyOutcomeSep,Sheet1!S71_MasterVoteMunicipal,$AC:$AC,Sheet1!S71_ItemType,$AD:$AD)</f>
        <v>16622.27</v>
      </c>
      <c r="F13" s="1356">
        <f>-SUMIFS(Sheet1!S71_MonthlyOutcomeOct,Sheet1!S71_MasterVoteMunicipal,$AC:$AC,Sheet1!S71_ItemType,$AD:$AD)</f>
        <v>780</v>
      </c>
      <c r="G13" s="1356">
        <f>-SUMIFS(Sheet1!S71_MonthlyOutcomeNov,Sheet1!S71_MasterVoteMunicipal,$AC:$AC,Sheet1!S71_ItemType,$AD:$AD)</f>
        <v>11056.529999999999</v>
      </c>
      <c r="H13" s="1361">
        <f>-SUMIFS(Sheet1!S71_MonthlyOutcomeDec,Sheet1!S71_MasterVoteMunicipal,$AC:$AC,Sheet1!S71_ItemType,$AD:$AD)</f>
        <v>2254590.3200000003</v>
      </c>
      <c r="I13" s="1360">
        <f t="shared" si="4"/>
        <v>15723.456666666627</v>
      </c>
      <c r="J13" s="1356">
        <f t="shared" si="5"/>
        <v>15723.456666666627</v>
      </c>
      <c r="K13" s="1356">
        <f t="shared" si="6"/>
        <v>15723.456666666627</v>
      </c>
      <c r="L13" s="1356">
        <f t="shared" si="7"/>
        <v>15723.456666666627</v>
      </c>
      <c r="M13" s="1356">
        <f t="shared" si="8"/>
        <v>15723.456666666627</v>
      </c>
      <c r="N13" s="506">
        <f t="shared" si="2"/>
        <v>15723.456666667014</v>
      </c>
      <c r="O13" s="538">
        <f t="shared" si="3"/>
        <v>2465166</v>
      </c>
      <c r="P13" s="238">
        <f>'B3-FinPerf V'!K14</f>
        <v>2465166</v>
      </c>
      <c r="Q13" s="75">
        <f>'B3-FinPerf V'!L14</f>
        <v>985903</v>
      </c>
      <c r="R13" s="76">
        <f>'B3-FinPerf V'!M14</f>
        <v>1035198</v>
      </c>
      <c r="AC13" s="5">
        <v>8</v>
      </c>
      <c r="AD13" s="5" t="s">
        <v>1811</v>
      </c>
    </row>
    <row r="14" spans="1:30" ht="12.75" customHeight="1" x14ac:dyDescent="0.25">
      <c r="A14" s="127" t="str">
        <f>'B3-FinPerf V'!A15</f>
        <v>Vote 9 - Sport and Recreation</v>
      </c>
      <c r="B14" s="127"/>
      <c r="C14" s="1360">
        <f>-SUMIFS(Sheet1!S71_MonthlyOutcomeJul,Sheet1!S71_MasterVoteMunicipal,$AC:$AC,Sheet1!S71_ItemType,$AD:$AD)</f>
        <v>0</v>
      </c>
      <c r="D14" s="1356">
        <f>-SUMIFS(Sheet1!S71_MonthlyOutcomeAug,Sheet1!S71_MasterVoteMunicipal,$AC:$AC,Sheet1!S71_ItemType,$AD:$AD)</f>
        <v>0</v>
      </c>
      <c r="E14" s="1356">
        <f>-SUMIFS(Sheet1!S71_MonthlyOutcomeSep,Sheet1!S71_MasterVoteMunicipal,$AC:$AC,Sheet1!S71_ItemType,$AD:$AD)</f>
        <v>0</v>
      </c>
      <c r="F14" s="1356">
        <f>-SUMIFS(Sheet1!S71_MonthlyOutcomeOct,Sheet1!S71_MasterVoteMunicipal,$AC:$AC,Sheet1!S71_ItemType,$AD:$AD)</f>
        <v>0</v>
      </c>
      <c r="G14" s="1356">
        <f>-SUMIFS(Sheet1!S71_MonthlyOutcomeNov,Sheet1!S71_MasterVoteMunicipal,$AC:$AC,Sheet1!S71_ItemType,$AD:$AD)</f>
        <v>0</v>
      </c>
      <c r="H14" s="1361">
        <f>-SUMIFS(Sheet1!S71_MonthlyOutcomeDec,Sheet1!S71_MasterVoteMunicipal,$AC:$AC,Sheet1!S71_ItemType,$AD:$AD)</f>
        <v>0</v>
      </c>
      <c r="I14" s="1360">
        <f t="shared" si="4"/>
        <v>0</v>
      </c>
      <c r="J14" s="1356">
        <f t="shared" si="5"/>
        <v>0</v>
      </c>
      <c r="K14" s="1356">
        <f t="shared" si="6"/>
        <v>0</v>
      </c>
      <c r="L14" s="1356">
        <f t="shared" si="7"/>
        <v>0</v>
      </c>
      <c r="M14" s="1356">
        <f t="shared" si="8"/>
        <v>0</v>
      </c>
      <c r="N14" s="506">
        <f t="shared" si="2"/>
        <v>0</v>
      </c>
      <c r="O14" s="538">
        <f t="shared" si="3"/>
        <v>0</v>
      </c>
      <c r="P14" s="238">
        <f>'B3-FinPerf V'!K15</f>
        <v>0</v>
      </c>
      <c r="Q14" s="75">
        <f>'B3-FinPerf V'!L15</f>
        <v>0</v>
      </c>
      <c r="R14" s="76">
        <f>'B3-FinPerf V'!M15</f>
        <v>0</v>
      </c>
      <c r="AC14" s="5">
        <v>9</v>
      </c>
      <c r="AD14" s="5" t="s">
        <v>1811</v>
      </c>
    </row>
    <row r="15" spans="1:30" ht="12.75" customHeight="1" x14ac:dyDescent="0.25">
      <c r="A15" s="127" t="str">
        <f>'B3-FinPerf V'!A16</f>
        <v>Vote 10 - Public Safety</v>
      </c>
      <c r="B15" s="127"/>
      <c r="C15" s="1360">
        <f>-SUMIFS(Sheet1!S71_MonthlyOutcomeJul,Sheet1!S71_MasterVoteMunicipal,$AC:$AC,Sheet1!S71_ItemType,$AD:$AD)</f>
        <v>0</v>
      </c>
      <c r="D15" s="1356">
        <f>-SUMIFS(Sheet1!S71_MonthlyOutcomeAug,Sheet1!S71_MasterVoteMunicipal,$AC:$AC,Sheet1!S71_ItemType,$AD:$AD)</f>
        <v>0</v>
      </c>
      <c r="E15" s="1356">
        <f>-SUMIFS(Sheet1!S71_MonthlyOutcomeSep,Sheet1!S71_MasterVoteMunicipal,$AC:$AC,Sheet1!S71_ItemType,$AD:$AD)</f>
        <v>0</v>
      </c>
      <c r="F15" s="1356">
        <f>-SUMIFS(Sheet1!S71_MonthlyOutcomeOct,Sheet1!S71_MasterVoteMunicipal,$AC:$AC,Sheet1!S71_ItemType,$AD:$AD)</f>
        <v>0</v>
      </c>
      <c r="G15" s="1356">
        <f>-SUMIFS(Sheet1!S71_MonthlyOutcomeNov,Sheet1!S71_MasterVoteMunicipal,$AC:$AC,Sheet1!S71_ItemType,$AD:$AD)</f>
        <v>0</v>
      </c>
      <c r="H15" s="1361">
        <f>-SUMIFS(Sheet1!S71_MonthlyOutcomeDec,Sheet1!S71_MasterVoteMunicipal,$AC:$AC,Sheet1!S71_ItemType,$AD:$AD)</f>
        <v>0</v>
      </c>
      <c r="I15" s="1360">
        <f t="shared" si="4"/>
        <v>0</v>
      </c>
      <c r="J15" s="1356">
        <f t="shared" si="5"/>
        <v>0</v>
      </c>
      <c r="K15" s="1356">
        <f t="shared" si="6"/>
        <v>0</v>
      </c>
      <c r="L15" s="1356">
        <f t="shared" si="7"/>
        <v>0</v>
      </c>
      <c r="M15" s="1356">
        <f t="shared" si="8"/>
        <v>0</v>
      </c>
      <c r="N15" s="506">
        <f t="shared" si="2"/>
        <v>0</v>
      </c>
      <c r="O15" s="538"/>
      <c r="P15" s="238">
        <f>'B3-FinPerf V'!K16</f>
        <v>0</v>
      </c>
      <c r="Q15" s="75">
        <f>'B3-FinPerf V'!L16</f>
        <v>0</v>
      </c>
      <c r="R15" s="76">
        <f>'B3-FinPerf V'!M16</f>
        <v>0</v>
      </c>
      <c r="AC15" s="5">
        <v>10</v>
      </c>
      <c r="AD15" s="5" t="s">
        <v>1811</v>
      </c>
    </row>
    <row r="16" spans="1:30" ht="12.75" customHeight="1" x14ac:dyDescent="0.25">
      <c r="A16" s="127" t="str">
        <f>'B3-FinPerf V'!A17</f>
        <v>Vote 11 - Other</v>
      </c>
      <c r="B16" s="127"/>
      <c r="C16" s="1360">
        <f>-SUMIFS(Sheet1!S71_MonthlyOutcomeJul,Sheet1!S71_MasterVoteMunicipal,$AC:$AC,Sheet1!S71_ItemType,$AD:$AD)</f>
        <v>346268.21</v>
      </c>
      <c r="D16" s="1356">
        <f>-SUMIFS(Sheet1!S71_MonthlyOutcomeAug,Sheet1!S71_MasterVoteMunicipal,$AC:$AC,Sheet1!S71_ItemType,$AD:$AD)</f>
        <v>290126.39</v>
      </c>
      <c r="E16" s="1356">
        <f>-SUMIFS(Sheet1!S71_MonthlyOutcomeSep,Sheet1!S71_MasterVoteMunicipal,$AC:$AC,Sheet1!S71_ItemType,$AD:$AD)</f>
        <v>347747.81000000006</v>
      </c>
      <c r="F16" s="1356">
        <f>-SUMIFS(Sheet1!S71_MonthlyOutcomeOct,Sheet1!S71_MasterVoteMunicipal,$AC:$AC,Sheet1!S71_ItemType,$AD:$AD)</f>
        <v>477817.36</v>
      </c>
      <c r="G16" s="1356">
        <f>-SUMIFS(Sheet1!S71_MonthlyOutcomeNov,Sheet1!S71_MasterVoteMunicipal,$AC:$AC,Sheet1!S71_ItemType,$AD:$AD)</f>
        <v>945406.74999999988</v>
      </c>
      <c r="H16" s="1361">
        <f>-SUMIFS(Sheet1!S71_MonthlyOutcomeDec,Sheet1!S71_MasterVoteMunicipal,$AC:$AC,Sheet1!S71_ItemType,$AD:$AD)</f>
        <v>405995.71</v>
      </c>
      <c r="I16" s="1360">
        <f t="shared" si="4"/>
        <v>718157.96166666655</v>
      </c>
      <c r="J16" s="1356">
        <f t="shared" si="5"/>
        <v>718157.96166666655</v>
      </c>
      <c r="K16" s="1356">
        <f t="shared" si="6"/>
        <v>718157.96166666655</v>
      </c>
      <c r="L16" s="1356">
        <f t="shared" si="7"/>
        <v>718157.96166666655</v>
      </c>
      <c r="M16" s="1356">
        <f t="shared" si="8"/>
        <v>718157.96166666655</v>
      </c>
      <c r="N16" s="506">
        <f t="shared" si="2"/>
        <v>718157.96166666597</v>
      </c>
      <c r="O16" s="538"/>
      <c r="P16" s="238">
        <f>'B3-FinPerf V'!K17</f>
        <v>7122310</v>
      </c>
      <c r="Q16" s="75">
        <f>'B3-FinPerf V'!L17</f>
        <v>7548377</v>
      </c>
      <c r="R16" s="76">
        <f>'B3-FinPerf V'!M17</f>
        <v>8001279</v>
      </c>
      <c r="AC16" s="5">
        <v>11</v>
      </c>
      <c r="AD16" s="5" t="s">
        <v>1811</v>
      </c>
    </row>
    <row r="17" spans="1:30" ht="12.75" customHeight="1" x14ac:dyDescent="0.25">
      <c r="A17" s="127" t="str">
        <f>'B3-FinPerf V'!A18</f>
        <v>Vote 12 - Waste Management</v>
      </c>
      <c r="B17" s="127"/>
      <c r="C17" s="1360">
        <f>-SUMIFS(Sheet1!S71_MonthlyOutcomeJul,Sheet1!S71_MasterVoteMunicipal,$AC:$AC,Sheet1!S71_ItemType,$AD:$AD)</f>
        <v>44457.98</v>
      </c>
      <c r="D17" s="1356">
        <f>-SUMIFS(Sheet1!S71_MonthlyOutcomeAug,Sheet1!S71_MasterVoteMunicipal,$AC:$AC,Sheet1!S71_ItemType,$AD:$AD)</f>
        <v>44457.98</v>
      </c>
      <c r="E17" s="1356">
        <f>-SUMIFS(Sheet1!S71_MonthlyOutcomeSep,Sheet1!S71_MasterVoteMunicipal,$AC:$AC,Sheet1!S71_ItemType,$AD:$AD)</f>
        <v>44457.98</v>
      </c>
      <c r="F17" s="1356">
        <f>-SUMIFS(Sheet1!S71_MonthlyOutcomeOct,Sheet1!S71_MasterVoteMunicipal,$AC:$AC,Sheet1!S71_ItemType,$AD:$AD)</f>
        <v>44457.98</v>
      </c>
      <c r="G17" s="1356">
        <f>-SUMIFS(Sheet1!S71_MonthlyOutcomeNov,Sheet1!S71_MasterVoteMunicipal,$AC:$AC,Sheet1!S71_ItemType,$AD:$AD)</f>
        <v>44457.98</v>
      </c>
      <c r="H17" s="1361">
        <f>-SUMIFS(Sheet1!S71_MonthlyOutcomeDec,Sheet1!S71_MasterVoteMunicipal,$AC:$AC,Sheet1!S71_ItemType,$AD:$AD)</f>
        <v>44457.98</v>
      </c>
      <c r="I17" s="1360">
        <f t="shared" si="4"/>
        <v>51256.52</v>
      </c>
      <c r="J17" s="1356">
        <f t="shared" si="5"/>
        <v>51256.52</v>
      </c>
      <c r="K17" s="1356">
        <f t="shared" si="6"/>
        <v>51256.52</v>
      </c>
      <c r="L17" s="1356">
        <f t="shared" si="7"/>
        <v>51256.52</v>
      </c>
      <c r="M17" s="1356">
        <f t="shared" si="8"/>
        <v>51256.52</v>
      </c>
      <c r="N17" s="506">
        <f t="shared" si="2"/>
        <v>51256.519999999902</v>
      </c>
      <c r="O17" s="538"/>
      <c r="P17" s="238">
        <f>'B3-FinPerf V'!K18</f>
        <v>574287</v>
      </c>
      <c r="Q17" s="75">
        <f>'B3-FinPerf V'!L18</f>
        <v>608744</v>
      </c>
      <c r="R17" s="76">
        <f>'B3-FinPerf V'!M18</f>
        <v>645269</v>
      </c>
      <c r="AC17" s="5">
        <v>12</v>
      </c>
      <c r="AD17" s="5" t="s">
        <v>1811</v>
      </c>
    </row>
    <row r="18" spans="1:30" ht="12.75" customHeight="1" x14ac:dyDescent="0.25">
      <c r="A18" s="127" t="str">
        <f>'B3-FinPerf V'!A19</f>
        <v>Vote 13 - Housing</v>
      </c>
      <c r="B18" s="127"/>
      <c r="C18" s="1360">
        <f>-SUMIFS(Sheet1!S71_MonthlyOutcomeJul,Sheet1!S71_MasterVoteMunicipal,$AC:$AC,Sheet1!S71_ItemType,$AD:$AD)</f>
        <v>0</v>
      </c>
      <c r="D18" s="1356">
        <f>-SUMIFS(Sheet1!S71_MonthlyOutcomeAug,Sheet1!S71_MasterVoteMunicipal,$AC:$AC,Sheet1!S71_ItemType,$AD:$AD)</f>
        <v>0</v>
      </c>
      <c r="E18" s="1356">
        <f>-SUMIFS(Sheet1!S71_MonthlyOutcomeSep,Sheet1!S71_MasterVoteMunicipal,$AC:$AC,Sheet1!S71_ItemType,$AD:$AD)</f>
        <v>0</v>
      </c>
      <c r="F18" s="1356">
        <f>-SUMIFS(Sheet1!S71_MonthlyOutcomeOct,Sheet1!S71_MasterVoteMunicipal,$AC:$AC,Sheet1!S71_ItemType,$AD:$AD)</f>
        <v>0</v>
      </c>
      <c r="G18" s="1356">
        <f>-SUMIFS(Sheet1!S71_MonthlyOutcomeNov,Sheet1!S71_MasterVoteMunicipal,$AC:$AC,Sheet1!S71_ItemType,$AD:$AD)</f>
        <v>0</v>
      </c>
      <c r="H18" s="1361">
        <f>-SUMIFS(Sheet1!S71_MonthlyOutcomeDec,Sheet1!S71_MasterVoteMunicipal,$AC:$AC,Sheet1!S71_ItemType,$AD:$AD)</f>
        <v>0</v>
      </c>
      <c r="I18" s="1360">
        <f t="shared" si="4"/>
        <v>0</v>
      </c>
      <c r="J18" s="1356">
        <f t="shared" si="5"/>
        <v>0</v>
      </c>
      <c r="K18" s="1356">
        <f t="shared" si="6"/>
        <v>0</v>
      </c>
      <c r="L18" s="1356">
        <f t="shared" si="7"/>
        <v>0</v>
      </c>
      <c r="M18" s="1356">
        <f t="shared" si="8"/>
        <v>0</v>
      </c>
      <c r="N18" s="506">
        <f t="shared" si="2"/>
        <v>0</v>
      </c>
      <c r="O18" s="538"/>
      <c r="P18" s="238">
        <f>'B3-FinPerf V'!K19</f>
        <v>0</v>
      </c>
      <c r="Q18" s="75">
        <f>'B3-FinPerf V'!L19</f>
        <v>0</v>
      </c>
      <c r="R18" s="76">
        <f>'B3-FinPerf V'!M19</f>
        <v>0</v>
      </c>
      <c r="AC18" s="5">
        <v>13</v>
      </c>
      <c r="AD18" s="5" t="s">
        <v>1811</v>
      </c>
    </row>
    <row r="19" spans="1:30" ht="12.75" customHeight="1" x14ac:dyDescent="0.25">
      <c r="A19" s="127" t="str">
        <f>'B3-FinPerf V'!A20</f>
        <v>Vote 14 - Waste Water Management</v>
      </c>
      <c r="B19" s="127"/>
      <c r="C19" s="1360">
        <f>-SUMIFS(Sheet1!S71_MonthlyOutcomeJul,Sheet1!S71_MasterVoteMunicipal,$AC:$AC,Sheet1!S71_ItemType,$AD:$AD)</f>
        <v>0</v>
      </c>
      <c r="D19" s="1356">
        <f>-SUMIFS(Sheet1!S71_MonthlyOutcomeAug,Sheet1!S71_MasterVoteMunicipal,$AC:$AC,Sheet1!S71_ItemType,$AD:$AD)</f>
        <v>0</v>
      </c>
      <c r="E19" s="1356">
        <f>-SUMIFS(Sheet1!S71_MonthlyOutcomeSep,Sheet1!S71_MasterVoteMunicipal,$AC:$AC,Sheet1!S71_ItemType,$AD:$AD)</f>
        <v>0</v>
      </c>
      <c r="F19" s="1356">
        <f>-SUMIFS(Sheet1!S71_MonthlyOutcomeOct,Sheet1!S71_MasterVoteMunicipal,$AC:$AC,Sheet1!S71_ItemType,$AD:$AD)</f>
        <v>0</v>
      </c>
      <c r="G19" s="1356">
        <f>-SUMIFS(Sheet1!S71_MonthlyOutcomeNov,Sheet1!S71_MasterVoteMunicipal,$AC:$AC,Sheet1!S71_ItemType,$AD:$AD)</f>
        <v>0</v>
      </c>
      <c r="H19" s="1361">
        <f>-SUMIFS(Sheet1!S71_MonthlyOutcomeDec,Sheet1!S71_MasterVoteMunicipal,$AC:$AC,Sheet1!S71_ItemType,$AD:$AD)</f>
        <v>0</v>
      </c>
      <c r="I19" s="1360">
        <f t="shared" si="4"/>
        <v>0</v>
      </c>
      <c r="J19" s="1356">
        <f t="shared" si="5"/>
        <v>0</v>
      </c>
      <c r="K19" s="1356">
        <f t="shared" si="6"/>
        <v>0</v>
      </c>
      <c r="L19" s="1356">
        <f t="shared" si="7"/>
        <v>0</v>
      </c>
      <c r="M19" s="1356">
        <f t="shared" si="8"/>
        <v>0</v>
      </c>
      <c r="N19" s="506">
        <f t="shared" si="2"/>
        <v>0</v>
      </c>
      <c r="O19" s="538"/>
      <c r="P19" s="238">
        <f>'B3-FinPerf V'!K20</f>
        <v>0</v>
      </c>
      <c r="Q19" s="75">
        <f>'B3-FinPerf V'!L20</f>
        <v>0</v>
      </c>
      <c r="R19" s="76">
        <f>'B3-FinPerf V'!M20</f>
        <v>0</v>
      </c>
      <c r="AC19" s="5">
        <v>14</v>
      </c>
      <c r="AD19" s="5" t="s">
        <v>1811</v>
      </c>
    </row>
    <row r="20" spans="1:30" ht="12.75" customHeight="1" x14ac:dyDescent="0.25">
      <c r="A20" s="127" t="str">
        <f>'B3-FinPerf V'!A21</f>
        <v>Vote 15 - Health</v>
      </c>
      <c r="B20" s="127"/>
      <c r="C20" s="1360">
        <f>-SUMIFS(Sheet1!S71_MonthlyOutcomeJul,Sheet1!S71_MasterVoteMunicipal,$AC:$AC,Sheet1!S71_ItemType,$AD:$AD)</f>
        <v>0</v>
      </c>
      <c r="D20" s="1356">
        <f>-SUMIFS(Sheet1!S71_MonthlyOutcomeAug,Sheet1!S71_MasterVoteMunicipal,$AC:$AC,Sheet1!S71_ItemType,$AD:$AD)</f>
        <v>0</v>
      </c>
      <c r="E20" s="1356">
        <f>-SUMIFS(Sheet1!S71_MonthlyOutcomeSep,Sheet1!S71_MasterVoteMunicipal,$AC:$AC,Sheet1!S71_ItemType,$AD:$AD)</f>
        <v>0</v>
      </c>
      <c r="F20" s="1356">
        <f>-SUMIFS(Sheet1!S71_MonthlyOutcomeOct,Sheet1!S71_MasterVoteMunicipal,$AC:$AC,Sheet1!S71_ItemType,$AD:$AD)</f>
        <v>0</v>
      </c>
      <c r="G20" s="1356">
        <f>-SUMIFS(Sheet1!S71_MonthlyOutcomeNov,Sheet1!S71_MasterVoteMunicipal,$AC:$AC,Sheet1!S71_ItemType,$AD:$AD)</f>
        <v>0</v>
      </c>
      <c r="H20" s="1361">
        <f>-SUMIFS(Sheet1!S71_MonthlyOutcomeDec,Sheet1!S71_MasterVoteMunicipal,$AC:$AC,Sheet1!S71_ItemType,$AD:$AD)</f>
        <v>0</v>
      </c>
      <c r="I20" s="1360">
        <f t="shared" si="4"/>
        <v>0</v>
      </c>
      <c r="J20" s="1356">
        <f t="shared" si="5"/>
        <v>0</v>
      </c>
      <c r="K20" s="1356">
        <f t="shared" si="6"/>
        <v>0</v>
      </c>
      <c r="L20" s="1356">
        <f t="shared" si="7"/>
        <v>0</v>
      </c>
      <c r="M20" s="1356">
        <f t="shared" si="8"/>
        <v>0</v>
      </c>
      <c r="N20" s="506">
        <f t="shared" si="2"/>
        <v>0</v>
      </c>
      <c r="O20" s="538">
        <f>SUM(C20:N20)</f>
        <v>0</v>
      </c>
      <c r="P20" s="238">
        <f>'B3-FinPerf V'!K21</f>
        <v>0</v>
      </c>
      <c r="Q20" s="75">
        <f>'B3-FinPerf V'!L21</f>
        <v>0</v>
      </c>
      <c r="R20" s="76">
        <f>'B3-FinPerf V'!M21</f>
        <v>0</v>
      </c>
      <c r="AC20" s="5">
        <v>15</v>
      </c>
      <c r="AD20" s="5" t="s">
        <v>1811</v>
      </c>
    </row>
    <row r="21" spans="1:30" ht="12.75" customHeight="1" x14ac:dyDescent="0.25">
      <c r="A21" s="539" t="str">
        <f>'B3-FinPerf V'!A22</f>
        <v>Total Revenue by Vote</v>
      </c>
      <c r="B21" s="539"/>
      <c r="C21" s="300">
        <f t="shared" ref="C21:R21" si="9">SUM(C6:C20)</f>
        <v>38952196.489999995</v>
      </c>
      <c r="D21" s="149">
        <f t="shared" si="9"/>
        <v>3151764.3800000004</v>
      </c>
      <c r="E21" s="149">
        <f t="shared" si="9"/>
        <v>4131450.4300000006</v>
      </c>
      <c r="F21" s="149">
        <f t="shared" si="9"/>
        <v>4702057.7700000023</v>
      </c>
      <c r="G21" s="149">
        <f t="shared" si="9"/>
        <v>3797949.33</v>
      </c>
      <c r="H21" s="519">
        <f t="shared" si="9"/>
        <v>38031698.429999992</v>
      </c>
      <c r="I21" s="300">
        <f t="shared" si="9"/>
        <v>7155988.0283333315</v>
      </c>
      <c r="J21" s="149">
        <f t="shared" si="9"/>
        <v>7155988.0283333315</v>
      </c>
      <c r="K21" s="149">
        <f t="shared" si="9"/>
        <v>7155988.0283333315</v>
      </c>
      <c r="L21" s="149">
        <f t="shared" si="9"/>
        <v>7155988.0283333315</v>
      </c>
      <c r="M21" s="149">
        <f t="shared" si="9"/>
        <v>7155988.0283333315</v>
      </c>
      <c r="N21" s="519">
        <f t="shared" si="9"/>
        <v>7155988.0283333566</v>
      </c>
      <c r="O21" s="540">
        <f t="shared" si="9"/>
        <v>128006448</v>
      </c>
      <c r="P21" s="300">
        <f t="shared" si="9"/>
        <v>135703045</v>
      </c>
      <c r="Q21" s="149">
        <f t="shared" si="9"/>
        <v>131138703</v>
      </c>
      <c r="R21" s="150">
        <f t="shared" si="9"/>
        <v>138782873</v>
      </c>
    </row>
    <row r="22" spans="1:30" ht="5.0999999999999996" customHeight="1" x14ac:dyDescent="0.25">
      <c r="A22" s="539"/>
      <c r="B22" s="134"/>
      <c r="C22" s="238"/>
      <c r="D22" s="75"/>
      <c r="E22" s="75"/>
      <c r="F22" s="75"/>
      <c r="G22" s="75"/>
      <c r="H22" s="506"/>
      <c r="I22" s="238"/>
      <c r="J22" s="75"/>
      <c r="K22" s="75"/>
      <c r="L22" s="75"/>
      <c r="M22" s="75"/>
      <c r="N22" s="506"/>
      <c r="O22" s="538"/>
      <c r="P22" s="238"/>
      <c r="Q22" s="75"/>
      <c r="R22" s="76"/>
    </row>
    <row r="23" spans="1:30" ht="12.75" customHeight="1" x14ac:dyDescent="0.25">
      <c r="A23" s="539" t="str">
        <f>'B3-FinPerf V'!A24</f>
        <v>Expenditure by Vote</v>
      </c>
      <c r="B23" s="124"/>
      <c r="C23" s="238"/>
      <c r="D23" s="75"/>
      <c r="E23" s="75"/>
      <c r="F23" s="75"/>
      <c r="G23" s="75"/>
      <c r="H23" s="506"/>
      <c r="I23" s="238"/>
      <c r="J23" s="75"/>
      <c r="K23" s="75"/>
      <c r="L23" s="75"/>
      <c r="M23" s="75"/>
      <c r="N23" s="506"/>
      <c r="O23" s="538"/>
      <c r="P23" s="238"/>
      <c r="Q23" s="75"/>
      <c r="R23" s="76"/>
    </row>
    <row r="24" spans="1:30" ht="12.75" customHeight="1" x14ac:dyDescent="0.25">
      <c r="A24" s="127" t="str">
        <f>'B3-FinPerf V'!A25</f>
        <v>Vote 1 - Finance and Administration</v>
      </c>
      <c r="B24" s="127"/>
      <c r="C24" s="1360">
        <f>SUMIFS(Sheet1!S71_MonthlyOutcomeJul,Sheet1!S71_MasterVoteMunicipal,$AC:$AC,Sheet1!S71_ItemType,$AD:$AD)</f>
        <v>1940933.2199999997</v>
      </c>
      <c r="D24" s="1356">
        <f>SUMIFS(Sheet1!S71_MonthlyOutcomeAug,Sheet1!S71_MasterVoteMunicipal,$AC:$AC,Sheet1!S71_ItemType,$AD:$AD)</f>
        <v>2444507.3499999992</v>
      </c>
      <c r="E24" s="1356">
        <f>SUMIFS(Sheet1!S71_MonthlyOutcomeSep,Sheet1!S71_MasterVoteMunicipal,$AC:$AC,Sheet1!S71_ItemType,$AD:$AD)</f>
        <v>2596649.629999999</v>
      </c>
      <c r="F24" s="1356">
        <f>SUMIFS(Sheet1!S71_MonthlyOutcomeOct,Sheet1!S71_MasterVoteMunicipal,$AC:$AC,Sheet1!S71_ItemType,$AD:$AD)</f>
        <v>4841037.6599999992</v>
      </c>
      <c r="G24" s="1356">
        <f>SUMIFS(Sheet1!S71_MonthlyOutcomeNov,Sheet1!S71_MasterVoteMunicipal,$AC:$AC,Sheet1!S71_ItemType,$AD:$AD)</f>
        <v>2645032.65</v>
      </c>
      <c r="H24" s="1361">
        <f>SUMIFS(Sheet1!S71_MonthlyOutcomeDec,Sheet1!S71_MasterVoteMunicipal,$AC:$AC,Sheet1!S71_ItemType,$AD:$AD)</f>
        <v>3088268.56</v>
      </c>
      <c r="I24" s="1360">
        <f>(P24-SUM(C24:H24))/6</f>
        <v>6525059.3216666682</v>
      </c>
      <c r="J24" s="1356">
        <f>(P24-SUM(C24:H24))/6</f>
        <v>6525059.3216666682</v>
      </c>
      <c r="K24" s="1356">
        <f>(P24-SUM(C24:H24))/6</f>
        <v>6525059.3216666682</v>
      </c>
      <c r="L24" s="1356">
        <f>(P24-SUM(C24:H24))/6</f>
        <v>6525059.3216666682</v>
      </c>
      <c r="M24" s="1356">
        <f>(P24-SUM(C24:H24))/6</f>
        <v>6525059.3216666682</v>
      </c>
      <c r="N24" s="506">
        <f t="shared" ref="N24:N38" si="10">P24-SUM(C24:M24)</f>
        <v>6525059.3216666654</v>
      </c>
      <c r="O24" s="538">
        <f t="shared" ref="O24:O38" si="11">SUM(C24:N24)</f>
        <v>56706785</v>
      </c>
      <c r="P24" s="238">
        <f>'B3-FinPerf V'!K25</f>
        <v>56706785</v>
      </c>
      <c r="Q24" s="75">
        <f>'B3-FinPerf V'!L25</f>
        <v>53854110</v>
      </c>
      <c r="R24" s="76">
        <f>'B3-FinPerf V'!M25</f>
        <v>57753498</v>
      </c>
      <c r="AC24" s="5">
        <v>1</v>
      </c>
      <c r="AD24" s="5" t="s">
        <v>1812</v>
      </c>
    </row>
    <row r="25" spans="1:30" ht="12.75" customHeight="1" x14ac:dyDescent="0.25">
      <c r="A25" s="127" t="str">
        <f>'B3-FinPerf V'!A26</f>
        <v>Vote 2 - Finance and Administration2</v>
      </c>
      <c r="B25" s="127"/>
      <c r="C25" s="1360">
        <f>SUMIFS(Sheet1!S71_MonthlyOutcomeJul,Sheet1!S71_MasterVoteMunicipal,$AC:$AC,Sheet1!S71_ItemType,$AD:$AD)</f>
        <v>0</v>
      </c>
      <c r="D25" s="1356">
        <f>SUMIFS(Sheet1!S71_MonthlyOutcomeAug,Sheet1!S71_MasterVoteMunicipal,$AC:$AC,Sheet1!S71_ItemType,$AD:$AD)</f>
        <v>0</v>
      </c>
      <c r="E25" s="1356">
        <f>SUMIFS(Sheet1!S71_MonthlyOutcomeSep,Sheet1!S71_MasterVoteMunicipal,$AC:$AC,Sheet1!S71_ItemType,$AD:$AD)</f>
        <v>0</v>
      </c>
      <c r="F25" s="1356">
        <f>SUMIFS(Sheet1!S71_MonthlyOutcomeOct,Sheet1!S71_MasterVoteMunicipal,$AC:$AC,Sheet1!S71_ItemType,$AD:$AD)</f>
        <v>507.35</v>
      </c>
      <c r="G25" s="1356">
        <f>SUMIFS(Sheet1!S71_MonthlyOutcomeNov,Sheet1!S71_MasterVoteMunicipal,$AC:$AC,Sheet1!S71_ItemType,$AD:$AD)</f>
        <v>0</v>
      </c>
      <c r="H25" s="1361">
        <f>SUMIFS(Sheet1!S71_MonthlyOutcomeDec,Sheet1!S71_MasterVoteMunicipal,$AC:$AC,Sheet1!S71_ItemType,$AD:$AD)</f>
        <v>105974.67</v>
      </c>
      <c r="I25" s="1360">
        <f t="shared" ref="I25:I38" si="12">(P25-SUM(C25:H25))/6</f>
        <v>7252.996666666666</v>
      </c>
      <c r="J25" s="1356">
        <f t="shared" ref="J25:J38" si="13">(P25-SUM(C25:H25))/6</f>
        <v>7252.996666666666</v>
      </c>
      <c r="K25" s="1356">
        <f t="shared" ref="K25:K38" si="14">(P25-SUM(C25:H25))/6</f>
        <v>7252.996666666666</v>
      </c>
      <c r="L25" s="1356">
        <f t="shared" ref="L25:L38" si="15">(P25-SUM(C25:H25))/6</f>
        <v>7252.996666666666</v>
      </c>
      <c r="M25" s="1356">
        <f t="shared" ref="M25:M38" si="16">(P25-SUM(C25:H25))/6</f>
        <v>7252.996666666666</v>
      </c>
      <c r="N25" s="506">
        <f t="shared" si="10"/>
        <v>7252.9966666666442</v>
      </c>
      <c r="O25" s="538">
        <f t="shared" si="11"/>
        <v>150000</v>
      </c>
      <c r="P25" s="238">
        <f>'B3-FinPerf V'!K26</f>
        <v>150000</v>
      </c>
      <c r="Q25" s="75">
        <f>'B3-FinPerf V'!L26</f>
        <v>275000</v>
      </c>
      <c r="R25" s="76">
        <f>'B3-FinPerf V'!M26</f>
        <v>302500</v>
      </c>
      <c r="AC25" s="5">
        <v>2</v>
      </c>
      <c r="AD25" s="5" t="s">
        <v>1812</v>
      </c>
    </row>
    <row r="26" spans="1:30" ht="12.75" customHeight="1" x14ac:dyDescent="0.25">
      <c r="A26" s="127" t="str">
        <f>'B3-FinPerf V'!A27</f>
        <v>Vote 3 - Executive and Council</v>
      </c>
      <c r="B26" s="127"/>
      <c r="C26" s="1360">
        <f>SUMIFS(Sheet1!S71_MonthlyOutcomeJul,Sheet1!S71_MasterVoteMunicipal,$AC:$AC,Sheet1!S71_ItemType,$AD:$AD)</f>
        <v>1073456.78</v>
      </c>
      <c r="D26" s="1356">
        <f>SUMIFS(Sheet1!S71_MonthlyOutcomeAug,Sheet1!S71_MasterVoteMunicipal,$AC:$AC,Sheet1!S71_ItemType,$AD:$AD)</f>
        <v>1702641.8000000003</v>
      </c>
      <c r="E26" s="1356">
        <f>SUMIFS(Sheet1!S71_MonthlyOutcomeSep,Sheet1!S71_MasterVoteMunicipal,$AC:$AC,Sheet1!S71_ItemType,$AD:$AD)</f>
        <v>1060923.99</v>
      </c>
      <c r="F26" s="1356">
        <f>SUMIFS(Sheet1!S71_MonthlyOutcomeOct,Sheet1!S71_MasterVoteMunicipal,$AC:$AC,Sheet1!S71_ItemType,$AD:$AD)</f>
        <v>1350895.3</v>
      </c>
      <c r="G26" s="1356">
        <f>SUMIFS(Sheet1!S71_MonthlyOutcomeNov,Sheet1!S71_MasterVoteMunicipal,$AC:$AC,Sheet1!S71_ItemType,$AD:$AD)</f>
        <v>1657288.21</v>
      </c>
      <c r="H26" s="1361">
        <f>SUMIFS(Sheet1!S71_MonthlyOutcomeDec,Sheet1!S71_MasterVoteMunicipal,$AC:$AC,Sheet1!S71_ItemType,$AD:$AD)</f>
        <v>1315393.08</v>
      </c>
      <c r="I26" s="1360">
        <f t="shared" si="12"/>
        <v>2206859.4733333332</v>
      </c>
      <c r="J26" s="1356">
        <f t="shared" si="13"/>
        <v>2206859.4733333332</v>
      </c>
      <c r="K26" s="1356">
        <f t="shared" si="14"/>
        <v>2206859.4733333332</v>
      </c>
      <c r="L26" s="1356">
        <f t="shared" si="15"/>
        <v>2206859.4733333332</v>
      </c>
      <c r="M26" s="1356">
        <f t="shared" si="16"/>
        <v>2206859.4733333332</v>
      </c>
      <c r="N26" s="506">
        <f t="shared" si="10"/>
        <v>2206859.4733333364</v>
      </c>
      <c r="O26" s="538">
        <f t="shared" si="11"/>
        <v>21401756</v>
      </c>
      <c r="P26" s="238">
        <f>'B3-FinPerf V'!K27</f>
        <v>21401756</v>
      </c>
      <c r="Q26" s="75">
        <f>'B3-FinPerf V'!L27</f>
        <v>20458851</v>
      </c>
      <c r="R26" s="76">
        <f>'B3-FinPerf V'!M27</f>
        <v>21284098</v>
      </c>
      <c r="AC26" s="5">
        <v>3</v>
      </c>
      <c r="AD26" s="5" t="s">
        <v>1812</v>
      </c>
    </row>
    <row r="27" spans="1:30" ht="12.75" customHeight="1" x14ac:dyDescent="0.25">
      <c r="A27" s="127" t="str">
        <f>'B3-FinPerf V'!A28</f>
        <v>Vote 4 - Community and Social Services</v>
      </c>
      <c r="B27" s="127"/>
      <c r="C27" s="1360">
        <f>SUMIFS(Sheet1!S71_MonthlyOutcomeJul,Sheet1!S71_MasterVoteMunicipal,$AC:$AC,Sheet1!S71_ItemType,$AD:$AD)</f>
        <v>58984.439999999995</v>
      </c>
      <c r="D27" s="1356">
        <f>SUMIFS(Sheet1!S71_MonthlyOutcomeAug,Sheet1!S71_MasterVoteMunicipal,$AC:$AC,Sheet1!S71_ItemType,$AD:$AD)</f>
        <v>474178.35000000003</v>
      </c>
      <c r="E27" s="1356">
        <f>SUMIFS(Sheet1!S71_MonthlyOutcomeSep,Sheet1!S71_MasterVoteMunicipal,$AC:$AC,Sheet1!S71_ItemType,$AD:$AD)</f>
        <v>316353.99</v>
      </c>
      <c r="F27" s="1356">
        <f>SUMIFS(Sheet1!S71_MonthlyOutcomeOct,Sheet1!S71_MasterVoteMunicipal,$AC:$AC,Sheet1!S71_ItemType,$AD:$AD)</f>
        <v>209494.28999999998</v>
      </c>
      <c r="G27" s="1356">
        <f>SUMIFS(Sheet1!S71_MonthlyOutcomeNov,Sheet1!S71_MasterVoteMunicipal,$AC:$AC,Sheet1!S71_ItemType,$AD:$AD)</f>
        <v>828059.28999999992</v>
      </c>
      <c r="H27" s="1361">
        <f>SUMIFS(Sheet1!S71_MonthlyOutcomeDec,Sheet1!S71_MasterVoteMunicipal,$AC:$AC,Sheet1!S71_ItemType,$AD:$AD)</f>
        <v>1331706.9799999997</v>
      </c>
      <c r="I27" s="1360">
        <f t="shared" si="12"/>
        <v>939627.11</v>
      </c>
      <c r="J27" s="1356">
        <f t="shared" si="13"/>
        <v>939627.11</v>
      </c>
      <c r="K27" s="1356">
        <f t="shared" si="14"/>
        <v>939627.11</v>
      </c>
      <c r="L27" s="1356">
        <f t="shared" si="15"/>
        <v>939627.11</v>
      </c>
      <c r="M27" s="1356">
        <f t="shared" si="16"/>
        <v>939627.11</v>
      </c>
      <c r="N27" s="506">
        <f t="shared" si="10"/>
        <v>939627.1099999994</v>
      </c>
      <c r="O27" s="538">
        <f t="shared" si="11"/>
        <v>8856540</v>
      </c>
      <c r="P27" s="238">
        <f>'B3-FinPerf V'!K28</f>
        <v>8856540</v>
      </c>
      <c r="Q27" s="75">
        <f>'B3-FinPerf V'!L28</f>
        <v>9732364</v>
      </c>
      <c r="R27" s="76">
        <f>'B3-FinPerf V'!M28</f>
        <v>10343265</v>
      </c>
      <c r="AC27" s="5">
        <v>4</v>
      </c>
      <c r="AD27" s="5" t="s">
        <v>1812</v>
      </c>
    </row>
    <row r="28" spans="1:30" ht="12.75" customHeight="1" x14ac:dyDescent="0.25">
      <c r="A28" s="127" t="str">
        <f>'B3-FinPerf V'!A29</f>
        <v>Vote 5 - Community and Social Services2</v>
      </c>
      <c r="B28" s="127"/>
      <c r="C28" s="1360">
        <f>SUMIFS(Sheet1!S71_MonthlyOutcomeJul,Sheet1!S71_MasterVoteMunicipal,$AC:$AC,Sheet1!S71_ItemType,$AD:$AD)</f>
        <v>1116865.3700000001</v>
      </c>
      <c r="D28" s="1356">
        <f>SUMIFS(Sheet1!S71_MonthlyOutcomeAug,Sheet1!S71_MasterVoteMunicipal,$AC:$AC,Sheet1!S71_ItemType,$AD:$AD)</f>
        <v>1336912.9300000002</v>
      </c>
      <c r="E28" s="1356">
        <f>SUMIFS(Sheet1!S71_MonthlyOutcomeSep,Sheet1!S71_MasterVoteMunicipal,$AC:$AC,Sheet1!S71_ItemType,$AD:$AD)</f>
        <v>1035242.6400000002</v>
      </c>
      <c r="F28" s="1356">
        <f>SUMIFS(Sheet1!S71_MonthlyOutcomeOct,Sheet1!S71_MasterVoteMunicipal,$AC:$AC,Sheet1!S71_ItemType,$AD:$AD)</f>
        <v>841981.93</v>
      </c>
      <c r="G28" s="1356">
        <f>SUMIFS(Sheet1!S71_MonthlyOutcomeNov,Sheet1!S71_MasterVoteMunicipal,$AC:$AC,Sheet1!S71_ItemType,$AD:$AD)</f>
        <v>872845.04</v>
      </c>
      <c r="H28" s="1361">
        <f>SUMIFS(Sheet1!S71_MonthlyOutcomeDec,Sheet1!S71_MasterVoteMunicipal,$AC:$AC,Sheet1!S71_ItemType,$AD:$AD)</f>
        <v>1636030.22</v>
      </c>
      <c r="I28" s="1360">
        <f t="shared" si="12"/>
        <v>1388737.4783333333</v>
      </c>
      <c r="J28" s="1356">
        <f t="shared" si="13"/>
        <v>1388737.4783333333</v>
      </c>
      <c r="K28" s="1356">
        <f t="shared" si="14"/>
        <v>1388737.4783333333</v>
      </c>
      <c r="L28" s="1356">
        <f t="shared" si="15"/>
        <v>1388737.4783333333</v>
      </c>
      <c r="M28" s="1356">
        <f t="shared" si="16"/>
        <v>1388737.4783333333</v>
      </c>
      <c r="N28" s="506">
        <f t="shared" si="10"/>
        <v>1388737.4783333335</v>
      </c>
      <c r="O28" s="538">
        <f t="shared" si="11"/>
        <v>15172303</v>
      </c>
      <c r="P28" s="238">
        <f>'B3-FinPerf V'!K29</f>
        <v>15172303</v>
      </c>
      <c r="Q28" s="75">
        <f>'B3-FinPerf V'!L29</f>
        <v>12871228</v>
      </c>
      <c r="R28" s="76">
        <f>'B3-FinPerf V'!M29</f>
        <v>13571291</v>
      </c>
      <c r="AC28" s="5">
        <v>5</v>
      </c>
      <c r="AD28" s="5" t="s">
        <v>1812</v>
      </c>
    </row>
    <row r="29" spans="1:30" ht="12.75" customHeight="1" x14ac:dyDescent="0.25">
      <c r="A29" s="127" t="str">
        <f>'B3-FinPerf V'!A30</f>
        <v>Vote 6 - Energy Sources</v>
      </c>
      <c r="B29" s="127"/>
      <c r="C29" s="1360">
        <f>SUMIFS(Sheet1!S71_MonthlyOutcomeJul,Sheet1!S71_MasterVoteMunicipal,$AC:$AC,Sheet1!S71_ItemType,$AD:$AD)</f>
        <v>359541.75</v>
      </c>
      <c r="D29" s="1356">
        <f>SUMIFS(Sheet1!S71_MonthlyOutcomeAug,Sheet1!S71_MasterVoteMunicipal,$AC:$AC,Sheet1!S71_ItemType,$AD:$AD)</f>
        <v>562832.9</v>
      </c>
      <c r="E29" s="1356">
        <f>SUMIFS(Sheet1!S71_MonthlyOutcomeSep,Sheet1!S71_MasterVoteMunicipal,$AC:$AC,Sheet1!S71_ItemType,$AD:$AD)</f>
        <v>238433.08</v>
      </c>
      <c r="F29" s="1356">
        <f>SUMIFS(Sheet1!S71_MonthlyOutcomeOct,Sheet1!S71_MasterVoteMunicipal,$AC:$AC,Sheet1!S71_ItemType,$AD:$AD)</f>
        <v>0</v>
      </c>
      <c r="G29" s="1356">
        <f>SUMIFS(Sheet1!S71_MonthlyOutcomeNov,Sheet1!S71_MasterVoteMunicipal,$AC:$AC,Sheet1!S71_ItemType,$AD:$AD)</f>
        <v>0</v>
      </c>
      <c r="H29" s="1361">
        <f>SUMIFS(Sheet1!S71_MonthlyOutcomeDec,Sheet1!S71_MasterVoteMunicipal,$AC:$AC,Sheet1!S71_ItemType,$AD:$AD)</f>
        <v>1819983.2599999998</v>
      </c>
      <c r="I29" s="1360">
        <f t="shared" si="12"/>
        <v>566802.50166666671</v>
      </c>
      <c r="J29" s="1356">
        <f t="shared" si="13"/>
        <v>566802.50166666671</v>
      </c>
      <c r="K29" s="1356">
        <f t="shared" si="14"/>
        <v>566802.50166666671</v>
      </c>
      <c r="L29" s="1356">
        <f t="shared" si="15"/>
        <v>566802.50166666671</v>
      </c>
      <c r="M29" s="1356">
        <f t="shared" si="16"/>
        <v>566802.50166666671</v>
      </c>
      <c r="N29" s="506">
        <f t="shared" si="10"/>
        <v>566802.50166666601</v>
      </c>
      <c r="O29" s="538">
        <f t="shared" si="11"/>
        <v>6381606</v>
      </c>
      <c r="P29" s="238">
        <f>'B3-FinPerf V'!K30</f>
        <v>6381606</v>
      </c>
      <c r="Q29" s="75">
        <f>'B3-FinPerf V'!L30</f>
        <v>0</v>
      </c>
      <c r="R29" s="76">
        <f>'B3-FinPerf V'!M30</f>
        <v>0</v>
      </c>
      <c r="AC29" s="5">
        <v>6</v>
      </c>
      <c r="AD29" s="5" t="s">
        <v>1812</v>
      </c>
    </row>
    <row r="30" spans="1:30" ht="12.75" customHeight="1" x14ac:dyDescent="0.25">
      <c r="A30" s="127" t="str">
        <f>'B3-FinPerf V'!A31</f>
        <v>Vote 7 - Road Transport</v>
      </c>
      <c r="B30" s="127"/>
      <c r="C30" s="1360">
        <f>SUMIFS(Sheet1!S71_MonthlyOutcomeJul,Sheet1!S71_MasterVoteMunicipal,$AC:$AC,Sheet1!S71_ItemType,$AD:$AD)</f>
        <v>3793975.4899999998</v>
      </c>
      <c r="D30" s="1356">
        <f>SUMIFS(Sheet1!S71_MonthlyOutcomeAug,Sheet1!S71_MasterVoteMunicipal,$AC:$AC,Sheet1!S71_ItemType,$AD:$AD)</f>
        <v>2305669.56</v>
      </c>
      <c r="E30" s="1356">
        <f>SUMIFS(Sheet1!S71_MonthlyOutcomeSep,Sheet1!S71_MasterVoteMunicipal,$AC:$AC,Sheet1!S71_ItemType,$AD:$AD)</f>
        <v>5355287.12</v>
      </c>
      <c r="F30" s="1356">
        <f>SUMIFS(Sheet1!S71_MonthlyOutcomeOct,Sheet1!S71_MasterVoteMunicipal,$AC:$AC,Sheet1!S71_ItemType,$AD:$AD)</f>
        <v>1718071.08</v>
      </c>
      <c r="G30" s="1356">
        <f>SUMIFS(Sheet1!S71_MonthlyOutcomeNov,Sheet1!S71_MasterVoteMunicipal,$AC:$AC,Sheet1!S71_ItemType,$AD:$AD)</f>
        <v>2919780.19</v>
      </c>
      <c r="H30" s="1361">
        <f>SUMIFS(Sheet1!S71_MonthlyOutcomeDec,Sheet1!S71_MasterVoteMunicipal,$AC:$AC,Sheet1!S71_ItemType,$AD:$AD)</f>
        <v>775215.85</v>
      </c>
      <c r="I30" s="1360">
        <f t="shared" si="12"/>
        <v>864653.28500000015</v>
      </c>
      <c r="J30" s="1356">
        <f t="shared" si="13"/>
        <v>864653.28500000015</v>
      </c>
      <c r="K30" s="1356">
        <f t="shared" si="14"/>
        <v>864653.28500000015</v>
      </c>
      <c r="L30" s="1356">
        <f t="shared" si="15"/>
        <v>864653.28500000015</v>
      </c>
      <c r="M30" s="1356">
        <f t="shared" si="16"/>
        <v>864653.28500000015</v>
      </c>
      <c r="N30" s="506">
        <f t="shared" si="10"/>
        <v>864653.28500000015</v>
      </c>
      <c r="O30" s="538">
        <f t="shared" si="11"/>
        <v>22055919</v>
      </c>
      <c r="P30" s="238">
        <f>'B3-FinPerf V'!K31</f>
        <v>22055919</v>
      </c>
      <c r="Q30" s="75">
        <f>'B3-FinPerf V'!L31</f>
        <v>13966341</v>
      </c>
      <c r="R30" s="76">
        <f>'B3-FinPerf V'!M31</f>
        <v>14711815</v>
      </c>
      <c r="AC30" s="5">
        <v>7</v>
      </c>
      <c r="AD30" s="5" t="s">
        <v>1812</v>
      </c>
    </row>
    <row r="31" spans="1:30" ht="12.75" customHeight="1" x14ac:dyDescent="0.25">
      <c r="A31" s="127" t="str">
        <f>'B3-FinPerf V'!A32</f>
        <v>Vote 8 - Planning and Development</v>
      </c>
      <c r="B31" s="127"/>
      <c r="C31" s="1360">
        <f>SUMIFS(Sheet1!S71_MonthlyOutcomeJul,Sheet1!S71_MasterVoteMunicipal,$AC:$AC,Sheet1!S71_ItemType,$AD:$AD)</f>
        <v>0</v>
      </c>
      <c r="D31" s="1356">
        <f>SUMIFS(Sheet1!S71_MonthlyOutcomeAug,Sheet1!S71_MasterVoteMunicipal,$AC:$AC,Sheet1!S71_ItemType,$AD:$AD)</f>
        <v>0</v>
      </c>
      <c r="E31" s="1356">
        <f>SUMIFS(Sheet1!S71_MonthlyOutcomeSep,Sheet1!S71_MasterVoteMunicipal,$AC:$AC,Sheet1!S71_ItemType,$AD:$AD)</f>
        <v>0</v>
      </c>
      <c r="F31" s="1356">
        <f>SUMIFS(Sheet1!S71_MonthlyOutcomeOct,Sheet1!S71_MasterVoteMunicipal,$AC:$AC,Sheet1!S71_ItemType,$AD:$AD)</f>
        <v>25000</v>
      </c>
      <c r="G31" s="1356">
        <f>SUMIFS(Sheet1!S71_MonthlyOutcomeNov,Sheet1!S71_MasterVoteMunicipal,$AC:$AC,Sheet1!S71_ItemType,$AD:$AD)</f>
        <v>9777</v>
      </c>
      <c r="H31" s="1361">
        <f>SUMIFS(Sheet1!S71_MonthlyOutcomeDec,Sheet1!S71_MasterVoteMunicipal,$AC:$AC,Sheet1!S71_ItemType,$AD:$AD)</f>
        <v>15000</v>
      </c>
      <c r="I31" s="1360">
        <f t="shared" si="12"/>
        <v>63407.166666666664</v>
      </c>
      <c r="J31" s="1356">
        <f t="shared" si="13"/>
        <v>63407.166666666664</v>
      </c>
      <c r="K31" s="1356">
        <f t="shared" si="14"/>
        <v>63407.166666666664</v>
      </c>
      <c r="L31" s="1356">
        <f t="shared" si="15"/>
        <v>63407.166666666664</v>
      </c>
      <c r="M31" s="1356">
        <f t="shared" si="16"/>
        <v>63407.166666666664</v>
      </c>
      <c r="N31" s="506">
        <f t="shared" si="10"/>
        <v>63407.166666666686</v>
      </c>
      <c r="O31" s="538">
        <f t="shared" si="11"/>
        <v>430220</v>
      </c>
      <c r="P31" s="238">
        <f>'B3-FinPerf V'!K32</f>
        <v>430220</v>
      </c>
      <c r="Q31" s="75">
        <f>'B3-FinPerf V'!L32</f>
        <v>632400</v>
      </c>
      <c r="R31" s="76">
        <f>'B3-FinPerf V'!M32</f>
        <v>689704</v>
      </c>
      <c r="AC31" s="5">
        <v>8</v>
      </c>
      <c r="AD31" s="5" t="s">
        <v>1812</v>
      </c>
    </row>
    <row r="32" spans="1:30" ht="12.75" customHeight="1" x14ac:dyDescent="0.25">
      <c r="A32" s="127" t="str">
        <f>'B3-FinPerf V'!A33</f>
        <v>Vote 9 - Sport and Recreation</v>
      </c>
      <c r="B32" s="127"/>
      <c r="C32" s="1360">
        <f>SUMIFS(Sheet1!S71_MonthlyOutcomeJul,Sheet1!S71_MasterVoteMunicipal,$AC:$AC,Sheet1!S71_ItemType,$AD:$AD)</f>
        <v>0</v>
      </c>
      <c r="D32" s="1356">
        <f>SUMIFS(Sheet1!S71_MonthlyOutcomeAug,Sheet1!S71_MasterVoteMunicipal,$AC:$AC,Sheet1!S71_ItemType,$AD:$AD)</f>
        <v>0</v>
      </c>
      <c r="E32" s="1356">
        <f>SUMIFS(Sheet1!S71_MonthlyOutcomeSep,Sheet1!S71_MasterVoteMunicipal,$AC:$AC,Sheet1!S71_ItemType,$AD:$AD)</f>
        <v>19550</v>
      </c>
      <c r="F32" s="1356">
        <f>SUMIFS(Sheet1!S71_MonthlyOutcomeOct,Sheet1!S71_MasterVoteMunicipal,$AC:$AC,Sheet1!S71_ItemType,$AD:$AD)</f>
        <v>429553.18</v>
      </c>
      <c r="G32" s="1356">
        <f>SUMIFS(Sheet1!S71_MonthlyOutcomeNov,Sheet1!S71_MasterVoteMunicipal,$AC:$AC,Sheet1!S71_ItemType,$AD:$AD)</f>
        <v>124459.95</v>
      </c>
      <c r="H32" s="1361">
        <f>SUMIFS(Sheet1!S71_MonthlyOutcomeDec,Sheet1!S71_MasterVoteMunicipal,$AC:$AC,Sheet1!S71_ItemType,$AD:$AD)</f>
        <v>430183.52</v>
      </c>
      <c r="I32" s="1360">
        <f t="shared" si="12"/>
        <v>225625.55833333335</v>
      </c>
      <c r="J32" s="1356">
        <f t="shared" si="13"/>
        <v>225625.55833333335</v>
      </c>
      <c r="K32" s="1356">
        <f t="shared" si="14"/>
        <v>225625.55833333335</v>
      </c>
      <c r="L32" s="1356">
        <f t="shared" si="15"/>
        <v>225625.55833333335</v>
      </c>
      <c r="M32" s="1356">
        <f t="shared" si="16"/>
        <v>225625.55833333335</v>
      </c>
      <c r="N32" s="506">
        <f t="shared" si="10"/>
        <v>225625.55833333312</v>
      </c>
      <c r="O32" s="538">
        <f t="shared" si="11"/>
        <v>2357500</v>
      </c>
      <c r="P32" s="238">
        <f>'B3-FinPerf V'!K33</f>
        <v>2357500</v>
      </c>
      <c r="Q32" s="75">
        <f>'B3-FinPerf V'!L33</f>
        <v>3558000</v>
      </c>
      <c r="R32" s="76">
        <f>'B3-FinPerf V'!M33</f>
        <v>3837480</v>
      </c>
      <c r="AC32" s="5">
        <v>9</v>
      </c>
      <c r="AD32" s="5" t="s">
        <v>1812</v>
      </c>
    </row>
    <row r="33" spans="1:30" ht="12.75" customHeight="1" x14ac:dyDescent="0.25">
      <c r="A33" s="127" t="str">
        <f>'B3-FinPerf V'!A34</f>
        <v>Vote 10 - Public Safety</v>
      </c>
      <c r="B33" s="127"/>
      <c r="C33" s="1360">
        <f>SUMIFS(Sheet1!S71_MonthlyOutcomeJul,Sheet1!S71_MasterVoteMunicipal,$AC:$AC,Sheet1!S71_ItemType,$AD:$AD)</f>
        <v>0</v>
      </c>
      <c r="D33" s="1356">
        <f>SUMIFS(Sheet1!S71_MonthlyOutcomeAug,Sheet1!S71_MasterVoteMunicipal,$AC:$AC,Sheet1!S71_ItemType,$AD:$AD)</f>
        <v>0</v>
      </c>
      <c r="E33" s="1356">
        <f>SUMIFS(Sheet1!S71_MonthlyOutcomeSep,Sheet1!S71_MasterVoteMunicipal,$AC:$AC,Sheet1!S71_ItemType,$AD:$AD)</f>
        <v>0</v>
      </c>
      <c r="F33" s="1356">
        <f>SUMIFS(Sheet1!S71_MonthlyOutcomeOct,Sheet1!S71_MasterVoteMunicipal,$AC:$AC,Sheet1!S71_ItemType,$AD:$AD)</f>
        <v>0</v>
      </c>
      <c r="G33" s="1356">
        <f>SUMIFS(Sheet1!S71_MonthlyOutcomeNov,Sheet1!S71_MasterVoteMunicipal,$AC:$AC,Sheet1!S71_ItemType,$AD:$AD)</f>
        <v>0</v>
      </c>
      <c r="H33" s="1361">
        <f>SUMIFS(Sheet1!S71_MonthlyOutcomeDec,Sheet1!S71_MasterVoteMunicipal,$AC:$AC,Sheet1!S71_ItemType,$AD:$AD)</f>
        <v>0</v>
      </c>
      <c r="I33" s="1360">
        <f t="shared" si="12"/>
        <v>0</v>
      </c>
      <c r="J33" s="1356">
        <f t="shared" si="13"/>
        <v>0</v>
      </c>
      <c r="K33" s="1356">
        <f t="shared" si="14"/>
        <v>0</v>
      </c>
      <c r="L33" s="1356">
        <f t="shared" si="15"/>
        <v>0</v>
      </c>
      <c r="M33" s="1356">
        <f t="shared" si="16"/>
        <v>0</v>
      </c>
      <c r="N33" s="506">
        <f t="shared" si="10"/>
        <v>0</v>
      </c>
      <c r="O33" s="538">
        <f t="shared" si="11"/>
        <v>0</v>
      </c>
      <c r="P33" s="238">
        <f>'B3-FinPerf V'!K34</f>
        <v>0</v>
      </c>
      <c r="Q33" s="75">
        <f>'B3-FinPerf V'!L34</f>
        <v>15900</v>
      </c>
      <c r="R33" s="76">
        <f>'B3-FinPerf V'!M34</f>
        <v>16854</v>
      </c>
      <c r="AC33" s="5">
        <v>10</v>
      </c>
      <c r="AD33" s="5" t="s">
        <v>1812</v>
      </c>
    </row>
    <row r="34" spans="1:30" ht="12.75" customHeight="1" x14ac:dyDescent="0.25">
      <c r="A34" s="127" t="str">
        <f>'B3-FinPerf V'!A35</f>
        <v>Vote 11 - Other</v>
      </c>
      <c r="B34" s="127"/>
      <c r="C34" s="1360">
        <f>SUMIFS(Sheet1!S71_MonthlyOutcomeJul,Sheet1!S71_MasterVoteMunicipal,$AC:$AC,Sheet1!S71_ItemType,$AD:$AD)</f>
        <v>20443.88</v>
      </c>
      <c r="D34" s="1356">
        <f>SUMIFS(Sheet1!S71_MonthlyOutcomeAug,Sheet1!S71_MasterVoteMunicipal,$AC:$AC,Sheet1!S71_ItemType,$AD:$AD)</f>
        <v>189.9</v>
      </c>
      <c r="E34" s="1356">
        <f>SUMIFS(Sheet1!S71_MonthlyOutcomeSep,Sheet1!S71_MasterVoteMunicipal,$AC:$AC,Sheet1!S71_ItemType,$AD:$AD)</f>
        <v>94642</v>
      </c>
      <c r="F34" s="1356">
        <f>SUMIFS(Sheet1!S71_MonthlyOutcomeOct,Sheet1!S71_MasterVoteMunicipal,$AC:$AC,Sheet1!S71_ItemType,$AD:$AD)</f>
        <v>60905.02</v>
      </c>
      <c r="G34" s="1356">
        <f>SUMIFS(Sheet1!S71_MonthlyOutcomeNov,Sheet1!S71_MasterVoteMunicipal,$AC:$AC,Sheet1!S71_ItemType,$AD:$AD)</f>
        <v>511.51</v>
      </c>
      <c r="H34" s="1361">
        <f>SUMIFS(Sheet1!S71_MonthlyOutcomeDec,Sheet1!S71_MasterVoteMunicipal,$AC:$AC,Sheet1!S71_ItemType,$AD:$AD)</f>
        <v>156420</v>
      </c>
      <c r="I34" s="1360">
        <f t="shared" si="12"/>
        <v>1030057.1150000001</v>
      </c>
      <c r="J34" s="1356">
        <f t="shared" si="13"/>
        <v>1030057.1150000001</v>
      </c>
      <c r="K34" s="1356">
        <f t="shared" si="14"/>
        <v>1030057.1150000001</v>
      </c>
      <c r="L34" s="1356">
        <f t="shared" si="15"/>
        <v>1030057.1150000001</v>
      </c>
      <c r="M34" s="1356">
        <f t="shared" si="16"/>
        <v>1030057.1150000001</v>
      </c>
      <c r="N34" s="506">
        <f t="shared" si="10"/>
        <v>1030057.1149999993</v>
      </c>
      <c r="O34" s="538">
        <f t="shared" si="11"/>
        <v>6513455</v>
      </c>
      <c r="P34" s="238">
        <f>'B3-FinPerf V'!K35</f>
        <v>6513455</v>
      </c>
      <c r="Q34" s="75">
        <f>'B3-FinPerf V'!L35</f>
        <v>6926530</v>
      </c>
      <c r="R34" s="76">
        <f>'B3-FinPerf V'!M35</f>
        <v>7366804</v>
      </c>
      <c r="AC34" s="5">
        <v>11</v>
      </c>
      <c r="AD34" s="5" t="s">
        <v>1812</v>
      </c>
    </row>
    <row r="35" spans="1:30" ht="12.75" customHeight="1" x14ac:dyDescent="0.25">
      <c r="A35" s="127" t="str">
        <f>'B3-FinPerf V'!A36</f>
        <v>Vote 12 - Waste Management</v>
      </c>
      <c r="B35" s="127"/>
      <c r="C35" s="1360">
        <f>SUMIFS(Sheet1!S71_MonthlyOutcomeJul,Sheet1!S71_MasterVoteMunicipal,$AC:$AC,Sheet1!S71_ItemType,$AD:$AD)</f>
        <v>2100</v>
      </c>
      <c r="D35" s="1356">
        <f>SUMIFS(Sheet1!S71_MonthlyOutcomeAug,Sheet1!S71_MasterVoteMunicipal,$AC:$AC,Sheet1!S71_ItemType,$AD:$AD)</f>
        <v>31564.799999999999</v>
      </c>
      <c r="E35" s="1356">
        <f>SUMIFS(Sheet1!S71_MonthlyOutcomeSep,Sheet1!S71_MasterVoteMunicipal,$AC:$AC,Sheet1!S71_ItemType,$AD:$AD)</f>
        <v>209883.48</v>
      </c>
      <c r="F35" s="1356">
        <f>SUMIFS(Sheet1!S71_MonthlyOutcomeOct,Sheet1!S71_MasterVoteMunicipal,$AC:$AC,Sheet1!S71_ItemType,$AD:$AD)</f>
        <v>194733.25</v>
      </c>
      <c r="G35" s="1356">
        <f>SUMIFS(Sheet1!S71_MonthlyOutcomeNov,Sheet1!S71_MasterVoteMunicipal,$AC:$AC,Sheet1!S71_ItemType,$AD:$AD)</f>
        <v>211729.25</v>
      </c>
      <c r="H35" s="1361">
        <f>SUMIFS(Sheet1!S71_MonthlyOutcomeDec,Sheet1!S71_MasterVoteMunicipal,$AC:$AC,Sheet1!S71_ItemType,$AD:$AD)</f>
        <v>208823.75</v>
      </c>
      <c r="I35" s="1360">
        <f t="shared" si="12"/>
        <v>199860.91166666665</v>
      </c>
      <c r="J35" s="1356">
        <f t="shared" si="13"/>
        <v>199860.91166666665</v>
      </c>
      <c r="K35" s="1356">
        <f t="shared" si="14"/>
        <v>199860.91166666665</v>
      </c>
      <c r="L35" s="1356">
        <f t="shared" si="15"/>
        <v>199860.91166666665</v>
      </c>
      <c r="M35" s="1356">
        <f t="shared" si="16"/>
        <v>199860.91166666665</v>
      </c>
      <c r="N35" s="506">
        <f t="shared" si="10"/>
        <v>199860.91166666686</v>
      </c>
      <c r="O35" s="538">
        <f t="shared" si="11"/>
        <v>2058000</v>
      </c>
      <c r="P35" s="238">
        <f>'B3-FinPerf V'!K36</f>
        <v>2058000</v>
      </c>
      <c r="Q35" s="75">
        <f>'B3-FinPerf V'!L36</f>
        <v>2691480</v>
      </c>
      <c r="R35" s="76">
        <f>'B3-FinPerf V'!M36</f>
        <v>2832169</v>
      </c>
      <c r="AC35" s="5">
        <v>12</v>
      </c>
      <c r="AD35" s="5" t="s">
        <v>1812</v>
      </c>
    </row>
    <row r="36" spans="1:30" ht="12.75" customHeight="1" x14ac:dyDescent="0.25">
      <c r="A36" s="127" t="str">
        <f>'B3-FinPerf V'!A37</f>
        <v>Vote 13 - Housing</v>
      </c>
      <c r="B36" s="127"/>
      <c r="C36" s="1360">
        <f>SUMIFS(Sheet1!S71_MonthlyOutcomeJul,Sheet1!S71_MasterVoteMunicipal,$AC:$AC,Sheet1!S71_ItemType,$AD:$AD)</f>
        <v>0</v>
      </c>
      <c r="D36" s="1356">
        <f>SUMIFS(Sheet1!S71_MonthlyOutcomeAug,Sheet1!S71_MasterVoteMunicipal,$AC:$AC,Sheet1!S71_ItemType,$AD:$AD)</f>
        <v>0</v>
      </c>
      <c r="E36" s="1356">
        <f>SUMIFS(Sheet1!S71_MonthlyOutcomeSep,Sheet1!S71_MasterVoteMunicipal,$AC:$AC,Sheet1!S71_ItemType,$AD:$AD)</f>
        <v>0</v>
      </c>
      <c r="F36" s="1356">
        <f>SUMIFS(Sheet1!S71_MonthlyOutcomeOct,Sheet1!S71_MasterVoteMunicipal,$AC:$AC,Sheet1!S71_ItemType,$AD:$AD)</f>
        <v>0</v>
      </c>
      <c r="G36" s="1356">
        <f>SUMIFS(Sheet1!S71_MonthlyOutcomeNov,Sheet1!S71_MasterVoteMunicipal,$AC:$AC,Sheet1!S71_ItemType,$AD:$AD)</f>
        <v>0</v>
      </c>
      <c r="H36" s="1361">
        <f>SUMIFS(Sheet1!S71_MonthlyOutcomeDec,Sheet1!S71_MasterVoteMunicipal,$AC:$AC,Sheet1!S71_ItemType,$AD:$AD)</f>
        <v>0</v>
      </c>
      <c r="I36" s="1360">
        <f t="shared" si="12"/>
        <v>0</v>
      </c>
      <c r="J36" s="1356">
        <f t="shared" si="13"/>
        <v>0</v>
      </c>
      <c r="K36" s="1356">
        <f t="shared" si="14"/>
        <v>0</v>
      </c>
      <c r="L36" s="1356">
        <f t="shared" si="15"/>
        <v>0</v>
      </c>
      <c r="M36" s="1356">
        <f t="shared" si="16"/>
        <v>0</v>
      </c>
      <c r="N36" s="506">
        <f t="shared" si="10"/>
        <v>0</v>
      </c>
      <c r="O36" s="538">
        <f t="shared" si="11"/>
        <v>0</v>
      </c>
      <c r="P36" s="238">
        <f>'B3-FinPerf V'!K37</f>
        <v>0</v>
      </c>
      <c r="Q36" s="75">
        <f>'B3-FinPerf V'!L37</f>
        <v>0</v>
      </c>
      <c r="R36" s="76">
        <f>'B3-FinPerf V'!M37</f>
        <v>0</v>
      </c>
      <c r="AC36" s="5">
        <v>13</v>
      </c>
      <c r="AD36" s="5" t="s">
        <v>1812</v>
      </c>
    </row>
    <row r="37" spans="1:30" ht="12.75" customHeight="1" x14ac:dyDescent="0.25">
      <c r="A37" s="127" t="str">
        <f>'B3-FinPerf V'!A38</f>
        <v>Vote 14 - Waste Water Management</v>
      </c>
      <c r="B37" s="127"/>
      <c r="C37" s="1360">
        <f>SUMIFS(Sheet1!S71_MonthlyOutcomeJul,Sheet1!S71_MasterVoteMunicipal,$AC:$AC,Sheet1!S71_ItemType,$AD:$AD)</f>
        <v>0</v>
      </c>
      <c r="D37" s="1356">
        <f>SUMIFS(Sheet1!S71_MonthlyOutcomeAug,Sheet1!S71_MasterVoteMunicipal,$AC:$AC,Sheet1!S71_ItemType,$AD:$AD)</f>
        <v>0</v>
      </c>
      <c r="E37" s="1356">
        <f>SUMIFS(Sheet1!S71_MonthlyOutcomeSep,Sheet1!S71_MasterVoteMunicipal,$AC:$AC,Sheet1!S71_ItemType,$AD:$AD)</f>
        <v>0</v>
      </c>
      <c r="F37" s="1356">
        <f>SUMIFS(Sheet1!S71_MonthlyOutcomeOct,Sheet1!S71_MasterVoteMunicipal,$AC:$AC,Sheet1!S71_ItemType,$AD:$AD)</f>
        <v>0</v>
      </c>
      <c r="G37" s="1356">
        <f>SUMIFS(Sheet1!S71_MonthlyOutcomeNov,Sheet1!S71_MasterVoteMunicipal,$AC:$AC,Sheet1!S71_ItemType,$AD:$AD)</f>
        <v>0</v>
      </c>
      <c r="H37" s="1361">
        <f>SUMIFS(Sheet1!S71_MonthlyOutcomeDec,Sheet1!S71_MasterVoteMunicipal,$AC:$AC,Sheet1!S71_ItemType,$AD:$AD)</f>
        <v>0</v>
      </c>
      <c r="I37" s="1360">
        <f t="shared" si="12"/>
        <v>0</v>
      </c>
      <c r="J37" s="1356">
        <f t="shared" si="13"/>
        <v>0</v>
      </c>
      <c r="K37" s="1356">
        <f t="shared" si="14"/>
        <v>0</v>
      </c>
      <c r="L37" s="1356">
        <f t="shared" si="15"/>
        <v>0</v>
      </c>
      <c r="M37" s="1356">
        <f t="shared" si="16"/>
        <v>0</v>
      </c>
      <c r="N37" s="506">
        <f t="shared" si="10"/>
        <v>0</v>
      </c>
      <c r="O37" s="538">
        <f t="shared" si="11"/>
        <v>0</v>
      </c>
      <c r="P37" s="238">
        <f>'B3-FinPerf V'!K38</f>
        <v>0</v>
      </c>
      <c r="Q37" s="75">
        <f>'B3-FinPerf V'!L38</f>
        <v>0</v>
      </c>
      <c r="R37" s="76">
        <f>'B3-FinPerf V'!M38</f>
        <v>0</v>
      </c>
      <c r="AC37" s="5">
        <v>14</v>
      </c>
      <c r="AD37" s="5" t="s">
        <v>1812</v>
      </c>
    </row>
    <row r="38" spans="1:30" ht="12.75" customHeight="1" x14ac:dyDescent="0.25">
      <c r="A38" s="127" t="str">
        <f>'B3-FinPerf V'!A39</f>
        <v>Vote 15 - Health</v>
      </c>
      <c r="B38" s="127"/>
      <c r="C38" s="1360">
        <f>SUMIFS(Sheet1!S71_MonthlyOutcomeJul,Sheet1!S71_MasterVoteMunicipal,$AC:$AC,Sheet1!S71_ItemType,$AD:$AD)</f>
        <v>11250</v>
      </c>
      <c r="D38" s="1356">
        <f>SUMIFS(Sheet1!S71_MonthlyOutcomeAug,Sheet1!S71_MasterVoteMunicipal,$AC:$AC,Sheet1!S71_ItemType,$AD:$AD)</f>
        <v>0</v>
      </c>
      <c r="E38" s="1356">
        <f>SUMIFS(Sheet1!S71_MonthlyOutcomeSep,Sheet1!S71_MasterVoteMunicipal,$AC:$AC,Sheet1!S71_ItemType,$AD:$AD)</f>
        <v>0</v>
      </c>
      <c r="F38" s="1356">
        <f>SUMIFS(Sheet1!S71_MonthlyOutcomeOct,Sheet1!S71_MasterVoteMunicipal,$AC:$AC,Sheet1!S71_ItemType,$AD:$AD)</f>
        <v>3330.2</v>
      </c>
      <c r="G38" s="1356">
        <f>SUMIFS(Sheet1!S71_MonthlyOutcomeNov,Sheet1!S71_MasterVoteMunicipal,$AC:$AC,Sheet1!S71_ItemType,$AD:$AD)</f>
        <v>0</v>
      </c>
      <c r="H38" s="1361">
        <f>SUMIFS(Sheet1!S71_MonthlyOutcomeDec,Sheet1!S71_MasterVoteMunicipal,$AC:$AC,Sheet1!S71_ItemType,$AD:$AD)</f>
        <v>95585</v>
      </c>
      <c r="I38" s="1360">
        <f t="shared" si="12"/>
        <v>13286.633333333333</v>
      </c>
      <c r="J38" s="1356">
        <f t="shared" si="13"/>
        <v>13286.633333333333</v>
      </c>
      <c r="K38" s="1356">
        <f t="shared" si="14"/>
        <v>13286.633333333333</v>
      </c>
      <c r="L38" s="1356">
        <f t="shared" si="15"/>
        <v>13286.633333333333</v>
      </c>
      <c r="M38" s="1356">
        <f t="shared" si="16"/>
        <v>13286.633333333333</v>
      </c>
      <c r="N38" s="506">
        <f t="shared" si="10"/>
        <v>13286.633333333331</v>
      </c>
      <c r="O38" s="538">
        <f t="shared" si="11"/>
        <v>189885</v>
      </c>
      <c r="P38" s="238">
        <f>'B3-FinPerf V'!K39</f>
        <v>189885</v>
      </c>
      <c r="Q38" s="75">
        <f>'B3-FinPerf V'!L39</f>
        <v>286200</v>
      </c>
      <c r="R38" s="76">
        <f>'B3-FinPerf V'!M39</f>
        <v>303372</v>
      </c>
      <c r="AC38" s="5">
        <v>15</v>
      </c>
      <c r="AD38" s="5" t="s">
        <v>1812</v>
      </c>
    </row>
    <row r="39" spans="1:30" ht="12.75" customHeight="1" x14ac:dyDescent="0.25">
      <c r="A39" s="137" t="s">
        <v>609</v>
      </c>
      <c r="B39" s="539"/>
      <c r="C39" s="300">
        <f t="shared" ref="C39:R39" si="17">SUM(C24:C38)</f>
        <v>8377550.9300000006</v>
      </c>
      <c r="D39" s="149">
        <f t="shared" si="17"/>
        <v>8858497.5900000017</v>
      </c>
      <c r="E39" s="149">
        <f t="shared" si="17"/>
        <v>10926965.93</v>
      </c>
      <c r="F39" s="149">
        <f t="shared" si="17"/>
        <v>9675509.2599999979</v>
      </c>
      <c r="G39" s="149">
        <f t="shared" si="17"/>
        <v>9269483.089999998</v>
      </c>
      <c r="H39" s="519">
        <f t="shared" si="17"/>
        <v>10978584.889999999</v>
      </c>
      <c r="I39" s="300">
        <f t="shared" si="17"/>
        <v>14031229.551666668</v>
      </c>
      <c r="J39" s="149">
        <f t="shared" si="17"/>
        <v>14031229.551666668</v>
      </c>
      <c r="K39" s="149">
        <f t="shared" si="17"/>
        <v>14031229.551666668</v>
      </c>
      <c r="L39" s="149">
        <f t="shared" si="17"/>
        <v>14031229.551666668</v>
      </c>
      <c r="M39" s="149">
        <f t="shared" si="17"/>
        <v>14031229.551666668</v>
      </c>
      <c r="N39" s="519">
        <f t="shared" si="17"/>
        <v>14031229.551666668</v>
      </c>
      <c r="O39" s="540">
        <f t="shared" si="17"/>
        <v>142273969</v>
      </c>
      <c r="P39" s="300">
        <f t="shared" si="17"/>
        <v>142273969</v>
      </c>
      <c r="Q39" s="149">
        <f t="shared" si="17"/>
        <v>125268404</v>
      </c>
      <c r="R39" s="150">
        <f t="shared" si="17"/>
        <v>133012850</v>
      </c>
    </row>
    <row r="40" spans="1:30" ht="5.0999999999999996" customHeight="1" x14ac:dyDescent="0.25">
      <c r="A40" s="134"/>
      <c r="B40" s="134"/>
      <c r="C40" s="238"/>
      <c r="D40" s="75"/>
      <c r="E40" s="75"/>
      <c r="F40" s="75"/>
      <c r="G40" s="75"/>
      <c r="H40" s="506"/>
      <c r="I40" s="238"/>
      <c r="J40" s="75"/>
      <c r="K40" s="75"/>
      <c r="L40" s="75"/>
      <c r="M40" s="75"/>
      <c r="N40" s="506"/>
      <c r="O40" s="538"/>
      <c r="P40" s="238"/>
      <c r="Q40" s="75"/>
      <c r="R40" s="76"/>
    </row>
    <row r="41" spans="1:30" ht="12.75" customHeight="1" x14ac:dyDescent="0.25">
      <c r="A41" s="153" t="s">
        <v>240</v>
      </c>
      <c r="B41" s="153"/>
      <c r="C41" s="114">
        <f t="shared" ref="C41:R41" si="18">C21-C39</f>
        <v>30574645.559999995</v>
      </c>
      <c r="D41" s="115">
        <f t="shared" si="18"/>
        <v>-5706733.2100000009</v>
      </c>
      <c r="E41" s="115">
        <f t="shared" si="18"/>
        <v>-6795515.4999999991</v>
      </c>
      <c r="F41" s="115">
        <f t="shared" si="18"/>
        <v>-4973451.4899999956</v>
      </c>
      <c r="G41" s="115">
        <f t="shared" si="18"/>
        <v>-5471533.7599999979</v>
      </c>
      <c r="H41" s="520">
        <f t="shared" si="18"/>
        <v>27053113.539999992</v>
      </c>
      <c r="I41" s="114">
        <f t="shared" si="18"/>
        <v>-6875241.5233333362</v>
      </c>
      <c r="J41" s="115">
        <f t="shared" si="18"/>
        <v>-6875241.5233333362</v>
      </c>
      <c r="K41" s="115">
        <f t="shared" si="18"/>
        <v>-6875241.5233333362</v>
      </c>
      <c r="L41" s="115">
        <f t="shared" si="18"/>
        <v>-6875241.5233333362</v>
      </c>
      <c r="M41" s="115">
        <f t="shared" si="18"/>
        <v>-6875241.5233333362</v>
      </c>
      <c r="N41" s="520">
        <f t="shared" si="18"/>
        <v>-6875241.5233333111</v>
      </c>
      <c r="O41" s="541">
        <f t="shared" si="18"/>
        <v>-14267521</v>
      </c>
      <c r="P41" s="114">
        <f t="shared" si="18"/>
        <v>-6570924</v>
      </c>
      <c r="Q41" s="115">
        <f t="shared" si="18"/>
        <v>5870299</v>
      </c>
      <c r="R41" s="116">
        <f t="shared" si="18"/>
        <v>5770023</v>
      </c>
    </row>
    <row r="42" spans="1:30" ht="12.75" customHeight="1" x14ac:dyDescent="0.25">
      <c r="A42" s="542" t="str">
        <f>head27a</f>
        <v>References</v>
      </c>
      <c r="B42" s="542"/>
      <c r="C42" s="543"/>
      <c r="D42" s="543"/>
      <c r="E42" s="543"/>
      <c r="F42" s="543"/>
      <c r="G42" s="543"/>
      <c r="H42" s="543"/>
      <c r="I42" s="543"/>
      <c r="J42" s="543"/>
      <c r="K42" s="543"/>
      <c r="L42" s="543"/>
      <c r="M42" s="543"/>
      <c r="N42" s="543"/>
      <c r="O42" s="543"/>
      <c r="P42" s="543"/>
      <c r="Q42" s="543"/>
      <c r="R42" s="543"/>
    </row>
    <row r="43" spans="1:30" ht="12.75" customHeight="1" x14ac:dyDescent="0.25">
      <c r="A43" s="99" t="s">
        <v>241</v>
      </c>
      <c r="B43" s="99"/>
      <c r="C43" s="48"/>
      <c r="D43" s="48"/>
      <c r="E43" s="48"/>
      <c r="F43" s="48"/>
      <c r="G43" s="48"/>
      <c r="H43" s="48"/>
      <c r="I43" s="48"/>
      <c r="J43" s="48"/>
      <c r="K43" s="48"/>
      <c r="L43" s="48"/>
      <c r="M43" s="48"/>
      <c r="N43" s="48"/>
      <c r="O43" s="48"/>
      <c r="P43" s="48"/>
      <c r="Q43" s="48"/>
      <c r="R43" s="48"/>
    </row>
    <row r="44" spans="1:30" ht="12.75" customHeight="1" x14ac:dyDescent="0.25">
      <c r="A44" s="99"/>
      <c r="B44" s="99"/>
      <c r="C44" s="48"/>
      <c r="D44" s="48"/>
      <c r="E44" s="48"/>
      <c r="F44" s="48"/>
      <c r="G44" s="48"/>
      <c r="H44" s="48"/>
      <c r="I44" s="48"/>
      <c r="J44" s="48"/>
      <c r="K44" s="48"/>
      <c r="L44" s="48"/>
      <c r="M44" s="48"/>
      <c r="N44" s="48"/>
      <c r="O44" s="48"/>
      <c r="P44" s="48"/>
      <c r="Q44" s="48"/>
      <c r="R44" s="48"/>
    </row>
    <row r="45" spans="1:30" x14ac:dyDescent="0.25">
      <c r="A45" s="309"/>
      <c r="B45" s="309"/>
      <c r="P45" s="544"/>
      <c r="Q45" s="544"/>
      <c r="R45" s="544"/>
    </row>
    <row r="56" spans="2:2" x14ac:dyDescent="0.25">
      <c r="B56" s="126"/>
    </row>
  </sheetData>
  <sheetProtection sheet="1" objects="1" scenarios="1"/>
  <mergeCells count="3">
    <mergeCell ref="A2:A3"/>
    <mergeCell ref="C2:N2"/>
    <mergeCell ref="B2:B3"/>
  </mergeCells>
  <phoneticPr fontId="4" type="noConversion"/>
  <printOptions horizontalCentered="1"/>
  <pageMargins left="0.34" right="0.2" top="0.79" bottom="0.77" header="0.51181102362204722" footer="0.51181102362204722"/>
  <pageSetup paperSize="9" scale="83"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3">
    <tabColor indexed="42"/>
    <pageSetUpPr fitToPage="1"/>
  </sheetPr>
  <dimension ref="A1:AD56"/>
  <sheetViews>
    <sheetView showGridLines="0" zoomScaleNormal="100" workbookViewId="0">
      <pane xSplit="2" ySplit="4" topLeftCell="C20" activePane="bottomRight" state="frozen"/>
      <selection activeCell="C6" sqref="C6"/>
      <selection pane="topRight" activeCell="C6" sqref="C6"/>
      <selection pane="bottomLeft" activeCell="C6" sqref="C6"/>
      <selection pane="bottomRight" activeCell="D26" sqref="D26"/>
    </sheetView>
  </sheetViews>
  <sheetFormatPr defaultColWidth="9.140625" defaultRowHeight="13.5" x14ac:dyDescent="0.25"/>
  <cols>
    <col min="1" max="1" width="25.5703125" style="5" customWidth="1"/>
    <col min="2" max="2" width="3.140625" style="5" customWidth="1"/>
    <col min="3" max="14" width="8.5703125" style="5" customWidth="1"/>
    <col min="15" max="15" width="8.5703125" style="5" hidden="1" customWidth="1"/>
    <col min="16" max="18" width="8.5703125" style="5" customWidth="1"/>
    <col min="19" max="28" width="9.140625" style="5" customWidth="1"/>
    <col min="29" max="29" width="9.140625" style="1336"/>
    <col min="30" max="30" width="9.140625" style="1345"/>
    <col min="31" max="16384" width="9.140625" style="5"/>
  </cols>
  <sheetData>
    <row r="1" spans="1:30" x14ac:dyDescent="0.25">
      <c r="A1" s="57" t="str">
        <f>muni&amp;" - "&amp;ADJB13&amp;" - "&amp;Date</f>
        <v xml:space="preserve">KZN226 Mkhambathini - Supporting Table SB13 Adjustments Budget - monthly revenue and expenditure (functional classification) - </v>
      </c>
      <c r="B1" s="57"/>
      <c r="D1" s="58"/>
    </row>
    <row r="2" spans="1:30" ht="25.5" x14ac:dyDescent="0.25">
      <c r="A2" s="1423" t="str">
        <f>desc&amp;" - Standard classification"</f>
        <v>Description - Standard classification</v>
      </c>
      <c r="B2" s="1420" t="str">
        <f>head27</f>
        <v>Ref</v>
      </c>
      <c r="C2" s="1417" t="str">
        <f>Head2</f>
        <v>Budget Year 2020/21</v>
      </c>
      <c r="D2" s="1418"/>
      <c r="E2" s="1418"/>
      <c r="F2" s="1418"/>
      <c r="G2" s="1418"/>
      <c r="H2" s="1418"/>
      <c r="I2" s="1418"/>
      <c r="J2" s="1418"/>
      <c r="K2" s="1418"/>
      <c r="L2" s="1418"/>
      <c r="M2" s="1418"/>
      <c r="N2" s="1419"/>
      <c r="O2" s="525"/>
      <c r="P2" s="526" t="s">
        <v>225</v>
      </c>
      <c r="Q2" s="527"/>
      <c r="R2" s="528"/>
    </row>
    <row r="3" spans="1:30" ht="38.25" x14ac:dyDescent="0.25">
      <c r="A3" s="1424"/>
      <c r="B3" s="1421"/>
      <c r="C3" s="450" t="s">
        <v>226</v>
      </c>
      <c r="D3" s="318" t="s">
        <v>227</v>
      </c>
      <c r="E3" s="318" t="s">
        <v>228</v>
      </c>
      <c r="F3" s="318" t="s">
        <v>229</v>
      </c>
      <c r="G3" s="318" t="s">
        <v>230</v>
      </c>
      <c r="H3" s="319" t="s">
        <v>231</v>
      </c>
      <c r="I3" s="529" t="s">
        <v>232</v>
      </c>
      <c r="J3" s="530" t="s">
        <v>233</v>
      </c>
      <c r="K3" s="318" t="s">
        <v>234</v>
      </c>
      <c r="L3" s="318" t="s">
        <v>235</v>
      </c>
      <c r="M3" s="531" t="s">
        <v>236</v>
      </c>
      <c r="N3" s="530" t="s">
        <v>237</v>
      </c>
      <c r="O3" s="532" t="s">
        <v>238</v>
      </c>
      <c r="P3" s="529" t="str">
        <f>Head9</f>
        <v>Budget Year 2020/21</v>
      </c>
      <c r="Q3" s="530" t="str">
        <f>Head10</f>
        <v>Budget Year +1 2021/22</v>
      </c>
      <c r="R3" s="320" t="str">
        <f>Head11</f>
        <v>Budget Year +2 2022/23</v>
      </c>
    </row>
    <row r="4" spans="1:30" ht="25.5" x14ac:dyDescent="0.25">
      <c r="A4" s="533" t="s">
        <v>605</v>
      </c>
      <c r="B4" s="295"/>
      <c r="C4" s="805" t="str">
        <f t="shared" ref="C4:H4" si="0">Head5A</f>
        <v>Outcome</v>
      </c>
      <c r="D4" s="806" t="str">
        <f t="shared" si="0"/>
        <v>Outcome</v>
      </c>
      <c r="E4" s="806" t="str">
        <f t="shared" si="0"/>
        <v>Outcome</v>
      </c>
      <c r="F4" s="806" t="str">
        <f t="shared" si="0"/>
        <v>Outcome</v>
      </c>
      <c r="G4" s="806" t="str">
        <f t="shared" si="0"/>
        <v>Outcome</v>
      </c>
      <c r="H4" s="807" t="str">
        <f t="shared" si="0"/>
        <v>Outcome</v>
      </c>
      <c r="I4" s="805" t="str">
        <f t="shared" ref="I4:N4" si="1">Head7</f>
        <v>Adjusted Budget</v>
      </c>
      <c r="J4" s="807" t="str">
        <f t="shared" si="1"/>
        <v>Adjusted Budget</v>
      </c>
      <c r="K4" s="806" t="str">
        <f t="shared" si="1"/>
        <v>Adjusted Budget</v>
      </c>
      <c r="L4" s="806" t="str">
        <f t="shared" si="1"/>
        <v>Adjusted Budget</v>
      </c>
      <c r="M4" s="806" t="str">
        <f t="shared" si="1"/>
        <v>Adjusted Budget</v>
      </c>
      <c r="N4" s="807" t="str">
        <f t="shared" si="1"/>
        <v>Adjusted Budget</v>
      </c>
      <c r="O4" s="545"/>
      <c r="P4" s="546" t="str">
        <f>Head7</f>
        <v>Adjusted Budget</v>
      </c>
      <c r="Q4" s="547" t="str">
        <f>Head7</f>
        <v>Adjusted Budget</v>
      </c>
      <c r="R4" s="548" t="str">
        <f>Head7</f>
        <v>Adjusted Budget</v>
      </c>
    </row>
    <row r="5" spans="1:30" ht="12.75" customHeight="1" x14ac:dyDescent="0.25">
      <c r="A5" s="549" t="s">
        <v>1561</v>
      </c>
      <c r="B5" s="550"/>
      <c r="C5" s="106"/>
      <c r="D5" s="478"/>
      <c r="E5" s="478"/>
      <c r="F5" s="478"/>
      <c r="G5" s="478"/>
      <c r="H5" s="551"/>
      <c r="I5" s="106"/>
      <c r="J5" s="478"/>
      <c r="K5" s="478"/>
      <c r="L5" s="478"/>
      <c r="M5" s="478"/>
      <c r="N5" s="551"/>
      <c r="O5" s="552"/>
      <c r="P5" s="106"/>
      <c r="Q5" s="478"/>
      <c r="R5" s="518"/>
    </row>
    <row r="6" spans="1:30" ht="12.75" customHeight="1" x14ac:dyDescent="0.25">
      <c r="A6" s="107" t="str">
        <f>'B2-FinPerf SC'!A7</f>
        <v>Governance and administration</v>
      </c>
      <c r="B6" s="127"/>
      <c r="C6" s="255">
        <f t="shared" ref="C6:M6" si="2">SUM(C7:C9)</f>
        <v>38522230.549999997</v>
      </c>
      <c r="D6" s="255">
        <f t="shared" si="2"/>
        <v>2569821.2800000003</v>
      </c>
      <c r="E6" s="255">
        <f t="shared" si="2"/>
        <v>3531660.9900000007</v>
      </c>
      <c r="F6" s="255">
        <f t="shared" si="2"/>
        <v>3989176.8400000008</v>
      </c>
      <c r="G6" s="255">
        <f t="shared" si="2"/>
        <v>2599214.2200000002</v>
      </c>
      <c r="H6" s="703">
        <f t="shared" si="2"/>
        <v>34985517.299999997</v>
      </c>
      <c r="I6" s="704">
        <f t="shared" si="2"/>
        <v>6245677.8033333318</v>
      </c>
      <c r="J6" s="255">
        <f t="shared" si="2"/>
        <v>6245677.8033333318</v>
      </c>
      <c r="K6" s="255">
        <f t="shared" si="2"/>
        <v>6245677.8033333318</v>
      </c>
      <c r="L6" s="255">
        <f t="shared" si="2"/>
        <v>6245677.8033333318</v>
      </c>
      <c r="M6" s="255">
        <f t="shared" si="2"/>
        <v>6245677.8033333318</v>
      </c>
      <c r="N6" s="514">
        <f t="shared" ref="N6:N25" si="3">P6-SUM(C6:M6)</f>
        <v>6245677.803333357</v>
      </c>
      <c r="O6" s="553">
        <f t="shared" ref="O6:O25" si="4">SUM(C6:N6)</f>
        <v>123671688</v>
      </c>
      <c r="P6" s="474">
        <f>'B2-FinPerf SC'!K7</f>
        <v>123671688</v>
      </c>
      <c r="Q6" s="139">
        <f>'B2-FinPerf SC'!L7</f>
        <v>120122929</v>
      </c>
      <c r="R6" s="140">
        <f>'B2-FinPerf SC'!M7</f>
        <v>127225032</v>
      </c>
      <c r="S6" s="126"/>
    </row>
    <row r="7" spans="1:30" ht="12.75" customHeight="1" x14ac:dyDescent="0.25">
      <c r="A7" s="108" t="str">
        <f>'B2-FinPerf SC'!A8</f>
        <v>Executive and council</v>
      </c>
      <c r="B7" s="127"/>
      <c r="C7" s="1356">
        <f>-SUMIFS(Sheet1!S71_MonthlyOutcomeJul,Sheet1!S71_A2Code,$AC:$AC,Sheet1!S71_ItemType,$AD:$AD)</f>
        <v>0</v>
      </c>
      <c r="D7" s="1356">
        <f>-SUMIFS(Sheet1!S71_MonthlyOutcomeAug,Sheet1!S71_A2Code,$AC:$AC,Sheet1!S71_ItemType,$AD:$AD)</f>
        <v>0</v>
      </c>
      <c r="E7" s="1356">
        <f>-SUMIFS(Sheet1!S71_MonthlyOutcomeSep,Sheet1!S71_A2Code,$AC:$AC,Sheet1!S71_ItemType,$AD:$AD)</f>
        <v>0</v>
      </c>
      <c r="F7" s="1356">
        <f>-SUMIFS(Sheet1!S71_MonthlyOutcomeOct,Sheet1!S71_A2Code,$AC:$AC,Sheet1!S71_ItemType,$AD:$AD)</f>
        <v>0</v>
      </c>
      <c r="G7" s="1356">
        <f>-SUMIFS(Sheet1!S71_MonthlyOutcomeNov,Sheet1!S71_A2Code,$AC:$AC,Sheet1!S71_ItemType,$AD:$AD)</f>
        <v>0</v>
      </c>
      <c r="H7" s="1361">
        <f>-SUMIFS(Sheet1!S71_MonthlyOutcomeDec,Sheet1!S71_A2Code,$AC:$AC,Sheet1!S71_ItemType,$AD:$AD)</f>
        <v>0</v>
      </c>
      <c r="I7" s="1360">
        <f>(P7-SUM(C7:H7))/6</f>
        <v>0</v>
      </c>
      <c r="J7" s="1356">
        <f>(P7-SUM(C7:H7))/6</f>
        <v>0</v>
      </c>
      <c r="K7" s="1356">
        <f>(P7-SUM(C7:H7))/6</f>
        <v>0</v>
      </c>
      <c r="L7" s="1356">
        <f>(P7-SUM(C7:H7))/6</f>
        <v>0</v>
      </c>
      <c r="M7" s="1356">
        <f>(P7-SUM(C7:H7))/6</f>
        <v>0</v>
      </c>
      <c r="N7" s="506">
        <f t="shared" si="3"/>
        <v>0</v>
      </c>
      <c r="O7" s="538">
        <f t="shared" si="4"/>
        <v>0</v>
      </c>
      <c r="P7" s="238">
        <f>'B2-FinPerf SC'!K8</f>
        <v>0</v>
      </c>
      <c r="Q7" s="75">
        <f>'B2-FinPerf SC'!L8</f>
        <v>0</v>
      </c>
      <c r="R7" s="76">
        <f>'B2-FinPerf SC'!M8</f>
        <v>0</v>
      </c>
      <c r="S7" s="126"/>
      <c r="AC7" s="1336">
        <v>1100</v>
      </c>
      <c r="AD7" s="1345" t="s">
        <v>1811</v>
      </c>
    </row>
    <row r="8" spans="1:30" ht="12.75" customHeight="1" x14ac:dyDescent="0.25">
      <c r="A8" s="108" t="str">
        <f>'B2-FinPerf SC'!A9</f>
        <v>Finance and administration</v>
      </c>
      <c r="B8" s="127"/>
      <c r="C8" s="1356">
        <f>-SUMIFS(Sheet1!S71_MonthlyOutcomeJul,Sheet1!S71_A2Code,$AC:$AC,Sheet1!S71_ItemType,$AD:$AD)</f>
        <v>38522230.549999997</v>
      </c>
      <c r="D8" s="1356">
        <f>-SUMIFS(Sheet1!S71_MonthlyOutcomeAug,Sheet1!S71_A2Code,$AC:$AC,Sheet1!S71_ItemType,$AD:$AD)</f>
        <v>2569821.2800000003</v>
      </c>
      <c r="E8" s="1356">
        <f>-SUMIFS(Sheet1!S71_MonthlyOutcomeSep,Sheet1!S71_A2Code,$AC:$AC,Sheet1!S71_ItemType,$AD:$AD)</f>
        <v>3531660.9900000007</v>
      </c>
      <c r="F8" s="1356">
        <f>-SUMIFS(Sheet1!S71_MonthlyOutcomeOct,Sheet1!S71_A2Code,$AC:$AC,Sheet1!S71_ItemType,$AD:$AD)</f>
        <v>3989176.8400000008</v>
      </c>
      <c r="G8" s="1356">
        <f>-SUMIFS(Sheet1!S71_MonthlyOutcomeNov,Sheet1!S71_A2Code,$AC:$AC,Sheet1!S71_ItemType,$AD:$AD)</f>
        <v>2599214.2200000002</v>
      </c>
      <c r="H8" s="1361">
        <f>-SUMIFS(Sheet1!S71_MonthlyOutcomeDec,Sheet1!S71_A2Code,$AC:$AC,Sheet1!S71_ItemType,$AD:$AD)</f>
        <v>34985517.299999997</v>
      </c>
      <c r="I8" s="1360">
        <f>(P8-SUM(C8:H8))/6</f>
        <v>6245677.8033333318</v>
      </c>
      <c r="J8" s="1356">
        <f>(P8-SUM(C8:H8))/6</f>
        <v>6245677.8033333318</v>
      </c>
      <c r="K8" s="1356">
        <f>(P8-SUM(C8:H8))/6</f>
        <v>6245677.8033333318</v>
      </c>
      <c r="L8" s="1356">
        <f>(P8-SUM(C8:H8))/6</f>
        <v>6245677.8033333318</v>
      </c>
      <c r="M8" s="1356">
        <f>(P8-SUM(C8:H8))/6</f>
        <v>6245677.8033333318</v>
      </c>
      <c r="N8" s="506">
        <f t="shared" si="3"/>
        <v>6245677.803333357</v>
      </c>
      <c r="O8" s="538">
        <f t="shared" si="4"/>
        <v>123671688</v>
      </c>
      <c r="P8" s="238">
        <f>'B2-FinPerf SC'!K9</f>
        <v>123671688</v>
      </c>
      <c r="Q8" s="75">
        <f>'B2-FinPerf SC'!L9</f>
        <v>120122929</v>
      </c>
      <c r="R8" s="76">
        <f>'B2-FinPerf SC'!M9</f>
        <v>127225032</v>
      </c>
      <c r="S8" s="126"/>
      <c r="AC8" s="1336">
        <v>1200</v>
      </c>
      <c r="AD8" s="1345" t="s">
        <v>1811</v>
      </c>
    </row>
    <row r="9" spans="1:30" ht="12.75" customHeight="1" x14ac:dyDescent="0.25">
      <c r="A9" s="108" t="str">
        <f>'B2-FinPerf SC'!A10</f>
        <v>Internal audit</v>
      </c>
      <c r="B9" s="127"/>
      <c r="C9" s="1356">
        <f>-SUMIFS(Sheet1!S71_MonthlyOutcomeJul,Sheet1!S71_A2Code,$AC:$AC,Sheet1!S71_ItemType,$AD:$AD)</f>
        <v>0</v>
      </c>
      <c r="D9" s="1356">
        <f>-SUMIFS(Sheet1!S71_MonthlyOutcomeAug,Sheet1!S71_A2Code,$AC:$AC,Sheet1!S71_ItemType,$AD:$AD)</f>
        <v>0</v>
      </c>
      <c r="E9" s="1356">
        <f>-SUMIFS(Sheet1!S71_MonthlyOutcomeSep,Sheet1!S71_A2Code,$AC:$AC,Sheet1!S71_ItemType,$AD:$AD)</f>
        <v>0</v>
      </c>
      <c r="F9" s="1356">
        <f>-SUMIFS(Sheet1!S71_MonthlyOutcomeOct,Sheet1!S71_A2Code,$AC:$AC,Sheet1!S71_ItemType,$AD:$AD)</f>
        <v>0</v>
      </c>
      <c r="G9" s="1356">
        <f>-SUMIFS(Sheet1!S71_MonthlyOutcomeNov,Sheet1!S71_A2Code,$AC:$AC,Sheet1!S71_ItemType,$AD:$AD)</f>
        <v>0</v>
      </c>
      <c r="H9" s="1361">
        <f>-SUMIFS(Sheet1!S71_MonthlyOutcomeDec,Sheet1!S71_A2Code,$AC:$AC,Sheet1!S71_ItemType,$AD:$AD)</f>
        <v>0</v>
      </c>
      <c r="I9" s="1360">
        <f>(P9-SUM(C9:H9))/6</f>
        <v>0</v>
      </c>
      <c r="J9" s="1356">
        <f>(P9-SUM(C9:H9))/6</f>
        <v>0</v>
      </c>
      <c r="K9" s="1356">
        <f>(P9-SUM(C9:H9))/6</f>
        <v>0</v>
      </c>
      <c r="L9" s="1356">
        <f>(P9-SUM(C9:H9))/6</f>
        <v>0</v>
      </c>
      <c r="M9" s="1356">
        <f>(P9-SUM(C9:H9))/6</f>
        <v>0</v>
      </c>
      <c r="N9" s="506">
        <f t="shared" si="3"/>
        <v>0</v>
      </c>
      <c r="O9" s="538">
        <f t="shared" si="4"/>
        <v>0</v>
      </c>
      <c r="P9" s="238">
        <f>'B2-FinPerf SC'!K10</f>
        <v>0</v>
      </c>
      <c r="Q9" s="75">
        <f>'B2-FinPerf SC'!L10</f>
        <v>0</v>
      </c>
      <c r="R9" s="76">
        <f>'B2-FinPerf SC'!M10</f>
        <v>0</v>
      </c>
      <c r="S9" s="126"/>
      <c r="AC9" s="1336">
        <v>1300</v>
      </c>
      <c r="AD9" s="1345" t="s">
        <v>1811</v>
      </c>
    </row>
    <row r="10" spans="1:30" ht="12.75" customHeight="1" x14ac:dyDescent="0.25">
      <c r="A10" s="107" t="str">
        <f>'B2-FinPerf SC'!A11</f>
        <v>Community and public safety</v>
      </c>
      <c r="B10" s="127"/>
      <c r="C10" s="255">
        <f t="shared" ref="C10:M10" si="5">SUM(C11:C15)</f>
        <v>0</v>
      </c>
      <c r="D10" s="255">
        <f t="shared" si="5"/>
        <v>198822.34</v>
      </c>
      <c r="E10" s="255">
        <f t="shared" si="5"/>
        <v>190961.37999999998</v>
      </c>
      <c r="F10" s="255">
        <f t="shared" si="5"/>
        <v>189825.59000000122</v>
      </c>
      <c r="G10" s="255">
        <f t="shared" si="5"/>
        <v>197813.85</v>
      </c>
      <c r="H10" s="703">
        <f t="shared" si="5"/>
        <v>341137.12</v>
      </c>
      <c r="I10" s="704">
        <f t="shared" si="5"/>
        <v>120172.28666666646</v>
      </c>
      <c r="J10" s="255">
        <f t="shared" si="5"/>
        <v>120172.28666666646</v>
      </c>
      <c r="K10" s="255">
        <f t="shared" si="5"/>
        <v>120172.28666666646</v>
      </c>
      <c r="L10" s="255">
        <f t="shared" si="5"/>
        <v>120172.28666666646</v>
      </c>
      <c r="M10" s="255">
        <f t="shared" si="5"/>
        <v>120172.28666666646</v>
      </c>
      <c r="N10" s="514">
        <f t="shared" si="3"/>
        <v>120172.28666666686</v>
      </c>
      <c r="O10" s="553">
        <f t="shared" si="4"/>
        <v>1839594</v>
      </c>
      <c r="P10" s="474">
        <f>'B2-FinPerf SC'!K11</f>
        <v>1839594</v>
      </c>
      <c r="Q10" s="139">
        <f>'B2-FinPerf SC'!L11</f>
        <v>1840950</v>
      </c>
      <c r="R10" s="140">
        <f>'B2-FinPerf SC'!M11</f>
        <v>1842387</v>
      </c>
      <c r="S10" s="126"/>
      <c r="AD10" s="1345" t="s">
        <v>1811</v>
      </c>
    </row>
    <row r="11" spans="1:30" ht="12.75" customHeight="1" x14ac:dyDescent="0.25">
      <c r="A11" s="108" t="str">
        <f>'B2-FinPerf SC'!A12</f>
        <v>Community and social services</v>
      </c>
      <c r="B11" s="127"/>
      <c r="C11" s="1356">
        <f>-SUMIFS(Sheet1!S71_MonthlyOutcomeJul,Sheet1!S71_A2Code,$AC:$AC,Sheet1!S71_ItemType,$AD:$AD)</f>
        <v>0</v>
      </c>
      <c r="D11" s="1356">
        <f>-SUMIFS(Sheet1!S71_MonthlyOutcomeAug,Sheet1!S71_A2Code,$AC:$AC,Sheet1!S71_ItemType,$AD:$AD)</f>
        <v>198822.34</v>
      </c>
      <c r="E11" s="1356">
        <f>-SUMIFS(Sheet1!S71_MonthlyOutcomeSep,Sheet1!S71_A2Code,$AC:$AC,Sheet1!S71_ItemType,$AD:$AD)</f>
        <v>190961.37999999998</v>
      </c>
      <c r="F11" s="1356">
        <f>-SUMIFS(Sheet1!S71_MonthlyOutcomeOct,Sheet1!S71_A2Code,$AC:$AC,Sheet1!S71_ItemType,$AD:$AD)</f>
        <v>189825.59000000122</v>
      </c>
      <c r="G11" s="1356">
        <f>-SUMIFS(Sheet1!S71_MonthlyOutcomeNov,Sheet1!S71_A2Code,$AC:$AC,Sheet1!S71_ItemType,$AD:$AD)</f>
        <v>197813.85</v>
      </c>
      <c r="H11" s="1361">
        <f>-SUMIFS(Sheet1!S71_MonthlyOutcomeDec,Sheet1!S71_A2Code,$AC:$AC,Sheet1!S71_ItemType,$AD:$AD)</f>
        <v>341137.12</v>
      </c>
      <c r="I11" s="1360">
        <f>(P11-SUM(C11:H11))/6</f>
        <v>120172.28666666646</v>
      </c>
      <c r="J11" s="1356">
        <f>(P11-SUM(C11:H11))/6</f>
        <v>120172.28666666646</v>
      </c>
      <c r="K11" s="1356">
        <f>(P11-SUM(C11:H11))/6</f>
        <v>120172.28666666646</v>
      </c>
      <c r="L11" s="1356">
        <f>(P11-SUM(C11:H11))/6</f>
        <v>120172.28666666646</v>
      </c>
      <c r="M11" s="1356">
        <f>(P11-SUM(C11:H11))/6</f>
        <v>120172.28666666646</v>
      </c>
      <c r="N11" s="506">
        <f t="shared" si="3"/>
        <v>120172.28666666686</v>
      </c>
      <c r="O11" s="538">
        <f t="shared" si="4"/>
        <v>1839594</v>
      </c>
      <c r="P11" s="238">
        <f>'B2-FinPerf SC'!K12</f>
        <v>1839594</v>
      </c>
      <c r="Q11" s="75">
        <f>'B2-FinPerf SC'!L12</f>
        <v>1840950</v>
      </c>
      <c r="R11" s="76">
        <f>'B2-FinPerf SC'!M12</f>
        <v>1842387</v>
      </c>
      <c r="S11" s="126"/>
      <c r="AC11" s="1336">
        <v>2100</v>
      </c>
      <c r="AD11" s="1345" t="s">
        <v>1811</v>
      </c>
    </row>
    <row r="12" spans="1:30" ht="12.75" customHeight="1" x14ac:dyDescent="0.25">
      <c r="A12" s="108" t="str">
        <f>'B2-FinPerf SC'!A13</f>
        <v>Sport and recreation</v>
      </c>
      <c r="B12" s="127"/>
      <c r="C12" s="1356">
        <f>-SUMIFS(Sheet1!S71_MonthlyOutcomeJul,Sheet1!S71_A2Code,$AC:$AC,Sheet1!S71_ItemType,$AD:$AD)</f>
        <v>0</v>
      </c>
      <c r="D12" s="1356">
        <f>-SUMIFS(Sheet1!S71_MonthlyOutcomeAug,Sheet1!S71_A2Code,$AC:$AC,Sheet1!S71_ItemType,$AD:$AD)</f>
        <v>0</v>
      </c>
      <c r="E12" s="1356">
        <f>-SUMIFS(Sheet1!S71_MonthlyOutcomeSep,Sheet1!S71_A2Code,$AC:$AC,Sheet1!S71_ItemType,$AD:$AD)</f>
        <v>0</v>
      </c>
      <c r="F12" s="1356">
        <f>-SUMIFS(Sheet1!S71_MonthlyOutcomeOct,Sheet1!S71_A2Code,$AC:$AC,Sheet1!S71_ItemType,$AD:$AD)</f>
        <v>0</v>
      </c>
      <c r="G12" s="1356">
        <f>-SUMIFS(Sheet1!S71_MonthlyOutcomeNov,Sheet1!S71_A2Code,$AC:$AC,Sheet1!S71_ItemType,$AD:$AD)</f>
        <v>0</v>
      </c>
      <c r="H12" s="1361">
        <f>-SUMIFS(Sheet1!S71_MonthlyOutcomeDec,Sheet1!S71_A2Code,$AC:$AC,Sheet1!S71_ItemType,$AD:$AD)</f>
        <v>0</v>
      </c>
      <c r="I12" s="1360">
        <f>(P12-SUM(C12:H12))/6</f>
        <v>0</v>
      </c>
      <c r="J12" s="1356">
        <f>(P12-SUM(C12:H12))/6</f>
        <v>0</v>
      </c>
      <c r="K12" s="1356">
        <f>(P12-SUM(C12:H12))/6</f>
        <v>0</v>
      </c>
      <c r="L12" s="1356">
        <f>(P12-SUM(C12:H12))/6</f>
        <v>0</v>
      </c>
      <c r="M12" s="1356">
        <f>(P12-SUM(C12:H12))/6</f>
        <v>0</v>
      </c>
      <c r="N12" s="506">
        <f t="shared" si="3"/>
        <v>0</v>
      </c>
      <c r="O12" s="538">
        <f t="shared" si="4"/>
        <v>0</v>
      </c>
      <c r="P12" s="238">
        <f>'B2-FinPerf SC'!K13</f>
        <v>0</v>
      </c>
      <c r="Q12" s="75">
        <f>'B2-FinPerf SC'!L13</f>
        <v>0</v>
      </c>
      <c r="R12" s="76">
        <f>'B2-FinPerf SC'!M13</f>
        <v>0</v>
      </c>
      <c r="S12" s="126"/>
      <c r="AC12" s="1336">
        <v>2200</v>
      </c>
      <c r="AD12" s="1345" t="s">
        <v>1811</v>
      </c>
    </row>
    <row r="13" spans="1:30" ht="12.75" customHeight="1" x14ac:dyDescent="0.25">
      <c r="A13" s="108" t="str">
        <f>'B2-FinPerf SC'!A14</f>
        <v>Public safety</v>
      </c>
      <c r="B13" s="127"/>
      <c r="C13" s="1356">
        <f>-SUMIFS(Sheet1!S71_MonthlyOutcomeJul,Sheet1!S71_A2Code,$AC:$AC,Sheet1!S71_ItemType,$AD:$AD)</f>
        <v>0</v>
      </c>
      <c r="D13" s="1356">
        <f>-SUMIFS(Sheet1!S71_MonthlyOutcomeAug,Sheet1!S71_A2Code,$AC:$AC,Sheet1!S71_ItemType,$AD:$AD)</f>
        <v>0</v>
      </c>
      <c r="E13" s="1356">
        <f>-SUMIFS(Sheet1!S71_MonthlyOutcomeSep,Sheet1!S71_A2Code,$AC:$AC,Sheet1!S71_ItemType,$AD:$AD)</f>
        <v>0</v>
      </c>
      <c r="F13" s="1356">
        <f>-SUMIFS(Sheet1!S71_MonthlyOutcomeOct,Sheet1!S71_A2Code,$AC:$AC,Sheet1!S71_ItemType,$AD:$AD)</f>
        <v>0</v>
      </c>
      <c r="G13" s="1356">
        <f>-SUMIFS(Sheet1!S71_MonthlyOutcomeNov,Sheet1!S71_A2Code,$AC:$AC,Sheet1!S71_ItemType,$AD:$AD)</f>
        <v>0</v>
      </c>
      <c r="H13" s="1361">
        <f>-SUMIFS(Sheet1!S71_MonthlyOutcomeDec,Sheet1!S71_A2Code,$AC:$AC,Sheet1!S71_ItemType,$AD:$AD)</f>
        <v>0</v>
      </c>
      <c r="I13" s="1360">
        <f>(P13-SUM(C13:H13))/6</f>
        <v>0</v>
      </c>
      <c r="J13" s="1356">
        <f>(P13-SUM(C13:H13))/6</f>
        <v>0</v>
      </c>
      <c r="K13" s="1356">
        <f>(P13-SUM(C13:H13))/6</f>
        <v>0</v>
      </c>
      <c r="L13" s="1356">
        <f>(P13-SUM(C13:H13))/6</f>
        <v>0</v>
      </c>
      <c r="M13" s="1356">
        <f>(P13-SUM(C13:H13))/6</f>
        <v>0</v>
      </c>
      <c r="N13" s="506">
        <f t="shared" si="3"/>
        <v>0</v>
      </c>
      <c r="O13" s="538">
        <f t="shared" si="4"/>
        <v>0</v>
      </c>
      <c r="P13" s="238">
        <f>'B2-FinPerf SC'!K14</f>
        <v>0</v>
      </c>
      <c r="Q13" s="75">
        <f>'B2-FinPerf SC'!L14</f>
        <v>0</v>
      </c>
      <c r="R13" s="76">
        <f>'B2-FinPerf SC'!M14</f>
        <v>0</v>
      </c>
      <c r="S13" s="126"/>
      <c r="AC13" s="1336">
        <v>2300</v>
      </c>
      <c r="AD13" s="1345" t="s">
        <v>1811</v>
      </c>
    </row>
    <row r="14" spans="1:30" ht="12.75" customHeight="1" x14ac:dyDescent="0.25">
      <c r="A14" s="108" t="str">
        <f>'B2-FinPerf SC'!A15</f>
        <v>Housing</v>
      </c>
      <c r="B14" s="127"/>
      <c r="C14" s="1356">
        <f>-SUMIFS(Sheet1!S71_MonthlyOutcomeJul,Sheet1!S71_A2Code,$AC:$AC,Sheet1!S71_ItemType,$AD:$AD)</f>
        <v>0</v>
      </c>
      <c r="D14" s="1356">
        <f>-SUMIFS(Sheet1!S71_MonthlyOutcomeAug,Sheet1!S71_A2Code,$AC:$AC,Sheet1!S71_ItemType,$AD:$AD)</f>
        <v>0</v>
      </c>
      <c r="E14" s="1356">
        <f>-SUMIFS(Sheet1!S71_MonthlyOutcomeSep,Sheet1!S71_A2Code,$AC:$AC,Sheet1!S71_ItemType,$AD:$AD)</f>
        <v>0</v>
      </c>
      <c r="F14" s="1356">
        <f>-SUMIFS(Sheet1!S71_MonthlyOutcomeOct,Sheet1!S71_A2Code,$AC:$AC,Sheet1!S71_ItemType,$AD:$AD)</f>
        <v>0</v>
      </c>
      <c r="G14" s="1356">
        <f>-SUMIFS(Sheet1!S71_MonthlyOutcomeNov,Sheet1!S71_A2Code,$AC:$AC,Sheet1!S71_ItemType,$AD:$AD)</f>
        <v>0</v>
      </c>
      <c r="H14" s="1361">
        <f>-SUMIFS(Sheet1!S71_MonthlyOutcomeDec,Sheet1!S71_A2Code,$AC:$AC,Sheet1!S71_ItemType,$AD:$AD)</f>
        <v>0</v>
      </c>
      <c r="I14" s="1360">
        <f>(P14-SUM(C14:H14))/6</f>
        <v>0</v>
      </c>
      <c r="J14" s="1356">
        <f>(P14-SUM(C14:H14))/6</f>
        <v>0</v>
      </c>
      <c r="K14" s="1356">
        <f>(P14-SUM(C14:H14))/6</f>
        <v>0</v>
      </c>
      <c r="L14" s="1356">
        <f>(P14-SUM(C14:H14))/6</f>
        <v>0</v>
      </c>
      <c r="M14" s="1356">
        <f>(P14-SUM(C14:H14))/6</f>
        <v>0</v>
      </c>
      <c r="N14" s="506">
        <f t="shared" si="3"/>
        <v>0</v>
      </c>
      <c r="O14" s="538">
        <f t="shared" si="4"/>
        <v>0</v>
      </c>
      <c r="P14" s="238">
        <f>'B2-FinPerf SC'!K15</f>
        <v>0</v>
      </c>
      <c r="Q14" s="75">
        <f>'B2-FinPerf SC'!L15</f>
        <v>0</v>
      </c>
      <c r="R14" s="76">
        <f>'B2-FinPerf SC'!M15</f>
        <v>0</v>
      </c>
      <c r="S14" s="126"/>
      <c r="AC14" s="1336">
        <v>2400</v>
      </c>
      <c r="AD14" s="1345" t="s">
        <v>1811</v>
      </c>
    </row>
    <row r="15" spans="1:30" ht="12.75" customHeight="1" x14ac:dyDescent="0.25">
      <c r="A15" s="108" t="str">
        <f>'B2-FinPerf SC'!A16</f>
        <v>Health</v>
      </c>
      <c r="B15" s="127"/>
      <c r="C15" s="1356">
        <f>-SUMIFS(Sheet1!S71_MonthlyOutcomeJul,Sheet1!S71_A2Code,$AC:$AC,Sheet1!S71_ItemType,$AD:$AD)</f>
        <v>0</v>
      </c>
      <c r="D15" s="1356">
        <f>-SUMIFS(Sheet1!S71_MonthlyOutcomeAug,Sheet1!S71_A2Code,$AC:$AC,Sheet1!S71_ItemType,$AD:$AD)</f>
        <v>0</v>
      </c>
      <c r="E15" s="1356">
        <f>-SUMIFS(Sheet1!S71_MonthlyOutcomeSep,Sheet1!S71_A2Code,$AC:$AC,Sheet1!S71_ItemType,$AD:$AD)</f>
        <v>0</v>
      </c>
      <c r="F15" s="1356">
        <f>-SUMIFS(Sheet1!S71_MonthlyOutcomeOct,Sheet1!S71_A2Code,$AC:$AC,Sheet1!S71_ItemType,$AD:$AD)</f>
        <v>0</v>
      </c>
      <c r="G15" s="1356">
        <f>-SUMIFS(Sheet1!S71_MonthlyOutcomeNov,Sheet1!S71_A2Code,$AC:$AC,Sheet1!S71_ItemType,$AD:$AD)</f>
        <v>0</v>
      </c>
      <c r="H15" s="1361">
        <f>-SUMIFS(Sheet1!S71_MonthlyOutcomeDec,Sheet1!S71_A2Code,$AC:$AC,Sheet1!S71_ItemType,$AD:$AD)</f>
        <v>0</v>
      </c>
      <c r="I15" s="1360">
        <f>(P15-SUM(C15:H15))/6</f>
        <v>0</v>
      </c>
      <c r="J15" s="1356">
        <f>(P15-SUM(C15:H15))/6</f>
        <v>0</v>
      </c>
      <c r="K15" s="1356">
        <f>(P15-SUM(C15:H15))/6</f>
        <v>0</v>
      </c>
      <c r="L15" s="1356">
        <f>(P15-SUM(C15:H15))/6</f>
        <v>0</v>
      </c>
      <c r="M15" s="1356">
        <f>(P15-SUM(C15:H15))/6</f>
        <v>0</v>
      </c>
      <c r="N15" s="506">
        <f t="shared" si="3"/>
        <v>0</v>
      </c>
      <c r="O15" s="538">
        <f t="shared" si="4"/>
        <v>0</v>
      </c>
      <c r="P15" s="238">
        <f>'B2-FinPerf SC'!K16</f>
        <v>0</v>
      </c>
      <c r="Q15" s="75">
        <f>'B2-FinPerf SC'!L16</f>
        <v>0</v>
      </c>
      <c r="R15" s="76">
        <f>'B2-FinPerf SC'!M16</f>
        <v>0</v>
      </c>
      <c r="S15" s="126"/>
      <c r="AC15" s="1336">
        <v>2500</v>
      </c>
      <c r="AD15" s="1345" t="s">
        <v>1811</v>
      </c>
    </row>
    <row r="16" spans="1:30" ht="12.75" customHeight="1" x14ac:dyDescent="0.25">
      <c r="A16" s="107" t="str">
        <f>'B2-FinPerf SC'!A17</f>
        <v>Economic and environmental services</v>
      </c>
      <c r="B16" s="127"/>
      <c r="C16" s="255">
        <f t="shared" ref="C16:M16" si="6">SUM(C17:C19)</f>
        <v>39239.750000000007</v>
      </c>
      <c r="D16" s="255">
        <f t="shared" si="6"/>
        <v>48536.39</v>
      </c>
      <c r="E16" s="255">
        <f t="shared" si="6"/>
        <v>16622.27</v>
      </c>
      <c r="F16" s="255">
        <f t="shared" si="6"/>
        <v>780</v>
      </c>
      <c r="G16" s="255">
        <f t="shared" si="6"/>
        <v>11056.529999999999</v>
      </c>
      <c r="H16" s="703">
        <f t="shared" si="6"/>
        <v>2254590.3200000003</v>
      </c>
      <c r="I16" s="704">
        <f t="shared" si="6"/>
        <v>20723.456666666629</v>
      </c>
      <c r="J16" s="255">
        <f t="shared" si="6"/>
        <v>20723.456666666629</v>
      </c>
      <c r="K16" s="255">
        <f t="shared" si="6"/>
        <v>20723.456666666629</v>
      </c>
      <c r="L16" s="255">
        <f t="shared" si="6"/>
        <v>20723.456666666629</v>
      </c>
      <c r="M16" s="255">
        <f t="shared" si="6"/>
        <v>20723.456666666629</v>
      </c>
      <c r="N16" s="514">
        <f t="shared" si="3"/>
        <v>20723.456666667014</v>
      </c>
      <c r="O16" s="553">
        <f t="shared" si="4"/>
        <v>2495166</v>
      </c>
      <c r="P16" s="474">
        <f>'B2-FinPerf SC'!K17</f>
        <v>2495166</v>
      </c>
      <c r="Q16" s="139">
        <f>'B2-FinPerf SC'!L17</f>
        <v>1017703</v>
      </c>
      <c r="R16" s="140">
        <f>'B2-FinPerf SC'!M17</f>
        <v>1068906</v>
      </c>
      <c r="S16" s="126"/>
      <c r="AD16" s="1345" t="s">
        <v>1811</v>
      </c>
    </row>
    <row r="17" spans="1:30" ht="12.75" customHeight="1" x14ac:dyDescent="0.25">
      <c r="A17" s="108" t="str">
        <f>'B2-FinPerf SC'!A18</f>
        <v>Planning and development</v>
      </c>
      <c r="B17" s="127"/>
      <c r="C17" s="1356">
        <f>-SUMIFS(Sheet1!S71_MonthlyOutcomeJul,Sheet1!S71_A2Code,$AC:$AC,Sheet1!S71_ItemType,$AD:$AD)</f>
        <v>39239.750000000007</v>
      </c>
      <c r="D17" s="1356">
        <f>-SUMIFS(Sheet1!S71_MonthlyOutcomeAug,Sheet1!S71_A2Code,$AC:$AC,Sheet1!S71_ItemType,$AD:$AD)</f>
        <v>48536.39</v>
      </c>
      <c r="E17" s="1356">
        <f>-SUMIFS(Sheet1!S71_MonthlyOutcomeSep,Sheet1!S71_A2Code,$AC:$AC,Sheet1!S71_ItemType,$AD:$AD)</f>
        <v>16622.27</v>
      </c>
      <c r="F17" s="1356">
        <f>-SUMIFS(Sheet1!S71_MonthlyOutcomeOct,Sheet1!S71_A2Code,$AC:$AC,Sheet1!S71_ItemType,$AD:$AD)</f>
        <v>780</v>
      </c>
      <c r="G17" s="1356">
        <f>-SUMIFS(Sheet1!S71_MonthlyOutcomeNov,Sheet1!S71_A2Code,$AC:$AC,Sheet1!S71_ItemType,$AD:$AD)</f>
        <v>11056.529999999999</v>
      </c>
      <c r="H17" s="1361">
        <f>-SUMIFS(Sheet1!S71_MonthlyOutcomeDec,Sheet1!S71_A2Code,$AC:$AC,Sheet1!S71_ItemType,$AD:$AD)</f>
        <v>2254590.3200000003</v>
      </c>
      <c r="I17" s="1360">
        <f>(P17-SUM(C17:H17))/6</f>
        <v>15723.456666666627</v>
      </c>
      <c r="J17" s="1356">
        <f>(P17-SUM(C17:H17))/6</f>
        <v>15723.456666666627</v>
      </c>
      <c r="K17" s="1356">
        <f>(P17-SUM(C17:H17))/6</f>
        <v>15723.456666666627</v>
      </c>
      <c r="L17" s="1356">
        <f>(P17-SUM(C17:H17))/6</f>
        <v>15723.456666666627</v>
      </c>
      <c r="M17" s="1356">
        <f>(P17-SUM(C17:H17))/6</f>
        <v>15723.456666666627</v>
      </c>
      <c r="N17" s="506">
        <f t="shared" si="3"/>
        <v>15723.456666667014</v>
      </c>
      <c r="O17" s="538">
        <f t="shared" si="4"/>
        <v>2465166</v>
      </c>
      <c r="P17" s="238">
        <f>'B2-FinPerf SC'!K18</f>
        <v>2465166</v>
      </c>
      <c r="Q17" s="75">
        <f>'B2-FinPerf SC'!L18</f>
        <v>985903</v>
      </c>
      <c r="R17" s="76">
        <f>'B2-FinPerf SC'!M18</f>
        <v>1035198</v>
      </c>
      <c r="S17" s="126"/>
      <c r="AC17" s="1336">
        <v>3100</v>
      </c>
      <c r="AD17" s="1345" t="s">
        <v>1811</v>
      </c>
    </row>
    <row r="18" spans="1:30" ht="12.75" customHeight="1" x14ac:dyDescent="0.25">
      <c r="A18" s="108" t="str">
        <f>'B2-FinPerf SC'!A19</f>
        <v>Road transport</v>
      </c>
      <c r="B18" s="127"/>
      <c r="C18" s="1356">
        <f>-SUMIFS(Sheet1!S71_MonthlyOutcomeJul,Sheet1!S71_A2Code,$AC:$AC,Sheet1!S71_ItemType,$AD:$AD)</f>
        <v>0</v>
      </c>
      <c r="D18" s="1356">
        <f>-SUMIFS(Sheet1!S71_MonthlyOutcomeAug,Sheet1!S71_A2Code,$AC:$AC,Sheet1!S71_ItemType,$AD:$AD)</f>
        <v>0</v>
      </c>
      <c r="E18" s="1356">
        <f>-SUMIFS(Sheet1!S71_MonthlyOutcomeSep,Sheet1!S71_A2Code,$AC:$AC,Sheet1!S71_ItemType,$AD:$AD)</f>
        <v>0</v>
      </c>
      <c r="F18" s="1356">
        <f>-SUMIFS(Sheet1!S71_MonthlyOutcomeOct,Sheet1!S71_A2Code,$AC:$AC,Sheet1!S71_ItemType,$AD:$AD)</f>
        <v>0</v>
      </c>
      <c r="G18" s="1356">
        <f>-SUMIFS(Sheet1!S71_MonthlyOutcomeNov,Sheet1!S71_A2Code,$AC:$AC,Sheet1!S71_ItemType,$AD:$AD)</f>
        <v>0</v>
      </c>
      <c r="H18" s="1361">
        <f>-SUMIFS(Sheet1!S71_MonthlyOutcomeDec,Sheet1!S71_A2Code,$AC:$AC,Sheet1!S71_ItemType,$AD:$AD)</f>
        <v>0</v>
      </c>
      <c r="I18" s="1360">
        <f>(P18-SUM(C18:H18))/6</f>
        <v>5000</v>
      </c>
      <c r="J18" s="1356">
        <f>(P18-SUM(C18:H18))/6</f>
        <v>5000</v>
      </c>
      <c r="K18" s="1356">
        <f>(P18-SUM(C18:H18))/6</f>
        <v>5000</v>
      </c>
      <c r="L18" s="1356">
        <f>(P18-SUM(C18:H18))/6</f>
        <v>5000</v>
      </c>
      <c r="M18" s="1356">
        <f>(P18-SUM(C18:H18))/6</f>
        <v>5000</v>
      </c>
      <c r="N18" s="506">
        <f t="shared" si="3"/>
        <v>5000</v>
      </c>
      <c r="O18" s="538">
        <f t="shared" si="4"/>
        <v>30000</v>
      </c>
      <c r="P18" s="238">
        <f>'B2-FinPerf SC'!K19</f>
        <v>30000</v>
      </c>
      <c r="Q18" s="75">
        <f>'B2-FinPerf SC'!L19</f>
        <v>31800</v>
      </c>
      <c r="R18" s="76">
        <f>'B2-FinPerf SC'!M19</f>
        <v>33708</v>
      </c>
      <c r="S18" s="126"/>
      <c r="AC18" s="1336">
        <v>3200</v>
      </c>
      <c r="AD18" s="1345" t="s">
        <v>1811</v>
      </c>
    </row>
    <row r="19" spans="1:30" ht="12.75" customHeight="1" x14ac:dyDescent="0.25">
      <c r="A19" s="108" t="str">
        <f>'B2-FinPerf SC'!A20</f>
        <v>Environmental protection</v>
      </c>
      <c r="B19" s="127"/>
      <c r="C19" s="1356">
        <f>-SUMIFS(Sheet1!S71_MonthlyOutcomeJul,Sheet1!S71_A2Code,$AC:$AC,Sheet1!S71_ItemType,$AD:$AD)</f>
        <v>0</v>
      </c>
      <c r="D19" s="1356">
        <f>-SUMIFS(Sheet1!S71_MonthlyOutcomeAug,Sheet1!S71_A2Code,$AC:$AC,Sheet1!S71_ItemType,$AD:$AD)</f>
        <v>0</v>
      </c>
      <c r="E19" s="1356">
        <f>-SUMIFS(Sheet1!S71_MonthlyOutcomeSep,Sheet1!S71_A2Code,$AC:$AC,Sheet1!S71_ItemType,$AD:$AD)</f>
        <v>0</v>
      </c>
      <c r="F19" s="1356">
        <f>-SUMIFS(Sheet1!S71_MonthlyOutcomeOct,Sheet1!S71_A2Code,$AC:$AC,Sheet1!S71_ItemType,$AD:$AD)</f>
        <v>0</v>
      </c>
      <c r="G19" s="1356">
        <f>-SUMIFS(Sheet1!S71_MonthlyOutcomeNov,Sheet1!S71_A2Code,$AC:$AC,Sheet1!S71_ItemType,$AD:$AD)</f>
        <v>0</v>
      </c>
      <c r="H19" s="1361">
        <f>-SUMIFS(Sheet1!S71_MonthlyOutcomeDec,Sheet1!S71_A2Code,$AC:$AC,Sheet1!S71_ItemType,$AD:$AD)</f>
        <v>0</v>
      </c>
      <c r="I19" s="1360">
        <f>(P19-SUM(C19:H19))/6</f>
        <v>0</v>
      </c>
      <c r="J19" s="1356">
        <f>(P19-SUM(C19:H19))/6</f>
        <v>0</v>
      </c>
      <c r="K19" s="1356">
        <f>(P19-SUM(C19:H19))/6</f>
        <v>0</v>
      </c>
      <c r="L19" s="1356">
        <f>(P19-SUM(C19:H19))/6</f>
        <v>0</v>
      </c>
      <c r="M19" s="1356">
        <f>(P19-SUM(C19:H19))/6</f>
        <v>0</v>
      </c>
      <c r="N19" s="506">
        <f t="shared" si="3"/>
        <v>0</v>
      </c>
      <c r="O19" s="538">
        <f t="shared" si="4"/>
        <v>0</v>
      </c>
      <c r="P19" s="238">
        <f>'B2-FinPerf SC'!K20</f>
        <v>0</v>
      </c>
      <c r="Q19" s="75">
        <f>'B2-FinPerf SC'!L20</f>
        <v>0</v>
      </c>
      <c r="R19" s="76">
        <f>'B2-FinPerf SC'!M20</f>
        <v>0</v>
      </c>
      <c r="S19" s="126"/>
      <c r="AC19" s="1336">
        <v>3300</v>
      </c>
      <c r="AD19" s="1345" t="s">
        <v>1811</v>
      </c>
    </row>
    <row r="20" spans="1:30" ht="12.75" customHeight="1" x14ac:dyDescent="0.25">
      <c r="A20" s="107" t="str">
        <f>'B2-FinPerf SC'!A21</f>
        <v>Trading services</v>
      </c>
      <c r="B20" s="127"/>
      <c r="C20" s="255">
        <f>SUM(C21:C24)</f>
        <v>44457.98</v>
      </c>
      <c r="D20" s="255">
        <f t="shared" ref="D20:M20" si="7">SUM(D21:D24)</f>
        <v>44457.98</v>
      </c>
      <c r="E20" s="255">
        <f t="shared" si="7"/>
        <v>44457.98</v>
      </c>
      <c r="F20" s="255">
        <f t="shared" si="7"/>
        <v>44457.98</v>
      </c>
      <c r="G20" s="255">
        <f t="shared" si="7"/>
        <v>44457.98</v>
      </c>
      <c r="H20" s="703">
        <f t="shared" si="7"/>
        <v>44457.98</v>
      </c>
      <c r="I20" s="704">
        <f t="shared" si="7"/>
        <v>51256.52</v>
      </c>
      <c r="J20" s="255">
        <f t="shared" si="7"/>
        <v>51256.52</v>
      </c>
      <c r="K20" s="255">
        <f t="shared" si="7"/>
        <v>51256.52</v>
      </c>
      <c r="L20" s="255">
        <f t="shared" si="7"/>
        <v>51256.52</v>
      </c>
      <c r="M20" s="255">
        <f t="shared" si="7"/>
        <v>51256.52</v>
      </c>
      <c r="N20" s="514">
        <f>P20-SUM(C20:M20)</f>
        <v>51256.519999999902</v>
      </c>
      <c r="O20" s="553">
        <f t="shared" si="4"/>
        <v>574287</v>
      </c>
      <c r="P20" s="474">
        <f>'B2-FinPerf SC'!K21</f>
        <v>574287</v>
      </c>
      <c r="Q20" s="139">
        <f>'B2-FinPerf SC'!L21</f>
        <v>608744</v>
      </c>
      <c r="R20" s="140">
        <f>'B2-FinPerf SC'!M21</f>
        <v>645269</v>
      </c>
      <c r="S20" s="126"/>
      <c r="AD20" s="1345" t="s">
        <v>1811</v>
      </c>
    </row>
    <row r="21" spans="1:30" ht="12.75" customHeight="1" x14ac:dyDescent="0.25">
      <c r="A21" s="108" t="str">
        <f>'B2-FinPerf SC'!A22</f>
        <v>Energy sources</v>
      </c>
      <c r="B21" s="127"/>
      <c r="C21" s="1356">
        <f>-SUMIFS(Sheet1!S71_MonthlyOutcomeJul,Sheet1!S71_A2Code,$AC:$AC,Sheet1!S71_ItemType,$AD:$AD)</f>
        <v>0</v>
      </c>
      <c r="D21" s="1356">
        <f>-SUMIFS(Sheet1!S71_MonthlyOutcomeAug,Sheet1!S71_A2Code,$AC:$AC,Sheet1!S71_ItemType,$AD:$AD)</f>
        <v>0</v>
      </c>
      <c r="E21" s="1356">
        <f>-SUMIFS(Sheet1!S71_MonthlyOutcomeSep,Sheet1!S71_A2Code,$AC:$AC,Sheet1!S71_ItemType,$AD:$AD)</f>
        <v>0</v>
      </c>
      <c r="F21" s="1356">
        <f>-SUMIFS(Sheet1!S71_MonthlyOutcomeOct,Sheet1!S71_A2Code,$AC:$AC,Sheet1!S71_ItemType,$AD:$AD)</f>
        <v>0</v>
      </c>
      <c r="G21" s="1356">
        <f>-SUMIFS(Sheet1!S71_MonthlyOutcomeNov,Sheet1!S71_A2Code,$AC:$AC,Sheet1!S71_ItemType,$AD:$AD)</f>
        <v>0</v>
      </c>
      <c r="H21" s="1361">
        <f>-SUMIFS(Sheet1!S71_MonthlyOutcomeDec,Sheet1!S71_A2Code,$AC:$AC,Sheet1!S71_ItemType,$AD:$AD)</f>
        <v>0</v>
      </c>
      <c r="I21" s="1360">
        <f>(P21-SUM(C21:H21))/6</f>
        <v>0</v>
      </c>
      <c r="J21" s="1356">
        <f>(P21-SUM(C21:H21))/6</f>
        <v>0</v>
      </c>
      <c r="K21" s="1356">
        <f>(P21-SUM(C21:H21))/6</f>
        <v>0</v>
      </c>
      <c r="L21" s="1356">
        <f>(P21-SUM(C21:H21))/6</f>
        <v>0</v>
      </c>
      <c r="M21" s="1356">
        <f>(P21-SUM(C21:H21))/6</f>
        <v>0</v>
      </c>
      <c r="N21" s="506">
        <f t="shared" si="3"/>
        <v>0</v>
      </c>
      <c r="O21" s="538">
        <f t="shared" si="4"/>
        <v>0</v>
      </c>
      <c r="P21" s="238">
        <f>'B2-FinPerf SC'!K22</f>
        <v>0</v>
      </c>
      <c r="Q21" s="75">
        <f>'B2-FinPerf SC'!L22</f>
        <v>0</v>
      </c>
      <c r="R21" s="76">
        <f>'B2-FinPerf SC'!M22</f>
        <v>0</v>
      </c>
      <c r="S21" s="126"/>
      <c r="AC21" s="1336">
        <v>4100</v>
      </c>
      <c r="AD21" s="1345" t="s">
        <v>1811</v>
      </c>
    </row>
    <row r="22" spans="1:30" ht="12.75" customHeight="1" x14ac:dyDescent="0.25">
      <c r="A22" s="108" t="str">
        <f>'B2-FinPerf SC'!A23</f>
        <v>Water management</v>
      </c>
      <c r="B22" s="127"/>
      <c r="C22" s="1356">
        <f>-SUMIFS(Sheet1!S71_MonthlyOutcomeJul,Sheet1!S71_A2Code,$AC:$AC,Sheet1!S71_ItemType,$AD:$AD)</f>
        <v>0</v>
      </c>
      <c r="D22" s="1356">
        <f>-SUMIFS(Sheet1!S71_MonthlyOutcomeAug,Sheet1!S71_A2Code,$AC:$AC,Sheet1!S71_ItemType,$AD:$AD)</f>
        <v>0</v>
      </c>
      <c r="E22" s="1356">
        <f>-SUMIFS(Sheet1!S71_MonthlyOutcomeSep,Sheet1!S71_A2Code,$AC:$AC,Sheet1!S71_ItemType,$AD:$AD)</f>
        <v>0</v>
      </c>
      <c r="F22" s="1356">
        <f>-SUMIFS(Sheet1!S71_MonthlyOutcomeOct,Sheet1!S71_A2Code,$AC:$AC,Sheet1!S71_ItemType,$AD:$AD)</f>
        <v>0</v>
      </c>
      <c r="G22" s="1356">
        <f>-SUMIFS(Sheet1!S71_MonthlyOutcomeNov,Sheet1!S71_A2Code,$AC:$AC,Sheet1!S71_ItemType,$AD:$AD)</f>
        <v>0</v>
      </c>
      <c r="H22" s="1361">
        <f>-SUMIFS(Sheet1!S71_MonthlyOutcomeDec,Sheet1!S71_A2Code,$AC:$AC,Sheet1!S71_ItemType,$AD:$AD)</f>
        <v>0</v>
      </c>
      <c r="I22" s="1360">
        <f>(P22-SUM(C22:H22))/6</f>
        <v>0</v>
      </c>
      <c r="J22" s="1356">
        <f>(P22-SUM(C22:H22))/6</f>
        <v>0</v>
      </c>
      <c r="K22" s="1356">
        <f>(P22-SUM(C22:H22))/6</f>
        <v>0</v>
      </c>
      <c r="L22" s="1356">
        <f>(P22-SUM(C22:H22))/6</f>
        <v>0</v>
      </c>
      <c r="M22" s="1356">
        <f>(P22-SUM(C22:H22))/6</f>
        <v>0</v>
      </c>
      <c r="N22" s="506">
        <f t="shared" si="3"/>
        <v>0</v>
      </c>
      <c r="O22" s="538">
        <f t="shared" si="4"/>
        <v>0</v>
      </c>
      <c r="P22" s="238">
        <f>'B2-FinPerf SC'!K23</f>
        <v>0</v>
      </c>
      <c r="Q22" s="75">
        <f>'B2-FinPerf SC'!L23</f>
        <v>0</v>
      </c>
      <c r="R22" s="76">
        <f>'B2-FinPerf SC'!M23</f>
        <v>0</v>
      </c>
      <c r="S22" s="126"/>
      <c r="AC22" s="1336">
        <v>4200</v>
      </c>
      <c r="AD22" s="1345" t="s">
        <v>1811</v>
      </c>
    </row>
    <row r="23" spans="1:30" ht="12.75" customHeight="1" x14ac:dyDescent="0.25">
      <c r="A23" s="108" t="str">
        <f>'B2-FinPerf SC'!A24</f>
        <v>Waste water management</v>
      </c>
      <c r="B23" s="127"/>
      <c r="C23" s="1356">
        <f>-SUMIFS(Sheet1!S71_MonthlyOutcomeJul,Sheet1!S71_A2Code,$AC:$AC,Sheet1!S71_ItemType,$AD:$AD)</f>
        <v>0</v>
      </c>
      <c r="D23" s="1356">
        <f>-SUMIFS(Sheet1!S71_MonthlyOutcomeAug,Sheet1!S71_A2Code,$AC:$AC,Sheet1!S71_ItemType,$AD:$AD)</f>
        <v>0</v>
      </c>
      <c r="E23" s="1356">
        <f>-SUMIFS(Sheet1!S71_MonthlyOutcomeSep,Sheet1!S71_A2Code,$AC:$AC,Sheet1!S71_ItemType,$AD:$AD)</f>
        <v>0</v>
      </c>
      <c r="F23" s="1356">
        <f>-SUMIFS(Sheet1!S71_MonthlyOutcomeOct,Sheet1!S71_A2Code,$AC:$AC,Sheet1!S71_ItemType,$AD:$AD)</f>
        <v>0</v>
      </c>
      <c r="G23" s="1356">
        <f>-SUMIFS(Sheet1!S71_MonthlyOutcomeNov,Sheet1!S71_A2Code,$AC:$AC,Sheet1!S71_ItemType,$AD:$AD)</f>
        <v>0</v>
      </c>
      <c r="H23" s="1361">
        <f>-SUMIFS(Sheet1!S71_MonthlyOutcomeDec,Sheet1!S71_A2Code,$AC:$AC,Sheet1!S71_ItemType,$AD:$AD)</f>
        <v>0</v>
      </c>
      <c r="I23" s="1360">
        <f>(P23-SUM(C23:H23))/6</f>
        <v>0</v>
      </c>
      <c r="J23" s="1356">
        <f>(P23-SUM(C23:H23))/6</f>
        <v>0</v>
      </c>
      <c r="K23" s="1356">
        <f>(P23-SUM(C23:H23))/6</f>
        <v>0</v>
      </c>
      <c r="L23" s="1356">
        <f>(P23-SUM(C23:H23))/6</f>
        <v>0</v>
      </c>
      <c r="M23" s="1356">
        <f>(P23-SUM(C23:H23))/6</f>
        <v>0</v>
      </c>
      <c r="N23" s="506">
        <f t="shared" si="3"/>
        <v>0</v>
      </c>
      <c r="O23" s="538">
        <f t="shared" si="4"/>
        <v>0</v>
      </c>
      <c r="P23" s="238">
        <f>'B2-FinPerf SC'!K24</f>
        <v>0</v>
      </c>
      <c r="Q23" s="75">
        <f>'B2-FinPerf SC'!L24</f>
        <v>0</v>
      </c>
      <c r="R23" s="76">
        <f>'B2-FinPerf SC'!M24</f>
        <v>0</v>
      </c>
      <c r="S23" s="126"/>
      <c r="AC23" s="1336">
        <v>4300</v>
      </c>
      <c r="AD23" s="1345" t="s">
        <v>1811</v>
      </c>
    </row>
    <row r="24" spans="1:30" ht="12.75" customHeight="1" x14ac:dyDescent="0.25">
      <c r="A24" s="108" t="str">
        <f>'B2-FinPerf SC'!A25</f>
        <v>Waste management</v>
      </c>
      <c r="B24" s="127"/>
      <c r="C24" s="1356">
        <f>-SUMIFS(Sheet1!S71_MonthlyOutcomeJul,Sheet1!S71_A2Code,$AC:$AC,Sheet1!S71_ItemType,$AD:$AD)</f>
        <v>44457.98</v>
      </c>
      <c r="D24" s="1356">
        <f>-SUMIFS(Sheet1!S71_MonthlyOutcomeAug,Sheet1!S71_A2Code,$AC:$AC,Sheet1!S71_ItemType,$AD:$AD)</f>
        <v>44457.98</v>
      </c>
      <c r="E24" s="1356">
        <f>-SUMIFS(Sheet1!S71_MonthlyOutcomeSep,Sheet1!S71_A2Code,$AC:$AC,Sheet1!S71_ItemType,$AD:$AD)</f>
        <v>44457.98</v>
      </c>
      <c r="F24" s="1356">
        <f>-SUMIFS(Sheet1!S71_MonthlyOutcomeOct,Sheet1!S71_A2Code,$AC:$AC,Sheet1!S71_ItemType,$AD:$AD)</f>
        <v>44457.98</v>
      </c>
      <c r="G24" s="1356">
        <f>-SUMIFS(Sheet1!S71_MonthlyOutcomeNov,Sheet1!S71_A2Code,$AC:$AC,Sheet1!S71_ItemType,$AD:$AD)</f>
        <v>44457.98</v>
      </c>
      <c r="H24" s="1361">
        <f>-SUMIFS(Sheet1!S71_MonthlyOutcomeDec,Sheet1!S71_A2Code,$AC:$AC,Sheet1!S71_ItemType,$AD:$AD)</f>
        <v>44457.98</v>
      </c>
      <c r="I24" s="1360">
        <f>(P24-SUM(C24:H24))/6</f>
        <v>51256.52</v>
      </c>
      <c r="J24" s="1356">
        <f>(P24-SUM(C24:H24))/6</f>
        <v>51256.52</v>
      </c>
      <c r="K24" s="1356">
        <f>(P24-SUM(C24:H24))/6</f>
        <v>51256.52</v>
      </c>
      <c r="L24" s="1356">
        <f>(P24-SUM(C24:H24))/6</f>
        <v>51256.52</v>
      </c>
      <c r="M24" s="1356">
        <f>(P24-SUM(C24:H24))/6</f>
        <v>51256.52</v>
      </c>
      <c r="N24" s="506">
        <f t="shared" si="3"/>
        <v>51256.519999999902</v>
      </c>
      <c r="O24" s="538">
        <f t="shared" si="4"/>
        <v>574287</v>
      </c>
      <c r="P24" s="238">
        <f>'B2-FinPerf SC'!K25</f>
        <v>574287</v>
      </c>
      <c r="Q24" s="75">
        <f>'B2-FinPerf SC'!L25</f>
        <v>608744</v>
      </c>
      <c r="R24" s="76">
        <f>'B2-FinPerf SC'!M25</f>
        <v>645269</v>
      </c>
      <c r="S24" s="126"/>
      <c r="AC24" s="1336">
        <v>4400</v>
      </c>
      <c r="AD24" s="1345" t="s">
        <v>1811</v>
      </c>
    </row>
    <row r="25" spans="1:30" ht="12.75" customHeight="1" x14ac:dyDescent="0.25">
      <c r="A25" s="107" t="str">
        <f>'B2-FinPerf SC'!A26</f>
        <v>Other</v>
      </c>
      <c r="B25" s="127"/>
      <c r="C25" s="1356">
        <f>-SUMIFS(Sheet1!S71_MonthlyOutcomeJul,Sheet1!S71_A2Code,$AC:$AC,Sheet1!S71_ItemType,$AD:$AD)</f>
        <v>346268.21</v>
      </c>
      <c r="D25" s="1356">
        <f>-SUMIFS(Sheet1!S71_MonthlyOutcomeAug,Sheet1!S71_A2Code,$AC:$AC,Sheet1!S71_ItemType,$AD:$AD)</f>
        <v>290126.39</v>
      </c>
      <c r="E25" s="1356">
        <f>-SUMIFS(Sheet1!S71_MonthlyOutcomeSep,Sheet1!S71_A2Code,$AC:$AC,Sheet1!S71_ItemType,$AD:$AD)</f>
        <v>347747.81000000006</v>
      </c>
      <c r="F25" s="1356">
        <f>-SUMIFS(Sheet1!S71_MonthlyOutcomeOct,Sheet1!S71_A2Code,$AC:$AC,Sheet1!S71_ItemType,$AD:$AD)</f>
        <v>477817.36</v>
      </c>
      <c r="G25" s="1356">
        <f>-SUMIFS(Sheet1!S71_MonthlyOutcomeNov,Sheet1!S71_A2Code,$AC:$AC,Sheet1!S71_ItemType,$AD:$AD)</f>
        <v>945406.74999999988</v>
      </c>
      <c r="H25" s="1361">
        <f>-SUMIFS(Sheet1!S71_MonthlyOutcomeDec,Sheet1!S71_A2Code,$AC:$AC,Sheet1!S71_ItemType,$AD:$AD)</f>
        <v>405995.71</v>
      </c>
      <c r="I25" s="1360">
        <f>(P25-SUM(C25:H25))/6</f>
        <v>718157.96166666655</v>
      </c>
      <c r="J25" s="1356">
        <f>(P25-SUM(C25:H25))/6</f>
        <v>718157.96166666655</v>
      </c>
      <c r="K25" s="1356">
        <f>(P25-SUM(C25:H25))/6</f>
        <v>718157.96166666655</v>
      </c>
      <c r="L25" s="1356">
        <f>(P25-SUM(C25:H25))/6</f>
        <v>718157.96166666655</v>
      </c>
      <c r="M25" s="1356">
        <f>(P25-SUM(C25:H25))/6</f>
        <v>718157.96166666655</v>
      </c>
      <c r="N25" s="514">
        <f t="shared" si="3"/>
        <v>718157.96166666597</v>
      </c>
      <c r="O25" s="553">
        <f t="shared" si="4"/>
        <v>7122310</v>
      </c>
      <c r="P25" s="474">
        <f>'B2-FinPerf SC'!K26</f>
        <v>7122310</v>
      </c>
      <c r="Q25" s="139">
        <f>'B2-FinPerf SC'!L26</f>
        <v>7548377</v>
      </c>
      <c r="R25" s="140">
        <f>'B2-FinPerf SC'!M26</f>
        <v>8001279</v>
      </c>
      <c r="S25" s="126"/>
      <c r="AC25" s="1336">
        <v>5000</v>
      </c>
      <c r="AD25" s="1345" t="s">
        <v>1811</v>
      </c>
    </row>
    <row r="26" spans="1:30" ht="12.75" customHeight="1" x14ac:dyDescent="0.25">
      <c r="A26" s="160" t="s">
        <v>1566</v>
      </c>
      <c r="B26" s="160"/>
      <c r="C26" s="112">
        <f>C6+C10+C16+C20+C25</f>
        <v>38952196.489999995</v>
      </c>
      <c r="D26" s="112">
        <f>D6+D10+D16+D20+D25</f>
        <v>3151764.3800000004</v>
      </c>
      <c r="E26" s="680">
        <f>E6+E10+E16+E20+E25</f>
        <v>4131450.4300000006</v>
      </c>
      <c r="F26" s="680">
        <f t="shared" ref="F26:R26" si="8">F6+F10+F16+F20+F25</f>
        <v>4702057.7700000023</v>
      </c>
      <c r="G26" s="680">
        <f t="shared" si="8"/>
        <v>3797949.33</v>
      </c>
      <c r="H26" s="684">
        <f t="shared" si="8"/>
        <v>38031698.429999992</v>
      </c>
      <c r="I26" s="677">
        <f t="shared" si="8"/>
        <v>7155988.0283333315</v>
      </c>
      <c r="J26" s="680">
        <f t="shared" si="8"/>
        <v>7155988.0283333315</v>
      </c>
      <c r="K26" s="680">
        <f t="shared" si="8"/>
        <v>7155988.0283333315</v>
      </c>
      <c r="L26" s="680">
        <f t="shared" si="8"/>
        <v>7155988.0283333315</v>
      </c>
      <c r="M26" s="680">
        <f t="shared" si="8"/>
        <v>7155988.0283333315</v>
      </c>
      <c r="N26" s="685">
        <f t="shared" si="8"/>
        <v>7155988.0283333566</v>
      </c>
      <c r="O26" s="686">
        <f t="shared" si="8"/>
        <v>135703045</v>
      </c>
      <c r="P26" s="677">
        <f t="shared" si="8"/>
        <v>135703045</v>
      </c>
      <c r="Q26" s="678">
        <f t="shared" si="8"/>
        <v>131138703</v>
      </c>
      <c r="R26" s="679">
        <f t="shared" si="8"/>
        <v>138782873</v>
      </c>
      <c r="S26" s="126"/>
    </row>
    <row r="27" spans="1:30" ht="5.0999999999999996" customHeight="1" x14ac:dyDescent="0.25">
      <c r="A27" s="83"/>
      <c r="B27" s="127"/>
      <c r="C27" s="238"/>
      <c r="D27" s="75"/>
      <c r="E27" s="75"/>
      <c r="F27" s="75"/>
      <c r="G27" s="75"/>
      <c r="H27" s="506"/>
      <c r="I27" s="238"/>
      <c r="J27" s="75"/>
      <c r="K27" s="75"/>
      <c r="L27" s="75"/>
      <c r="M27" s="75"/>
      <c r="N27" s="506"/>
      <c r="O27" s="538"/>
      <c r="P27" s="238"/>
      <c r="Q27" s="75"/>
      <c r="R27" s="76"/>
      <c r="S27" s="126"/>
    </row>
    <row r="28" spans="1:30" ht="12.75" customHeight="1" x14ac:dyDescent="0.25">
      <c r="A28" s="72" t="s">
        <v>1562</v>
      </c>
      <c r="B28" s="127"/>
      <c r="C28" s="238"/>
      <c r="D28" s="75"/>
      <c r="E28" s="75"/>
      <c r="F28" s="75"/>
      <c r="G28" s="75"/>
      <c r="H28" s="506"/>
      <c r="I28" s="238"/>
      <c r="J28" s="75"/>
      <c r="K28" s="75"/>
      <c r="L28" s="75"/>
      <c r="M28" s="75"/>
      <c r="N28" s="506"/>
      <c r="O28" s="538"/>
      <c r="P28" s="238"/>
      <c r="Q28" s="75"/>
      <c r="R28" s="76"/>
      <c r="S28" s="126"/>
    </row>
    <row r="29" spans="1:30" ht="12.75" customHeight="1" x14ac:dyDescent="0.25">
      <c r="A29" s="107" t="str">
        <f t="shared" ref="A29:A48" si="9">A6</f>
        <v>Governance and administration</v>
      </c>
      <c r="B29" s="127"/>
      <c r="C29" s="255">
        <f t="shared" ref="C29:M29" si="10">SUM(C30:C32)</f>
        <v>3014390</v>
      </c>
      <c r="D29" s="255">
        <f t="shared" si="10"/>
        <v>4147149.1499999994</v>
      </c>
      <c r="E29" s="255">
        <f t="shared" si="10"/>
        <v>3657573.6199999992</v>
      </c>
      <c r="F29" s="255">
        <f t="shared" si="10"/>
        <v>6192440.3099999987</v>
      </c>
      <c r="G29" s="255">
        <f t="shared" si="10"/>
        <v>4302320.8599999994</v>
      </c>
      <c r="H29" s="703">
        <f t="shared" si="10"/>
        <v>4509636.3100000005</v>
      </c>
      <c r="I29" s="704">
        <f t="shared" si="10"/>
        <v>8782505.125</v>
      </c>
      <c r="J29" s="255">
        <f t="shared" si="10"/>
        <v>8782505.125</v>
      </c>
      <c r="K29" s="255">
        <f t="shared" si="10"/>
        <v>8782505.125</v>
      </c>
      <c r="L29" s="255">
        <f t="shared" si="10"/>
        <v>8782505.125</v>
      </c>
      <c r="M29" s="255">
        <f t="shared" si="10"/>
        <v>8782505.125</v>
      </c>
      <c r="N29" s="514">
        <f t="shared" ref="N29:N48" si="11">P29-SUM(C29:M29)</f>
        <v>8782505.125</v>
      </c>
      <c r="O29" s="553">
        <f t="shared" ref="O29:O37" si="12">SUM(C29:N29)</f>
        <v>78518541</v>
      </c>
      <c r="P29" s="474">
        <f>'B2-FinPerf SC'!K30</f>
        <v>78518541</v>
      </c>
      <c r="Q29" s="139">
        <f>'B2-FinPerf SC'!L30</f>
        <v>74873961</v>
      </c>
      <c r="R29" s="140">
        <f>'B2-FinPerf SC'!M30</f>
        <v>79654696</v>
      </c>
      <c r="S29" s="126"/>
    </row>
    <row r="30" spans="1:30" ht="12.75" customHeight="1" x14ac:dyDescent="0.25">
      <c r="A30" s="108" t="str">
        <f t="shared" si="9"/>
        <v>Executive and council</v>
      </c>
      <c r="B30" s="127"/>
      <c r="C30" s="1356">
        <f>SUMIFS(Sheet1!S71_MonthlyOutcomeJul,Sheet1!S71_A2Code,$AC:$AC,Sheet1!S71_ItemType,$AD:$AD)</f>
        <v>1073456.78</v>
      </c>
      <c r="D30" s="1356">
        <f>SUMIFS(Sheet1!S71_MonthlyOutcomeAug,Sheet1!S71_A2Code,$AC:$AC,Sheet1!S71_ItemType,$AD:$AD)</f>
        <v>1702641.8000000003</v>
      </c>
      <c r="E30" s="1356">
        <f>SUMIFS(Sheet1!S71_MonthlyOutcomeSep,Sheet1!S71_A2Code,$AC:$AC,Sheet1!S71_ItemType,$AD:$AD)</f>
        <v>1060923.99</v>
      </c>
      <c r="F30" s="1356">
        <f>SUMIFS(Sheet1!S71_MonthlyOutcomeOct,Sheet1!S71_A2Code,$AC:$AC,Sheet1!S71_ItemType,$AD:$AD)</f>
        <v>1350895.3</v>
      </c>
      <c r="G30" s="1356">
        <f>SUMIFS(Sheet1!S71_MonthlyOutcomeNov,Sheet1!S71_A2Code,$AC:$AC,Sheet1!S71_ItemType,$AD:$AD)</f>
        <v>1657288.21</v>
      </c>
      <c r="H30" s="1361">
        <f>SUMIFS(Sheet1!S71_MonthlyOutcomeDec,Sheet1!S71_A2Code,$AC:$AC,Sheet1!S71_ItemType,$AD:$AD)</f>
        <v>1315393.08</v>
      </c>
      <c r="I30" s="1360">
        <f t="shared" ref="I30:I31" si="13">(P30-SUM(C30:H30))/6</f>
        <v>2206859.4733333332</v>
      </c>
      <c r="J30" s="1356">
        <f t="shared" ref="J30:J31" si="14">(P30-SUM(C30:H30))/6</f>
        <v>2206859.4733333332</v>
      </c>
      <c r="K30" s="1356">
        <f t="shared" ref="K30:K31" si="15">(P30-SUM(C30:H30))/6</f>
        <v>2206859.4733333332</v>
      </c>
      <c r="L30" s="1356">
        <f t="shared" ref="L30:L31" si="16">(P30-SUM(C30:H30))/6</f>
        <v>2206859.4733333332</v>
      </c>
      <c r="M30" s="1356">
        <f t="shared" ref="M30:M31" si="17">(P30-SUM(C30:H30))/6</f>
        <v>2206859.4733333332</v>
      </c>
      <c r="N30" s="506">
        <f t="shared" si="11"/>
        <v>2206859.4733333364</v>
      </c>
      <c r="O30" s="538">
        <f t="shared" si="12"/>
        <v>21401756</v>
      </c>
      <c r="P30" s="238">
        <f>'B2-FinPerf SC'!K31</f>
        <v>21401756</v>
      </c>
      <c r="Q30" s="75">
        <f>'B2-FinPerf SC'!L31</f>
        <v>20458851</v>
      </c>
      <c r="R30" s="76">
        <f>'B2-FinPerf SC'!M31</f>
        <v>21284098</v>
      </c>
      <c r="S30" s="126"/>
      <c r="AC30" s="1336">
        <v>1100</v>
      </c>
      <c r="AD30" s="1345" t="s">
        <v>1812</v>
      </c>
    </row>
    <row r="31" spans="1:30" ht="12.75" customHeight="1" x14ac:dyDescent="0.25">
      <c r="A31" s="108" t="str">
        <f t="shared" si="9"/>
        <v>Finance and administration</v>
      </c>
      <c r="B31" s="127"/>
      <c r="C31" s="1356">
        <f>SUMIFS(Sheet1!S71_MonthlyOutcomeJul,Sheet1!S71_A2Code,$AC:$AC,Sheet1!S71_ItemType,$AD:$AD)</f>
        <v>1940933.2199999997</v>
      </c>
      <c r="D31" s="1356">
        <f>SUMIFS(Sheet1!S71_MonthlyOutcomeAug,Sheet1!S71_A2Code,$AC:$AC,Sheet1!S71_ItemType,$AD:$AD)</f>
        <v>2444507.3499999992</v>
      </c>
      <c r="E31" s="1356">
        <f>SUMIFS(Sheet1!S71_MonthlyOutcomeSep,Sheet1!S71_A2Code,$AC:$AC,Sheet1!S71_ItemType,$AD:$AD)</f>
        <v>2596649.629999999</v>
      </c>
      <c r="F31" s="1356">
        <f>SUMIFS(Sheet1!S71_MonthlyOutcomeOct,Sheet1!S71_A2Code,$AC:$AC,Sheet1!S71_ItemType,$AD:$AD)</f>
        <v>4841545.0099999988</v>
      </c>
      <c r="G31" s="1356">
        <f>SUMIFS(Sheet1!S71_MonthlyOutcomeNov,Sheet1!S71_A2Code,$AC:$AC,Sheet1!S71_ItemType,$AD:$AD)</f>
        <v>2645032.65</v>
      </c>
      <c r="H31" s="1361">
        <f>SUMIFS(Sheet1!S71_MonthlyOutcomeDec,Sheet1!S71_A2Code,$AC:$AC,Sheet1!S71_ItemType,$AD:$AD)</f>
        <v>3194243.23</v>
      </c>
      <c r="I31" s="1360">
        <f t="shared" si="13"/>
        <v>6575645.6516666673</v>
      </c>
      <c r="J31" s="1356">
        <f t="shared" si="14"/>
        <v>6575645.6516666673</v>
      </c>
      <c r="K31" s="1356">
        <f t="shared" si="15"/>
        <v>6575645.6516666673</v>
      </c>
      <c r="L31" s="1356">
        <f t="shared" si="16"/>
        <v>6575645.6516666673</v>
      </c>
      <c r="M31" s="1356">
        <f t="shared" si="17"/>
        <v>6575645.6516666673</v>
      </c>
      <c r="N31" s="506">
        <f t="shared" si="11"/>
        <v>6575645.6516666561</v>
      </c>
      <c r="O31" s="538">
        <f t="shared" si="12"/>
        <v>57116785</v>
      </c>
      <c r="P31" s="238">
        <f>'B2-FinPerf SC'!K32</f>
        <v>57116785</v>
      </c>
      <c r="Q31" s="75">
        <f>'B2-FinPerf SC'!L32</f>
        <v>54415110</v>
      </c>
      <c r="R31" s="76">
        <f>'B2-FinPerf SC'!M32</f>
        <v>58370598</v>
      </c>
      <c r="S31" s="126"/>
      <c r="AC31" s="1336">
        <v>1200</v>
      </c>
      <c r="AD31" s="1345" t="s">
        <v>1812</v>
      </c>
    </row>
    <row r="32" spans="1:30" ht="12.75" customHeight="1" x14ac:dyDescent="0.25">
      <c r="A32" s="108" t="str">
        <f t="shared" si="9"/>
        <v>Internal audit</v>
      </c>
      <c r="B32" s="127"/>
      <c r="C32" s="1356">
        <f>SUMIFS(Sheet1!S71_MonthlyOutcomeJul,Sheet1!S71_A2Code,$AC:$AC,Sheet1!S71_ItemType,$AD:$AD)</f>
        <v>0</v>
      </c>
      <c r="D32" s="1356">
        <f>SUMIFS(Sheet1!S71_MonthlyOutcomeAug,Sheet1!S71_A2Code,$AC:$AC,Sheet1!S71_ItemType,$AD:$AD)</f>
        <v>0</v>
      </c>
      <c r="E32" s="1356">
        <f>SUMIFS(Sheet1!S71_MonthlyOutcomeSep,Sheet1!S71_A2Code,$AC:$AC,Sheet1!S71_ItemType,$AD:$AD)</f>
        <v>0</v>
      </c>
      <c r="F32" s="1356">
        <f>SUMIFS(Sheet1!S71_MonthlyOutcomeOct,Sheet1!S71_A2Code,$AC:$AC,Sheet1!S71_ItemType,$AD:$AD)</f>
        <v>0</v>
      </c>
      <c r="G32" s="1356">
        <f>SUMIFS(Sheet1!S71_MonthlyOutcomeNov,Sheet1!S71_A2Code,$AC:$AC,Sheet1!S71_ItemType,$AD:$AD)</f>
        <v>0</v>
      </c>
      <c r="H32" s="1361">
        <f>SUMIFS(Sheet1!S71_MonthlyOutcomeDec,Sheet1!S71_A2Code,$AC:$AC,Sheet1!S71_ItemType,$AD:$AD)</f>
        <v>0</v>
      </c>
      <c r="I32" s="1360">
        <f>(P32-SUM(C32:H32))/6</f>
        <v>0</v>
      </c>
      <c r="J32" s="1356">
        <f>(P32-SUM(C32:H32))/6</f>
        <v>0</v>
      </c>
      <c r="K32" s="1356">
        <f>(P32-SUM(C32:H32))/6</f>
        <v>0</v>
      </c>
      <c r="L32" s="1356">
        <f>(P32-SUM(C32:H32))/6</f>
        <v>0</v>
      </c>
      <c r="M32" s="1356">
        <f>(P32-SUM(C32:H32))/6</f>
        <v>0</v>
      </c>
      <c r="N32" s="506">
        <f t="shared" si="11"/>
        <v>0</v>
      </c>
      <c r="O32" s="538">
        <f t="shared" si="12"/>
        <v>0</v>
      </c>
      <c r="P32" s="238">
        <f>'B2-FinPerf SC'!K33</f>
        <v>0</v>
      </c>
      <c r="Q32" s="75">
        <f>'B2-FinPerf SC'!L33</f>
        <v>0</v>
      </c>
      <c r="R32" s="76">
        <f>'B2-FinPerf SC'!M33</f>
        <v>0</v>
      </c>
      <c r="S32" s="126"/>
      <c r="AC32" s="1336">
        <v>1300</v>
      </c>
      <c r="AD32" s="1345" t="s">
        <v>1812</v>
      </c>
    </row>
    <row r="33" spans="1:30" ht="12.75" customHeight="1" x14ac:dyDescent="0.25">
      <c r="A33" s="107" t="str">
        <f t="shared" si="9"/>
        <v>Community and public safety</v>
      </c>
      <c r="B33" s="127"/>
      <c r="C33" s="255">
        <f t="shared" ref="C33:M33" si="18">SUM(C34:C38)</f>
        <v>1187099.81</v>
      </c>
      <c r="D33" s="255">
        <f t="shared" si="18"/>
        <v>1811091.2800000005</v>
      </c>
      <c r="E33" s="255">
        <f t="shared" si="18"/>
        <v>1371146.6300000004</v>
      </c>
      <c r="F33" s="255">
        <f t="shared" si="18"/>
        <v>1484359.5999999999</v>
      </c>
      <c r="G33" s="255">
        <f t="shared" si="18"/>
        <v>1825364.2800000003</v>
      </c>
      <c r="H33" s="703">
        <f t="shared" si="18"/>
        <v>3493505.72</v>
      </c>
      <c r="I33" s="704">
        <f t="shared" si="18"/>
        <v>2567276.7799999998</v>
      </c>
      <c r="J33" s="255">
        <f t="shared" si="18"/>
        <v>2567276.7799999998</v>
      </c>
      <c r="K33" s="255">
        <f t="shared" si="18"/>
        <v>2567276.7799999998</v>
      </c>
      <c r="L33" s="255">
        <f t="shared" si="18"/>
        <v>2567276.7799999998</v>
      </c>
      <c r="M33" s="255">
        <f t="shared" si="18"/>
        <v>2567276.7799999998</v>
      </c>
      <c r="N33" s="514">
        <f t="shared" si="11"/>
        <v>2567276.7799999975</v>
      </c>
      <c r="O33" s="553">
        <f t="shared" si="12"/>
        <v>26576228</v>
      </c>
      <c r="P33" s="474">
        <f>'B2-FinPerf SC'!K34</f>
        <v>26576228</v>
      </c>
      <c r="Q33" s="139">
        <f>'B2-FinPerf SC'!L34</f>
        <v>26463692</v>
      </c>
      <c r="R33" s="140">
        <f>'B2-FinPerf SC'!M34</f>
        <v>28072262</v>
      </c>
      <c r="S33" s="126"/>
      <c r="AD33" s="1345" t="s">
        <v>1812</v>
      </c>
    </row>
    <row r="34" spans="1:30" ht="12.75" customHeight="1" x14ac:dyDescent="0.25">
      <c r="A34" s="108" t="str">
        <f t="shared" si="9"/>
        <v>Community and social services</v>
      </c>
      <c r="B34" s="127"/>
      <c r="C34" s="1356">
        <f>SUMIFS(Sheet1!S71_MonthlyOutcomeJul,Sheet1!S71_A2Code,$AC:$AC,Sheet1!S71_ItemType,$AD:$AD)</f>
        <v>1175849.81</v>
      </c>
      <c r="D34" s="1356">
        <f>SUMIFS(Sheet1!S71_MonthlyOutcomeAug,Sheet1!S71_A2Code,$AC:$AC,Sheet1!S71_ItemType,$AD:$AD)</f>
        <v>1811091.2800000005</v>
      </c>
      <c r="E34" s="1356">
        <f>SUMIFS(Sheet1!S71_MonthlyOutcomeSep,Sheet1!S71_A2Code,$AC:$AC,Sheet1!S71_ItemType,$AD:$AD)</f>
        <v>1351596.6300000004</v>
      </c>
      <c r="F34" s="1356">
        <f>SUMIFS(Sheet1!S71_MonthlyOutcomeOct,Sheet1!S71_A2Code,$AC:$AC,Sheet1!S71_ItemType,$AD:$AD)</f>
        <v>1051476.22</v>
      </c>
      <c r="G34" s="1356">
        <f>SUMIFS(Sheet1!S71_MonthlyOutcomeNov,Sheet1!S71_A2Code,$AC:$AC,Sheet1!S71_ItemType,$AD:$AD)</f>
        <v>1700904.3300000003</v>
      </c>
      <c r="H34" s="1361">
        <f>SUMIFS(Sheet1!S71_MonthlyOutcomeDec,Sheet1!S71_A2Code,$AC:$AC,Sheet1!S71_ItemType,$AD:$AD)</f>
        <v>2967737.2</v>
      </c>
      <c r="I34" s="1360">
        <f t="shared" ref="I34:I38" si="19">(P34-SUM(C34:H34))/6</f>
        <v>2328364.5883333334</v>
      </c>
      <c r="J34" s="1356">
        <f t="shared" ref="J34:J38" si="20">(P34-SUM(C34:H34))/6</f>
        <v>2328364.5883333334</v>
      </c>
      <c r="K34" s="1356">
        <f t="shared" ref="K34:K38" si="21">(P34-SUM(C34:H34))/6</f>
        <v>2328364.5883333334</v>
      </c>
      <c r="L34" s="1356">
        <f t="shared" ref="L34:L38" si="22">(P34-SUM(C34:H34))/6</f>
        <v>2328364.5883333334</v>
      </c>
      <c r="M34" s="1356">
        <f t="shared" ref="M34:M38" si="23">(P34-SUM(C34:H34))/6</f>
        <v>2328364.5883333334</v>
      </c>
      <c r="N34" s="506">
        <f t="shared" si="11"/>
        <v>2328364.588333331</v>
      </c>
      <c r="O34" s="538">
        <f t="shared" si="12"/>
        <v>24028843</v>
      </c>
      <c r="P34" s="238">
        <f>'B2-FinPerf SC'!K35</f>
        <v>24028843</v>
      </c>
      <c r="Q34" s="75">
        <f>'B2-FinPerf SC'!L35</f>
        <v>22603592</v>
      </c>
      <c r="R34" s="76">
        <f>'B2-FinPerf SC'!M35</f>
        <v>23914556</v>
      </c>
      <c r="S34" s="126"/>
      <c r="AC34" s="1336">
        <v>2100</v>
      </c>
      <c r="AD34" s="1345" t="s">
        <v>1812</v>
      </c>
    </row>
    <row r="35" spans="1:30" ht="12.75" customHeight="1" x14ac:dyDescent="0.25">
      <c r="A35" s="108" t="str">
        <f t="shared" si="9"/>
        <v>Sport and recreation</v>
      </c>
      <c r="B35" s="127"/>
      <c r="C35" s="1356">
        <f>SUMIFS(Sheet1!S71_MonthlyOutcomeJul,Sheet1!S71_A2Code,$AC:$AC,Sheet1!S71_ItemType,$AD:$AD)</f>
        <v>0</v>
      </c>
      <c r="D35" s="1356">
        <f>SUMIFS(Sheet1!S71_MonthlyOutcomeAug,Sheet1!S71_A2Code,$AC:$AC,Sheet1!S71_ItemType,$AD:$AD)</f>
        <v>0</v>
      </c>
      <c r="E35" s="1356">
        <f>SUMIFS(Sheet1!S71_MonthlyOutcomeSep,Sheet1!S71_A2Code,$AC:$AC,Sheet1!S71_ItemType,$AD:$AD)</f>
        <v>19550</v>
      </c>
      <c r="F35" s="1356">
        <f>SUMIFS(Sheet1!S71_MonthlyOutcomeOct,Sheet1!S71_A2Code,$AC:$AC,Sheet1!S71_ItemType,$AD:$AD)</f>
        <v>429553.18</v>
      </c>
      <c r="G35" s="1356">
        <f>SUMIFS(Sheet1!S71_MonthlyOutcomeNov,Sheet1!S71_A2Code,$AC:$AC,Sheet1!S71_ItemType,$AD:$AD)</f>
        <v>124459.95</v>
      </c>
      <c r="H35" s="1361">
        <f>SUMIFS(Sheet1!S71_MonthlyOutcomeDec,Sheet1!S71_A2Code,$AC:$AC,Sheet1!S71_ItemType,$AD:$AD)</f>
        <v>430183.52</v>
      </c>
      <c r="I35" s="1360">
        <f t="shared" si="19"/>
        <v>225625.55833333335</v>
      </c>
      <c r="J35" s="1356">
        <f t="shared" si="20"/>
        <v>225625.55833333335</v>
      </c>
      <c r="K35" s="1356">
        <f t="shared" si="21"/>
        <v>225625.55833333335</v>
      </c>
      <c r="L35" s="1356">
        <f t="shared" si="22"/>
        <v>225625.55833333335</v>
      </c>
      <c r="M35" s="1356">
        <f t="shared" si="23"/>
        <v>225625.55833333335</v>
      </c>
      <c r="N35" s="506">
        <f t="shared" si="11"/>
        <v>225625.55833333312</v>
      </c>
      <c r="O35" s="538">
        <f t="shared" si="12"/>
        <v>2357500</v>
      </c>
      <c r="P35" s="238">
        <f>'B2-FinPerf SC'!K36</f>
        <v>2357500</v>
      </c>
      <c r="Q35" s="75">
        <f>'B2-FinPerf SC'!L36</f>
        <v>3558000</v>
      </c>
      <c r="R35" s="76">
        <f>'B2-FinPerf SC'!M36</f>
        <v>3837480</v>
      </c>
      <c r="S35" s="126"/>
      <c r="AC35" s="1336">
        <v>2200</v>
      </c>
      <c r="AD35" s="1345" t="s">
        <v>1812</v>
      </c>
    </row>
    <row r="36" spans="1:30" ht="12.75" customHeight="1" x14ac:dyDescent="0.25">
      <c r="A36" s="108" t="str">
        <f t="shared" si="9"/>
        <v>Public safety</v>
      </c>
      <c r="B36" s="127"/>
      <c r="C36" s="1356">
        <f>SUMIFS(Sheet1!S71_MonthlyOutcomeJul,Sheet1!S71_A2Code,$AC:$AC,Sheet1!S71_ItemType,$AD:$AD)</f>
        <v>0</v>
      </c>
      <c r="D36" s="1356">
        <f>SUMIFS(Sheet1!S71_MonthlyOutcomeAug,Sheet1!S71_A2Code,$AC:$AC,Sheet1!S71_ItemType,$AD:$AD)</f>
        <v>0</v>
      </c>
      <c r="E36" s="1356">
        <f>SUMIFS(Sheet1!S71_MonthlyOutcomeSep,Sheet1!S71_A2Code,$AC:$AC,Sheet1!S71_ItemType,$AD:$AD)</f>
        <v>0</v>
      </c>
      <c r="F36" s="1356">
        <f>SUMIFS(Sheet1!S71_MonthlyOutcomeOct,Sheet1!S71_A2Code,$AC:$AC,Sheet1!S71_ItemType,$AD:$AD)</f>
        <v>0</v>
      </c>
      <c r="G36" s="1356">
        <f>SUMIFS(Sheet1!S71_MonthlyOutcomeNov,Sheet1!S71_A2Code,$AC:$AC,Sheet1!S71_ItemType,$AD:$AD)</f>
        <v>0</v>
      </c>
      <c r="H36" s="1361">
        <f>SUMIFS(Sheet1!S71_MonthlyOutcomeDec,Sheet1!S71_A2Code,$AC:$AC,Sheet1!S71_ItemType,$AD:$AD)</f>
        <v>0</v>
      </c>
      <c r="I36" s="1360">
        <f t="shared" si="19"/>
        <v>0</v>
      </c>
      <c r="J36" s="1356">
        <f t="shared" si="20"/>
        <v>0</v>
      </c>
      <c r="K36" s="1356">
        <f t="shared" si="21"/>
        <v>0</v>
      </c>
      <c r="L36" s="1356">
        <f t="shared" si="22"/>
        <v>0</v>
      </c>
      <c r="M36" s="1356">
        <f t="shared" si="23"/>
        <v>0</v>
      </c>
      <c r="N36" s="506">
        <f t="shared" si="11"/>
        <v>0</v>
      </c>
      <c r="O36" s="538">
        <f t="shared" si="12"/>
        <v>0</v>
      </c>
      <c r="P36" s="238">
        <f>'B2-FinPerf SC'!K37</f>
        <v>0</v>
      </c>
      <c r="Q36" s="75">
        <f>'B2-FinPerf SC'!L37</f>
        <v>15900</v>
      </c>
      <c r="R36" s="76">
        <f>'B2-FinPerf SC'!M37</f>
        <v>16854</v>
      </c>
      <c r="S36" s="126"/>
      <c r="AC36" s="1336">
        <v>2300</v>
      </c>
      <c r="AD36" s="1345" t="s">
        <v>1812</v>
      </c>
    </row>
    <row r="37" spans="1:30" ht="12.75" customHeight="1" x14ac:dyDescent="0.25">
      <c r="A37" s="108" t="str">
        <f t="shared" si="9"/>
        <v>Housing</v>
      </c>
      <c r="B37" s="127"/>
      <c r="C37" s="1356">
        <f>SUMIFS(Sheet1!S71_MonthlyOutcomeJul,Sheet1!S71_A2Code,$AC:$AC,Sheet1!S71_ItemType,$AD:$AD)</f>
        <v>0</v>
      </c>
      <c r="D37" s="1356">
        <f>SUMIFS(Sheet1!S71_MonthlyOutcomeAug,Sheet1!S71_A2Code,$AC:$AC,Sheet1!S71_ItemType,$AD:$AD)</f>
        <v>0</v>
      </c>
      <c r="E37" s="1356">
        <f>SUMIFS(Sheet1!S71_MonthlyOutcomeSep,Sheet1!S71_A2Code,$AC:$AC,Sheet1!S71_ItemType,$AD:$AD)</f>
        <v>0</v>
      </c>
      <c r="F37" s="1356">
        <f>SUMIFS(Sheet1!S71_MonthlyOutcomeOct,Sheet1!S71_A2Code,$AC:$AC,Sheet1!S71_ItemType,$AD:$AD)</f>
        <v>0</v>
      </c>
      <c r="G37" s="1356">
        <f>SUMIFS(Sheet1!S71_MonthlyOutcomeNov,Sheet1!S71_A2Code,$AC:$AC,Sheet1!S71_ItemType,$AD:$AD)</f>
        <v>0</v>
      </c>
      <c r="H37" s="1361">
        <f>SUMIFS(Sheet1!S71_MonthlyOutcomeDec,Sheet1!S71_A2Code,$AC:$AC,Sheet1!S71_ItemType,$AD:$AD)</f>
        <v>0</v>
      </c>
      <c r="I37" s="1360">
        <f t="shared" si="19"/>
        <v>0</v>
      </c>
      <c r="J37" s="1356">
        <f t="shared" si="20"/>
        <v>0</v>
      </c>
      <c r="K37" s="1356">
        <f t="shared" si="21"/>
        <v>0</v>
      </c>
      <c r="L37" s="1356">
        <f t="shared" si="22"/>
        <v>0</v>
      </c>
      <c r="M37" s="1356">
        <f t="shared" si="23"/>
        <v>0</v>
      </c>
      <c r="N37" s="506">
        <f t="shared" si="11"/>
        <v>0</v>
      </c>
      <c r="O37" s="538">
        <f t="shared" si="12"/>
        <v>0</v>
      </c>
      <c r="P37" s="238">
        <f>'B2-FinPerf SC'!K38</f>
        <v>0</v>
      </c>
      <c r="Q37" s="75">
        <f>'B2-FinPerf SC'!L38</f>
        <v>0</v>
      </c>
      <c r="R37" s="76">
        <f>'B2-FinPerf SC'!M38</f>
        <v>0</v>
      </c>
      <c r="S37" s="126"/>
      <c r="AC37" s="1336">
        <v>2400</v>
      </c>
      <c r="AD37" s="1345" t="s">
        <v>1812</v>
      </c>
    </row>
    <row r="38" spans="1:30" ht="12.75" customHeight="1" x14ac:dyDescent="0.25">
      <c r="A38" s="108" t="str">
        <f t="shared" si="9"/>
        <v>Health</v>
      </c>
      <c r="B38" s="127"/>
      <c r="C38" s="1356">
        <f>SUMIFS(Sheet1!S71_MonthlyOutcomeJul,Sheet1!S71_A2Code,$AC:$AC,Sheet1!S71_ItemType,$AD:$AD)</f>
        <v>11250</v>
      </c>
      <c r="D38" s="1356">
        <f>SUMIFS(Sheet1!S71_MonthlyOutcomeAug,Sheet1!S71_A2Code,$AC:$AC,Sheet1!S71_ItemType,$AD:$AD)</f>
        <v>0</v>
      </c>
      <c r="E38" s="1356">
        <f>SUMIFS(Sheet1!S71_MonthlyOutcomeSep,Sheet1!S71_A2Code,$AC:$AC,Sheet1!S71_ItemType,$AD:$AD)</f>
        <v>0</v>
      </c>
      <c r="F38" s="1356">
        <f>SUMIFS(Sheet1!S71_MonthlyOutcomeOct,Sheet1!S71_A2Code,$AC:$AC,Sheet1!S71_ItemType,$AD:$AD)</f>
        <v>3330.2</v>
      </c>
      <c r="G38" s="1356">
        <f>SUMIFS(Sheet1!S71_MonthlyOutcomeNov,Sheet1!S71_A2Code,$AC:$AC,Sheet1!S71_ItemType,$AD:$AD)</f>
        <v>0</v>
      </c>
      <c r="H38" s="1361">
        <f>SUMIFS(Sheet1!S71_MonthlyOutcomeDec,Sheet1!S71_A2Code,$AC:$AC,Sheet1!S71_ItemType,$AD:$AD)</f>
        <v>95585</v>
      </c>
      <c r="I38" s="1360">
        <f t="shared" si="19"/>
        <v>13286.633333333333</v>
      </c>
      <c r="J38" s="1356">
        <f t="shared" si="20"/>
        <v>13286.633333333333</v>
      </c>
      <c r="K38" s="1356">
        <f t="shared" si="21"/>
        <v>13286.633333333333</v>
      </c>
      <c r="L38" s="1356">
        <f t="shared" si="22"/>
        <v>13286.633333333333</v>
      </c>
      <c r="M38" s="1356">
        <f t="shared" si="23"/>
        <v>13286.633333333333</v>
      </c>
      <c r="N38" s="506">
        <f t="shared" si="11"/>
        <v>13286.633333333331</v>
      </c>
      <c r="O38" s="538"/>
      <c r="P38" s="238">
        <f>'B2-FinPerf SC'!K39</f>
        <v>189885</v>
      </c>
      <c r="Q38" s="75">
        <f>'B2-FinPerf SC'!L39</f>
        <v>286200</v>
      </c>
      <c r="R38" s="76">
        <f>'B2-FinPerf SC'!M39</f>
        <v>303372</v>
      </c>
      <c r="S38" s="126"/>
      <c r="AC38" s="1336">
        <v>2500</v>
      </c>
      <c r="AD38" s="1345" t="s">
        <v>1812</v>
      </c>
    </row>
    <row r="39" spans="1:30" ht="12.75" customHeight="1" x14ac:dyDescent="0.25">
      <c r="A39" s="107" t="str">
        <f t="shared" si="9"/>
        <v>Economic and environmental services</v>
      </c>
      <c r="B39" s="127"/>
      <c r="C39" s="255">
        <f t="shared" ref="C39:M39" si="24">SUM(C40:C42)</f>
        <v>3793975.4899999998</v>
      </c>
      <c r="D39" s="255">
        <f t="shared" si="24"/>
        <v>2305669.56</v>
      </c>
      <c r="E39" s="255">
        <f t="shared" si="24"/>
        <v>5355287.12</v>
      </c>
      <c r="F39" s="255">
        <f t="shared" si="24"/>
        <v>1743071.08</v>
      </c>
      <c r="G39" s="255">
        <f t="shared" si="24"/>
        <v>2929557.19</v>
      </c>
      <c r="H39" s="703">
        <f t="shared" si="24"/>
        <v>790215.85</v>
      </c>
      <c r="I39" s="704">
        <f t="shared" si="24"/>
        <v>928060.45166666678</v>
      </c>
      <c r="J39" s="255">
        <f t="shared" si="24"/>
        <v>928060.45166666678</v>
      </c>
      <c r="K39" s="255">
        <f t="shared" si="24"/>
        <v>928060.45166666678</v>
      </c>
      <c r="L39" s="255">
        <f t="shared" si="24"/>
        <v>928060.45166666678</v>
      </c>
      <c r="M39" s="255">
        <f t="shared" si="24"/>
        <v>928060.45166666678</v>
      </c>
      <c r="N39" s="514">
        <f t="shared" si="11"/>
        <v>928060.45166666061</v>
      </c>
      <c r="O39" s="553"/>
      <c r="P39" s="474">
        <f>'B2-FinPerf SC'!K40</f>
        <v>22486139</v>
      </c>
      <c r="Q39" s="139">
        <f>'B2-FinPerf SC'!L40</f>
        <v>14598741</v>
      </c>
      <c r="R39" s="140">
        <f>'B2-FinPerf SC'!M40</f>
        <v>15401519</v>
      </c>
      <c r="S39" s="126"/>
      <c r="AD39" s="1345" t="s">
        <v>1812</v>
      </c>
    </row>
    <row r="40" spans="1:30" ht="12.75" customHeight="1" x14ac:dyDescent="0.25">
      <c r="A40" s="108" t="str">
        <f t="shared" si="9"/>
        <v>Planning and development</v>
      </c>
      <c r="B40" s="127"/>
      <c r="C40" s="1356">
        <f>SUMIFS(Sheet1!S71_MonthlyOutcomeJul,Sheet1!S71_A2Code,$AC:$AC,Sheet1!S71_ItemType,$AD:$AD)</f>
        <v>0</v>
      </c>
      <c r="D40" s="1356">
        <f>SUMIFS(Sheet1!S71_MonthlyOutcomeAug,Sheet1!S71_A2Code,$AC:$AC,Sheet1!S71_ItemType,$AD:$AD)</f>
        <v>0</v>
      </c>
      <c r="E40" s="1356">
        <f>SUMIFS(Sheet1!S71_MonthlyOutcomeSep,Sheet1!S71_A2Code,$AC:$AC,Sheet1!S71_ItemType,$AD:$AD)</f>
        <v>0</v>
      </c>
      <c r="F40" s="1356">
        <f>SUMIFS(Sheet1!S71_MonthlyOutcomeOct,Sheet1!S71_A2Code,$AC:$AC,Sheet1!S71_ItemType,$AD:$AD)</f>
        <v>25000</v>
      </c>
      <c r="G40" s="1356">
        <f>SUMIFS(Sheet1!S71_MonthlyOutcomeNov,Sheet1!S71_A2Code,$AC:$AC,Sheet1!S71_ItemType,$AD:$AD)</f>
        <v>9777</v>
      </c>
      <c r="H40" s="1361">
        <f>SUMIFS(Sheet1!S71_MonthlyOutcomeDec,Sheet1!S71_A2Code,$AC:$AC,Sheet1!S71_ItemType,$AD:$AD)</f>
        <v>15000</v>
      </c>
      <c r="I40" s="1360">
        <f t="shared" ref="I40:I42" si="25">(P40-SUM(C40:H40))/6</f>
        <v>63407.166666666664</v>
      </c>
      <c r="J40" s="1356">
        <f t="shared" ref="J40:J42" si="26">(P40-SUM(C40:H40))/6</f>
        <v>63407.166666666664</v>
      </c>
      <c r="K40" s="1356">
        <f t="shared" ref="K40:K42" si="27">(P40-SUM(C40:H40))/6</f>
        <v>63407.166666666664</v>
      </c>
      <c r="L40" s="1356">
        <f t="shared" ref="L40:L42" si="28">(P40-SUM(C40:H40))/6</f>
        <v>63407.166666666664</v>
      </c>
      <c r="M40" s="1356">
        <f t="shared" ref="M40:M42" si="29">(P40-SUM(C40:H40))/6</f>
        <v>63407.166666666664</v>
      </c>
      <c r="N40" s="506">
        <f t="shared" si="11"/>
        <v>63407.166666666686</v>
      </c>
      <c r="O40" s="538"/>
      <c r="P40" s="238">
        <f>'B2-FinPerf SC'!K41</f>
        <v>430220</v>
      </c>
      <c r="Q40" s="75">
        <f>'B2-FinPerf SC'!L41</f>
        <v>632400</v>
      </c>
      <c r="R40" s="76">
        <f>'B2-FinPerf SC'!M41</f>
        <v>689704</v>
      </c>
      <c r="S40" s="126"/>
      <c r="AC40" s="1336">
        <v>3100</v>
      </c>
      <c r="AD40" s="1345" t="s">
        <v>1812</v>
      </c>
    </row>
    <row r="41" spans="1:30" ht="12.75" customHeight="1" x14ac:dyDescent="0.25">
      <c r="A41" s="108" t="str">
        <f t="shared" si="9"/>
        <v>Road transport</v>
      </c>
      <c r="B41" s="127"/>
      <c r="C41" s="1356">
        <f>SUMIFS(Sheet1!S71_MonthlyOutcomeJul,Sheet1!S71_A2Code,$AC:$AC,Sheet1!S71_ItemType,$AD:$AD)</f>
        <v>3793975.4899999998</v>
      </c>
      <c r="D41" s="1356">
        <f>SUMIFS(Sheet1!S71_MonthlyOutcomeAug,Sheet1!S71_A2Code,$AC:$AC,Sheet1!S71_ItemType,$AD:$AD)</f>
        <v>2305669.56</v>
      </c>
      <c r="E41" s="1356">
        <f>SUMIFS(Sheet1!S71_MonthlyOutcomeSep,Sheet1!S71_A2Code,$AC:$AC,Sheet1!S71_ItemType,$AD:$AD)</f>
        <v>5355287.12</v>
      </c>
      <c r="F41" s="1356">
        <f>SUMIFS(Sheet1!S71_MonthlyOutcomeOct,Sheet1!S71_A2Code,$AC:$AC,Sheet1!S71_ItemType,$AD:$AD)</f>
        <v>1718071.08</v>
      </c>
      <c r="G41" s="1356">
        <f>SUMIFS(Sheet1!S71_MonthlyOutcomeNov,Sheet1!S71_A2Code,$AC:$AC,Sheet1!S71_ItemType,$AD:$AD)</f>
        <v>2919780.19</v>
      </c>
      <c r="H41" s="1361">
        <f>SUMIFS(Sheet1!S71_MonthlyOutcomeDec,Sheet1!S71_A2Code,$AC:$AC,Sheet1!S71_ItemType,$AD:$AD)</f>
        <v>775215.85</v>
      </c>
      <c r="I41" s="1360">
        <f t="shared" si="25"/>
        <v>864653.28500000015</v>
      </c>
      <c r="J41" s="1356">
        <f t="shared" si="26"/>
        <v>864653.28500000015</v>
      </c>
      <c r="K41" s="1356">
        <f t="shared" si="27"/>
        <v>864653.28500000015</v>
      </c>
      <c r="L41" s="1356">
        <f t="shared" si="28"/>
        <v>864653.28500000015</v>
      </c>
      <c r="M41" s="1356">
        <f t="shared" si="29"/>
        <v>864653.28500000015</v>
      </c>
      <c r="N41" s="506">
        <f t="shared" si="11"/>
        <v>864653.28500000015</v>
      </c>
      <c r="O41" s="538"/>
      <c r="P41" s="238">
        <f>'B2-FinPerf SC'!K42</f>
        <v>22055919</v>
      </c>
      <c r="Q41" s="75">
        <f>'B2-FinPerf SC'!L42</f>
        <v>13966341</v>
      </c>
      <c r="R41" s="76">
        <f>'B2-FinPerf SC'!M42</f>
        <v>14711815</v>
      </c>
      <c r="S41" s="126"/>
      <c r="AC41" s="1336">
        <v>3200</v>
      </c>
      <c r="AD41" s="1345" t="s">
        <v>1812</v>
      </c>
    </row>
    <row r="42" spans="1:30" ht="12.75" customHeight="1" x14ac:dyDescent="0.25">
      <c r="A42" s="108" t="str">
        <f t="shared" si="9"/>
        <v>Environmental protection</v>
      </c>
      <c r="B42" s="127"/>
      <c r="C42" s="1356">
        <f>SUMIFS(Sheet1!S71_MonthlyOutcomeJul,Sheet1!S71_A2Code,$AC:$AC,Sheet1!S71_ItemType,$AD:$AD)</f>
        <v>0</v>
      </c>
      <c r="D42" s="1356">
        <f>SUMIFS(Sheet1!S71_MonthlyOutcomeAug,Sheet1!S71_A2Code,$AC:$AC,Sheet1!S71_ItemType,$AD:$AD)</f>
        <v>0</v>
      </c>
      <c r="E42" s="1356">
        <f>SUMIFS(Sheet1!S71_MonthlyOutcomeSep,Sheet1!S71_A2Code,$AC:$AC,Sheet1!S71_ItemType,$AD:$AD)</f>
        <v>0</v>
      </c>
      <c r="F42" s="1356">
        <f>SUMIFS(Sheet1!S71_MonthlyOutcomeOct,Sheet1!S71_A2Code,$AC:$AC,Sheet1!S71_ItemType,$AD:$AD)</f>
        <v>0</v>
      </c>
      <c r="G42" s="1356">
        <f>SUMIFS(Sheet1!S71_MonthlyOutcomeNov,Sheet1!S71_A2Code,$AC:$AC,Sheet1!S71_ItemType,$AD:$AD)</f>
        <v>0</v>
      </c>
      <c r="H42" s="1361">
        <f>SUMIFS(Sheet1!S71_MonthlyOutcomeDec,Sheet1!S71_A2Code,$AC:$AC,Sheet1!S71_ItemType,$AD:$AD)</f>
        <v>0</v>
      </c>
      <c r="I42" s="1360">
        <f t="shared" si="25"/>
        <v>0</v>
      </c>
      <c r="J42" s="1356">
        <f t="shared" si="26"/>
        <v>0</v>
      </c>
      <c r="K42" s="1356">
        <f t="shared" si="27"/>
        <v>0</v>
      </c>
      <c r="L42" s="1356">
        <f t="shared" si="28"/>
        <v>0</v>
      </c>
      <c r="M42" s="1356">
        <f t="shared" si="29"/>
        <v>0</v>
      </c>
      <c r="N42" s="506">
        <f t="shared" si="11"/>
        <v>0</v>
      </c>
      <c r="O42" s="538"/>
      <c r="P42" s="238">
        <f>'B2-FinPerf SC'!K43</f>
        <v>0</v>
      </c>
      <c r="Q42" s="75">
        <f>'B2-FinPerf SC'!L43</f>
        <v>0</v>
      </c>
      <c r="R42" s="76">
        <f>'B2-FinPerf SC'!M43</f>
        <v>0</v>
      </c>
      <c r="S42" s="126"/>
      <c r="AC42" s="1336">
        <v>3300</v>
      </c>
      <c r="AD42" s="1345" t="s">
        <v>1812</v>
      </c>
    </row>
    <row r="43" spans="1:30" ht="12.75" customHeight="1" x14ac:dyDescent="0.25">
      <c r="A43" s="107" t="str">
        <f t="shared" si="9"/>
        <v>Trading services</v>
      </c>
      <c r="B43" s="127"/>
      <c r="C43" s="255">
        <f>SUM(C44:C47)</f>
        <v>361641.75</v>
      </c>
      <c r="D43" s="255">
        <f t="shared" ref="D43:M43" si="30">SUM(D44:D47)</f>
        <v>594397.70000000007</v>
      </c>
      <c r="E43" s="255">
        <f t="shared" si="30"/>
        <v>448316.56</v>
      </c>
      <c r="F43" s="255">
        <f t="shared" si="30"/>
        <v>194733.25</v>
      </c>
      <c r="G43" s="255">
        <f t="shared" si="30"/>
        <v>211729.25</v>
      </c>
      <c r="H43" s="703">
        <f t="shared" si="30"/>
        <v>2028807.0099999998</v>
      </c>
      <c r="I43" s="704">
        <f t="shared" si="30"/>
        <v>766663.41333333333</v>
      </c>
      <c r="J43" s="255">
        <f t="shared" si="30"/>
        <v>766663.41333333333</v>
      </c>
      <c r="K43" s="255">
        <f t="shared" si="30"/>
        <v>766663.41333333333</v>
      </c>
      <c r="L43" s="255">
        <f t="shared" si="30"/>
        <v>766663.41333333333</v>
      </c>
      <c r="M43" s="255">
        <f t="shared" si="30"/>
        <v>766663.41333333333</v>
      </c>
      <c r="N43" s="514">
        <f>P43-SUM(C43:M43)</f>
        <v>766663.41333333496</v>
      </c>
      <c r="O43" s="553">
        <f>SUM(C43:N43)</f>
        <v>8439606</v>
      </c>
      <c r="P43" s="474">
        <f>'B2-FinPerf SC'!K44</f>
        <v>8439606</v>
      </c>
      <c r="Q43" s="139">
        <f>'B2-FinPerf SC'!L44</f>
        <v>2691480</v>
      </c>
      <c r="R43" s="140">
        <f>'B2-FinPerf SC'!M44</f>
        <v>2832169</v>
      </c>
      <c r="S43" s="126"/>
      <c r="AD43" s="1345" t="s">
        <v>1812</v>
      </c>
    </row>
    <row r="44" spans="1:30" ht="12.75" customHeight="1" x14ac:dyDescent="0.25">
      <c r="A44" s="108" t="str">
        <f t="shared" si="9"/>
        <v>Energy sources</v>
      </c>
      <c r="B44" s="127"/>
      <c r="C44" s="1356">
        <f>SUMIFS(Sheet1!S71_MonthlyOutcomeJul,Sheet1!S71_A2Code,$AC:$AC,Sheet1!S71_ItemType,$AD:$AD)</f>
        <v>359541.75</v>
      </c>
      <c r="D44" s="1356">
        <f>SUMIFS(Sheet1!S71_MonthlyOutcomeAug,Sheet1!S71_A2Code,$AC:$AC,Sheet1!S71_ItemType,$AD:$AD)</f>
        <v>562832.9</v>
      </c>
      <c r="E44" s="1356">
        <f>SUMIFS(Sheet1!S71_MonthlyOutcomeSep,Sheet1!S71_A2Code,$AC:$AC,Sheet1!S71_ItemType,$AD:$AD)</f>
        <v>238433.08</v>
      </c>
      <c r="F44" s="1356">
        <f>SUMIFS(Sheet1!S71_MonthlyOutcomeOct,Sheet1!S71_A2Code,$AC:$AC,Sheet1!S71_ItemType,$AD:$AD)</f>
        <v>0</v>
      </c>
      <c r="G44" s="1356">
        <f>SUMIFS(Sheet1!S71_MonthlyOutcomeNov,Sheet1!S71_A2Code,$AC:$AC,Sheet1!S71_ItemType,$AD:$AD)</f>
        <v>0</v>
      </c>
      <c r="H44" s="1361">
        <f>SUMIFS(Sheet1!S71_MonthlyOutcomeDec,Sheet1!S71_A2Code,$AC:$AC,Sheet1!S71_ItemType,$AD:$AD)</f>
        <v>1819983.2599999998</v>
      </c>
      <c r="I44" s="1360">
        <f t="shared" ref="I44:I48" si="31">(P44-SUM(C44:H44))/6</f>
        <v>566802.50166666671</v>
      </c>
      <c r="J44" s="1356">
        <f t="shared" ref="J44:J48" si="32">(P44-SUM(C44:H44))/6</f>
        <v>566802.50166666671</v>
      </c>
      <c r="K44" s="1356">
        <f t="shared" ref="K44:K48" si="33">(P44-SUM(C44:H44))/6</f>
        <v>566802.50166666671</v>
      </c>
      <c r="L44" s="1356">
        <f t="shared" ref="L44:L48" si="34">(P44-SUM(C44:H44))/6</f>
        <v>566802.50166666671</v>
      </c>
      <c r="M44" s="1356">
        <f t="shared" ref="M44:M48" si="35">(P44-SUM(C44:H44))/6</f>
        <v>566802.50166666671</v>
      </c>
      <c r="N44" s="506">
        <f t="shared" si="11"/>
        <v>566802.50166666601</v>
      </c>
      <c r="O44" s="538">
        <f>SUM(C44:N44)</f>
        <v>6381606</v>
      </c>
      <c r="P44" s="238">
        <f>'B2-FinPerf SC'!K45</f>
        <v>6381606</v>
      </c>
      <c r="Q44" s="75">
        <f>'B2-FinPerf SC'!L45</f>
        <v>0</v>
      </c>
      <c r="R44" s="76">
        <f>'B2-FinPerf SC'!M45</f>
        <v>0</v>
      </c>
      <c r="S44" s="126"/>
      <c r="AC44" s="1336">
        <v>4100</v>
      </c>
      <c r="AD44" s="1345" t="s">
        <v>1812</v>
      </c>
    </row>
    <row r="45" spans="1:30" ht="12.75" customHeight="1" x14ac:dyDescent="0.25">
      <c r="A45" s="108" t="str">
        <f t="shared" si="9"/>
        <v>Water management</v>
      </c>
      <c r="B45" s="127"/>
      <c r="C45" s="1356">
        <f>SUMIFS(Sheet1!S71_MonthlyOutcomeJul,Sheet1!S71_A2Code,$AC:$AC,Sheet1!S71_ItemType,$AD:$AD)</f>
        <v>0</v>
      </c>
      <c r="D45" s="1356">
        <f>SUMIFS(Sheet1!S71_MonthlyOutcomeAug,Sheet1!S71_A2Code,$AC:$AC,Sheet1!S71_ItemType,$AD:$AD)</f>
        <v>0</v>
      </c>
      <c r="E45" s="1356">
        <f>SUMIFS(Sheet1!S71_MonthlyOutcomeSep,Sheet1!S71_A2Code,$AC:$AC,Sheet1!S71_ItemType,$AD:$AD)</f>
        <v>0</v>
      </c>
      <c r="F45" s="1356">
        <f>SUMIFS(Sheet1!S71_MonthlyOutcomeOct,Sheet1!S71_A2Code,$AC:$AC,Sheet1!S71_ItemType,$AD:$AD)</f>
        <v>0</v>
      </c>
      <c r="G45" s="1356">
        <f>SUMIFS(Sheet1!S71_MonthlyOutcomeNov,Sheet1!S71_A2Code,$AC:$AC,Sheet1!S71_ItemType,$AD:$AD)</f>
        <v>0</v>
      </c>
      <c r="H45" s="1361">
        <f>SUMIFS(Sheet1!S71_MonthlyOutcomeDec,Sheet1!S71_A2Code,$AC:$AC,Sheet1!S71_ItemType,$AD:$AD)</f>
        <v>0</v>
      </c>
      <c r="I45" s="1360">
        <f t="shared" si="31"/>
        <v>0</v>
      </c>
      <c r="J45" s="1356">
        <f t="shared" si="32"/>
        <v>0</v>
      </c>
      <c r="K45" s="1356">
        <f t="shared" si="33"/>
        <v>0</v>
      </c>
      <c r="L45" s="1356">
        <f t="shared" si="34"/>
        <v>0</v>
      </c>
      <c r="M45" s="1356">
        <f t="shared" si="35"/>
        <v>0</v>
      </c>
      <c r="N45" s="506">
        <f t="shared" si="11"/>
        <v>0</v>
      </c>
      <c r="O45" s="538"/>
      <c r="P45" s="238">
        <f>'B2-FinPerf SC'!K46</f>
        <v>0</v>
      </c>
      <c r="Q45" s="75">
        <f>'B2-FinPerf SC'!L46</f>
        <v>0</v>
      </c>
      <c r="R45" s="76">
        <f>'B2-FinPerf SC'!M46</f>
        <v>0</v>
      </c>
      <c r="S45" s="126"/>
      <c r="AC45" s="1336">
        <v>4200</v>
      </c>
      <c r="AD45" s="1345" t="s">
        <v>1812</v>
      </c>
    </row>
    <row r="46" spans="1:30" ht="12.75" customHeight="1" x14ac:dyDescent="0.25">
      <c r="A46" s="108" t="str">
        <f t="shared" si="9"/>
        <v>Waste water management</v>
      </c>
      <c r="B46" s="127"/>
      <c r="C46" s="1356">
        <f>SUMIFS(Sheet1!S71_MonthlyOutcomeJul,Sheet1!S71_A2Code,$AC:$AC,Sheet1!S71_ItemType,$AD:$AD)</f>
        <v>0</v>
      </c>
      <c r="D46" s="1356">
        <f>SUMIFS(Sheet1!S71_MonthlyOutcomeAug,Sheet1!S71_A2Code,$AC:$AC,Sheet1!S71_ItemType,$AD:$AD)</f>
        <v>0</v>
      </c>
      <c r="E46" s="1356">
        <f>SUMIFS(Sheet1!S71_MonthlyOutcomeSep,Sheet1!S71_A2Code,$AC:$AC,Sheet1!S71_ItemType,$AD:$AD)</f>
        <v>0</v>
      </c>
      <c r="F46" s="1356">
        <f>SUMIFS(Sheet1!S71_MonthlyOutcomeOct,Sheet1!S71_A2Code,$AC:$AC,Sheet1!S71_ItemType,$AD:$AD)</f>
        <v>0</v>
      </c>
      <c r="G46" s="1356">
        <f>SUMIFS(Sheet1!S71_MonthlyOutcomeNov,Sheet1!S71_A2Code,$AC:$AC,Sheet1!S71_ItemType,$AD:$AD)</f>
        <v>0</v>
      </c>
      <c r="H46" s="1361">
        <f>SUMIFS(Sheet1!S71_MonthlyOutcomeDec,Sheet1!S71_A2Code,$AC:$AC,Sheet1!S71_ItemType,$AD:$AD)</f>
        <v>0</v>
      </c>
      <c r="I46" s="1360">
        <f t="shared" si="31"/>
        <v>0</v>
      </c>
      <c r="J46" s="1356">
        <f t="shared" si="32"/>
        <v>0</v>
      </c>
      <c r="K46" s="1356">
        <f t="shared" si="33"/>
        <v>0</v>
      </c>
      <c r="L46" s="1356">
        <f t="shared" si="34"/>
        <v>0</v>
      </c>
      <c r="M46" s="1356">
        <f t="shared" si="35"/>
        <v>0</v>
      </c>
      <c r="N46" s="506">
        <f t="shared" si="11"/>
        <v>0</v>
      </c>
      <c r="O46" s="538"/>
      <c r="P46" s="238">
        <f>'B2-FinPerf SC'!K47</f>
        <v>0</v>
      </c>
      <c r="Q46" s="75">
        <f>'B2-FinPerf SC'!L47</f>
        <v>0</v>
      </c>
      <c r="R46" s="76">
        <f>'B2-FinPerf SC'!M47</f>
        <v>0</v>
      </c>
      <c r="S46" s="126"/>
      <c r="AC46" s="1336">
        <v>4300</v>
      </c>
      <c r="AD46" s="1345" t="s">
        <v>1812</v>
      </c>
    </row>
    <row r="47" spans="1:30" ht="12.75" customHeight="1" x14ac:dyDescent="0.25">
      <c r="A47" s="108" t="str">
        <f t="shared" si="9"/>
        <v>Waste management</v>
      </c>
      <c r="B47" s="127"/>
      <c r="C47" s="1356">
        <f>SUMIFS(Sheet1!S71_MonthlyOutcomeJul,Sheet1!S71_A2Code,$AC:$AC,Sheet1!S71_ItemType,$AD:$AD)</f>
        <v>2100</v>
      </c>
      <c r="D47" s="1356">
        <f>SUMIFS(Sheet1!S71_MonthlyOutcomeAug,Sheet1!S71_A2Code,$AC:$AC,Sheet1!S71_ItemType,$AD:$AD)</f>
        <v>31564.799999999999</v>
      </c>
      <c r="E47" s="1356">
        <f>SUMIFS(Sheet1!S71_MonthlyOutcomeSep,Sheet1!S71_A2Code,$AC:$AC,Sheet1!S71_ItemType,$AD:$AD)</f>
        <v>209883.48</v>
      </c>
      <c r="F47" s="1356">
        <f>SUMIFS(Sheet1!S71_MonthlyOutcomeOct,Sheet1!S71_A2Code,$AC:$AC,Sheet1!S71_ItemType,$AD:$AD)</f>
        <v>194733.25</v>
      </c>
      <c r="G47" s="1356">
        <f>SUMIFS(Sheet1!S71_MonthlyOutcomeNov,Sheet1!S71_A2Code,$AC:$AC,Sheet1!S71_ItemType,$AD:$AD)</f>
        <v>211729.25</v>
      </c>
      <c r="H47" s="1361">
        <f>SUMIFS(Sheet1!S71_MonthlyOutcomeDec,Sheet1!S71_A2Code,$AC:$AC,Sheet1!S71_ItemType,$AD:$AD)</f>
        <v>208823.75</v>
      </c>
      <c r="I47" s="1360">
        <f t="shared" si="31"/>
        <v>199860.91166666665</v>
      </c>
      <c r="J47" s="1356">
        <f t="shared" si="32"/>
        <v>199860.91166666665</v>
      </c>
      <c r="K47" s="1356">
        <f t="shared" si="33"/>
        <v>199860.91166666665</v>
      </c>
      <c r="L47" s="1356">
        <f t="shared" si="34"/>
        <v>199860.91166666665</v>
      </c>
      <c r="M47" s="1356">
        <f t="shared" si="35"/>
        <v>199860.91166666665</v>
      </c>
      <c r="N47" s="506">
        <f t="shared" si="11"/>
        <v>199860.91166666686</v>
      </c>
      <c r="O47" s="538"/>
      <c r="P47" s="238">
        <f>'B2-FinPerf SC'!K48</f>
        <v>2058000</v>
      </c>
      <c r="Q47" s="75">
        <f>'B2-FinPerf SC'!L48</f>
        <v>2691480</v>
      </c>
      <c r="R47" s="76">
        <f>'B2-FinPerf SC'!M48</f>
        <v>2832169</v>
      </c>
      <c r="S47" s="126"/>
      <c r="AC47" s="1336">
        <v>4400</v>
      </c>
      <c r="AD47" s="1345" t="s">
        <v>1812</v>
      </c>
    </row>
    <row r="48" spans="1:30" ht="12.75" customHeight="1" x14ac:dyDescent="0.25">
      <c r="A48" s="107" t="str">
        <f t="shared" si="9"/>
        <v>Other</v>
      </c>
      <c r="B48" s="127"/>
      <c r="C48" s="1356">
        <f>SUMIFS(Sheet1!S71_MonthlyOutcomeJul,Sheet1!S71_A2Code,$AC:$AC,Sheet1!S71_ItemType,$AD:$AD)</f>
        <v>20443.88</v>
      </c>
      <c r="D48" s="1356">
        <f>SUMIFS(Sheet1!S71_MonthlyOutcomeAug,Sheet1!S71_A2Code,$AC:$AC,Sheet1!S71_ItemType,$AD:$AD)</f>
        <v>331368.90000000002</v>
      </c>
      <c r="E48" s="1356">
        <f>SUMIFS(Sheet1!S71_MonthlyOutcomeSep,Sheet1!S71_A2Code,$AC:$AC,Sheet1!S71_ItemType,$AD:$AD)</f>
        <v>96711.5</v>
      </c>
      <c r="F48" s="1356">
        <f>SUMIFS(Sheet1!S71_MonthlyOutcomeOct,Sheet1!S71_A2Code,$AC:$AC,Sheet1!S71_ItemType,$AD:$AD)</f>
        <v>60905.02</v>
      </c>
      <c r="G48" s="1356">
        <f>SUMIFS(Sheet1!S71_MonthlyOutcomeNov,Sheet1!S71_A2Code,$AC:$AC,Sheet1!S71_ItemType,$AD:$AD)</f>
        <v>511.51</v>
      </c>
      <c r="H48" s="1361">
        <f>SUMIFS(Sheet1!S71_MonthlyOutcomeDec,Sheet1!S71_A2Code,$AC:$AC,Sheet1!S71_ItemType,$AD:$AD)</f>
        <v>156420</v>
      </c>
      <c r="I48" s="1360">
        <f t="shared" si="31"/>
        <v>974515.69833333325</v>
      </c>
      <c r="J48" s="1356">
        <f t="shared" si="32"/>
        <v>974515.69833333325</v>
      </c>
      <c r="K48" s="1356">
        <f t="shared" si="33"/>
        <v>974515.69833333325</v>
      </c>
      <c r="L48" s="1356">
        <f t="shared" si="34"/>
        <v>974515.69833333325</v>
      </c>
      <c r="M48" s="1356">
        <f t="shared" si="35"/>
        <v>974515.69833333325</v>
      </c>
      <c r="N48" s="514">
        <f t="shared" si="11"/>
        <v>974515.69833333325</v>
      </c>
      <c r="O48" s="553"/>
      <c r="P48" s="474">
        <f>'B2-FinPerf SC'!K49</f>
        <v>6513455</v>
      </c>
      <c r="Q48" s="139">
        <f>'B2-FinPerf SC'!L49</f>
        <v>6926530</v>
      </c>
      <c r="R48" s="140">
        <f>'B2-FinPerf SC'!M49</f>
        <v>7366804</v>
      </c>
      <c r="S48" s="126"/>
      <c r="AC48" s="1336">
        <v>5000</v>
      </c>
      <c r="AD48" s="1345" t="s">
        <v>1812</v>
      </c>
    </row>
    <row r="49" spans="1:19" ht="12.75" customHeight="1" x14ac:dyDescent="0.25">
      <c r="A49" s="160" t="s">
        <v>1567</v>
      </c>
      <c r="B49" s="160"/>
      <c r="C49" s="112">
        <f>C29+C33+C39+C43+C48</f>
        <v>8377550.9300000006</v>
      </c>
      <c r="D49" s="112">
        <f>D29+D33+D39+D43+D48</f>
        <v>9189676.5899999999</v>
      </c>
      <c r="E49" s="680">
        <f>E29+E33+E39+E43+E48</f>
        <v>10929035.430000002</v>
      </c>
      <c r="F49" s="680">
        <f t="shared" ref="F49:R49" si="36">F29+F33+F39+F43+F48</f>
        <v>9675509.2599999979</v>
      </c>
      <c r="G49" s="680">
        <f t="shared" si="36"/>
        <v>9269483.0899999999</v>
      </c>
      <c r="H49" s="684">
        <f t="shared" si="36"/>
        <v>10978584.890000001</v>
      </c>
      <c r="I49" s="677">
        <f t="shared" si="36"/>
        <v>14019021.468333334</v>
      </c>
      <c r="J49" s="680">
        <f t="shared" si="36"/>
        <v>14019021.468333334</v>
      </c>
      <c r="K49" s="680">
        <f t="shared" si="36"/>
        <v>14019021.468333334</v>
      </c>
      <c r="L49" s="680">
        <f t="shared" si="36"/>
        <v>14019021.468333334</v>
      </c>
      <c r="M49" s="680">
        <f>M29+M33+M39+M43+M48</f>
        <v>14019021.468333334</v>
      </c>
      <c r="N49" s="685">
        <f t="shared" si="36"/>
        <v>14019021.468333326</v>
      </c>
      <c r="O49" s="686">
        <f t="shared" si="36"/>
        <v>113534375</v>
      </c>
      <c r="P49" s="677">
        <f t="shared" si="36"/>
        <v>142533969</v>
      </c>
      <c r="Q49" s="678">
        <f t="shared" si="36"/>
        <v>125554404</v>
      </c>
      <c r="R49" s="679">
        <f t="shared" si="36"/>
        <v>133327450</v>
      </c>
      <c r="S49" s="126"/>
    </row>
    <row r="50" spans="1:19" ht="5.0999999999999996" customHeight="1" x14ac:dyDescent="0.25">
      <c r="A50" s="83"/>
      <c r="B50" s="127"/>
      <c r="C50" s="238"/>
      <c r="D50" s="75"/>
      <c r="E50" s="75"/>
      <c r="F50" s="75"/>
      <c r="G50" s="75"/>
      <c r="H50" s="506"/>
      <c r="I50" s="238"/>
      <c r="J50" s="75"/>
      <c r="K50" s="75"/>
      <c r="L50" s="75"/>
      <c r="M50" s="75"/>
      <c r="N50" s="506"/>
      <c r="O50" s="538"/>
      <c r="P50" s="238"/>
      <c r="Q50" s="75"/>
      <c r="R50" s="76"/>
      <c r="S50" s="126"/>
    </row>
    <row r="51" spans="1:19" ht="12.75" customHeight="1" x14ac:dyDescent="0.25">
      <c r="A51" s="153" t="s">
        <v>242</v>
      </c>
      <c r="B51" s="153"/>
      <c r="C51" s="114">
        <f>C26-C49</f>
        <v>30574645.559999995</v>
      </c>
      <c r="D51" s="114">
        <f t="shared" ref="D51:H51" si="37">D26-D49</f>
        <v>-6037912.209999999</v>
      </c>
      <c r="E51" s="114">
        <f t="shared" si="37"/>
        <v>-6797585.0000000009</v>
      </c>
      <c r="F51" s="114">
        <f t="shared" si="37"/>
        <v>-4973451.4899999956</v>
      </c>
      <c r="G51" s="114">
        <f t="shared" si="37"/>
        <v>-5471533.7599999998</v>
      </c>
      <c r="H51" s="114">
        <f t="shared" si="37"/>
        <v>27053113.539999992</v>
      </c>
      <c r="I51" s="114">
        <f t="shared" ref="I51:R51" si="38">I26-I49</f>
        <v>-6863033.4400000023</v>
      </c>
      <c r="J51" s="115">
        <f t="shared" si="38"/>
        <v>-6863033.4400000023</v>
      </c>
      <c r="K51" s="115">
        <f t="shared" si="38"/>
        <v>-6863033.4400000023</v>
      </c>
      <c r="L51" s="115">
        <f t="shared" si="38"/>
        <v>-6863033.4400000023</v>
      </c>
      <c r="M51" s="115">
        <f t="shared" si="38"/>
        <v>-6863033.4400000023</v>
      </c>
      <c r="N51" s="520">
        <f t="shared" si="38"/>
        <v>-6863033.4399999697</v>
      </c>
      <c r="O51" s="541">
        <f t="shared" si="38"/>
        <v>22168670</v>
      </c>
      <c r="P51" s="114">
        <f t="shared" si="38"/>
        <v>-6830924</v>
      </c>
      <c r="Q51" s="115">
        <f t="shared" si="38"/>
        <v>5584299</v>
      </c>
      <c r="R51" s="116">
        <f t="shared" si="38"/>
        <v>5455423</v>
      </c>
      <c r="S51" s="126"/>
    </row>
    <row r="52" spans="1:19" x14ac:dyDescent="0.25">
      <c r="A52" s="542" t="str">
        <f>head27a</f>
        <v>References</v>
      </c>
      <c r="B52" s="554"/>
      <c r="C52" s="543"/>
      <c r="D52" s="543"/>
      <c r="E52" s="543"/>
      <c r="F52" s="543"/>
      <c r="G52" s="543"/>
      <c r="H52" s="543"/>
      <c r="I52" s="543"/>
      <c r="J52" s="543"/>
      <c r="K52" s="543"/>
      <c r="L52" s="543"/>
      <c r="M52" s="543"/>
      <c r="N52" s="543"/>
      <c r="O52" s="543"/>
      <c r="P52" s="543"/>
      <c r="Q52" s="543"/>
      <c r="R52" s="543"/>
      <c r="S52" s="126"/>
    </row>
    <row r="53" spans="1:19" x14ac:dyDescent="0.25">
      <c r="A53" s="285" t="s">
        <v>243</v>
      </c>
    </row>
    <row r="54" spans="1:19" x14ac:dyDescent="0.25">
      <c r="A54" s="309"/>
      <c r="B54" s="309"/>
      <c r="P54" s="544"/>
      <c r="Q54" s="544"/>
      <c r="R54" s="544"/>
    </row>
    <row r="56" spans="1:19" x14ac:dyDescent="0.25">
      <c r="B56" s="126"/>
    </row>
  </sheetData>
  <sheetProtection sheet="1" objects="1" scenarios="1"/>
  <mergeCells count="3">
    <mergeCell ref="A2:A3"/>
    <mergeCell ref="B2:B3"/>
    <mergeCell ref="C2:N2"/>
  </mergeCells>
  <phoneticPr fontId="4" type="noConversion"/>
  <printOptions horizontalCentered="1"/>
  <pageMargins left="0.35433070866141736" right="0.17" top="0.78740157480314965" bottom="0.67" header="0.51181102362204722" footer="0.39370078740157483"/>
  <pageSetup paperSize="9" scale="7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4">
    <tabColor indexed="42"/>
    <pageSetUpPr fitToPage="1"/>
  </sheetPr>
  <dimension ref="A1:AD54"/>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K8" sqref="K8"/>
    </sheetView>
  </sheetViews>
  <sheetFormatPr defaultColWidth="9.140625" defaultRowHeight="12.75" x14ac:dyDescent="0.25"/>
  <cols>
    <col min="1" max="1" width="34.140625" style="5" customWidth="1"/>
    <col min="2" max="2" width="3.140625" style="5" customWidth="1"/>
    <col min="3" max="14" width="8.5703125" style="5" customWidth="1"/>
    <col min="15" max="15" width="8.5703125" style="5" hidden="1" customWidth="1"/>
    <col min="16" max="18" width="8.5703125" style="5" customWidth="1"/>
    <col min="19" max="28" width="9.140625" style="5" customWidth="1"/>
    <col min="29" max="30" width="9.140625" style="1336"/>
    <col min="31" max="16384" width="9.140625" style="5"/>
  </cols>
  <sheetData>
    <row r="1" spans="1:29" ht="13.5" x14ac:dyDescent="0.25">
      <c r="A1" s="57" t="str">
        <f>muni&amp;" - "&amp;ADJB14&amp;" - "&amp;Date</f>
        <v xml:space="preserve">KZN226 Mkhambathini - Supporting Table SB14 Adjustments Budget - monthly revenue and expenditure - </v>
      </c>
      <c r="B1" s="57"/>
      <c r="D1" s="58"/>
    </row>
    <row r="2" spans="1:29" ht="25.5" x14ac:dyDescent="0.25">
      <c r="A2" s="1423" t="str">
        <f>desc</f>
        <v>Description</v>
      </c>
      <c r="B2" s="1420" t="str">
        <f>head27</f>
        <v>Ref</v>
      </c>
      <c r="C2" s="1417" t="str">
        <f>Head2</f>
        <v>Budget Year 2020/21</v>
      </c>
      <c r="D2" s="1418"/>
      <c r="E2" s="1418"/>
      <c r="F2" s="1418"/>
      <c r="G2" s="1418"/>
      <c r="H2" s="1418"/>
      <c r="I2" s="1418"/>
      <c r="J2" s="1418"/>
      <c r="K2" s="1418"/>
      <c r="L2" s="1418"/>
      <c r="M2" s="1418"/>
      <c r="N2" s="1419"/>
      <c r="O2" s="525"/>
      <c r="P2" s="526" t="s">
        <v>225</v>
      </c>
      <c r="Q2" s="527"/>
      <c r="R2" s="528"/>
      <c r="AC2" s="1336" t="s">
        <v>1813</v>
      </c>
    </row>
    <row r="3" spans="1:29" ht="38.25" x14ac:dyDescent="0.25">
      <c r="A3" s="1424"/>
      <c r="B3" s="1421"/>
      <c r="C3" s="450" t="s">
        <v>226</v>
      </c>
      <c r="D3" s="318" t="s">
        <v>227</v>
      </c>
      <c r="E3" s="318" t="s">
        <v>228</v>
      </c>
      <c r="F3" s="318" t="s">
        <v>229</v>
      </c>
      <c r="G3" s="318" t="s">
        <v>230</v>
      </c>
      <c r="H3" s="319" t="s">
        <v>231</v>
      </c>
      <c r="I3" s="529" t="s">
        <v>232</v>
      </c>
      <c r="J3" s="530" t="s">
        <v>233</v>
      </c>
      <c r="K3" s="318" t="s">
        <v>234</v>
      </c>
      <c r="L3" s="318" t="s">
        <v>235</v>
      </c>
      <c r="M3" s="531" t="s">
        <v>236</v>
      </c>
      <c r="N3" s="530" t="s">
        <v>237</v>
      </c>
      <c r="O3" s="532" t="s">
        <v>238</v>
      </c>
      <c r="P3" s="529" t="str">
        <f>Head9</f>
        <v>Budget Year 2020/21</v>
      </c>
      <c r="Q3" s="530" t="str">
        <f>Head10</f>
        <v>Budget Year +1 2021/22</v>
      </c>
      <c r="R3" s="320" t="str">
        <f>Head11</f>
        <v>Budget Year +2 2022/23</v>
      </c>
    </row>
    <row r="4" spans="1:29" ht="25.5" x14ac:dyDescent="0.25">
      <c r="A4" s="555" t="s">
        <v>605</v>
      </c>
      <c r="B4" s="104"/>
      <c r="C4" s="802" t="str">
        <f t="shared" ref="C4:H4" si="0">Head5A</f>
        <v>Outcome</v>
      </c>
      <c r="D4" s="803" t="str">
        <f t="shared" si="0"/>
        <v>Outcome</v>
      </c>
      <c r="E4" s="803" t="str">
        <f t="shared" si="0"/>
        <v>Outcome</v>
      </c>
      <c r="F4" s="803" t="str">
        <f t="shared" si="0"/>
        <v>Outcome</v>
      </c>
      <c r="G4" s="803" t="str">
        <f t="shared" si="0"/>
        <v>Outcome</v>
      </c>
      <c r="H4" s="804" t="str">
        <f t="shared" si="0"/>
        <v>Outcome</v>
      </c>
      <c r="I4" s="802" t="str">
        <f t="shared" ref="I4:N4" si="1">Head7</f>
        <v>Adjusted Budget</v>
      </c>
      <c r="J4" s="804" t="str">
        <f t="shared" si="1"/>
        <v>Adjusted Budget</v>
      </c>
      <c r="K4" s="803" t="str">
        <f t="shared" si="1"/>
        <v>Adjusted Budget</v>
      </c>
      <c r="L4" s="803" t="str">
        <f t="shared" si="1"/>
        <v>Adjusted Budget</v>
      </c>
      <c r="M4" s="803" t="str">
        <f t="shared" si="1"/>
        <v>Adjusted Budget</v>
      </c>
      <c r="N4" s="804" t="str">
        <f t="shared" si="1"/>
        <v>Adjusted Budget</v>
      </c>
      <c r="O4" s="534"/>
      <c r="P4" s="535" t="str">
        <f>Head7</f>
        <v>Adjusted Budget</v>
      </c>
      <c r="Q4" s="536" t="str">
        <f>Head7</f>
        <v>Adjusted Budget</v>
      </c>
      <c r="R4" s="537" t="str">
        <f>Head7</f>
        <v>Adjusted Budget</v>
      </c>
    </row>
    <row r="5" spans="1:29" ht="12.75" customHeight="1" x14ac:dyDescent="0.25">
      <c r="A5" s="556" t="s">
        <v>640</v>
      </c>
      <c r="B5" s="127"/>
      <c r="C5" s="238"/>
      <c r="D5" s="75"/>
      <c r="E5" s="75"/>
      <c r="F5" s="75"/>
      <c r="G5" s="75"/>
      <c r="H5" s="506"/>
      <c r="I5" s="238"/>
      <c r="J5" s="75"/>
      <c r="K5" s="75"/>
      <c r="L5" s="75"/>
      <c r="M5" s="75"/>
      <c r="N5" s="506"/>
      <c r="O5" s="538"/>
      <c r="P5" s="238"/>
      <c r="Q5" s="75"/>
      <c r="R5" s="76"/>
    </row>
    <row r="6" spans="1:29" ht="12.75" customHeight="1" x14ac:dyDescent="0.25">
      <c r="A6" s="85" t="str">
        <f>'B4-FinPerf RE'!A7</f>
        <v>Property rates</v>
      </c>
      <c r="B6" s="127"/>
      <c r="C6" s="1360">
        <f>-SUMIFS(Sheet1!S71_MonthlyOutcomeJul,Sheet1!S71_A4Code,$AC:$AC)</f>
        <v>1599907.8400000003</v>
      </c>
      <c r="D6" s="1356">
        <f>-SUMIFS(Sheet1!S71_MonthlyOutcomeAug,Sheet1!S71_A4Code,$AC:$AC)</f>
        <v>1599528.0900000003</v>
      </c>
      <c r="E6" s="1356">
        <f>-SUMIFS(Sheet1!S71_MonthlyOutcomeSep,Sheet1!S71_A4Code,$AC:$AC)</f>
        <v>1599528.0900000003</v>
      </c>
      <c r="F6" s="1356">
        <f>-SUMIFS(Sheet1!S71_MonthlyOutcomeOct,Sheet1!S71_A4Code,$AC:$AC)</f>
        <v>1599528.0900000003</v>
      </c>
      <c r="G6" s="1356">
        <f>-SUMIFS(Sheet1!S71_MonthlyOutcomeNov,Sheet1!S71_A4Code,$AC:$AC)</f>
        <v>1599528.0900000003</v>
      </c>
      <c r="H6" s="1361">
        <f>-SUMIFS(Sheet1!S71_MonthlyOutcomeDec,Sheet1!S71_A4Code,$AC:$AC)</f>
        <v>1599528.0900000003</v>
      </c>
      <c r="I6" s="1360">
        <f t="shared" ref="I6:I21" si="2">(P6-SUM(C6:H6))/6</f>
        <v>1697345.6183333332</v>
      </c>
      <c r="J6" s="1356">
        <f t="shared" ref="J6:J21" si="3">(P6-SUM(C6:H6))/6</f>
        <v>1697345.6183333332</v>
      </c>
      <c r="K6" s="1356">
        <f t="shared" ref="K6:K21" si="4">(P6-SUM(C6:H6))/6</f>
        <v>1697345.6183333332</v>
      </c>
      <c r="L6" s="1356">
        <f t="shared" ref="L6:L21" si="5">(P6-SUM(C6:H6))/6</f>
        <v>1697345.6183333332</v>
      </c>
      <c r="M6" s="1356">
        <f t="shared" ref="M6:M21" si="6">(P6-SUM(C6:H6))/6</f>
        <v>1697345.6183333332</v>
      </c>
      <c r="N6" s="506">
        <f t="shared" ref="N6:N21" si="7">P6-SUM(C6:M6)</f>
        <v>1697345.618333336</v>
      </c>
      <c r="O6" s="538">
        <f t="shared" ref="O6:O21" si="8">SUM(C6:N6)</f>
        <v>19781622</v>
      </c>
      <c r="P6" s="238">
        <f>'B4-FinPerf RE'!K7</f>
        <v>19781622</v>
      </c>
      <c r="Q6" s="75">
        <f>'B4-FinPerf RE'!L7</f>
        <v>21042556</v>
      </c>
      <c r="R6" s="76">
        <f>'B4-FinPerf RE'!M7</f>
        <v>22379146</v>
      </c>
      <c r="AC6" s="1336" t="s">
        <v>1814</v>
      </c>
    </row>
    <row r="7" spans="1:29" ht="12.75" customHeight="1" x14ac:dyDescent="0.25">
      <c r="A7" s="85" t="str">
        <f>'B4-FinPerf RE'!A8</f>
        <v>Service charges - electricity revenue</v>
      </c>
      <c r="B7" s="127"/>
      <c r="C7" s="1360">
        <f>-SUMIFS(Sheet1!S71_MonthlyOutcomeJul,Sheet1!S71_A4Code,$AC:$AC)</f>
        <v>0</v>
      </c>
      <c r="D7" s="1356">
        <f>-SUMIFS(Sheet1!S71_MonthlyOutcomeAug,Sheet1!S71_A4Code,$AC:$AC)</f>
        <v>0</v>
      </c>
      <c r="E7" s="1356">
        <f>-SUMIFS(Sheet1!S71_MonthlyOutcomeSep,Sheet1!S71_A4Code,$AC:$AC)</f>
        <v>0</v>
      </c>
      <c r="F7" s="1356">
        <f>-SUMIFS(Sheet1!S71_MonthlyOutcomeOct,Sheet1!S71_A4Code,$AC:$AC)</f>
        <v>0</v>
      </c>
      <c r="G7" s="1356">
        <f>-SUMIFS(Sheet1!S71_MonthlyOutcomeNov,Sheet1!S71_A4Code,$AC:$AC)</f>
        <v>0</v>
      </c>
      <c r="H7" s="1361">
        <f>-SUMIFS(Sheet1!S71_MonthlyOutcomeDec,Sheet1!S71_A4Code,$AC:$AC)</f>
        <v>0</v>
      </c>
      <c r="I7" s="1360">
        <f t="shared" si="2"/>
        <v>0</v>
      </c>
      <c r="J7" s="1356">
        <f t="shared" si="3"/>
        <v>0</v>
      </c>
      <c r="K7" s="1356">
        <f t="shared" si="4"/>
        <v>0</v>
      </c>
      <c r="L7" s="1356">
        <f t="shared" si="5"/>
        <v>0</v>
      </c>
      <c r="M7" s="1356">
        <f t="shared" si="6"/>
        <v>0</v>
      </c>
      <c r="N7" s="506">
        <f t="shared" si="7"/>
        <v>0</v>
      </c>
      <c r="O7" s="538">
        <f t="shared" si="8"/>
        <v>0</v>
      </c>
      <c r="P7" s="238">
        <f>'B4-FinPerf RE'!K8</f>
        <v>0</v>
      </c>
      <c r="Q7" s="75">
        <f>'B4-FinPerf RE'!L8</f>
        <v>0</v>
      </c>
      <c r="R7" s="76">
        <f>'B4-FinPerf RE'!M8</f>
        <v>0</v>
      </c>
      <c r="AC7" s="1336" t="s">
        <v>1815</v>
      </c>
    </row>
    <row r="8" spans="1:29" ht="12.75" customHeight="1" x14ac:dyDescent="0.25">
      <c r="A8" s="85" t="str">
        <f>'B4-FinPerf RE'!A9</f>
        <v>Service charges - water revenue</v>
      </c>
      <c r="B8" s="127"/>
      <c r="C8" s="1360">
        <f>-SUMIFS(Sheet1!S71_MonthlyOutcomeJul,Sheet1!S71_A4Code,$AC:$AC)</f>
        <v>0</v>
      </c>
      <c r="D8" s="1356">
        <f>-SUMIFS(Sheet1!S71_MonthlyOutcomeAug,Sheet1!S71_A4Code,$AC:$AC)</f>
        <v>0</v>
      </c>
      <c r="E8" s="1356">
        <f>-SUMIFS(Sheet1!S71_MonthlyOutcomeSep,Sheet1!S71_A4Code,$AC:$AC)</f>
        <v>0</v>
      </c>
      <c r="F8" s="1356">
        <f>-SUMIFS(Sheet1!S71_MonthlyOutcomeOct,Sheet1!S71_A4Code,$AC:$AC)</f>
        <v>0</v>
      </c>
      <c r="G8" s="1356">
        <f>-SUMIFS(Sheet1!S71_MonthlyOutcomeNov,Sheet1!S71_A4Code,$AC:$AC)</f>
        <v>0</v>
      </c>
      <c r="H8" s="1361">
        <f>-SUMIFS(Sheet1!S71_MonthlyOutcomeDec,Sheet1!S71_A4Code,$AC:$AC)</f>
        <v>0</v>
      </c>
      <c r="I8" s="1360">
        <f t="shared" si="2"/>
        <v>0</v>
      </c>
      <c r="J8" s="1356">
        <f t="shared" si="3"/>
        <v>0</v>
      </c>
      <c r="K8" s="1356">
        <f t="shared" si="4"/>
        <v>0</v>
      </c>
      <c r="L8" s="1356">
        <f t="shared" si="5"/>
        <v>0</v>
      </c>
      <c r="M8" s="1356">
        <f t="shared" si="6"/>
        <v>0</v>
      </c>
      <c r="N8" s="506">
        <f t="shared" si="7"/>
        <v>0</v>
      </c>
      <c r="O8" s="538">
        <f t="shared" si="8"/>
        <v>0</v>
      </c>
      <c r="P8" s="238">
        <f>'B4-FinPerf RE'!K9</f>
        <v>0</v>
      </c>
      <c r="Q8" s="75">
        <f>'B4-FinPerf RE'!L9</f>
        <v>0</v>
      </c>
      <c r="R8" s="76">
        <f>'B4-FinPerf RE'!M9</f>
        <v>0</v>
      </c>
      <c r="AC8" s="1336" t="s">
        <v>1816</v>
      </c>
    </row>
    <row r="9" spans="1:29" ht="12.75" customHeight="1" x14ac:dyDescent="0.25">
      <c r="A9" s="85" t="str">
        <f>'B4-FinPerf RE'!A10</f>
        <v>Service charges - sanitation revenue</v>
      </c>
      <c r="B9" s="127"/>
      <c r="C9" s="1360">
        <f>-SUMIFS(Sheet1!S71_MonthlyOutcomeJul,Sheet1!S71_A4Code,$AC:$AC)</f>
        <v>0</v>
      </c>
      <c r="D9" s="1356">
        <f>-SUMIFS(Sheet1!S71_MonthlyOutcomeAug,Sheet1!S71_A4Code,$AC:$AC)</f>
        <v>0</v>
      </c>
      <c r="E9" s="1356">
        <f>-SUMIFS(Sheet1!S71_MonthlyOutcomeSep,Sheet1!S71_A4Code,$AC:$AC)</f>
        <v>0</v>
      </c>
      <c r="F9" s="1356">
        <f>-SUMIFS(Sheet1!S71_MonthlyOutcomeOct,Sheet1!S71_A4Code,$AC:$AC)</f>
        <v>0</v>
      </c>
      <c r="G9" s="1356">
        <f>-SUMIFS(Sheet1!S71_MonthlyOutcomeNov,Sheet1!S71_A4Code,$AC:$AC)</f>
        <v>0</v>
      </c>
      <c r="H9" s="1361">
        <f>-SUMIFS(Sheet1!S71_MonthlyOutcomeDec,Sheet1!S71_A4Code,$AC:$AC)</f>
        <v>0</v>
      </c>
      <c r="I9" s="1360">
        <f t="shared" si="2"/>
        <v>0</v>
      </c>
      <c r="J9" s="1356">
        <f t="shared" si="3"/>
        <v>0</v>
      </c>
      <c r="K9" s="1356">
        <f t="shared" si="4"/>
        <v>0</v>
      </c>
      <c r="L9" s="1356">
        <f t="shared" si="5"/>
        <v>0</v>
      </c>
      <c r="M9" s="1356">
        <f t="shared" si="6"/>
        <v>0</v>
      </c>
      <c r="N9" s="506">
        <f t="shared" si="7"/>
        <v>0</v>
      </c>
      <c r="O9" s="538">
        <f t="shared" si="8"/>
        <v>0</v>
      </c>
      <c r="P9" s="238">
        <f>'B4-FinPerf RE'!K10</f>
        <v>0</v>
      </c>
      <c r="Q9" s="75">
        <f>'B4-FinPerf RE'!L10</f>
        <v>0</v>
      </c>
      <c r="R9" s="76">
        <f>'B4-FinPerf RE'!M10</f>
        <v>0</v>
      </c>
      <c r="AC9" s="1336" t="s">
        <v>1817</v>
      </c>
    </row>
    <row r="10" spans="1:29" ht="12.75" customHeight="1" x14ac:dyDescent="0.25">
      <c r="A10" s="85" t="str">
        <f>'B4-FinPerf RE'!A11</f>
        <v>Service charges - refuse revenue</v>
      </c>
      <c r="B10" s="127"/>
      <c r="C10" s="1360">
        <f>-SUMIFS(Sheet1!S71_MonthlyOutcomeJul,Sheet1!S71_A4Code,$AC:$AC)</f>
        <v>44457.98</v>
      </c>
      <c r="D10" s="1356">
        <f>-SUMIFS(Sheet1!S71_MonthlyOutcomeAug,Sheet1!S71_A4Code,$AC:$AC)</f>
        <v>44457.98</v>
      </c>
      <c r="E10" s="1356">
        <f>-SUMIFS(Sheet1!S71_MonthlyOutcomeSep,Sheet1!S71_A4Code,$AC:$AC)</f>
        <v>44457.98</v>
      </c>
      <c r="F10" s="1356">
        <f>-SUMIFS(Sheet1!S71_MonthlyOutcomeOct,Sheet1!S71_A4Code,$AC:$AC)</f>
        <v>44457.98</v>
      </c>
      <c r="G10" s="1356">
        <f>-SUMIFS(Sheet1!S71_MonthlyOutcomeNov,Sheet1!S71_A4Code,$AC:$AC)</f>
        <v>44457.98</v>
      </c>
      <c r="H10" s="1361">
        <f>-SUMIFS(Sheet1!S71_MonthlyOutcomeDec,Sheet1!S71_A4Code,$AC:$AC)</f>
        <v>44457.98</v>
      </c>
      <c r="I10" s="1360">
        <f t="shared" si="2"/>
        <v>51256.52</v>
      </c>
      <c r="J10" s="1356">
        <f t="shared" si="3"/>
        <v>51256.52</v>
      </c>
      <c r="K10" s="1356">
        <f t="shared" si="4"/>
        <v>51256.52</v>
      </c>
      <c r="L10" s="1356">
        <f t="shared" si="5"/>
        <v>51256.52</v>
      </c>
      <c r="M10" s="1356">
        <f t="shared" si="6"/>
        <v>51256.52</v>
      </c>
      <c r="N10" s="506">
        <f t="shared" si="7"/>
        <v>51256.519999999902</v>
      </c>
      <c r="O10" s="538">
        <f t="shared" si="8"/>
        <v>574287</v>
      </c>
      <c r="P10" s="238">
        <f>'B4-FinPerf RE'!K11</f>
        <v>574287</v>
      </c>
      <c r="Q10" s="75">
        <f>'B4-FinPerf RE'!L11</f>
        <v>608744</v>
      </c>
      <c r="R10" s="76">
        <f>'B4-FinPerf RE'!M11</f>
        <v>645269</v>
      </c>
      <c r="AC10" s="1336" t="s">
        <v>1818</v>
      </c>
    </row>
    <row r="11" spans="1:29" ht="0.95" customHeight="1" x14ac:dyDescent="0.25">
      <c r="A11" s="85">
        <f>'B4-FinPerf RE'!A12</f>
        <v>0</v>
      </c>
      <c r="B11" s="127"/>
      <c r="C11" s="1360">
        <f>-SUMIFS(Sheet1!S71_MonthlyOutcomeJul,Sheet1!S71_A4Code,$AC:$AC)</f>
        <v>0</v>
      </c>
      <c r="D11" s="1356">
        <f>-SUMIFS(Sheet1!S71_MonthlyOutcomeAug,Sheet1!S71_A4Code,$AC:$AC)</f>
        <v>0</v>
      </c>
      <c r="E11" s="1356">
        <f>-SUMIFS(Sheet1!S71_MonthlyOutcomeSep,Sheet1!S71_A4Code,$AC:$AC)</f>
        <v>0</v>
      </c>
      <c r="F11" s="1356">
        <f>-SUMIFS(Sheet1!S71_MonthlyOutcomeOct,Sheet1!S71_A4Code,$AC:$AC)</f>
        <v>0</v>
      </c>
      <c r="G11" s="1356">
        <f>-SUMIFS(Sheet1!S71_MonthlyOutcomeNov,Sheet1!S71_A4Code,$AC:$AC)</f>
        <v>0</v>
      </c>
      <c r="H11" s="1361">
        <f>-SUMIFS(Sheet1!S71_MonthlyOutcomeDec,Sheet1!S71_A4Code,$AC:$AC)</f>
        <v>0</v>
      </c>
      <c r="I11" s="1360">
        <f t="shared" si="2"/>
        <v>0</v>
      </c>
      <c r="J11" s="1356">
        <f t="shared" si="3"/>
        <v>0</v>
      </c>
      <c r="K11" s="1356">
        <f t="shared" si="4"/>
        <v>0</v>
      </c>
      <c r="L11" s="1356">
        <f t="shared" si="5"/>
        <v>0</v>
      </c>
      <c r="M11" s="1356">
        <f t="shared" si="6"/>
        <v>0</v>
      </c>
      <c r="N11" s="1308"/>
      <c r="O11" s="1309"/>
      <c r="P11" s="1110"/>
      <c r="Q11" s="130"/>
      <c r="R11" s="131"/>
    </row>
    <row r="12" spans="1:29" ht="12.75" customHeight="1" x14ac:dyDescent="0.25">
      <c r="A12" s="85" t="str">
        <f>'B4-FinPerf RE'!A13</f>
        <v>Rental of facilities and equipment</v>
      </c>
      <c r="B12" s="127"/>
      <c r="C12" s="1360">
        <f>-SUMIFS(Sheet1!S71_MonthlyOutcomeJul,Sheet1!S71_A4Code,$AC:$AC)</f>
        <v>0</v>
      </c>
      <c r="D12" s="1356">
        <f>-SUMIFS(Sheet1!S71_MonthlyOutcomeAug,Sheet1!S71_A4Code,$AC:$AC)</f>
        <v>0</v>
      </c>
      <c r="E12" s="1356">
        <f>-SUMIFS(Sheet1!S71_MonthlyOutcomeSep,Sheet1!S71_A4Code,$AC:$AC)</f>
        <v>0</v>
      </c>
      <c r="F12" s="1356">
        <f>-SUMIFS(Sheet1!S71_MonthlyOutcomeOct,Sheet1!S71_A4Code,$AC:$AC)</f>
        <v>0</v>
      </c>
      <c r="G12" s="1356">
        <f>-SUMIFS(Sheet1!S71_MonthlyOutcomeNov,Sheet1!S71_A4Code,$AC:$AC)</f>
        <v>0</v>
      </c>
      <c r="H12" s="1361">
        <f>-SUMIFS(Sheet1!S71_MonthlyOutcomeDec,Sheet1!S71_A4Code,$AC:$AC)</f>
        <v>0</v>
      </c>
      <c r="I12" s="1360">
        <f t="shared" si="2"/>
        <v>57530.166666666664</v>
      </c>
      <c r="J12" s="1356">
        <f t="shared" si="3"/>
        <v>57530.166666666664</v>
      </c>
      <c r="K12" s="1356">
        <f t="shared" si="4"/>
        <v>57530.166666666664</v>
      </c>
      <c r="L12" s="1356">
        <f t="shared" si="5"/>
        <v>57530.166666666664</v>
      </c>
      <c r="M12" s="1356">
        <f t="shared" si="6"/>
        <v>57530.166666666664</v>
      </c>
      <c r="N12" s="506">
        <f t="shared" si="7"/>
        <v>57530.166666666686</v>
      </c>
      <c r="O12" s="538">
        <f t="shared" si="8"/>
        <v>345181</v>
      </c>
      <c r="P12" s="238">
        <f>'B4-FinPerf RE'!K13</f>
        <v>345181</v>
      </c>
      <c r="Q12" s="75">
        <f>'B4-FinPerf RE'!L13</f>
        <v>365892</v>
      </c>
      <c r="R12" s="76">
        <f>'B4-FinPerf RE'!M13</f>
        <v>387846</v>
      </c>
      <c r="AC12" s="1336" t="s">
        <v>1819</v>
      </c>
    </row>
    <row r="13" spans="1:29" ht="12.75" customHeight="1" x14ac:dyDescent="0.25">
      <c r="A13" s="85" t="str">
        <f>'B4-FinPerf RE'!A14</f>
        <v>Interest earned - external investments</v>
      </c>
      <c r="B13" s="127"/>
      <c r="C13" s="1360">
        <f>-SUMIFS(Sheet1!S71_MonthlyOutcomeJul,Sheet1!S71_A4Code,$AC:$AC)</f>
        <v>169079.03</v>
      </c>
      <c r="D13" s="1356">
        <f>-SUMIFS(Sheet1!S71_MonthlyOutcomeAug,Sheet1!S71_A4Code,$AC:$AC)</f>
        <v>209517.38</v>
      </c>
      <c r="E13" s="1356">
        <f>-SUMIFS(Sheet1!S71_MonthlyOutcomeSep,Sheet1!S71_A4Code,$AC:$AC)</f>
        <v>159306.91</v>
      </c>
      <c r="F13" s="1356">
        <f>-SUMIFS(Sheet1!S71_MonthlyOutcomeOct,Sheet1!S71_A4Code,$AC:$AC)</f>
        <v>122414.04000000001</v>
      </c>
      <c r="G13" s="1356">
        <f>-SUMIFS(Sheet1!S71_MonthlyOutcomeNov,Sheet1!S71_A4Code,$AC:$AC)</f>
        <v>105160.53</v>
      </c>
      <c r="H13" s="1361">
        <f>-SUMIFS(Sheet1!S71_MonthlyOutcomeDec,Sheet1!S71_A4Code,$AC:$AC)</f>
        <v>127274.03</v>
      </c>
      <c r="I13" s="1360">
        <f t="shared" si="2"/>
        <v>492874.68</v>
      </c>
      <c r="J13" s="1356">
        <f t="shared" si="3"/>
        <v>492874.68</v>
      </c>
      <c r="K13" s="1356">
        <f t="shared" si="4"/>
        <v>492874.68</v>
      </c>
      <c r="L13" s="1356">
        <f t="shared" si="5"/>
        <v>492874.68</v>
      </c>
      <c r="M13" s="1356">
        <f t="shared" si="6"/>
        <v>492874.68</v>
      </c>
      <c r="N13" s="506">
        <f t="shared" si="7"/>
        <v>492874.6799999997</v>
      </c>
      <c r="O13" s="538">
        <f t="shared" si="8"/>
        <v>3850000</v>
      </c>
      <c r="P13" s="238">
        <f>'B4-FinPerf RE'!K14</f>
        <v>3850000</v>
      </c>
      <c r="Q13" s="75">
        <f>'B4-FinPerf RE'!L14</f>
        <v>4081000</v>
      </c>
      <c r="R13" s="76">
        <f>'B4-FinPerf RE'!M14</f>
        <v>4325860</v>
      </c>
      <c r="AC13" s="1336" t="s">
        <v>1820</v>
      </c>
    </row>
    <row r="14" spans="1:29" ht="12.75" customHeight="1" x14ac:dyDescent="0.25">
      <c r="A14" s="85" t="str">
        <f>'B4-FinPerf RE'!A15</f>
        <v>Interest earned - outstanding debtors</v>
      </c>
      <c r="B14" s="127"/>
      <c r="C14" s="1360">
        <f>-SUMIFS(Sheet1!S71_MonthlyOutcomeJul,Sheet1!S71_A4Code,$AC:$AC)</f>
        <v>0</v>
      </c>
      <c r="D14" s="1356">
        <f>-SUMIFS(Sheet1!S71_MonthlyOutcomeAug,Sheet1!S71_A4Code,$AC:$AC)</f>
        <v>0</v>
      </c>
      <c r="E14" s="1356">
        <f>-SUMIFS(Sheet1!S71_MonthlyOutcomeSep,Sheet1!S71_A4Code,$AC:$AC)</f>
        <v>0</v>
      </c>
      <c r="F14" s="1356">
        <f>-SUMIFS(Sheet1!S71_MonthlyOutcomeOct,Sheet1!S71_A4Code,$AC:$AC)</f>
        <v>0</v>
      </c>
      <c r="G14" s="1356">
        <f>-SUMIFS(Sheet1!S71_MonthlyOutcomeNov,Sheet1!S71_A4Code,$AC:$AC)</f>
        <v>0</v>
      </c>
      <c r="H14" s="1361">
        <f>-SUMIFS(Sheet1!S71_MonthlyOutcomeDec,Sheet1!S71_A4Code,$AC:$AC)</f>
        <v>0</v>
      </c>
      <c r="I14" s="1360">
        <f t="shared" si="2"/>
        <v>0</v>
      </c>
      <c r="J14" s="1356">
        <f t="shared" si="3"/>
        <v>0</v>
      </c>
      <c r="K14" s="1356">
        <f t="shared" si="4"/>
        <v>0</v>
      </c>
      <c r="L14" s="1356">
        <f t="shared" si="5"/>
        <v>0</v>
      </c>
      <c r="M14" s="1356">
        <f t="shared" si="6"/>
        <v>0</v>
      </c>
      <c r="N14" s="506">
        <f t="shared" si="7"/>
        <v>0</v>
      </c>
      <c r="O14" s="538">
        <f t="shared" si="8"/>
        <v>0</v>
      </c>
      <c r="P14" s="238">
        <f>'B4-FinPerf RE'!K15</f>
        <v>0</v>
      </c>
      <c r="Q14" s="75">
        <f>'B4-FinPerf RE'!L15</f>
        <v>1958654</v>
      </c>
      <c r="R14" s="76">
        <f>'B4-FinPerf RE'!M15</f>
        <v>2037000</v>
      </c>
      <c r="AC14" s="1336" t="s">
        <v>1821</v>
      </c>
    </row>
    <row r="15" spans="1:29" ht="12.75" customHeight="1" x14ac:dyDescent="0.25">
      <c r="A15" s="85" t="str">
        <f>'B4-FinPerf RE'!A16</f>
        <v>Dividends received</v>
      </c>
      <c r="B15" s="127"/>
      <c r="C15" s="1360">
        <f>-SUMIFS(Sheet1!S71_MonthlyOutcomeJul,Sheet1!S71_A4Code,$AC:$AC)</f>
        <v>0</v>
      </c>
      <c r="D15" s="1356">
        <f>-SUMIFS(Sheet1!S71_MonthlyOutcomeAug,Sheet1!S71_A4Code,$AC:$AC)</f>
        <v>0</v>
      </c>
      <c r="E15" s="1356">
        <f>-SUMIFS(Sheet1!S71_MonthlyOutcomeSep,Sheet1!S71_A4Code,$AC:$AC)</f>
        <v>0</v>
      </c>
      <c r="F15" s="1356">
        <f>-SUMIFS(Sheet1!S71_MonthlyOutcomeOct,Sheet1!S71_A4Code,$AC:$AC)</f>
        <v>0</v>
      </c>
      <c r="G15" s="1356">
        <f>-SUMIFS(Sheet1!S71_MonthlyOutcomeNov,Sheet1!S71_A4Code,$AC:$AC)</f>
        <v>0</v>
      </c>
      <c r="H15" s="1361">
        <f>-SUMIFS(Sheet1!S71_MonthlyOutcomeDec,Sheet1!S71_A4Code,$AC:$AC)</f>
        <v>0</v>
      </c>
      <c r="I15" s="1360">
        <f t="shared" si="2"/>
        <v>0</v>
      </c>
      <c r="J15" s="1356">
        <f t="shared" si="3"/>
        <v>0</v>
      </c>
      <c r="K15" s="1356">
        <f t="shared" si="4"/>
        <v>0</v>
      </c>
      <c r="L15" s="1356">
        <f t="shared" si="5"/>
        <v>0</v>
      </c>
      <c r="M15" s="1356">
        <f t="shared" si="6"/>
        <v>0</v>
      </c>
      <c r="N15" s="506">
        <f t="shared" si="7"/>
        <v>0</v>
      </c>
      <c r="O15" s="538">
        <f t="shared" si="8"/>
        <v>0</v>
      </c>
      <c r="P15" s="238">
        <f>'B4-FinPerf RE'!K16</f>
        <v>0</v>
      </c>
      <c r="Q15" s="75">
        <f>'B4-FinPerf RE'!L16</f>
        <v>0</v>
      </c>
      <c r="R15" s="76">
        <f>'B4-FinPerf RE'!M16</f>
        <v>0</v>
      </c>
      <c r="AC15" s="1336" t="s">
        <v>1822</v>
      </c>
    </row>
    <row r="16" spans="1:29" ht="12.75" customHeight="1" x14ac:dyDescent="0.25">
      <c r="A16" s="85" t="str">
        <f>'B4-FinPerf RE'!A17</f>
        <v>Fines, penalties and forfeits</v>
      </c>
      <c r="B16" s="127"/>
      <c r="C16" s="1360">
        <f>-SUMIFS(Sheet1!S71_MonthlyOutcomeJul,Sheet1!S71_A4Code,$AC:$AC)</f>
        <v>0</v>
      </c>
      <c r="D16" s="1356">
        <f>-SUMIFS(Sheet1!S71_MonthlyOutcomeAug,Sheet1!S71_A4Code,$AC:$AC)</f>
        <v>0</v>
      </c>
      <c r="E16" s="1356">
        <f>-SUMIFS(Sheet1!S71_MonthlyOutcomeSep,Sheet1!S71_A4Code,$AC:$AC)</f>
        <v>0</v>
      </c>
      <c r="F16" s="1356">
        <f>-SUMIFS(Sheet1!S71_MonthlyOutcomeOct,Sheet1!S71_A4Code,$AC:$AC)</f>
        <v>1.0000000012299779</v>
      </c>
      <c r="G16" s="1356">
        <f>-SUMIFS(Sheet1!S71_MonthlyOutcomeNov,Sheet1!S71_A4Code,$AC:$AC)</f>
        <v>2</v>
      </c>
      <c r="H16" s="1361">
        <f>-SUMIFS(Sheet1!S71_MonthlyOutcomeDec,Sheet1!S71_A4Code,$AC:$AC)</f>
        <v>0</v>
      </c>
      <c r="I16" s="1360">
        <f t="shared" si="2"/>
        <v>5699.4999999997954</v>
      </c>
      <c r="J16" s="1356">
        <f t="shared" si="3"/>
        <v>5699.4999999997954</v>
      </c>
      <c r="K16" s="1356">
        <f t="shared" si="4"/>
        <v>5699.4999999997954</v>
      </c>
      <c r="L16" s="1356">
        <f t="shared" si="5"/>
        <v>5699.4999999997954</v>
      </c>
      <c r="M16" s="1356">
        <f t="shared" si="6"/>
        <v>5699.4999999997954</v>
      </c>
      <c r="N16" s="506">
        <f t="shared" si="7"/>
        <v>5699.4999999997926</v>
      </c>
      <c r="O16" s="538">
        <f t="shared" si="8"/>
        <v>34200</v>
      </c>
      <c r="P16" s="238">
        <f>'B4-FinPerf RE'!K17</f>
        <v>34200</v>
      </c>
      <c r="Q16" s="75">
        <f>'B4-FinPerf RE'!L17</f>
        <v>36252</v>
      </c>
      <c r="R16" s="76">
        <f>'B4-FinPerf RE'!M17</f>
        <v>38427</v>
      </c>
      <c r="AC16" s="1336" t="s">
        <v>1823</v>
      </c>
    </row>
    <row r="17" spans="1:29" ht="12.75" customHeight="1" x14ac:dyDescent="0.25">
      <c r="A17" s="85" t="str">
        <f>'B4-FinPerf RE'!A18</f>
        <v>Licences and permits</v>
      </c>
      <c r="B17" s="127"/>
      <c r="C17" s="1360">
        <f>-SUMIFS(Sheet1!S71_MonthlyOutcomeJul,Sheet1!S71_A4Code,$AC:$AC)</f>
        <v>346268.21</v>
      </c>
      <c r="D17" s="1356">
        <f>-SUMIFS(Sheet1!S71_MonthlyOutcomeAug,Sheet1!S71_A4Code,$AC:$AC)</f>
        <v>290126.39</v>
      </c>
      <c r="E17" s="1356">
        <f>-SUMIFS(Sheet1!S71_MonthlyOutcomeSep,Sheet1!S71_A4Code,$AC:$AC)</f>
        <v>347747.81000000006</v>
      </c>
      <c r="F17" s="1356">
        <f>-SUMIFS(Sheet1!S71_MonthlyOutcomeOct,Sheet1!S71_A4Code,$AC:$AC)</f>
        <v>477817.36</v>
      </c>
      <c r="G17" s="1356">
        <f>-SUMIFS(Sheet1!S71_MonthlyOutcomeNov,Sheet1!S71_A4Code,$AC:$AC)</f>
        <v>945406.74999999988</v>
      </c>
      <c r="H17" s="1361">
        <f>-SUMIFS(Sheet1!S71_MonthlyOutcomeDec,Sheet1!S71_A4Code,$AC:$AC)</f>
        <v>405995.71</v>
      </c>
      <c r="I17" s="1360">
        <f t="shared" si="2"/>
        <v>718157.96166666655</v>
      </c>
      <c r="J17" s="1356">
        <f t="shared" si="3"/>
        <v>718157.96166666655</v>
      </c>
      <c r="K17" s="1356">
        <f t="shared" si="4"/>
        <v>718157.96166666655</v>
      </c>
      <c r="L17" s="1356">
        <f t="shared" si="5"/>
        <v>718157.96166666655</v>
      </c>
      <c r="M17" s="1356">
        <f t="shared" si="6"/>
        <v>718157.96166666655</v>
      </c>
      <c r="N17" s="506">
        <f t="shared" si="7"/>
        <v>718157.96166666597</v>
      </c>
      <c r="O17" s="538">
        <f t="shared" si="8"/>
        <v>7122310</v>
      </c>
      <c r="P17" s="238">
        <f>'B4-FinPerf RE'!K18</f>
        <v>7122310</v>
      </c>
      <c r="Q17" s="75">
        <f>'B4-FinPerf RE'!L18</f>
        <v>7548377</v>
      </c>
      <c r="R17" s="76">
        <f>'B4-FinPerf RE'!M18</f>
        <v>8001279</v>
      </c>
      <c r="AC17" s="1336" t="s">
        <v>1824</v>
      </c>
    </row>
    <row r="18" spans="1:29" ht="12.75" customHeight="1" x14ac:dyDescent="0.25">
      <c r="A18" s="85" t="str">
        <f>'B4-FinPerf RE'!A19</f>
        <v>Agency services</v>
      </c>
      <c r="B18" s="127"/>
      <c r="C18" s="1360">
        <f>-SUMIFS(Sheet1!S71_MonthlyOutcomeJul,Sheet1!S71_A4Code,$AC:$AC)</f>
        <v>0</v>
      </c>
      <c r="D18" s="1356">
        <f>-SUMIFS(Sheet1!S71_MonthlyOutcomeAug,Sheet1!S71_A4Code,$AC:$AC)</f>
        <v>0</v>
      </c>
      <c r="E18" s="1356">
        <f>-SUMIFS(Sheet1!S71_MonthlyOutcomeSep,Sheet1!S71_A4Code,$AC:$AC)</f>
        <v>0</v>
      </c>
      <c r="F18" s="1356">
        <f>-SUMIFS(Sheet1!S71_MonthlyOutcomeOct,Sheet1!S71_A4Code,$AC:$AC)</f>
        <v>0</v>
      </c>
      <c r="G18" s="1356">
        <f>-SUMIFS(Sheet1!S71_MonthlyOutcomeNov,Sheet1!S71_A4Code,$AC:$AC)</f>
        <v>0</v>
      </c>
      <c r="H18" s="1361">
        <f>-SUMIFS(Sheet1!S71_MonthlyOutcomeDec,Sheet1!S71_A4Code,$AC:$AC)</f>
        <v>0</v>
      </c>
      <c r="I18" s="1360">
        <f t="shared" si="2"/>
        <v>0</v>
      </c>
      <c r="J18" s="1356">
        <f t="shared" si="3"/>
        <v>0</v>
      </c>
      <c r="K18" s="1356">
        <f t="shared" si="4"/>
        <v>0</v>
      </c>
      <c r="L18" s="1356">
        <f t="shared" si="5"/>
        <v>0</v>
      </c>
      <c r="M18" s="1356">
        <f t="shared" si="6"/>
        <v>0</v>
      </c>
      <c r="N18" s="506">
        <f t="shared" si="7"/>
        <v>0</v>
      </c>
      <c r="O18" s="538">
        <f t="shared" si="8"/>
        <v>0</v>
      </c>
      <c r="P18" s="238">
        <f>'B4-FinPerf RE'!K19</f>
        <v>0</v>
      </c>
      <c r="Q18" s="75">
        <f>'B4-FinPerf RE'!L19</f>
        <v>0</v>
      </c>
      <c r="R18" s="76">
        <f>'B4-FinPerf RE'!M19</f>
        <v>0</v>
      </c>
      <c r="AC18" s="1336" t="s">
        <v>1825</v>
      </c>
    </row>
    <row r="19" spans="1:29" ht="12.75" customHeight="1" x14ac:dyDescent="0.25">
      <c r="A19" s="85" t="str">
        <f>'B4-FinPerf RE'!A20</f>
        <v>Transfers and subsidies</v>
      </c>
      <c r="B19" s="127"/>
      <c r="C19" s="1360">
        <f>-SUMIFS(Sheet1!S71_MonthlyOutcomeJul,Sheet1!S71_A4Code,$AC:$AC)</f>
        <v>30298000</v>
      </c>
      <c r="D19" s="1356">
        <f>-SUMIFS(Sheet1!S71_MonthlyOutcomeAug,Sheet1!S71_A4Code,$AC:$AC)</f>
        <v>530001.34</v>
      </c>
      <c r="E19" s="1356">
        <f>-SUMIFS(Sheet1!S71_MonthlyOutcomeSep,Sheet1!S71_A4Code,$AC:$AC)</f>
        <v>463909.88</v>
      </c>
      <c r="F19" s="1356">
        <f>-SUMIFS(Sheet1!S71_MonthlyOutcomeOct,Sheet1!S71_A4Code,$AC:$AC)</f>
        <v>578012.12</v>
      </c>
      <c r="G19" s="1356">
        <f>-SUMIFS(Sheet1!S71_MonthlyOutcomeNov,Sheet1!S71_A4Code,$AC:$AC)</f>
        <v>496758.38</v>
      </c>
      <c r="H19" s="1361">
        <f>-SUMIFS(Sheet1!S71_MonthlyOutcomeDec,Sheet1!S71_A4Code,$AC:$AC)</f>
        <v>33239067.539999999</v>
      </c>
      <c r="I19" s="1360">
        <f t="shared" si="2"/>
        <v>3314875.1233333335</v>
      </c>
      <c r="J19" s="1356">
        <f t="shared" si="3"/>
        <v>3314875.1233333335</v>
      </c>
      <c r="K19" s="1356">
        <f t="shared" si="4"/>
        <v>3314875.1233333335</v>
      </c>
      <c r="L19" s="1356">
        <f t="shared" si="5"/>
        <v>3314875.1233333335</v>
      </c>
      <c r="M19" s="1356">
        <f t="shared" si="6"/>
        <v>3314875.1233333335</v>
      </c>
      <c r="N19" s="506">
        <f t="shared" si="7"/>
        <v>3314875.1233333349</v>
      </c>
      <c r="O19" s="538">
        <f t="shared" si="8"/>
        <v>85495000</v>
      </c>
      <c r="P19" s="238">
        <f>'B4-FinPerf RE'!K20</f>
        <v>85495000</v>
      </c>
      <c r="Q19" s="75">
        <f>'B4-FinPerf RE'!L20</f>
        <v>77240000</v>
      </c>
      <c r="R19" s="76">
        <f>'B4-FinPerf RE'!M20</f>
        <v>81898000</v>
      </c>
      <c r="AC19" s="1336" t="s">
        <v>1826</v>
      </c>
    </row>
    <row r="20" spans="1:29" ht="12.75" customHeight="1" x14ac:dyDescent="0.25">
      <c r="A20" s="85" t="str">
        <f>'B4-FinPerf RE'!A21</f>
        <v>Other revenue</v>
      </c>
      <c r="B20" s="127"/>
      <c r="C20" s="1360">
        <f>-SUMIFS(Sheet1!S71_MonthlyOutcomeJul,Sheet1!S71_A4Code,$AC:$AC)</f>
        <v>48959.770000000004</v>
      </c>
      <c r="D20" s="1356">
        <f>-SUMIFS(Sheet1!S71_MonthlyOutcomeAug,Sheet1!S71_A4Code,$AC:$AC)</f>
        <v>61072.079999999987</v>
      </c>
      <c r="E20" s="1356">
        <f>-SUMIFS(Sheet1!S71_MonthlyOutcomeSep,Sheet1!S71_A4Code,$AC:$AC)</f>
        <v>25873.59</v>
      </c>
      <c r="F20" s="1356">
        <f>-SUMIFS(Sheet1!S71_MonthlyOutcomeOct,Sheet1!S71_A4Code,$AC:$AC)</f>
        <v>3873.91</v>
      </c>
      <c r="G20" s="1356">
        <f>-SUMIFS(Sheet1!S71_MonthlyOutcomeNov,Sheet1!S71_A4Code,$AC:$AC)</f>
        <v>51985.149999999972</v>
      </c>
      <c r="H20" s="1361">
        <f>-SUMIFS(Sheet1!S71_MonthlyOutcomeDec,Sheet1!S71_A4Code,$AC:$AC)</f>
        <v>2282272.1400000006</v>
      </c>
      <c r="I20" s="1360">
        <f t="shared" si="2"/>
        <v>37734.726666666567</v>
      </c>
      <c r="J20" s="1356">
        <f t="shared" si="3"/>
        <v>37734.726666666567</v>
      </c>
      <c r="K20" s="1356">
        <f t="shared" si="4"/>
        <v>37734.726666666567</v>
      </c>
      <c r="L20" s="1356">
        <f t="shared" si="5"/>
        <v>37734.726666666567</v>
      </c>
      <c r="M20" s="1356">
        <f t="shared" si="6"/>
        <v>37734.726666666567</v>
      </c>
      <c r="N20" s="506">
        <f t="shared" si="7"/>
        <v>37734.726666666567</v>
      </c>
      <c r="O20" s="538">
        <f t="shared" si="8"/>
        <v>2700445</v>
      </c>
      <c r="P20" s="238">
        <f>'B4-FinPerf RE'!K21</f>
        <v>2700445</v>
      </c>
      <c r="Q20" s="75">
        <f>'B4-FinPerf RE'!L21</f>
        <v>1230228</v>
      </c>
      <c r="R20" s="76">
        <f>'B4-FinPerf RE'!M21</f>
        <v>1289046</v>
      </c>
      <c r="AC20" s="1336" t="s">
        <v>1827</v>
      </c>
    </row>
    <row r="21" spans="1:29" ht="12.75" customHeight="1" x14ac:dyDescent="0.25">
      <c r="A21" s="85" t="str">
        <f>'B4-FinPerf RE'!A22</f>
        <v>Gains</v>
      </c>
      <c r="B21" s="127"/>
      <c r="C21" s="1360">
        <f>-SUMIFS(Sheet1!S71_MonthlyOutcomeJul,Sheet1!S71_A4Code,$AC:$AC)</f>
        <v>0</v>
      </c>
      <c r="D21" s="1356">
        <f>-SUMIFS(Sheet1!S71_MonthlyOutcomeAug,Sheet1!S71_A4Code,$AC:$AC)</f>
        <v>0</v>
      </c>
      <c r="E21" s="1356">
        <f>-SUMIFS(Sheet1!S71_MonthlyOutcomeSep,Sheet1!S71_A4Code,$AC:$AC)</f>
        <v>0</v>
      </c>
      <c r="F21" s="1356">
        <f>-SUMIFS(Sheet1!S71_MonthlyOutcomeOct,Sheet1!S71_A4Code,$AC:$AC)</f>
        <v>0</v>
      </c>
      <c r="G21" s="1356">
        <f>-SUMIFS(Sheet1!S71_MonthlyOutcomeNov,Sheet1!S71_A4Code,$AC:$AC)</f>
        <v>0</v>
      </c>
      <c r="H21" s="1361">
        <f>-SUMIFS(Sheet1!S71_MonthlyOutcomeDec,Sheet1!S71_A4Code,$AC:$AC)</f>
        <v>0</v>
      </c>
      <c r="I21" s="1360">
        <f t="shared" si="2"/>
        <v>0</v>
      </c>
      <c r="J21" s="1356">
        <f t="shared" si="3"/>
        <v>0</v>
      </c>
      <c r="K21" s="1356">
        <f t="shared" si="4"/>
        <v>0</v>
      </c>
      <c r="L21" s="1356">
        <f t="shared" si="5"/>
        <v>0</v>
      </c>
      <c r="M21" s="1356">
        <f t="shared" si="6"/>
        <v>0</v>
      </c>
      <c r="N21" s="506">
        <f t="shared" si="7"/>
        <v>0</v>
      </c>
      <c r="O21" s="538">
        <f t="shared" si="8"/>
        <v>0</v>
      </c>
      <c r="P21" s="238">
        <f>'B4-FinPerf RE'!K22</f>
        <v>0</v>
      </c>
      <c r="Q21" s="75">
        <f>'B4-FinPerf RE'!L22</f>
        <v>0</v>
      </c>
      <c r="R21" s="76">
        <f>'B4-FinPerf RE'!M22</f>
        <v>0</v>
      </c>
      <c r="AC21" s="1336" t="s">
        <v>1828</v>
      </c>
    </row>
    <row r="22" spans="1:29" ht="12.75" customHeight="1" x14ac:dyDescent="0.25">
      <c r="A22" s="137" t="s">
        <v>245</v>
      </c>
      <c r="B22" s="539"/>
      <c r="C22" s="483">
        <f>SUM(C6:C10)+SUM(C12:C21)</f>
        <v>32506672.829999998</v>
      </c>
      <c r="D22" s="81">
        <f t="shared" ref="D22:R22" si="9">SUM(D6:D10)+SUM(D12:D21)</f>
        <v>2734703.2600000002</v>
      </c>
      <c r="E22" s="81">
        <f t="shared" si="9"/>
        <v>2640824.2600000002</v>
      </c>
      <c r="F22" s="81">
        <f t="shared" si="9"/>
        <v>2826104.5000000014</v>
      </c>
      <c r="G22" s="81">
        <f t="shared" si="9"/>
        <v>3243298.88</v>
      </c>
      <c r="H22" s="517">
        <f t="shared" si="9"/>
        <v>37698595.490000002</v>
      </c>
      <c r="I22" s="483">
        <f t="shared" si="9"/>
        <v>6375474.2966666669</v>
      </c>
      <c r="J22" s="81">
        <f t="shared" si="9"/>
        <v>6375474.2966666669</v>
      </c>
      <c r="K22" s="81">
        <f t="shared" si="9"/>
        <v>6375474.2966666669</v>
      </c>
      <c r="L22" s="81">
        <f t="shared" si="9"/>
        <v>6375474.2966666669</v>
      </c>
      <c r="M22" s="81">
        <f t="shared" si="9"/>
        <v>6375474.2966666669</v>
      </c>
      <c r="N22" s="517">
        <f t="shared" si="9"/>
        <v>6375474.2966666687</v>
      </c>
      <c r="O22" s="557">
        <f t="shared" si="9"/>
        <v>119903045</v>
      </c>
      <c r="P22" s="483">
        <f t="shared" si="9"/>
        <v>119903045</v>
      </c>
      <c r="Q22" s="81">
        <f t="shared" si="9"/>
        <v>114111703</v>
      </c>
      <c r="R22" s="82">
        <f t="shared" si="9"/>
        <v>121001873</v>
      </c>
    </row>
    <row r="23" spans="1:29" ht="5.0999999999999996" customHeight="1" x14ac:dyDescent="0.25">
      <c r="A23" s="85"/>
      <c r="B23" s="127"/>
      <c r="C23" s="238"/>
      <c r="D23" s="75"/>
      <c r="E23" s="75"/>
      <c r="F23" s="75"/>
      <c r="G23" s="75"/>
      <c r="H23" s="506"/>
      <c r="I23" s="238"/>
      <c r="J23" s="75"/>
      <c r="K23" s="75"/>
      <c r="L23" s="75"/>
      <c r="M23" s="75"/>
      <c r="N23" s="506"/>
      <c r="O23" s="538"/>
      <c r="P23" s="238"/>
      <c r="Q23" s="75"/>
      <c r="R23" s="76"/>
    </row>
    <row r="24" spans="1:29" ht="12.75" customHeight="1" x14ac:dyDescent="0.25">
      <c r="A24" s="556" t="s">
        <v>651</v>
      </c>
      <c r="B24" s="127"/>
      <c r="C24" s="238"/>
      <c r="D24" s="75"/>
      <c r="E24" s="75"/>
      <c r="F24" s="75"/>
      <c r="G24" s="75"/>
      <c r="H24" s="506"/>
      <c r="I24" s="238"/>
      <c r="J24" s="75"/>
      <c r="K24" s="75"/>
      <c r="L24" s="75"/>
      <c r="M24" s="75"/>
      <c r="N24" s="506"/>
      <c r="O24" s="538"/>
      <c r="P24" s="238"/>
      <c r="Q24" s="75"/>
      <c r="R24" s="76"/>
    </row>
    <row r="25" spans="1:29" ht="12.75" customHeight="1" x14ac:dyDescent="0.25">
      <c r="A25" s="85" t="str">
        <f>'B4-FinPerf RE'!A26</f>
        <v>Employee related costs</v>
      </c>
      <c r="B25" s="127"/>
      <c r="C25" s="1360">
        <f>SUMIFS(Sheet1!S71_MonthlyOutcomeJul,Sheet1!S71_A4Code,$AC:$AC)</f>
        <v>2601639.0399999996</v>
      </c>
      <c r="D25" s="1356">
        <f>SUMIFS(Sheet1!S71_MonthlyOutcomeAug,Sheet1!S71_A4Code,$AC:$AC)</f>
        <v>3560114.7199999997</v>
      </c>
      <c r="E25" s="1356">
        <f>SUMIFS(Sheet1!S71_MonthlyOutcomeSep,Sheet1!S71_A4Code,$AC:$AC)</f>
        <v>3122578.1</v>
      </c>
      <c r="F25" s="1356">
        <f>SUMIFS(Sheet1!S71_MonthlyOutcomeOct,Sheet1!S71_A4Code,$AC:$AC)</f>
        <v>3053089.2199999997</v>
      </c>
      <c r="G25" s="1356">
        <f>SUMIFS(Sheet1!S71_MonthlyOutcomeNov,Sheet1!S71_A4Code,$AC:$AC)</f>
        <v>3242145.89</v>
      </c>
      <c r="H25" s="1361">
        <f>SUMIFS(Sheet1!S71_MonthlyOutcomeDec,Sheet1!S71_A4Code,$AC:$AC)</f>
        <v>5121300.3000000007</v>
      </c>
      <c r="I25" s="1360">
        <f>(P25-SUM(C25:H25))/6</f>
        <v>3998452.9550000001</v>
      </c>
      <c r="J25" s="1356">
        <f t="shared" ref="J25:J35" si="10">(P25-SUM(C25:H25))/6</f>
        <v>3998452.9550000001</v>
      </c>
      <c r="K25" s="1356">
        <f t="shared" ref="K25:K35" si="11">(P25-SUM(C25:H25))/6</f>
        <v>3998452.9550000001</v>
      </c>
      <c r="L25" s="1356">
        <f t="shared" ref="L25:L35" si="12">(P25-SUM(C25:H25))/6</f>
        <v>3998452.9550000001</v>
      </c>
      <c r="M25" s="1356">
        <f t="shared" ref="M25:M35" si="13">(P25-SUM(C25:H25))/6</f>
        <v>3998452.9550000001</v>
      </c>
      <c r="N25" s="506">
        <f t="shared" ref="N25:N35" si="14">P25-SUM(C25:M25)</f>
        <v>3998452.9550000057</v>
      </c>
      <c r="O25" s="538">
        <f t="shared" ref="O25:O35" si="15">SUM(C25:N25)</f>
        <v>44691585</v>
      </c>
      <c r="P25" s="238">
        <f>'B4-FinPerf RE'!K26</f>
        <v>44691585</v>
      </c>
      <c r="Q25" s="75">
        <f>'B4-FinPerf RE'!L26</f>
        <v>50763599</v>
      </c>
      <c r="R25" s="76">
        <f>'B4-FinPerf RE'!M26</f>
        <v>53761056</v>
      </c>
      <c r="AC25" s="1336" t="s">
        <v>1829</v>
      </c>
    </row>
    <row r="26" spans="1:29" ht="12.75" customHeight="1" x14ac:dyDescent="0.25">
      <c r="A26" s="85" t="str">
        <f>'B4-FinPerf RE'!A27</f>
        <v>Remuneration of councillors</v>
      </c>
      <c r="B26" s="127"/>
      <c r="C26" s="1360">
        <f>SUMIFS(Sheet1!S71_MonthlyOutcomeJul,Sheet1!S71_A4Code,$AC:$AC)</f>
        <v>464793.1</v>
      </c>
      <c r="D26" s="1356">
        <f>SUMIFS(Sheet1!S71_MonthlyOutcomeAug,Sheet1!S71_A4Code,$AC:$AC)</f>
        <v>501793.1</v>
      </c>
      <c r="E26" s="1356">
        <f>SUMIFS(Sheet1!S71_MonthlyOutcomeSep,Sheet1!S71_A4Code,$AC:$AC)</f>
        <v>501793.1</v>
      </c>
      <c r="F26" s="1356">
        <f>SUMIFS(Sheet1!S71_MonthlyOutcomeOct,Sheet1!S71_A4Code,$AC:$AC)</f>
        <v>501793.10000000003</v>
      </c>
      <c r="G26" s="1356">
        <f>SUMIFS(Sheet1!S71_MonthlyOutcomeNov,Sheet1!S71_A4Code,$AC:$AC)</f>
        <v>501793.1</v>
      </c>
      <c r="H26" s="1361">
        <f>SUMIFS(Sheet1!S71_MonthlyOutcomeDec,Sheet1!S71_A4Code,$AC:$AC)</f>
        <v>501793.1</v>
      </c>
      <c r="I26" s="1360">
        <f t="shared" ref="I26:I35" si="16">(P26-SUM(C26:H26))/6</f>
        <v>566693.73333333328</v>
      </c>
      <c r="J26" s="1356">
        <f t="shared" si="10"/>
        <v>566693.73333333328</v>
      </c>
      <c r="K26" s="1356">
        <f t="shared" si="11"/>
        <v>566693.73333333328</v>
      </c>
      <c r="L26" s="1356">
        <f t="shared" si="12"/>
        <v>566693.73333333328</v>
      </c>
      <c r="M26" s="1356">
        <f t="shared" si="13"/>
        <v>566693.73333333328</v>
      </c>
      <c r="N26" s="506">
        <f t="shared" si="14"/>
        <v>566693.7333333334</v>
      </c>
      <c r="O26" s="538">
        <f t="shared" si="15"/>
        <v>6373921</v>
      </c>
      <c r="P26" s="238">
        <f>'B4-FinPerf RE'!K27</f>
        <v>6373921</v>
      </c>
      <c r="Q26" s="75">
        <f>'B4-FinPerf RE'!L27</f>
        <v>3384275</v>
      </c>
      <c r="R26" s="76">
        <f>'B4-FinPerf RE'!M27</f>
        <v>3405956</v>
      </c>
      <c r="AC26" s="1336" t="s">
        <v>1830</v>
      </c>
    </row>
    <row r="27" spans="1:29" ht="12.75" customHeight="1" x14ac:dyDescent="0.25">
      <c r="A27" s="85" t="str">
        <f>'B4-FinPerf RE'!A28</f>
        <v>Debt impairment</v>
      </c>
      <c r="B27" s="127"/>
      <c r="C27" s="1360">
        <f>SUMIFS(Sheet1!S71_MonthlyOutcomeJul,Sheet1!S71_A4Code,$AC:$AC)</f>
        <v>0</v>
      </c>
      <c r="D27" s="1356">
        <f>SUMIFS(Sheet1!S71_MonthlyOutcomeAug,Sheet1!S71_A4Code,$AC:$AC)</f>
        <v>0</v>
      </c>
      <c r="E27" s="1356">
        <f>SUMIFS(Sheet1!S71_MonthlyOutcomeSep,Sheet1!S71_A4Code,$AC:$AC)</f>
        <v>0</v>
      </c>
      <c r="F27" s="1356">
        <f>SUMIFS(Sheet1!S71_MonthlyOutcomeOct,Sheet1!S71_A4Code,$AC:$AC)</f>
        <v>0</v>
      </c>
      <c r="G27" s="1356">
        <f>SUMIFS(Sheet1!S71_MonthlyOutcomeNov,Sheet1!S71_A4Code,$AC:$AC)</f>
        <v>0</v>
      </c>
      <c r="H27" s="1361">
        <f>SUMIFS(Sheet1!S71_MonthlyOutcomeDec,Sheet1!S71_A4Code,$AC:$AC)</f>
        <v>0</v>
      </c>
      <c r="I27" s="1360">
        <f t="shared" si="16"/>
        <v>523355.83333333331</v>
      </c>
      <c r="J27" s="1356">
        <f t="shared" si="10"/>
        <v>523355.83333333331</v>
      </c>
      <c r="K27" s="1356">
        <f t="shared" si="11"/>
        <v>523355.83333333331</v>
      </c>
      <c r="L27" s="1356">
        <f t="shared" si="12"/>
        <v>523355.83333333331</v>
      </c>
      <c r="M27" s="1356">
        <f t="shared" si="13"/>
        <v>523355.83333333331</v>
      </c>
      <c r="N27" s="506">
        <f t="shared" si="14"/>
        <v>523355.83333333349</v>
      </c>
      <c r="O27" s="538">
        <f t="shared" si="15"/>
        <v>3140135</v>
      </c>
      <c r="P27" s="238">
        <f>'B4-FinPerf RE'!K28</f>
        <v>3140135</v>
      </c>
      <c r="Q27" s="75">
        <f>'B4-FinPerf RE'!L28</f>
        <v>3579753</v>
      </c>
      <c r="R27" s="76">
        <f>'B4-FinPerf RE'!M28</f>
        <v>4080919</v>
      </c>
      <c r="AC27" s="1336" t="s">
        <v>1831</v>
      </c>
    </row>
    <row r="28" spans="1:29" ht="12.75" customHeight="1" x14ac:dyDescent="0.25">
      <c r="A28" s="85" t="str">
        <f>'B4-FinPerf RE'!A29</f>
        <v>Depreciation &amp; asset impairment</v>
      </c>
      <c r="B28" s="127"/>
      <c r="C28" s="1360">
        <f>SUMIFS(Sheet1!S71_MonthlyOutcomeJul,Sheet1!S71_A4Code,$AC:$AC)</f>
        <v>824049.91999999993</v>
      </c>
      <c r="D28" s="1356">
        <f>SUMIFS(Sheet1!S71_MonthlyOutcomeAug,Sheet1!S71_A4Code,$AC:$AC)</f>
        <v>797885.49</v>
      </c>
      <c r="E28" s="1356">
        <f>SUMIFS(Sheet1!S71_MonthlyOutcomeSep,Sheet1!S71_A4Code,$AC:$AC)</f>
        <v>779574.03999999992</v>
      </c>
      <c r="F28" s="1356">
        <f>SUMIFS(Sheet1!S71_MonthlyOutcomeOct,Sheet1!S71_A4Code,$AC:$AC)</f>
        <v>810109.42</v>
      </c>
      <c r="G28" s="1356">
        <f>SUMIFS(Sheet1!S71_MonthlyOutcomeNov,Sheet1!S71_A4Code,$AC:$AC)</f>
        <v>784355.08</v>
      </c>
      <c r="H28" s="1361">
        <f>SUMIFS(Sheet1!S71_MonthlyOutcomeDec,Sheet1!S71_A4Code,$AC:$AC)</f>
        <v>810717.24000000011</v>
      </c>
      <c r="I28" s="1360">
        <f t="shared" si="16"/>
        <v>1061107.9683333335</v>
      </c>
      <c r="J28" s="1356">
        <f t="shared" si="10"/>
        <v>1061107.9683333335</v>
      </c>
      <c r="K28" s="1356">
        <f t="shared" si="11"/>
        <v>1061107.9683333335</v>
      </c>
      <c r="L28" s="1356">
        <f t="shared" si="12"/>
        <v>1061107.9683333335</v>
      </c>
      <c r="M28" s="1356">
        <f t="shared" si="13"/>
        <v>1061107.9683333335</v>
      </c>
      <c r="N28" s="506">
        <f t="shared" si="14"/>
        <v>1061107.9683333319</v>
      </c>
      <c r="O28" s="538">
        <f t="shared" si="15"/>
        <v>11173339</v>
      </c>
      <c r="P28" s="238">
        <f>'B4-FinPerf RE'!K29</f>
        <v>11173339</v>
      </c>
      <c r="Q28" s="75">
        <f>'B4-FinPerf RE'!L29</f>
        <v>12290674</v>
      </c>
      <c r="R28" s="76">
        <f>'B4-FinPerf RE'!M29</f>
        <v>13519740</v>
      </c>
      <c r="AC28" s="1336" t="s">
        <v>1832</v>
      </c>
    </row>
    <row r="29" spans="1:29" ht="12.75" customHeight="1" x14ac:dyDescent="0.25">
      <c r="A29" s="85" t="str">
        <f>'B4-FinPerf RE'!A30</f>
        <v>Finance charges</v>
      </c>
      <c r="B29" s="127"/>
      <c r="C29" s="1360">
        <f>SUMIFS(Sheet1!S71_MonthlyOutcomeJul,Sheet1!S71_A4Code,$AC:$AC)</f>
        <v>123.28</v>
      </c>
      <c r="D29" s="1356">
        <f>SUMIFS(Sheet1!S71_MonthlyOutcomeAug,Sheet1!S71_A4Code,$AC:$AC)</f>
        <v>0</v>
      </c>
      <c r="E29" s="1356">
        <f>SUMIFS(Sheet1!S71_MonthlyOutcomeSep,Sheet1!S71_A4Code,$AC:$AC)</f>
        <v>3912.23</v>
      </c>
      <c r="F29" s="1356">
        <f>SUMIFS(Sheet1!S71_MonthlyOutcomeOct,Sheet1!S71_A4Code,$AC:$AC)</f>
        <v>170.32000000000002</v>
      </c>
      <c r="G29" s="1356">
        <f>SUMIFS(Sheet1!S71_MonthlyOutcomeNov,Sheet1!S71_A4Code,$AC:$AC)</f>
        <v>0</v>
      </c>
      <c r="H29" s="1361">
        <f>SUMIFS(Sheet1!S71_MonthlyOutcomeDec,Sheet1!S71_A4Code,$AC:$AC)</f>
        <v>0</v>
      </c>
      <c r="I29" s="1360">
        <f t="shared" si="16"/>
        <v>-700.97166666666669</v>
      </c>
      <c r="J29" s="1356">
        <f t="shared" si="10"/>
        <v>-700.97166666666669</v>
      </c>
      <c r="K29" s="1356">
        <f t="shared" si="11"/>
        <v>-700.97166666666669</v>
      </c>
      <c r="L29" s="1356">
        <f t="shared" si="12"/>
        <v>-700.97166666666669</v>
      </c>
      <c r="M29" s="1356">
        <f t="shared" si="13"/>
        <v>-700.97166666666669</v>
      </c>
      <c r="N29" s="506">
        <f t="shared" si="14"/>
        <v>-700.97166666666601</v>
      </c>
      <c r="O29" s="538">
        <f t="shared" si="15"/>
        <v>0</v>
      </c>
      <c r="P29" s="238">
        <f>'B4-FinPerf RE'!K30</f>
        <v>0</v>
      </c>
      <c r="Q29" s="75">
        <f>'B4-FinPerf RE'!L30</f>
        <v>0</v>
      </c>
      <c r="R29" s="76">
        <f>'B4-FinPerf RE'!M30</f>
        <v>0</v>
      </c>
      <c r="AC29" s="1336" t="s">
        <v>1833</v>
      </c>
    </row>
    <row r="30" spans="1:29" ht="12.75" customHeight="1" x14ac:dyDescent="0.25">
      <c r="A30" s="85" t="str">
        <f>'B4-FinPerf RE'!A31</f>
        <v>Bulk purchases</v>
      </c>
      <c r="B30" s="127"/>
      <c r="C30" s="1360">
        <f>SUMIFS(Sheet1!S71_MonthlyOutcomeJul,Sheet1!S71_A4Code,$AC:$AC)</f>
        <v>0</v>
      </c>
      <c r="D30" s="1356">
        <f>SUMIFS(Sheet1!S71_MonthlyOutcomeAug,Sheet1!S71_A4Code,$AC:$AC)</f>
        <v>0</v>
      </c>
      <c r="E30" s="1356">
        <f>SUMIFS(Sheet1!S71_MonthlyOutcomeSep,Sheet1!S71_A4Code,$AC:$AC)</f>
        <v>0</v>
      </c>
      <c r="F30" s="1356">
        <f>SUMIFS(Sheet1!S71_MonthlyOutcomeOct,Sheet1!S71_A4Code,$AC:$AC)</f>
        <v>0</v>
      </c>
      <c r="G30" s="1356">
        <f>SUMIFS(Sheet1!S71_MonthlyOutcomeNov,Sheet1!S71_A4Code,$AC:$AC)</f>
        <v>0</v>
      </c>
      <c r="H30" s="1361">
        <f>SUMIFS(Sheet1!S71_MonthlyOutcomeDec,Sheet1!S71_A4Code,$AC:$AC)</f>
        <v>0</v>
      </c>
      <c r="I30" s="1360">
        <f t="shared" si="16"/>
        <v>0</v>
      </c>
      <c r="J30" s="1356">
        <f t="shared" si="10"/>
        <v>0</v>
      </c>
      <c r="K30" s="1356">
        <f t="shared" si="11"/>
        <v>0</v>
      </c>
      <c r="L30" s="1356">
        <f t="shared" si="12"/>
        <v>0</v>
      </c>
      <c r="M30" s="1356">
        <f t="shared" si="13"/>
        <v>0</v>
      </c>
      <c r="N30" s="506">
        <f t="shared" si="14"/>
        <v>0</v>
      </c>
      <c r="O30" s="538">
        <f t="shared" si="15"/>
        <v>0</v>
      </c>
      <c r="P30" s="238">
        <f>'B4-FinPerf RE'!K31</f>
        <v>0</v>
      </c>
      <c r="Q30" s="75">
        <f>'B4-FinPerf RE'!L31</f>
        <v>0</v>
      </c>
      <c r="R30" s="76">
        <f>'B4-FinPerf RE'!M31</f>
        <v>0</v>
      </c>
      <c r="AC30" s="1336" t="s">
        <v>1834</v>
      </c>
    </row>
    <row r="31" spans="1:29" ht="12.75" customHeight="1" x14ac:dyDescent="0.25">
      <c r="A31" s="85" t="str">
        <f>'B4-FinPerf RE'!A32</f>
        <v>Other materials</v>
      </c>
      <c r="B31" s="127"/>
      <c r="C31" s="1360">
        <f>SUMIFS(Sheet1!S71_MonthlyOutcomeJul,Sheet1!S71_A4Code,$AC:$AC)</f>
        <v>50957.5</v>
      </c>
      <c r="D31" s="1356">
        <f>SUMIFS(Sheet1!S71_MonthlyOutcomeAug,Sheet1!S71_A4Code,$AC:$AC)</f>
        <v>589449.24</v>
      </c>
      <c r="E31" s="1356">
        <f>SUMIFS(Sheet1!S71_MonthlyOutcomeSep,Sheet1!S71_A4Code,$AC:$AC)</f>
        <v>92225.209999999992</v>
      </c>
      <c r="F31" s="1356">
        <f>SUMIFS(Sheet1!S71_MonthlyOutcomeOct,Sheet1!S71_A4Code,$AC:$AC)</f>
        <v>823445.66999999993</v>
      </c>
      <c r="G31" s="1356">
        <f>SUMIFS(Sheet1!S71_MonthlyOutcomeNov,Sheet1!S71_A4Code,$AC:$AC)</f>
        <v>511435</v>
      </c>
      <c r="H31" s="1361">
        <f>SUMIFS(Sheet1!S71_MonthlyOutcomeDec,Sheet1!S71_A4Code,$AC:$AC)</f>
        <v>321574.67</v>
      </c>
      <c r="I31" s="1360">
        <f t="shared" si="16"/>
        <v>678235.45166666666</v>
      </c>
      <c r="J31" s="1356">
        <f t="shared" si="10"/>
        <v>678235.45166666666</v>
      </c>
      <c r="K31" s="1356">
        <f t="shared" si="11"/>
        <v>678235.45166666666</v>
      </c>
      <c r="L31" s="1356">
        <f t="shared" si="12"/>
        <v>678235.45166666666</v>
      </c>
      <c r="M31" s="1356">
        <f t="shared" si="13"/>
        <v>678235.45166666666</v>
      </c>
      <c r="N31" s="506">
        <f t="shared" si="14"/>
        <v>678235.45166666806</v>
      </c>
      <c r="O31" s="538">
        <f t="shared" si="15"/>
        <v>6458500</v>
      </c>
      <c r="P31" s="238">
        <f>'B4-FinPerf RE'!K32</f>
        <v>6458500</v>
      </c>
      <c r="Q31" s="75">
        <f>'B4-FinPerf RE'!L32</f>
        <v>5710490</v>
      </c>
      <c r="R31" s="76">
        <f>'B4-FinPerf RE'!M32</f>
        <v>6109959</v>
      </c>
      <c r="AC31" s="1336" t="s">
        <v>1835</v>
      </c>
    </row>
    <row r="32" spans="1:29" ht="12.75" customHeight="1" x14ac:dyDescent="0.25">
      <c r="A32" s="85" t="str">
        <f>'B4-FinPerf RE'!A33</f>
        <v>Contracted services</v>
      </c>
      <c r="B32" s="127"/>
      <c r="C32" s="1360">
        <f>SUMIFS(Sheet1!S71_MonthlyOutcomeJul,Sheet1!S71_A4Code,$AC:$AC)</f>
        <v>4235079.43</v>
      </c>
      <c r="D32" s="1356">
        <f>SUMIFS(Sheet1!S71_MonthlyOutcomeAug,Sheet1!S71_A4Code,$AC:$AC)</f>
        <v>2395418.0300000003</v>
      </c>
      <c r="E32" s="1356">
        <f>SUMIFS(Sheet1!S71_MonthlyOutcomeSep,Sheet1!S71_A4Code,$AC:$AC)</f>
        <v>5657955.8099999996</v>
      </c>
      <c r="F32" s="1356">
        <f>SUMIFS(Sheet1!S71_MonthlyOutcomeOct,Sheet1!S71_A4Code,$AC:$AC)</f>
        <v>2447436.38</v>
      </c>
      <c r="G32" s="1356">
        <f>SUMIFS(Sheet1!S71_MonthlyOutcomeNov,Sheet1!S71_A4Code,$AC:$AC)</f>
        <v>3600477.43</v>
      </c>
      <c r="H32" s="1361">
        <f>SUMIFS(Sheet1!S71_MonthlyOutcomeDec,Sheet1!S71_A4Code,$AC:$AC)</f>
        <v>489020.21</v>
      </c>
      <c r="I32" s="1360">
        <f t="shared" si="16"/>
        <v>4182934.1183333336</v>
      </c>
      <c r="J32" s="1356">
        <f t="shared" si="10"/>
        <v>4182934.1183333336</v>
      </c>
      <c r="K32" s="1356">
        <f t="shared" si="11"/>
        <v>4182934.1183333336</v>
      </c>
      <c r="L32" s="1356">
        <f t="shared" si="12"/>
        <v>4182934.1183333336</v>
      </c>
      <c r="M32" s="1356">
        <f t="shared" si="13"/>
        <v>4182934.1183333336</v>
      </c>
      <c r="N32" s="506">
        <f t="shared" si="14"/>
        <v>4182934.1183333397</v>
      </c>
      <c r="O32" s="538">
        <f t="shared" si="15"/>
        <v>43922992</v>
      </c>
      <c r="P32" s="238">
        <f>'B4-FinPerf RE'!K33</f>
        <v>43922992</v>
      </c>
      <c r="Q32" s="75">
        <f>'B4-FinPerf RE'!L33</f>
        <v>28336361</v>
      </c>
      <c r="R32" s="76">
        <f>'B4-FinPerf RE'!M33</f>
        <v>30244169</v>
      </c>
      <c r="AC32" s="1336" t="s">
        <v>1836</v>
      </c>
    </row>
    <row r="33" spans="1:29" ht="12.75" customHeight="1" x14ac:dyDescent="0.25">
      <c r="A33" s="85" t="str">
        <f>'B4-FinPerf RE'!A34</f>
        <v>Transfers and subsidies</v>
      </c>
      <c r="B33" s="127"/>
      <c r="C33" s="1360">
        <f>SUMIFS(Sheet1!S71_MonthlyOutcomeJul,Sheet1!S71_A4Code,$AC:$AC)</f>
        <v>12680.26</v>
      </c>
      <c r="D33" s="1356">
        <f>SUMIFS(Sheet1!S71_MonthlyOutcomeAug,Sheet1!S71_A4Code,$AC:$AC)</f>
        <v>14109.44</v>
      </c>
      <c r="E33" s="1356">
        <f>SUMIFS(Sheet1!S71_MonthlyOutcomeSep,Sheet1!S71_A4Code,$AC:$AC)</f>
        <v>13356</v>
      </c>
      <c r="F33" s="1356">
        <f>SUMIFS(Sheet1!S71_MonthlyOutcomeOct,Sheet1!S71_A4Code,$AC:$AC)</f>
        <v>13483.2</v>
      </c>
      <c r="G33" s="1356">
        <f>SUMIFS(Sheet1!S71_MonthlyOutcomeNov,Sheet1!S71_A4Code,$AC:$AC)</f>
        <v>12656.4</v>
      </c>
      <c r="H33" s="1361">
        <f>SUMIFS(Sheet1!S71_MonthlyOutcomeDec,Sheet1!S71_A4Code,$AC:$AC)</f>
        <v>0</v>
      </c>
      <c r="I33" s="1360">
        <f t="shared" si="16"/>
        <v>40523.283333333333</v>
      </c>
      <c r="J33" s="1356">
        <f t="shared" si="10"/>
        <v>40523.283333333333</v>
      </c>
      <c r="K33" s="1356">
        <f t="shared" si="11"/>
        <v>40523.283333333333</v>
      </c>
      <c r="L33" s="1356">
        <f t="shared" si="12"/>
        <v>40523.283333333333</v>
      </c>
      <c r="M33" s="1356">
        <f t="shared" si="13"/>
        <v>40523.283333333333</v>
      </c>
      <c r="N33" s="506">
        <f t="shared" si="14"/>
        <v>40523.283333333384</v>
      </c>
      <c r="O33" s="538">
        <f t="shared" si="15"/>
        <v>309425</v>
      </c>
      <c r="P33" s="238">
        <f>'B4-FinPerf RE'!K34</f>
        <v>309425</v>
      </c>
      <c r="Q33" s="75">
        <f>'B4-FinPerf RE'!L34</f>
        <v>340367</v>
      </c>
      <c r="R33" s="76">
        <f>'B4-FinPerf RE'!M34</f>
        <v>374404</v>
      </c>
      <c r="AC33" s="1336" t="s">
        <v>1837</v>
      </c>
    </row>
    <row r="34" spans="1:29" ht="12.75" customHeight="1" x14ac:dyDescent="0.25">
      <c r="A34" s="85" t="str">
        <f>'B4-FinPerf RE'!A35</f>
        <v>Other expenditure</v>
      </c>
      <c r="B34" s="127"/>
      <c r="C34" s="1360">
        <f>SUMIFS(Sheet1!S71_MonthlyOutcomeJul,Sheet1!S71_A4Code,$AC:$AC)</f>
        <v>188228.40000000002</v>
      </c>
      <c r="D34" s="1356">
        <f>SUMIFS(Sheet1!S71_MonthlyOutcomeAug,Sheet1!S71_A4Code,$AC:$AC)</f>
        <v>1330906.5699999998</v>
      </c>
      <c r="E34" s="1356">
        <f>SUMIFS(Sheet1!S71_MonthlyOutcomeSep,Sheet1!S71_A4Code,$AC:$AC)</f>
        <v>757640.94</v>
      </c>
      <c r="F34" s="1356">
        <f>SUMIFS(Sheet1!S71_MonthlyOutcomeOct,Sheet1!S71_A4Code,$AC:$AC)</f>
        <v>2025981.9499999997</v>
      </c>
      <c r="G34" s="1356">
        <f>SUMIFS(Sheet1!S71_MonthlyOutcomeNov,Sheet1!S71_A4Code,$AC:$AC)</f>
        <v>616620.18999999994</v>
      </c>
      <c r="H34" s="1361">
        <f>SUMIFS(Sheet1!S71_MonthlyOutcomeDec,Sheet1!S71_A4Code,$AC:$AC)</f>
        <v>3734179.3699999996</v>
      </c>
      <c r="I34" s="1360">
        <f t="shared" si="16"/>
        <v>2982702.43</v>
      </c>
      <c r="J34" s="1356">
        <f t="shared" si="10"/>
        <v>2982702.43</v>
      </c>
      <c r="K34" s="1356">
        <f t="shared" si="11"/>
        <v>2982702.43</v>
      </c>
      <c r="L34" s="1356">
        <f t="shared" si="12"/>
        <v>2982702.43</v>
      </c>
      <c r="M34" s="1356">
        <f t="shared" si="13"/>
        <v>2982702.43</v>
      </c>
      <c r="N34" s="506">
        <f t="shared" si="14"/>
        <v>2982702.4300000034</v>
      </c>
      <c r="O34" s="538">
        <f t="shared" si="15"/>
        <v>26549772</v>
      </c>
      <c r="P34" s="238">
        <f>'B4-FinPerf RE'!K35</f>
        <v>26549772</v>
      </c>
      <c r="Q34" s="75">
        <f>'B4-FinPerf RE'!L35</f>
        <v>21148885</v>
      </c>
      <c r="R34" s="76">
        <f>'B4-FinPerf RE'!M35</f>
        <v>21831247</v>
      </c>
      <c r="AC34" s="1336" t="s">
        <v>1838</v>
      </c>
    </row>
    <row r="35" spans="1:29" ht="12.75" customHeight="1" x14ac:dyDescent="0.25">
      <c r="A35" s="85" t="str">
        <f>'B4-FinPerf RE'!A36</f>
        <v>Losses</v>
      </c>
      <c r="B35" s="127"/>
      <c r="C35" s="1360">
        <f>SUMIFS(Sheet1!S71_MonthlyOutcomeJul,Sheet1!S71_A4Code,$AC:$AC)</f>
        <v>0</v>
      </c>
      <c r="D35" s="1356">
        <f>SUMIFS(Sheet1!S71_MonthlyOutcomeAug,Sheet1!S71_A4Code,$AC:$AC)</f>
        <v>0</v>
      </c>
      <c r="E35" s="1356">
        <f>SUMIFS(Sheet1!S71_MonthlyOutcomeSep,Sheet1!S71_A4Code,$AC:$AC)</f>
        <v>0</v>
      </c>
      <c r="F35" s="1356">
        <f>SUMIFS(Sheet1!S71_MonthlyOutcomeOct,Sheet1!S71_A4Code,$AC:$AC)</f>
        <v>0</v>
      </c>
      <c r="G35" s="1356">
        <f>SUMIFS(Sheet1!S71_MonthlyOutcomeNov,Sheet1!S71_A4Code,$AC:$AC)</f>
        <v>0</v>
      </c>
      <c r="H35" s="1361">
        <f>SUMIFS(Sheet1!S71_MonthlyOutcomeDec,Sheet1!S71_A4Code,$AC:$AC)</f>
        <v>0</v>
      </c>
      <c r="I35" s="1360">
        <f t="shared" si="16"/>
        <v>0</v>
      </c>
      <c r="J35" s="1356">
        <f t="shared" si="10"/>
        <v>0</v>
      </c>
      <c r="K35" s="1356">
        <f t="shared" si="11"/>
        <v>0</v>
      </c>
      <c r="L35" s="1356">
        <f t="shared" si="12"/>
        <v>0</v>
      </c>
      <c r="M35" s="1356">
        <f t="shared" si="13"/>
        <v>0</v>
      </c>
      <c r="N35" s="506">
        <f t="shared" si="14"/>
        <v>0</v>
      </c>
      <c r="O35" s="538">
        <f t="shared" si="15"/>
        <v>0</v>
      </c>
      <c r="P35" s="238">
        <f>'B4-FinPerf RE'!K36</f>
        <v>0</v>
      </c>
      <c r="Q35" s="75">
        <f>'B4-FinPerf RE'!L36</f>
        <v>0</v>
      </c>
      <c r="R35" s="76">
        <f>'B4-FinPerf RE'!M36</f>
        <v>0</v>
      </c>
      <c r="AC35" s="1336" t="s">
        <v>1839</v>
      </c>
    </row>
    <row r="36" spans="1:29" ht="12.75" customHeight="1" x14ac:dyDescent="0.25">
      <c r="A36" s="137" t="s">
        <v>570</v>
      </c>
      <c r="B36" s="539"/>
      <c r="C36" s="483">
        <f>SUM(C25:C35)</f>
        <v>8377550.9299999997</v>
      </c>
      <c r="D36" s="81">
        <f t="shared" ref="D36:R36" si="17">SUM(D25:D35)</f>
        <v>9189676.5899999999</v>
      </c>
      <c r="E36" s="81">
        <f t="shared" si="17"/>
        <v>10929035.43</v>
      </c>
      <c r="F36" s="81">
        <f t="shared" si="17"/>
        <v>9675509.2599999998</v>
      </c>
      <c r="G36" s="81">
        <f t="shared" si="17"/>
        <v>9269483.0899999999</v>
      </c>
      <c r="H36" s="517">
        <f t="shared" si="17"/>
        <v>10978584.890000001</v>
      </c>
      <c r="I36" s="483">
        <f t="shared" si="17"/>
        <v>14033304.801666668</v>
      </c>
      <c r="J36" s="81">
        <f t="shared" si="17"/>
        <v>14033304.801666668</v>
      </c>
      <c r="K36" s="81">
        <f t="shared" si="17"/>
        <v>14033304.801666668</v>
      </c>
      <c r="L36" s="81">
        <f t="shared" si="17"/>
        <v>14033304.801666668</v>
      </c>
      <c r="M36" s="81">
        <f t="shared" si="17"/>
        <v>14033304.801666668</v>
      </c>
      <c r="N36" s="517">
        <f t="shared" si="17"/>
        <v>14033304.801666683</v>
      </c>
      <c r="O36" s="557">
        <f t="shared" si="17"/>
        <v>142619669</v>
      </c>
      <c r="P36" s="483">
        <f t="shared" si="17"/>
        <v>142619669</v>
      </c>
      <c r="Q36" s="81">
        <f t="shared" si="17"/>
        <v>125554404</v>
      </c>
      <c r="R36" s="82">
        <f t="shared" si="17"/>
        <v>133327450</v>
      </c>
    </row>
    <row r="37" spans="1:29" ht="5.0999999999999996" customHeight="1" x14ac:dyDescent="0.25">
      <c r="A37" s="85"/>
      <c r="B37" s="127"/>
      <c r="C37" s="238"/>
      <c r="D37" s="75"/>
      <c r="E37" s="75"/>
      <c r="F37" s="75"/>
      <c r="G37" s="75"/>
      <c r="H37" s="506"/>
      <c r="I37" s="238"/>
      <c r="J37" s="75"/>
      <c r="K37" s="75"/>
      <c r="L37" s="75"/>
      <c r="M37" s="75"/>
      <c r="N37" s="506"/>
      <c r="O37" s="538"/>
      <c r="P37" s="238"/>
      <c r="Q37" s="75"/>
      <c r="R37" s="76"/>
    </row>
    <row r="38" spans="1:29" ht="12.75" customHeight="1" x14ac:dyDescent="0.25">
      <c r="A38" s="160" t="s">
        <v>571</v>
      </c>
      <c r="B38" s="160"/>
      <c r="C38" s="483">
        <f t="shared" ref="C38:R38" si="18">C22-C36</f>
        <v>24129121.899999999</v>
      </c>
      <c r="D38" s="81">
        <f t="shared" si="18"/>
        <v>-6454973.3300000001</v>
      </c>
      <c r="E38" s="81">
        <f t="shared" si="18"/>
        <v>-8288211.1699999999</v>
      </c>
      <c r="F38" s="81">
        <f t="shared" si="18"/>
        <v>-6849404.7599999979</v>
      </c>
      <c r="G38" s="81">
        <f t="shared" si="18"/>
        <v>-6026184.21</v>
      </c>
      <c r="H38" s="517">
        <f t="shared" si="18"/>
        <v>26720010.600000001</v>
      </c>
      <c r="I38" s="483">
        <f t="shared" si="18"/>
        <v>-7657830.5050000008</v>
      </c>
      <c r="J38" s="81">
        <f t="shared" si="18"/>
        <v>-7657830.5050000008</v>
      </c>
      <c r="K38" s="81">
        <f t="shared" si="18"/>
        <v>-7657830.5050000008</v>
      </c>
      <c r="L38" s="81">
        <f t="shared" si="18"/>
        <v>-7657830.5050000008</v>
      </c>
      <c r="M38" s="81">
        <f t="shared" si="18"/>
        <v>-7657830.5050000008</v>
      </c>
      <c r="N38" s="517">
        <f t="shared" si="18"/>
        <v>-7657830.5050000139</v>
      </c>
      <c r="O38" s="557">
        <f t="shared" si="18"/>
        <v>-22716624</v>
      </c>
      <c r="P38" s="483">
        <f t="shared" si="18"/>
        <v>-22716624</v>
      </c>
      <c r="Q38" s="81">
        <f t="shared" si="18"/>
        <v>-11442701</v>
      </c>
      <c r="R38" s="82">
        <f t="shared" si="18"/>
        <v>-12325577</v>
      </c>
    </row>
    <row r="39" spans="1:29" ht="23.45" customHeight="1" x14ac:dyDescent="0.25">
      <c r="A39" s="1208" t="str">
        <f>'B4-FinPerf RE'!A40</f>
        <v>Transfers and subsidies - capital (monetary allocations) (National / Provincial and District)</v>
      </c>
      <c r="B39" s="127"/>
      <c r="C39" s="1360">
        <f>-SUMIFS(Sheet1!S71_MonthlyOutcomeJul,Sheet1!S71_A4Code,$AC:$AC)</f>
        <v>6445523.6600000001</v>
      </c>
      <c r="D39" s="1356">
        <f>-SUMIFS(Sheet1!S71_MonthlyOutcomeAug,Sheet1!S71_A4Code,$AC:$AC)</f>
        <v>417061.12</v>
      </c>
      <c r="E39" s="1356">
        <f>-SUMIFS(Sheet1!S71_MonthlyOutcomeSep,Sheet1!S71_A4Code,$AC:$AC)</f>
        <v>1490626.17</v>
      </c>
      <c r="F39" s="1356">
        <f>-SUMIFS(Sheet1!S71_MonthlyOutcomeOct,Sheet1!S71_A4Code,$AC:$AC)</f>
        <v>1865917.12</v>
      </c>
      <c r="G39" s="1356">
        <f>-SUMIFS(Sheet1!S71_MonthlyOutcomeNov,Sheet1!S71_A4Code,$AC:$AC)</f>
        <v>554650.44999999995</v>
      </c>
      <c r="H39" s="1361">
        <f>-SUMIFS(Sheet1!S71_MonthlyOutcomeDec,Sheet1!S71_A4Code,$AC:$AC)</f>
        <v>333102.94</v>
      </c>
      <c r="I39" s="1360">
        <f>(P39-SUM(C39:H39))/6</f>
        <v>782186.42333333346</v>
      </c>
      <c r="J39" s="1356">
        <f>(P39-SUM(C39:H39))/6</f>
        <v>782186.42333333346</v>
      </c>
      <c r="K39" s="1356">
        <f>(P39-SUM(C39:H39))/6</f>
        <v>782186.42333333346</v>
      </c>
      <c r="L39" s="1356">
        <f>(P39-SUM(C39:H39))/6</f>
        <v>782186.42333333346</v>
      </c>
      <c r="M39" s="1356">
        <f>(P39-SUM(C39:H39))/6</f>
        <v>782186.42333333346</v>
      </c>
      <c r="N39" s="506">
        <f>P39-SUM(C39:M39)</f>
        <v>782186.42333333194</v>
      </c>
      <c r="O39" s="538"/>
      <c r="P39" s="238">
        <f>'B4-FinPerf RE'!K40</f>
        <v>15800000</v>
      </c>
      <c r="Q39" s="75">
        <f>'B4-FinPerf RE'!L40</f>
        <v>17027000</v>
      </c>
      <c r="R39" s="76">
        <f>'B4-FinPerf RE'!M40</f>
        <v>17781000</v>
      </c>
      <c r="AC39" s="1336" t="s">
        <v>1840</v>
      </c>
    </row>
    <row r="40" spans="1:29" ht="42" customHeight="1" x14ac:dyDescent="0.25">
      <c r="A40" s="1208" t="str">
        <f>'B4-FinPerf RE'!A41</f>
        <v>Transfers and subsidies - capital (monetary allocations) (National / Provincial Departmental Agencies, Households, Non-profit Institutions, Private Enterprises, Public Corporatons, Higher Educational Institutions)</v>
      </c>
      <c r="B40" s="127"/>
      <c r="C40" s="1360">
        <f>-SUMIFS(Sheet1!S71_MonthlyOutcomeJul,Sheet1!S71_A4Code,$AC:$AC)</f>
        <v>0</v>
      </c>
      <c r="D40" s="1356">
        <f>-SUMIFS(Sheet1!S71_MonthlyOutcomeAug,Sheet1!S71_A4Code,$AC:$AC)</f>
        <v>0</v>
      </c>
      <c r="E40" s="1356">
        <f>-SUMIFS(Sheet1!S71_MonthlyOutcomeSep,Sheet1!S71_A4Code,$AC:$AC)</f>
        <v>0</v>
      </c>
      <c r="F40" s="1356">
        <f>-SUMIFS(Sheet1!S71_MonthlyOutcomeOct,Sheet1!S71_A4Code,$AC:$AC)</f>
        <v>0</v>
      </c>
      <c r="G40" s="1356">
        <f>-SUMIFS(Sheet1!S71_MonthlyOutcomeNov,Sheet1!S71_A4Code,$AC:$AC)</f>
        <v>0</v>
      </c>
      <c r="H40" s="1361">
        <f>-SUMIFS(Sheet1!S71_MonthlyOutcomeDec,Sheet1!S71_A4Code,$AC:$AC)</f>
        <v>0</v>
      </c>
      <c r="I40" s="1360">
        <f>(P40-SUM(C40:H40))/6</f>
        <v>0</v>
      </c>
      <c r="J40" s="1356">
        <f>(P40-SUM(C40:H40))/6</f>
        <v>0</v>
      </c>
      <c r="K40" s="1356">
        <f>(P40-SUM(C40:H40))/6</f>
        <v>0</v>
      </c>
      <c r="L40" s="1356">
        <f>(P40-SUM(C40:H40))/6</f>
        <v>0</v>
      </c>
      <c r="M40" s="1356">
        <f>(P40-SUM(C40:H40))/6</f>
        <v>0</v>
      </c>
      <c r="N40" s="506">
        <f>P40-SUM(C40:M40)</f>
        <v>0</v>
      </c>
      <c r="O40" s="538"/>
      <c r="P40" s="238">
        <f>'B4-FinPerf RE'!K41</f>
        <v>0</v>
      </c>
      <c r="Q40" s="75">
        <f>'B4-FinPerf RE'!L41</f>
        <v>0</v>
      </c>
      <c r="R40" s="76">
        <f>'B4-FinPerf RE'!M41</f>
        <v>0</v>
      </c>
      <c r="AC40" s="1336" t="s">
        <v>1841</v>
      </c>
    </row>
    <row r="41" spans="1:29" ht="12.75" customHeight="1" x14ac:dyDescent="0.25">
      <c r="A41" s="584" t="str">
        <f>'B4-FinPerf RE'!A42</f>
        <v xml:space="preserve">Transfers and subsidies - capital (in-kind - all) </v>
      </c>
      <c r="B41" s="127"/>
      <c r="C41" s="1360">
        <f>-SUMIFS(Sheet1!S71_MonthlyOutcomeJul,Sheet1!S71_A4Code,$AC:$AC)</f>
        <v>0</v>
      </c>
      <c r="D41" s="1356">
        <f>-SUMIFS(Sheet1!S71_MonthlyOutcomeAug,Sheet1!S71_A4Code,$AC:$AC)</f>
        <v>0</v>
      </c>
      <c r="E41" s="1356">
        <f>-SUMIFS(Sheet1!S71_MonthlyOutcomeSep,Sheet1!S71_A4Code,$AC:$AC)</f>
        <v>0</v>
      </c>
      <c r="F41" s="1356">
        <f>-SUMIFS(Sheet1!S71_MonthlyOutcomeOct,Sheet1!S71_A4Code,$AC:$AC)</f>
        <v>10036.15</v>
      </c>
      <c r="G41" s="1356">
        <f>-SUMIFS(Sheet1!S71_MonthlyOutcomeNov,Sheet1!S71_A4Code,$AC:$AC)</f>
        <v>0</v>
      </c>
      <c r="H41" s="1361">
        <f>-SUMIFS(Sheet1!S71_MonthlyOutcomeDec,Sheet1!S71_A4Code,$AC:$AC)</f>
        <v>0</v>
      </c>
      <c r="I41" s="1360">
        <f>(P41-SUM(C41:H41))/6</f>
        <v>-1672.6916666666666</v>
      </c>
      <c r="J41" s="1356">
        <f>(P41-SUM(C41:H41))/6</f>
        <v>-1672.6916666666666</v>
      </c>
      <c r="K41" s="1356">
        <f>(P41-SUM(C41:H41))/6</f>
        <v>-1672.6916666666666</v>
      </c>
      <c r="L41" s="1356">
        <f>(P41-SUM(C41:H41))/6</f>
        <v>-1672.6916666666666</v>
      </c>
      <c r="M41" s="1356">
        <f>(P41-SUM(C41:H41))/6</f>
        <v>-1672.6916666666666</v>
      </c>
      <c r="N41" s="506">
        <f>P41-SUM(C41:M41)</f>
        <v>-1672.6916666666657</v>
      </c>
      <c r="O41" s="538"/>
      <c r="P41" s="238">
        <f>'B4-FinPerf RE'!K42</f>
        <v>0</v>
      </c>
      <c r="Q41" s="75">
        <f>'B4-FinPerf RE'!L42</f>
        <v>0</v>
      </c>
      <c r="R41" s="76">
        <f>'B4-FinPerf RE'!M42</f>
        <v>0</v>
      </c>
      <c r="AC41" s="1336" t="s">
        <v>1842</v>
      </c>
    </row>
    <row r="42" spans="1:29" ht="12.75" customHeight="1" x14ac:dyDescent="0.25">
      <c r="A42" s="153" t="s">
        <v>573</v>
      </c>
      <c r="B42" s="153"/>
      <c r="C42" s="114">
        <f>C38+SUM(C39:C41)</f>
        <v>30574645.559999999</v>
      </c>
      <c r="D42" s="115">
        <f t="shared" ref="D42:R42" si="19">D38+SUM(D39:D41)</f>
        <v>-6037912.21</v>
      </c>
      <c r="E42" s="115">
        <f t="shared" si="19"/>
        <v>-6797585</v>
      </c>
      <c r="F42" s="115">
        <f t="shared" si="19"/>
        <v>-4973451.4899999984</v>
      </c>
      <c r="G42" s="115">
        <f t="shared" si="19"/>
        <v>-5471533.7599999998</v>
      </c>
      <c r="H42" s="520">
        <f t="shared" si="19"/>
        <v>27053113.540000003</v>
      </c>
      <c r="I42" s="114">
        <f t="shared" si="19"/>
        <v>-6877316.7733333344</v>
      </c>
      <c r="J42" s="115">
        <f t="shared" si="19"/>
        <v>-6877316.7733333344</v>
      </c>
      <c r="K42" s="115">
        <f t="shared" si="19"/>
        <v>-6877316.7733333344</v>
      </c>
      <c r="L42" s="115">
        <f t="shared" si="19"/>
        <v>-6877316.7733333344</v>
      </c>
      <c r="M42" s="115">
        <f t="shared" si="19"/>
        <v>-6877316.7733333344</v>
      </c>
      <c r="N42" s="520">
        <f t="shared" si="19"/>
        <v>-6877316.7733333483</v>
      </c>
      <c r="O42" s="541">
        <f t="shared" si="19"/>
        <v>-22716624</v>
      </c>
      <c r="P42" s="114">
        <f>P38+SUM(P39:P41)</f>
        <v>-6916624</v>
      </c>
      <c r="Q42" s="115">
        <f t="shared" si="19"/>
        <v>5584299</v>
      </c>
      <c r="R42" s="116">
        <f t="shared" si="19"/>
        <v>5455423</v>
      </c>
    </row>
    <row r="43" spans="1:29" ht="12.75" customHeight="1" x14ac:dyDescent="0.25">
      <c r="A43" s="542" t="str">
        <f>head27a</f>
        <v>References</v>
      </c>
      <c r="B43" s="554"/>
      <c r="C43" s="543"/>
      <c r="D43" s="543"/>
      <c r="E43" s="543"/>
      <c r="F43" s="543"/>
      <c r="G43" s="543"/>
      <c r="H43" s="543"/>
      <c r="I43" s="543"/>
      <c r="J43" s="543"/>
      <c r="K43" s="543"/>
      <c r="L43" s="543"/>
      <c r="M43" s="543"/>
      <c r="N43" s="543"/>
      <c r="O43" s="543"/>
      <c r="P43" s="543"/>
      <c r="Q43" s="543"/>
      <c r="R43" s="543"/>
    </row>
    <row r="44" spans="1:29" ht="12.75" customHeight="1" x14ac:dyDescent="0.25">
      <c r="A44" s="99" t="s">
        <v>460</v>
      </c>
      <c r="B44" s="48"/>
      <c r="C44" s="48"/>
      <c r="D44" s="48"/>
      <c r="E44" s="48"/>
      <c r="F44" s="48"/>
      <c r="G44" s="48"/>
      <c r="H44" s="48"/>
      <c r="I44" s="48"/>
      <c r="J44" s="48"/>
      <c r="K44" s="48"/>
      <c r="L44" s="48"/>
      <c r="M44" s="48"/>
      <c r="N44" s="48"/>
      <c r="O44" s="48"/>
      <c r="P44" s="48"/>
      <c r="Q44" s="48"/>
      <c r="R44" s="48"/>
    </row>
    <row r="45" spans="1:29" x14ac:dyDescent="0.25">
      <c r="A45" s="309" t="s">
        <v>3</v>
      </c>
      <c r="B45" s="309"/>
      <c r="P45" s="544">
        <f>P42-'B4-FinPerf RE'!K43</f>
        <v>0</v>
      </c>
      <c r="Q45" s="544">
        <f>Q42-'B4-FinPerf RE'!L43</f>
        <v>0</v>
      </c>
      <c r="R45" s="544">
        <f>R42-'B4-FinPerf RE'!M43</f>
        <v>0</v>
      </c>
    </row>
    <row r="54" spans="2:2" x14ac:dyDescent="0.25">
      <c r="B54" s="126"/>
    </row>
  </sheetData>
  <sheetProtection sheet="1" objects="1" scenarios="1"/>
  <mergeCells count="3">
    <mergeCell ref="A2:A3"/>
    <mergeCell ref="B2:B3"/>
    <mergeCell ref="C2:N2"/>
  </mergeCells>
  <phoneticPr fontId="4" type="noConversion"/>
  <printOptions horizontalCentered="1"/>
  <pageMargins left="0.36" right="0.15748031496062992" top="0.78" bottom="0.39370078740157483" header="0.51181102362204722" footer="0.35433070866141736"/>
  <pageSetup paperSize="9" scale="83"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5">
    <tabColor indexed="42"/>
    <pageSetUpPr fitToPage="1"/>
  </sheetPr>
  <dimension ref="A1:AT191"/>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Q55" sqref="Q55:R55"/>
    </sheetView>
  </sheetViews>
  <sheetFormatPr defaultColWidth="9.140625" defaultRowHeight="12.75" x14ac:dyDescent="0.25"/>
  <cols>
    <col min="1" max="1" width="33.5703125" style="5" customWidth="1"/>
    <col min="2" max="2" width="3.140625" style="5" customWidth="1"/>
    <col min="3" max="14" width="8.5703125" style="5" customWidth="1"/>
    <col min="15" max="15" width="8.5703125" style="5" hidden="1" customWidth="1"/>
    <col min="16" max="18" width="8.5703125" style="5" customWidth="1"/>
    <col min="19" max="19" width="9.85546875" style="5" customWidth="1"/>
    <col min="20" max="20" width="9.5703125" style="5" customWidth="1"/>
    <col min="21" max="21" width="9.85546875" style="5" customWidth="1"/>
    <col min="22" max="23" width="9.5703125" style="5" customWidth="1"/>
    <col min="24" max="27" width="9.85546875" style="5" customWidth="1"/>
    <col min="28" max="28" width="9.5703125" style="5" customWidth="1"/>
    <col min="29" max="29" width="9.5703125" style="1336" bestFit="1" customWidth="1"/>
    <col min="30" max="30" width="9.85546875" style="1336" bestFit="1" customWidth="1"/>
    <col min="31" max="16384" width="9.140625" style="5"/>
  </cols>
  <sheetData>
    <row r="1" spans="1:30" ht="13.5" x14ac:dyDescent="0.25">
      <c r="A1" s="57" t="str">
        <f>muni&amp;" - "&amp;ADJB15&amp;" - "&amp;Date</f>
        <v xml:space="preserve">KZN226 Mkhambathini - Supporting Table SB15 Adjustments Budget - monthly cash flow - </v>
      </c>
      <c r="B1" s="57"/>
      <c r="D1" s="58"/>
    </row>
    <row r="2" spans="1:30" ht="25.5" customHeight="1" x14ac:dyDescent="0.25">
      <c r="A2" s="1423" t="s">
        <v>461</v>
      </c>
      <c r="B2" s="1420" t="str">
        <f>head27</f>
        <v>Ref</v>
      </c>
      <c r="C2" s="1417" t="str">
        <f>Head2</f>
        <v>Budget Year 2020/21</v>
      </c>
      <c r="D2" s="1418"/>
      <c r="E2" s="1418"/>
      <c r="F2" s="1418"/>
      <c r="G2" s="1418"/>
      <c r="H2" s="1418"/>
      <c r="I2" s="1418"/>
      <c r="J2" s="1418"/>
      <c r="K2" s="1418"/>
      <c r="L2" s="1418"/>
      <c r="M2" s="1418"/>
      <c r="N2" s="1419"/>
      <c r="O2" s="525"/>
      <c r="P2" s="1417" t="str">
        <f>Head3a</f>
        <v>Medium Term Revenue and Expenditure Framework</v>
      </c>
      <c r="Q2" s="1418"/>
      <c r="R2" s="1469"/>
    </row>
    <row r="3" spans="1:30" ht="38.25" x14ac:dyDescent="0.25">
      <c r="A3" s="1424"/>
      <c r="B3" s="1421"/>
      <c r="C3" s="450" t="s">
        <v>226</v>
      </c>
      <c r="D3" s="318" t="s">
        <v>227</v>
      </c>
      <c r="E3" s="318" t="s">
        <v>228</v>
      </c>
      <c r="F3" s="318" t="s">
        <v>229</v>
      </c>
      <c r="G3" s="318" t="s">
        <v>230</v>
      </c>
      <c r="H3" s="319" t="s">
        <v>231</v>
      </c>
      <c r="I3" s="529" t="s">
        <v>232</v>
      </c>
      <c r="J3" s="530" t="s">
        <v>233</v>
      </c>
      <c r="K3" s="318" t="s">
        <v>234</v>
      </c>
      <c r="L3" s="318" t="s">
        <v>235</v>
      </c>
      <c r="M3" s="531" t="s">
        <v>236</v>
      </c>
      <c r="N3" s="530" t="s">
        <v>237</v>
      </c>
      <c r="O3" s="532" t="s">
        <v>238</v>
      </c>
      <c r="P3" s="529" t="str">
        <f>Head9</f>
        <v>Budget Year 2020/21</v>
      </c>
      <c r="Q3" s="530" t="str">
        <f>Head10</f>
        <v>Budget Year +1 2021/22</v>
      </c>
      <c r="R3" s="320" t="str">
        <f>Head11</f>
        <v>Budget Year +2 2022/23</v>
      </c>
    </row>
    <row r="4" spans="1:30" ht="25.5" x14ac:dyDescent="0.25">
      <c r="A4" s="558" t="s">
        <v>605</v>
      </c>
      <c r="B4" s="104"/>
      <c r="C4" s="802" t="str">
        <f t="shared" ref="C4:H4" si="0">Head5A</f>
        <v>Outcome</v>
      </c>
      <c r="D4" s="803" t="str">
        <f t="shared" si="0"/>
        <v>Outcome</v>
      </c>
      <c r="E4" s="803" t="str">
        <f t="shared" si="0"/>
        <v>Outcome</v>
      </c>
      <c r="F4" s="803" t="str">
        <f t="shared" si="0"/>
        <v>Outcome</v>
      </c>
      <c r="G4" s="803" t="str">
        <f t="shared" si="0"/>
        <v>Outcome</v>
      </c>
      <c r="H4" s="804" t="str">
        <f t="shared" si="0"/>
        <v>Outcome</v>
      </c>
      <c r="I4" s="802" t="str">
        <f t="shared" ref="I4:N4" si="1">Head7</f>
        <v>Adjusted Budget</v>
      </c>
      <c r="J4" s="804" t="str">
        <f t="shared" si="1"/>
        <v>Adjusted Budget</v>
      </c>
      <c r="K4" s="803" t="str">
        <f t="shared" si="1"/>
        <v>Adjusted Budget</v>
      </c>
      <c r="L4" s="803" t="str">
        <f t="shared" si="1"/>
        <v>Adjusted Budget</v>
      </c>
      <c r="M4" s="803" t="str">
        <f t="shared" si="1"/>
        <v>Adjusted Budget</v>
      </c>
      <c r="N4" s="804" t="str">
        <f t="shared" si="1"/>
        <v>Adjusted Budget</v>
      </c>
      <c r="O4" s="534"/>
      <c r="P4" s="535" t="str">
        <f>Head7</f>
        <v>Adjusted Budget</v>
      </c>
      <c r="Q4" s="536" t="str">
        <f>Head7</f>
        <v>Adjusted Budget</v>
      </c>
      <c r="R4" s="537" t="str">
        <f>Head7</f>
        <v>Adjusted Budget</v>
      </c>
    </row>
    <row r="5" spans="1:30" ht="12.75" customHeight="1" x14ac:dyDescent="0.25">
      <c r="A5" s="505" t="s">
        <v>462</v>
      </c>
      <c r="B5" s="127">
        <v>1</v>
      </c>
      <c r="C5" s="238"/>
      <c r="D5" s="75"/>
      <c r="E5" s="75"/>
      <c r="F5" s="75"/>
      <c r="G5" s="75"/>
      <c r="H5" s="506"/>
      <c r="I5" s="238"/>
      <c r="J5" s="75"/>
      <c r="K5" s="75"/>
      <c r="L5" s="75"/>
      <c r="M5" s="75"/>
      <c r="N5" s="506"/>
      <c r="O5" s="538"/>
      <c r="P5" s="641"/>
      <c r="Q5" s="75"/>
      <c r="R5" s="76"/>
    </row>
    <row r="6" spans="1:30" ht="12.6" customHeight="1" x14ac:dyDescent="0.25">
      <c r="A6" s="127" t="s">
        <v>559</v>
      </c>
      <c r="B6" s="127"/>
      <c r="C6" s="1360">
        <f>SUMIFS(Sheet1!S71_MonthlyOutcomeJul,Sheet1!S71_SA30FDSubCode,$AC:$AC,Sheet1!S71_CFCode,$AD:$AD)</f>
        <v>0</v>
      </c>
      <c r="D6" s="1356">
        <f>SUMIFS(Sheet1!S71_MonthlyOutcomeAug,Sheet1!S71_SA30FDSubCode,$AC:$AC,Sheet1!S71_CFCode,$AD:$AD)</f>
        <v>0</v>
      </c>
      <c r="E6" s="1356">
        <f>SUMIFS(Sheet1!S71_MonthlyOutcomeSep,Sheet1!S71_SA30FDSubCode,$AC:$AC,Sheet1!S71_CFCode,$AD:$AD)</f>
        <v>0</v>
      </c>
      <c r="F6" s="1356">
        <f>SUMIFS(Sheet1!S71_MonthlyOutcomeOct,Sheet1!S71_SA30FDSubCode,$AC:$AC,Sheet1!S71_CFCode,$AD:$AD)</f>
        <v>0</v>
      </c>
      <c r="G6" s="1356">
        <f>SUMIFS(Sheet1!S71_MonthlyOutcomeNov,Sheet1!S71_SA30FDSubCode,$AC:$AC,Sheet1!S71_CFCode,$AD:$AD)</f>
        <v>0</v>
      </c>
      <c r="H6" s="1361">
        <f>SUMIFS(Sheet1!S71_MonthlyOutcomeDec,Sheet1!S71_SA30FDSubCode,$AC:$AC,Sheet1!S71_CFCode,$AD:$AD)</f>
        <v>0</v>
      </c>
      <c r="I6" s="1360">
        <f>(P6-SUM(C6:H6))/6</f>
        <v>0</v>
      </c>
      <c r="J6" s="1356">
        <f>(P6-SUM(C6:H6))/6</f>
        <v>0</v>
      </c>
      <c r="K6" s="1356">
        <f>(P6-SUM(C6:H6))/6</f>
        <v>0</v>
      </c>
      <c r="L6" s="1356">
        <f>(P6-SUM(C6:H6))/6</f>
        <v>0</v>
      </c>
      <c r="M6" s="1356">
        <f>(P6-SUM(C6:H6))/6</f>
        <v>0</v>
      </c>
      <c r="N6" s="506">
        <f t="shared" ref="N6:N20" si="2">P6-SUM(C6:M6)</f>
        <v>0</v>
      </c>
      <c r="O6" s="538">
        <f t="shared" ref="O6:O20" si="3">SUM(C6:N6)</f>
        <v>0</v>
      </c>
      <c r="P6" s="1360">
        <f>SUMIFS(Sheet1!S71_AdjustedBudget,Sheet1!S71_SA30FDSubCode,$AC:$AC,Sheet1!S71_CFCode,$AD:$AD)</f>
        <v>0</v>
      </c>
      <c r="Q6" s="1356">
        <f>SUMIFS(Sheet1!S71_OY1AdjustedBudget,Sheet1!S71_SA30FDSubCode,$AC:$AC,Sheet1!S71_CFCode,$AD:$AD)</f>
        <v>0</v>
      </c>
      <c r="R6" s="1357">
        <f>SUMIFS(Sheet1!S71_OY1AdjustedBudget,Sheet1!S71_SA30FDSubCode,$AC:$AC,Sheet1!S71_CFCode,$AD:$AD)</f>
        <v>0</v>
      </c>
      <c r="AC6" s="1336" t="s">
        <v>2134</v>
      </c>
      <c r="AD6" s="1336" t="s">
        <v>553</v>
      </c>
    </row>
    <row r="7" spans="1:30" ht="12.6" customHeight="1" x14ac:dyDescent="0.25">
      <c r="A7" s="127" t="s">
        <v>641</v>
      </c>
      <c r="B7" s="127"/>
      <c r="C7" s="1360">
        <f>SUMIFS(Sheet1!S71_MonthlyOutcomeJul,Sheet1!S71_SA30FDSubCode,$AC:$AC,Sheet1!S71_CFCode,$AD:$AD)</f>
        <v>0</v>
      </c>
      <c r="D7" s="1356">
        <f>SUMIFS(Sheet1!S71_MonthlyOutcomeAug,Sheet1!S71_SA30FDSubCode,$AC:$AC,Sheet1!S71_CFCode,$AD:$AD)</f>
        <v>0</v>
      </c>
      <c r="E7" s="1356">
        <f>SUMIFS(Sheet1!S71_MonthlyOutcomeSep,Sheet1!S71_SA30FDSubCode,$AC:$AC,Sheet1!S71_CFCode,$AD:$AD)</f>
        <v>0</v>
      </c>
      <c r="F7" s="1356">
        <f>SUMIFS(Sheet1!S71_MonthlyOutcomeOct,Sheet1!S71_SA30FDSubCode,$AC:$AC,Sheet1!S71_CFCode,$AD:$AD)</f>
        <v>0</v>
      </c>
      <c r="G7" s="1356">
        <f>SUMIFS(Sheet1!S71_MonthlyOutcomeNov,Sheet1!S71_SA30FDSubCode,$AC:$AC,Sheet1!S71_CFCode,$AD:$AD)</f>
        <v>0</v>
      </c>
      <c r="H7" s="1361">
        <f>SUMIFS(Sheet1!S71_MonthlyOutcomeDec,Sheet1!S71_SA30FDSubCode,$AC:$AC,Sheet1!S71_CFCode,$AD:$AD)</f>
        <v>0</v>
      </c>
      <c r="I7" s="1360">
        <f t="shared" ref="I7:I20" si="4">(P7-SUM(C7:H7))/6</f>
        <v>0</v>
      </c>
      <c r="J7" s="1356">
        <f t="shared" ref="J7:J20" si="5">(P7-SUM(C7:H7))/6</f>
        <v>0</v>
      </c>
      <c r="K7" s="1356">
        <f t="shared" ref="K7:K20" si="6">(P7-SUM(C7:H7))/6</f>
        <v>0</v>
      </c>
      <c r="L7" s="1356">
        <f t="shared" ref="L7:L20" si="7">(P7-SUM(C7:H7))/6</f>
        <v>0</v>
      </c>
      <c r="M7" s="1356">
        <f t="shared" ref="M7:M20" si="8">(P7-SUM(C7:H7))/6</f>
        <v>0</v>
      </c>
      <c r="N7" s="506">
        <f t="shared" si="2"/>
        <v>0</v>
      </c>
      <c r="O7" s="538">
        <f t="shared" si="3"/>
        <v>0</v>
      </c>
      <c r="P7" s="1360">
        <f>SUMIFS(Sheet1!S71_AdjustedBudget,Sheet1!S71_SA30FDSubCode,$AC:$AC,Sheet1!S71_CFCode,$AD:$AD)</f>
        <v>0</v>
      </c>
      <c r="Q7" s="1356">
        <f>SUMIFS(Sheet1!S71_OY1AdjustedBudget,Sheet1!S71_SA30FDSubCode,$AC:$AC,Sheet1!S71_CFCode,$AD:$AD)</f>
        <v>0</v>
      </c>
      <c r="R7" s="1357">
        <f>SUMIFS(Sheet1!S71_OY1AdjustedBudget,Sheet1!S71_SA30FDSubCode,$AC:$AC,Sheet1!S71_CFCode,$AD:$AD)</f>
        <v>0</v>
      </c>
      <c r="AC7" s="1336" t="s">
        <v>1859</v>
      </c>
      <c r="AD7" s="1336" t="s">
        <v>553</v>
      </c>
    </row>
    <row r="8" spans="1:30" ht="12.6" customHeight="1" x14ac:dyDescent="0.25">
      <c r="A8" s="127" t="s">
        <v>642</v>
      </c>
      <c r="B8" s="127"/>
      <c r="C8" s="1360">
        <f>SUMIFS(Sheet1!S71_MonthlyOutcomeJul,Sheet1!S71_SA30FDSubCode,$AC:$AC,Sheet1!S71_CFCode,$AD:$AD)</f>
        <v>0</v>
      </c>
      <c r="D8" s="1356">
        <f>SUMIFS(Sheet1!S71_MonthlyOutcomeAug,Sheet1!S71_SA30FDSubCode,$AC:$AC,Sheet1!S71_CFCode,$AD:$AD)</f>
        <v>0</v>
      </c>
      <c r="E8" s="1356">
        <f>SUMIFS(Sheet1!S71_MonthlyOutcomeSep,Sheet1!S71_SA30FDSubCode,$AC:$AC,Sheet1!S71_CFCode,$AD:$AD)</f>
        <v>0</v>
      </c>
      <c r="F8" s="1356">
        <f>SUMIFS(Sheet1!S71_MonthlyOutcomeOct,Sheet1!S71_SA30FDSubCode,$AC:$AC,Sheet1!S71_CFCode,$AD:$AD)</f>
        <v>0</v>
      </c>
      <c r="G8" s="1356">
        <f>SUMIFS(Sheet1!S71_MonthlyOutcomeNov,Sheet1!S71_SA30FDSubCode,$AC:$AC,Sheet1!S71_CFCode,$AD:$AD)</f>
        <v>0</v>
      </c>
      <c r="H8" s="1361">
        <f>SUMIFS(Sheet1!S71_MonthlyOutcomeDec,Sheet1!S71_SA30FDSubCode,$AC:$AC,Sheet1!S71_CFCode,$AD:$AD)</f>
        <v>0</v>
      </c>
      <c r="I8" s="1360">
        <f t="shared" si="4"/>
        <v>0</v>
      </c>
      <c r="J8" s="1356">
        <f t="shared" si="5"/>
        <v>0</v>
      </c>
      <c r="K8" s="1356">
        <f t="shared" si="6"/>
        <v>0</v>
      </c>
      <c r="L8" s="1356">
        <f t="shared" si="7"/>
        <v>0</v>
      </c>
      <c r="M8" s="1356">
        <f t="shared" si="8"/>
        <v>0</v>
      </c>
      <c r="N8" s="506">
        <f t="shared" si="2"/>
        <v>0</v>
      </c>
      <c r="O8" s="538">
        <f t="shared" si="3"/>
        <v>0</v>
      </c>
      <c r="P8" s="1360">
        <f>SUMIFS(Sheet1!S71_AdjustedBudget,Sheet1!S71_SA30FDSubCode,$AC:$AC,Sheet1!S71_CFCode,$AD:$AD)</f>
        <v>0</v>
      </c>
      <c r="Q8" s="1356">
        <f>SUMIFS(Sheet1!S71_OY1AdjustedBudget,Sheet1!S71_SA30FDSubCode,$AC:$AC,Sheet1!S71_CFCode,$AD:$AD)</f>
        <v>0</v>
      </c>
      <c r="R8" s="1357">
        <f>SUMIFS(Sheet1!S71_OY1AdjustedBudget,Sheet1!S71_SA30FDSubCode,$AC:$AC,Sheet1!S71_CFCode,$AD:$AD)</f>
        <v>0</v>
      </c>
      <c r="AC8" s="1336" t="s">
        <v>1860</v>
      </c>
      <c r="AD8" s="1336" t="s">
        <v>553</v>
      </c>
    </row>
    <row r="9" spans="1:30" ht="12.6" customHeight="1" x14ac:dyDescent="0.25">
      <c r="A9" s="127" t="s">
        <v>643</v>
      </c>
      <c r="B9" s="127"/>
      <c r="C9" s="1360">
        <f>SUMIFS(Sheet1!S71_MonthlyOutcomeJul,Sheet1!S71_SA30FDSubCode,$AC:$AC,Sheet1!S71_CFCode,$AD:$AD)</f>
        <v>0</v>
      </c>
      <c r="D9" s="1356">
        <f>SUMIFS(Sheet1!S71_MonthlyOutcomeAug,Sheet1!S71_SA30FDSubCode,$AC:$AC,Sheet1!S71_CFCode,$AD:$AD)</f>
        <v>0</v>
      </c>
      <c r="E9" s="1356">
        <f>SUMIFS(Sheet1!S71_MonthlyOutcomeSep,Sheet1!S71_SA30FDSubCode,$AC:$AC,Sheet1!S71_CFCode,$AD:$AD)</f>
        <v>0</v>
      </c>
      <c r="F9" s="1356">
        <f>SUMIFS(Sheet1!S71_MonthlyOutcomeOct,Sheet1!S71_SA30FDSubCode,$AC:$AC,Sheet1!S71_CFCode,$AD:$AD)</f>
        <v>0</v>
      </c>
      <c r="G9" s="1356">
        <f>SUMIFS(Sheet1!S71_MonthlyOutcomeNov,Sheet1!S71_SA30FDSubCode,$AC:$AC,Sheet1!S71_CFCode,$AD:$AD)</f>
        <v>0</v>
      </c>
      <c r="H9" s="1361">
        <f>SUMIFS(Sheet1!S71_MonthlyOutcomeDec,Sheet1!S71_SA30FDSubCode,$AC:$AC,Sheet1!S71_CFCode,$AD:$AD)</f>
        <v>0</v>
      </c>
      <c r="I9" s="1360">
        <f t="shared" si="4"/>
        <v>0</v>
      </c>
      <c r="J9" s="1356">
        <f t="shared" si="5"/>
        <v>0</v>
      </c>
      <c r="K9" s="1356">
        <f t="shared" si="6"/>
        <v>0</v>
      </c>
      <c r="L9" s="1356">
        <f t="shared" si="7"/>
        <v>0</v>
      </c>
      <c r="M9" s="1356">
        <f t="shared" si="8"/>
        <v>0</v>
      </c>
      <c r="N9" s="506">
        <f t="shared" si="2"/>
        <v>0</v>
      </c>
      <c r="O9" s="538">
        <f t="shared" si="3"/>
        <v>0</v>
      </c>
      <c r="P9" s="1360">
        <f>SUMIFS(Sheet1!S71_AdjustedBudget,Sheet1!S71_SA30FDSubCode,$AC:$AC,Sheet1!S71_CFCode,$AD:$AD)</f>
        <v>0</v>
      </c>
      <c r="Q9" s="1356">
        <f>SUMIFS(Sheet1!S71_OY1AdjustedBudget,Sheet1!S71_SA30FDSubCode,$AC:$AC,Sheet1!S71_CFCode,$AD:$AD)</f>
        <v>0</v>
      </c>
      <c r="R9" s="1357">
        <f>SUMIFS(Sheet1!S71_OY1AdjustedBudget,Sheet1!S71_SA30FDSubCode,$AC:$AC,Sheet1!S71_CFCode,$AD:$AD)</f>
        <v>0</v>
      </c>
      <c r="AC9" s="1336" t="s">
        <v>1861</v>
      </c>
      <c r="AD9" s="1336" t="s">
        <v>553</v>
      </c>
    </row>
    <row r="10" spans="1:30" ht="12.6" customHeight="1" x14ac:dyDescent="0.25">
      <c r="A10" s="127" t="s">
        <v>244</v>
      </c>
      <c r="B10" s="127"/>
      <c r="C10" s="1360">
        <f>SUMIFS(Sheet1!S71_MonthlyOutcomeJul,Sheet1!S71_SA30FDSubCode,$AC:$AC,Sheet1!S71_CFCode,$AD:$AD)</f>
        <v>0</v>
      </c>
      <c r="D10" s="1356">
        <f>SUMIFS(Sheet1!S71_MonthlyOutcomeAug,Sheet1!S71_SA30FDSubCode,$AC:$AC,Sheet1!S71_CFCode,$AD:$AD)</f>
        <v>0</v>
      </c>
      <c r="E10" s="1356">
        <f>SUMIFS(Sheet1!S71_MonthlyOutcomeSep,Sheet1!S71_SA30FDSubCode,$AC:$AC,Sheet1!S71_CFCode,$AD:$AD)</f>
        <v>0</v>
      </c>
      <c r="F10" s="1356">
        <f>SUMIFS(Sheet1!S71_MonthlyOutcomeOct,Sheet1!S71_SA30FDSubCode,$AC:$AC,Sheet1!S71_CFCode,$AD:$AD)</f>
        <v>0</v>
      </c>
      <c r="G10" s="1356">
        <f>SUMIFS(Sheet1!S71_MonthlyOutcomeNov,Sheet1!S71_SA30FDSubCode,$AC:$AC,Sheet1!S71_CFCode,$AD:$AD)</f>
        <v>0</v>
      </c>
      <c r="H10" s="1361">
        <f>SUMIFS(Sheet1!S71_MonthlyOutcomeDec,Sheet1!S71_SA30FDSubCode,$AC:$AC,Sheet1!S71_CFCode,$AD:$AD)</f>
        <v>0</v>
      </c>
      <c r="I10" s="1360">
        <f t="shared" si="4"/>
        <v>0</v>
      </c>
      <c r="J10" s="1356">
        <f t="shared" si="5"/>
        <v>0</v>
      </c>
      <c r="K10" s="1356">
        <f t="shared" si="6"/>
        <v>0</v>
      </c>
      <c r="L10" s="1356">
        <f t="shared" si="7"/>
        <v>0</v>
      </c>
      <c r="M10" s="1356">
        <f t="shared" si="8"/>
        <v>0</v>
      </c>
      <c r="N10" s="506">
        <f t="shared" si="2"/>
        <v>0</v>
      </c>
      <c r="O10" s="538">
        <f t="shared" si="3"/>
        <v>0</v>
      </c>
      <c r="P10" s="1360">
        <f>SUMIFS(Sheet1!S71_AdjustedBudget,Sheet1!S71_SA30FDSubCode,$AC:$AC,Sheet1!S71_CFCode,$AD:$AD)</f>
        <v>0</v>
      </c>
      <c r="Q10" s="1356">
        <f>SUMIFS(Sheet1!S71_OY1AdjustedBudget,Sheet1!S71_SA30FDSubCode,$AC:$AC,Sheet1!S71_CFCode,$AD:$AD)</f>
        <v>0</v>
      </c>
      <c r="R10" s="1357">
        <f>SUMIFS(Sheet1!S71_OY1AdjustedBudget,Sheet1!S71_SA30FDSubCode,$AC:$AC,Sheet1!S71_CFCode,$AD:$AD)</f>
        <v>0</v>
      </c>
      <c r="AC10" s="1336" t="s">
        <v>1862</v>
      </c>
      <c r="AD10" s="1336" t="s">
        <v>553</v>
      </c>
    </row>
    <row r="11" spans="1:30" ht="0.95" customHeight="1" x14ac:dyDescent="0.25">
      <c r="A11" s="127"/>
      <c r="B11" s="127"/>
      <c r="C11" s="1360">
        <f>SUMIFS(Sheet1!S71_MonthlyOutcomeJul,Sheet1!S71_SA30FDSubCode,$AC:$AC,Sheet1!S71_CFCode,$AD:$AD)</f>
        <v>0</v>
      </c>
      <c r="D11" s="1356">
        <f>SUMIFS(Sheet1!S71_MonthlyOutcomeAug,Sheet1!S71_SA30FDSubCode,$AC:$AC,Sheet1!S71_CFCode,$AD:$AD)</f>
        <v>0</v>
      </c>
      <c r="E11" s="1356">
        <f>SUMIFS(Sheet1!S71_MonthlyOutcomeSep,Sheet1!S71_SA30FDSubCode,$AC:$AC,Sheet1!S71_CFCode,$AD:$AD)</f>
        <v>0</v>
      </c>
      <c r="F11" s="1356">
        <f>SUMIFS(Sheet1!S71_MonthlyOutcomeOct,Sheet1!S71_SA30FDSubCode,$AC:$AC,Sheet1!S71_CFCode,$AD:$AD)</f>
        <v>0</v>
      </c>
      <c r="G11" s="1356">
        <f>SUMIFS(Sheet1!S71_MonthlyOutcomeNov,Sheet1!S71_SA30FDSubCode,$AC:$AC,Sheet1!S71_CFCode,$AD:$AD)</f>
        <v>0</v>
      </c>
      <c r="H11" s="1361">
        <f>SUMIFS(Sheet1!S71_MonthlyOutcomeDec,Sheet1!S71_SA30FDSubCode,$AC:$AC,Sheet1!S71_CFCode,$AD:$AD)</f>
        <v>0</v>
      </c>
      <c r="I11" s="1360">
        <f t="shared" si="4"/>
        <v>0</v>
      </c>
      <c r="J11" s="1356">
        <f t="shared" si="5"/>
        <v>0</v>
      </c>
      <c r="K11" s="1356">
        <f t="shared" si="6"/>
        <v>0</v>
      </c>
      <c r="L11" s="1356">
        <f t="shared" si="7"/>
        <v>0</v>
      </c>
      <c r="M11" s="1356">
        <f t="shared" si="8"/>
        <v>0</v>
      </c>
      <c r="N11" s="1308"/>
      <c r="O11" s="1309"/>
      <c r="P11" s="1360">
        <f>SUMIFS(Sheet1!S71_AdjustedBudget,Sheet1!S71_SA30FDSubCode,$AC:$AC,Sheet1!S71_CFCode,$AD:$AD)</f>
        <v>0</v>
      </c>
      <c r="Q11" s="1356">
        <f>SUMIFS(Sheet1!S71_OY1AdjustedBudget,Sheet1!S71_SA30FDSubCode,$AC:$AC,Sheet1!S71_CFCode,$AD:$AD)</f>
        <v>0</v>
      </c>
      <c r="R11" s="1357">
        <f>SUMIFS(Sheet1!S71_OY1AdjustedBudget,Sheet1!S71_SA30FDSubCode,$AC:$AC,Sheet1!S71_CFCode,$AD:$AD)</f>
        <v>0</v>
      </c>
      <c r="AD11" s="1336" t="s">
        <v>553</v>
      </c>
    </row>
    <row r="12" spans="1:30" ht="12.6" customHeight="1" x14ac:dyDescent="0.25">
      <c r="A12" s="127" t="s">
        <v>644</v>
      </c>
      <c r="B12" s="127"/>
      <c r="C12" s="1360">
        <f>SUMIFS(Sheet1!S71_MonthlyOutcomeJul,Sheet1!S71_SA30FDSubCode,$AC:$AC,Sheet1!S71_CFCode,$AD:$AD)</f>
        <v>0</v>
      </c>
      <c r="D12" s="1356">
        <f>SUMIFS(Sheet1!S71_MonthlyOutcomeAug,Sheet1!S71_SA30FDSubCode,$AC:$AC,Sheet1!S71_CFCode,$AD:$AD)</f>
        <v>0</v>
      </c>
      <c r="E12" s="1356">
        <f>SUMIFS(Sheet1!S71_MonthlyOutcomeSep,Sheet1!S71_SA30FDSubCode,$AC:$AC,Sheet1!S71_CFCode,$AD:$AD)</f>
        <v>0</v>
      </c>
      <c r="F12" s="1356">
        <f>SUMIFS(Sheet1!S71_MonthlyOutcomeOct,Sheet1!S71_SA30FDSubCode,$AC:$AC,Sheet1!S71_CFCode,$AD:$AD)</f>
        <v>0</v>
      </c>
      <c r="G12" s="1356">
        <f>SUMIFS(Sheet1!S71_MonthlyOutcomeNov,Sheet1!S71_SA30FDSubCode,$AC:$AC,Sheet1!S71_CFCode,$AD:$AD)</f>
        <v>0</v>
      </c>
      <c r="H12" s="1361">
        <f>SUMIFS(Sheet1!S71_MonthlyOutcomeDec,Sheet1!S71_SA30FDSubCode,$AC:$AC,Sheet1!S71_CFCode,$AD:$AD)</f>
        <v>0</v>
      </c>
      <c r="I12" s="1360">
        <f t="shared" si="4"/>
        <v>0</v>
      </c>
      <c r="J12" s="1356">
        <f t="shared" si="5"/>
        <v>0</v>
      </c>
      <c r="K12" s="1356">
        <f t="shared" si="6"/>
        <v>0</v>
      </c>
      <c r="L12" s="1356">
        <f t="shared" si="7"/>
        <v>0</v>
      </c>
      <c r="M12" s="1356">
        <f t="shared" si="8"/>
        <v>0</v>
      </c>
      <c r="N12" s="506">
        <f t="shared" si="2"/>
        <v>0</v>
      </c>
      <c r="O12" s="538">
        <f t="shared" si="3"/>
        <v>0</v>
      </c>
      <c r="P12" s="1360">
        <f>SUMIFS(Sheet1!S71_AdjustedBudget,Sheet1!S71_SA30FDSubCode,$AC:$AC,Sheet1!S71_CFCode,$AD:$AD)</f>
        <v>0</v>
      </c>
      <c r="Q12" s="1356">
        <f>SUMIFS(Sheet1!S71_OY1AdjustedBudget,Sheet1!S71_SA30FDSubCode,$AC:$AC,Sheet1!S71_CFCode,$AD:$AD)</f>
        <v>0</v>
      </c>
      <c r="R12" s="1357">
        <f>SUMIFS(Sheet1!S71_OY1AdjustedBudget,Sheet1!S71_SA30FDSubCode,$AC:$AC,Sheet1!S71_CFCode,$AD:$AD)</f>
        <v>0</v>
      </c>
      <c r="AC12" s="1336" t="s">
        <v>1864</v>
      </c>
      <c r="AD12" s="1336" t="s">
        <v>553</v>
      </c>
    </row>
    <row r="13" spans="1:30" ht="12.6" customHeight="1" x14ac:dyDescent="0.25">
      <c r="A13" s="127" t="s">
        <v>645</v>
      </c>
      <c r="B13" s="127"/>
      <c r="C13" s="1360">
        <f>SUMIFS(Sheet1!S71_MonthlyOutcomeJul,Sheet1!S71_SA30FDSubCode,$AC:$AC,Sheet1!S71_CFCode,$AD:$AD)</f>
        <v>0</v>
      </c>
      <c r="D13" s="1356">
        <f>SUMIFS(Sheet1!S71_MonthlyOutcomeAug,Sheet1!S71_SA30FDSubCode,$AC:$AC,Sheet1!S71_CFCode,$AD:$AD)</f>
        <v>0</v>
      </c>
      <c r="E13" s="1356">
        <f>SUMIFS(Sheet1!S71_MonthlyOutcomeSep,Sheet1!S71_SA30FDSubCode,$AC:$AC,Sheet1!S71_CFCode,$AD:$AD)</f>
        <v>0</v>
      </c>
      <c r="F13" s="1356">
        <f>SUMIFS(Sheet1!S71_MonthlyOutcomeOct,Sheet1!S71_SA30FDSubCode,$AC:$AC,Sheet1!S71_CFCode,$AD:$AD)</f>
        <v>0</v>
      </c>
      <c r="G13" s="1356">
        <f>SUMIFS(Sheet1!S71_MonthlyOutcomeNov,Sheet1!S71_SA30FDSubCode,$AC:$AC,Sheet1!S71_CFCode,$AD:$AD)</f>
        <v>0</v>
      </c>
      <c r="H13" s="1361">
        <f>SUMIFS(Sheet1!S71_MonthlyOutcomeDec,Sheet1!S71_SA30FDSubCode,$AC:$AC,Sheet1!S71_CFCode,$AD:$AD)</f>
        <v>0</v>
      </c>
      <c r="I13" s="1360">
        <f t="shared" si="4"/>
        <v>0</v>
      </c>
      <c r="J13" s="1356">
        <f t="shared" si="5"/>
        <v>0</v>
      </c>
      <c r="K13" s="1356">
        <f t="shared" si="6"/>
        <v>0</v>
      </c>
      <c r="L13" s="1356">
        <f t="shared" si="7"/>
        <v>0</v>
      </c>
      <c r="M13" s="1356">
        <f t="shared" si="8"/>
        <v>0</v>
      </c>
      <c r="N13" s="506">
        <f t="shared" si="2"/>
        <v>0</v>
      </c>
      <c r="O13" s="538">
        <f t="shared" si="3"/>
        <v>0</v>
      </c>
      <c r="P13" s="1360">
        <f>SUMIFS(Sheet1!S71_AdjustedBudget,Sheet1!S71_SA30FDSubCode,$AC:$AC,Sheet1!S71_CFCode,$AD:$AD)</f>
        <v>0</v>
      </c>
      <c r="Q13" s="1356">
        <f>SUMIFS(Sheet1!S71_OY1AdjustedBudget,Sheet1!S71_SA30FDSubCode,$AC:$AC,Sheet1!S71_CFCode,$AD:$AD)</f>
        <v>0</v>
      </c>
      <c r="R13" s="1357">
        <f>SUMIFS(Sheet1!S71_OY1AdjustedBudget,Sheet1!S71_SA30FDSubCode,$AC:$AC,Sheet1!S71_CFCode,$AD:$AD)</f>
        <v>0</v>
      </c>
      <c r="AC13" s="1336" t="s">
        <v>1908</v>
      </c>
      <c r="AD13" s="1336" t="s">
        <v>553</v>
      </c>
    </row>
    <row r="14" spans="1:30" ht="12.6" customHeight="1" x14ac:dyDescent="0.25">
      <c r="A14" s="127" t="s">
        <v>646</v>
      </c>
      <c r="B14" s="127"/>
      <c r="C14" s="1360">
        <f>SUMIFS(Sheet1!S71_MonthlyOutcomeJul,Sheet1!S71_SA30FDSubCode,$AC:$AC,Sheet1!S71_CFCode,$AD:$AD)</f>
        <v>0</v>
      </c>
      <c r="D14" s="1356">
        <f>SUMIFS(Sheet1!S71_MonthlyOutcomeAug,Sheet1!S71_SA30FDSubCode,$AC:$AC,Sheet1!S71_CFCode,$AD:$AD)</f>
        <v>0</v>
      </c>
      <c r="E14" s="1356">
        <f>SUMIFS(Sheet1!S71_MonthlyOutcomeSep,Sheet1!S71_SA30FDSubCode,$AC:$AC,Sheet1!S71_CFCode,$AD:$AD)</f>
        <v>0</v>
      </c>
      <c r="F14" s="1356">
        <f>SUMIFS(Sheet1!S71_MonthlyOutcomeOct,Sheet1!S71_SA30FDSubCode,$AC:$AC,Sheet1!S71_CFCode,$AD:$AD)</f>
        <v>0</v>
      </c>
      <c r="G14" s="1356">
        <f>SUMIFS(Sheet1!S71_MonthlyOutcomeNov,Sheet1!S71_SA30FDSubCode,$AC:$AC,Sheet1!S71_CFCode,$AD:$AD)</f>
        <v>0</v>
      </c>
      <c r="H14" s="1361">
        <f>SUMIFS(Sheet1!S71_MonthlyOutcomeDec,Sheet1!S71_SA30FDSubCode,$AC:$AC,Sheet1!S71_CFCode,$AD:$AD)</f>
        <v>0</v>
      </c>
      <c r="I14" s="1360">
        <f t="shared" si="4"/>
        <v>0</v>
      </c>
      <c r="J14" s="1356">
        <f t="shared" si="5"/>
        <v>0</v>
      </c>
      <c r="K14" s="1356">
        <f t="shared" si="6"/>
        <v>0</v>
      </c>
      <c r="L14" s="1356">
        <f t="shared" si="7"/>
        <v>0</v>
      </c>
      <c r="M14" s="1356">
        <f t="shared" si="8"/>
        <v>0</v>
      </c>
      <c r="N14" s="506">
        <f t="shared" si="2"/>
        <v>0</v>
      </c>
      <c r="O14" s="538">
        <f t="shared" si="3"/>
        <v>0</v>
      </c>
      <c r="P14" s="1360">
        <f>SUMIFS(Sheet1!S71_AdjustedBudget,Sheet1!S71_SA30FDSubCode,$AC:$AC,Sheet1!S71_CFCode,$AD:$AD)</f>
        <v>0</v>
      </c>
      <c r="Q14" s="1356">
        <f>SUMIFS(Sheet1!S71_OY1AdjustedBudget,Sheet1!S71_SA30FDSubCode,$AC:$AC,Sheet1!S71_CFCode,$AD:$AD)</f>
        <v>0</v>
      </c>
      <c r="R14" s="1357">
        <f>SUMIFS(Sheet1!S71_OY1AdjustedBudget,Sheet1!S71_SA30FDSubCode,$AC:$AC,Sheet1!S71_CFCode,$AD:$AD)</f>
        <v>0</v>
      </c>
      <c r="AC14" s="1336" t="s">
        <v>1909</v>
      </c>
      <c r="AD14" s="1336" t="s">
        <v>553</v>
      </c>
    </row>
    <row r="15" spans="1:30" ht="12.6" customHeight="1" x14ac:dyDescent="0.25">
      <c r="A15" s="127" t="s">
        <v>647</v>
      </c>
      <c r="B15" s="127"/>
      <c r="C15" s="1360">
        <f>SUMIFS(Sheet1!S71_MonthlyOutcomeJul,Sheet1!S71_SA30FDSubCode,$AC:$AC,Sheet1!S71_CFCode,$AD:$AD)</f>
        <v>0</v>
      </c>
      <c r="D15" s="1356">
        <f>SUMIFS(Sheet1!S71_MonthlyOutcomeAug,Sheet1!S71_SA30FDSubCode,$AC:$AC,Sheet1!S71_CFCode,$AD:$AD)</f>
        <v>0</v>
      </c>
      <c r="E15" s="1356">
        <f>SUMIFS(Sheet1!S71_MonthlyOutcomeSep,Sheet1!S71_SA30FDSubCode,$AC:$AC,Sheet1!S71_CFCode,$AD:$AD)</f>
        <v>0</v>
      </c>
      <c r="F15" s="1356">
        <f>SUMIFS(Sheet1!S71_MonthlyOutcomeOct,Sheet1!S71_SA30FDSubCode,$AC:$AC,Sheet1!S71_CFCode,$AD:$AD)</f>
        <v>0</v>
      </c>
      <c r="G15" s="1356">
        <f>SUMIFS(Sheet1!S71_MonthlyOutcomeNov,Sheet1!S71_SA30FDSubCode,$AC:$AC,Sheet1!S71_CFCode,$AD:$AD)</f>
        <v>0</v>
      </c>
      <c r="H15" s="1361">
        <f>SUMIFS(Sheet1!S71_MonthlyOutcomeDec,Sheet1!S71_SA30FDSubCode,$AC:$AC,Sheet1!S71_CFCode,$AD:$AD)</f>
        <v>0</v>
      </c>
      <c r="I15" s="1360">
        <f t="shared" si="4"/>
        <v>0</v>
      </c>
      <c r="J15" s="1356">
        <f t="shared" si="5"/>
        <v>0</v>
      </c>
      <c r="K15" s="1356">
        <f t="shared" si="6"/>
        <v>0</v>
      </c>
      <c r="L15" s="1356">
        <f t="shared" si="7"/>
        <v>0</v>
      </c>
      <c r="M15" s="1356">
        <f t="shared" si="8"/>
        <v>0</v>
      </c>
      <c r="N15" s="506">
        <f t="shared" si="2"/>
        <v>0</v>
      </c>
      <c r="O15" s="538">
        <f t="shared" si="3"/>
        <v>0</v>
      </c>
      <c r="P15" s="1360">
        <f>SUMIFS(Sheet1!S71_AdjustedBudget,Sheet1!S71_SA30FDSubCode,$AC:$AC,Sheet1!S71_CFCode,$AD:$AD)</f>
        <v>0</v>
      </c>
      <c r="Q15" s="1356">
        <f>SUMIFS(Sheet1!S71_OY1AdjustedBudget,Sheet1!S71_SA30FDSubCode,$AC:$AC,Sheet1!S71_CFCode,$AD:$AD)</f>
        <v>0</v>
      </c>
      <c r="R15" s="1357">
        <f>SUMIFS(Sheet1!S71_OY1AdjustedBudget,Sheet1!S71_SA30FDSubCode,$AC:$AC,Sheet1!S71_CFCode,$AD:$AD)</f>
        <v>0</v>
      </c>
      <c r="AC15" s="1336" t="s">
        <v>1814</v>
      </c>
      <c r="AD15" s="1336" t="s">
        <v>553</v>
      </c>
    </row>
    <row r="16" spans="1:30" ht="12.6" customHeight="1" x14ac:dyDescent="0.25">
      <c r="A16" s="127" t="s">
        <v>1478</v>
      </c>
      <c r="B16" s="127"/>
      <c r="C16" s="1360">
        <f>SUMIFS(Sheet1!S71_MonthlyOutcomeJul,Sheet1!S71_SA30FDSubCode,$AC:$AC,Sheet1!S71_CFCode,$AD:$AD)</f>
        <v>0</v>
      </c>
      <c r="D16" s="1356">
        <f>SUMIFS(Sheet1!S71_MonthlyOutcomeAug,Sheet1!S71_SA30FDSubCode,$AC:$AC,Sheet1!S71_CFCode,$AD:$AD)</f>
        <v>0</v>
      </c>
      <c r="E16" s="1356">
        <f>SUMIFS(Sheet1!S71_MonthlyOutcomeSep,Sheet1!S71_SA30FDSubCode,$AC:$AC,Sheet1!S71_CFCode,$AD:$AD)</f>
        <v>0</v>
      </c>
      <c r="F16" s="1356">
        <f>SUMIFS(Sheet1!S71_MonthlyOutcomeOct,Sheet1!S71_SA30FDSubCode,$AC:$AC,Sheet1!S71_CFCode,$AD:$AD)</f>
        <v>0</v>
      </c>
      <c r="G16" s="1356">
        <f>SUMIFS(Sheet1!S71_MonthlyOutcomeNov,Sheet1!S71_SA30FDSubCode,$AC:$AC,Sheet1!S71_CFCode,$AD:$AD)</f>
        <v>0</v>
      </c>
      <c r="H16" s="1361">
        <f>SUMIFS(Sheet1!S71_MonthlyOutcomeDec,Sheet1!S71_SA30FDSubCode,$AC:$AC,Sheet1!S71_CFCode,$AD:$AD)</f>
        <v>0</v>
      </c>
      <c r="I16" s="1360">
        <f t="shared" si="4"/>
        <v>0</v>
      </c>
      <c r="J16" s="1356">
        <f t="shared" si="5"/>
        <v>0</v>
      </c>
      <c r="K16" s="1356">
        <f t="shared" si="6"/>
        <v>0</v>
      </c>
      <c r="L16" s="1356">
        <f t="shared" si="7"/>
        <v>0</v>
      </c>
      <c r="M16" s="1356">
        <f t="shared" si="8"/>
        <v>0</v>
      </c>
      <c r="N16" s="506">
        <f t="shared" si="2"/>
        <v>0</v>
      </c>
      <c r="O16" s="538">
        <f t="shared" si="3"/>
        <v>0</v>
      </c>
      <c r="P16" s="1360">
        <f>SUMIFS(Sheet1!S71_AdjustedBudget,Sheet1!S71_SA30FDSubCode,$AC:$AC,Sheet1!S71_CFCode,$AD:$AD)</f>
        <v>0</v>
      </c>
      <c r="Q16" s="1356">
        <f>SUMIFS(Sheet1!S71_OY1AdjustedBudget,Sheet1!S71_SA30FDSubCode,$AC:$AC,Sheet1!S71_CFCode,$AD:$AD)</f>
        <v>0</v>
      </c>
      <c r="R16" s="1357">
        <f>SUMIFS(Sheet1!S71_OY1AdjustedBudget,Sheet1!S71_SA30FDSubCode,$AC:$AC,Sheet1!S71_CFCode,$AD:$AD)</f>
        <v>0</v>
      </c>
      <c r="AC16" s="1336" t="s">
        <v>1865</v>
      </c>
      <c r="AD16" s="1336" t="s">
        <v>553</v>
      </c>
    </row>
    <row r="17" spans="1:30" ht="12.6" customHeight="1" x14ac:dyDescent="0.25">
      <c r="A17" s="127" t="s">
        <v>648</v>
      </c>
      <c r="B17" s="127"/>
      <c r="C17" s="1360">
        <f>SUMIFS(Sheet1!S71_MonthlyOutcomeJul,Sheet1!S71_SA30FDSubCode,$AC:$AC,Sheet1!S71_CFCode,$AD:$AD)</f>
        <v>0</v>
      </c>
      <c r="D17" s="1356">
        <f>SUMIFS(Sheet1!S71_MonthlyOutcomeAug,Sheet1!S71_SA30FDSubCode,$AC:$AC,Sheet1!S71_CFCode,$AD:$AD)</f>
        <v>0</v>
      </c>
      <c r="E17" s="1356">
        <f>SUMIFS(Sheet1!S71_MonthlyOutcomeSep,Sheet1!S71_SA30FDSubCode,$AC:$AC,Sheet1!S71_CFCode,$AD:$AD)</f>
        <v>0</v>
      </c>
      <c r="F17" s="1356">
        <f>SUMIFS(Sheet1!S71_MonthlyOutcomeOct,Sheet1!S71_SA30FDSubCode,$AC:$AC,Sheet1!S71_CFCode,$AD:$AD)</f>
        <v>0</v>
      </c>
      <c r="G17" s="1356">
        <f>SUMIFS(Sheet1!S71_MonthlyOutcomeNov,Sheet1!S71_SA30FDSubCode,$AC:$AC,Sheet1!S71_CFCode,$AD:$AD)</f>
        <v>0</v>
      </c>
      <c r="H17" s="1361">
        <f>SUMIFS(Sheet1!S71_MonthlyOutcomeDec,Sheet1!S71_SA30FDSubCode,$AC:$AC,Sheet1!S71_CFCode,$AD:$AD)</f>
        <v>0</v>
      </c>
      <c r="I17" s="1360">
        <f t="shared" si="4"/>
        <v>0</v>
      </c>
      <c r="J17" s="1356">
        <f t="shared" si="5"/>
        <v>0</v>
      </c>
      <c r="K17" s="1356">
        <f t="shared" si="6"/>
        <v>0</v>
      </c>
      <c r="L17" s="1356">
        <f t="shared" si="7"/>
        <v>0</v>
      </c>
      <c r="M17" s="1356">
        <f t="shared" si="8"/>
        <v>0</v>
      </c>
      <c r="N17" s="506">
        <f t="shared" si="2"/>
        <v>0</v>
      </c>
      <c r="O17" s="538">
        <f t="shared" si="3"/>
        <v>0</v>
      </c>
      <c r="P17" s="1360">
        <f>SUMIFS(Sheet1!S71_AdjustedBudget,Sheet1!S71_SA30FDSubCode,$AC:$AC,Sheet1!S71_CFCode,$AD:$AD)</f>
        <v>0</v>
      </c>
      <c r="Q17" s="1356">
        <f>SUMIFS(Sheet1!S71_OY1AdjustedBudget,Sheet1!S71_SA30FDSubCode,$AC:$AC,Sheet1!S71_CFCode,$AD:$AD)</f>
        <v>0</v>
      </c>
      <c r="R17" s="1357">
        <f>SUMIFS(Sheet1!S71_OY1AdjustedBudget,Sheet1!S71_SA30FDSubCode,$AC:$AC,Sheet1!S71_CFCode,$AD:$AD)</f>
        <v>0</v>
      </c>
      <c r="AC17" s="1336" t="s">
        <v>1866</v>
      </c>
      <c r="AD17" s="1336" t="s">
        <v>553</v>
      </c>
    </row>
    <row r="18" spans="1:30" ht="12.6" customHeight="1" x14ac:dyDescent="0.25">
      <c r="A18" s="127" t="s">
        <v>649</v>
      </c>
      <c r="B18" s="127"/>
      <c r="C18" s="1360">
        <f>SUMIFS(Sheet1!S71_MonthlyOutcomeJul,Sheet1!S71_SA30FDSubCode,$AC:$AC,Sheet1!S71_CFCode,$AD:$AD)</f>
        <v>0</v>
      </c>
      <c r="D18" s="1356">
        <f>SUMIFS(Sheet1!S71_MonthlyOutcomeAug,Sheet1!S71_SA30FDSubCode,$AC:$AC,Sheet1!S71_CFCode,$AD:$AD)</f>
        <v>0</v>
      </c>
      <c r="E18" s="1356">
        <f>SUMIFS(Sheet1!S71_MonthlyOutcomeSep,Sheet1!S71_SA30FDSubCode,$AC:$AC,Sheet1!S71_CFCode,$AD:$AD)</f>
        <v>0</v>
      </c>
      <c r="F18" s="1356">
        <f>SUMIFS(Sheet1!S71_MonthlyOutcomeOct,Sheet1!S71_SA30FDSubCode,$AC:$AC,Sheet1!S71_CFCode,$AD:$AD)</f>
        <v>0</v>
      </c>
      <c r="G18" s="1356">
        <f>SUMIFS(Sheet1!S71_MonthlyOutcomeNov,Sheet1!S71_SA30FDSubCode,$AC:$AC,Sheet1!S71_CFCode,$AD:$AD)</f>
        <v>0</v>
      </c>
      <c r="H18" s="1361">
        <f>SUMIFS(Sheet1!S71_MonthlyOutcomeDec,Sheet1!S71_SA30FDSubCode,$AC:$AC,Sheet1!S71_CFCode,$AD:$AD)</f>
        <v>0</v>
      </c>
      <c r="I18" s="1360">
        <f t="shared" si="4"/>
        <v>0</v>
      </c>
      <c r="J18" s="1356">
        <f t="shared" si="5"/>
        <v>0</v>
      </c>
      <c r="K18" s="1356">
        <f t="shared" si="6"/>
        <v>0</v>
      </c>
      <c r="L18" s="1356">
        <f t="shared" si="7"/>
        <v>0</v>
      </c>
      <c r="M18" s="1356">
        <f t="shared" si="8"/>
        <v>0</v>
      </c>
      <c r="N18" s="506">
        <f t="shared" si="2"/>
        <v>0</v>
      </c>
      <c r="O18" s="538">
        <f t="shared" si="3"/>
        <v>0</v>
      </c>
      <c r="P18" s="1360">
        <f>SUMIFS(Sheet1!S71_AdjustedBudget,Sheet1!S71_SA30FDSubCode,$AC:$AC,Sheet1!S71_CFCode,$AD:$AD)</f>
        <v>0</v>
      </c>
      <c r="Q18" s="1356">
        <f>SUMIFS(Sheet1!S71_OY1AdjustedBudget,Sheet1!S71_SA30FDSubCode,$AC:$AC,Sheet1!S71_CFCode,$AD:$AD)</f>
        <v>0</v>
      </c>
      <c r="R18" s="1357">
        <f>SUMIFS(Sheet1!S71_OY1AdjustedBudget,Sheet1!S71_SA30FDSubCode,$AC:$AC,Sheet1!S71_CFCode,$AD:$AD)</f>
        <v>0</v>
      </c>
      <c r="AC18" s="1336" t="s">
        <v>1867</v>
      </c>
      <c r="AD18" s="1336" t="s">
        <v>553</v>
      </c>
    </row>
    <row r="19" spans="1:30" ht="12.6" customHeight="1" x14ac:dyDescent="0.25">
      <c r="A19" s="1335" t="s">
        <v>1796</v>
      </c>
      <c r="B19" s="127"/>
      <c r="C19" s="1360">
        <f>SUMIFS(Sheet1!S71_MonthlyOutcomeJul,Sheet1!S71_SA30FDSubCode,$AC:$AC,Sheet1!S71_CFCode,$AD:$AD)</f>
        <v>0</v>
      </c>
      <c r="D19" s="1356">
        <f>SUMIFS(Sheet1!S71_MonthlyOutcomeAug,Sheet1!S71_SA30FDSubCode,$AC:$AC,Sheet1!S71_CFCode,$AD:$AD)</f>
        <v>0</v>
      </c>
      <c r="E19" s="1356">
        <f>SUMIFS(Sheet1!S71_MonthlyOutcomeSep,Sheet1!S71_SA30FDSubCode,$AC:$AC,Sheet1!S71_CFCode,$AD:$AD)</f>
        <v>0</v>
      </c>
      <c r="F19" s="1356">
        <f>SUMIFS(Sheet1!S71_MonthlyOutcomeOct,Sheet1!S71_SA30FDSubCode,$AC:$AC,Sheet1!S71_CFCode,$AD:$AD)</f>
        <v>0</v>
      </c>
      <c r="G19" s="1356">
        <f>SUMIFS(Sheet1!S71_MonthlyOutcomeNov,Sheet1!S71_SA30FDSubCode,$AC:$AC,Sheet1!S71_CFCode,$AD:$AD)</f>
        <v>0</v>
      </c>
      <c r="H19" s="1361">
        <f>SUMIFS(Sheet1!S71_MonthlyOutcomeDec,Sheet1!S71_SA30FDSubCode,$AC:$AC,Sheet1!S71_CFCode,$AD:$AD)</f>
        <v>0</v>
      </c>
      <c r="I19" s="1360">
        <f t="shared" si="4"/>
        <v>0</v>
      </c>
      <c r="J19" s="1356">
        <f t="shared" si="5"/>
        <v>0</v>
      </c>
      <c r="K19" s="1356">
        <f t="shared" si="6"/>
        <v>0</v>
      </c>
      <c r="L19" s="1356">
        <f t="shared" si="7"/>
        <v>0</v>
      </c>
      <c r="M19" s="1356">
        <f t="shared" si="8"/>
        <v>0</v>
      </c>
      <c r="N19" s="506">
        <f t="shared" si="2"/>
        <v>0</v>
      </c>
      <c r="O19" s="538">
        <f t="shared" si="3"/>
        <v>0</v>
      </c>
      <c r="P19" s="1360">
        <f>SUMIFS(Sheet1!S71_AdjustedBudget,Sheet1!S71_SA30FDSubCode,$AC:$AC,Sheet1!S71_CFCode,$AD:$AD)</f>
        <v>0</v>
      </c>
      <c r="Q19" s="1356">
        <f>SUMIFS(Sheet1!S71_OY1AdjustedBudget,Sheet1!S71_SA30FDSubCode,$AC:$AC,Sheet1!S71_CFCode,$AD:$AD)</f>
        <v>0</v>
      </c>
      <c r="R19" s="1357">
        <f>SUMIFS(Sheet1!S71_OY1AdjustedBudget,Sheet1!S71_SA30FDSubCode,$AC:$AC,Sheet1!S71_CFCode,$AD:$AD)</f>
        <v>0</v>
      </c>
      <c r="AC19" s="1336" t="s">
        <v>1868</v>
      </c>
      <c r="AD19" s="1336" t="s">
        <v>553</v>
      </c>
    </row>
    <row r="20" spans="1:30" ht="12.6" customHeight="1" x14ac:dyDescent="0.25">
      <c r="A20" s="127" t="s">
        <v>650</v>
      </c>
      <c r="B20" s="85"/>
      <c r="C20" s="1360">
        <f>SUMIFS(Sheet1!S71_MonthlyOutcomeJul,Sheet1!S71_SA30FDSubCode,$AC:$AC,Sheet1!S71_CFCode,$AD:$AD)</f>
        <v>0</v>
      </c>
      <c r="D20" s="1356">
        <f>SUMIFS(Sheet1!S71_MonthlyOutcomeAug,Sheet1!S71_SA30FDSubCode,$AC:$AC,Sheet1!S71_CFCode,$AD:$AD)</f>
        <v>0</v>
      </c>
      <c r="E20" s="1356">
        <f>SUMIFS(Sheet1!S71_MonthlyOutcomeSep,Sheet1!S71_SA30FDSubCode,$AC:$AC,Sheet1!S71_CFCode,$AD:$AD)</f>
        <v>0</v>
      </c>
      <c r="F20" s="1356">
        <f>SUMIFS(Sheet1!S71_MonthlyOutcomeOct,Sheet1!S71_SA30FDSubCode,$AC:$AC,Sheet1!S71_CFCode,$AD:$AD)</f>
        <v>0</v>
      </c>
      <c r="G20" s="1356">
        <f>SUMIFS(Sheet1!S71_MonthlyOutcomeNov,Sheet1!S71_SA30FDSubCode,$AC:$AC,Sheet1!S71_CFCode,$AD:$AD)</f>
        <v>0</v>
      </c>
      <c r="H20" s="1361">
        <f>SUMIFS(Sheet1!S71_MonthlyOutcomeDec,Sheet1!S71_SA30FDSubCode,$AC:$AC,Sheet1!S71_CFCode,$AD:$AD)</f>
        <v>0</v>
      </c>
      <c r="I20" s="1360">
        <f t="shared" si="4"/>
        <v>0</v>
      </c>
      <c r="J20" s="1356">
        <f t="shared" si="5"/>
        <v>0</v>
      </c>
      <c r="K20" s="1356">
        <f t="shared" si="6"/>
        <v>0</v>
      </c>
      <c r="L20" s="1356">
        <f t="shared" si="7"/>
        <v>0</v>
      </c>
      <c r="M20" s="1356">
        <f t="shared" si="8"/>
        <v>0</v>
      </c>
      <c r="N20" s="506">
        <f t="shared" si="2"/>
        <v>0</v>
      </c>
      <c r="O20" s="538">
        <f t="shared" si="3"/>
        <v>0</v>
      </c>
      <c r="P20" s="1360">
        <f>SUMIFS(Sheet1!S71_AdjustedBudget,Sheet1!S71_SA30FDSubCode,$AC:$AC,Sheet1!S71_CFCode,$AD:$AD)</f>
        <v>0</v>
      </c>
      <c r="Q20" s="1356">
        <f>SUMIFS(Sheet1!S71_OY1AdjustedBudget,Sheet1!S71_SA30FDSubCode,$AC:$AC,Sheet1!S71_CFCode,$AD:$AD)</f>
        <v>0</v>
      </c>
      <c r="R20" s="1357">
        <f>SUMIFS(Sheet1!S71_OY1AdjustedBudget,Sheet1!S71_SA30FDSubCode,$AC:$AC,Sheet1!S71_CFCode,$AD:$AD)</f>
        <v>0</v>
      </c>
      <c r="AC20" s="1336" t="s">
        <v>1910</v>
      </c>
      <c r="AD20" s="1336" t="s">
        <v>553</v>
      </c>
    </row>
    <row r="21" spans="1:30" ht="12.75" customHeight="1" x14ac:dyDescent="0.25">
      <c r="A21" s="137" t="s">
        <v>463</v>
      </c>
      <c r="B21" s="539"/>
      <c r="C21" s="300">
        <f>SUM(C6:C10)+SUM(C12:C20)</f>
        <v>0</v>
      </c>
      <c r="D21" s="149">
        <f t="shared" ref="D21:R21" si="9">SUM(D6:D10)+SUM(D12:D20)</f>
        <v>0</v>
      </c>
      <c r="E21" s="149">
        <f t="shared" si="9"/>
        <v>0</v>
      </c>
      <c r="F21" s="149">
        <f t="shared" si="9"/>
        <v>0</v>
      </c>
      <c r="G21" s="149">
        <f t="shared" si="9"/>
        <v>0</v>
      </c>
      <c r="H21" s="519">
        <f t="shared" si="9"/>
        <v>0</v>
      </c>
      <c r="I21" s="300">
        <f t="shared" si="9"/>
        <v>0</v>
      </c>
      <c r="J21" s="149">
        <f t="shared" si="9"/>
        <v>0</v>
      </c>
      <c r="K21" s="149">
        <f t="shared" si="9"/>
        <v>0</v>
      </c>
      <c r="L21" s="149">
        <f t="shared" si="9"/>
        <v>0</v>
      </c>
      <c r="M21" s="149">
        <f t="shared" si="9"/>
        <v>0</v>
      </c>
      <c r="N21" s="519">
        <f t="shared" si="9"/>
        <v>0</v>
      </c>
      <c r="O21" s="540">
        <f t="shared" si="9"/>
        <v>0</v>
      </c>
      <c r="P21" s="300">
        <f t="shared" si="9"/>
        <v>0</v>
      </c>
      <c r="Q21" s="149">
        <f t="shared" si="9"/>
        <v>0</v>
      </c>
      <c r="R21" s="150">
        <f t="shared" si="9"/>
        <v>0</v>
      </c>
    </row>
    <row r="22" spans="1:30" ht="5.0999999999999996" customHeight="1" x14ac:dyDescent="0.25">
      <c r="A22" s="50"/>
      <c r="B22" s="85"/>
      <c r="C22" s="238"/>
      <c r="D22" s="75"/>
      <c r="E22" s="75"/>
      <c r="F22" s="75"/>
      <c r="G22" s="75"/>
      <c r="H22" s="506"/>
      <c r="I22" s="238"/>
      <c r="J22" s="75"/>
      <c r="K22" s="75"/>
      <c r="L22" s="75"/>
      <c r="M22" s="75"/>
      <c r="N22" s="506"/>
      <c r="O22" s="538"/>
      <c r="P22" s="238"/>
      <c r="Q22" s="75"/>
      <c r="R22" s="76"/>
    </row>
    <row r="23" spans="1:30" ht="12.75" customHeight="1" x14ac:dyDescent="0.25">
      <c r="A23" s="533" t="s">
        <v>464</v>
      </c>
      <c r="B23" s="127"/>
      <c r="C23" s="238"/>
      <c r="D23" s="75"/>
      <c r="E23" s="75"/>
      <c r="F23" s="75"/>
      <c r="G23" s="75"/>
      <c r="H23" s="506"/>
      <c r="I23" s="238"/>
      <c r="J23" s="75"/>
      <c r="K23" s="75"/>
      <c r="L23" s="75"/>
      <c r="M23" s="75"/>
      <c r="N23" s="506"/>
      <c r="O23" s="538"/>
      <c r="P23" s="238"/>
      <c r="Q23" s="75"/>
      <c r="R23" s="76"/>
    </row>
    <row r="24" spans="1:30" ht="24.6" customHeight="1" x14ac:dyDescent="0.25">
      <c r="A24" s="1334" t="str">
        <f>'B4-FinPerf RE'!A40</f>
        <v>Transfers and subsidies - capital (monetary allocations) (National / Provincial and District)</v>
      </c>
      <c r="B24" s="127"/>
      <c r="C24" s="1360">
        <f>SUMIFS(Sheet1!S71_MonthlyOutcomeJul,Sheet1!S71_SA30FDSubCode,$AC:$AC,Sheet1!S71_CFCode,$AD:$AD)</f>
        <v>0</v>
      </c>
      <c r="D24" s="1356">
        <f>SUMIFS(Sheet1!S71_MonthlyOutcomeAug,Sheet1!S71_SA30FDSubCode,$AC:$AC,Sheet1!S71_CFCode,$AD:$AD)</f>
        <v>0</v>
      </c>
      <c r="E24" s="1356">
        <f>SUMIFS(Sheet1!S71_MonthlyOutcomeSep,Sheet1!S71_SA30FDSubCode,$AC:$AC,Sheet1!S71_CFCode,$AD:$AD)</f>
        <v>0</v>
      </c>
      <c r="F24" s="1356">
        <f>SUMIFS(Sheet1!S71_MonthlyOutcomeOct,Sheet1!S71_SA30FDSubCode,$AC:$AC,Sheet1!S71_CFCode,$AD:$AD)</f>
        <v>0</v>
      </c>
      <c r="G24" s="1356">
        <f>SUMIFS(Sheet1!S71_MonthlyOutcomeNov,Sheet1!S71_SA30FDSubCode,$AC:$AC,Sheet1!S71_CFCode,$AD:$AD)</f>
        <v>0</v>
      </c>
      <c r="H24" s="1361">
        <f>SUMIFS(Sheet1!S71_MonthlyOutcomeDec,Sheet1!S71_SA30FDSubCode,$AC:$AC,Sheet1!S71_CFCode,$AD:$AD)</f>
        <v>0</v>
      </c>
      <c r="I24" s="1360">
        <f t="shared" ref="I24:I32" si="10">(P24-SUM(C24:H24))/6</f>
        <v>0</v>
      </c>
      <c r="J24" s="1356">
        <f t="shared" ref="J24:J32" si="11">(P24-SUM(C24:H24))/6</f>
        <v>0</v>
      </c>
      <c r="K24" s="1356">
        <f t="shared" ref="K24:K32" si="12">(P24-SUM(C24:H24))/6</f>
        <v>0</v>
      </c>
      <c r="L24" s="1356">
        <f t="shared" ref="L24:L32" si="13">(P24-SUM(C24:H24))/6</f>
        <v>0</v>
      </c>
      <c r="M24" s="1356">
        <f t="shared" ref="M24:M32" si="14">(P24-SUM(C24:H24))/6</f>
        <v>0</v>
      </c>
      <c r="N24" s="506">
        <f t="shared" ref="N24:N32" si="15">P24-SUM(C24:M24)</f>
        <v>0</v>
      </c>
      <c r="O24" s="538">
        <f>SUM(C24:N24)</f>
        <v>0</v>
      </c>
      <c r="P24" s="1360">
        <f>SUMIFS(Sheet1!S71_AdjustedBudget,Sheet1!S71_SA30FDSubCode,$AC:$AC,Sheet1!S71_CFCode,$AD:$AD)</f>
        <v>0</v>
      </c>
      <c r="Q24" s="1356">
        <f>SUMIFS(Sheet1!S71_OY1AdjustedBudget,Sheet1!S71_SA30FDSubCode,$AC:$AC,Sheet1!S71_CFCode,$AD:$AD)</f>
        <v>0</v>
      </c>
      <c r="R24" s="1357">
        <f>SUMIFS(Sheet1!S71_OY1AdjustedBudget,Sheet1!S71_SA30FDSubCode,$AC:$AC,Sheet1!S71_CFCode,$AD:$AD)</f>
        <v>0</v>
      </c>
      <c r="AC24" s="1336" t="s">
        <v>1871</v>
      </c>
      <c r="AD24" s="1367"/>
    </row>
    <row r="25" spans="1:30" ht="44.1" customHeight="1" x14ac:dyDescent="0.25">
      <c r="A25" s="1334" t="str">
        <f>'B4-FinPerf RE'!A41</f>
        <v>Transfers and subsidies - capital (monetary allocations) (National / Provincial Departmental Agencies, Households, Non-profit Institutions, Private Enterprises, Public Corporatons, Higher Educational Institutions)</v>
      </c>
      <c r="B25" s="127"/>
      <c r="C25" s="1360">
        <f>SUMIFS(Sheet1!S71_MonthlyOutcomeJul,Sheet1!S71_SA30FDSubCode,$AC:$AC,Sheet1!S71_CFCode,$AD:$AD)</f>
        <v>0</v>
      </c>
      <c r="D25" s="1356">
        <f>SUMIFS(Sheet1!S71_MonthlyOutcomeAug,Sheet1!S71_SA30FDSubCode,$AC:$AC,Sheet1!S71_CFCode,$AD:$AD)</f>
        <v>0</v>
      </c>
      <c r="E25" s="1356">
        <f>SUMIFS(Sheet1!S71_MonthlyOutcomeSep,Sheet1!S71_SA30FDSubCode,$AC:$AC,Sheet1!S71_CFCode,$AD:$AD)</f>
        <v>0</v>
      </c>
      <c r="F25" s="1356">
        <f>SUMIFS(Sheet1!S71_MonthlyOutcomeOct,Sheet1!S71_SA30FDSubCode,$AC:$AC,Sheet1!S71_CFCode,$AD:$AD)</f>
        <v>0</v>
      </c>
      <c r="G25" s="1356">
        <f>SUMIFS(Sheet1!S71_MonthlyOutcomeNov,Sheet1!S71_SA30FDSubCode,$AC:$AC,Sheet1!S71_CFCode,$AD:$AD)</f>
        <v>0</v>
      </c>
      <c r="H25" s="1361">
        <f>SUMIFS(Sheet1!S71_MonthlyOutcomeDec,Sheet1!S71_SA30FDSubCode,$AC:$AC,Sheet1!S71_CFCode,$AD:$AD)</f>
        <v>0</v>
      </c>
      <c r="I25" s="1360">
        <f t="shared" si="10"/>
        <v>0</v>
      </c>
      <c r="J25" s="1356">
        <f t="shared" si="11"/>
        <v>0</v>
      </c>
      <c r="K25" s="1356">
        <f t="shared" si="12"/>
        <v>0</v>
      </c>
      <c r="L25" s="1356">
        <f t="shared" si="13"/>
        <v>0</v>
      </c>
      <c r="M25" s="1356">
        <f t="shared" si="14"/>
        <v>0</v>
      </c>
      <c r="N25" s="506">
        <f t="shared" si="15"/>
        <v>0</v>
      </c>
      <c r="O25" s="538">
        <f>SUM(C25:N25)</f>
        <v>0</v>
      </c>
      <c r="P25" s="1360">
        <f>SUMIFS(Sheet1!S71_AdjustedBudget,Sheet1!S71_SA30FDSubCode,$AC:$AC,Sheet1!S71_CFCode,$AD:$AD)</f>
        <v>0</v>
      </c>
      <c r="Q25" s="1356">
        <f>SUMIFS(Sheet1!S71_OY1AdjustedBudget,Sheet1!S71_SA30FDSubCode,$AC:$AC,Sheet1!S71_CFCode,$AD:$AD)</f>
        <v>0</v>
      </c>
      <c r="R25" s="1357">
        <f>SUMIFS(Sheet1!S71_OY1AdjustedBudget,Sheet1!S71_SA30FDSubCode,$AC:$AC,Sheet1!S71_CFCode,$AD:$AD)</f>
        <v>0</v>
      </c>
      <c r="AC25" s="1336" t="s">
        <v>1911</v>
      </c>
      <c r="AD25" s="1367"/>
    </row>
    <row r="26" spans="1:30" ht="12.6" customHeight="1" x14ac:dyDescent="0.25">
      <c r="A26" s="1335" t="s">
        <v>1810</v>
      </c>
      <c r="B26" s="127"/>
      <c r="C26" s="1360">
        <f>SUMIFS(Sheet1!S71_MonthlyOutcomeJul,Sheet1!S71_SA30FDSubCode,$AC:$AC,Sheet1!S71_CFCode,$AD:$AD)</f>
        <v>0</v>
      </c>
      <c r="D26" s="1356">
        <f>SUMIFS(Sheet1!S71_MonthlyOutcomeAug,Sheet1!S71_SA30FDSubCode,$AC:$AC,Sheet1!S71_CFCode,$AD:$AD)</f>
        <v>0</v>
      </c>
      <c r="E26" s="1356">
        <f>SUMIFS(Sheet1!S71_MonthlyOutcomeSep,Sheet1!S71_SA30FDSubCode,$AC:$AC,Sheet1!S71_CFCode,$AD:$AD)</f>
        <v>0</v>
      </c>
      <c r="F26" s="1356">
        <f>SUMIFS(Sheet1!S71_MonthlyOutcomeOct,Sheet1!S71_SA30FDSubCode,$AC:$AC,Sheet1!S71_CFCode,$AD:$AD)</f>
        <v>0</v>
      </c>
      <c r="G26" s="1356">
        <f>SUMIFS(Sheet1!S71_MonthlyOutcomeNov,Sheet1!S71_SA30FDSubCode,$AC:$AC,Sheet1!S71_CFCode,$AD:$AD)</f>
        <v>0</v>
      </c>
      <c r="H26" s="1361">
        <f>SUMIFS(Sheet1!S71_MonthlyOutcomeDec,Sheet1!S71_SA30FDSubCode,$AC:$AC,Sheet1!S71_CFCode,$AD:$AD)</f>
        <v>0</v>
      </c>
      <c r="I26" s="1360">
        <f t="shared" si="10"/>
        <v>0</v>
      </c>
      <c r="J26" s="1356">
        <f t="shared" si="11"/>
        <v>0</v>
      </c>
      <c r="K26" s="1356">
        <f t="shared" si="12"/>
        <v>0</v>
      </c>
      <c r="L26" s="1356">
        <f t="shared" si="13"/>
        <v>0</v>
      </c>
      <c r="M26" s="1356">
        <f t="shared" si="14"/>
        <v>0</v>
      </c>
      <c r="N26" s="506">
        <f t="shared" si="15"/>
        <v>0</v>
      </c>
      <c r="O26" s="538">
        <f>SUM(C26:N26)</f>
        <v>0</v>
      </c>
      <c r="P26" s="1360">
        <f>SUMIFS(Sheet1!S71_AdjustedBudget,Sheet1!S71_SA30FDSubCode,$AC:$AC,Sheet1!S71_CFCode,$AD:$AD)</f>
        <v>0</v>
      </c>
      <c r="Q26" s="1356">
        <f>SUMIFS(Sheet1!S71_OY1AdjustedBudget,Sheet1!S71_SA30FDSubCode,$AC:$AC,Sheet1!S71_CFCode,$AD:$AD)</f>
        <v>0</v>
      </c>
      <c r="R26" s="1357">
        <f>SUMIFS(Sheet1!S71_OY1AdjustedBudget,Sheet1!S71_SA30FDSubCode,$AC:$AC,Sheet1!S71_CFCode,$AD:$AD)</f>
        <v>0</v>
      </c>
      <c r="AC26" s="1336" t="s">
        <v>1815</v>
      </c>
      <c r="AD26" s="1367"/>
    </row>
    <row r="27" spans="1:30" ht="12.6" customHeight="1" x14ac:dyDescent="0.25">
      <c r="A27" s="127" t="s">
        <v>738</v>
      </c>
      <c r="B27" s="127"/>
      <c r="C27" s="1360">
        <f>SUMIFS(Sheet1!S71_MonthlyOutcomeJul,Sheet1!S71_SA30FDSubCode,$AC:$AC,Sheet1!S71_CFCode,$AD:$AD)</f>
        <v>0</v>
      </c>
      <c r="D27" s="1356">
        <f>SUMIFS(Sheet1!S71_MonthlyOutcomeAug,Sheet1!S71_SA30FDSubCode,$AC:$AC,Sheet1!S71_CFCode,$AD:$AD)</f>
        <v>0</v>
      </c>
      <c r="E27" s="1356">
        <f>SUMIFS(Sheet1!S71_MonthlyOutcomeSep,Sheet1!S71_SA30FDSubCode,$AC:$AC,Sheet1!S71_CFCode,$AD:$AD)</f>
        <v>0</v>
      </c>
      <c r="F27" s="1356">
        <f>SUMIFS(Sheet1!S71_MonthlyOutcomeOct,Sheet1!S71_SA30FDSubCode,$AC:$AC,Sheet1!S71_CFCode,$AD:$AD)</f>
        <v>0</v>
      </c>
      <c r="G27" s="1356">
        <f>SUMIFS(Sheet1!S71_MonthlyOutcomeNov,Sheet1!S71_SA30FDSubCode,$AC:$AC,Sheet1!S71_CFCode,$AD:$AD)</f>
        <v>0</v>
      </c>
      <c r="H27" s="1361">
        <f>SUMIFS(Sheet1!S71_MonthlyOutcomeDec,Sheet1!S71_SA30FDSubCode,$AC:$AC,Sheet1!S71_CFCode,$AD:$AD)</f>
        <v>0</v>
      </c>
      <c r="I27" s="1360">
        <f t="shared" si="10"/>
        <v>0</v>
      </c>
      <c r="J27" s="1356">
        <f t="shared" si="11"/>
        <v>0</v>
      </c>
      <c r="K27" s="1356">
        <f t="shared" si="12"/>
        <v>0</v>
      </c>
      <c r="L27" s="1356">
        <f t="shared" si="13"/>
        <v>0</v>
      </c>
      <c r="M27" s="1356">
        <f t="shared" si="14"/>
        <v>0</v>
      </c>
      <c r="N27" s="506">
        <f t="shared" si="15"/>
        <v>0</v>
      </c>
      <c r="O27" s="538">
        <f>SUM(C27:N27)</f>
        <v>0</v>
      </c>
      <c r="P27" s="1360">
        <f>SUMIFS(Sheet1!S71_AdjustedBudget,Sheet1!S71_SA30FDSubCode,$AC:$AC,Sheet1!S71_CFCode,$AD:$AD)</f>
        <v>0</v>
      </c>
      <c r="Q27" s="1356">
        <f>SUMIFS(Sheet1!S71_OY1AdjustedBudget,Sheet1!S71_SA30FDSubCode,$AC:$AC,Sheet1!S71_CFCode,$AD:$AD)</f>
        <v>0</v>
      </c>
      <c r="R27" s="1357">
        <f>SUMIFS(Sheet1!S71_OY1AdjustedBudget,Sheet1!S71_SA30FDSubCode,$AC:$AC,Sheet1!S71_CFCode,$AD:$AD)</f>
        <v>0</v>
      </c>
      <c r="AC27" s="1336" t="s">
        <v>1912</v>
      </c>
      <c r="AD27" s="1367"/>
    </row>
    <row r="28" spans="1:30" ht="12.6" customHeight="1" x14ac:dyDescent="0.25">
      <c r="A28" s="127" t="s">
        <v>739</v>
      </c>
      <c r="B28" s="127"/>
      <c r="C28" s="1360">
        <f>SUMIFS(Sheet1!S71_MonthlyOutcomeJul,Sheet1!S71_SA30FDSubCode,$AC:$AC,Sheet1!S71_CFCode,$AD:$AD)</f>
        <v>0</v>
      </c>
      <c r="D28" s="1356">
        <f>SUMIFS(Sheet1!S71_MonthlyOutcomeAug,Sheet1!S71_SA30FDSubCode,$AC:$AC,Sheet1!S71_CFCode,$AD:$AD)</f>
        <v>0</v>
      </c>
      <c r="E28" s="1356">
        <f>SUMIFS(Sheet1!S71_MonthlyOutcomeSep,Sheet1!S71_SA30FDSubCode,$AC:$AC,Sheet1!S71_CFCode,$AD:$AD)</f>
        <v>0</v>
      </c>
      <c r="F28" s="1356">
        <f>SUMIFS(Sheet1!S71_MonthlyOutcomeOct,Sheet1!S71_SA30FDSubCode,$AC:$AC,Sheet1!S71_CFCode,$AD:$AD)</f>
        <v>0</v>
      </c>
      <c r="G28" s="1356">
        <f>SUMIFS(Sheet1!S71_MonthlyOutcomeNov,Sheet1!S71_SA30FDSubCode,$AC:$AC,Sheet1!S71_CFCode,$AD:$AD)</f>
        <v>0</v>
      </c>
      <c r="H28" s="1361">
        <f>SUMIFS(Sheet1!S71_MonthlyOutcomeDec,Sheet1!S71_SA30FDSubCode,$AC:$AC,Sheet1!S71_CFCode,$AD:$AD)</f>
        <v>0</v>
      </c>
      <c r="I28" s="1360">
        <f t="shared" si="10"/>
        <v>0</v>
      </c>
      <c r="J28" s="1356">
        <f t="shared" si="11"/>
        <v>0</v>
      </c>
      <c r="K28" s="1356">
        <f t="shared" si="12"/>
        <v>0</v>
      </c>
      <c r="L28" s="1356">
        <f t="shared" si="13"/>
        <v>0</v>
      </c>
      <c r="M28" s="1356">
        <f t="shared" si="14"/>
        <v>0</v>
      </c>
      <c r="N28" s="506">
        <f t="shared" si="15"/>
        <v>0</v>
      </c>
      <c r="O28" s="538"/>
      <c r="P28" s="1360">
        <f>SUMIFS(Sheet1!S71_AdjustedBudget,Sheet1!S71_SA30FDSubCode,$AC:$AC,Sheet1!S71_CFCode,$AD:$AD)</f>
        <v>0</v>
      </c>
      <c r="Q28" s="1356">
        <f>SUMIFS(Sheet1!S71_OY1AdjustedBudget,Sheet1!S71_SA30FDSubCode,$AC:$AC,Sheet1!S71_CFCode,$AD:$AD)</f>
        <v>0</v>
      </c>
      <c r="R28" s="1357">
        <f>SUMIFS(Sheet1!S71_OY1AdjustedBudget,Sheet1!S71_SA30FDSubCode,$AC:$AC,Sheet1!S71_CFCode,$AD:$AD)</f>
        <v>0</v>
      </c>
      <c r="AC28" s="1336" t="s">
        <v>1913</v>
      </c>
      <c r="AD28" s="1367"/>
    </row>
    <row r="29" spans="1:30" ht="12.6" customHeight="1" x14ac:dyDescent="0.25">
      <c r="A29" s="586" t="s">
        <v>1134</v>
      </c>
      <c r="B29" s="127"/>
      <c r="C29" s="1360">
        <f>SUMIFS(Sheet1!S71_MonthlyOutcomeJul,Sheet1!S71_SA30FDSubCode,$AC:$AC,Sheet1!S71_CFCode,$AD:$AD)</f>
        <v>0</v>
      </c>
      <c r="D29" s="1356">
        <f>SUMIFS(Sheet1!S71_MonthlyOutcomeAug,Sheet1!S71_SA30FDSubCode,$AC:$AC,Sheet1!S71_CFCode,$AD:$AD)</f>
        <v>0</v>
      </c>
      <c r="E29" s="1356">
        <f>SUMIFS(Sheet1!S71_MonthlyOutcomeSep,Sheet1!S71_SA30FDSubCode,$AC:$AC,Sheet1!S71_CFCode,$AD:$AD)</f>
        <v>0</v>
      </c>
      <c r="F29" s="1356">
        <f>SUMIFS(Sheet1!S71_MonthlyOutcomeOct,Sheet1!S71_SA30FDSubCode,$AC:$AC,Sheet1!S71_CFCode,$AD:$AD)</f>
        <v>0</v>
      </c>
      <c r="G29" s="1356">
        <f>SUMIFS(Sheet1!S71_MonthlyOutcomeNov,Sheet1!S71_SA30FDSubCode,$AC:$AC,Sheet1!S71_CFCode,$AD:$AD)</f>
        <v>0</v>
      </c>
      <c r="H29" s="1361">
        <f>SUMIFS(Sheet1!S71_MonthlyOutcomeDec,Sheet1!S71_SA30FDSubCode,$AC:$AC,Sheet1!S71_CFCode,$AD:$AD)</f>
        <v>0</v>
      </c>
      <c r="I29" s="1360">
        <f t="shared" si="10"/>
        <v>0</v>
      </c>
      <c r="J29" s="1356">
        <f t="shared" si="11"/>
        <v>0</v>
      </c>
      <c r="K29" s="1356">
        <f t="shared" si="12"/>
        <v>0</v>
      </c>
      <c r="L29" s="1356">
        <f t="shared" si="13"/>
        <v>0</v>
      </c>
      <c r="M29" s="1356">
        <f t="shared" si="14"/>
        <v>0</v>
      </c>
      <c r="N29" s="506">
        <f t="shared" si="15"/>
        <v>0</v>
      </c>
      <c r="O29" s="538"/>
      <c r="P29" s="1360">
        <f>SUMIFS(Sheet1!S71_AdjustedBudget,Sheet1!S71_SA30FDSubCode,$AC:$AC,Sheet1!S71_CFCode,$AD:$AD)</f>
        <v>0</v>
      </c>
      <c r="Q29" s="1356">
        <f>SUMIFS(Sheet1!S71_OY1AdjustedBudget,Sheet1!S71_SA30FDSubCode,$AC:$AC,Sheet1!S71_CFCode,$AD:$AD)</f>
        <v>0</v>
      </c>
      <c r="R29" s="1357">
        <f>SUMIFS(Sheet1!S71_OY1AdjustedBudget,Sheet1!S71_SA30FDSubCode,$AC:$AC,Sheet1!S71_CFCode,$AD:$AD)</f>
        <v>0</v>
      </c>
      <c r="AC29" s="1336" t="s">
        <v>1872</v>
      </c>
      <c r="AD29" s="1367"/>
    </row>
    <row r="30" spans="1:30" ht="12.6" hidden="1" customHeight="1" x14ac:dyDescent="0.25">
      <c r="A30" s="127"/>
      <c r="B30" s="127"/>
      <c r="C30" s="1360">
        <f>SUMIFS(Sheet1!S71_MonthlyOutcomeJul,Sheet1!S71_SA30FDSubCode,$AC:$AC,Sheet1!S71_CFCode,$AD:$AD)</f>
        <v>0</v>
      </c>
      <c r="D30" s="1356">
        <f>SUMIFS(Sheet1!S71_MonthlyOutcomeAug,Sheet1!S71_SA30FDSubCode,$AC:$AC,Sheet1!S71_CFCode,$AD:$AD)</f>
        <v>0</v>
      </c>
      <c r="E30" s="1356">
        <f>SUMIFS(Sheet1!S71_MonthlyOutcomeSep,Sheet1!S71_SA30FDSubCode,$AC:$AC,Sheet1!S71_CFCode,$AD:$AD)</f>
        <v>0</v>
      </c>
      <c r="F30" s="1356">
        <f>SUMIFS(Sheet1!S71_MonthlyOutcomeOct,Sheet1!S71_SA30FDSubCode,$AC:$AC,Sheet1!S71_CFCode,$AD:$AD)</f>
        <v>0</v>
      </c>
      <c r="G30" s="1356">
        <f>SUMIFS(Sheet1!S71_MonthlyOutcomeNov,Sheet1!S71_SA30FDSubCode,$AC:$AC,Sheet1!S71_CFCode,$AD:$AD)</f>
        <v>0</v>
      </c>
      <c r="H30" s="1361">
        <f>SUMIFS(Sheet1!S71_MonthlyOutcomeDec,Sheet1!S71_SA30FDSubCode,$AC:$AC,Sheet1!S71_CFCode,$AD:$AD)</f>
        <v>0</v>
      </c>
      <c r="I30" s="1360">
        <f t="shared" si="10"/>
        <v>0</v>
      </c>
      <c r="J30" s="1356">
        <f t="shared" si="11"/>
        <v>0</v>
      </c>
      <c r="K30" s="1356">
        <f t="shared" si="12"/>
        <v>0</v>
      </c>
      <c r="L30" s="1356">
        <f t="shared" si="13"/>
        <v>0</v>
      </c>
      <c r="M30" s="1356">
        <f t="shared" si="14"/>
        <v>0</v>
      </c>
      <c r="N30" s="1308"/>
      <c r="O30" s="1309"/>
      <c r="P30" s="1360">
        <f>SUMIFS(Sheet1!S71_AdjustedBudget,Sheet1!S71_SA30FDSubCode,$AC:$AC,Sheet1!S71_CFCode,$AD:$AD)</f>
        <v>0</v>
      </c>
      <c r="Q30" s="1356">
        <f>SUMIFS(Sheet1!S71_OY1AdjustedBudget,Sheet1!S71_SA30FDSubCode,$AC:$AC,Sheet1!S71_CFCode,$AD:$AD)</f>
        <v>0</v>
      </c>
      <c r="R30" s="1357">
        <f>SUMIFS(Sheet1!S71_OY1AdjustedBudget,Sheet1!S71_SA30FDSubCode,$AC:$AC,Sheet1!S71_CFCode,$AD:$AD)</f>
        <v>0</v>
      </c>
      <c r="AC30" s="1336" t="s">
        <v>1873</v>
      </c>
      <c r="AD30" s="1367"/>
    </row>
    <row r="31" spans="1:30" ht="12.6" customHeight="1" x14ac:dyDescent="0.25">
      <c r="A31" s="127" t="s">
        <v>1798</v>
      </c>
      <c r="B31" s="127"/>
      <c r="C31" s="1360">
        <f>SUMIFS(Sheet1!S71_MonthlyOutcomeJul,Sheet1!S71_SA30FDSubCode,$AC:$AC,Sheet1!S71_CFCode,$AD:$AD)</f>
        <v>0</v>
      </c>
      <c r="D31" s="1356">
        <f>SUMIFS(Sheet1!S71_MonthlyOutcomeAug,Sheet1!S71_SA30FDSubCode,$AC:$AC,Sheet1!S71_CFCode,$AD:$AD)</f>
        <v>0</v>
      </c>
      <c r="E31" s="1356">
        <f>SUMIFS(Sheet1!S71_MonthlyOutcomeSep,Sheet1!S71_SA30FDSubCode,$AC:$AC,Sheet1!S71_CFCode,$AD:$AD)</f>
        <v>0</v>
      </c>
      <c r="F31" s="1356">
        <f>SUMIFS(Sheet1!S71_MonthlyOutcomeOct,Sheet1!S71_SA30FDSubCode,$AC:$AC,Sheet1!S71_CFCode,$AD:$AD)</f>
        <v>0</v>
      </c>
      <c r="G31" s="1356">
        <f>SUMIFS(Sheet1!S71_MonthlyOutcomeNov,Sheet1!S71_SA30FDSubCode,$AC:$AC,Sheet1!S71_CFCode,$AD:$AD)</f>
        <v>0</v>
      </c>
      <c r="H31" s="1361">
        <f>SUMIFS(Sheet1!S71_MonthlyOutcomeDec,Sheet1!S71_SA30FDSubCode,$AC:$AC,Sheet1!S71_CFCode,$AD:$AD)</f>
        <v>0</v>
      </c>
      <c r="I31" s="1360">
        <f t="shared" si="10"/>
        <v>0</v>
      </c>
      <c r="J31" s="1356">
        <f t="shared" si="11"/>
        <v>0</v>
      </c>
      <c r="K31" s="1356">
        <f t="shared" si="12"/>
        <v>0</v>
      </c>
      <c r="L31" s="1356">
        <f t="shared" si="13"/>
        <v>0</v>
      </c>
      <c r="M31" s="1356">
        <f t="shared" si="14"/>
        <v>0</v>
      </c>
      <c r="N31" s="506">
        <f t="shared" si="15"/>
        <v>0</v>
      </c>
      <c r="O31" s="538"/>
      <c r="P31" s="1360">
        <f>SUMIFS(Sheet1!S71_AdjustedBudget,Sheet1!S71_SA30FDSubCode,$AC:$AC,Sheet1!S71_CFCode,$AD:$AD)</f>
        <v>0</v>
      </c>
      <c r="Q31" s="1356">
        <f>SUMIFS(Sheet1!S71_OY1AdjustedBudget,Sheet1!S71_SA30FDSubCode,$AC:$AC,Sheet1!S71_CFCode,$AD:$AD)</f>
        <v>0</v>
      </c>
      <c r="R31" s="1357">
        <f>SUMIFS(Sheet1!S71_OY1AdjustedBudget,Sheet1!S71_SA30FDSubCode,$AC:$AC,Sheet1!S71_CFCode,$AD:$AD)</f>
        <v>0</v>
      </c>
      <c r="AC31" s="1336" t="s">
        <v>1874</v>
      </c>
      <c r="AD31" s="1367"/>
    </row>
    <row r="32" spans="1:30" ht="12.6" customHeight="1" x14ac:dyDescent="0.25">
      <c r="A32" s="127" t="s">
        <v>734</v>
      </c>
      <c r="B32" s="127"/>
      <c r="C32" s="1360">
        <f>SUMIFS(Sheet1!S71_MonthlyOutcomeJul,Sheet1!S71_SA30FDSubCode,$AC:$AC,Sheet1!S71_CFCode,$AD:$AD)</f>
        <v>0</v>
      </c>
      <c r="D32" s="1356">
        <f>SUMIFS(Sheet1!S71_MonthlyOutcomeAug,Sheet1!S71_SA30FDSubCode,$AC:$AC,Sheet1!S71_CFCode,$AD:$AD)</f>
        <v>0</v>
      </c>
      <c r="E32" s="1356">
        <f>SUMIFS(Sheet1!S71_MonthlyOutcomeSep,Sheet1!S71_SA30FDSubCode,$AC:$AC,Sheet1!S71_CFCode,$AD:$AD)</f>
        <v>0</v>
      </c>
      <c r="F32" s="1356">
        <f>SUMIFS(Sheet1!S71_MonthlyOutcomeOct,Sheet1!S71_SA30FDSubCode,$AC:$AC,Sheet1!S71_CFCode,$AD:$AD)</f>
        <v>0</v>
      </c>
      <c r="G32" s="1356">
        <f>SUMIFS(Sheet1!S71_MonthlyOutcomeNov,Sheet1!S71_SA30FDSubCode,$AC:$AC,Sheet1!S71_CFCode,$AD:$AD)</f>
        <v>0</v>
      </c>
      <c r="H32" s="1361">
        <f>SUMIFS(Sheet1!S71_MonthlyOutcomeDec,Sheet1!S71_SA30FDSubCode,$AC:$AC,Sheet1!S71_CFCode,$AD:$AD)</f>
        <v>0</v>
      </c>
      <c r="I32" s="1360">
        <f t="shared" si="10"/>
        <v>0</v>
      </c>
      <c r="J32" s="1356">
        <f t="shared" si="11"/>
        <v>0</v>
      </c>
      <c r="K32" s="1356">
        <f t="shared" si="12"/>
        <v>0</v>
      </c>
      <c r="L32" s="1356">
        <f t="shared" si="13"/>
        <v>0</v>
      </c>
      <c r="M32" s="1356">
        <f t="shared" si="14"/>
        <v>0</v>
      </c>
      <c r="N32" s="506">
        <f t="shared" si="15"/>
        <v>0</v>
      </c>
      <c r="O32" s="538"/>
      <c r="P32" s="1360">
        <f>SUMIFS(Sheet1!S71_AdjustedBudget,Sheet1!S71_SA30FDSubCode,$AC:$AC,Sheet1!S71_CFCode,$AD:$AD)</f>
        <v>0</v>
      </c>
      <c r="Q32" s="1356">
        <f>SUMIFS(Sheet1!S71_OY1AdjustedBudget,Sheet1!S71_SA30FDSubCode,$AC:$AC,Sheet1!S71_CFCode,$AD:$AD)</f>
        <v>0</v>
      </c>
      <c r="R32" s="1357">
        <f>SUMIFS(Sheet1!S71_OY1AdjustedBudget,Sheet1!S71_SA30FDSubCode,$AC:$AC,Sheet1!S71_CFCode,$AD:$AD)</f>
        <v>0</v>
      </c>
      <c r="AC32" s="1336" t="s">
        <v>1875</v>
      </c>
      <c r="AD32" s="1367"/>
    </row>
    <row r="33" spans="1:30" ht="12.75" customHeight="1" x14ac:dyDescent="0.25">
      <c r="A33" s="160" t="s">
        <v>465</v>
      </c>
      <c r="B33" s="160"/>
      <c r="C33" s="483">
        <f>SUM(C21:C29)+SUM(C31:C32)</f>
        <v>0</v>
      </c>
      <c r="D33" s="81">
        <f t="shared" ref="D33:R33" si="16">SUM(D21:D29)+SUM(D31:D32)</f>
        <v>0</v>
      </c>
      <c r="E33" s="81">
        <f t="shared" si="16"/>
        <v>0</v>
      </c>
      <c r="F33" s="81">
        <f t="shared" si="16"/>
        <v>0</v>
      </c>
      <c r="G33" s="81">
        <f t="shared" si="16"/>
        <v>0</v>
      </c>
      <c r="H33" s="517">
        <f t="shared" si="16"/>
        <v>0</v>
      </c>
      <c r="I33" s="483">
        <f t="shared" si="16"/>
        <v>0</v>
      </c>
      <c r="J33" s="81">
        <f t="shared" si="16"/>
        <v>0</v>
      </c>
      <c r="K33" s="81">
        <f t="shared" si="16"/>
        <v>0</v>
      </c>
      <c r="L33" s="81">
        <f t="shared" si="16"/>
        <v>0</v>
      </c>
      <c r="M33" s="81">
        <f t="shared" si="16"/>
        <v>0</v>
      </c>
      <c r="N33" s="517">
        <f t="shared" si="16"/>
        <v>0</v>
      </c>
      <c r="O33" s="557">
        <f t="shared" si="16"/>
        <v>0</v>
      </c>
      <c r="P33" s="483">
        <f t="shared" si="16"/>
        <v>0</v>
      </c>
      <c r="Q33" s="81">
        <f t="shared" si="16"/>
        <v>0</v>
      </c>
      <c r="R33" s="82">
        <f t="shared" si="16"/>
        <v>0</v>
      </c>
      <c r="AC33" s="1336" t="s">
        <v>1876</v>
      </c>
      <c r="AD33" s="1367"/>
    </row>
    <row r="34" spans="1:30" ht="5.0999999999999996" customHeight="1" x14ac:dyDescent="0.25">
      <c r="A34" s="559"/>
      <c r="B34" s="127"/>
      <c r="C34" s="238"/>
      <c r="D34" s="75"/>
      <c r="E34" s="75"/>
      <c r="F34" s="75"/>
      <c r="G34" s="75"/>
      <c r="H34" s="506"/>
      <c r="I34" s="238"/>
      <c r="J34" s="75"/>
      <c r="K34" s="75"/>
      <c r="L34" s="75"/>
      <c r="M34" s="75"/>
      <c r="N34" s="506"/>
      <c r="O34" s="538"/>
      <c r="P34" s="238"/>
      <c r="Q34" s="75"/>
      <c r="R34" s="76"/>
    </row>
    <row r="35" spans="1:30" ht="12.75" customHeight="1" x14ac:dyDescent="0.25">
      <c r="A35" s="124" t="s">
        <v>466</v>
      </c>
      <c r="B35" s="127"/>
      <c r="C35" s="238"/>
      <c r="D35" s="75"/>
      <c r="E35" s="75"/>
      <c r="F35" s="75"/>
      <c r="G35" s="75"/>
      <c r="H35" s="506"/>
      <c r="I35" s="238"/>
      <c r="J35" s="75"/>
      <c r="K35" s="75"/>
      <c r="L35" s="75"/>
      <c r="M35" s="75"/>
      <c r="N35" s="506"/>
      <c r="O35" s="538"/>
      <c r="P35" s="238"/>
      <c r="Q35" s="75"/>
      <c r="R35" s="76"/>
      <c r="AC35" s="1336" t="s">
        <v>1914</v>
      </c>
      <c r="AD35" s="1367"/>
    </row>
    <row r="36" spans="1:30" ht="12.6" customHeight="1" x14ac:dyDescent="0.25">
      <c r="A36" s="127" t="s">
        <v>652</v>
      </c>
      <c r="B36" s="127"/>
      <c r="C36" s="1360">
        <f>SUMIFS(Sheet1!S71_MonthlyOutcomeJul,Sheet1!S71_A7SubCodePayments,$AC:$AC)</f>
        <v>0</v>
      </c>
      <c r="D36" s="1356">
        <f>SUMIFS(Sheet1!S71_MonthlyOutcomeAug,Sheet1!S71_A7SubCodePayments,$AC:$AC)</f>
        <v>0</v>
      </c>
      <c r="E36" s="1356">
        <f>SUMIFS(Sheet1!S71_MonthlyOutcomeSep,Sheet1!S71_A7SubCodePayments,$AC:$AC)</f>
        <v>0</v>
      </c>
      <c r="F36" s="1356">
        <f>SUMIFS(Sheet1!S71_MonthlyOutcomeOct,Sheet1!S71_A7SubCodePayments,$AC:$AC)</f>
        <v>0</v>
      </c>
      <c r="G36" s="1356">
        <f>SUMIFS(Sheet1!S71_MonthlyOutcomeNov,Sheet1!S71_A7SubCodePayments,$AC:$AC)</f>
        <v>0</v>
      </c>
      <c r="H36" s="1361">
        <f>SUMIFS(Sheet1!S71_MonthlyOutcomeDec,Sheet1!S71_A7SubCodePayments,$AC:$AC)</f>
        <v>0</v>
      </c>
      <c r="I36" s="1360">
        <f t="shared" ref="I36:I45" si="17">(P36-SUM(C36:H36))/6</f>
        <v>20030811.5</v>
      </c>
      <c r="J36" s="1356">
        <f t="shared" ref="J36:J45" si="18">(P36-SUM(C36:H36))/6</f>
        <v>20030811.5</v>
      </c>
      <c r="K36" s="1356">
        <f t="shared" ref="K36:K45" si="19">(P36-SUM(C36:H36))/6</f>
        <v>20030811.5</v>
      </c>
      <c r="L36" s="1356">
        <f t="shared" ref="L36:L45" si="20">(P36-SUM(C36:H36))/6</f>
        <v>20030811.5</v>
      </c>
      <c r="M36" s="1356">
        <f t="shared" ref="M36:M45" si="21">(P36-SUM(C36:H36))/6</f>
        <v>20030811.5</v>
      </c>
      <c r="N36" s="506">
        <f t="shared" ref="N36:N45" si="22">P36-SUM(C36:M36)</f>
        <v>20030811.5</v>
      </c>
      <c r="O36" s="538">
        <f t="shared" ref="O36:O41" si="23">SUM(C36:N36)</f>
        <v>120184869</v>
      </c>
      <c r="P36" s="1360">
        <f>SUMIFS(Sheet1!S71_AdjustedBudget,Sheet1!S71_A7SubCodePayments,$AC:$AC)</f>
        <v>120184869</v>
      </c>
      <c r="Q36" s="1356">
        <f>SUMIFS(Sheet1!S71_OY1AdjustedBudget,Sheet1!S71_A7SubCodePayments,$AC:$AC)</f>
        <v>120203426</v>
      </c>
      <c r="R36" s="1357">
        <f>SUMIFS(Sheet1!S71_OY2AdjustedBudget,Sheet1!S71_A7SubCodePayments,$AC:$AC)</f>
        <v>120219976</v>
      </c>
      <c r="AC36" s="1336" t="s">
        <v>1915</v>
      </c>
      <c r="AD36" s="1367"/>
    </row>
    <row r="37" spans="1:30" ht="12.6" customHeight="1" x14ac:dyDescent="0.25">
      <c r="A37" s="127" t="s">
        <v>565</v>
      </c>
      <c r="B37" s="127"/>
      <c r="C37" s="1360">
        <f>SUMIFS(Sheet1!S71_MonthlyOutcomeJul,Sheet1!S71_A7SubCodePayments,$AC:$AC)</f>
        <v>0</v>
      </c>
      <c r="D37" s="1356">
        <f>SUMIFS(Sheet1!S71_MonthlyOutcomeAug,Sheet1!S71_A7SubCodePayments,$AC:$AC)</f>
        <v>0</v>
      </c>
      <c r="E37" s="1356">
        <f>SUMIFS(Sheet1!S71_MonthlyOutcomeSep,Sheet1!S71_A7SubCodePayments,$AC:$AC)</f>
        <v>0</v>
      </c>
      <c r="F37" s="1356">
        <f>SUMIFS(Sheet1!S71_MonthlyOutcomeOct,Sheet1!S71_A7SubCodePayments,$AC:$AC)</f>
        <v>0</v>
      </c>
      <c r="G37" s="1356">
        <f>SUMIFS(Sheet1!S71_MonthlyOutcomeNov,Sheet1!S71_A7SubCodePayments,$AC:$AC)</f>
        <v>0</v>
      </c>
      <c r="H37" s="1361">
        <f>SUMIFS(Sheet1!S71_MonthlyOutcomeDec,Sheet1!S71_A7SubCodePayments,$AC:$AC)</f>
        <v>0</v>
      </c>
      <c r="I37" s="1360">
        <f t="shared" si="17"/>
        <v>0</v>
      </c>
      <c r="J37" s="1356">
        <f t="shared" si="18"/>
        <v>0</v>
      </c>
      <c r="K37" s="1356">
        <f t="shared" si="19"/>
        <v>0</v>
      </c>
      <c r="L37" s="1356">
        <f t="shared" si="20"/>
        <v>0</v>
      </c>
      <c r="M37" s="1356">
        <f t="shared" si="21"/>
        <v>0</v>
      </c>
      <c r="N37" s="506">
        <f t="shared" si="22"/>
        <v>0</v>
      </c>
      <c r="O37" s="538">
        <f t="shared" si="23"/>
        <v>0</v>
      </c>
      <c r="P37" s="1360">
        <f>SUMIFS(Sheet1!S71_AdjustedBudget,Sheet1!S71_A7SubCodePayments,$AC:$AC)</f>
        <v>0</v>
      </c>
      <c r="Q37" s="1356">
        <f>SUMIFS(Sheet1!S71_OY1AdjustedBudget,Sheet1!S71_A7SubCodePayments,$AC:$AC)</f>
        <v>0</v>
      </c>
      <c r="R37" s="1357">
        <f>SUMIFS(Sheet1!S71_OY2AdjustedBudget,Sheet1!S71_A7SubCodePayments,$AC:$AC)</f>
        <v>0</v>
      </c>
      <c r="AC37" s="1336" t="s">
        <v>1816</v>
      </c>
      <c r="AD37" s="1367"/>
    </row>
    <row r="38" spans="1:30" ht="12.6" customHeight="1" x14ac:dyDescent="0.25">
      <c r="A38" s="127" t="s">
        <v>567</v>
      </c>
      <c r="B38" s="127"/>
      <c r="C38" s="1360">
        <f>SUMIFS(Sheet1!S71_MonthlyOutcomeJul,Sheet1!S71_A7SubCodePayments,$AC:$AC)</f>
        <v>0</v>
      </c>
      <c r="D38" s="1356">
        <f>SUMIFS(Sheet1!S71_MonthlyOutcomeAug,Sheet1!S71_A7SubCodePayments,$AC:$AC)</f>
        <v>0</v>
      </c>
      <c r="E38" s="1356">
        <f>SUMIFS(Sheet1!S71_MonthlyOutcomeSep,Sheet1!S71_A7SubCodePayments,$AC:$AC)</f>
        <v>0</v>
      </c>
      <c r="F38" s="1356">
        <f>SUMIFS(Sheet1!S71_MonthlyOutcomeOct,Sheet1!S71_A7SubCodePayments,$AC:$AC)</f>
        <v>0</v>
      </c>
      <c r="G38" s="1356">
        <f>SUMIFS(Sheet1!S71_MonthlyOutcomeNov,Sheet1!S71_A7SubCodePayments,$AC:$AC)</f>
        <v>0</v>
      </c>
      <c r="H38" s="1361">
        <f>SUMIFS(Sheet1!S71_MonthlyOutcomeDec,Sheet1!S71_A7SubCodePayments,$AC:$AC)</f>
        <v>0</v>
      </c>
      <c r="I38" s="1360">
        <f t="shared" si="17"/>
        <v>0</v>
      </c>
      <c r="J38" s="1356">
        <f t="shared" si="18"/>
        <v>0</v>
      </c>
      <c r="K38" s="1356">
        <f t="shared" si="19"/>
        <v>0</v>
      </c>
      <c r="L38" s="1356">
        <f t="shared" si="20"/>
        <v>0</v>
      </c>
      <c r="M38" s="1356">
        <f t="shared" si="21"/>
        <v>0</v>
      </c>
      <c r="N38" s="506">
        <f t="shared" si="22"/>
        <v>0</v>
      </c>
      <c r="O38" s="538">
        <f t="shared" si="23"/>
        <v>0</v>
      </c>
      <c r="P38" s="1360">
        <f>SUMIFS(Sheet1!S71_AdjustedBudget,Sheet1!S71_A7SubCodePayments,$AC:$AC)</f>
        <v>0</v>
      </c>
      <c r="Q38" s="1356">
        <f>SUMIFS(Sheet1!S71_OY1AdjustedBudget,Sheet1!S71_A7SubCodePayments,$AC:$AC)</f>
        <v>0</v>
      </c>
      <c r="R38" s="1357">
        <f>SUMIFS(Sheet1!S71_OY2AdjustedBudget,Sheet1!S71_A7SubCodePayments,$AC:$AC)</f>
        <v>0</v>
      </c>
      <c r="AC38" s="1336" t="s">
        <v>1877</v>
      </c>
      <c r="AD38" s="1367"/>
    </row>
    <row r="39" spans="1:30" ht="12.6" customHeight="1" x14ac:dyDescent="0.25">
      <c r="A39" s="127" t="s">
        <v>467</v>
      </c>
      <c r="B39" s="127"/>
      <c r="C39" s="1360">
        <f>SUMIFS(Sheet1!S71_MonthlyOutcomeJul,Sheet1!S71_A7SubCodePayments,$AC:$AC)</f>
        <v>0</v>
      </c>
      <c r="D39" s="1356">
        <f>SUMIFS(Sheet1!S71_MonthlyOutcomeAug,Sheet1!S71_A7SubCodePayments,$AC:$AC)</f>
        <v>0</v>
      </c>
      <c r="E39" s="1356">
        <f>SUMIFS(Sheet1!S71_MonthlyOutcomeSep,Sheet1!S71_A7SubCodePayments,$AC:$AC)</f>
        <v>0</v>
      </c>
      <c r="F39" s="1356">
        <f>SUMIFS(Sheet1!S71_MonthlyOutcomeOct,Sheet1!S71_A7SubCodePayments,$AC:$AC)</f>
        <v>0</v>
      </c>
      <c r="G39" s="1356">
        <f>SUMIFS(Sheet1!S71_MonthlyOutcomeNov,Sheet1!S71_A7SubCodePayments,$AC:$AC)</f>
        <v>0</v>
      </c>
      <c r="H39" s="1361">
        <f>SUMIFS(Sheet1!S71_MonthlyOutcomeDec,Sheet1!S71_A7SubCodePayments,$AC:$AC)</f>
        <v>0</v>
      </c>
      <c r="I39" s="1360">
        <f t="shared" si="17"/>
        <v>0</v>
      </c>
      <c r="J39" s="1356">
        <f t="shared" si="18"/>
        <v>0</v>
      </c>
      <c r="K39" s="1356">
        <f t="shared" si="19"/>
        <v>0</v>
      </c>
      <c r="L39" s="1356">
        <f t="shared" si="20"/>
        <v>0</v>
      </c>
      <c r="M39" s="1356">
        <f t="shared" si="21"/>
        <v>0</v>
      </c>
      <c r="N39" s="506">
        <f t="shared" si="22"/>
        <v>0</v>
      </c>
      <c r="O39" s="538">
        <f t="shared" si="23"/>
        <v>0</v>
      </c>
      <c r="P39" s="1360">
        <f>SUMIFS(Sheet1!S71_AdjustedBudget,Sheet1!S71_A7SubCodePayments,$AC:$AC)</f>
        <v>0</v>
      </c>
      <c r="Q39" s="1356">
        <f>SUMIFS(Sheet1!S71_OY1AdjustedBudget,Sheet1!S71_A7SubCodePayments,$AC:$AC)</f>
        <v>0</v>
      </c>
      <c r="R39" s="1357">
        <f>SUMIFS(Sheet1!S71_OY2AdjustedBudget,Sheet1!S71_A7SubCodePayments,$AC:$AC)</f>
        <v>0</v>
      </c>
      <c r="AC39" s="1336" t="s">
        <v>1916</v>
      </c>
      <c r="AD39" s="1367"/>
    </row>
    <row r="40" spans="1:30" ht="12.6" customHeight="1" x14ac:dyDescent="0.25">
      <c r="A40" s="127" t="s">
        <v>468</v>
      </c>
      <c r="B40" s="127"/>
      <c r="C40" s="1360">
        <f>SUMIFS(Sheet1!S71_MonthlyOutcomeJul,Sheet1!S71_A7SubCodePayments,$AC:$AC)</f>
        <v>0</v>
      </c>
      <c r="D40" s="1356">
        <f>SUMIFS(Sheet1!S71_MonthlyOutcomeAug,Sheet1!S71_A7SubCodePayments,$AC:$AC)</f>
        <v>0</v>
      </c>
      <c r="E40" s="1356">
        <f>SUMIFS(Sheet1!S71_MonthlyOutcomeSep,Sheet1!S71_A7SubCodePayments,$AC:$AC)</f>
        <v>0</v>
      </c>
      <c r="F40" s="1356">
        <f>SUMIFS(Sheet1!S71_MonthlyOutcomeOct,Sheet1!S71_A7SubCodePayments,$AC:$AC)</f>
        <v>0</v>
      </c>
      <c r="G40" s="1356">
        <f>SUMIFS(Sheet1!S71_MonthlyOutcomeNov,Sheet1!S71_A7SubCodePayments,$AC:$AC)</f>
        <v>0</v>
      </c>
      <c r="H40" s="1361">
        <f>SUMIFS(Sheet1!S71_MonthlyOutcomeDec,Sheet1!S71_A7SubCodePayments,$AC:$AC)</f>
        <v>0</v>
      </c>
      <c r="I40" s="1360">
        <f t="shared" si="17"/>
        <v>0</v>
      </c>
      <c r="J40" s="1356">
        <f t="shared" si="18"/>
        <v>0</v>
      </c>
      <c r="K40" s="1356">
        <f t="shared" si="19"/>
        <v>0</v>
      </c>
      <c r="L40" s="1356">
        <f t="shared" si="20"/>
        <v>0</v>
      </c>
      <c r="M40" s="1356">
        <f t="shared" si="21"/>
        <v>0</v>
      </c>
      <c r="N40" s="506">
        <f t="shared" si="22"/>
        <v>0</v>
      </c>
      <c r="O40" s="538">
        <f t="shared" si="23"/>
        <v>0</v>
      </c>
      <c r="P40" s="1360">
        <f>SUMIFS(Sheet1!S71_AdjustedBudget,Sheet1!S71_A7SubCodePayments,$AC:$AC)</f>
        <v>0</v>
      </c>
      <c r="Q40" s="1356">
        <f>SUMIFS(Sheet1!S71_OY1AdjustedBudget,Sheet1!S71_A7SubCodePayments,$AC:$AC)</f>
        <v>0</v>
      </c>
      <c r="R40" s="1357">
        <f>SUMIFS(Sheet1!S71_OY2AdjustedBudget,Sheet1!S71_A7SubCodePayments,$AC:$AC)</f>
        <v>0</v>
      </c>
      <c r="AC40" s="1336" t="s">
        <v>1917</v>
      </c>
      <c r="AD40" s="1367"/>
    </row>
    <row r="41" spans="1:30" ht="12.6" customHeight="1" x14ac:dyDescent="0.25">
      <c r="A41" s="30" t="s">
        <v>655</v>
      </c>
      <c r="B41" s="127"/>
      <c r="C41" s="1360">
        <f>SUMIFS(Sheet1!S71_MonthlyOutcomeJul,Sheet1!S71_A7SubCodePayments,$AC:$AC)</f>
        <v>0</v>
      </c>
      <c r="D41" s="1356">
        <f>SUMIFS(Sheet1!S71_MonthlyOutcomeAug,Sheet1!S71_A7SubCodePayments,$AC:$AC)</f>
        <v>0</v>
      </c>
      <c r="E41" s="1356">
        <f>SUMIFS(Sheet1!S71_MonthlyOutcomeSep,Sheet1!S71_A7SubCodePayments,$AC:$AC)</f>
        <v>0</v>
      </c>
      <c r="F41" s="1356">
        <f>SUMIFS(Sheet1!S71_MonthlyOutcomeOct,Sheet1!S71_A7SubCodePayments,$AC:$AC)</f>
        <v>0</v>
      </c>
      <c r="G41" s="1356">
        <f>SUMIFS(Sheet1!S71_MonthlyOutcomeNov,Sheet1!S71_A7SubCodePayments,$AC:$AC)</f>
        <v>0</v>
      </c>
      <c r="H41" s="1361">
        <f>SUMIFS(Sheet1!S71_MonthlyOutcomeDec,Sheet1!S71_A7SubCodePayments,$AC:$AC)</f>
        <v>0</v>
      </c>
      <c r="I41" s="1360">
        <f t="shared" si="17"/>
        <v>0</v>
      </c>
      <c r="J41" s="1356">
        <f t="shared" si="18"/>
        <v>0</v>
      </c>
      <c r="K41" s="1356">
        <f t="shared" si="19"/>
        <v>0</v>
      </c>
      <c r="L41" s="1356">
        <f t="shared" si="20"/>
        <v>0</v>
      </c>
      <c r="M41" s="1356">
        <f t="shared" si="21"/>
        <v>0</v>
      </c>
      <c r="N41" s="506">
        <f t="shared" si="22"/>
        <v>0</v>
      </c>
      <c r="O41" s="538">
        <f t="shared" si="23"/>
        <v>0</v>
      </c>
      <c r="P41" s="1360">
        <f>SUMIFS(Sheet1!S71_AdjustedBudget,Sheet1!S71_A7SubCodePayments,$AC:$AC)</f>
        <v>0</v>
      </c>
      <c r="Q41" s="1356">
        <f>SUMIFS(Sheet1!S71_OY1AdjustedBudget,Sheet1!S71_A7SubCodePayments,$AC:$AC)</f>
        <v>0</v>
      </c>
      <c r="R41" s="1357">
        <f>SUMIFS(Sheet1!S71_OY2AdjustedBudget,Sheet1!S71_A7SubCodePayments,$AC:$AC)</f>
        <v>0</v>
      </c>
      <c r="S41" s="166"/>
      <c r="AC41" s="1336" t="s">
        <v>1918</v>
      </c>
      <c r="AD41" s="1367"/>
    </row>
    <row r="42" spans="1:30" ht="12.6" customHeight="1" x14ac:dyDescent="0.25">
      <c r="A42" s="30" t="s">
        <v>656</v>
      </c>
      <c r="B42" s="127"/>
      <c r="C42" s="1360">
        <f>SUMIFS(Sheet1!S71_MonthlyOutcomeJul,Sheet1!S71_A7SubCodePayments,$AC:$AC)</f>
        <v>0</v>
      </c>
      <c r="D42" s="1356">
        <f>SUMIFS(Sheet1!S71_MonthlyOutcomeAug,Sheet1!S71_A7SubCodePayments,$AC:$AC)</f>
        <v>0</v>
      </c>
      <c r="E42" s="1356">
        <f>SUMIFS(Sheet1!S71_MonthlyOutcomeSep,Sheet1!S71_A7SubCodePayments,$AC:$AC)</f>
        <v>0</v>
      </c>
      <c r="F42" s="1356">
        <f>SUMIFS(Sheet1!S71_MonthlyOutcomeOct,Sheet1!S71_A7SubCodePayments,$AC:$AC)</f>
        <v>0</v>
      </c>
      <c r="G42" s="1356">
        <f>SUMIFS(Sheet1!S71_MonthlyOutcomeNov,Sheet1!S71_A7SubCodePayments,$AC:$AC)</f>
        <v>0</v>
      </c>
      <c r="H42" s="1361">
        <f>SUMIFS(Sheet1!S71_MonthlyOutcomeDec,Sheet1!S71_A7SubCodePayments,$AC:$AC)</f>
        <v>0</v>
      </c>
      <c r="I42" s="1360">
        <f t="shared" si="17"/>
        <v>0</v>
      </c>
      <c r="J42" s="1356">
        <f t="shared" si="18"/>
        <v>0</v>
      </c>
      <c r="K42" s="1356">
        <f t="shared" si="19"/>
        <v>0</v>
      </c>
      <c r="L42" s="1356">
        <f t="shared" si="20"/>
        <v>0</v>
      </c>
      <c r="M42" s="1356">
        <f t="shared" si="21"/>
        <v>0</v>
      </c>
      <c r="N42" s="506">
        <f t="shared" si="22"/>
        <v>0</v>
      </c>
      <c r="O42" s="538"/>
      <c r="P42" s="1360">
        <f>SUMIFS(Sheet1!S71_AdjustedBudget,Sheet1!S71_A7SubCodePayments,$AC:$AC)</f>
        <v>0</v>
      </c>
      <c r="Q42" s="1356">
        <f>SUMIFS(Sheet1!S71_OY1AdjustedBudget,Sheet1!S71_A7SubCodePayments,$AC:$AC)</f>
        <v>0</v>
      </c>
      <c r="R42" s="1357">
        <f>SUMIFS(Sheet1!S71_OY2AdjustedBudget,Sheet1!S71_A7SubCodePayments,$AC:$AC)</f>
        <v>0</v>
      </c>
      <c r="S42" s="166"/>
      <c r="AC42" s="1336" t="s">
        <v>1919</v>
      </c>
      <c r="AD42" s="1367"/>
    </row>
    <row r="43" spans="1:30" ht="12.6" customHeight="1" x14ac:dyDescent="0.25">
      <c r="A43" s="30" t="s">
        <v>1460</v>
      </c>
      <c r="B43" s="127"/>
      <c r="C43" s="1360">
        <f>SUMIFS(Sheet1!S71_MonthlyOutcomeJul,Sheet1!S71_A7SubCodePayments,$AC:$AC)</f>
        <v>0</v>
      </c>
      <c r="D43" s="1356">
        <f>SUMIFS(Sheet1!S71_MonthlyOutcomeAug,Sheet1!S71_A7SubCodePayments,$AC:$AC)</f>
        <v>0</v>
      </c>
      <c r="E43" s="1356">
        <f>SUMIFS(Sheet1!S71_MonthlyOutcomeSep,Sheet1!S71_A7SubCodePayments,$AC:$AC)</f>
        <v>0</v>
      </c>
      <c r="F43" s="1356">
        <f>SUMIFS(Sheet1!S71_MonthlyOutcomeOct,Sheet1!S71_A7SubCodePayments,$AC:$AC)</f>
        <v>0</v>
      </c>
      <c r="G43" s="1356">
        <f>SUMIFS(Sheet1!S71_MonthlyOutcomeNov,Sheet1!S71_A7SubCodePayments,$AC:$AC)</f>
        <v>0</v>
      </c>
      <c r="H43" s="1361">
        <f>SUMIFS(Sheet1!S71_MonthlyOutcomeDec,Sheet1!S71_A7SubCodePayments,$AC:$AC)</f>
        <v>0</v>
      </c>
      <c r="I43" s="1360">
        <f t="shared" si="17"/>
        <v>0</v>
      </c>
      <c r="J43" s="1356">
        <f t="shared" si="18"/>
        <v>0</v>
      </c>
      <c r="K43" s="1356">
        <f t="shared" si="19"/>
        <v>0</v>
      </c>
      <c r="L43" s="1356">
        <f t="shared" si="20"/>
        <v>0</v>
      </c>
      <c r="M43" s="1356">
        <f t="shared" si="21"/>
        <v>0</v>
      </c>
      <c r="N43" s="506">
        <f t="shared" si="22"/>
        <v>0</v>
      </c>
      <c r="O43" s="538">
        <f>SUM(C43:N43)</f>
        <v>0</v>
      </c>
      <c r="P43" s="1360">
        <f>SUMIFS(Sheet1!S71_AdjustedBudget,Sheet1!S71_A7SubCodePayments,$AC:$AC)</f>
        <v>0</v>
      </c>
      <c r="Q43" s="1356">
        <f>SUMIFS(Sheet1!S71_OY1AdjustedBudget,Sheet1!S71_A7SubCodePayments,$AC:$AC)</f>
        <v>0</v>
      </c>
      <c r="R43" s="1357">
        <f>SUMIFS(Sheet1!S71_OY2AdjustedBudget,Sheet1!S71_A7SubCodePayments,$AC:$AC)</f>
        <v>0</v>
      </c>
      <c r="AC43" s="1336" t="s">
        <v>1878</v>
      </c>
      <c r="AD43" s="1367"/>
    </row>
    <row r="44" spans="1:30" ht="12.6" customHeight="1" x14ac:dyDescent="0.25">
      <c r="A44" s="30" t="s">
        <v>1461</v>
      </c>
      <c r="B44" s="127"/>
      <c r="C44" s="1360">
        <f>SUMIFS(Sheet1!S71_MonthlyOutcomeJul,Sheet1!S71_A7SubCodePayments,$AC:$AC)</f>
        <v>0</v>
      </c>
      <c r="D44" s="1356">
        <f>SUMIFS(Sheet1!S71_MonthlyOutcomeAug,Sheet1!S71_A7SubCodePayments,$AC:$AC)</f>
        <v>0</v>
      </c>
      <c r="E44" s="1356">
        <f>SUMIFS(Sheet1!S71_MonthlyOutcomeSep,Sheet1!S71_A7SubCodePayments,$AC:$AC)</f>
        <v>0</v>
      </c>
      <c r="F44" s="1356">
        <f>SUMIFS(Sheet1!S71_MonthlyOutcomeOct,Sheet1!S71_A7SubCodePayments,$AC:$AC)</f>
        <v>0</v>
      </c>
      <c r="G44" s="1356">
        <f>SUMIFS(Sheet1!S71_MonthlyOutcomeNov,Sheet1!S71_A7SubCodePayments,$AC:$AC)</f>
        <v>0</v>
      </c>
      <c r="H44" s="1361">
        <f>SUMIFS(Sheet1!S71_MonthlyOutcomeDec,Sheet1!S71_A7SubCodePayments,$AC:$AC)</f>
        <v>0</v>
      </c>
      <c r="I44" s="1360">
        <f t="shared" si="17"/>
        <v>0</v>
      </c>
      <c r="J44" s="1356">
        <f t="shared" si="18"/>
        <v>0</v>
      </c>
      <c r="K44" s="1356">
        <f t="shared" si="19"/>
        <v>0</v>
      </c>
      <c r="L44" s="1356">
        <f t="shared" si="20"/>
        <v>0</v>
      </c>
      <c r="M44" s="1356">
        <f t="shared" si="21"/>
        <v>0</v>
      </c>
      <c r="N44" s="506">
        <f t="shared" si="22"/>
        <v>0</v>
      </c>
      <c r="O44" s="538"/>
      <c r="P44" s="1360">
        <f>SUMIFS(Sheet1!S71_AdjustedBudget,Sheet1!S71_A7SubCodePayments,$AC:$AC)</f>
        <v>0</v>
      </c>
      <c r="Q44" s="1356">
        <f>SUMIFS(Sheet1!S71_OY1AdjustedBudget,Sheet1!S71_A7SubCodePayments,$AC:$AC)</f>
        <v>0</v>
      </c>
      <c r="R44" s="1357">
        <f>SUMIFS(Sheet1!S71_OY2AdjustedBudget,Sheet1!S71_A7SubCodePayments,$AC:$AC)</f>
        <v>0</v>
      </c>
      <c r="AC44" s="1336" t="s">
        <v>1879</v>
      </c>
      <c r="AD44" s="1367"/>
    </row>
    <row r="45" spans="1:30" ht="12.6" customHeight="1" x14ac:dyDescent="0.25">
      <c r="A45" s="30" t="s">
        <v>569</v>
      </c>
      <c r="B45" s="127"/>
      <c r="C45" s="1360">
        <f>SUMIFS(Sheet1!S71_MonthlyOutcomeJul,Sheet1!S71_A7SubCodePayments,$AC:$AC)</f>
        <v>0</v>
      </c>
      <c r="D45" s="1356">
        <f>SUMIFS(Sheet1!S71_MonthlyOutcomeAug,Sheet1!S71_A7SubCodePayments,$AC:$AC)</f>
        <v>0</v>
      </c>
      <c r="E45" s="1356">
        <f>SUMIFS(Sheet1!S71_MonthlyOutcomeSep,Sheet1!S71_A7SubCodePayments,$AC:$AC)</f>
        <v>0</v>
      </c>
      <c r="F45" s="1356">
        <f>SUMIFS(Sheet1!S71_MonthlyOutcomeOct,Sheet1!S71_A7SubCodePayments,$AC:$AC)</f>
        <v>0</v>
      </c>
      <c r="G45" s="1356">
        <f>SUMIFS(Sheet1!S71_MonthlyOutcomeNov,Sheet1!S71_A7SubCodePayments,$AC:$AC)</f>
        <v>0</v>
      </c>
      <c r="H45" s="1361">
        <f>SUMIFS(Sheet1!S71_MonthlyOutcomeDec,Sheet1!S71_A7SubCodePayments,$AC:$AC)</f>
        <v>0</v>
      </c>
      <c r="I45" s="1360">
        <f t="shared" si="17"/>
        <v>0</v>
      </c>
      <c r="J45" s="1356">
        <f t="shared" si="18"/>
        <v>0</v>
      </c>
      <c r="K45" s="1356">
        <f t="shared" si="19"/>
        <v>0</v>
      </c>
      <c r="L45" s="1356">
        <f t="shared" si="20"/>
        <v>0</v>
      </c>
      <c r="M45" s="1356">
        <f t="shared" si="21"/>
        <v>0</v>
      </c>
      <c r="N45" s="506">
        <f t="shared" si="22"/>
        <v>0</v>
      </c>
      <c r="O45" s="538">
        <f>SUM(C45:N45)</f>
        <v>0</v>
      </c>
      <c r="P45" s="1360">
        <f>SUMIFS(Sheet1!S71_AdjustedBudget,Sheet1!S71_A7SubCodePayments,$AC:$AC)</f>
        <v>0</v>
      </c>
      <c r="Q45" s="1356">
        <f>SUMIFS(Sheet1!S71_OY1AdjustedBudget,Sheet1!S71_A7SubCodePayments,$AC:$AC)</f>
        <v>0</v>
      </c>
      <c r="R45" s="1357">
        <f>SUMIFS(Sheet1!S71_OY2AdjustedBudget,Sheet1!S71_A7SubCodePayments,$AC:$AC)</f>
        <v>0</v>
      </c>
      <c r="AC45" s="1336" t="s">
        <v>2135</v>
      </c>
      <c r="AD45" s="1367"/>
    </row>
    <row r="46" spans="1:30" ht="12.75" customHeight="1" x14ac:dyDescent="0.25">
      <c r="A46" s="539" t="s">
        <v>466</v>
      </c>
      <c r="B46" s="539"/>
      <c r="C46" s="300">
        <f t="shared" ref="C46:R46" si="24">SUM(C36:C45)</f>
        <v>0</v>
      </c>
      <c r="D46" s="149">
        <f t="shared" si="24"/>
        <v>0</v>
      </c>
      <c r="E46" s="149">
        <f t="shared" si="24"/>
        <v>0</v>
      </c>
      <c r="F46" s="149">
        <f t="shared" si="24"/>
        <v>0</v>
      </c>
      <c r="G46" s="149">
        <f t="shared" si="24"/>
        <v>0</v>
      </c>
      <c r="H46" s="519">
        <f t="shared" si="24"/>
        <v>0</v>
      </c>
      <c r="I46" s="300">
        <f t="shared" si="24"/>
        <v>20030811.5</v>
      </c>
      <c r="J46" s="149">
        <f t="shared" si="24"/>
        <v>20030811.5</v>
      </c>
      <c r="K46" s="149">
        <f t="shared" si="24"/>
        <v>20030811.5</v>
      </c>
      <c r="L46" s="149">
        <f t="shared" si="24"/>
        <v>20030811.5</v>
      </c>
      <c r="M46" s="149">
        <f t="shared" si="24"/>
        <v>20030811.5</v>
      </c>
      <c r="N46" s="519">
        <f t="shared" si="24"/>
        <v>20030811.5</v>
      </c>
      <c r="O46" s="540">
        <f t="shared" si="24"/>
        <v>120184869</v>
      </c>
      <c r="P46" s="300">
        <f t="shared" si="24"/>
        <v>120184869</v>
      </c>
      <c r="Q46" s="149">
        <f t="shared" si="24"/>
        <v>120203426</v>
      </c>
      <c r="R46" s="150">
        <f t="shared" si="24"/>
        <v>120219976</v>
      </c>
      <c r="AC46" s="1336" t="s">
        <v>1920</v>
      </c>
      <c r="AD46" s="1367"/>
    </row>
    <row r="47" spans="1:30" ht="5.0999999999999996" customHeight="1" x14ac:dyDescent="0.25">
      <c r="A47" s="39"/>
      <c r="B47" s="85"/>
      <c r="C47" s="238"/>
      <c r="D47" s="75"/>
      <c r="E47" s="75"/>
      <c r="F47" s="75"/>
      <c r="G47" s="75"/>
      <c r="H47" s="506"/>
      <c r="I47" s="238"/>
      <c r="J47" s="75"/>
      <c r="K47" s="75"/>
      <c r="L47" s="75"/>
      <c r="M47" s="75"/>
      <c r="N47" s="506"/>
      <c r="O47" s="538"/>
      <c r="P47" s="238"/>
      <c r="Q47" s="75"/>
      <c r="R47" s="76"/>
    </row>
    <row r="48" spans="1:30" ht="12.75" customHeight="1" x14ac:dyDescent="0.25">
      <c r="A48" s="51" t="s">
        <v>469</v>
      </c>
      <c r="B48" s="85"/>
      <c r="C48" s="238"/>
      <c r="D48" s="75"/>
      <c r="E48" s="75"/>
      <c r="F48" s="75"/>
      <c r="G48" s="75"/>
      <c r="H48" s="506"/>
      <c r="I48" s="238"/>
      <c r="J48" s="75"/>
      <c r="K48" s="75"/>
      <c r="L48" s="75"/>
      <c r="M48" s="75"/>
      <c r="N48" s="506"/>
      <c r="O48" s="538"/>
      <c r="P48" s="238"/>
      <c r="Q48" s="75"/>
      <c r="R48" s="76"/>
      <c r="AC48" s="1336" t="s">
        <v>1817</v>
      </c>
    </row>
    <row r="49" spans="1:30" ht="12.6" customHeight="1" x14ac:dyDescent="0.25">
      <c r="A49" s="30" t="s">
        <v>735</v>
      </c>
      <c r="B49" s="127"/>
      <c r="C49" s="1360">
        <f>SUMIFS(Sheet1!S71_MonthlyOutcomeJul,Sheet1!S71_A5CapexCode,$AD:$AD)</f>
        <v>6273246.620000001</v>
      </c>
      <c r="D49" s="1356">
        <f>SUMIFS(Sheet1!S71_MonthlyOutcomeAug,Sheet1!S71_A5CapexCode,$AD:$AD)</f>
        <v>455487.78</v>
      </c>
      <c r="E49" s="1356">
        <f>SUMIFS(Sheet1!S71_MonthlyOutcomeSep,Sheet1!S71_A5CapexCode,$AD:$AD)</f>
        <v>1298996.67</v>
      </c>
      <c r="F49" s="1356">
        <f>SUMIFS(Sheet1!S71_MonthlyOutcomeOct,Sheet1!S71_A5CapexCode,$AD:$AD)</f>
        <v>5896599.6299999999</v>
      </c>
      <c r="G49" s="1356">
        <f>SUMIFS(Sheet1!S71_MonthlyOutcomeNov,Sheet1!S71_A5CapexCode,$AD:$AD)</f>
        <v>4173969.11</v>
      </c>
      <c r="H49" s="1361">
        <f>SUMIFS(Sheet1!S71_MonthlyOutcomeDec,Sheet1!S71_A5CapexCode,$AD:$AD)</f>
        <v>4030948.23</v>
      </c>
      <c r="I49" s="1360">
        <f t="shared" ref="I49:I51" si="25">(P49-SUM(C49:H49))/6</f>
        <v>1938873.3266666662</v>
      </c>
      <c r="J49" s="1356">
        <f t="shared" ref="J49:J51" si="26">(P49-SUM(C49:H49))/6</f>
        <v>1938873.3266666662</v>
      </c>
      <c r="K49" s="1356">
        <f t="shared" ref="K49:K51" si="27">(P49-SUM(C49:H49))/6</f>
        <v>1938873.3266666662</v>
      </c>
      <c r="L49" s="1356">
        <f t="shared" ref="L49:L51" si="28">(P49-SUM(C49:H49))/6</f>
        <v>1938873.3266666662</v>
      </c>
      <c r="M49" s="1356">
        <f t="shared" ref="M49:M51" si="29">(P49-SUM(C49:H49))/6</f>
        <v>1938873.3266666662</v>
      </c>
      <c r="N49" s="506">
        <f>P49-SUM(C49:M49)</f>
        <v>1938873.3266666606</v>
      </c>
      <c r="O49" s="538">
        <f>SUM(C49:N49)</f>
        <v>33762488</v>
      </c>
      <c r="P49" s="1360">
        <f>SUMIFS(Sheet1!S71_AdjustedBudget,Sheet1!S71_A5CapexCode,$AD:$AD)</f>
        <v>33762488</v>
      </c>
      <c r="Q49" s="1356">
        <f>SUMIFS(Sheet1!S71_OY1AdjustedBudget,Sheet1!S71_A5CapexCode,$AD:$AD)</f>
        <v>32227000</v>
      </c>
      <c r="R49" s="1357">
        <f>SUMIFS(Sheet1!S71_OY2AdjustedBudget,Sheet1!S71_A5CapexCode,$AD:$AD)</f>
        <v>24381000</v>
      </c>
      <c r="AC49" s="1336" t="s">
        <v>1921</v>
      </c>
      <c r="AD49" s="1336" t="s">
        <v>1846</v>
      </c>
    </row>
    <row r="50" spans="1:30" ht="12.6" customHeight="1" x14ac:dyDescent="0.25">
      <c r="A50" s="30" t="s">
        <v>740</v>
      </c>
      <c r="B50" s="127"/>
      <c r="C50" s="1360">
        <f>SUMIFS(Sheet1!S71_MonthlyOutcomeJul,Sheet1!S71_SA30FDSubCode,$AC:$AC,Sheet1!S71_CFCode,$AD:$AD)</f>
        <v>0</v>
      </c>
      <c r="D50" s="1356">
        <f>SUMIFS(Sheet1!S71_MonthlyOutcomeAug,Sheet1!S71_SA30FDSubCode,$AC:$AC,Sheet1!S71_CFCode,$AD:$AD)</f>
        <v>0</v>
      </c>
      <c r="E50" s="1356">
        <f>SUMIFS(Sheet1!S71_MonthlyOutcomeSep,Sheet1!S71_SA30FDSubCode,$AC:$AC,Sheet1!S71_CFCode,$AD:$AD)</f>
        <v>0</v>
      </c>
      <c r="F50" s="1356">
        <f>SUMIFS(Sheet1!S71_MonthlyOutcomeOct,Sheet1!S71_SA30FDSubCode,$AC:$AC,Sheet1!S71_CFCode,$AD:$AD)</f>
        <v>0</v>
      </c>
      <c r="G50" s="1356">
        <f>SUMIFS(Sheet1!S71_MonthlyOutcomeNov,Sheet1!S71_SA30FDSubCode,$AC:$AC,Sheet1!S71_CFCode,$AD:$AD)</f>
        <v>0</v>
      </c>
      <c r="H50" s="1361">
        <f>SUMIFS(Sheet1!S71_MonthlyOutcomeDec,Sheet1!S71_SA30FDSubCode,$AC:$AC,Sheet1!S71_CFCode,$AD:$AD)</f>
        <v>0</v>
      </c>
      <c r="I50" s="1360">
        <f t="shared" si="25"/>
        <v>0</v>
      </c>
      <c r="J50" s="1356">
        <f t="shared" si="26"/>
        <v>0</v>
      </c>
      <c r="K50" s="1356">
        <f t="shared" si="27"/>
        <v>0</v>
      </c>
      <c r="L50" s="1356">
        <f t="shared" si="28"/>
        <v>0</v>
      </c>
      <c r="M50" s="1356">
        <f t="shared" si="29"/>
        <v>0</v>
      </c>
      <c r="N50" s="506">
        <f>P50-SUM(C50:M50)</f>
        <v>0</v>
      </c>
      <c r="O50" s="538">
        <f>SUM(C50:N50)</f>
        <v>0</v>
      </c>
      <c r="P50" s="1360">
        <f>SUMIFS(Sheet1!S71_AdjustedBudget,Sheet1!S71_SA30FDSubCode,$AC:$AC)</f>
        <v>0</v>
      </c>
      <c r="Q50" s="1356">
        <f>SUMIFS(Sheet1!S71_OY1AdjustedBudget,Sheet1!S71_SA30FDSubCode,$AC:$AC)</f>
        <v>0</v>
      </c>
      <c r="R50" s="1357">
        <f>SUMIFS(Sheet1!S71_OY2AdjustedBudget,Sheet1!S71_SA30FDSubCode,$AC:$AC)</f>
        <v>0</v>
      </c>
      <c r="AC50" s="1343" t="s">
        <v>1922</v>
      </c>
    </row>
    <row r="51" spans="1:30" ht="12.6" customHeight="1" x14ac:dyDescent="0.25">
      <c r="A51" s="30" t="s">
        <v>470</v>
      </c>
      <c r="B51" s="127"/>
      <c r="C51" s="1360">
        <v>0</v>
      </c>
      <c r="D51" s="1356">
        <v>0</v>
      </c>
      <c r="E51" s="1356">
        <v>0</v>
      </c>
      <c r="F51" s="1356">
        <v>0</v>
      </c>
      <c r="G51" s="1356">
        <v>0</v>
      </c>
      <c r="H51" s="1361">
        <v>0</v>
      </c>
      <c r="I51" s="1360">
        <f t="shared" si="25"/>
        <v>0</v>
      </c>
      <c r="J51" s="1356">
        <f t="shared" si="26"/>
        <v>0</v>
      </c>
      <c r="K51" s="1356">
        <f t="shared" si="27"/>
        <v>0</v>
      </c>
      <c r="L51" s="1356">
        <f t="shared" si="28"/>
        <v>0</v>
      </c>
      <c r="M51" s="1356">
        <f t="shared" si="29"/>
        <v>0</v>
      </c>
      <c r="N51" s="506">
        <f>P51-SUM(C51:M51)</f>
        <v>0</v>
      </c>
      <c r="O51" s="538">
        <f>SUM(C51:N51)</f>
        <v>0</v>
      </c>
      <c r="P51" s="1360">
        <f>SUMIFS(Sheet1!S71_AdjustedBudget,Sheet1!S71_SA30FDSubCode,$AC:$AC,Sheet1!S71_CFCode,$AD:$AD)</f>
        <v>0</v>
      </c>
      <c r="Q51" s="1356">
        <f>SUMIFS(Sheet1!S71_OY1AdjustedBudget,Sheet1!S71_SA30FDSubCode,$AC:$AC,Sheet1!S71_CFCode,$AD:$AD)</f>
        <v>0</v>
      </c>
      <c r="R51" s="1357">
        <f>SUMIFS(Sheet1!S71_OY2AdjustedBudget,Sheet1!S71_SA30FDSubCode,$AC:$AC,Sheet1!S71_CFCode,$AD:$AD)</f>
        <v>0</v>
      </c>
      <c r="AC51" s="1336" t="s">
        <v>1923</v>
      </c>
      <c r="AD51" s="1336" t="s">
        <v>2175</v>
      </c>
    </row>
    <row r="52" spans="1:30" ht="12.75" customHeight="1" x14ac:dyDescent="0.25">
      <c r="A52" s="560" t="s">
        <v>471</v>
      </c>
      <c r="B52" s="560"/>
      <c r="C52" s="300">
        <f t="shared" ref="C52:R52" si="30">SUM(C46:C51)</f>
        <v>6273246.620000001</v>
      </c>
      <c r="D52" s="149">
        <f t="shared" si="30"/>
        <v>455487.78</v>
      </c>
      <c r="E52" s="149">
        <f t="shared" si="30"/>
        <v>1298996.67</v>
      </c>
      <c r="F52" s="149">
        <f t="shared" si="30"/>
        <v>5896599.6299999999</v>
      </c>
      <c r="G52" s="149">
        <f t="shared" si="30"/>
        <v>4173969.11</v>
      </c>
      <c r="H52" s="519">
        <f t="shared" si="30"/>
        <v>4030948.23</v>
      </c>
      <c r="I52" s="300">
        <f t="shared" si="30"/>
        <v>21969684.826666668</v>
      </c>
      <c r="J52" s="149">
        <f t="shared" si="30"/>
        <v>21969684.826666668</v>
      </c>
      <c r="K52" s="149">
        <f t="shared" si="30"/>
        <v>21969684.826666668</v>
      </c>
      <c r="L52" s="149">
        <f t="shared" si="30"/>
        <v>21969684.826666668</v>
      </c>
      <c r="M52" s="149">
        <f t="shared" si="30"/>
        <v>21969684.826666668</v>
      </c>
      <c r="N52" s="519">
        <f t="shared" si="30"/>
        <v>21969684.826666661</v>
      </c>
      <c r="O52" s="540">
        <f t="shared" si="30"/>
        <v>153947357</v>
      </c>
      <c r="P52" s="300">
        <f t="shared" si="30"/>
        <v>153947357</v>
      </c>
      <c r="Q52" s="149">
        <f t="shared" si="30"/>
        <v>152430426</v>
      </c>
      <c r="R52" s="150">
        <f t="shared" si="30"/>
        <v>144600976</v>
      </c>
      <c r="AC52" s="1336" t="s">
        <v>1924</v>
      </c>
    </row>
    <row r="53" spans="1:30" s="562" customFormat="1" ht="5.0999999999999996" customHeight="1" x14ac:dyDescent="0.25">
      <c r="A53" s="561"/>
      <c r="B53" s="550"/>
      <c r="C53" s="106"/>
      <c r="D53" s="478"/>
      <c r="E53" s="478"/>
      <c r="F53" s="478"/>
      <c r="G53" s="478"/>
      <c r="H53" s="551"/>
      <c r="I53" s="106"/>
      <c r="J53" s="478"/>
      <c r="K53" s="478"/>
      <c r="L53" s="478"/>
      <c r="M53" s="478"/>
      <c r="N53" s="551"/>
      <c r="O53" s="552"/>
      <c r="P53" s="106"/>
      <c r="Q53" s="478"/>
      <c r="R53" s="518"/>
      <c r="AC53" s="1352"/>
      <c r="AD53" s="1352"/>
    </row>
    <row r="54" spans="1:30" ht="12.75" customHeight="1" x14ac:dyDescent="0.25">
      <c r="A54" s="301" t="s">
        <v>472</v>
      </c>
      <c r="B54" s="832"/>
      <c r="C54" s="234">
        <f t="shared" ref="C54:R54" si="31">C33-C52</f>
        <v>-6273246.620000001</v>
      </c>
      <c r="D54" s="235">
        <f t="shared" si="31"/>
        <v>-455487.78</v>
      </c>
      <c r="E54" s="235">
        <f t="shared" si="31"/>
        <v>-1298996.67</v>
      </c>
      <c r="F54" s="235">
        <f t="shared" si="31"/>
        <v>-5896599.6299999999</v>
      </c>
      <c r="G54" s="235">
        <f t="shared" si="31"/>
        <v>-4173969.11</v>
      </c>
      <c r="H54" s="516">
        <f t="shared" si="31"/>
        <v>-4030948.23</v>
      </c>
      <c r="I54" s="234">
        <f t="shared" si="31"/>
        <v>-21969684.826666668</v>
      </c>
      <c r="J54" s="235">
        <f t="shared" si="31"/>
        <v>-21969684.826666668</v>
      </c>
      <c r="K54" s="235">
        <f t="shared" si="31"/>
        <v>-21969684.826666668</v>
      </c>
      <c r="L54" s="235">
        <f t="shared" si="31"/>
        <v>-21969684.826666668</v>
      </c>
      <c r="M54" s="235">
        <f t="shared" si="31"/>
        <v>-21969684.826666668</v>
      </c>
      <c r="N54" s="516">
        <f t="shared" si="31"/>
        <v>-21969684.826666661</v>
      </c>
      <c r="O54" s="563">
        <f t="shared" si="31"/>
        <v>-153947357</v>
      </c>
      <c r="P54" s="234">
        <f t="shared" si="31"/>
        <v>-153947357</v>
      </c>
      <c r="Q54" s="235">
        <f t="shared" si="31"/>
        <v>-152430426</v>
      </c>
      <c r="R54" s="236">
        <f t="shared" si="31"/>
        <v>-144600976</v>
      </c>
      <c r="AC54" s="1336" t="s">
        <v>1925</v>
      </c>
    </row>
    <row r="55" spans="1:30" ht="12.6" customHeight="1" x14ac:dyDescent="0.25">
      <c r="A55" s="30" t="s">
        <v>473</v>
      </c>
      <c r="B55" s="127"/>
      <c r="C55" s="380"/>
      <c r="D55" s="75">
        <f t="shared" ref="D55:N55" si="32">C56</f>
        <v>-6273246.620000001</v>
      </c>
      <c r="E55" s="75">
        <f t="shared" si="32"/>
        <v>-6728734.4000000013</v>
      </c>
      <c r="F55" s="75">
        <f t="shared" si="32"/>
        <v>-8027731.0700000012</v>
      </c>
      <c r="G55" s="75">
        <f t="shared" si="32"/>
        <v>-13924330.700000001</v>
      </c>
      <c r="H55" s="506">
        <f t="shared" si="32"/>
        <v>-18098299.810000002</v>
      </c>
      <c r="I55" s="238">
        <f t="shared" si="32"/>
        <v>-22129248.040000003</v>
      </c>
      <c r="J55" s="75">
        <f t="shared" si="32"/>
        <v>-44098932.866666675</v>
      </c>
      <c r="K55" s="75">
        <f t="shared" si="32"/>
        <v>-66068617.693333343</v>
      </c>
      <c r="L55" s="75">
        <f t="shared" si="32"/>
        <v>-88038302.520000011</v>
      </c>
      <c r="M55" s="75">
        <f t="shared" si="32"/>
        <v>-110007987.34666668</v>
      </c>
      <c r="N55" s="506">
        <f t="shared" si="32"/>
        <v>-131977672.17333335</v>
      </c>
      <c r="O55" s="538"/>
      <c r="P55" s="238">
        <f>C55</f>
        <v>0</v>
      </c>
      <c r="Q55" s="75">
        <f>P56</f>
        <v>-153947357</v>
      </c>
      <c r="R55" s="76">
        <f>Q56</f>
        <v>-306377783</v>
      </c>
      <c r="AC55" s="1336" t="s">
        <v>2136</v>
      </c>
    </row>
    <row r="56" spans="1:30" ht="12.6" customHeight="1" x14ac:dyDescent="0.25">
      <c r="A56" s="564" t="s">
        <v>474</v>
      </c>
      <c r="B56" s="173"/>
      <c r="C56" s="565">
        <f t="shared" ref="C56:N56" si="33">C54+C55</f>
        <v>-6273246.620000001</v>
      </c>
      <c r="D56" s="175">
        <f t="shared" si="33"/>
        <v>-6728734.4000000013</v>
      </c>
      <c r="E56" s="175">
        <f t="shared" si="33"/>
        <v>-8027731.0700000012</v>
      </c>
      <c r="F56" s="175">
        <f t="shared" si="33"/>
        <v>-13924330.700000001</v>
      </c>
      <c r="G56" s="175">
        <f t="shared" si="33"/>
        <v>-18098299.810000002</v>
      </c>
      <c r="H56" s="566">
        <f t="shared" si="33"/>
        <v>-22129248.040000003</v>
      </c>
      <c r="I56" s="565">
        <f t="shared" si="33"/>
        <v>-44098932.866666675</v>
      </c>
      <c r="J56" s="175">
        <f t="shared" si="33"/>
        <v>-66068617.693333343</v>
      </c>
      <c r="K56" s="175">
        <f t="shared" si="33"/>
        <v>-88038302.520000011</v>
      </c>
      <c r="L56" s="175">
        <f t="shared" si="33"/>
        <v>-110007987.34666668</v>
      </c>
      <c r="M56" s="175">
        <f t="shared" si="33"/>
        <v>-131977672.17333335</v>
      </c>
      <c r="N56" s="566">
        <f t="shared" si="33"/>
        <v>-153947357</v>
      </c>
      <c r="O56" s="567"/>
      <c r="P56" s="565">
        <f>P54+P55</f>
        <v>-153947357</v>
      </c>
      <c r="Q56" s="175">
        <f>Q54+Q55</f>
        <v>-306377783</v>
      </c>
      <c r="R56" s="176">
        <f>R54+R55</f>
        <v>-450978759</v>
      </c>
      <c r="AC56" s="1336" t="s">
        <v>1926</v>
      </c>
    </row>
    <row r="57" spans="1:30" ht="10.5" customHeight="1" x14ac:dyDescent="0.25">
      <c r="A57" s="640" t="s">
        <v>521</v>
      </c>
    </row>
    <row r="58" spans="1:30" ht="10.5" customHeight="1" x14ac:dyDescent="0.25">
      <c r="A58" s="118" t="s">
        <v>733</v>
      </c>
    </row>
    <row r="59" spans="1:30" ht="10.5" customHeight="1" x14ac:dyDescent="0.25"/>
    <row r="60" spans="1:30" ht="10.5" customHeight="1" x14ac:dyDescent="0.25"/>
    <row r="62" spans="1:30" x14ac:dyDescent="0.25">
      <c r="F62" s="84"/>
      <c r="G62" s="84"/>
      <c r="H62" s="84"/>
      <c r="I62" s="84"/>
      <c r="J62" s="84"/>
      <c r="K62" s="84"/>
      <c r="L62" s="84"/>
      <c r="M62" s="84"/>
      <c r="N62" s="84"/>
    </row>
    <row r="63" spans="1:30" x14ac:dyDescent="0.25">
      <c r="F63" s="166">
        <f t="shared" ref="F63:R63" si="34">F46+F62</f>
        <v>0</v>
      </c>
      <c r="G63" s="166">
        <f t="shared" si="34"/>
        <v>0</v>
      </c>
      <c r="H63" s="166">
        <f t="shared" si="34"/>
        <v>0</v>
      </c>
      <c r="I63" s="166">
        <f t="shared" si="34"/>
        <v>20030811.5</v>
      </c>
      <c r="J63" s="166">
        <f t="shared" si="34"/>
        <v>20030811.5</v>
      </c>
      <c r="K63" s="166">
        <f t="shared" si="34"/>
        <v>20030811.5</v>
      </c>
      <c r="L63" s="166">
        <f t="shared" si="34"/>
        <v>20030811.5</v>
      </c>
      <c r="M63" s="166">
        <f t="shared" si="34"/>
        <v>20030811.5</v>
      </c>
      <c r="N63" s="166">
        <f t="shared" si="34"/>
        <v>20030811.5</v>
      </c>
      <c r="O63" s="166">
        <f t="shared" si="34"/>
        <v>120184869</v>
      </c>
      <c r="P63" s="166">
        <f t="shared" si="34"/>
        <v>120184869</v>
      </c>
      <c r="Q63" s="166">
        <f t="shared" si="34"/>
        <v>120203426</v>
      </c>
      <c r="R63" s="166">
        <f t="shared" si="34"/>
        <v>120219976</v>
      </c>
    </row>
    <row r="64" spans="1:30" x14ac:dyDescent="0.25">
      <c r="F64" s="166">
        <f t="shared" ref="F64:R64" si="35">F54-F62</f>
        <v>-5896599.6299999999</v>
      </c>
      <c r="G64" s="166">
        <f t="shared" si="35"/>
        <v>-4173969.11</v>
      </c>
      <c r="H64" s="166">
        <f t="shared" si="35"/>
        <v>-4030948.23</v>
      </c>
      <c r="I64" s="166">
        <f t="shared" si="35"/>
        <v>-21969684.826666668</v>
      </c>
      <c r="J64" s="166">
        <f t="shared" si="35"/>
        <v>-21969684.826666668</v>
      </c>
      <c r="K64" s="166">
        <f t="shared" si="35"/>
        <v>-21969684.826666668</v>
      </c>
      <c r="L64" s="166">
        <f t="shared" si="35"/>
        <v>-21969684.826666668</v>
      </c>
      <c r="M64" s="166">
        <f t="shared" si="35"/>
        <v>-21969684.826666668</v>
      </c>
      <c r="N64" s="166">
        <f t="shared" si="35"/>
        <v>-21969684.826666661</v>
      </c>
      <c r="O64" s="166">
        <f t="shared" si="35"/>
        <v>-153947357</v>
      </c>
      <c r="P64" s="166">
        <f t="shared" si="35"/>
        <v>-153947357</v>
      </c>
      <c r="Q64" s="166">
        <f t="shared" si="35"/>
        <v>-152430426</v>
      </c>
      <c r="R64" s="166">
        <f t="shared" si="35"/>
        <v>-144600976</v>
      </c>
    </row>
    <row r="189" spans="3:46" x14ac:dyDescent="0.25">
      <c r="C189" s="102"/>
      <c r="D189" s="102"/>
      <c r="E189" s="102"/>
      <c r="F189" s="102"/>
      <c r="G189" s="102"/>
      <c r="H189" s="102"/>
      <c r="I189" s="102"/>
      <c r="J189" s="102"/>
      <c r="K189" s="102"/>
      <c r="L189" s="102"/>
      <c r="M189" s="102"/>
      <c r="O189" s="166"/>
      <c r="P189" s="166"/>
      <c r="Q189" s="166"/>
      <c r="R189" s="166"/>
      <c r="S189" s="166"/>
      <c r="T189" s="166"/>
      <c r="U189" s="166"/>
      <c r="AJ189" s="166"/>
      <c r="AK189" s="166"/>
      <c r="AL189" s="166"/>
      <c r="AM189" s="166"/>
      <c r="AN189" s="166"/>
      <c r="AO189" s="166"/>
      <c r="AP189" s="166"/>
      <c r="AQ189" s="166"/>
      <c r="AR189" s="166"/>
      <c r="AS189" s="166"/>
      <c r="AT189" s="166"/>
    </row>
    <row r="190" spans="3:46" x14ac:dyDescent="0.25">
      <c r="O190" s="166"/>
      <c r="P190" s="166"/>
      <c r="Q190" s="166"/>
      <c r="R190" s="166"/>
      <c r="S190" s="166"/>
      <c r="T190" s="166"/>
      <c r="U190" s="166"/>
      <c r="AJ190" s="166"/>
      <c r="AK190" s="166"/>
      <c r="AL190" s="166"/>
      <c r="AM190" s="166"/>
      <c r="AN190" s="166"/>
      <c r="AO190" s="166"/>
      <c r="AP190" s="166"/>
      <c r="AQ190" s="166"/>
      <c r="AR190" s="166"/>
      <c r="AS190" s="166"/>
      <c r="AT190" s="166"/>
    </row>
    <row r="191" spans="3:46" x14ac:dyDescent="0.25">
      <c r="O191" s="166"/>
      <c r="P191" s="166"/>
      <c r="Q191" s="166"/>
      <c r="R191" s="166"/>
      <c r="S191" s="166"/>
      <c r="T191" s="166"/>
      <c r="U191" s="166"/>
      <c r="AJ191" s="166"/>
      <c r="AK191" s="166"/>
      <c r="AL191" s="166"/>
      <c r="AM191" s="166"/>
      <c r="AN191" s="166"/>
      <c r="AO191" s="166"/>
      <c r="AP191" s="166"/>
      <c r="AQ191" s="166"/>
      <c r="AR191" s="166"/>
      <c r="AS191" s="166"/>
      <c r="AT191" s="166"/>
    </row>
  </sheetData>
  <sheetProtection sheet="1" objects="1" scenarios="1"/>
  <mergeCells count="4">
    <mergeCell ref="A2:A3"/>
    <mergeCell ref="P2:R2"/>
    <mergeCell ref="B2:B3"/>
    <mergeCell ref="C2:N2"/>
  </mergeCells>
  <phoneticPr fontId="4" type="noConversion"/>
  <printOptions horizontalCentered="1"/>
  <pageMargins left="0.34" right="0.17" top="0.4" bottom="0.3" header="0.4" footer="0.25"/>
  <pageSetup paperSize="9" scale="7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6">
    <tabColor indexed="42"/>
    <pageSetUpPr fitToPage="1"/>
  </sheetPr>
  <dimension ref="A1:AD56"/>
  <sheetViews>
    <sheetView showGridLines="0" zoomScaleNormal="100" workbookViewId="0">
      <pane xSplit="2" ySplit="4" topLeftCell="C17" activePane="bottomRight" state="frozen"/>
      <selection activeCell="C6" sqref="C6"/>
      <selection pane="topRight" activeCell="C6" sqref="C6"/>
      <selection pane="bottomLeft" activeCell="C6" sqref="C6"/>
      <selection pane="bottomRight" activeCell="U17" sqref="U17"/>
    </sheetView>
  </sheetViews>
  <sheetFormatPr defaultColWidth="9.140625" defaultRowHeight="12.75" x14ac:dyDescent="0.25"/>
  <cols>
    <col min="1" max="1" width="30.5703125" style="5" customWidth="1"/>
    <col min="2" max="2" width="3.140625" style="5" customWidth="1"/>
    <col min="3" max="14" width="8.5703125" style="5" customWidth="1"/>
    <col min="15" max="15" width="8.5703125" style="5" hidden="1" customWidth="1"/>
    <col min="16" max="16" width="13.5703125" style="5" customWidth="1"/>
    <col min="17" max="17" width="8.5703125" style="5" customWidth="1"/>
    <col min="18" max="18" width="9.140625" style="5"/>
    <col min="19" max="28" width="9.140625" style="5" customWidth="1"/>
    <col min="29" max="30" width="9.140625" style="1336"/>
    <col min="31" max="16384" width="9.140625" style="5"/>
  </cols>
  <sheetData>
    <row r="1" spans="1:30" ht="13.5" x14ac:dyDescent="0.25">
      <c r="A1" s="57" t="str">
        <f>muni&amp;" - "&amp;ADJB16&amp;" - "&amp;Date</f>
        <v xml:space="preserve">KZN226 Mkhambathini - Supporting Table SB16 Adjustments Budget - monthly capital expenditure (municipal vote) - </v>
      </c>
      <c r="B1" s="57"/>
      <c r="D1" s="58"/>
    </row>
    <row r="2" spans="1:30" ht="25.5" x14ac:dyDescent="0.25">
      <c r="A2" s="1423" t="str">
        <f>desc&amp;" - Municipal Vote"</f>
        <v>Description - Municipal Vote</v>
      </c>
      <c r="B2" s="1420" t="str">
        <f>head27</f>
        <v>Ref</v>
      </c>
      <c r="C2" s="568" t="str">
        <f>Head2</f>
        <v>Budget Year 2020/21</v>
      </c>
      <c r="D2" s="527"/>
      <c r="E2" s="527"/>
      <c r="F2" s="527"/>
      <c r="G2" s="527"/>
      <c r="H2" s="527"/>
      <c r="I2" s="527"/>
      <c r="J2" s="527"/>
      <c r="K2" s="527"/>
      <c r="L2" s="527"/>
      <c r="M2" s="527"/>
      <c r="N2" s="527"/>
      <c r="O2" s="525"/>
      <c r="P2" s="526" t="s">
        <v>225</v>
      </c>
      <c r="Q2" s="527"/>
      <c r="R2" s="528"/>
    </row>
    <row r="3" spans="1:30" ht="38.25" x14ac:dyDescent="0.25">
      <c r="A3" s="1424"/>
      <c r="B3" s="1421"/>
      <c r="C3" s="450" t="s">
        <v>226</v>
      </c>
      <c r="D3" s="318" t="s">
        <v>227</v>
      </c>
      <c r="E3" s="318" t="s">
        <v>228</v>
      </c>
      <c r="F3" s="318" t="s">
        <v>229</v>
      </c>
      <c r="G3" s="318" t="s">
        <v>230</v>
      </c>
      <c r="H3" s="319" t="s">
        <v>231</v>
      </c>
      <c r="I3" s="529" t="s">
        <v>232</v>
      </c>
      <c r="J3" s="530" t="s">
        <v>233</v>
      </c>
      <c r="K3" s="318" t="s">
        <v>234</v>
      </c>
      <c r="L3" s="318" t="s">
        <v>235</v>
      </c>
      <c r="M3" s="531" t="s">
        <v>236</v>
      </c>
      <c r="N3" s="530" t="s">
        <v>237</v>
      </c>
      <c r="O3" s="532" t="s">
        <v>238</v>
      </c>
      <c r="P3" s="529" t="str">
        <f>Head9</f>
        <v>Budget Year 2020/21</v>
      </c>
      <c r="Q3" s="530" t="str">
        <f>Head10</f>
        <v>Budget Year +1 2021/22</v>
      </c>
      <c r="R3" s="320" t="str">
        <f>Head11</f>
        <v>Budget Year +2 2022/23</v>
      </c>
    </row>
    <row r="4" spans="1:30" ht="25.5" x14ac:dyDescent="0.25">
      <c r="A4" s="533" t="s">
        <v>605</v>
      </c>
      <c r="B4" s="104"/>
      <c r="C4" s="808" t="str">
        <f t="shared" ref="C4:H4" si="0">Head5A</f>
        <v>Outcome</v>
      </c>
      <c r="D4" s="803" t="str">
        <f t="shared" si="0"/>
        <v>Outcome</v>
      </c>
      <c r="E4" s="803" t="str">
        <f t="shared" si="0"/>
        <v>Outcome</v>
      </c>
      <c r="F4" s="803" t="str">
        <f t="shared" si="0"/>
        <v>Outcome</v>
      </c>
      <c r="G4" s="803" t="str">
        <f t="shared" si="0"/>
        <v>Outcome</v>
      </c>
      <c r="H4" s="804" t="str">
        <f t="shared" si="0"/>
        <v>Outcome</v>
      </c>
      <c r="I4" s="802" t="str">
        <f t="shared" ref="I4:N4" si="1">Head7</f>
        <v>Adjusted Budget</v>
      </c>
      <c r="J4" s="804" t="str">
        <f t="shared" si="1"/>
        <v>Adjusted Budget</v>
      </c>
      <c r="K4" s="803" t="str">
        <f t="shared" si="1"/>
        <v>Adjusted Budget</v>
      </c>
      <c r="L4" s="803" t="str">
        <f t="shared" si="1"/>
        <v>Adjusted Budget</v>
      </c>
      <c r="M4" s="803" t="str">
        <f t="shared" si="1"/>
        <v>Adjusted Budget</v>
      </c>
      <c r="N4" s="804" t="str">
        <f t="shared" si="1"/>
        <v>Adjusted Budget</v>
      </c>
      <c r="O4" s="534"/>
      <c r="P4" s="535" t="str">
        <f>Head7</f>
        <v>Adjusted Budget</v>
      </c>
      <c r="Q4" s="536" t="str">
        <f>Head7</f>
        <v>Adjusted Budget</v>
      </c>
      <c r="R4" s="537" t="str">
        <f>Head7</f>
        <v>Adjusted Budget</v>
      </c>
    </row>
    <row r="5" spans="1:30" ht="12.75" customHeight="1" x14ac:dyDescent="0.25">
      <c r="A5" s="505" t="s">
        <v>1096</v>
      </c>
      <c r="B5" s="127">
        <v>1</v>
      </c>
      <c r="C5" s="238"/>
      <c r="D5" s="75"/>
      <c r="E5" s="75"/>
      <c r="F5" s="75"/>
      <c r="G5" s="75"/>
      <c r="H5" s="506"/>
      <c r="I5" s="238"/>
      <c r="J5" s="75"/>
      <c r="K5" s="75"/>
      <c r="L5" s="75"/>
      <c r="M5" s="75"/>
      <c r="N5" s="506"/>
      <c r="O5" s="538"/>
      <c r="P5" s="238"/>
      <c r="Q5" s="75"/>
      <c r="R5" s="76"/>
      <c r="S5" s="126"/>
    </row>
    <row r="6" spans="1:30" ht="12.75" customHeight="1" x14ac:dyDescent="0.25">
      <c r="A6" s="127" t="str">
        <f>'B5-Capex'!A8</f>
        <v>Vote 1 - Finance and Administration</v>
      </c>
      <c r="B6" s="127"/>
      <c r="C6" s="1360">
        <f>SUMIFS(Sheet1!S71_MonthlyOutcomeJul,Sheet1!S71_MasterVoteMunicipal,$AC:$AC,Sheet1!S71_A5CapexCode,$AD:$AD)</f>
        <v>0</v>
      </c>
      <c r="D6" s="1356">
        <f>SUMIFS(Sheet1!S71_MonthlyOutcomeAug,Sheet1!S71_MasterVoteMunicipal,$AC:$AC,Sheet1!S71_A5CapexCode,$AD:$AD)</f>
        <v>0</v>
      </c>
      <c r="E6" s="1356">
        <f>SUMIFS(Sheet1!S71_MonthlyOutcomeSep,Sheet1!S71_MasterVoteMunicipal,$AC:$AC,Sheet1!S71_A5CapexCode,$AD:$AD)</f>
        <v>0</v>
      </c>
      <c r="F6" s="1356">
        <f>SUMIFS(Sheet1!S71_MonthlyOutcomeOct,Sheet1!S71_MasterVoteMunicipal,$AC:$AC,Sheet1!S71_A5CapexCode,$AD:$AD)</f>
        <v>0</v>
      </c>
      <c r="G6" s="1356">
        <f>SUMIFS(Sheet1!S71_MonthlyOutcomeNov,Sheet1!S71_MasterVoteMunicipal,$AC:$AC,Sheet1!S71_A5CapexCode,$AD:$AD)</f>
        <v>0</v>
      </c>
      <c r="H6" s="1361">
        <f>SUMIFS(Sheet1!S71_MonthlyOutcomeDec,Sheet1!S71_MasterVoteMunicipal,$AC:$AC,Sheet1!S71_A5CapexCode,$AD:$AD)</f>
        <v>0</v>
      </c>
      <c r="I6" s="1360">
        <f>(P6-SUM(C6:H6))/6</f>
        <v>0</v>
      </c>
      <c r="J6" s="1356">
        <f t="shared" ref="J6:J20" si="2">(P6-SUM(C6:H6))/6</f>
        <v>0</v>
      </c>
      <c r="K6" s="1356">
        <f t="shared" ref="K6:K20" si="3">(P6-SUM(C6:H6))/6</f>
        <v>0</v>
      </c>
      <c r="L6" s="1356">
        <f t="shared" ref="L6:L20" si="4">(P6-SUM(C6:H6))/6</f>
        <v>0</v>
      </c>
      <c r="M6" s="1356">
        <f t="shared" ref="M6:M20" si="5">(P6-SUM(C6:H6))/6</f>
        <v>0</v>
      </c>
      <c r="N6" s="506">
        <f t="shared" ref="N6:N20" si="6">P6-SUM(C6:M6)</f>
        <v>0</v>
      </c>
      <c r="O6" s="538"/>
      <c r="P6" s="238">
        <f>'B5-Capex'!K8</f>
        <v>0</v>
      </c>
      <c r="Q6" s="75">
        <f>'B5-Capex'!L8</f>
        <v>0</v>
      </c>
      <c r="R6" s="76">
        <f>'B5-Capex'!M8</f>
        <v>0</v>
      </c>
      <c r="S6" s="126"/>
      <c r="AC6" s="1336" t="s">
        <v>676</v>
      </c>
      <c r="AD6" s="1336" t="s">
        <v>1846</v>
      </c>
    </row>
    <row r="7" spans="1:30" ht="12.75" customHeight="1" x14ac:dyDescent="0.25">
      <c r="A7" s="127" t="str">
        <f>'B5-Capex'!A9</f>
        <v>Vote 2 - Finance and Administration2</v>
      </c>
      <c r="B7" s="127"/>
      <c r="C7" s="1360">
        <f>SUMIFS(Sheet1!S71_MonthlyOutcomeJul,Sheet1!S71_MasterVoteMunicipal,$AC:$AC,Sheet1!S71_A5CapexCode,$AD:$AD)</f>
        <v>0</v>
      </c>
      <c r="D7" s="1356">
        <f>SUMIFS(Sheet1!S71_MonthlyOutcomeAug,Sheet1!S71_MasterVoteMunicipal,$AC:$AC,Sheet1!S71_A5CapexCode,$AD:$AD)</f>
        <v>0</v>
      </c>
      <c r="E7" s="1356">
        <f>SUMIFS(Sheet1!S71_MonthlyOutcomeSep,Sheet1!S71_MasterVoteMunicipal,$AC:$AC,Sheet1!S71_A5CapexCode,$AD:$AD)</f>
        <v>0</v>
      </c>
      <c r="F7" s="1356">
        <f>SUMIFS(Sheet1!S71_MonthlyOutcomeOct,Sheet1!S71_MasterVoteMunicipal,$AC:$AC,Sheet1!S71_A5CapexCode,$AD:$AD)</f>
        <v>0</v>
      </c>
      <c r="G7" s="1356">
        <f>SUMIFS(Sheet1!S71_MonthlyOutcomeNov,Sheet1!S71_MasterVoteMunicipal,$AC:$AC,Sheet1!S71_A5CapexCode,$AD:$AD)</f>
        <v>0</v>
      </c>
      <c r="H7" s="1361">
        <f>SUMIFS(Sheet1!S71_MonthlyOutcomeDec,Sheet1!S71_MasterVoteMunicipal,$AC:$AC,Sheet1!S71_A5CapexCode,$AD:$AD)</f>
        <v>0</v>
      </c>
      <c r="I7" s="1360">
        <f t="shared" ref="I7:I20" si="7">(P7-SUM(C7:H7))/6</f>
        <v>0</v>
      </c>
      <c r="J7" s="1356">
        <f t="shared" si="2"/>
        <v>0</v>
      </c>
      <c r="K7" s="1356">
        <f t="shared" si="3"/>
        <v>0</v>
      </c>
      <c r="L7" s="1356">
        <f t="shared" si="4"/>
        <v>0</v>
      </c>
      <c r="M7" s="1356">
        <f t="shared" si="5"/>
        <v>0</v>
      </c>
      <c r="N7" s="506">
        <f t="shared" si="6"/>
        <v>0</v>
      </c>
      <c r="O7" s="538"/>
      <c r="P7" s="238">
        <f>'B5-Capex'!K9</f>
        <v>0</v>
      </c>
      <c r="Q7" s="75">
        <f>'B5-Capex'!L9</f>
        <v>0</v>
      </c>
      <c r="R7" s="76">
        <f>'B5-Capex'!M9</f>
        <v>0</v>
      </c>
      <c r="S7" s="126"/>
      <c r="AC7" s="1336" t="s">
        <v>677</v>
      </c>
      <c r="AD7" s="1336" t="s">
        <v>1846</v>
      </c>
    </row>
    <row r="8" spans="1:30" ht="12.75" customHeight="1" x14ac:dyDescent="0.25">
      <c r="A8" s="127" t="str">
        <f>'B5-Capex'!A10</f>
        <v>Vote 3 - Executive and Council</v>
      </c>
      <c r="B8" s="127"/>
      <c r="C8" s="1360">
        <f>SUMIFS(Sheet1!S71_MonthlyOutcomeJul,Sheet1!S71_MasterVoteMunicipal,$AC:$AC,Sheet1!S71_A5CapexCode,$AD:$AD)</f>
        <v>0</v>
      </c>
      <c r="D8" s="1356">
        <f>SUMIFS(Sheet1!S71_MonthlyOutcomeAug,Sheet1!S71_MasterVoteMunicipal,$AC:$AC,Sheet1!S71_A5CapexCode,$AD:$AD)</f>
        <v>0</v>
      </c>
      <c r="E8" s="1356">
        <f>SUMIFS(Sheet1!S71_MonthlyOutcomeSep,Sheet1!S71_MasterVoteMunicipal,$AC:$AC,Sheet1!S71_A5CapexCode,$AD:$AD)</f>
        <v>0</v>
      </c>
      <c r="F8" s="1356">
        <f>SUMIFS(Sheet1!S71_MonthlyOutcomeOct,Sheet1!S71_MasterVoteMunicipal,$AC:$AC,Sheet1!S71_A5CapexCode,$AD:$AD)</f>
        <v>0</v>
      </c>
      <c r="G8" s="1356">
        <f>SUMIFS(Sheet1!S71_MonthlyOutcomeNov,Sheet1!S71_MasterVoteMunicipal,$AC:$AC,Sheet1!S71_A5CapexCode,$AD:$AD)</f>
        <v>0</v>
      </c>
      <c r="H8" s="1361">
        <f>SUMIFS(Sheet1!S71_MonthlyOutcomeDec,Sheet1!S71_MasterVoteMunicipal,$AC:$AC,Sheet1!S71_A5CapexCode,$AD:$AD)</f>
        <v>0</v>
      </c>
      <c r="I8" s="1360">
        <f t="shared" si="7"/>
        <v>0</v>
      </c>
      <c r="J8" s="1356">
        <f t="shared" si="2"/>
        <v>0</v>
      </c>
      <c r="K8" s="1356">
        <f t="shared" si="3"/>
        <v>0</v>
      </c>
      <c r="L8" s="1356">
        <f t="shared" si="4"/>
        <v>0</v>
      </c>
      <c r="M8" s="1356">
        <f t="shared" si="5"/>
        <v>0</v>
      </c>
      <c r="N8" s="506">
        <f t="shared" si="6"/>
        <v>0</v>
      </c>
      <c r="O8" s="538"/>
      <c r="P8" s="238">
        <f>'B5-Capex'!K10</f>
        <v>0</v>
      </c>
      <c r="Q8" s="75">
        <f>'B5-Capex'!L10</f>
        <v>0</v>
      </c>
      <c r="R8" s="76">
        <f>'B5-Capex'!M10</f>
        <v>0</v>
      </c>
      <c r="S8" s="126"/>
      <c r="AC8" s="1336" t="s">
        <v>678</v>
      </c>
      <c r="AD8" s="1336" t="s">
        <v>1846</v>
      </c>
    </row>
    <row r="9" spans="1:30" ht="12.75" customHeight="1" x14ac:dyDescent="0.25">
      <c r="A9" s="127" t="str">
        <f>'B5-Capex'!A11</f>
        <v>Vote 4 - Community and Social Services</v>
      </c>
      <c r="B9" s="127"/>
      <c r="C9" s="1360">
        <f>SUMIFS(Sheet1!S71_MonthlyOutcomeJul,Sheet1!S71_MasterVoteMunicipal,$AC:$AC,Sheet1!S71_A5CapexCode,$AD:$AD)</f>
        <v>0</v>
      </c>
      <c r="D9" s="1356">
        <f>SUMIFS(Sheet1!S71_MonthlyOutcomeAug,Sheet1!S71_MasterVoteMunicipal,$AC:$AC,Sheet1!S71_A5CapexCode,$AD:$AD)</f>
        <v>0</v>
      </c>
      <c r="E9" s="1356">
        <f>SUMIFS(Sheet1!S71_MonthlyOutcomeSep,Sheet1!S71_MasterVoteMunicipal,$AC:$AC,Sheet1!S71_A5CapexCode,$AD:$AD)</f>
        <v>0</v>
      </c>
      <c r="F9" s="1356">
        <f>SUMIFS(Sheet1!S71_MonthlyOutcomeOct,Sheet1!S71_MasterVoteMunicipal,$AC:$AC,Sheet1!S71_A5CapexCode,$AD:$AD)</f>
        <v>0</v>
      </c>
      <c r="G9" s="1356">
        <f>SUMIFS(Sheet1!S71_MonthlyOutcomeNov,Sheet1!S71_MasterVoteMunicipal,$AC:$AC,Sheet1!S71_A5CapexCode,$AD:$AD)</f>
        <v>0</v>
      </c>
      <c r="H9" s="1361">
        <f>SUMIFS(Sheet1!S71_MonthlyOutcomeDec,Sheet1!S71_MasterVoteMunicipal,$AC:$AC,Sheet1!S71_A5CapexCode,$AD:$AD)</f>
        <v>0</v>
      </c>
      <c r="I9" s="1360">
        <f t="shared" si="7"/>
        <v>0</v>
      </c>
      <c r="J9" s="1356">
        <f t="shared" si="2"/>
        <v>0</v>
      </c>
      <c r="K9" s="1356">
        <f t="shared" si="3"/>
        <v>0</v>
      </c>
      <c r="L9" s="1356">
        <f t="shared" si="4"/>
        <v>0</v>
      </c>
      <c r="M9" s="1356">
        <f t="shared" si="5"/>
        <v>0</v>
      </c>
      <c r="N9" s="506">
        <f t="shared" si="6"/>
        <v>0</v>
      </c>
      <c r="O9" s="538"/>
      <c r="P9" s="238">
        <f>'B5-Capex'!K11</f>
        <v>0</v>
      </c>
      <c r="Q9" s="75">
        <f>'B5-Capex'!L11</f>
        <v>0</v>
      </c>
      <c r="R9" s="76">
        <f>'B5-Capex'!M11</f>
        <v>0</v>
      </c>
      <c r="S9" s="126"/>
      <c r="AC9" s="1336" t="s">
        <v>679</v>
      </c>
      <c r="AD9" s="1336" t="s">
        <v>1846</v>
      </c>
    </row>
    <row r="10" spans="1:30" ht="12.75" customHeight="1" x14ac:dyDescent="0.25">
      <c r="A10" s="127" t="str">
        <f>'B5-Capex'!A12</f>
        <v>Vote 5 - Community and Social Services2</v>
      </c>
      <c r="B10" s="127"/>
      <c r="C10" s="1360">
        <f>SUMIFS(Sheet1!S71_MonthlyOutcomeJul,Sheet1!S71_MasterVoteMunicipal,$AC:$AC,Sheet1!S71_A5CapexCode,$AD:$AD)</f>
        <v>0</v>
      </c>
      <c r="D10" s="1356">
        <f>SUMIFS(Sheet1!S71_MonthlyOutcomeAug,Sheet1!S71_MasterVoteMunicipal,$AC:$AC,Sheet1!S71_A5CapexCode,$AD:$AD)</f>
        <v>0</v>
      </c>
      <c r="E10" s="1356">
        <f>SUMIFS(Sheet1!S71_MonthlyOutcomeSep,Sheet1!S71_MasterVoteMunicipal,$AC:$AC,Sheet1!S71_A5CapexCode,$AD:$AD)</f>
        <v>0</v>
      </c>
      <c r="F10" s="1356">
        <f>SUMIFS(Sheet1!S71_MonthlyOutcomeOct,Sheet1!S71_MasterVoteMunicipal,$AC:$AC,Sheet1!S71_A5CapexCode,$AD:$AD)</f>
        <v>0</v>
      </c>
      <c r="G10" s="1356">
        <f>SUMIFS(Sheet1!S71_MonthlyOutcomeNov,Sheet1!S71_MasterVoteMunicipal,$AC:$AC,Sheet1!S71_A5CapexCode,$AD:$AD)</f>
        <v>0</v>
      </c>
      <c r="H10" s="1361">
        <f>SUMIFS(Sheet1!S71_MonthlyOutcomeDec,Sheet1!S71_MasterVoteMunicipal,$AC:$AC,Sheet1!S71_A5CapexCode,$AD:$AD)</f>
        <v>0</v>
      </c>
      <c r="I10" s="1360">
        <f t="shared" si="7"/>
        <v>0</v>
      </c>
      <c r="J10" s="1356">
        <f t="shared" si="2"/>
        <v>0</v>
      </c>
      <c r="K10" s="1356">
        <f t="shared" si="3"/>
        <v>0</v>
      </c>
      <c r="L10" s="1356">
        <f t="shared" si="4"/>
        <v>0</v>
      </c>
      <c r="M10" s="1356">
        <f t="shared" si="5"/>
        <v>0</v>
      </c>
      <c r="N10" s="506">
        <f t="shared" si="6"/>
        <v>0</v>
      </c>
      <c r="O10" s="538"/>
      <c r="P10" s="238">
        <f>'B5-Capex'!K12</f>
        <v>0</v>
      </c>
      <c r="Q10" s="75">
        <f>'B5-Capex'!L12</f>
        <v>0</v>
      </c>
      <c r="R10" s="76">
        <f>'B5-Capex'!M12</f>
        <v>0</v>
      </c>
      <c r="S10" s="126"/>
      <c r="AC10" s="1336" t="s">
        <v>680</v>
      </c>
      <c r="AD10" s="1336" t="s">
        <v>1846</v>
      </c>
    </row>
    <row r="11" spans="1:30" ht="12.75" customHeight="1" x14ac:dyDescent="0.25">
      <c r="A11" s="127" t="str">
        <f>'B5-Capex'!A13</f>
        <v>Vote 6 - Energy Sources</v>
      </c>
      <c r="B11" s="127"/>
      <c r="C11" s="1360">
        <f>SUMIFS(Sheet1!S71_MonthlyOutcomeJul,Sheet1!S71_MasterVoteMunicipal,$AC:$AC,Sheet1!S71_A5CapexCode,$AD:$AD)</f>
        <v>0</v>
      </c>
      <c r="D11" s="1356">
        <f>SUMIFS(Sheet1!S71_MonthlyOutcomeAug,Sheet1!S71_MasterVoteMunicipal,$AC:$AC,Sheet1!S71_A5CapexCode,$AD:$AD)</f>
        <v>0</v>
      </c>
      <c r="E11" s="1356">
        <f>SUMIFS(Sheet1!S71_MonthlyOutcomeSep,Sheet1!S71_MasterVoteMunicipal,$AC:$AC,Sheet1!S71_A5CapexCode,$AD:$AD)</f>
        <v>0</v>
      </c>
      <c r="F11" s="1356">
        <f>SUMIFS(Sheet1!S71_MonthlyOutcomeOct,Sheet1!S71_MasterVoteMunicipal,$AC:$AC,Sheet1!S71_A5CapexCode,$AD:$AD)</f>
        <v>0</v>
      </c>
      <c r="G11" s="1356">
        <f>SUMIFS(Sheet1!S71_MonthlyOutcomeNov,Sheet1!S71_MasterVoteMunicipal,$AC:$AC,Sheet1!S71_A5CapexCode,$AD:$AD)</f>
        <v>0</v>
      </c>
      <c r="H11" s="1361">
        <f>SUMIFS(Sheet1!S71_MonthlyOutcomeDec,Sheet1!S71_MasterVoteMunicipal,$AC:$AC,Sheet1!S71_A5CapexCode,$AD:$AD)</f>
        <v>0</v>
      </c>
      <c r="I11" s="1360">
        <f t="shared" si="7"/>
        <v>0</v>
      </c>
      <c r="J11" s="1356">
        <f t="shared" si="2"/>
        <v>0</v>
      </c>
      <c r="K11" s="1356">
        <f t="shared" si="3"/>
        <v>0</v>
      </c>
      <c r="L11" s="1356">
        <f t="shared" si="4"/>
        <v>0</v>
      </c>
      <c r="M11" s="1356">
        <f t="shared" si="5"/>
        <v>0</v>
      </c>
      <c r="N11" s="506">
        <f t="shared" si="6"/>
        <v>0</v>
      </c>
      <c r="O11" s="538"/>
      <c r="P11" s="238">
        <f>'B5-Capex'!K13</f>
        <v>0</v>
      </c>
      <c r="Q11" s="75">
        <f>'B5-Capex'!L13</f>
        <v>0</v>
      </c>
      <c r="R11" s="76">
        <f>'B5-Capex'!M13</f>
        <v>0</v>
      </c>
      <c r="S11" s="126"/>
      <c r="AC11" s="1336" t="s">
        <v>681</v>
      </c>
      <c r="AD11" s="1336" t="s">
        <v>1846</v>
      </c>
    </row>
    <row r="12" spans="1:30" ht="12.75" customHeight="1" x14ac:dyDescent="0.25">
      <c r="A12" s="127" t="str">
        <f>'B5-Capex'!A14</f>
        <v>Vote 7 - Road Transport</v>
      </c>
      <c r="B12" s="127"/>
      <c r="C12" s="1360">
        <f>SUMIFS(Sheet1!S71_MonthlyOutcomeJul,Sheet1!S71_MasterVoteMunicipal,$AC:$AC,Sheet1!S71_A5CapexCode,$AD:$AD)</f>
        <v>0</v>
      </c>
      <c r="D12" s="1356">
        <f>SUMIFS(Sheet1!S71_MonthlyOutcomeAug,Sheet1!S71_MasterVoteMunicipal,$AC:$AC,Sheet1!S71_A5CapexCode,$AD:$AD)</f>
        <v>0</v>
      </c>
      <c r="E12" s="1356">
        <f>SUMIFS(Sheet1!S71_MonthlyOutcomeSep,Sheet1!S71_MasterVoteMunicipal,$AC:$AC,Sheet1!S71_A5CapexCode,$AD:$AD)</f>
        <v>0</v>
      </c>
      <c r="F12" s="1356">
        <f>SUMIFS(Sheet1!S71_MonthlyOutcomeOct,Sheet1!S71_MasterVoteMunicipal,$AC:$AC,Sheet1!S71_A5CapexCode,$AD:$AD)</f>
        <v>0</v>
      </c>
      <c r="G12" s="1356">
        <f>SUMIFS(Sheet1!S71_MonthlyOutcomeNov,Sheet1!S71_MasterVoteMunicipal,$AC:$AC,Sheet1!S71_A5CapexCode,$AD:$AD)</f>
        <v>0</v>
      </c>
      <c r="H12" s="1361">
        <f>SUMIFS(Sheet1!S71_MonthlyOutcomeDec,Sheet1!S71_MasterVoteMunicipal,$AC:$AC,Sheet1!S71_A5CapexCode,$AD:$AD)</f>
        <v>0</v>
      </c>
      <c r="I12" s="1360">
        <f t="shared" si="7"/>
        <v>0</v>
      </c>
      <c r="J12" s="1356">
        <f t="shared" si="2"/>
        <v>0</v>
      </c>
      <c r="K12" s="1356">
        <f t="shared" si="3"/>
        <v>0</v>
      </c>
      <c r="L12" s="1356">
        <f t="shared" si="4"/>
        <v>0</v>
      </c>
      <c r="M12" s="1356">
        <f t="shared" si="5"/>
        <v>0</v>
      </c>
      <c r="N12" s="506">
        <f t="shared" si="6"/>
        <v>0</v>
      </c>
      <c r="O12" s="538"/>
      <c r="P12" s="238">
        <f>'B5-Capex'!K14</f>
        <v>0</v>
      </c>
      <c r="Q12" s="75">
        <f>'B5-Capex'!L14</f>
        <v>0</v>
      </c>
      <c r="R12" s="76">
        <f>'B5-Capex'!M14</f>
        <v>0</v>
      </c>
      <c r="S12" s="126"/>
      <c r="AC12" s="1336" t="s">
        <v>682</v>
      </c>
      <c r="AD12" s="1336" t="s">
        <v>1846</v>
      </c>
    </row>
    <row r="13" spans="1:30" ht="12.75" customHeight="1" x14ac:dyDescent="0.25">
      <c r="A13" s="127" t="str">
        <f>'B5-Capex'!A15</f>
        <v>Vote 8 - Planning and Development</v>
      </c>
      <c r="B13" s="127"/>
      <c r="C13" s="1360">
        <f>SUMIFS(Sheet1!S71_MonthlyOutcomeJul,Sheet1!S71_MasterVoteMunicipal,$AC:$AC,Sheet1!S71_A5CapexCode,$AD:$AD)</f>
        <v>0</v>
      </c>
      <c r="D13" s="1356">
        <f>SUMIFS(Sheet1!S71_MonthlyOutcomeAug,Sheet1!S71_MasterVoteMunicipal,$AC:$AC,Sheet1!S71_A5CapexCode,$AD:$AD)</f>
        <v>0</v>
      </c>
      <c r="E13" s="1356">
        <f>SUMIFS(Sheet1!S71_MonthlyOutcomeSep,Sheet1!S71_MasterVoteMunicipal,$AC:$AC,Sheet1!S71_A5CapexCode,$AD:$AD)</f>
        <v>0</v>
      </c>
      <c r="F13" s="1356">
        <f>SUMIFS(Sheet1!S71_MonthlyOutcomeOct,Sheet1!S71_MasterVoteMunicipal,$AC:$AC,Sheet1!S71_A5CapexCode,$AD:$AD)</f>
        <v>0</v>
      </c>
      <c r="G13" s="1356">
        <f>SUMIFS(Sheet1!S71_MonthlyOutcomeNov,Sheet1!S71_MasterVoteMunicipal,$AC:$AC,Sheet1!S71_A5CapexCode,$AD:$AD)</f>
        <v>0</v>
      </c>
      <c r="H13" s="1361">
        <f>SUMIFS(Sheet1!S71_MonthlyOutcomeDec,Sheet1!S71_MasterVoteMunicipal,$AC:$AC,Sheet1!S71_A5CapexCode,$AD:$AD)</f>
        <v>0</v>
      </c>
      <c r="I13" s="1360">
        <f t="shared" si="7"/>
        <v>0</v>
      </c>
      <c r="J13" s="1356">
        <f t="shared" si="2"/>
        <v>0</v>
      </c>
      <c r="K13" s="1356">
        <f t="shared" si="3"/>
        <v>0</v>
      </c>
      <c r="L13" s="1356">
        <f t="shared" si="4"/>
        <v>0</v>
      </c>
      <c r="M13" s="1356">
        <f t="shared" si="5"/>
        <v>0</v>
      </c>
      <c r="N13" s="506">
        <f t="shared" si="6"/>
        <v>0</v>
      </c>
      <c r="O13" s="538"/>
      <c r="P13" s="238">
        <f>'B5-Capex'!K15</f>
        <v>0</v>
      </c>
      <c r="Q13" s="75">
        <f>'B5-Capex'!L15</f>
        <v>0</v>
      </c>
      <c r="R13" s="76">
        <f>'B5-Capex'!M15</f>
        <v>0</v>
      </c>
      <c r="S13" s="126"/>
      <c r="AC13" s="1336" t="s">
        <v>683</v>
      </c>
      <c r="AD13" s="1336" t="s">
        <v>1846</v>
      </c>
    </row>
    <row r="14" spans="1:30" ht="12.75" customHeight="1" x14ac:dyDescent="0.25">
      <c r="A14" s="127" t="str">
        <f>'B5-Capex'!A16</f>
        <v>Vote 9 - Sport and Recreation</v>
      </c>
      <c r="B14" s="127"/>
      <c r="C14" s="1360">
        <f>SUMIFS(Sheet1!S71_MonthlyOutcomeJul,Sheet1!S71_MasterVoteMunicipal,$AC:$AC,Sheet1!S71_A5CapexCode,$AD:$AD)</f>
        <v>0</v>
      </c>
      <c r="D14" s="1356">
        <f>SUMIFS(Sheet1!S71_MonthlyOutcomeAug,Sheet1!S71_MasterVoteMunicipal,$AC:$AC,Sheet1!S71_A5CapexCode,$AD:$AD)</f>
        <v>0</v>
      </c>
      <c r="E14" s="1356">
        <f>SUMIFS(Sheet1!S71_MonthlyOutcomeSep,Sheet1!S71_MasterVoteMunicipal,$AC:$AC,Sheet1!S71_A5CapexCode,$AD:$AD)</f>
        <v>0</v>
      </c>
      <c r="F14" s="1356">
        <f>SUMIFS(Sheet1!S71_MonthlyOutcomeOct,Sheet1!S71_MasterVoteMunicipal,$AC:$AC,Sheet1!S71_A5CapexCode,$AD:$AD)</f>
        <v>0</v>
      </c>
      <c r="G14" s="1356">
        <f>SUMIFS(Sheet1!S71_MonthlyOutcomeNov,Sheet1!S71_MasterVoteMunicipal,$AC:$AC,Sheet1!S71_A5CapexCode,$AD:$AD)</f>
        <v>0</v>
      </c>
      <c r="H14" s="1361">
        <f>SUMIFS(Sheet1!S71_MonthlyOutcomeDec,Sheet1!S71_MasterVoteMunicipal,$AC:$AC,Sheet1!S71_A5CapexCode,$AD:$AD)</f>
        <v>0</v>
      </c>
      <c r="I14" s="1360">
        <f t="shared" si="7"/>
        <v>0</v>
      </c>
      <c r="J14" s="1356">
        <f t="shared" si="2"/>
        <v>0</v>
      </c>
      <c r="K14" s="1356">
        <f t="shared" si="3"/>
        <v>0</v>
      </c>
      <c r="L14" s="1356">
        <f t="shared" si="4"/>
        <v>0</v>
      </c>
      <c r="M14" s="1356">
        <f t="shared" si="5"/>
        <v>0</v>
      </c>
      <c r="N14" s="506">
        <f t="shared" si="6"/>
        <v>0</v>
      </c>
      <c r="O14" s="538"/>
      <c r="P14" s="238">
        <f>'B5-Capex'!K16</f>
        <v>0</v>
      </c>
      <c r="Q14" s="75">
        <f>'B5-Capex'!L16</f>
        <v>0</v>
      </c>
      <c r="R14" s="76">
        <f>'B5-Capex'!M16</f>
        <v>0</v>
      </c>
      <c r="S14" s="126"/>
      <c r="AC14" s="1336" t="s">
        <v>684</v>
      </c>
      <c r="AD14" s="1336" t="s">
        <v>1846</v>
      </c>
    </row>
    <row r="15" spans="1:30" ht="12.75" customHeight="1" x14ac:dyDescent="0.25">
      <c r="A15" s="127" t="str">
        <f>'B5-Capex'!A17</f>
        <v>Vote 10 - Public Safety</v>
      </c>
      <c r="B15" s="127"/>
      <c r="C15" s="1360">
        <f>SUMIFS(Sheet1!S71_MonthlyOutcomeJul,Sheet1!S71_MasterVoteMunicipal,$AC:$AC,Sheet1!S71_A5CapexCode,$AD:$AD)</f>
        <v>0</v>
      </c>
      <c r="D15" s="1356">
        <f>SUMIFS(Sheet1!S71_MonthlyOutcomeAug,Sheet1!S71_MasterVoteMunicipal,$AC:$AC,Sheet1!S71_A5CapexCode,$AD:$AD)</f>
        <v>0</v>
      </c>
      <c r="E15" s="1356">
        <f>SUMIFS(Sheet1!S71_MonthlyOutcomeSep,Sheet1!S71_MasterVoteMunicipal,$AC:$AC,Sheet1!S71_A5CapexCode,$AD:$AD)</f>
        <v>0</v>
      </c>
      <c r="F15" s="1356">
        <f>SUMIFS(Sheet1!S71_MonthlyOutcomeOct,Sheet1!S71_MasterVoteMunicipal,$AC:$AC,Sheet1!S71_A5CapexCode,$AD:$AD)</f>
        <v>0</v>
      </c>
      <c r="G15" s="1356">
        <f>SUMIFS(Sheet1!S71_MonthlyOutcomeNov,Sheet1!S71_MasterVoteMunicipal,$AC:$AC,Sheet1!S71_A5CapexCode,$AD:$AD)</f>
        <v>0</v>
      </c>
      <c r="H15" s="1361">
        <f>SUMIFS(Sheet1!S71_MonthlyOutcomeDec,Sheet1!S71_MasterVoteMunicipal,$AC:$AC,Sheet1!S71_A5CapexCode,$AD:$AD)</f>
        <v>0</v>
      </c>
      <c r="I15" s="1360">
        <f t="shared" si="7"/>
        <v>0</v>
      </c>
      <c r="J15" s="1356">
        <f t="shared" si="2"/>
        <v>0</v>
      </c>
      <c r="K15" s="1356">
        <f t="shared" si="3"/>
        <v>0</v>
      </c>
      <c r="L15" s="1356">
        <f t="shared" si="4"/>
        <v>0</v>
      </c>
      <c r="M15" s="1356">
        <f t="shared" si="5"/>
        <v>0</v>
      </c>
      <c r="N15" s="506">
        <f t="shared" si="6"/>
        <v>0</v>
      </c>
      <c r="O15" s="538"/>
      <c r="P15" s="238">
        <f>'B5-Capex'!K17</f>
        <v>0</v>
      </c>
      <c r="Q15" s="75">
        <f>'B5-Capex'!L17</f>
        <v>0</v>
      </c>
      <c r="R15" s="76">
        <f>'B5-Capex'!M17</f>
        <v>0</v>
      </c>
      <c r="S15" s="126"/>
      <c r="AC15" s="1336" t="s">
        <v>685</v>
      </c>
      <c r="AD15" s="1336" t="s">
        <v>1846</v>
      </c>
    </row>
    <row r="16" spans="1:30" ht="12.75" customHeight="1" x14ac:dyDescent="0.25">
      <c r="A16" s="127" t="str">
        <f>'B5-Capex'!A18</f>
        <v>Vote 11 - Other</v>
      </c>
      <c r="B16" s="127"/>
      <c r="C16" s="1360">
        <f>SUMIFS(Sheet1!S71_MonthlyOutcomeJul,Sheet1!S71_MasterVoteMunicipal,$AC:$AC,Sheet1!S71_A5CapexCode,$AD:$AD)</f>
        <v>0</v>
      </c>
      <c r="D16" s="1356">
        <f>SUMIFS(Sheet1!S71_MonthlyOutcomeAug,Sheet1!S71_MasterVoteMunicipal,$AC:$AC,Sheet1!S71_A5CapexCode,$AD:$AD)</f>
        <v>0</v>
      </c>
      <c r="E16" s="1356">
        <f>SUMIFS(Sheet1!S71_MonthlyOutcomeSep,Sheet1!S71_MasterVoteMunicipal,$AC:$AC,Sheet1!S71_A5CapexCode,$AD:$AD)</f>
        <v>0</v>
      </c>
      <c r="F16" s="1356">
        <f>SUMIFS(Sheet1!S71_MonthlyOutcomeOct,Sheet1!S71_MasterVoteMunicipal,$AC:$AC,Sheet1!S71_A5CapexCode,$AD:$AD)</f>
        <v>0</v>
      </c>
      <c r="G16" s="1356">
        <f>SUMIFS(Sheet1!S71_MonthlyOutcomeNov,Sheet1!S71_MasterVoteMunicipal,$AC:$AC,Sheet1!S71_A5CapexCode,$AD:$AD)</f>
        <v>0</v>
      </c>
      <c r="H16" s="1361">
        <f>SUMIFS(Sheet1!S71_MonthlyOutcomeDec,Sheet1!S71_MasterVoteMunicipal,$AC:$AC,Sheet1!S71_A5CapexCode,$AD:$AD)</f>
        <v>0</v>
      </c>
      <c r="I16" s="1360">
        <f t="shared" si="7"/>
        <v>0</v>
      </c>
      <c r="J16" s="1356">
        <f t="shared" si="2"/>
        <v>0</v>
      </c>
      <c r="K16" s="1356">
        <f t="shared" si="3"/>
        <v>0</v>
      </c>
      <c r="L16" s="1356">
        <f t="shared" si="4"/>
        <v>0</v>
      </c>
      <c r="M16" s="1356">
        <f t="shared" si="5"/>
        <v>0</v>
      </c>
      <c r="N16" s="506">
        <f t="shared" si="6"/>
        <v>0</v>
      </c>
      <c r="O16" s="538"/>
      <c r="P16" s="238">
        <f>'B5-Capex'!K18</f>
        <v>0</v>
      </c>
      <c r="Q16" s="75">
        <f>'B5-Capex'!L18</f>
        <v>0</v>
      </c>
      <c r="R16" s="76">
        <f>'B5-Capex'!M18</f>
        <v>0</v>
      </c>
      <c r="S16" s="126"/>
      <c r="AC16" s="1336" t="s">
        <v>686</v>
      </c>
      <c r="AD16" s="1336" t="s">
        <v>1846</v>
      </c>
    </row>
    <row r="17" spans="1:30" ht="12.75" customHeight="1" x14ac:dyDescent="0.25">
      <c r="A17" s="127" t="str">
        <f>'B5-Capex'!A19</f>
        <v>Vote 12 - Waste Management</v>
      </c>
      <c r="B17" s="127"/>
      <c r="C17" s="1360">
        <f>SUMIFS(Sheet1!S71_MonthlyOutcomeJul,Sheet1!S71_MasterVoteMunicipal,$AC:$AC,Sheet1!S71_A5CapexCode,$AD:$AD)</f>
        <v>0</v>
      </c>
      <c r="D17" s="1356">
        <f>SUMIFS(Sheet1!S71_MonthlyOutcomeAug,Sheet1!S71_MasterVoteMunicipal,$AC:$AC,Sheet1!S71_A5CapexCode,$AD:$AD)</f>
        <v>0</v>
      </c>
      <c r="E17" s="1356">
        <f>SUMIFS(Sheet1!S71_MonthlyOutcomeSep,Sheet1!S71_MasterVoteMunicipal,$AC:$AC,Sheet1!S71_A5CapexCode,$AD:$AD)</f>
        <v>0</v>
      </c>
      <c r="F17" s="1356">
        <f>SUMIFS(Sheet1!S71_MonthlyOutcomeOct,Sheet1!S71_MasterVoteMunicipal,$AC:$AC,Sheet1!S71_A5CapexCode,$AD:$AD)</f>
        <v>0</v>
      </c>
      <c r="G17" s="1356">
        <f>SUMIFS(Sheet1!S71_MonthlyOutcomeNov,Sheet1!S71_MasterVoteMunicipal,$AC:$AC,Sheet1!S71_A5CapexCode,$AD:$AD)</f>
        <v>0</v>
      </c>
      <c r="H17" s="1361">
        <f>SUMIFS(Sheet1!S71_MonthlyOutcomeDec,Sheet1!S71_MasterVoteMunicipal,$AC:$AC,Sheet1!S71_A5CapexCode,$AD:$AD)</f>
        <v>0</v>
      </c>
      <c r="I17" s="1360">
        <f t="shared" si="7"/>
        <v>0</v>
      </c>
      <c r="J17" s="1356">
        <f t="shared" si="2"/>
        <v>0</v>
      </c>
      <c r="K17" s="1356">
        <f t="shared" si="3"/>
        <v>0</v>
      </c>
      <c r="L17" s="1356">
        <f t="shared" si="4"/>
        <v>0</v>
      </c>
      <c r="M17" s="1356">
        <f t="shared" si="5"/>
        <v>0</v>
      </c>
      <c r="N17" s="506">
        <f t="shared" si="6"/>
        <v>0</v>
      </c>
      <c r="O17" s="538"/>
      <c r="P17" s="238">
        <f>'B5-Capex'!K19</f>
        <v>0</v>
      </c>
      <c r="Q17" s="75">
        <f>'B5-Capex'!L19</f>
        <v>0</v>
      </c>
      <c r="R17" s="76">
        <f>'B5-Capex'!M19</f>
        <v>0</v>
      </c>
      <c r="S17" s="126"/>
      <c r="AC17" s="1336" t="s">
        <v>687</v>
      </c>
      <c r="AD17" s="1336" t="s">
        <v>1846</v>
      </c>
    </row>
    <row r="18" spans="1:30" ht="12.75" customHeight="1" x14ac:dyDescent="0.25">
      <c r="A18" s="127" t="str">
        <f>'B5-Capex'!A20</f>
        <v>Vote 13 - Housing</v>
      </c>
      <c r="B18" s="127"/>
      <c r="C18" s="1360">
        <f>SUMIFS(Sheet1!S71_MonthlyOutcomeJul,Sheet1!S71_MasterVoteMunicipal,$AC:$AC,Sheet1!S71_A5CapexCode,$AD:$AD)</f>
        <v>0</v>
      </c>
      <c r="D18" s="1356">
        <f>SUMIFS(Sheet1!S71_MonthlyOutcomeAug,Sheet1!S71_MasterVoteMunicipal,$AC:$AC,Sheet1!S71_A5CapexCode,$AD:$AD)</f>
        <v>0</v>
      </c>
      <c r="E18" s="1356">
        <f>SUMIFS(Sheet1!S71_MonthlyOutcomeSep,Sheet1!S71_MasterVoteMunicipal,$AC:$AC,Sheet1!S71_A5CapexCode,$AD:$AD)</f>
        <v>0</v>
      </c>
      <c r="F18" s="1356">
        <f>SUMIFS(Sheet1!S71_MonthlyOutcomeOct,Sheet1!S71_MasterVoteMunicipal,$AC:$AC,Sheet1!S71_A5CapexCode,$AD:$AD)</f>
        <v>0</v>
      </c>
      <c r="G18" s="1356">
        <f>SUMIFS(Sheet1!S71_MonthlyOutcomeNov,Sheet1!S71_MasterVoteMunicipal,$AC:$AC,Sheet1!S71_A5CapexCode,$AD:$AD)</f>
        <v>0</v>
      </c>
      <c r="H18" s="1361">
        <f>SUMIFS(Sheet1!S71_MonthlyOutcomeDec,Sheet1!S71_MasterVoteMunicipal,$AC:$AC,Sheet1!S71_A5CapexCode,$AD:$AD)</f>
        <v>0</v>
      </c>
      <c r="I18" s="1360">
        <f t="shared" si="7"/>
        <v>0</v>
      </c>
      <c r="J18" s="1356">
        <f t="shared" si="2"/>
        <v>0</v>
      </c>
      <c r="K18" s="1356">
        <f t="shared" si="3"/>
        <v>0</v>
      </c>
      <c r="L18" s="1356">
        <f t="shared" si="4"/>
        <v>0</v>
      </c>
      <c r="M18" s="1356">
        <f t="shared" si="5"/>
        <v>0</v>
      </c>
      <c r="N18" s="506">
        <f t="shared" si="6"/>
        <v>0</v>
      </c>
      <c r="O18" s="538"/>
      <c r="P18" s="238">
        <f>'B5-Capex'!K20</f>
        <v>0</v>
      </c>
      <c r="Q18" s="75">
        <f>'B5-Capex'!L20</f>
        <v>0</v>
      </c>
      <c r="R18" s="76">
        <f>'B5-Capex'!M20</f>
        <v>0</v>
      </c>
      <c r="S18" s="126"/>
      <c r="AC18" s="1336" t="s">
        <v>688</v>
      </c>
      <c r="AD18" s="1336" t="s">
        <v>1846</v>
      </c>
    </row>
    <row r="19" spans="1:30" ht="12.75" customHeight="1" x14ac:dyDescent="0.25">
      <c r="A19" s="127" t="str">
        <f>'B5-Capex'!A21</f>
        <v>Vote 14 - Waste Water Management</v>
      </c>
      <c r="B19" s="127"/>
      <c r="C19" s="1360">
        <f>SUMIFS(Sheet1!S71_MonthlyOutcomeJul,Sheet1!S71_MasterVoteMunicipal,$AC:$AC,Sheet1!S71_A5CapexCode,$AD:$AD)</f>
        <v>0</v>
      </c>
      <c r="D19" s="1356">
        <f>SUMIFS(Sheet1!S71_MonthlyOutcomeAug,Sheet1!S71_MasterVoteMunicipal,$AC:$AC,Sheet1!S71_A5CapexCode,$AD:$AD)</f>
        <v>0</v>
      </c>
      <c r="E19" s="1356">
        <f>SUMIFS(Sheet1!S71_MonthlyOutcomeSep,Sheet1!S71_MasterVoteMunicipal,$AC:$AC,Sheet1!S71_A5CapexCode,$AD:$AD)</f>
        <v>0</v>
      </c>
      <c r="F19" s="1356">
        <f>SUMIFS(Sheet1!S71_MonthlyOutcomeOct,Sheet1!S71_MasterVoteMunicipal,$AC:$AC,Sheet1!S71_A5CapexCode,$AD:$AD)</f>
        <v>0</v>
      </c>
      <c r="G19" s="1356">
        <f>SUMIFS(Sheet1!S71_MonthlyOutcomeNov,Sheet1!S71_MasterVoteMunicipal,$AC:$AC,Sheet1!S71_A5CapexCode,$AD:$AD)</f>
        <v>0</v>
      </c>
      <c r="H19" s="1361">
        <f>SUMIFS(Sheet1!S71_MonthlyOutcomeDec,Sheet1!S71_MasterVoteMunicipal,$AC:$AC,Sheet1!S71_A5CapexCode,$AD:$AD)</f>
        <v>0</v>
      </c>
      <c r="I19" s="1360">
        <f t="shared" si="7"/>
        <v>0</v>
      </c>
      <c r="J19" s="1356">
        <f t="shared" si="2"/>
        <v>0</v>
      </c>
      <c r="K19" s="1356">
        <f t="shared" si="3"/>
        <v>0</v>
      </c>
      <c r="L19" s="1356">
        <f t="shared" si="4"/>
        <v>0</v>
      </c>
      <c r="M19" s="1356">
        <f t="shared" si="5"/>
        <v>0</v>
      </c>
      <c r="N19" s="506">
        <f t="shared" si="6"/>
        <v>0</v>
      </c>
      <c r="O19" s="538"/>
      <c r="P19" s="238">
        <f>'B5-Capex'!K21</f>
        <v>0</v>
      </c>
      <c r="Q19" s="75">
        <f>'B5-Capex'!L21</f>
        <v>0</v>
      </c>
      <c r="R19" s="76">
        <f>'B5-Capex'!M21</f>
        <v>0</v>
      </c>
      <c r="S19" s="126"/>
      <c r="AC19" s="1336" t="s">
        <v>689</v>
      </c>
      <c r="AD19" s="1336" t="s">
        <v>1846</v>
      </c>
    </row>
    <row r="20" spans="1:30" ht="12.75" customHeight="1" x14ac:dyDescent="0.25">
      <c r="A20" s="127" t="str">
        <f>'B5-Capex'!A22</f>
        <v>Vote 15 - Health</v>
      </c>
      <c r="B20" s="127"/>
      <c r="C20" s="1360">
        <f>SUMIFS(Sheet1!S71_MonthlyOutcomeJul,Sheet1!S71_MasterVoteMunicipal,$AC:$AC,Sheet1!S71_A5CapexCode,$AD:$AD)</f>
        <v>0</v>
      </c>
      <c r="D20" s="1356">
        <f>SUMIFS(Sheet1!S71_MonthlyOutcomeAug,Sheet1!S71_MasterVoteMunicipal,$AC:$AC,Sheet1!S71_A5CapexCode,$AD:$AD)</f>
        <v>0</v>
      </c>
      <c r="E20" s="1356">
        <f>SUMIFS(Sheet1!S71_MonthlyOutcomeSep,Sheet1!S71_MasterVoteMunicipal,$AC:$AC,Sheet1!S71_A5CapexCode,$AD:$AD)</f>
        <v>0</v>
      </c>
      <c r="F20" s="1356">
        <f>SUMIFS(Sheet1!S71_MonthlyOutcomeOct,Sheet1!S71_MasterVoteMunicipal,$AC:$AC,Sheet1!S71_A5CapexCode,$AD:$AD)</f>
        <v>0</v>
      </c>
      <c r="G20" s="1356">
        <f>SUMIFS(Sheet1!S71_MonthlyOutcomeNov,Sheet1!S71_MasterVoteMunicipal,$AC:$AC,Sheet1!S71_A5CapexCode,$AD:$AD)</f>
        <v>0</v>
      </c>
      <c r="H20" s="1361">
        <f>SUMIFS(Sheet1!S71_MonthlyOutcomeDec,Sheet1!S71_MasterVoteMunicipal,$AC:$AC,Sheet1!S71_A5CapexCode,$AD:$AD)</f>
        <v>0</v>
      </c>
      <c r="I20" s="1360">
        <f t="shared" si="7"/>
        <v>0</v>
      </c>
      <c r="J20" s="1356">
        <f t="shared" si="2"/>
        <v>0</v>
      </c>
      <c r="K20" s="1356">
        <f t="shared" si="3"/>
        <v>0</v>
      </c>
      <c r="L20" s="1356">
        <f t="shared" si="4"/>
        <v>0</v>
      </c>
      <c r="M20" s="1356">
        <f t="shared" si="5"/>
        <v>0</v>
      </c>
      <c r="N20" s="506">
        <f t="shared" si="6"/>
        <v>0</v>
      </c>
      <c r="O20" s="538"/>
      <c r="P20" s="238">
        <f>'B5-Capex'!K22</f>
        <v>0</v>
      </c>
      <c r="Q20" s="75">
        <f>'B5-Capex'!L22</f>
        <v>0</v>
      </c>
      <c r="R20" s="76">
        <f>'B5-Capex'!M22</f>
        <v>0</v>
      </c>
      <c r="S20" s="126"/>
      <c r="AC20" s="1336" t="s">
        <v>690</v>
      </c>
      <c r="AD20" s="1336" t="s">
        <v>1846</v>
      </c>
    </row>
    <row r="21" spans="1:30" ht="12.75" customHeight="1" x14ac:dyDescent="0.25">
      <c r="A21" s="749" t="s">
        <v>475</v>
      </c>
      <c r="B21" s="73">
        <v>3</v>
      </c>
      <c r="C21" s="569">
        <f t="shared" ref="C21:R21" si="8">SUM(C6:C20)</f>
        <v>0</v>
      </c>
      <c r="D21" s="570">
        <f t="shared" si="8"/>
        <v>0</v>
      </c>
      <c r="E21" s="570">
        <f t="shared" si="8"/>
        <v>0</v>
      </c>
      <c r="F21" s="570">
        <f t="shared" si="8"/>
        <v>0</v>
      </c>
      <c r="G21" s="570">
        <f t="shared" si="8"/>
        <v>0</v>
      </c>
      <c r="H21" s="571">
        <f t="shared" si="8"/>
        <v>0</v>
      </c>
      <c r="I21" s="572">
        <f t="shared" si="8"/>
        <v>0</v>
      </c>
      <c r="J21" s="570">
        <f t="shared" si="8"/>
        <v>0</v>
      </c>
      <c r="K21" s="570">
        <f t="shared" si="8"/>
        <v>0</v>
      </c>
      <c r="L21" s="570">
        <f t="shared" si="8"/>
        <v>0</v>
      </c>
      <c r="M21" s="571">
        <f t="shared" si="8"/>
        <v>0</v>
      </c>
      <c r="N21" s="573">
        <f t="shared" si="8"/>
        <v>0</v>
      </c>
      <c r="O21" s="574">
        <f t="shared" si="8"/>
        <v>0</v>
      </c>
      <c r="P21" s="575">
        <f t="shared" si="8"/>
        <v>0</v>
      </c>
      <c r="Q21" s="576">
        <f t="shared" si="8"/>
        <v>0</v>
      </c>
      <c r="R21" s="573">
        <f t="shared" si="8"/>
        <v>0</v>
      </c>
      <c r="S21" s="126"/>
    </row>
    <row r="22" spans="1:30" ht="3.75" customHeight="1" x14ac:dyDescent="0.25">
      <c r="A22" s="134"/>
      <c r="B22" s="73"/>
      <c r="C22" s="74"/>
      <c r="D22" s="75"/>
      <c r="E22" s="75"/>
      <c r="F22" s="75"/>
      <c r="G22" s="75"/>
      <c r="H22" s="506"/>
      <c r="I22" s="238"/>
      <c r="J22" s="75"/>
      <c r="K22" s="75"/>
      <c r="L22" s="75"/>
      <c r="M22" s="506"/>
      <c r="N22" s="76">
        <f>SUM(N7:N21)</f>
        <v>0</v>
      </c>
      <c r="O22" s="538">
        <f>SUM(O7:O21)</f>
        <v>0</v>
      </c>
      <c r="P22" s="238">
        <f>SUM(P7:P21)</f>
        <v>0</v>
      </c>
      <c r="Q22" s="75">
        <f>SUM(Q7:Q21)</f>
        <v>0</v>
      </c>
      <c r="R22" s="76">
        <f>SUM(R7:R21)</f>
        <v>0</v>
      </c>
      <c r="S22" s="126"/>
    </row>
    <row r="23" spans="1:30" ht="12.75" customHeight="1" x14ac:dyDescent="0.25">
      <c r="A23" s="72" t="s">
        <v>1097</v>
      </c>
      <c r="B23" s="127"/>
      <c r="C23" s="577"/>
      <c r="D23" s="171"/>
      <c r="E23" s="171"/>
      <c r="F23" s="171"/>
      <c r="G23" s="171"/>
      <c r="H23" s="578"/>
      <c r="I23" s="577"/>
      <c r="J23" s="171"/>
      <c r="K23" s="171"/>
      <c r="L23" s="171"/>
      <c r="M23" s="171"/>
      <c r="N23" s="456"/>
      <c r="O23" s="538"/>
      <c r="P23" s="238"/>
      <c r="Q23" s="75"/>
      <c r="R23" s="76"/>
      <c r="S23" s="126"/>
    </row>
    <row r="24" spans="1:30" ht="12.75" customHeight="1" x14ac:dyDescent="0.25">
      <c r="A24" s="127" t="str">
        <f t="shared" ref="A24:A38" si="9">A6</f>
        <v>Vote 1 - Finance and Administration</v>
      </c>
      <c r="B24" s="127"/>
      <c r="C24" s="1360">
        <f>SUMIFS(Sheet1!S71_MonthlyOutcomeJul,Sheet1!S71_MasterVoteMunicipal,$AC:$AC,Sheet1!S71_A5CapexCode,$AD:$AD)</f>
        <v>0</v>
      </c>
      <c r="D24" s="1356">
        <f>SUMIFS(Sheet1!S71_MonthlyOutcomeAug,Sheet1!S71_MasterVoteMunicipal,$AC:$AC,Sheet1!S71_A5CapexCode,$AD:$AD)</f>
        <v>92825.94</v>
      </c>
      <c r="E24" s="1356">
        <f>SUMIFS(Sheet1!S71_MonthlyOutcomeSep,Sheet1!S71_MasterVoteMunicipal,$AC:$AC,Sheet1!S71_A5CapexCode,$AD:$AD)</f>
        <v>2800</v>
      </c>
      <c r="F24" s="1356">
        <f>SUMIFS(Sheet1!S71_MonthlyOutcomeOct,Sheet1!S71_MasterVoteMunicipal,$AC:$AC,Sheet1!S71_A5CapexCode,$AD:$AD)</f>
        <v>11688</v>
      </c>
      <c r="G24" s="1356">
        <f>SUMIFS(Sheet1!S71_MonthlyOutcomeNov,Sheet1!S71_MasterVoteMunicipal,$AC:$AC,Sheet1!S71_A5CapexCode,$AD:$AD)</f>
        <v>61402</v>
      </c>
      <c r="H24" s="1361">
        <f>SUMIFS(Sheet1!S71_MonthlyOutcomeDec,Sheet1!S71_MasterVoteMunicipal,$AC:$AC,Sheet1!S71_A5CapexCode,$AD:$AD)</f>
        <v>1071196</v>
      </c>
      <c r="I24" s="1360">
        <f t="shared" ref="I24:I38" si="10">(P24-SUM(C24:H24))/6</f>
        <v>330339.84333333332</v>
      </c>
      <c r="J24" s="1356">
        <f t="shared" ref="J24:J38" si="11">(P24-SUM(C24:H24))/6</f>
        <v>330339.84333333332</v>
      </c>
      <c r="K24" s="1356">
        <f t="shared" ref="K24:K38" si="12">(P24-SUM(C24:H24))/6</f>
        <v>330339.84333333332</v>
      </c>
      <c r="L24" s="1356">
        <f t="shared" ref="L24:L38" si="13">(P24-SUM(C24:H24))/6</f>
        <v>330339.84333333332</v>
      </c>
      <c r="M24" s="1356">
        <f t="shared" ref="M24:M38" si="14">(P24-SUM(C24:H24))/6</f>
        <v>330339.84333333332</v>
      </c>
      <c r="N24" s="506">
        <f t="shared" ref="N24:N38" si="15">P24-SUM(C24:M24)</f>
        <v>330339.84333333373</v>
      </c>
      <c r="O24" s="538"/>
      <c r="P24" s="238">
        <f>'B5-Capex'!K26</f>
        <v>3221951</v>
      </c>
      <c r="Q24" s="75">
        <f>'B5-Capex'!L26</f>
        <v>14000000</v>
      </c>
      <c r="R24" s="76">
        <f>'B5-Capex'!M26</f>
        <v>6600000</v>
      </c>
      <c r="S24" s="126"/>
      <c r="AC24" s="1336">
        <v>1</v>
      </c>
      <c r="AD24" s="1336" t="s">
        <v>1846</v>
      </c>
    </row>
    <row r="25" spans="1:30" ht="12.75" customHeight="1" x14ac:dyDescent="0.25">
      <c r="A25" s="127" t="str">
        <f t="shared" si="9"/>
        <v>Vote 2 - Finance and Administration2</v>
      </c>
      <c r="B25" s="127"/>
      <c r="C25" s="1360">
        <f>SUMIFS(Sheet1!S71_MonthlyOutcomeJul,Sheet1!S71_MasterVoteMunicipal,$AC:$AC,Sheet1!S71_A5CapexCode,$AD:$AD)</f>
        <v>0</v>
      </c>
      <c r="D25" s="1356">
        <f>SUMIFS(Sheet1!S71_MonthlyOutcomeAug,Sheet1!S71_MasterVoteMunicipal,$AC:$AC,Sheet1!S71_A5CapexCode,$AD:$AD)</f>
        <v>0</v>
      </c>
      <c r="E25" s="1356">
        <f>SUMIFS(Sheet1!S71_MonthlyOutcomeSep,Sheet1!S71_MasterVoteMunicipal,$AC:$AC,Sheet1!S71_A5CapexCode,$AD:$AD)</f>
        <v>0</v>
      </c>
      <c r="F25" s="1356">
        <f>SUMIFS(Sheet1!S71_MonthlyOutcomeOct,Sheet1!S71_MasterVoteMunicipal,$AC:$AC,Sheet1!S71_A5CapexCode,$AD:$AD)</f>
        <v>0</v>
      </c>
      <c r="G25" s="1356">
        <f>SUMIFS(Sheet1!S71_MonthlyOutcomeNov,Sheet1!S71_MasterVoteMunicipal,$AC:$AC,Sheet1!S71_A5CapexCode,$AD:$AD)</f>
        <v>0</v>
      </c>
      <c r="H25" s="1361">
        <f>SUMIFS(Sheet1!S71_MonthlyOutcomeDec,Sheet1!S71_MasterVoteMunicipal,$AC:$AC,Sheet1!S71_A5CapexCode,$AD:$AD)</f>
        <v>0</v>
      </c>
      <c r="I25" s="1360">
        <f t="shared" si="10"/>
        <v>0</v>
      </c>
      <c r="J25" s="1356">
        <f t="shared" si="11"/>
        <v>0</v>
      </c>
      <c r="K25" s="1356">
        <f t="shared" si="12"/>
        <v>0</v>
      </c>
      <c r="L25" s="1356">
        <f t="shared" si="13"/>
        <v>0</v>
      </c>
      <c r="M25" s="1356">
        <f t="shared" si="14"/>
        <v>0</v>
      </c>
      <c r="N25" s="506">
        <f t="shared" si="15"/>
        <v>0</v>
      </c>
      <c r="O25" s="538"/>
      <c r="P25" s="238">
        <f>'B5-Capex'!K27</f>
        <v>0</v>
      </c>
      <c r="Q25" s="75">
        <f>'B5-Capex'!L27</f>
        <v>0</v>
      </c>
      <c r="R25" s="76">
        <f>'B5-Capex'!M27</f>
        <v>0</v>
      </c>
      <c r="S25" s="126"/>
      <c r="AC25" s="1336">
        <v>2</v>
      </c>
      <c r="AD25" s="1336" t="s">
        <v>1846</v>
      </c>
    </row>
    <row r="26" spans="1:30" ht="12.75" customHeight="1" x14ac:dyDescent="0.25">
      <c r="A26" s="127" t="str">
        <f t="shared" si="9"/>
        <v>Vote 3 - Executive and Council</v>
      </c>
      <c r="B26" s="127"/>
      <c r="C26" s="1360">
        <f>SUMIFS(Sheet1!S71_MonthlyOutcomeJul,Sheet1!S71_MasterVoteMunicipal,$AC:$AC,Sheet1!S71_A5CapexCode,$AD:$AD)</f>
        <v>0</v>
      </c>
      <c r="D26" s="1356">
        <f>SUMIFS(Sheet1!S71_MonthlyOutcomeAug,Sheet1!S71_MasterVoteMunicipal,$AC:$AC,Sheet1!S71_A5CapexCode,$AD:$AD)</f>
        <v>0</v>
      </c>
      <c r="E26" s="1356">
        <f>SUMIFS(Sheet1!S71_MonthlyOutcomeSep,Sheet1!S71_MasterVoteMunicipal,$AC:$AC,Sheet1!S71_A5CapexCode,$AD:$AD)</f>
        <v>0</v>
      </c>
      <c r="F26" s="1356">
        <f>SUMIFS(Sheet1!S71_MonthlyOutcomeOct,Sheet1!S71_MasterVoteMunicipal,$AC:$AC,Sheet1!S71_A5CapexCode,$AD:$AD)</f>
        <v>0</v>
      </c>
      <c r="G26" s="1356">
        <f>SUMIFS(Sheet1!S71_MonthlyOutcomeNov,Sheet1!S71_MasterVoteMunicipal,$AC:$AC,Sheet1!S71_A5CapexCode,$AD:$AD)</f>
        <v>0</v>
      </c>
      <c r="H26" s="1361">
        <f>SUMIFS(Sheet1!S71_MonthlyOutcomeDec,Sheet1!S71_MasterVoteMunicipal,$AC:$AC,Sheet1!S71_A5CapexCode,$AD:$AD)</f>
        <v>0</v>
      </c>
      <c r="I26" s="1360">
        <f t="shared" si="10"/>
        <v>0</v>
      </c>
      <c r="J26" s="1356">
        <f t="shared" si="11"/>
        <v>0</v>
      </c>
      <c r="K26" s="1356">
        <f t="shared" si="12"/>
        <v>0</v>
      </c>
      <c r="L26" s="1356">
        <f t="shared" si="13"/>
        <v>0</v>
      </c>
      <c r="M26" s="1356">
        <f t="shared" si="14"/>
        <v>0</v>
      </c>
      <c r="N26" s="506">
        <f t="shared" si="15"/>
        <v>0</v>
      </c>
      <c r="O26" s="538"/>
      <c r="P26" s="238">
        <f>'B5-Capex'!K28</f>
        <v>0</v>
      </c>
      <c r="Q26" s="75">
        <f>'B5-Capex'!L28</f>
        <v>0</v>
      </c>
      <c r="R26" s="76">
        <f>'B5-Capex'!M28</f>
        <v>0</v>
      </c>
      <c r="S26" s="126"/>
      <c r="AC26" s="1336">
        <v>3</v>
      </c>
      <c r="AD26" s="1336" t="s">
        <v>1846</v>
      </c>
    </row>
    <row r="27" spans="1:30" ht="12.75" customHeight="1" x14ac:dyDescent="0.25">
      <c r="A27" s="127" t="str">
        <f t="shared" si="9"/>
        <v>Vote 4 - Community and Social Services</v>
      </c>
      <c r="B27" s="127"/>
      <c r="C27" s="1360">
        <f>SUMIFS(Sheet1!S71_MonthlyOutcomeJul,Sheet1!S71_MasterVoteMunicipal,$AC:$AC,Sheet1!S71_A5CapexCode,$AD:$AD)</f>
        <v>362920.5</v>
      </c>
      <c r="D27" s="1356">
        <f>SUMIFS(Sheet1!S71_MonthlyOutcomeAug,Sheet1!S71_MasterVoteMunicipal,$AC:$AC,Sheet1!S71_A5CapexCode,$AD:$AD)</f>
        <v>0</v>
      </c>
      <c r="E27" s="1356">
        <f>SUMIFS(Sheet1!S71_MonthlyOutcomeSep,Sheet1!S71_MasterVoteMunicipal,$AC:$AC,Sheet1!S71_A5CapexCode,$AD:$AD)</f>
        <v>477757.41</v>
      </c>
      <c r="F27" s="1356">
        <f>SUMIFS(Sheet1!S71_MonthlyOutcomeOct,Sheet1!S71_MasterVoteMunicipal,$AC:$AC,Sheet1!S71_A5CapexCode,$AD:$AD)</f>
        <v>124174.8</v>
      </c>
      <c r="G27" s="1356">
        <f>SUMIFS(Sheet1!S71_MonthlyOutcomeNov,Sheet1!S71_MasterVoteMunicipal,$AC:$AC,Sheet1!S71_A5CapexCode,$AD:$AD)</f>
        <v>0</v>
      </c>
      <c r="H27" s="1361">
        <f>SUMIFS(Sheet1!S71_MonthlyOutcomeDec,Sheet1!S71_MasterVoteMunicipal,$AC:$AC,Sheet1!S71_A5CapexCode,$AD:$AD)</f>
        <v>0</v>
      </c>
      <c r="I27" s="1360">
        <f t="shared" si="10"/>
        <v>180124.215</v>
      </c>
      <c r="J27" s="1356">
        <f t="shared" si="11"/>
        <v>180124.215</v>
      </c>
      <c r="K27" s="1356">
        <f t="shared" si="12"/>
        <v>180124.215</v>
      </c>
      <c r="L27" s="1356">
        <f t="shared" si="13"/>
        <v>180124.215</v>
      </c>
      <c r="M27" s="1356">
        <f t="shared" si="14"/>
        <v>180124.215</v>
      </c>
      <c r="N27" s="506">
        <f t="shared" si="15"/>
        <v>180124.21499999962</v>
      </c>
      <c r="O27" s="538"/>
      <c r="P27" s="238">
        <f>'B5-Capex'!K29</f>
        <v>2045598</v>
      </c>
      <c r="Q27" s="75">
        <f>'B5-Capex'!L29</f>
        <v>0</v>
      </c>
      <c r="R27" s="76">
        <f>'B5-Capex'!M29</f>
        <v>0</v>
      </c>
      <c r="S27" s="126"/>
      <c r="AC27" s="1336">
        <v>4</v>
      </c>
      <c r="AD27" s="1336" t="s">
        <v>1846</v>
      </c>
    </row>
    <row r="28" spans="1:30" ht="12.75" customHeight="1" x14ac:dyDescent="0.25">
      <c r="A28" s="127" t="str">
        <f t="shared" si="9"/>
        <v>Vote 5 - Community and Social Services2</v>
      </c>
      <c r="B28" s="127"/>
      <c r="C28" s="1360">
        <f>SUMIFS(Sheet1!S71_MonthlyOutcomeJul,Sheet1!S71_MasterVoteMunicipal,$AC:$AC,Sheet1!S71_A5CapexCode,$AD:$AD)</f>
        <v>1100798.95</v>
      </c>
      <c r="D28" s="1356">
        <f>SUMIFS(Sheet1!S71_MonthlyOutcomeAug,Sheet1!S71_MasterVoteMunicipal,$AC:$AC,Sheet1!S71_A5CapexCode,$AD:$AD)</f>
        <v>362661.84</v>
      </c>
      <c r="E28" s="1356">
        <f>SUMIFS(Sheet1!S71_MonthlyOutcomeSep,Sheet1!S71_MasterVoteMunicipal,$AC:$AC,Sheet1!S71_A5CapexCode,$AD:$AD)</f>
        <v>331712.01</v>
      </c>
      <c r="F28" s="1356">
        <f>SUMIFS(Sheet1!S71_MonthlyOutcomeOct,Sheet1!S71_MasterVoteMunicipal,$AC:$AC,Sheet1!S71_A5CapexCode,$AD:$AD)</f>
        <v>0</v>
      </c>
      <c r="G28" s="1356">
        <f>SUMIFS(Sheet1!S71_MonthlyOutcomeNov,Sheet1!S71_MasterVoteMunicipal,$AC:$AC,Sheet1!S71_A5CapexCode,$AD:$AD)</f>
        <v>337339.37</v>
      </c>
      <c r="H28" s="1361">
        <f>SUMIFS(Sheet1!S71_MonthlyOutcomeDec,Sheet1!S71_MasterVoteMunicipal,$AC:$AC,Sheet1!S71_A5CapexCode,$AD:$AD)</f>
        <v>289654.73</v>
      </c>
      <c r="I28" s="1360">
        <f t="shared" si="10"/>
        <v>1166300.6833333333</v>
      </c>
      <c r="J28" s="1356">
        <f t="shared" si="11"/>
        <v>1166300.6833333333</v>
      </c>
      <c r="K28" s="1356">
        <f t="shared" si="12"/>
        <v>1166300.6833333333</v>
      </c>
      <c r="L28" s="1356">
        <f t="shared" si="13"/>
        <v>1166300.6833333333</v>
      </c>
      <c r="M28" s="1356">
        <f t="shared" si="14"/>
        <v>1166300.6833333333</v>
      </c>
      <c r="N28" s="506">
        <f t="shared" si="15"/>
        <v>1166300.6833333327</v>
      </c>
      <c r="O28" s="538"/>
      <c r="P28" s="238">
        <f>'B5-Capex'!K30</f>
        <v>9419971</v>
      </c>
      <c r="Q28" s="75">
        <f>'B5-Capex'!L30</f>
        <v>0</v>
      </c>
      <c r="R28" s="76">
        <f>'B5-Capex'!M30</f>
        <v>0</v>
      </c>
      <c r="S28" s="126"/>
      <c r="AC28" s="1336">
        <v>5</v>
      </c>
      <c r="AD28" s="1336" t="s">
        <v>1846</v>
      </c>
    </row>
    <row r="29" spans="1:30" ht="12.75" customHeight="1" x14ac:dyDescent="0.25">
      <c r="A29" s="127" t="str">
        <f t="shared" si="9"/>
        <v>Vote 6 - Energy Sources</v>
      </c>
      <c r="B29" s="127"/>
      <c r="C29" s="1360">
        <f>SUMIFS(Sheet1!S71_MonthlyOutcomeJul,Sheet1!S71_MasterVoteMunicipal,$AC:$AC,Sheet1!S71_A5CapexCode,$AD:$AD)</f>
        <v>0</v>
      </c>
      <c r="D29" s="1356">
        <f>SUMIFS(Sheet1!S71_MonthlyOutcomeAug,Sheet1!S71_MasterVoteMunicipal,$AC:$AC,Sheet1!S71_A5CapexCode,$AD:$AD)</f>
        <v>0</v>
      </c>
      <c r="E29" s="1356">
        <f>SUMIFS(Sheet1!S71_MonthlyOutcomeSep,Sheet1!S71_MasterVoteMunicipal,$AC:$AC,Sheet1!S71_A5CapexCode,$AD:$AD)</f>
        <v>0</v>
      </c>
      <c r="F29" s="1356">
        <f>SUMIFS(Sheet1!S71_MonthlyOutcomeOct,Sheet1!S71_MasterVoteMunicipal,$AC:$AC,Sheet1!S71_A5CapexCode,$AD:$AD)</f>
        <v>0</v>
      </c>
      <c r="G29" s="1356">
        <f>SUMIFS(Sheet1!S71_MonthlyOutcomeNov,Sheet1!S71_MasterVoteMunicipal,$AC:$AC,Sheet1!S71_A5CapexCode,$AD:$AD)</f>
        <v>0</v>
      </c>
      <c r="H29" s="1361">
        <f>SUMIFS(Sheet1!S71_MonthlyOutcomeDec,Sheet1!S71_MasterVoteMunicipal,$AC:$AC,Sheet1!S71_A5CapexCode,$AD:$AD)</f>
        <v>0</v>
      </c>
      <c r="I29" s="1360">
        <f t="shared" si="10"/>
        <v>0</v>
      </c>
      <c r="J29" s="1356">
        <f t="shared" si="11"/>
        <v>0</v>
      </c>
      <c r="K29" s="1356">
        <f t="shared" si="12"/>
        <v>0</v>
      </c>
      <c r="L29" s="1356">
        <f t="shared" si="13"/>
        <v>0</v>
      </c>
      <c r="M29" s="1356">
        <f t="shared" si="14"/>
        <v>0</v>
      </c>
      <c r="N29" s="506">
        <f t="shared" si="15"/>
        <v>0</v>
      </c>
      <c r="O29" s="538"/>
      <c r="P29" s="238">
        <f>'B5-Capex'!K31</f>
        <v>0</v>
      </c>
      <c r="Q29" s="75">
        <f>'B5-Capex'!L31</f>
        <v>0</v>
      </c>
      <c r="R29" s="76">
        <f>'B5-Capex'!M31</f>
        <v>0</v>
      </c>
      <c r="S29" s="126"/>
      <c r="AC29" s="1336">
        <v>6</v>
      </c>
      <c r="AD29" s="1336" t="s">
        <v>1846</v>
      </c>
    </row>
    <row r="30" spans="1:30" ht="12.75" customHeight="1" x14ac:dyDescent="0.25">
      <c r="A30" s="127" t="str">
        <f t="shared" si="9"/>
        <v>Vote 7 - Road Transport</v>
      </c>
      <c r="B30" s="127"/>
      <c r="C30" s="1360">
        <f>SUMIFS(Sheet1!S71_MonthlyOutcomeJul,Sheet1!S71_MasterVoteMunicipal,$AC:$AC,Sheet1!S71_A5CapexCode,$AD:$AD)</f>
        <v>4809527.17</v>
      </c>
      <c r="D30" s="1356">
        <f>SUMIFS(Sheet1!S71_MonthlyOutcomeAug,Sheet1!S71_MasterVoteMunicipal,$AC:$AC,Sheet1!S71_A5CapexCode,$AD:$AD)</f>
        <v>0</v>
      </c>
      <c r="E30" s="1356">
        <f>SUMIFS(Sheet1!S71_MonthlyOutcomeSep,Sheet1!S71_MasterVoteMunicipal,$AC:$AC,Sheet1!S71_A5CapexCode,$AD:$AD)</f>
        <v>486727.25</v>
      </c>
      <c r="F30" s="1356">
        <f>SUMIFS(Sheet1!S71_MonthlyOutcomeOct,Sheet1!S71_MasterVoteMunicipal,$AC:$AC,Sheet1!S71_A5CapexCode,$AD:$AD)</f>
        <v>5760736.8300000001</v>
      </c>
      <c r="G30" s="1356">
        <f>SUMIFS(Sheet1!S71_MonthlyOutcomeNov,Sheet1!S71_MasterVoteMunicipal,$AC:$AC,Sheet1!S71_A5CapexCode,$AD:$AD)</f>
        <v>3775227.74</v>
      </c>
      <c r="H30" s="1361">
        <f>SUMIFS(Sheet1!S71_MonthlyOutcomeDec,Sheet1!S71_MasterVoteMunicipal,$AC:$AC,Sheet1!S71_A5CapexCode,$AD:$AD)</f>
        <v>2670097.5</v>
      </c>
      <c r="I30" s="1360">
        <f t="shared" si="10"/>
        <v>262108.58499999964</v>
      </c>
      <c r="J30" s="1356">
        <f t="shared" si="11"/>
        <v>262108.58499999964</v>
      </c>
      <c r="K30" s="1356">
        <f t="shared" si="12"/>
        <v>262108.58499999964</v>
      </c>
      <c r="L30" s="1356">
        <f t="shared" si="13"/>
        <v>262108.58499999964</v>
      </c>
      <c r="M30" s="1356">
        <f t="shared" si="14"/>
        <v>262108.58499999964</v>
      </c>
      <c r="N30" s="506">
        <f t="shared" si="15"/>
        <v>262108.58499999344</v>
      </c>
      <c r="O30" s="538"/>
      <c r="P30" s="238">
        <f>'B5-Capex'!K32</f>
        <v>19074968</v>
      </c>
      <c r="Q30" s="75">
        <f>'B5-Capex'!L32</f>
        <v>18227000</v>
      </c>
      <c r="R30" s="76">
        <f>'B5-Capex'!M32</f>
        <v>17781000</v>
      </c>
      <c r="S30" s="126"/>
      <c r="AC30" s="1336">
        <v>7</v>
      </c>
      <c r="AD30" s="1336" t="s">
        <v>1846</v>
      </c>
    </row>
    <row r="31" spans="1:30" ht="12.75" customHeight="1" x14ac:dyDescent="0.25">
      <c r="A31" s="127" t="str">
        <f t="shared" si="9"/>
        <v>Vote 8 - Planning and Development</v>
      </c>
      <c r="B31" s="127"/>
      <c r="C31" s="1360">
        <f>SUMIFS(Sheet1!S71_MonthlyOutcomeJul,Sheet1!S71_MasterVoteMunicipal,$AC:$AC,Sheet1!S71_A5CapexCode,$AD:$AD)</f>
        <v>0</v>
      </c>
      <c r="D31" s="1356">
        <f>SUMIFS(Sheet1!S71_MonthlyOutcomeAug,Sheet1!S71_MasterVoteMunicipal,$AC:$AC,Sheet1!S71_A5CapexCode,$AD:$AD)</f>
        <v>0</v>
      </c>
      <c r="E31" s="1356">
        <f>SUMIFS(Sheet1!S71_MonthlyOutcomeSep,Sheet1!S71_MasterVoteMunicipal,$AC:$AC,Sheet1!S71_A5CapexCode,$AD:$AD)</f>
        <v>0</v>
      </c>
      <c r="F31" s="1356">
        <f>SUMIFS(Sheet1!S71_MonthlyOutcomeOct,Sheet1!S71_MasterVoteMunicipal,$AC:$AC,Sheet1!S71_A5CapexCode,$AD:$AD)</f>
        <v>0</v>
      </c>
      <c r="G31" s="1356">
        <f>SUMIFS(Sheet1!S71_MonthlyOutcomeNov,Sheet1!S71_MasterVoteMunicipal,$AC:$AC,Sheet1!S71_A5CapexCode,$AD:$AD)</f>
        <v>0</v>
      </c>
      <c r="H31" s="1361">
        <f>SUMIFS(Sheet1!S71_MonthlyOutcomeDec,Sheet1!S71_MasterVoteMunicipal,$AC:$AC,Sheet1!S71_A5CapexCode,$AD:$AD)</f>
        <v>0</v>
      </c>
      <c r="I31" s="1360">
        <f t="shared" si="10"/>
        <v>0</v>
      </c>
      <c r="J31" s="1356">
        <f t="shared" si="11"/>
        <v>0</v>
      </c>
      <c r="K31" s="1356">
        <f t="shared" si="12"/>
        <v>0</v>
      </c>
      <c r="L31" s="1356">
        <f t="shared" si="13"/>
        <v>0</v>
      </c>
      <c r="M31" s="1356">
        <f t="shared" si="14"/>
        <v>0</v>
      </c>
      <c r="N31" s="506">
        <f t="shared" si="15"/>
        <v>0</v>
      </c>
      <c r="O31" s="538"/>
      <c r="P31" s="238">
        <f>'B5-Capex'!K33</f>
        <v>0</v>
      </c>
      <c r="Q31" s="75">
        <f>'B5-Capex'!L33</f>
        <v>0</v>
      </c>
      <c r="R31" s="76">
        <f>'B5-Capex'!M33</f>
        <v>0</v>
      </c>
      <c r="S31" s="126"/>
      <c r="AC31" s="1336">
        <v>8</v>
      </c>
      <c r="AD31" s="1336" t="s">
        <v>1846</v>
      </c>
    </row>
    <row r="32" spans="1:30" ht="12.75" customHeight="1" x14ac:dyDescent="0.25">
      <c r="A32" s="127" t="str">
        <f t="shared" si="9"/>
        <v>Vote 9 - Sport and Recreation</v>
      </c>
      <c r="B32" s="127"/>
      <c r="C32" s="1360">
        <f>SUMIFS(Sheet1!S71_MonthlyOutcomeJul,Sheet1!S71_MasterVoteMunicipal,$AC:$AC,Sheet1!S71_A5CapexCode,$AD:$AD)</f>
        <v>0</v>
      </c>
      <c r="D32" s="1356">
        <f>SUMIFS(Sheet1!S71_MonthlyOutcomeAug,Sheet1!S71_MasterVoteMunicipal,$AC:$AC,Sheet1!S71_A5CapexCode,$AD:$AD)</f>
        <v>0</v>
      </c>
      <c r="E32" s="1356">
        <f>SUMIFS(Sheet1!S71_MonthlyOutcomeSep,Sheet1!S71_MasterVoteMunicipal,$AC:$AC,Sheet1!S71_A5CapexCode,$AD:$AD)</f>
        <v>0</v>
      </c>
      <c r="F32" s="1356">
        <f>SUMIFS(Sheet1!S71_MonthlyOutcomeOct,Sheet1!S71_MasterVoteMunicipal,$AC:$AC,Sheet1!S71_A5CapexCode,$AD:$AD)</f>
        <v>0</v>
      </c>
      <c r="G32" s="1356">
        <f>SUMIFS(Sheet1!S71_MonthlyOutcomeNov,Sheet1!S71_MasterVoteMunicipal,$AC:$AC,Sheet1!S71_A5CapexCode,$AD:$AD)</f>
        <v>0</v>
      </c>
      <c r="H32" s="1361">
        <f>SUMIFS(Sheet1!S71_MonthlyOutcomeDec,Sheet1!S71_MasterVoteMunicipal,$AC:$AC,Sheet1!S71_A5CapexCode,$AD:$AD)</f>
        <v>0</v>
      </c>
      <c r="I32" s="1360">
        <f t="shared" si="10"/>
        <v>0</v>
      </c>
      <c r="J32" s="1356">
        <f t="shared" si="11"/>
        <v>0</v>
      </c>
      <c r="K32" s="1356">
        <f t="shared" si="12"/>
        <v>0</v>
      </c>
      <c r="L32" s="1356">
        <f t="shared" si="13"/>
        <v>0</v>
      </c>
      <c r="M32" s="1356">
        <f t="shared" si="14"/>
        <v>0</v>
      </c>
      <c r="N32" s="506">
        <f t="shared" si="15"/>
        <v>0</v>
      </c>
      <c r="O32" s="538"/>
      <c r="P32" s="238">
        <f>'B5-Capex'!K34</f>
        <v>0</v>
      </c>
      <c r="Q32" s="75">
        <f>'B5-Capex'!L34</f>
        <v>0</v>
      </c>
      <c r="R32" s="76">
        <f>'B5-Capex'!M34</f>
        <v>0</v>
      </c>
      <c r="S32" s="126"/>
      <c r="AC32" s="1336">
        <v>9</v>
      </c>
      <c r="AD32" s="1336" t="s">
        <v>1846</v>
      </c>
    </row>
    <row r="33" spans="1:30" ht="12.75" customHeight="1" x14ac:dyDescent="0.25">
      <c r="A33" s="127" t="str">
        <f t="shared" si="9"/>
        <v>Vote 10 - Public Safety</v>
      </c>
      <c r="B33" s="127"/>
      <c r="C33" s="1360">
        <f>SUMIFS(Sheet1!S71_MonthlyOutcomeJul,Sheet1!S71_MasterVoteMunicipal,$AC:$AC,Sheet1!S71_A5CapexCode,$AD:$AD)</f>
        <v>0</v>
      </c>
      <c r="D33" s="1356">
        <f>SUMIFS(Sheet1!S71_MonthlyOutcomeAug,Sheet1!S71_MasterVoteMunicipal,$AC:$AC,Sheet1!S71_A5CapexCode,$AD:$AD)</f>
        <v>0</v>
      </c>
      <c r="E33" s="1356">
        <f>SUMIFS(Sheet1!S71_MonthlyOutcomeSep,Sheet1!S71_MasterVoteMunicipal,$AC:$AC,Sheet1!S71_A5CapexCode,$AD:$AD)</f>
        <v>0</v>
      </c>
      <c r="F33" s="1356">
        <f>SUMIFS(Sheet1!S71_MonthlyOutcomeOct,Sheet1!S71_MasterVoteMunicipal,$AC:$AC,Sheet1!S71_A5CapexCode,$AD:$AD)</f>
        <v>0</v>
      </c>
      <c r="G33" s="1356">
        <f>SUMIFS(Sheet1!S71_MonthlyOutcomeNov,Sheet1!S71_MasterVoteMunicipal,$AC:$AC,Sheet1!S71_A5CapexCode,$AD:$AD)</f>
        <v>0</v>
      </c>
      <c r="H33" s="1361">
        <f>SUMIFS(Sheet1!S71_MonthlyOutcomeDec,Sheet1!S71_MasterVoteMunicipal,$AC:$AC,Sheet1!S71_A5CapexCode,$AD:$AD)</f>
        <v>0</v>
      </c>
      <c r="I33" s="1360">
        <f t="shared" si="10"/>
        <v>0</v>
      </c>
      <c r="J33" s="1356">
        <f t="shared" si="11"/>
        <v>0</v>
      </c>
      <c r="K33" s="1356">
        <f t="shared" si="12"/>
        <v>0</v>
      </c>
      <c r="L33" s="1356">
        <f t="shared" si="13"/>
        <v>0</v>
      </c>
      <c r="M33" s="1356">
        <f t="shared" si="14"/>
        <v>0</v>
      </c>
      <c r="N33" s="506">
        <f t="shared" si="15"/>
        <v>0</v>
      </c>
      <c r="O33" s="538"/>
      <c r="P33" s="238">
        <f>'B5-Capex'!K35</f>
        <v>0</v>
      </c>
      <c r="Q33" s="75">
        <f>'B5-Capex'!L35</f>
        <v>0</v>
      </c>
      <c r="R33" s="76">
        <f>'B5-Capex'!M35</f>
        <v>0</v>
      </c>
      <c r="S33" s="126"/>
      <c r="AC33" s="1336">
        <v>10</v>
      </c>
      <c r="AD33" s="1336" t="s">
        <v>1846</v>
      </c>
    </row>
    <row r="34" spans="1:30" ht="12.75" customHeight="1" x14ac:dyDescent="0.25">
      <c r="A34" s="127" t="str">
        <f t="shared" si="9"/>
        <v>Vote 11 - Other</v>
      </c>
      <c r="B34" s="127"/>
      <c r="C34" s="1360">
        <f>SUMIFS(Sheet1!S71_MonthlyOutcomeJul,Sheet1!S71_MasterVoteMunicipal,$AC:$AC,Sheet1!S71_A5CapexCode,$AD:$AD)</f>
        <v>0</v>
      </c>
      <c r="D34" s="1356">
        <f>SUMIFS(Sheet1!S71_MonthlyOutcomeAug,Sheet1!S71_MasterVoteMunicipal,$AC:$AC,Sheet1!S71_A5CapexCode,$AD:$AD)</f>
        <v>0</v>
      </c>
      <c r="E34" s="1356">
        <f>SUMIFS(Sheet1!S71_MonthlyOutcomeSep,Sheet1!S71_MasterVoteMunicipal,$AC:$AC,Sheet1!S71_A5CapexCode,$AD:$AD)</f>
        <v>0</v>
      </c>
      <c r="F34" s="1356">
        <f>SUMIFS(Sheet1!S71_MonthlyOutcomeOct,Sheet1!S71_MasterVoteMunicipal,$AC:$AC,Sheet1!S71_A5CapexCode,$AD:$AD)</f>
        <v>0</v>
      </c>
      <c r="G34" s="1356">
        <f>SUMIFS(Sheet1!S71_MonthlyOutcomeNov,Sheet1!S71_MasterVoteMunicipal,$AC:$AC,Sheet1!S71_A5CapexCode,$AD:$AD)</f>
        <v>0</v>
      </c>
      <c r="H34" s="1361">
        <f>SUMIFS(Sheet1!S71_MonthlyOutcomeDec,Sheet1!S71_MasterVoteMunicipal,$AC:$AC,Sheet1!S71_A5CapexCode,$AD:$AD)</f>
        <v>0</v>
      </c>
      <c r="I34" s="1360">
        <f t="shared" si="10"/>
        <v>0</v>
      </c>
      <c r="J34" s="1356">
        <f t="shared" si="11"/>
        <v>0</v>
      </c>
      <c r="K34" s="1356">
        <f t="shared" si="12"/>
        <v>0</v>
      </c>
      <c r="L34" s="1356">
        <f t="shared" si="13"/>
        <v>0</v>
      </c>
      <c r="M34" s="1356">
        <f t="shared" si="14"/>
        <v>0</v>
      </c>
      <c r="N34" s="506">
        <f t="shared" si="15"/>
        <v>0</v>
      </c>
      <c r="O34" s="538"/>
      <c r="P34" s="238">
        <f>'B5-Capex'!K36</f>
        <v>0</v>
      </c>
      <c r="Q34" s="75">
        <f>'B5-Capex'!L36</f>
        <v>0</v>
      </c>
      <c r="R34" s="76">
        <f>'B5-Capex'!M36</f>
        <v>0</v>
      </c>
      <c r="S34" s="126"/>
      <c r="AC34" s="1336">
        <v>11</v>
      </c>
      <c r="AD34" s="1336" t="s">
        <v>1846</v>
      </c>
    </row>
    <row r="35" spans="1:30" ht="12.75" customHeight="1" x14ac:dyDescent="0.25">
      <c r="A35" s="127" t="str">
        <f t="shared" si="9"/>
        <v>Vote 12 - Waste Management</v>
      </c>
      <c r="B35" s="127"/>
      <c r="C35" s="1360">
        <f>SUMIFS(Sheet1!S71_MonthlyOutcomeJul,Sheet1!S71_MasterVoteMunicipal,$AC:$AC,Sheet1!S71_A5CapexCode,$AD:$AD)</f>
        <v>0</v>
      </c>
      <c r="D35" s="1356">
        <f>SUMIFS(Sheet1!S71_MonthlyOutcomeAug,Sheet1!S71_MasterVoteMunicipal,$AC:$AC,Sheet1!S71_A5CapexCode,$AD:$AD)</f>
        <v>0</v>
      </c>
      <c r="E35" s="1356">
        <f>SUMIFS(Sheet1!S71_MonthlyOutcomeSep,Sheet1!S71_MasterVoteMunicipal,$AC:$AC,Sheet1!S71_A5CapexCode,$AD:$AD)</f>
        <v>0</v>
      </c>
      <c r="F35" s="1356">
        <f>SUMIFS(Sheet1!S71_MonthlyOutcomeOct,Sheet1!S71_MasterVoteMunicipal,$AC:$AC,Sheet1!S71_A5CapexCode,$AD:$AD)</f>
        <v>0</v>
      </c>
      <c r="G35" s="1356">
        <f>SUMIFS(Sheet1!S71_MonthlyOutcomeNov,Sheet1!S71_MasterVoteMunicipal,$AC:$AC,Sheet1!S71_A5CapexCode,$AD:$AD)</f>
        <v>0</v>
      </c>
      <c r="H35" s="1361">
        <f>SUMIFS(Sheet1!S71_MonthlyOutcomeDec,Sheet1!S71_MasterVoteMunicipal,$AC:$AC,Sheet1!S71_A5CapexCode,$AD:$AD)</f>
        <v>0</v>
      </c>
      <c r="I35" s="1360">
        <f t="shared" si="10"/>
        <v>0</v>
      </c>
      <c r="J35" s="1356">
        <f t="shared" si="11"/>
        <v>0</v>
      </c>
      <c r="K35" s="1356">
        <f t="shared" si="12"/>
        <v>0</v>
      </c>
      <c r="L35" s="1356">
        <f t="shared" si="13"/>
        <v>0</v>
      </c>
      <c r="M35" s="1356">
        <f t="shared" si="14"/>
        <v>0</v>
      </c>
      <c r="N35" s="506">
        <f t="shared" si="15"/>
        <v>0</v>
      </c>
      <c r="O35" s="538"/>
      <c r="P35" s="238">
        <f>'B5-Capex'!K37</f>
        <v>0</v>
      </c>
      <c r="Q35" s="75">
        <f>'B5-Capex'!L37</f>
        <v>0</v>
      </c>
      <c r="R35" s="76">
        <f>'B5-Capex'!M37</f>
        <v>0</v>
      </c>
      <c r="S35" s="126"/>
      <c r="AC35" s="1336">
        <v>12</v>
      </c>
      <c r="AD35" s="1336" t="s">
        <v>1846</v>
      </c>
    </row>
    <row r="36" spans="1:30" ht="12.75" customHeight="1" x14ac:dyDescent="0.25">
      <c r="A36" s="127" t="str">
        <f t="shared" si="9"/>
        <v>Vote 13 - Housing</v>
      </c>
      <c r="B36" s="127"/>
      <c r="C36" s="1360">
        <f>SUMIFS(Sheet1!S71_MonthlyOutcomeJul,Sheet1!S71_MasterVoteMunicipal,$AC:$AC,Sheet1!S71_A5CapexCode,$AD:$AD)</f>
        <v>0</v>
      </c>
      <c r="D36" s="1356">
        <f>SUMIFS(Sheet1!S71_MonthlyOutcomeAug,Sheet1!S71_MasterVoteMunicipal,$AC:$AC,Sheet1!S71_A5CapexCode,$AD:$AD)</f>
        <v>0</v>
      </c>
      <c r="E36" s="1356">
        <f>SUMIFS(Sheet1!S71_MonthlyOutcomeSep,Sheet1!S71_MasterVoteMunicipal,$AC:$AC,Sheet1!S71_A5CapexCode,$AD:$AD)</f>
        <v>0</v>
      </c>
      <c r="F36" s="1356">
        <f>SUMIFS(Sheet1!S71_MonthlyOutcomeOct,Sheet1!S71_MasterVoteMunicipal,$AC:$AC,Sheet1!S71_A5CapexCode,$AD:$AD)</f>
        <v>0</v>
      </c>
      <c r="G36" s="1356">
        <f>SUMIFS(Sheet1!S71_MonthlyOutcomeNov,Sheet1!S71_MasterVoteMunicipal,$AC:$AC,Sheet1!S71_A5CapexCode,$AD:$AD)</f>
        <v>0</v>
      </c>
      <c r="H36" s="1361">
        <f>SUMIFS(Sheet1!S71_MonthlyOutcomeDec,Sheet1!S71_MasterVoteMunicipal,$AC:$AC,Sheet1!S71_A5CapexCode,$AD:$AD)</f>
        <v>0</v>
      </c>
      <c r="I36" s="1360">
        <f t="shared" si="10"/>
        <v>0</v>
      </c>
      <c r="J36" s="1356">
        <f t="shared" si="11"/>
        <v>0</v>
      </c>
      <c r="K36" s="1356">
        <f t="shared" si="12"/>
        <v>0</v>
      </c>
      <c r="L36" s="1356">
        <f t="shared" si="13"/>
        <v>0</v>
      </c>
      <c r="M36" s="1356">
        <f t="shared" si="14"/>
        <v>0</v>
      </c>
      <c r="N36" s="506">
        <f t="shared" si="15"/>
        <v>0</v>
      </c>
      <c r="O36" s="538"/>
      <c r="P36" s="238">
        <f>'B5-Capex'!K38</f>
        <v>0</v>
      </c>
      <c r="Q36" s="75">
        <f>'B5-Capex'!L38</f>
        <v>0</v>
      </c>
      <c r="R36" s="76">
        <f>'B5-Capex'!M38</f>
        <v>0</v>
      </c>
      <c r="S36" s="126"/>
      <c r="AC36" s="1336">
        <v>13</v>
      </c>
      <c r="AD36" s="1336" t="s">
        <v>1846</v>
      </c>
    </row>
    <row r="37" spans="1:30" ht="12.75" customHeight="1" x14ac:dyDescent="0.25">
      <c r="A37" s="127" t="str">
        <f t="shared" si="9"/>
        <v>Vote 14 - Waste Water Management</v>
      </c>
      <c r="B37" s="127"/>
      <c r="C37" s="1360">
        <f>SUMIFS(Sheet1!S71_MonthlyOutcomeJul,Sheet1!S71_MasterVoteMunicipal,$AC:$AC,Sheet1!S71_A5CapexCode,$AD:$AD)</f>
        <v>0</v>
      </c>
      <c r="D37" s="1356">
        <f>SUMIFS(Sheet1!S71_MonthlyOutcomeAug,Sheet1!S71_MasterVoteMunicipal,$AC:$AC,Sheet1!S71_A5CapexCode,$AD:$AD)</f>
        <v>0</v>
      </c>
      <c r="E37" s="1356">
        <f>SUMIFS(Sheet1!S71_MonthlyOutcomeSep,Sheet1!S71_MasterVoteMunicipal,$AC:$AC,Sheet1!S71_A5CapexCode,$AD:$AD)</f>
        <v>0</v>
      </c>
      <c r="F37" s="1356">
        <f>SUMIFS(Sheet1!S71_MonthlyOutcomeOct,Sheet1!S71_MasterVoteMunicipal,$AC:$AC,Sheet1!S71_A5CapexCode,$AD:$AD)</f>
        <v>0</v>
      </c>
      <c r="G37" s="1356">
        <f>SUMIFS(Sheet1!S71_MonthlyOutcomeNov,Sheet1!S71_MasterVoteMunicipal,$AC:$AC,Sheet1!S71_A5CapexCode,$AD:$AD)</f>
        <v>0</v>
      </c>
      <c r="H37" s="1361">
        <f>SUMIFS(Sheet1!S71_MonthlyOutcomeDec,Sheet1!S71_MasterVoteMunicipal,$AC:$AC,Sheet1!S71_A5CapexCode,$AD:$AD)</f>
        <v>0</v>
      </c>
      <c r="I37" s="1360">
        <f t="shared" si="10"/>
        <v>0</v>
      </c>
      <c r="J37" s="1356">
        <f t="shared" si="11"/>
        <v>0</v>
      </c>
      <c r="K37" s="1356">
        <f t="shared" si="12"/>
        <v>0</v>
      </c>
      <c r="L37" s="1356">
        <f t="shared" si="13"/>
        <v>0</v>
      </c>
      <c r="M37" s="1356">
        <f t="shared" si="14"/>
        <v>0</v>
      </c>
      <c r="N37" s="506">
        <f t="shared" si="15"/>
        <v>0</v>
      </c>
      <c r="O37" s="538"/>
      <c r="P37" s="238">
        <f>'B5-Capex'!K39</f>
        <v>0</v>
      </c>
      <c r="Q37" s="75">
        <f>'B5-Capex'!L39</f>
        <v>0</v>
      </c>
      <c r="R37" s="76">
        <f>'B5-Capex'!M39</f>
        <v>0</v>
      </c>
      <c r="S37" s="126"/>
      <c r="AC37" s="1336">
        <v>14</v>
      </c>
      <c r="AD37" s="1336" t="s">
        <v>1846</v>
      </c>
    </row>
    <row r="38" spans="1:30" ht="12.75" customHeight="1" x14ac:dyDescent="0.25">
      <c r="A38" s="127" t="str">
        <f t="shared" si="9"/>
        <v>Vote 15 - Health</v>
      </c>
      <c r="B38" s="127"/>
      <c r="C38" s="1360">
        <f>SUMIFS(Sheet1!S71_MonthlyOutcomeJul,Sheet1!S71_MasterVoteMunicipal,$AC:$AC,Sheet1!S71_A5CapexCode,$AD:$AD)</f>
        <v>0</v>
      </c>
      <c r="D38" s="1356">
        <f>SUMIFS(Sheet1!S71_MonthlyOutcomeAug,Sheet1!S71_MasterVoteMunicipal,$AC:$AC,Sheet1!S71_A5CapexCode,$AD:$AD)</f>
        <v>0</v>
      </c>
      <c r="E38" s="1356">
        <f>SUMIFS(Sheet1!S71_MonthlyOutcomeSep,Sheet1!S71_MasterVoteMunicipal,$AC:$AC,Sheet1!S71_A5CapexCode,$AD:$AD)</f>
        <v>0</v>
      </c>
      <c r="F38" s="1356">
        <f>SUMIFS(Sheet1!S71_MonthlyOutcomeOct,Sheet1!S71_MasterVoteMunicipal,$AC:$AC,Sheet1!S71_A5CapexCode,$AD:$AD)</f>
        <v>0</v>
      </c>
      <c r="G38" s="1356">
        <f>SUMIFS(Sheet1!S71_MonthlyOutcomeNov,Sheet1!S71_MasterVoteMunicipal,$AC:$AC,Sheet1!S71_A5CapexCode,$AD:$AD)</f>
        <v>0</v>
      </c>
      <c r="H38" s="1361">
        <f>SUMIFS(Sheet1!S71_MonthlyOutcomeDec,Sheet1!S71_MasterVoteMunicipal,$AC:$AC,Sheet1!S71_A5CapexCode,$AD:$AD)</f>
        <v>0</v>
      </c>
      <c r="I38" s="1360">
        <f t="shared" si="10"/>
        <v>0</v>
      </c>
      <c r="J38" s="1356">
        <f t="shared" si="11"/>
        <v>0</v>
      </c>
      <c r="K38" s="1356">
        <f t="shared" si="12"/>
        <v>0</v>
      </c>
      <c r="L38" s="1356">
        <f t="shared" si="13"/>
        <v>0</v>
      </c>
      <c r="M38" s="1356">
        <f t="shared" si="14"/>
        <v>0</v>
      </c>
      <c r="N38" s="506">
        <f t="shared" si="15"/>
        <v>0</v>
      </c>
      <c r="O38" s="538"/>
      <c r="P38" s="238">
        <f>'B5-Capex'!K40</f>
        <v>0</v>
      </c>
      <c r="Q38" s="75">
        <f>'B5-Capex'!L40</f>
        <v>0</v>
      </c>
      <c r="R38" s="76">
        <f>'B5-Capex'!M40</f>
        <v>0</v>
      </c>
      <c r="S38" s="126"/>
      <c r="AC38" s="1336">
        <v>15</v>
      </c>
      <c r="AD38" s="1336" t="s">
        <v>1846</v>
      </c>
    </row>
    <row r="39" spans="1:30" ht="12.75" customHeight="1" x14ac:dyDescent="0.25">
      <c r="A39" s="159" t="s">
        <v>666</v>
      </c>
      <c r="B39" s="73">
        <v>3</v>
      </c>
      <c r="C39" s="569">
        <f>SUM(C24:C38)</f>
        <v>6273246.6200000001</v>
      </c>
      <c r="D39" s="570">
        <f t="shared" ref="D39:R39" si="16">SUM(D24:D38)</f>
        <v>455487.78</v>
      </c>
      <c r="E39" s="570">
        <f t="shared" si="16"/>
        <v>1298996.67</v>
      </c>
      <c r="F39" s="570">
        <f t="shared" si="16"/>
        <v>5896599.6299999999</v>
      </c>
      <c r="G39" s="570">
        <f t="shared" si="16"/>
        <v>4173969.1100000003</v>
      </c>
      <c r="H39" s="571">
        <f t="shared" si="16"/>
        <v>4030948.23</v>
      </c>
      <c r="I39" s="572">
        <f t="shared" si="16"/>
        <v>1938873.3266666664</v>
      </c>
      <c r="J39" s="570">
        <f t="shared" si="16"/>
        <v>1938873.3266666664</v>
      </c>
      <c r="K39" s="570">
        <f t="shared" si="16"/>
        <v>1938873.3266666664</v>
      </c>
      <c r="L39" s="570">
        <f t="shared" si="16"/>
        <v>1938873.3266666664</v>
      </c>
      <c r="M39" s="571">
        <f t="shared" si="16"/>
        <v>1938873.3266666664</v>
      </c>
      <c r="N39" s="573">
        <f t="shared" si="16"/>
        <v>1938873.3266666594</v>
      </c>
      <c r="O39" s="574">
        <f t="shared" si="16"/>
        <v>0</v>
      </c>
      <c r="P39" s="575">
        <f t="shared" si="16"/>
        <v>33762488</v>
      </c>
      <c r="Q39" s="576">
        <f t="shared" si="16"/>
        <v>32227000</v>
      </c>
      <c r="R39" s="573">
        <f t="shared" si="16"/>
        <v>24381000</v>
      </c>
      <c r="S39" s="126"/>
    </row>
    <row r="40" spans="1:30" ht="12.75" customHeight="1" x14ac:dyDescent="0.25">
      <c r="A40" s="579" t="s">
        <v>476</v>
      </c>
      <c r="B40" s="580">
        <v>2</v>
      </c>
      <c r="C40" s="114">
        <f>C21+C39</f>
        <v>6273246.6200000001</v>
      </c>
      <c r="D40" s="115">
        <f t="shared" ref="D40:R40" si="17">D21+D39</f>
        <v>455487.78</v>
      </c>
      <c r="E40" s="115">
        <f t="shared" si="17"/>
        <v>1298996.67</v>
      </c>
      <c r="F40" s="115">
        <f t="shared" si="17"/>
        <v>5896599.6299999999</v>
      </c>
      <c r="G40" s="115">
        <f t="shared" si="17"/>
        <v>4173969.1100000003</v>
      </c>
      <c r="H40" s="520">
        <f t="shared" si="17"/>
        <v>4030948.23</v>
      </c>
      <c r="I40" s="114">
        <f t="shared" si="17"/>
        <v>1938873.3266666664</v>
      </c>
      <c r="J40" s="115">
        <f t="shared" si="17"/>
        <v>1938873.3266666664</v>
      </c>
      <c r="K40" s="115">
        <f t="shared" si="17"/>
        <v>1938873.3266666664</v>
      </c>
      <c r="L40" s="115">
        <f t="shared" si="17"/>
        <v>1938873.3266666664</v>
      </c>
      <c r="M40" s="115">
        <f t="shared" si="17"/>
        <v>1938873.3266666664</v>
      </c>
      <c r="N40" s="520">
        <f t="shared" si="17"/>
        <v>1938873.3266666594</v>
      </c>
      <c r="O40" s="541">
        <f t="shared" si="17"/>
        <v>0</v>
      </c>
      <c r="P40" s="114">
        <f t="shared" si="17"/>
        <v>33762488</v>
      </c>
      <c r="Q40" s="115">
        <f t="shared" si="17"/>
        <v>32227000</v>
      </c>
      <c r="R40" s="116">
        <f t="shared" si="17"/>
        <v>24381000</v>
      </c>
      <c r="S40" s="126"/>
    </row>
    <row r="41" spans="1:30" ht="12.75" customHeight="1" x14ac:dyDescent="0.25">
      <c r="A41" s="581" t="str">
        <f>head27a</f>
        <v>References</v>
      </c>
      <c r="B41" s="582"/>
      <c r="C41" s="543"/>
      <c r="D41" s="543"/>
      <c r="E41" s="543"/>
      <c r="F41" s="543"/>
      <c r="G41" s="543"/>
      <c r="H41" s="543"/>
      <c r="I41" s="543"/>
      <c r="J41" s="543"/>
      <c r="K41" s="543"/>
      <c r="L41" s="543"/>
      <c r="M41" s="543"/>
      <c r="N41" s="543"/>
      <c r="O41" s="543"/>
      <c r="P41" s="543"/>
      <c r="Q41" s="543"/>
      <c r="R41" s="336"/>
      <c r="S41" s="126"/>
      <c r="T41" s="126"/>
    </row>
    <row r="42" spans="1:30" ht="12.75" customHeight="1" x14ac:dyDescent="0.25">
      <c r="A42" s="99" t="s">
        <v>477</v>
      </c>
      <c r="B42" s="48"/>
      <c r="C42" s="543"/>
      <c r="D42" s="543"/>
      <c r="E42" s="543"/>
      <c r="F42" s="543"/>
      <c r="G42" s="543"/>
      <c r="H42" s="543"/>
      <c r="I42" s="543"/>
      <c r="J42" s="543"/>
      <c r="K42" s="543"/>
      <c r="L42" s="543"/>
      <c r="M42" s="543"/>
      <c r="N42" s="543"/>
      <c r="O42" s="543"/>
      <c r="P42" s="543"/>
      <c r="Q42" s="543"/>
      <c r="R42" s="336"/>
      <c r="S42" s="126"/>
      <c r="T42" s="126"/>
    </row>
    <row r="43" spans="1:30" ht="12.75" customHeight="1" x14ac:dyDescent="0.25">
      <c r="A43" s="99" t="s">
        <v>478</v>
      </c>
      <c r="B43" s="48"/>
      <c r="C43" s="48"/>
      <c r="D43" s="48"/>
      <c r="E43" s="48"/>
      <c r="F43" s="48"/>
      <c r="G43" s="48"/>
      <c r="H43" s="48"/>
      <c r="I43" s="48"/>
      <c r="J43" s="48"/>
      <c r="K43" s="48"/>
      <c r="L43" s="48"/>
      <c r="M43" s="48"/>
      <c r="N43" s="48"/>
      <c r="O43" s="48"/>
      <c r="P43" s="48"/>
      <c r="Q43" s="48"/>
      <c r="R43" s="48"/>
    </row>
    <row r="44" spans="1:30" ht="12.75" customHeight="1" x14ac:dyDescent="0.25">
      <c r="A44" s="48"/>
      <c r="B44" s="48"/>
      <c r="C44" s="48"/>
      <c r="D44" s="48"/>
      <c r="E44" s="48"/>
      <c r="F44" s="48"/>
      <c r="G44" s="48"/>
      <c r="H44" s="48"/>
      <c r="I44" s="48"/>
      <c r="J44" s="48"/>
      <c r="K44" s="48"/>
      <c r="L44" s="48"/>
      <c r="M44" s="48"/>
      <c r="N44" s="48"/>
      <c r="O44" s="48"/>
      <c r="P44" s="48"/>
      <c r="Q44" s="48"/>
      <c r="R44" s="48"/>
    </row>
    <row r="45" spans="1:30" x14ac:dyDescent="0.25">
      <c r="A45" s="309" t="s">
        <v>3</v>
      </c>
      <c r="B45" s="309"/>
      <c r="O45" s="165">
        <f>O40-'B5-Capex'!J42</f>
        <v>-341736</v>
      </c>
      <c r="P45" s="338">
        <f>P40-'B5-Capex'!K42</f>
        <v>0</v>
      </c>
      <c r="Q45" s="338">
        <f>Q40-'B5-Capex'!L42</f>
        <v>0</v>
      </c>
      <c r="R45" s="338">
        <f>R40-'B5-Capex'!M42</f>
        <v>0</v>
      </c>
    </row>
    <row r="56" spans="2:2" x14ac:dyDescent="0.25">
      <c r="B56" s="126"/>
    </row>
  </sheetData>
  <sheetProtection sheet="1" objects="1" scenarios="1"/>
  <mergeCells count="2">
    <mergeCell ref="A2:A3"/>
    <mergeCell ref="B2:B3"/>
  </mergeCells>
  <phoneticPr fontId="4" type="noConversion"/>
  <printOptions horizontalCentered="1"/>
  <pageMargins left="0.34" right="0.2" top="0.78" bottom="0.78" header="0.51181102362204722" footer="0.51181102362204722"/>
  <pageSetup paperSize="9" scale="8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7">
    <tabColor indexed="42"/>
    <pageSetUpPr fitToPage="1"/>
  </sheetPr>
  <dimension ref="A1:AD56"/>
  <sheetViews>
    <sheetView showGridLines="0" zoomScale="90" zoomScaleNormal="90" workbookViewId="0">
      <pane xSplit="2" ySplit="4" topLeftCell="C5" activePane="bottomRight" state="frozen"/>
      <selection activeCell="C6" sqref="C6"/>
      <selection pane="topRight" activeCell="C6" sqref="C6"/>
      <selection pane="bottomLeft" activeCell="C6" sqref="C6"/>
      <selection pane="bottomRight" activeCell="P13" sqref="P13"/>
    </sheetView>
  </sheetViews>
  <sheetFormatPr defaultColWidth="9.140625" defaultRowHeight="12.75" x14ac:dyDescent="0.25"/>
  <cols>
    <col min="1" max="1" width="30.5703125" style="5" customWidth="1"/>
    <col min="2" max="2" width="3.140625" style="5" customWidth="1"/>
    <col min="3" max="18" width="8.5703125" style="5" customWidth="1"/>
    <col min="19" max="28" width="9.140625" style="5" customWidth="1"/>
    <col min="29" max="30" width="9.140625" style="1336"/>
    <col min="31" max="16384" width="9.140625" style="5"/>
  </cols>
  <sheetData>
    <row r="1" spans="1:30" ht="13.5" x14ac:dyDescent="0.25">
      <c r="A1" s="57" t="str">
        <f>muni&amp;" - "&amp;ADJB17&amp;" - "&amp;Date</f>
        <v xml:space="preserve">KZN226 Mkhambathini - Supporting Table SB17 Adjustments Budget - monthly capital expenditure (functional classification) - </v>
      </c>
      <c r="B1" s="57"/>
      <c r="D1" s="58"/>
    </row>
    <row r="2" spans="1:30" ht="25.5" x14ac:dyDescent="0.25">
      <c r="A2" s="1423" t="str">
        <f>desc</f>
        <v>Description</v>
      </c>
      <c r="B2" s="1420" t="str">
        <f>head27</f>
        <v>Ref</v>
      </c>
      <c r="C2" s="1417" t="str">
        <f>Head2</f>
        <v>Budget Year 2020/21</v>
      </c>
      <c r="D2" s="1418"/>
      <c r="E2" s="1418"/>
      <c r="F2" s="1418"/>
      <c r="G2" s="1418"/>
      <c r="H2" s="1418"/>
      <c r="I2" s="1418"/>
      <c r="J2" s="1418"/>
      <c r="K2" s="1418"/>
      <c r="L2" s="1418"/>
      <c r="M2" s="1418"/>
      <c r="N2" s="1469"/>
      <c r="O2" s="583" t="str">
        <f>Head3a</f>
        <v>Medium Term Revenue and Expenditure Framework</v>
      </c>
      <c r="P2" s="448"/>
      <c r="Q2" s="168"/>
    </row>
    <row r="3" spans="1:30" ht="38.25" x14ac:dyDescent="0.25">
      <c r="A3" s="1424"/>
      <c r="B3" s="1421"/>
      <c r="C3" s="450" t="s">
        <v>226</v>
      </c>
      <c r="D3" s="318" t="s">
        <v>227</v>
      </c>
      <c r="E3" s="318" t="s">
        <v>228</v>
      </c>
      <c r="F3" s="318" t="s">
        <v>229</v>
      </c>
      <c r="G3" s="318" t="s">
        <v>230</v>
      </c>
      <c r="H3" s="319" t="s">
        <v>231</v>
      </c>
      <c r="I3" s="529" t="s">
        <v>232</v>
      </c>
      <c r="J3" s="530" t="s">
        <v>233</v>
      </c>
      <c r="K3" s="318" t="s">
        <v>234</v>
      </c>
      <c r="L3" s="318" t="s">
        <v>235</v>
      </c>
      <c r="M3" s="531" t="s">
        <v>236</v>
      </c>
      <c r="N3" s="530" t="s">
        <v>237</v>
      </c>
      <c r="O3" s="529" t="str">
        <f>Head9</f>
        <v>Budget Year 2020/21</v>
      </c>
      <c r="P3" s="530" t="str">
        <f>Head10</f>
        <v>Budget Year +1 2021/22</v>
      </c>
      <c r="Q3" s="320" t="str">
        <f>Head11</f>
        <v>Budget Year +2 2022/23</v>
      </c>
    </row>
    <row r="4" spans="1:30" ht="25.5" x14ac:dyDescent="0.25">
      <c r="A4" s="558" t="s">
        <v>605</v>
      </c>
      <c r="B4" s="104"/>
      <c r="C4" s="802" t="str">
        <f t="shared" ref="C4:H4" si="0">Head5A</f>
        <v>Outcome</v>
      </c>
      <c r="D4" s="803" t="str">
        <f t="shared" si="0"/>
        <v>Outcome</v>
      </c>
      <c r="E4" s="803" t="str">
        <f t="shared" si="0"/>
        <v>Outcome</v>
      </c>
      <c r="F4" s="803" t="str">
        <f t="shared" si="0"/>
        <v>Outcome</v>
      </c>
      <c r="G4" s="803" t="str">
        <f t="shared" si="0"/>
        <v>Outcome</v>
      </c>
      <c r="H4" s="804" t="str">
        <f t="shared" si="0"/>
        <v>Outcome</v>
      </c>
      <c r="I4" s="802" t="str">
        <f t="shared" ref="I4:Q4" si="1">Head7</f>
        <v>Adjusted Budget</v>
      </c>
      <c r="J4" s="804" t="str">
        <f t="shared" si="1"/>
        <v>Adjusted Budget</v>
      </c>
      <c r="K4" s="803" t="str">
        <f t="shared" si="1"/>
        <v>Adjusted Budget</v>
      </c>
      <c r="L4" s="803" t="str">
        <f t="shared" si="1"/>
        <v>Adjusted Budget</v>
      </c>
      <c r="M4" s="803" t="str">
        <f t="shared" si="1"/>
        <v>Adjusted Budget</v>
      </c>
      <c r="N4" s="804" t="str">
        <f t="shared" si="1"/>
        <v>Adjusted Budget</v>
      </c>
      <c r="O4" s="535" t="str">
        <f t="shared" si="1"/>
        <v>Adjusted Budget</v>
      </c>
      <c r="P4" s="536" t="str">
        <f t="shared" si="1"/>
        <v>Adjusted Budget</v>
      </c>
      <c r="Q4" s="537" t="str">
        <f t="shared" si="1"/>
        <v>Adjusted Budget</v>
      </c>
    </row>
    <row r="5" spans="1:30" ht="12.75" customHeight="1" x14ac:dyDescent="0.25">
      <c r="A5" s="505" t="s">
        <v>1479</v>
      </c>
      <c r="B5" s="127"/>
      <c r="C5" s="238"/>
      <c r="D5" s="75"/>
      <c r="E5" s="75"/>
      <c r="F5" s="75"/>
      <c r="G5" s="75"/>
      <c r="H5" s="506"/>
      <c r="I5" s="238"/>
      <c r="J5" s="75"/>
      <c r="K5" s="75"/>
      <c r="L5" s="75"/>
      <c r="M5" s="75"/>
      <c r="N5" s="506"/>
      <c r="O5" s="238"/>
      <c r="P5" s="75"/>
      <c r="Q5" s="76"/>
      <c r="R5" s="126"/>
    </row>
    <row r="6" spans="1:30" ht="12.75" customHeight="1" x14ac:dyDescent="0.25">
      <c r="A6" s="107" t="str">
        <f>'B2-FinPerf SC'!A7</f>
        <v>Governance and administration</v>
      </c>
      <c r="B6" s="127"/>
      <c r="C6" s="880">
        <f t="shared" ref="C6:M6" si="2">SUM(C7:C9)</f>
        <v>0</v>
      </c>
      <c r="D6" s="881">
        <f t="shared" si="2"/>
        <v>92825.94</v>
      </c>
      <c r="E6" s="881">
        <f t="shared" si="2"/>
        <v>2800</v>
      </c>
      <c r="F6" s="881">
        <f t="shared" si="2"/>
        <v>11688</v>
      </c>
      <c r="G6" s="881">
        <f t="shared" si="2"/>
        <v>61402</v>
      </c>
      <c r="H6" s="882">
        <f t="shared" si="2"/>
        <v>1071196</v>
      </c>
      <c r="I6" s="880">
        <f t="shared" si="2"/>
        <v>330339.84333333332</v>
      </c>
      <c r="J6" s="881">
        <f t="shared" si="2"/>
        <v>330339.84333333332</v>
      </c>
      <c r="K6" s="881">
        <f t="shared" si="2"/>
        <v>330339.84333333332</v>
      </c>
      <c r="L6" s="881">
        <f>SUM(L7:L9)</f>
        <v>330339.84333333332</v>
      </c>
      <c r="M6" s="881">
        <f t="shared" si="2"/>
        <v>330339.84333333332</v>
      </c>
      <c r="N6" s="883">
        <f t="shared" ref="N6:N25" si="3">O6-SUM(C6:M6)</f>
        <v>330339.84333333373</v>
      </c>
      <c r="O6" s="770">
        <f>'B5-Capex'!K45</f>
        <v>3221951</v>
      </c>
      <c r="P6" s="771">
        <f>'B5-Capex'!L45</f>
        <v>14000000</v>
      </c>
      <c r="Q6" s="773">
        <f>'B5-Capex'!M45</f>
        <v>6600000</v>
      </c>
      <c r="R6" s="126"/>
    </row>
    <row r="7" spans="1:30" ht="12.75" customHeight="1" x14ac:dyDescent="0.25">
      <c r="A7" s="108" t="str">
        <f>'B2-FinPerf SC'!A8</f>
        <v>Executive and council</v>
      </c>
      <c r="B7" s="127"/>
      <c r="C7" s="1356">
        <f>SUMIFS(Sheet1!S71_MonthlyOutcomeJul,Sheet1!S71_A2Code,$AC:$AC,Sheet1!S71_A5CapexCode,$AD:$AD)</f>
        <v>0</v>
      </c>
      <c r="D7" s="1356">
        <f>SUMIFS(Sheet1!S71_MonthlyOutcomeAug,Sheet1!S71_A2Code,$AC:$AC,Sheet1!S71_A5CapexCode,$AD:$AD)</f>
        <v>0</v>
      </c>
      <c r="E7" s="1356">
        <f>SUMIFS(Sheet1!S71_MonthlyOutcomeSep,Sheet1!S71_A2Code,$AC:$AC,Sheet1!S71_A5CapexCode,$AD:$AD)</f>
        <v>0</v>
      </c>
      <c r="F7" s="1356">
        <f>SUMIFS(Sheet1!S71_MonthlyOutcomeOct,Sheet1!S71_A2Code,$AC:$AC,Sheet1!S71_A5CapexCode,$AD:$AD)</f>
        <v>0</v>
      </c>
      <c r="G7" s="1356">
        <f>SUMIFS(Sheet1!S71_MonthlyOutcomeNov,Sheet1!S71_A2Code,$AC:$AC,Sheet1!S71_A5CapexCode,$AD:$AD)</f>
        <v>0</v>
      </c>
      <c r="H7" s="1361">
        <f>SUMIFS(Sheet1!S71_MonthlyOutcomeDec,Sheet1!S71_A2Code,$AC:$AC,Sheet1!S71_A5CapexCode,$AD:$AD)</f>
        <v>0</v>
      </c>
      <c r="I7" s="1360">
        <f>(O7-SUM(C7:H7))/6</f>
        <v>0</v>
      </c>
      <c r="J7" s="1356">
        <f>(O7-SUM(C7:H7))/6</f>
        <v>0</v>
      </c>
      <c r="K7" s="1356">
        <f>(O7-SUM(C7:H7))/6</f>
        <v>0</v>
      </c>
      <c r="L7" s="1356">
        <f>(O7-SUM(C7:H7))/6</f>
        <v>0</v>
      </c>
      <c r="M7" s="1356">
        <f>(O7-SUM(C7:H7))/6</f>
        <v>0</v>
      </c>
      <c r="N7" s="506">
        <f t="shared" si="3"/>
        <v>0</v>
      </c>
      <c r="O7" s="238">
        <f>'B5-Capex'!K46</f>
        <v>0</v>
      </c>
      <c r="P7" s="75">
        <f>'B5-Capex'!L46</f>
        <v>0</v>
      </c>
      <c r="Q7" s="76">
        <f>'B5-Capex'!M46</f>
        <v>0</v>
      </c>
      <c r="R7" s="126"/>
      <c r="AC7" s="1339" t="s">
        <v>1822</v>
      </c>
      <c r="AD7" s="1336" t="s">
        <v>1846</v>
      </c>
    </row>
    <row r="8" spans="1:30" ht="12.75" customHeight="1" x14ac:dyDescent="0.25">
      <c r="A8" s="108" t="str">
        <f>'B2-FinPerf SC'!A9</f>
        <v>Finance and administration</v>
      </c>
      <c r="B8" s="127"/>
      <c r="C8" s="1356">
        <f>SUMIFS(Sheet1!S71_MonthlyOutcomeJul,Sheet1!S71_A2Code,$AC:$AC,Sheet1!S71_A5CapexCode,$AD:$AD)</f>
        <v>0</v>
      </c>
      <c r="D8" s="1356">
        <f>SUMIFS(Sheet1!S71_MonthlyOutcomeAug,Sheet1!S71_A2Code,$AC:$AC,Sheet1!S71_A5CapexCode,$AD:$AD)</f>
        <v>92825.94</v>
      </c>
      <c r="E8" s="1356">
        <f>SUMIFS(Sheet1!S71_MonthlyOutcomeSep,Sheet1!S71_A2Code,$AC:$AC,Sheet1!S71_A5CapexCode,$AD:$AD)</f>
        <v>2800</v>
      </c>
      <c r="F8" s="1356">
        <f>SUMIFS(Sheet1!S71_MonthlyOutcomeOct,Sheet1!S71_A2Code,$AC:$AC,Sheet1!S71_A5CapexCode,$AD:$AD)</f>
        <v>11688</v>
      </c>
      <c r="G8" s="1356">
        <f>SUMIFS(Sheet1!S71_MonthlyOutcomeNov,Sheet1!S71_A2Code,$AC:$AC,Sheet1!S71_A5CapexCode,$AD:$AD)</f>
        <v>61402</v>
      </c>
      <c r="H8" s="1361">
        <f>SUMIFS(Sheet1!S71_MonthlyOutcomeDec,Sheet1!S71_A2Code,$AC:$AC,Sheet1!S71_A5CapexCode,$AD:$AD)</f>
        <v>1071196</v>
      </c>
      <c r="I8" s="1360">
        <f t="shared" ref="I8:I9" si="4">(O8-SUM(C8:H8))/6</f>
        <v>330339.84333333332</v>
      </c>
      <c r="J8" s="1356">
        <f t="shared" ref="J8:J9" si="5">(O8-SUM(C8:H8))/6</f>
        <v>330339.84333333332</v>
      </c>
      <c r="K8" s="1356">
        <f t="shared" ref="K8:K9" si="6">(O8-SUM(C8:H8))/6</f>
        <v>330339.84333333332</v>
      </c>
      <c r="L8" s="1356">
        <f t="shared" ref="L8:L9" si="7">(O8-SUM(C8:H8))/6</f>
        <v>330339.84333333332</v>
      </c>
      <c r="M8" s="1356">
        <f t="shared" ref="M8:M9" si="8">(O8-SUM(C8:H8))/6</f>
        <v>330339.84333333332</v>
      </c>
      <c r="N8" s="506">
        <f t="shared" si="3"/>
        <v>330339.84333333373</v>
      </c>
      <c r="O8" s="238">
        <f>'B5-Capex'!K47</f>
        <v>3221951</v>
      </c>
      <c r="P8" s="75">
        <f>'B5-Capex'!L47</f>
        <v>14000000</v>
      </c>
      <c r="Q8" s="76">
        <f>'B5-Capex'!M47</f>
        <v>6600000</v>
      </c>
      <c r="R8" s="126"/>
      <c r="AC8" s="1339" t="s">
        <v>1823</v>
      </c>
      <c r="AD8" s="1336" t="s">
        <v>1846</v>
      </c>
    </row>
    <row r="9" spans="1:30" ht="12.75" customHeight="1" x14ac:dyDescent="0.25">
      <c r="A9" s="108" t="str">
        <f>'B2-FinPerf SC'!A10</f>
        <v>Internal audit</v>
      </c>
      <c r="B9" s="127"/>
      <c r="C9" s="1356">
        <f>SUMIFS(Sheet1!S71_MonthlyOutcomeJul,Sheet1!S71_A2Code,$AC:$AC,Sheet1!S71_A5CapexCode,$AD:$AD)</f>
        <v>0</v>
      </c>
      <c r="D9" s="1356">
        <f>SUMIFS(Sheet1!S71_MonthlyOutcomeAug,Sheet1!S71_A2Code,$AC:$AC,Sheet1!S71_A5CapexCode,$AD:$AD)</f>
        <v>0</v>
      </c>
      <c r="E9" s="1356">
        <f>SUMIFS(Sheet1!S71_MonthlyOutcomeSep,Sheet1!S71_A2Code,$AC:$AC,Sheet1!S71_A5CapexCode,$AD:$AD)</f>
        <v>0</v>
      </c>
      <c r="F9" s="1356">
        <f>SUMIFS(Sheet1!S71_MonthlyOutcomeOct,Sheet1!S71_A2Code,$AC:$AC,Sheet1!S71_A5CapexCode,$AD:$AD)</f>
        <v>0</v>
      </c>
      <c r="G9" s="1356">
        <f>SUMIFS(Sheet1!S71_MonthlyOutcomeNov,Sheet1!S71_A2Code,$AC:$AC,Sheet1!S71_A5CapexCode,$AD:$AD)</f>
        <v>0</v>
      </c>
      <c r="H9" s="1361">
        <f>SUMIFS(Sheet1!S71_MonthlyOutcomeDec,Sheet1!S71_A2Code,$AC:$AC,Sheet1!S71_A5CapexCode,$AD:$AD)</f>
        <v>0</v>
      </c>
      <c r="I9" s="1360">
        <f t="shared" si="4"/>
        <v>0</v>
      </c>
      <c r="J9" s="1356">
        <f t="shared" si="5"/>
        <v>0</v>
      </c>
      <c r="K9" s="1356">
        <f t="shared" si="6"/>
        <v>0</v>
      </c>
      <c r="L9" s="1356">
        <f t="shared" si="7"/>
        <v>0</v>
      </c>
      <c r="M9" s="1356">
        <f t="shared" si="8"/>
        <v>0</v>
      </c>
      <c r="N9" s="506">
        <f t="shared" si="3"/>
        <v>0</v>
      </c>
      <c r="O9" s="238">
        <f>'B5-Capex'!K48</f>
        <v>0</v>
      </c>
      <c r="P9" s="75">
        <f>'B5-Capex'!L48</f>
        <v>0</v>
      </c>
      <c r="Q9" s="76">
        <f>'B5-Capex'!M48</f>
        <v>0</v>
      </c>
      <c r="R9" s="126"/>
      <c r="AC9" s="1339" t="s">
        <v>1824</v>
      </c>
      <c r="AD9" s="1336" t="s">
        <v>1846</v>
      </c>
    </row>
    <row r="10" spans="1:30" ht="12.75" customHeight="1" x14ac:dyDescent="0.25">
      <c r="A10" s="107" t="str">
        <f>'B2-FinPerf SC'!A11</f>
        <v>Community and public safety</v>
      </c>
      <c r="B10" s="127"/>
      <c r="C10" s="880">
        <f t="shared" ref="C10:M10" si="9">SUM(C11:C15)</f>
        <v>1463719.45</v>
      </c>
      <c r="D10" s="881">
        <f t="shared" si="9"/>
        <v>362661.84</v>
      </c>
      <c r="E10" s="881">
        <f t="shared" si="9"/>
        <v>809469.41999999993</v>
      </c>
      <c r="F10" s="881">
        <f t="shared" si="9"/>
        <v>124174.8</v>
      </c>
      <c r="G10" s="881">
        <f t="shared" si="9"/>
        <v>337339.37</v>
      </c>
      <c r="H10" s="882">
        <f t="shared" si="9"/>
        <v>289654.73</v>
      </c>
      <c r="I10" s="880">
        <f t="shared" si="9"/>
        <v>1346424.8983333334</v>
      </c>
      <c r="J10" s="881">
        <f t="shared" si="9"/>
        <v>1346424.8983333334</v>
      </c>
      <c r="K10" s="881">
        <f t="shared" si="9"/>
        <v>1346424.8983333334</v>
      </c>
      <c r="L10" s="881">
        <f t="shared" si="9"/>
        <v>1346424.8983333334</v>
      </c>
      <c r="M10" s="881">
        <f t="shared" si="9"/>
        <v>1346424.8983333334</v>
      </c>
      <c r="N10" s="883">
        <f t="shared" si="3"/>
        <v>1346424.8983333334</v>
      </c>
      <c r="O10" s="770">
        <f>'B5-Capex'!K49</f>
        <v>11465569</v>
      </c>
      <c r="P10" s="771">
        <f>'B5-Capex'!L49</f>
        <v>0</v>
      </c>
      <c r="Q10" s="773">
        <f>'B5-Capex'!M49</f>
        <v>0</v>
      </c>
      <c r="R10" s="126"/>
      <c r="AC10" s="1339"/>
    </row>
    <row r="11" spans="1:30" ht="12.75" customHeight="1" x14ac:dyDescent="0.25">
      <c r="A11" s="108" t="str">
        <f>'B2-FinPerf SC'!A12</f>
        <v>Community and social services</v>
      </c>
      <c r="B11" s="127"/>
      <c r="C11" s="1356">
        <f>SUMIFS(Sheet1!S71_MonthlyOutcomeJul,Sheet1!S71_A2Code,$AC:$AC,Sheet1!S71_A5CapexCode,$AD:$AD)</f>
        <v>1463719.45</v>
      </c>
      <c r="D11" s="1356">
        <f>SUMIFS(Sheet1!S71_MonthlyOutcomeAug,Sheet1!S71_A2Code,$AC:$AC,Sheet1!S71_A5CapexCode,$AD:$AD)</f>
        <v>362661.84</v>
      </c>
      <c r="E11" s="1356">
        <f>SUMIFS(Sheet1!S71_MonthlyOutcomeSep,Sheet1!S71_A2Code,$AC:$AC,Sheet1!S71_A5CapexCode,$AD:$AD)</f>
        <v>809469.41999999993</v>
      </c>
      <c r="F11" s="1356">
        <f>SUMIFS(Sheet1!S71_MonthlyOutcomeOct,Sheet1!S71_A2Code,$AC:$AC,Sheet1!S71_A5CapexCode,$AD:$AD)</f>
        <v>124174.8</v>
      </c>
      <c r="G11" s="1356">
        <f>SUMIFS(Sheet1!S71_MonthlyOutcomeNov,Sheet1!S71_A2Code,$AC:$AC,Sheet1!S71_A5CapexCode,$AD:$AD)</f>
        <v>337339.37</v>
      </c>
      <c r="H11" s="1361">
        <f>SUMIFS(Sheet1!S71_MonthlyOutcomeDec,Sheet1!S71_A2Code,$AC:$AC,Sheet1!S71_A5CapexCode,$AD:$AD)</f>
        <v>289654.73</v>
      </c>
      <c r="I11" s="1360">
        <f t="shared" ref="I11:I15" si="10">(O11-SUM(C11:H11))/6</f>
        <v>1346424.8983333334</v>
      </c>
      <c r="J11" s="1356">
        <f t="shared" ref="J11:J15" si="11">(O11-SUM(C11:H11))/6</f>
        <v>1346424.8983333334</v>
      </c>
      <c r="K11" s="1356">
        <f t="shared" ref="K11:K15" si="12">(O11-SUM(C11:H11))/6</f>
        <v>1346424.8983333334</v>
      </c>
      <c r="L11" s="1356">
        <f t="shared" ref="L11:L15" si="13">(O11-SUM(C11:H11))/6</f>
        <v>1346424.8983333334</v>
      </c>
      <c r="M11" s="1356">
        <f t="shared" ref="M11:M15" si="14">(O11-SUM(C11:H11))/6</f>
        <v>1346424.8983333334</v>
      </c>
      <c r="N11" s="506">
        <f t="shared" si="3"/>
        <v>1346424.8983333334</v>
      </c>
      <c r="O11" s="238">
        <f>'B5-Capex'!K50</f>
        <v>11465569</v>
      </c>
      <c r="P11" s="75">
        <f>'B5-Capex'!L50</f>
        <v>0</v>
      </c>
      <c r="Q11" s="76">
        <f>'B5-Capex'!M50</f>
        <v>0</v>
      </c>
      <c r="R11" s="126"/>
      <c r="AC11" s="1339" t="s">
        <v>1830</v>
      </c>
      <c r="AD11" s="1336" t="s">
        <v>1846</v>
      </c>
    </row>
    <row r="12" spans="1:30" ht="12.75" customHeight="1" x14ac:dyDescent="0.25">
      <c r="A12" s="108" t="str">
        <f>'B2-FinPerf SC'!A13</f>
        <v>Sport and recreation</v>
      </c>
      <c r="B12" s="127"/>
      <c r="C12" s="1356">
        <f>SUMIFS(Sheet1!S71_MonthlyOutcomeJul,Sheet1!S71_A2Code,$AC:$AC,Sheet1!S71_A5CapexCode,$AD:$AD)</f>
        <v>0</v>
      </c>
      <c r="D12" s="1356">
        <f>SUMIFS(Sheet1!S71_MonthlyOutcomeAug,Sheet1!S71_A2Code,$AC:$AC,Sheet1!S71_A5CapexCode,$AD:$AD)</f>
        <v>0</v>
      </c>
      <c r="E12" s="1356">
        <f>SUMIFS(Sheet1!S71_MonthlyOutcomeSep,Sheet1!S71_A2Code,$AC:$AC,Sheet1!S71_A5CapexCode,$AD:$AD)</f>
        <v>0</v>
      </c>
      <c r="F12" s="1356">
        <f>SUMIFS(Sheet1!S71_MonthlyOutcomeOct,Sheet1!S71_A2Code,$AC:$AC,Sheet1!S71_A5CapexCode,$AD:$AD)</f>
        <v>0</v>
      </c>
      <c r="G12" s="1356">
        <f>SUMIFS(Sheet1!S71_MonthlyOutcomeNov,Sheet1!S71_A2Code,$AC:$AC,Sheet1!S71_A5CapexCode,$AD:$AD)</f>
        <v>0</v>
      </c>
      <c r="H12" s="1361">
        <f>SUMIFS(Sheet1!S71_MonthlyOutcomeDec,Sheet1!S71_A2Code,$AC:$AC,Sheet1!S71_A5CapexCode,$AD:$AD)</f>
        <v>0</v>
      </c>
      <c r="I12" s="1360">
        <f t="shared" si="10"/>
        <v>0</v>
      </c>
      <c r="J12" s="1356">
        <f t="shared" si="11"/>
        <v>0</v>
      </c>
      <c r="K12" s="1356">
        <f t="shared" si="12"/>
        <v>0</v>
      </c>
      <c r="L12" s="1356">
        <f t="shared" si="13"/>
        <v>0</v>
      </c>
      <c r="M12" s="1356">
        <f t="shared" si="14"/>
        <v>0</v>
      </c>
      <c r="N12" s="506">
        <f t="shared" si="3"/>
        <v>0</v>
      </c>
      <c r="O12" s="238">
        <f>'B5-Capex'!K51</f>
        <v>0</v>
      </c>
      <c r="P12" s="75">
        <f>'B5-Capex'!L51</f>
        <v>0</v>
      </c>
      <c r="Q12" s="76">
        <f>'B5-Capex'!M51</f>
        <v>0</v>
      </c>
      <c r="R12" s="126"/>
      <c r="AC12" s="1339" t="s">
        <v>1831</v>
      </c>
      <c r="AD12" s="1336" t="s">
        <v>1846</v>
      </c>
    </row>
    <row r="13" spans="1:30" ht="12.75" customHeight="1" x14ac:dyDescent="0.25">
      <c r="A13" s="108" t="str">
        <f>'B2-FinPerf SC'!A14</f>
        <v>Public safety</v>
      </c>
      <c r="B13" s="127"/>
      <c r="C13" s="1356">
        <f>SUMIFS(Sheet1!S71_MonthlyOutcomeJul,Sheet1!S71_A2Code,$AC:$AC,Sheet1!S71_A5CapexCode,$AD:$AD)</f>
        <v>0</v>
      </c>
      <c r="D13" s="1356">
        <f>SUMIFS(Sheet1!S71_MonthlyOutcomeAug,Sheet1!S71_A2Code,$AC:$AC,Sheet1!S71_A5CapexCode,$AD:$AD)</f>
        <v>0</v>
      </c>
      <c r="E13" s="1356">
        <f>SUMIFS(Sheet1!S71_MonthlyOutcomeSep,Sheet1!S71_A2Code,$AC:$AC,Sheet1!S71_A5CapexCode,$AD:$AD)</f>
        <v>0</v>
      </c>
      <c r="F13" s="1356">
        <f>SUMIFS(Sheet1!S71_MonthlyOutcomeOct,Sheet1!S71_A2Code,$AC:$AC,Sheet1!S71_A5CapexCode,$AD:$AD)</f>
        <v>0</v>
      </c>
      <c r="G13" s="1356">
        <f>SUMIFS(Sheet1!S71_MonthlyOutcomeNov,Sheet1!S71_A2Code,$AC:$AC,Sheet1!S71_A5CapexCode,$AD:$AD)</f>
        <v>0</v>
      </c>
      <c r="H13" s="1361">
        <f>SUMIFS(Sheet1!S71_MonthlyOutcomeDec,Sheet1!S71_A2Code,$AC:$AC,Sheet1!S71_A5CapexCode,$AD:$AD)</f>
        <v>0</v>
      </c>
      <c r="I13" s="1360">
        <f t="shared" si="10"/>
        <v>0</v>
      </c>
      <c r="J13" s="1356">
        <f t="shared" si="11"/>
        <v>0</v>
      </c>
      <c r="K13" s="1356">
        <f t="shared" si="12"/>
        <v>0</v>
      </c>
      <c r="L13" s="1356">
        <f t="shared" si="13"/>
        <v>0</v>
      </c>
      <c r="M13" s="1356">
        <f t="shared" si="14"/>
        <v>0</v>
      </c>
      <c r="N13" s="506">
        <f t="shared" si="3"/>
        <v>0</v>
      </c>
      <c r="O13" s="238">
        <f>'B5-Capex'!K52</f>
        <v>0</v>
      </c>
      <c r="P13" s="75">
        <f>'B5-Capex'!L52</f>
        <v>0</v>
      </c>
      <c r="Q13" s="76">
        <f>'B5-Capex'!M52</f>
        <v>0</v>
      </c>
      <c r="R13" s="126"/>
      <c r="AC13" s="1339" t="s">
        <v>1832</v>
      </c>
      <c r="AD13" s="1336" t="s">
        <v>1846</v>
      </c>
    </row>
    <row r="14" spans="1:30" ht="12.75" customHeight="1" x14ac:dyDescent="0.25">
      <c r="A14" s="108" t="str">
        <f>'B2-FinPerf SC'!A15</f>
        <v>Housing</v>
      </c>
      <c r="B14" s="127"/>
      <c r="C14" s="1356">
        <f>SUMIFS(Sheet1!S71_MonthlyOutcomeJul,Sheet1!S71_A2Code,$AC:$AC,Sheet1!S71_A5CapexCode,$AD:$AD)</f>
        <v>0</v>
      </c>
      <c r="D14" s="1356">
        <f>SUMIFS(Sheet1!S71_MonthlyOutcomeAug,Sheet1!S71_A2Code,$AC:$AC,Sheet1!S71_A5CapexCode,$AD:$AD)</f>
        <v>0</v>
      </c>
      <c r="E14" s="1356">
        <f>SUMIFS(Sheet1!S71_MonthlyOutcomeSep,Sheet1!S71_A2Code,$AC:$AC,Sheet1!S71_A5CapexCode,$AD:$AD)</f>
        <v>0</v>
      </c>
      <c r="F14" s="1356">
        <f>SUMIFS(Sheet1!S71_MonthlyOutcomeOct,Sheet1!S71_A2Code,$AC:$AC,Sheet1!S71_A5CapexCode,$AD:$AD)</f>
        <v>0</v>
      </c>
      <c r="G14" s="1356">
        <f>SUMIFS(Sheet1!S71_MonthlyOutcomeNov,Sheet1!S71_A2Code,$AC:$AC,Sheet1!S71_A5CapexCode,$AD:$AD)</f>
        <v>0</v>
      </c>
      <c r="H14" s="1361">
        <f>SUMIFS(Sheet1!S71_MonthlyOutcomeDec,Sheet1!S71_A2Code,$AC:$AC,Sheet1!S71_A5CapexCode,$AD:$AD)</f>
        <v>0</v>
      </c>
      <c r="I14" s="1360">
        <f t="shared" si="10"/>
        <v>0</v>
      </c>
      <c r="J14" s="1356">
        <f t="shared" si="11"/>
        <v>0</v>
      </c>
      <c r="K14" s="1356">
        <f t="shared" si="12"/>
        <v>0</v>
      </c>
      <c r="L14" s="1356">
        <f t="shared" si="13"/>
        <v>0</v>
      </c>
      <c r="M14" s="1356">
        <f t="shared" si="14"/>
        <v>0</v>
      </c>
      <c r="N14" s="506">
        <f t="shared" si="3"/>
        <v>0</v>
      </c>
      <c r="O14" s="238">
        <f>'B5-Capex'!K53</f>
        <v>0</v>
      </c>
      <c r="P14" s="75">
        <f>'B5-Capex'!L53</f>
        <v>0</v>
      </c>
      <c r="Q14" s="76">
        <f>'B5-Capex'!M53</f>
        <v>0</v>
      </c>
      <c r="R14" s="126"/>
      <c r="AC14" s="1339" t="s">
        <v>1833</v>
      </c>
      <c r="AD14" s="1336" t="s">
        <v>1846</v>
      </c>
    </row>
    <row r="15" spans="1:30" ht="12.75" customHeight="1" x14ac:dyDescent="0.25">
      <c r="A15" s="108" t="str">
        <f>'B2-FinPerf SC'!A16</f>
        <v>Health</v>
      </c>
      <c r="B15" s="127"/>
      <c r="C15" s="1356">
        <f>SUMIFS(Sheet1!S71_MonthlyOutcomeJul,Sheet1!S71_A2Code,$AC:$AC,Sheet1!S71_A5CapexCode,$AD:$AD)</f>
        <v>0</v>
      </c>
      <c r="D15" s="1356">
        <f>SUMIFS(Sheet1!S71_MonthlyOutcomeAug,Sheet1!S71_A2Code,$AC:$AC,Sheet1!S71_A5CapexCode,$AD:$AD)</f>
        <v>0</v>
      </c>
      <c r="E15" s="1356">
        <f>SUMIFS(Sheet1!S71_MonthlyOutcomeSep,Sheet1!S71_A2Code,$AC:$AC,Sheet1!S71_A5CapexCode,$AD:$AD)</f>
        <v>0</v>
      </c>
      <c r="F15" s="1356">
        <f>SUMIFS(Sheet1!S71_MonthlyOutcomeOct,Sheet1!S71_A2Code,$AC:$AC,Sheet1!S71_A5CapexCode,$AD:$AD)</f>
        <v>0</v>
      </c>
      <c r="G15" s="1356">
        <f>SUMIFS(Sheet1!S71_MonthlyOutcomeNov,Sheet1!S71_A2Code,$AC:$AC,Sheet1!S71_A5CapexCode,$AD:$AD)</f>
        <v>0</v>
      </c>
      <c r="H15" s="1361">
        <f>SUMIFS(Sheet1!S71_MonthlyOutcomeDec,Sheet1!S71_A2Code,$AC:$AC,Sheet1!S71_A5CapexCode,$AD:$AD)</f>
        <v>0</v>
      </c>
      <c r="I15" s="1360">
        <f t="shared" si="10"/>
        <v>0</v>
      </c>
      <c r="J15" s="1356">
        <f t="shared" si="11"/>
        <v>0</v>
      </c>
      <c r="K15" s="1356">
        <f t="shared" si="12"/>
        <v>0</v>
      </c>
      <c r="L15" s="1356">
        <f t="shared" si="13"/>
        <v>0</v>
      </c>
      <c r="M15" s="1356">
        <f t="shared" si="14"/>
        <v>0</v>
      </c>
      <c r="N15" s="506">
        <f t="shared" si="3"/>
        <v>0</v>
      </c>
      <c r="O15" s="238">
        <f>'B5-Capex'!K54</f>
        <v>0</v>
      </c>
      <c r="P15" s="75">
        <f>'B5-Capex'!L54</f>
        <v>0</v>
      </c>
      <c r="Q15" s="76">
        <f>'B5-Capex'!M54</f>
        <v>0</v>
      </c>
      <c r="R15" s="126"/>
      <c r="AC15" s="1339" t="s">
        <v>1834</v>
      </c>
      <c r="AD15" s="1336" t="s">
        <v>1846</v>
      </c>
    </row>
    <row r="16" spans="1:30" ht="12.75" customHeight="1" x14ac:dyDescent="0.25">
      <c r="A16" s="107" t="str">
        <f>'B2-FinPerf SC'!A17</f>
        <v>Economic and environmental services</v>
      </c>
      <c r="B16" s="127"/>
      <c r="C16" s="880">
        <f t="shared" ref="C16:M16" si="15">SUM(C17:C19)</f>
        <v>4809527.17</v>
      </c>
      <c r="D16" s="881">
        <f t="shared" si="15"/>
        <v>0</v>
      </c>
      <c r="E16" s="881">
        <f t="shared" si="15"/>
        <v>486727.25</v>
      </c>
      <c r="F16" s="881">
        <f t="shared" si="15"/>
        <v>5760736.8300000001</v>
      </c>
      <c r="G16" s="881">
        <f t="shared" si="15"/>
        <v>3775227.74</v>
      </c>
      <c r="H16" s="882">
        <f t="shared" si="15"/>
        <v>2670097.5</v>
      </c>
      <c r="I16" s="880">
        <f t="shared" si="15"/>
        <v>262108.58499999964</v>
      </c>
      <c r="J16" s="881">
        <f t="shared" si="15"/>
        <v>262108.58499999964</v>
      </c>
      <c r="K16" s="881">
        <f t="shared" si="15"/>
        <v>262108.58499999964</v>
      </c>
      <c r="L16" s="881">
        <f t="shared" si="15"/>
        <v>262108.58499999964</v>
      </c>
      <c r="M16" s="881">
        <f t="shared" si="15"/>
        <v>262108.58499999964</v>
      </c>
      <c r="N16" s="883">
        <f t="shared" si="3"/>
        <v>262108.58499999344</v>
      </c>
      <c r="O16" s="770">
        <f>'B5-Capex'!K55</f>
        <v>19074968</v>
      </c>
      <c r="P16" s="771">
        <f>'B5-Capex'!L55</f>
        <v>18227000</v>
      </c>
      <c r="Q16" s="773">
        <f>'B5-Capex'!M55</f>
        <v>17781000</v>
      </c>
      <c r="R16" s="126"/>
      <c r="AC16" s="1339"/>
    </row>
    <row r="17" spans="1:30" ht="12.75" customHeight="1" x14ac:dyDescent="0.25">
      <c r="A17" s="108" t="str">
        <f>'B2-FinPerf SC'!A18</f>
        <v>Planning and development</v>
      </c>
      <c r="B17" s="127"/>
      <c r="C17" s="1356">
        <f>SUMIFS(Sheet1!S71_MonthlyOutcomeJul,Sheet1!S71_A2Code,$AC:$AC,Sheet1!S71_A5CapexCode,$AD:$AD)</f>
        <v>0</v>
      </c>
      <c r="D17" s="1356">
        <f>SUMIFS(Sheet1!S71_MonthlyOutcomeAug,Sheet1!S71_A2Code,$AC:$AC,Sheet1!S71_A5CapexCode,$AD:$AD)</f>
        <v>0</v>
      </c>
      <c r="E17" s="1356">
        <f>SUMIFS(Sheet1!S71_MonthlyOutcomeSep,Sheet1!S71_A2Code,$AC:$AC,Sheet1!S71_A5CapexCode,$AD:$AD)</f>
        <v>0</v>
      </c>
      <c r="F17" s="1356">
        <f>SUMIFS(Sheet1!S71_MonthlyOutcomeOct,Sheet1!S71_A2Code,$AC:$AC,Sheet1!S71_A5CapexCode,$AD:$AD)</f>
        <v>0</v>
      </c>
      <c r="G17" s="1356">
        <f>SUMIFS(Sheet1!S71_MonthlyOutcomeNov,Sheet1!S71_A2Code,$AC:$AC,Sheet1!S71_A5CapexCode,$AD:$AD)</f>
        <v>0</v>
      </c>
      <c r="H17" s="1361">
        <f>SUMIFS(Sheet1!S71_MonthlyOutcomeDec,Sheet1!S71_A2Code,$AC:$AC,Sheet1!S71_A5CapexCode,$AD:$AD)</f>
        <v>0</v>
      </c>
      <c r="I17" s="1360">
        <f t="shared" ref="I17:I19" si="16">(O17-SUM(C17:H17))/6</f>
        <v>0</v>
      </c>
      <c r="J17" s="1356">
        <f t="shared" ref="J17:J19" si="17">(O17-SUM(C17:H17))/6</f>
        <v>0</v>
      </c>
      <c r="K17" s="1356">
        <f t="shared" ref="K17:K19" si="18">(O17-SUM(C17:H17))/6</f>
        <v>0</v>
      </c>
      <c r="L17" s="1356">
        <f t="shared" ref="L17:L19" si="19">(O17-SUM(C17:H17))/6</f>
        <v>0</v>
      </c>
      <c r="M17" s="1356">
        <f t="shared" ref="M17:M19" si="20">(O17-SUM(C17:H17))/6</f>
        <v>0</v>
      </c>
      <c r="N17" s="506">
        <f t="shared" si="3"/>
        <v>0</v>
      </c>
      <c r="O17" s="238">
        <f>'B5-Capex'!K56</f>
        <v>0</v>
      </c>
      <c r="P17" s="75">
        <f>'B5-Capex'!L56</f>
        <v>0</v>
      </c>
      <c r="Q17" s="76">
        <f>'B5-Capex'!M56</f>
        <v>0</v>
      </c>
      <c r="R17" s="126"/>
      <c r="AC17" s="1339" t="s">
        <v>1847</v>
      </c>
      <c r="AD17" s="1336" t="s">
        <v>1846</v>
      </c>
    </row>
    <row r="18" spans="1:30" ht="12.75" customHeight="1" x14ac:dyDescent="0.25">
      <c r="A18" s="108" t="str">
        <f>'B2-FinPerf SC'!A19</f>
        <v>Road transport</v>
      </c>
      <c r="B18" s="127"/>
      <c r="C18" s="1356">
        <f>SUMIFS(Sheet1!S71_MonthlyOutcomeJul,Sheet1!S71_A2Code,$AC:$AC,Sheet1!S71_A5CapexCode,$AD:$AD)</f>
        <v>4809527.17</v>
      </c>
      <c r="D18" s="1356">
        <f>SUMIFS(Sheet1!S71_MonthlyOutcomeAug,Sheet1!S71_A2Code,$AC:$AC,Sheet1!S71_A5CapexCode,$AD:$AD)</f>
        <v>0</v>
      </c>
      <c r="E18" s="1356">
        <f>SUMIFS(Sheet1!S71_MonthlyOutcomeSep,Sheet1!S71_A2Code,$AC:$AC,Sheet1!S71_A5CapexCode,$AD:$AD)</f>
        <v>486727.25</v>
      </c>
      <c r="F18" s="1356">
        <f>SUMIFS(Sheet1!S71_MonthlyOutcomeOct,Sheet1!S71_A2Code,$AC:$AC,Sheet1!S71_A5CapexCode,$AD:$AD)</f>
        <v>5760736.8300000001</v>
      </c>
      <c r="G18" s="1356">
        <f>SUMIFS(Sheet1!S71_MonthlyOutcomeNov,Sheet1!S71_A2Code,$AC:$AC,Sheet1!S71_A5CapexCode,$AD:$AD)</f>
        <v>3775227.74</v>
      </c>
      <c r="H18" s="1361">
        <f>SUMIFS(Sheet1!S71_MonthlyOutcomeDec,Sheet1!S71_A2Code,$AC:$AC,Sheet1!S71_A5CapexCode,$AD:$AD)</f>
        <v>2670097.5</v>
      </c>
      <c r="I18" s="1360">
        <f t="shared" si="16"/>
        <v>262108.58499999964</v>
      </c>
      <c r="J18" s="1356">
        <f t="shared" si="17"/>
        <v>262108.58499999964</v>
      </c>
      <c r="K18" s="1356">
        <f t="shared" si="18"/>
        <v>262108.58499999964</v>
      </c>
      <c r="L18" s="1356">
        <f t="shared" si="19"/>
        <v>262108.58499999964</v>
      </c>
      <c r="M18" s="1356">
        <f t="shared" si="20"/>
        <v>262108.58499999964</v>
      </c>
      <c r="N18" s="506">
        <f t="shared" si="3"/>
        <v>262108.58499999344</v>
      </c>
      <c r="O18" s="238">
        <f>'B5-Capex'!K57</f>
        <v>19074968</v>
      </c>
      <c r="P18" s="75">
        <f>'B5-Capex'!L57</f>
        <v>18227000</v>
      </c>
      <c r="Q18" s="76">
        <f>'B5-Capex'!M57</f>
        <v>17781000</v>
      </c>
      <c r="R18" s="126"/>
      <c r="AC18" s="1339" t="s">
        <v>1848</v>
      </c>
      <c r="AD18" s="1336" t="s">
        <v>1846</v>
      </c>
    </row>
    <row r="19" spans="1:30" ht="12.75" customHeight="1" x14ac:dyDescent="0.25">
      <c r="A19" s="108" t="str">
        <f>'B2-FinPerf SC'!A20</f>
        <v>Environmental protection</v>
      </c>
      <c r="B19" s="127"/>
      <c r="C19" s="1356">
        <f>SUMIFS(Sheet1!S71_MonthlyOutcomeJul,Sheet1!S71_A2Code,$AC:$AC,Sheet1!S71_A5CapexCode,$AD:$AD)</f>
        <v>0</v>
      </c>
      <c r="D19" s="1356">
        <f>SUMIFS(Sheet1!S71_MonthlyOutcomeAug,Sheet1!S71_A2Code,$AC:$AC,Sheet1!S71_A5CapexCode,$AD:$AD)</f>
        <v>0</v>
      </c>
      <c r="E19" s="1356">
        <f>SUMIFS(Sheet1!S71_MonthlyOutcomeSep,Sheet1!S71_A2Code,$AC:$AC,Sheet1!S71_A5CapexCode,$AD:$AD)</f>
        <v>0</v>
      </c>
      <c r="F19" s="1356">
        <f>SUMIFS(Sheet1!S71_MonthlyOutcomeOct,Sheet1!S71_A2Code,$AC:$AC,Sheet1!S71_A5CapexCode,$AD:$AD)</f>
        <v>0</v>
      </c>
      <c r="G19" s="1356">
        <f>SUMIFS(Sheet1!S71_MonthlyOutcomeNov,Sheet1!S71_A2Code,$AC:$AC,Sheet1!S71_A5CapexCode,$AD:$AD)</f>
        <v>0</v>
      </c>
      <c r="H19" s="1361">
        <f>SUMIFS(Sheet1!S71_MonthlyOutcomeDec,Sheet1!S71_A2Code,$AC:$AC,Sheet1!S71_A5CapexCode,$AD:$AD)</f>
        <v>0</v>
      </c>
      <c r="I19" s="1360">
        <f t="shared" si="16"/>
        <v>0</v>
      </c>
      <c r="J19" s="1356">
        <f t="shared" si="17"/>
        <v>0</v>
      </c>
      <c r="K19" s="1356">
        <f t="shared" si="18"/>
        <v>0</v>
      </c>
      <c r="L19" s="1356">
        <f t="shared" si="19"/>
        <v>0</v>
      </c>
      <c r="M19" s="1356">
        <f t="shared" si="20"/>
        <v>0</v>
      </c>
      <c r="N19" s="506">
        <f t="shared" si="3"/>
        <v>0</v>
      </c>
      <c r="O19" s="238">
        <f>'B5-Capex'!K58</f>
        <v>0</v>
      </c>
      <c r="P19" s="75">
        <f>'B5-Capex'!L58</f>
        <v>0</v>
      </c>
      <c r="Q19" s="76">
        <f>'B5-Capex'!M58</f>
        <v>0</v>
      </c>
      <c r="R19" s="126"/>
      <c r="AC19" s="1339" t="s">
        <v>1840</v>
      </c>
      <c r="AD19" s="1336" t="s">
        <v>1846</v>
      </c>
    </row>
    <row r="20" spans="1:30" ht="12.75" customHeight="1" x14ac:dyDescent="0.25">
      <c r="A20" s="107" t="str">
        <f>'B2-FinPerf SC'!A21</f>
        <v>Trading services</v>
      </c>
      <c r="B20" s="127"/>
      <c r="C20" s="880">
        <f>SUM(C21:C24)</f>
        <v>0</v>
      </c>
      <c r="D20" s="881">
        <f t="shared" ref="D20:M20" si="21">SUM(D21:D24)</f>
        <v>0</v>
      </c>
      <c r="E20" s="881">
        <f t="shared" si="21"/>
        <v>0</v>
      </c>
      <c r="F20" s="881">
        <f t="shared" si="21"/>
        <v>0</v>
      </c>
      <c r="G20" s="881">
        <f t="shared" si="21"/>
        <v>0</v>
      </c>
      <c r="H20" s="882">
        <f t="shared" si="21"/>
        <v>0</v>
      </c>
      <c r="I20" s="880">
        <f t="shared" si="21"/>
        <v>0</v>
      </c>
      <c r="J20" s="881">
        <f t="shared" si="21"/>
        <v>0</v>
      </c>
      <c r="K20" s="881">
        <f t="shared" si="21"/>
        <v>0</v>
      </c>
      <c r="L20" s="881">
        <f t="shared" si="21"/>
        <v>0</v>
      </c>
      <c r="M20" s="881">
        <f t="shared" si="21"/>
        <v>0</v>
      </c>
      <c r="N20" s="883">
        <f t="shared" si="3"/>
        <v>0</v>
      </c>
      <c r="O20" s="770">
        <f>'B5-Capex'!K59</f>
        <v>0</v>
      </c>
      <c r="P20" s="771">
        <f>'B5-Capex'!L59</f>
        <v>0</v>
      </c>
      <c r="Q20" s="773">
        <f>'B5-Capex'!M59</f>
        <v>0</v>
      </c>
      <c r="R20" s="126"/>
      <c r="AC20" s="1339"/>
      <c r="AD20" s="1336" t="s">
        <v>1846</v>
      </c>
    </row>
    <row r="21" spans="1:30" ht="12.75" customHeight="1" x14ac:dyDescent="0.25">
      <c r="A21" s="108" t="str">
        <f>'B2-FinPerf SC'!A22</f>
        <v>Energy sources</v>
      </c>
      <c r="B21" s="127"/>
      <c r="C21" s="1356">
        <f>SUMIFS(Sheet1!S71_MonthlyOutcomeJul,Sheet1!S71_A2Code,$AC:$AC,Sheet1!S71_A5CapexCode,$AD:$AD)</f>
        <v>0</v>
      </c>
      <c r="D21" s="1356">
        <f>SUMIFS(Sheet1!S71_MonthlyOutcomeAug,Sheet1!S71_A2Code,$AC:$AC,Sheet1!S71_A5CapexCode,$AD:$AD)</f>
        <v>0</v>
      </c>
      <c r="E21" s="1356">
        <f>SUMIFS(Sheet1!S71_MonthlyOutcomeSep,Sheet1!S71_A2Code,$AC:$AC,Sheet1!S71_A5CapexCode,$AD:$AD)</f>
        <v>0</v>
      </c>
      <c r="F21" s="1356">
        <f>SUMIFS(Sheet1!S71_MonthlyOutcomeOct,Sheet1!S71_A2Code,$AC:$AC,Sheet1!S71_A5CapexCode,$AD:$AD)</f>
        <v>0</v>
      </c>
      <c r="G21" s="1356">
        <f>SUMIFS(Sheet1!S71_MonthlyOutcomeNov,Sheet1!S71_A2Code,$AC:$AC,Sheet1!S71_A5CapexCode,$AD:$AD)</f>
        <v>0</v>
      </c>
      <c r="H21" s="1361">
        <f>SUMIFS(Sheet1!S71_MonthlyOutcomeDec,Sheet1!S71_A2Code,$AC:$AC,Sheet1!S71_A5CapexCode,$AD:$AD)</f>
        <v>0</v>
      </c>
      <c r="I21" s="1360">
        <f t="shared" ref="I21:I25" si="22">(O21-SUM(C21:H21))/6</f>
        <v>0</v>
      </c>
      <c r="J21" s="1356">
        <f t="shared" ref="J21:J25" si="23">(O21-SUM(C21:H21))/6</f>
        <v>0</v>
      </c>
      <c r="K21" s="1356">
        <f t="shared" ref="K21:K25" si="24">(O21-SUM(C21:H21))/6</f>
        <v>0</v>
      </c>
      <c r="L21" s="1356">
        <f t="shared" ref="L21:L25" si="25">(O21-SUM(C21:H21))/6</f>
        <v>0</v>
      </c>
      <c r="M21" s="1356">
        <f t="shared" ref="M21:M25" si="26">(O21-SUM(C21:H21))/6</f>
        <v>0</v>
      </c>
      <c r="N21" s="506">
        <f t="shared" si="3"/>
        <v>0</v>
      </c>
      <c r="O21" s="238">
        <f>'B5-Capex'!K60</f>
        <v>0</v>
      </c>
      <c r="P21" s="75">
        <f>'B5-Capex'!L60</f>
        <v>0</v>
      </c>
      <c r="Q21" s="76">
        <f>'B5-Capex'!M60</f>
        <v>0</v>
      </c>
      <c r="R21" s="126"/>
      <c r="AC21" s="1339" t="s">
        <v>1845</v>
      </c>
      <c r="AD21" s="1336" t="s">
        <v>1846</v>
      </c>
    </row>
    <row r="22" spans="1:30" ht="12.75" customHeight="1" x14ac:dyDescent="0.25">
      <c r="A22" s="108" t="str">
        <f>'B2-FinPerf SC'!A23</f>
        <v>Water management</v>
      </c>
      <c r="B22" s="127"/>
      <c r="C22" s="1356">
        <f>SUMIFS(Sheet1!S71_MonthlyOutcomeJul,Sheet1!S71_A2Code,$AC:$AC,Sheet1!S71_A5CapexCode,$AD:$AD)</f>
        <v>0</v>
      </c>
      <c r="D22" s="1356">
        <f>SUMIFS(Sheet1!S71_MonthlyOutcomeAug,Sheet1!S71_A2Code,$AC:$AC,Sheet1!S71_A5CapexCode,$AD:$AD)</f>
        <v>0</v>
      </c>
      <c r="E22" s="1356">
        <f>SUMIFS(Sheet1!S71_MonthlyOutcomeSep,Sheet1!S71_A2Code,$AC:$AC,Sheet1!S71_A5CapexCode,$AD:$AD)</f>
        <v>0</v>
      </c>
      <c r="F22" s="1356">
        <f>SUMIFS(Sheet1!S71_MonthlyOutcomeOct,Sheet1!S71_A2Code,$AC:$AC,Sheet1!S71_A5CapexCode,$AD:$AD)</f>
        <v>0</v>
      </c>
      <c r="G22" s="1356">
        <f>SUMIFS(Sheet1!S71_MonthlyOutcomeNov,Sheet1!S71_A2Code,$AC:$AC,Sheet1!S71_A5CapexCode,$AD:$AD)</f>
        <v>0</v>
      </c>
      <c r="H22" s="1361">
        <f>SUMIFS(Sheet1!S71_MonthlyOutcomeDec,Sheet1!S71_A2Code,$AC:$AC,Sheet1!S71_A5CapexCode,$AD:$AD)</f>
        <v>0</v>
      </c>
      <c r="I22" s="1360">
        <f t="shared" si="22"/>
        <v>0</v>
      </c>
      <c r="J22" s="1356">
        <f t="shared" si="23"/>
        <v>0</v>
      </c>
      <c r="K22" s="1356">
        <f t="shared" si="24"/>
        <v>0</v>
      </c>
      <c r="L22" s="1356">
        <f t="shared" si="25"/>
        <v>0</v>
      </c>
      <c r="M22" s="1356">
        <f t="shared" si="26"/>
        <v>0</v>
      </c>
      <c r="N22" s="506">
        <f t="shared" si="3"/>
        <v>0</v>
      </c>
      <c r="O22" s="238">
        <f>'B5-Capex'!K61</f>
        <v>0</v>
      </c>
      <c r="P22" s="75">
        <f>'B5-Capex'!L61</f>
        <v>0</v>
      </c>
      <c r="Q22" s="76">
        <f>'B5-Capex'!M61</f>
        <v>0</v>
      </c>
      <c r="R22" s="126"/>
      <c r="AC22" s="1339" t="s">
        <v>1849</v>
      </c>
      <c r="AD22" s="1336" t="s">
        <v>1846</v>
      </c>
    </row>
    <row r="23" spans="1:30" ht="12.75" customHeight="1" x14ac:dyDescent="0.25">
      <c r="A23" s="108" t="str">
        <f>'B2-FinPerf SC'!A24</f>
        <v>Waste water management</v>
      </c>
      <c r="B23" s="127"/>
      <c r="C23" s="1356">
        <f>SUMIFS(Sheet1!S71_MonthlyOutcomeJul,Sheet1!S71_A2Code,$AC:$AC,Sheet1!S71_A5CapexCode,$AD:$AD)</f>
        <v>0</v>
      </c>
      <c r="D23" s="1356">
        <f>SUMIFS(Sheet1!S71_MonthlyOutcomeAug,Sheet1!S71_A2Code,$AC:$AC,Sheet1!S71_A5CapexCode,$AD:$AD)</f>
        <v>0</v>
      </c>
      <c r="E23" s="1356">
        <f>SUMIFS(Sheet1!S71_MonthlyOutcomeSep,Sheet1!S71_A2Code,$AC:$AC,Sheet1!S71_A5CapexCode,$AD:$AD)</f>
        <v>0</v>
      </c>
      <c r="F23" s="1356">
        <f>SUMIFS(Sheet1!S71_MonthlyOutcomeOct,Sheet1!S71_A2Code,$AC:$AC,Sheet1!S71_A5CapexCode,$AD:$AD)</f>
        <v>0</v>
      </c>
      <c r="G23" s="1356">
        <f>SUMIFS(Sheet1!S71_MonthlyOutcomeNov,Sheet1!S71_A2Code,$AC:$AC,Sheet1!S71_A5CapexCode,$AD:$AD)</f>
        <v>0</v>
      </c>
      <c r="H23" s="1361">
        <f>SUMIFS(Sheet1!S71_MonthlyOutcomeDec,Sheet1!S71_A2Code,$AC:$AC,Sheet1!S71_A5CapexCode,$AD:$AD)</f>
        <v>0</v>
      </c>
      <c r="I23" s="1360">
        <f t="shared" si="22"/>
        <v>0</v>
      </c>
      <c r="J23" s="1356">
        <f t="shared" si="23"/>
        <v>0</v>
      </c>
      <c r="K23" s="1356">
        <f t="shared" si="24"/>
        <v>0</v>
      </c>
      <c r="L23" s="1356">
        <f t="shared" si="25"/>
        <v>0</v>
      </c>
      <c r="M23" s="1356">
        <f t="shared" si="26"/>
        <v>0</v>
      </c>
      <c r="N23" s="506">
        <f t="shared" si="3"/>
        <v>0</v>
      </c>
      <c r="O23" s="238">
        <f>'B5-Capex'!K62</f>
        <v>0</v>
      </c>
      <c r="P23" s="75">
        <f>'B5-Capex'!L62</f>
        <v>0</v>
      </c>
      <c r="Q23" s="76">
        <f>'B5-Capex'!M62</f>
        <v>0</v>
      </c>
      <c r="R23" s="126"/>
      <c r="AC23" s="1339" t="s">
        <v>1850</v>
      </c>
      <c r="AD23" s="1336" t="s">
        <v>1846</v>
      </c>
    </row>
    <row r="24" spans="1:30" ht="12.75" customHeight="1" x14ac:dyDescent="0.25">
      <c r="A24" s="108" t="str">
        <f>'B2-FinPerf SC'!A25</f>
        <v>Waste management</v>
      </c>
      <c r="B24" s="127"/>
      <c r="C24" s="1356">
        <f>SUMIFS(Sheet1!S71_MonthlyOutcomeJul,Sheet1!S71_A2Code,$AC:$AC,Sheet1!S71_A5CapexCode,$AD:$AD)</f>
        <v>0</v>
      </c>
      <c r="D24" s="1356">
        <f>SUMIFS(Sheet1!S71_MonthlyOutcomeAug,Sheet1!S71_A2Code,$AC:$AC,Sheet1!S71_A5CapexCode,$AD:$AD)</f>
        <v>0</v>
      </c>
      <c r="E24" s="1356">
        <f>SUMIFS(Sheet1!S71_MonthlyOutcomeSep,Sheet1!S71_A2Code,$AC:$AC,Sheet1!S71_A5CapexCode,$AD:$AD)</f>
        <v>0</v>
      </c>
      <c r="F24" s="1356">
        <f>SUMIFS(Sheet1!S71_MonthlyOutcomeOct,Sheet1!S71_A2Code,$AC:$AC,Sheet1!S71_A5CapexCode,$AD:$AD)</f>
        <v>0</v>
      </c>
      <c r="G24" s="1356">
        <f>SUMIFS(Sheet1!S71_MonthlyOutcomeNov,Sheet1!S71_A2Code,$AC:$AC,Sheet1!S71_A5CapexCode,$AD:$AD)</f>
        <v>0</v>
      </c>
      <c r="H24" s="1361">
        <f>SUMIFS(Sheet1!S71_MonthlyOutcomeDec,Sheet1!S71_A2Code,$AC:$AC,Sheet1!S71_A5CapexCode,$AD:$AD)</f>
        <v>0</v>
      </c>
      <c r="I24" s="1360">
        <f t="shared" si="22"/>
        <v>0</v>
      </c>
      <c r="J24" s="1356">
        <f t="shared" si="23"/>
        <v>0</v>
      </c>
      <c r="K24" s="1356">
        <f t="shared" si="24"/>
        <v>0</v>
      </c>
      <c r="L24" s="1356">
        <f t="shared" si="25"/>
        <v>0</v>
      </c>
      <c r="M24" s="1356">
        <f t="shared" si="26"/>
        <v>0</v>
      </c>
      <c r="N24" s="506">
        <f t="shared" si="3"/>
        <v>0</v>
      </c>
      <c r="O24" s="238">
        <f>'B5-Capex'!K63</f>
        <v>0</v>
      </c>
      <c r="P24" s="75">
        <f>'B5-Capex'!L63</f>
        <v>0</v>
      </c>
      <c r="Q24" s="76">
        <f>'B5-Capex'!M63</f>
        <v>0</v>
      </c>
      <c r="R24" s="126"/>
      <c r="AC24" s="1339" t="s">
        <v>1851</v>
      </c>
      <c r="AD24" s="1336" t="s">
        <v>1846</v>
      </c>
    </row>
    <row r="25" spans="1:30" ht="12.75" customHeight="1" x14ac:dyDescent="0.25">
      <c r="A25" s="107" t="str">
        <f>'B2-FinPerf SC'!A26</f>
        <v>Other</v>
      </c>
      <c r="B25" s="127"/>
      <c r="C25" s="1356">
        <f>SUMIFS(Sheet1!S71_MonthlyOutcomeJul,Sheet1!S71_A2Code,$AC:$AC,Sheet1!S71_A5CapexCode,$AD:$AD)</f>
        <v>0</v>
      </c>
      <c r="D25" s="1356">
        <f>SUMIFS(Sheet1!S71_MonthlyOutcomeAug,Sheet1!S71_A2Code,$AC:$AC,Sheet1!S71_A5CapexCode,$AD:$AD)</f>
        <v>0</v>
      </c>
      <c r="E25" s="1356">
        <f>SUMIFS(Sheet1!S71_MonthlyOutcomeSep,Sheet1!S71_A2Code,$AC:$AC,Sheet1!S71_A5CapexCode,$AD:$AD)</f>
        <v>0</v>
      </c>
      <c r="F25" s="1356">
        <f>SUMIFS(Sheet1!S71_MonthlyOutcomeOct,Sheet1!S71_A2Code,$AC:$AC,Sheet1!S71_A5CapexCode,$AD:$AD)</f>
        <v>0</v>
      </c>
      <c r="G25" s="1356">
        <f>SUMIFS(Sheet1!S71_MonthlyOutcomeNov,Sheet1!S71_A2Code,$AC:$AC,Sheet1!S71_A5CapexCode,$AD:$AD)</f>
        <v>0</v>
      </c>
      <c r="H25" s="1361">
        <f>SUMIFS(Sheet1!S71_MonthlyOutcomeDec,Sheet1!S71_A2Code,$AC:$AC,Sheet1!S71_A5CapexCode,$AD:$AD)</f>
        <v>0</v>
      </c>
      <c r="I25" s="1360">
        <f t="shared" si="22"/>
        <v>0</v>
      </c>
      <c r="J25" s="1356">
        <f t="shared" si="23"/>
        <v>0</v>
      </c>
      <c r="K25" s="1356">
        <f t="shared" si="24"/>
        <v>0</v>
      </c>
      <c r="L25" s="1356">
        <f t="shared" si="25"/>
        <v>0</v>
      </c>
      <c r="M25" s="1356">
        <f t="shared" si="26"/>
        <v>0</v>
      </c>
      <c r="N25" s="514">
        <f t="shared" si="3"/>
        <v>0</v>
      </c>
      <c r="O25" s="474">
        <f>'B5-Capex'!K64</f>
        <v>0</v>
      </c>
      <c r="P25" s="139">
        <f>'B5-Capex'!L64</f>
        <v>0</v>
      </c>
      <c r="Q25" s="140">
        <f>'B5-Capex'!M64</f>
        <v>0</v>
      </c>
      <c r="R25" s="126"/>
      <c r="AC25" s="1339" t="s">
        <v>1852</v>
      </c>
      <c r="AD25" s="1336" t="s">
        <v>1846</v>
      </c>
    </row>
    <row r="26" spans="1:30" ht="12.75" customHeight="1" x14ac:dyDescent="0.25">
      <c r="A26" s="579" t="s">
        <v>1484</v>
      </c>
      <c r="B26" s="580"/>
      <c r="C26" s="687">
        <f>C6+C10+C16+C20+C25</f>
        <v>6273246.6200000001</v>
      </c>
      <c r="D26" s="687">
        <f t="shared" ref="D26:N26" si="27">D6+D10+D16+D20+D25</f>
        <v>455487.78</v>
      </c>
      <c r="E26" s="687">
        <f t="shared" si="27"/>
        <v>1298996.67</v>
      </c>
      <c r="F26" s="687">
        <f t="shared" si="27"/>
        <v>5896599.6299999999</v>
      </c>
      <c r="G26" s="687">
        <f t="shared" si="27"/>
        <v>4173969.1100000003</v>
      </c>
      <c r="H26" s="688">
        <f t="shared" si="27"/>
        <v>4030948.23</v>
      </c>
      <c r="I26" s="689">
        <f t="shared" si="27"/>
        <v>1938873.3266666664</v>
      </c>
      <c r="J26" s="687">
        <f t="shared" si="27"/>
        <v>1938873.3266666664</v>
      </c>
      <c r="K26" s="687">
        <f t="shared" si="27"/>
        <v>1938873.3266666664</v>
      </c>
      <c r="L26" s="687">
        <f t="shared" si="27"/>
        <v>1938873.3266666664</v>
      </c>
      <c r="M26" s="687">
        <f t="shared" si="27"/>
        <v>1938873.3266666664</v>
      </c>
      <c r="N26" s="690">
        <f t="shared" si="27"/>
        <v>1938873.3266666606</v>
      </c>
      <c r="O26" s="689">
        <f>O6+O10+O16+O20+O25</f>
        <v>33762488</v>
      </c>
      <c r="P26" s="691">
        <f>P6+P10+P16+P20+P25</f>
        <v>32227000</v>
      </c>
      <c r="Q26" s="692">
        <f>Q6+Q10+Q16+Q20+Q25</f>
        <v>24381000</v>
      </c>
      <c r="R26" s="126"/>
    </row>
    <row r="27" spans="1:30" ht="12.75" customHeight="1" x14ac:dyDescent="0.25">
      <c r="A27" s="581" t="str">
        <f>head27a</f>
        <v>References</v>
      </c>
      <c r="B27" s="582"/>
      <c r="C27" s="543"/>
      <c r="D27" s="543"/>
      <c r="E27" s="543"/>
      <c r="F27" s="543"/>
      <c r="G27" s="543"/>
      <c r="H27" s="543"/>
      <c r="I27" s="543"/>
      <c r="J27" s="543"/>
      <c r="K27" s="543"/>
      <c r="L27" s="543"/>
      <c r="M27" s="543"/>
      <c r="N27" s="543"/>
      <c r="O27" s="543"/>
      <c r="P27" s="543"/>
      <c r="Q27" s="543"/>
      <c r="R27" s="126"/>
      <c r="S27" s="126"/>
      <c r="T27" s="126"/>
    </row>
    <row r="28" spans="1:30" ht="12.75" customHeight="1" x14ac:dyDescent="0.25">
      <c r="A28" s="99" t="s">
        <v>477</v>
      </c>
      <c r="B28" s="48"/>
      <c r="C28" s="543"/>
      <c r="D28" s="543"/>
      <c r="E28" s="543"/>
      <c r="F28" s="543"/>
      <c r="G28" s="543"/>
      <c r="H28" s="543"/>
      <c r="I28" s="543"/>
      <c r="J28" s="543"/>
      <c r="K28" s="543"/>
      <c r="L28" s="543"/>
      <c r="M28" s="543"/>
      <c r="N28" s="543"/>
      <c r="O28" s="543"/>
      <c r="P28" s="543"/>
      <c r="Q28" s="543"/>
      <c r="R28" s="126"/>
      <c r="S28" s="126"/>
      <c r="T28" s="126"/>
    </row>
    <row r="29" spans="1:30" ht="12.75" customHeight="1" x14ac:dyDescent="0.25">
      <c r="A29" s="99" t="s">
        <v>479</v>
      </c>
      <c r="B29" s="48"/>
      <c r="C29" s="48"/>
      <c r="D29" s="48"/>
      <c r="E29" s="48"/>
      <c r="F29" s="48"/>
      <c r="G29" s="48"/>
      <c r="H29" s="48"/>
      <c r="I29" s="48"/>
      <c r="J29" s="48"/>
      <c r="K29" s="48"/>
      <c r="L29" s="48"/>
      <c r="M29" s="48"/>
      <c r="N29" s="48"/>
      <c r="O29" s="48"/>
      <c r="P29" s="48"/>
      <c r="Q29" s="48"/>
    </row>
    <row r="30" spans="1:30" ht="12.75" customHeight="1" x14ac:dyDescent="0.25">
      <c r="A30" s="48"/>
      <c r="B30" s="48"/>
      <c r="C30" s="48"/>
      <c r="D30" s="48"/>
      <c r="E30" s="48"/>
      <c r="F30" s="48"/>
      <c r="G30" s="48"/>
      <c r="H30" s="48"/>
      <c r="I30" s="48"/>
      <c r="J30" s="48"/>
      <c r="K30" s="48"/>
      <c r="L30" s="48"/>
      <c r="M30" s="48"/>
      <c r="N30" s="48"/>
      <c r="O30" s="48"/>
      <c r="P30" s="48"/>
      <c r="Q30" s="48"/>
    </row>
    <row r="31" spans="1:30" x14ac:dyDescent="0.25">
      <c r="A31" s="309" t="s">
        <v>3</v>
      </c>
      <c r="B31" s="309"/>
      <c r="O31" s="165">
        <f>O26-'B5-Capex'!K65</f>
        <v>0</v>
      </c>
      <c r="P31" s="165">
        <f>P26-'B5-Capex'!L65</f>
        <v>0</v>
      </c>
      <c r="Q31" s="165">
        <f>Q26-'B5-Capex'!M65</f>
        <v>0</v>
      </c>
    </row>
    <row r="56" spans="2:2" x14ac:dyDescent="0.25">
      <c r="B56" s="126"/>
    </row>
  </sheetData>
  <sheetProtection sheet="1" objects="1" scenarios="1"/>
  <mergeCells count="3">
    <mergeCell ref="A2:A3"/>
    <mergeCell ref="B2:B3"/>
    <mergeCell ref="C2:N2"/>
  </mergeCells>
  <phoneticPr fontId="4"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8">
    <tabColor indexed="42"/>
    <pageSetUpPr fitToPage="1"/>
  </sheetPr>
  <dimension ref="A1:AD218"/>
  <sheetViews>
    <sheetView showGridLines="0" zoomScaleNormal="100" workbookViewId="0">
      <pane xSplit="2" ySplit="5" topLeftCell="C52" activePane="bottomRight" state="frozen"/>
      <selection activeCell="C6" sqref="C6"/>
      <selection pane="topRight" activeCell="C6" sqref="C6"/>
      <selection pane="bottomLeft" activeCell="C6" sqref="C6"/>
      <selection pane="bottomRight" activeCell="C169" sqref="C169"/>
    </sheetView>
  </sheetViews>
  <sheetFormatPr defaultColWidth="9.140625" defaultRowHeight="12.75" x14ac:dyDescent="0.25"/>
  <cols>
    <col min="1" max="1" width="34.140625" style="5" bestFit="1" customWidth="1"/>
    <col min="2" max="2" width="3.140625" style="58" customWidth="1"/>
    <col min="3" max="13" width="9.140625" style="5"/>
    <col min="14" max="14" width="13.42578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27" width="9.140625" style="5" customWidth="1"/>
    <col min="28" max="30" width="9.140625" style="1336"/>
    <col min="31" max="16384" width="9.140625" style="5"/>
  </cols>
  <sheetData>
    <row r="1" spans="1:30" ht="13.5" x14ac:dyDescent="0.25">
      <c r="A1" s="57" t="str">
        <f>muni&amp;" - "&amp;ADJB18a&amp;" - "&amp;Date</f>
        <v xml:space="preserve">KZN226 Mkhambathini - Supporting Table SB18a Adjustments Budget - capital expenditure on new assets by asset class - </v>
      </c>
      <c r="B1" s="5"/>
      <c r="C1" s="58"/>
    </row>
    <row r="2" spans="1:30" ht="25.5" x14ac:dyDescent="0.25">
      <c r="A2" s="1420" t="str">
        <f>desc</f>
        <v>Description</v>
      </c>
      <c r="B2" s="1420" t="str">
        <f>head27</f>
        <v>Ref</v>
      </c>
      <c r="C2" s="1417" t="str">
        <f>Head2</f>
        <v>Budget Year 2020/21</v>
      </c>
      <c r="D2" s="1418"/>
      <c r="E2" s="1418"/>
      <c r="F2" s="1418"/>
      <c r="G2" s="1418"/>
      <c r="H2" s="1418"/>
      <c r="I2" s="1418"/>
      <c r="J2" s="1418"/>
      <c r="K2" s="1419"/>
      <c r="L2" s="167" t="str">
        <f>Head10</f>
        <v>Budget Year +1 2021/22</v>
      </c>
      <c r="M2" s="168" t="str">
        <f>Head11</f>
        <v>Budget Year +2 2022/23</v>
      </c>
    </row>
    <row r="3" spans="1:30" ht="25.5" x14ac:dyDescent="0.25">
      <c r="A3" s="1421"/>
      <c r="B3" s="14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30" x14ac:dyDescent="0.25">
      <c r="A4" s="1421"/>
      <c r="B4" s="1421"/>
      <c r="C4" s="65"/>
      <c r="D4" s="15">
        <v>7</v>
      </c>
      <c r="E4" s="15">
        <v>8</v>
      </c>
      <c r="F4" s="15">
        <v>9</v>
      </c>
      <c r="G4" s="15">
        <v>10</v>
      </c>
      <c r="H4" s="15">
        <v>11</v>
      </c>
      <c r="I4" s="15">
        <v>12</v>
      </c>
      <c r="J4" s="15">
        <v>13</v>
      </c>
      <c r="K4" s="15">
        <v>14</v>
      </c>
      <c r="L4" s="15"/>
      <c r="M4" s="17"/>
    </row>
    <row r="5" spans="1:30" x14ac:dyDescent="0.25">
      <c r="A5" s="66" t="s">
        <v>605</v>
      </c>
      <c r="B5" s="104"/>
      <c r="C5" s="67" t="s">
        <v>549</v>
      </c>
      <c r="D5" s="68" t="s">
        <v>550</v>
      </c>
      <c r="E5" s="68" t="s">
        <v>551</v>
      </c>
      <c r="F5" s="69" t="s">
        <v>552</v>
      </c>
      <c r="G5" s="69" t="s">
        <v>553</v>
      </c>
      <c r="H5" s="69" t="s">
        <v>554</v>
      </c>
      <c r="I5" s="70" t="s">
        <v>555</v>
      </c>
      <c r="J5" s="70" t="s">
        <v>556</v>
      </c>
      <c r="K5" s="70" t="s">
        <v>557</v>
      </c>
      <c r="L5" s="70"/>
      <c r="M5" s="71"/>
    </row>
    <row r="6" spans="1:30" ht="12.75" customHeight="1" x14ac:dyDescent="0.25">
      <c r="A6" s="843" t="s">
        <v>1186</v>
      </c>
      <c r="B6" s="73"/>
      <c r="C6" s="74"/>
      <c r="D6" s="75"/>
      <c r="E6" s="75"/>
      <c r="F6" s="75"/>
      <c r="G6" s="75"/>
      <c r="H6" s="75"/>
      <c r="I6" s="75"/>
      <c r="J6" s="75"/>
      <c r="K6" s="75"/>
      <c r="L6" s="75"/>
      <c r="M6" s="76"/>
      <c r="N6" s="126"/>
    </row>
    <row r="7" spans="1:30" ht="5.0999999999999996" customHeight="1" x14ac:dyDescent="0.25">
      <c r="A7" s="124"/>
      <c r="B7" s="73"/>
      <c r="C7" s="74"/>
      <c r="D7" s="75"/>
      <c r="E7" s="75"/>
      <c r="F7" s="75"/>
      <c r="G7" s="75"/>
      <c r="H7" s="75"/>
      <c r="I7" s="75"/>
      <c r="J7" s="75"/>
      <c r="K7" s="75"/>
      <c r="L7" s="75"/>
      <c r="M7" s="76"/>
      <c r="N7" s="126"/>
    </row>
    <row r="8" spans="1:30" ht="12.75" customHeight="1" x14ac:dyDescent="0.25">
      <c r="A8" s="124" t="s">
        <v>766</v>
      </c>
      <c r="B8" s="73"/>
      <c r="C8" s="693">
        <f>C9+C14+C18+C28+C39+C46+C54+C64+C70</f>
        <v>9467783</v>
      </c>
      <c r="D8" s="693">
        <f>D9+D14+D18+D28+D39+D46+D54+D64+D70</f>
        <v>17191768</v>
      </c>
      <c r="E8" s="693">
        <f t="shared" ref="E8:I8" si="0">E9+E14+E18+E28+E39+E46+E54+E64+E70</f>
        <v>0</v>
      </c>
      <c r="F8" s="693">
        <f t="shared" si="0"/>
        <v>0</v>
      </c>
      <c r="G8" s="693">
        <f t="shared" si="0"/>
        <v>0</v>
      </c>
      <c r="H8" s="693">
        <f t="shared" si="0"/>
        <v>0</v>
      </c>
      <c r="I8" s="693">
        <f t="shared" si="0"/>
        <v>1333200</v>
      </c>
      <c r="J8" s="694">
        <f t="shared" ref="J8" si="1">SUM(D8:I8)</f>
        <v>18524968</v>
      </c>
      <c r="K8" s="694">
        <f>IF(D8=0,C8+J8,D8+J8)</f>
        <v>35716736</v>
      </c>
      <c r="L8" s="693">
        <f>L9+L14+L18+L28+L39+L46+L54+L64+L70</f>
        <v>17027000</v>
      </c>
      <c r="M8" s="695">
        <f>M9+M14+M18+M28+M39+M46+M54+M64+M70</f>
        <v>17781000</v>
      </c>
      <c r="N8" s="837"/>
    </row>
    <row r="9" spans="1:30" ht="12.75" customHeight="1" x14ac:dyDescent="0.25">
      <c r="A9" s="584" t="s">
        <v>1568</v>
      </c>
      <c r="B9" s="73"/>
      <c r="C9" s="263">
        <f>SUM(C10:C13)</f>
        <v>9467783</v>
      </c>
      <c r="D9" s="263">
        <f t="shared" ref="D9:M9" si="2">SUM(D10:D13)</f>
        <v>17191768</v>
      </c>
      <c r="E9" s="263">
        <f t="shared" si="2"/>
        <v>0</v>
      </c>
      <c r="F9" s="263">
        <f t="shared" si="2"/>
        <v>0</v>
      </c>
      <c r="G9" s="263">
        <f t="shared" si="2"/>
        <v>0</v>
      </c>
      <c r="H9" s="263">
        <f t="shared" si="2"/>
        <v>0</v>
      </c>
      <c r="I9" s="263">
        <f t="shared" si="2"/>
        <v>1333200</v>
      </c>
      <c r="J9" s="75">
        <f t="shared" ref="J9:J40" si="3">SUM(E9:I9)</f>
        <v>1333200</v>
      </c>
      <c r="K9" s="75">
        <f t="shared" ref="K9:K72" si="4">IF(D9=0,C9+J9,D9+J9)</f>
        <v>18524968</v>
      </c>
      <c r="L9" s="263">
        <f>SUM(L10:L13)</f>
        <v>17027000</v>
      </c>
      <c r="M9" s="264">
        <f t="shared" si="2"/>
        <v>17781000</v>
      </c>
      <c r="N9" s="126"/>
    </row>
    <row r="10" spans="1:30" ht="12.75" customHeight="1" x14ac:dyDescent="0.25">
      <c r="A10" s="585" t="s">
        <v>1002</v>
      </c>
      <c r="B10" s="73"/>
      <c r="C10" s="1356">
        <f>SUMIFS(Sheet1!S71_OriginalBudget,Sheet1!S71_SA34aCode,$AC:$AC,Sheet1!S71_A5CapexCode,$AD:$AD)</f>
        <v>9467783</v>
      </c>
      <c r="D10" s="1356">
        <f>SUMIFS(Sheet1!S71_SpecialAdjustedBudget,Sheet1!S71_SA34aCode,$AC:$AC,Sheet1!S71_A5CapexCode,$AD:$AD)</f>
        <v>17191768</v>
      </c>
      <c r="E10" s="1356"/>
      <c r="F10" s="1356"/>
      <c r="G10" s="1356"/>
      <c r="H10" s="1356"/>
      <c r="I10" s="1356">
        <f>SUMIFS(Sheet1!S71_AdjustmentAmount,Sheet1!S71_SA34aCode,$AC:$AC,Sheet1!S71_A5CapexCode,$AD:$AD)</f>
        <v>1333200</v>
      </c>
      <c r="J10" s="75">
        <f t="shared" si="3"/>
        <v>1333200</v>
      </c>
      <c r="K10" s="75">
        <f t="shared" si="4"/>
        <v>18524968</v>
      </c>
      <c r="L10" s="1356">
        <f>SUMIFS(Sheet1!S71_OY1AdjustedBudget,Sheet1!S71_SA34aCode,$AC:$AC,Sheet1!S71_A5CapexCode,$AD:$AD)</f>
        <v>17027000</v>
      </c>
      <c r="M10" s="1357">
        <f>SUMIFS(Sheet1!S71_OY2AdjustedBudget,Sheet1!S71_SA34aCode,$AC:$AC,Sheet1!S71_A5CapexCode,$AD:$AD)</f>
        <v>17781000</v>
      </c>
      <c r="N10" s="837"/>
      <c r="AC10" s="1336" t="s">
        <v>1859</v>
      </c>
      <c r="AD10" s="1336" t="s">
        <v>1846</v>
      </c>
    </row>
    <row r="11" spans="1:30" ht="12.75" customHeight="1" x14ac:dyDescent="0.25">
      <c r="A11" s="585" t="s">
        <v>1569</v>
      </c>
      <c r="B11" s="73"/>
      <c r="C11" s="1356">
        <f>SUMIFS(Sheet1!S71_OriginalBudget,Sheet1!S71_SA34aCode,$AC:$AC,Sheet1!S71_A5CapexCode,$AD:$AD)</f>
        <v>0</v>
      </c>
      <c r="D11" s="1356">
        <f>SUMIFS(Sheet1!S71_SpecialAdjustedBudget,Sheet1!S71_SA34aCode,$AC:$AC,Sheet1!S71_A5CapexCode,$AD:$AD)</f>
        <v>0</v>
      </c>
      <c r="E11" s="1356"/>
      <c r="F11" s="1356"/>
      <c r="G11" s="1356"/>
      <c r="H11" s="1356"/>
      <c r="I11" s="1356">
        <f>SUMIFS(Sheet1!S71_AdjustmentAmount,Sheet1!S71_SA34aCode,$AC:$AC,Sheet1!S71_A5CapexCode,$AD:$AD)</f>
        <v>0</v>
      </c>
      <c r="J11" s="75">
        <f t="shared" si="3"/>
        <v>0</v>
      </c>
      <c r="K11" s="75">
        <f t="shared" si="4"/>
        <v>0</v>
      </c>
      <c r="L11" s="1356">
        <f>SUMIFS(Sheet1!S71_OY1AdjustedBudget,Sheet1!S71_SA34aCode,$AC:$AC,Sheet1!S71_A5CapexCode,$AD:$AD)</f>
        <v>0</v>
      </c>
      <c r="M11" s="1357">
        <f>SUMIFS(Sheet1!S71_OY2AdjustedBudget,Sheet1!S71_SA34aCode,$AC:$AC,Sheet1!S71_A5CapexCode,$AD:$AD)</f>
        <v>0</v>
      </c>
      <c r="N11" s="842"/>
      <c r="AC11" s="1336" t="s">
        <v>1860</v>
      </c>
      <c r="AD11" s="1336" t="s">
        <v>1846</v>
      </c>
    </row>
    <row r="12" spans="1:30" ht="12.75" customHeight="1" x14ac:dyDescent="0.25">
      <c r="A12" s="585" t="s">
        <v>1570</v>
      </c>
      <c r="B12" s="73"/>
      <c r="C12" s="1356">
        <f>SUMIFS(Sheet1!S71_OriginalBudget,Sheet1!S71_SA34aCode,$AC:$AC,Sheet1!S71_A5CapexCode,$AD:$AD)</f>
        <v>0</v>
      </c>
      <c r="D12" s="1356">
        <f>SUMIFS(Sheet1!S71_SpecialAdjustedBudget,Sheet1!S71_SA34aCode,$AC:$AC,Sheet1!S71_A5CapexCode,$AD:$AD)</f>
        <v>0</v>
      </c>
      <c r="E12" s="1356"/>
      <c r="F12" s="1356"/>
      <c r="G12" s="1356"/>
      <c r="H12" s="1356"/>
      <c r="I12" s="1356">
        <f>SUMIFS(Sheet1!S71_AdjustmentAmount,Sheet1!S71_SA34aCode,$AC:$AC,Sheet1!S71_A5CapexCode,$AD:$AD)</f>
        <v>0</v>
      </c>
      <c r="J12" s="75">
        <f t="shared" si="3"/>
        <v>0</v>
      </c>
      <c r="K12" s="75">
        <f t="shared" si="4"/>
        <v>0</v>
      </c>
      <c r="L12" s="1356">
        <f>SUMIFS(Sheet1!S71_OY1AdjustedBudget,Sheet1!S71_SA34aCode,$AC:$AC,Sheet1!S71_A5CapexCode,$AD:$AD)</f>
        <v>0</v>
      </c>
      <c r="M12" s="1357">
        <f>SUMIFS(Sheet1!S71_OY2AdjustedBudget,Sheet1!S71_SA34aCode,$AC:$AC,Sheet1!S71_A5CapexCode,$AD:$AD)</f>
        <v>0</v>
      </c>
      <c r="N12" s="837"/>
      <c r="AC12" s="1336" t="s">
        <v>1861</v>
      </c>
      <c r="AD12" s="1336" t="s">
        <v>1846</v>
      </c>
    </row>
    <row r="13" spans="1:30" ht="12.75" customHeight="1" x14ac:dyDescent="0.25">
      <c r="A13" s="585" t="s">
        <v>1571</v>
      </c>
      <c r="B13" s="73"/>
      <c r="C13" s="1356">
        <f>SUMIFS(Sheet1!S71_OriginalBudget,Sheet1!S71_SA34aCode,$AC:$AC,Sheet1!S71_A5CapexCode,$AD:$AD)</f>
        <v>0</v>
      </c>
      <c r="D13" s="1356">
        <f>SUMIFS(Sheet1!S71_SpecialAdjustedBudget,Sheet1!S71_SA34aCode,$AC:$AC,Sheet1!S71_A5CapexCode,$AD:$AD)</f>
        <v>0</v>
      </c>
      <c r="E13" s="1356"/>
      <c r="F13" s="1356"/>
      <c r="G13" s="1356"/>
      <c r="H13" s="1356"/>
      <c r="I13" s="1356">
        <f>SUMIFS(Sheet1!S71_AdjustmentAmount,Sheet1!S71_SA34aCode,$AC:$AC,Sheet1!S71_A5CapexCode,$AD:$AD)</f>
        <v>0</v>
      </c>
      <c r="J13" s="75">
        <f t="shared" si="3"/>
        <v>0</v>
      </c>
      <c r="K13" s="75">
        <f t="shared" si="4"/>
        <v>0</v>
      </c>
      <c r="L13" s="1356">
        <f>SUMIFS(Sheet1!S71_OY1AdjustedBudget,Sheet1!S71_SA34aCode,$AC:$AC,Sheet1!S71_A5CapexCode,$AD:$AD)</f>
        <v>0</v>
      </c>
      <c r="M13" s="1357">
        <f>SUMIFS(Sheet1!S71_OY2AdjustedBudget,Sheet1!S71_SA34aCode,$AC:$AC,Sheet1!S71_A5CapexCode,$AD:$AD)</f>
        <v>0</v>
      </c>
      <c r="N13" s="842"/>
      <c r="AC13" s="1336" t="s">
        <v>1862</v>
      </c>
      <c r="AD13" s="1336" t="s">
        <v>1846</v>
      </c>
    </row>
    <row r="14" spans="1:30" ht="12.75" customHeight="1" x14ac:dyDescent="0.25">
      <c r="A14" s="584" t="s">
        <v>1572</v>
      </c>
      <c r="B14" s="73"/>
      <c r="C14" s="130">
        <f t="shared" ref="C14:I14" si="5">SUM(C15:C17)</f>
        <v>0</v>
      </c>
      <c r="D14" s="130">
        <f t="shared" si="5"/>
        <v>0</v>
      </c>
      <c r="E14" s="130">
        <f t="shared" si="5"/>
        <v>0</v>
      </c>
      <c r="F14" s="130">
        <f t="shared" si="5"/>
        <v>0</v>
      </c>
      <c r="G14" s="130">
        <f t="shared" si="5"/>
        <v>0</v>
      </c>
      <c r="H14" s="130">
        <f t="shared" si="5"/>
        <v>0</v>
      </c>
      <c r="I14" s="130">
        <f t="shared" si="5"/>
        <v>0</v>
      </c>
      <c r="J14" s="75">
        <f t="shared" si="3"/>
        <v>0</v>
      </c>
      <c r="K14" s="75">
        <f t="shared" si="4"/>
        <v>0</v>
      </c>
      <c r="L14" s="130">
        <f>SUM(L15:L17)</f>
        <v>0</v>
      </c>
      <c r="M14" s="131">
        <f>SUM(M15:M17)</f>
        <v>0</v>
      </c>
      <c r="N14" s="842"/>
      <c r="AD14" s="1336" t="s">
        <v>1846</v>
      </c>
    </row>
    <row r="15" spans="1:30" ht="12.75" customHeight="1" x14ac:dyDescent="0.25">
      <c r="A15" s="585" t="s">
        <v>1573</v>
      </c>
      <c r="B15" s="73"/>
      <c r="C15" s="1356">
        <f>SUMIFS(Sheet1!S71_OriginalBudget,Sheet1!S71_SA34aCode,$AC:$AC,Sheet1!S71_A5CapexCode,$AD:$AD)</f>
        <v>0</v>
      </c>
      <c r="D15" s="1356">
        <f>SUMIFS(Sheet1!S71_SpecialAdjustedBudget,Sheet1!S71_SA34aCode,$AC:$AC,Sheet1!S71_A5CapexCode,$AD:$AD)</f>
        <v>0</v>
      </c>
      <c r="E15" s="1356"/>
      <c r="F15" s="1356"/>
      <c r="G15" s="1356"/>
      <c r="H15" s="1356"/>
      <c r="I15" s="1356">
        <f>SUMIFS(Sheet1!S71_AdjustmentAmount,Sheet1!S71_SA34aCode,$AC:$AC,Sheet1!S71_A5CapexCode,$AD:$AD)</f>
        <v>0</v>
      </c>
      <c r="J15" s="75">
        <f t="shared" si="3"/>
        <v>0</v>
      </c>
      <c r="K15" s="75">
        <f t="shared" si="4"/>
        <v>0</v>
      </c>
      <c r="L15" s="1356">
        <f>SUMIFS(Sheet1!S71_OY1AdjustedBudget,Sheet1!S71_SA34aCode,$AC:$AC,Sheet1!S71_A5CapexCode,$AD:$AD)</f>
        <v>0</v>
      </c>
      <c r="M15" s="1357">
        <f>SUMIFS(Sheet1!S71_OY2AdjustedBudget,Sheet1!S71_SA34aCode,$AC:$AC,Sheet1!S71_A5CapexCode,$AD:$AD)</f>
        <v>0</v>
      </c>
      <c r="N15" s="842"/>
      <c r="AC15" s="1336" t="s">
        <v>1864</v>
      </c>
      <c r="AD15" s="1336" t="s">
        <v>1846</v>
      </c>
    </row>
    <row r="16" spans="1:30" ht="12.75" customHeight="1" x14ac:dyDescent="0.25">
      <c r="A16" s="585" t="s">
        <v>1574</v>
      </c>
      <c r="B16" s="73"/>
      <c r="C16" s="1356">
        <f>SUMIFS(Sheet1!S71_OriginalBudget,Sheet1!S71_SA34aCode,$AC:$AC,Sheet1!S71_A5CapexCode,$AD:$AD)</f>
        <v>0</v>
      </c>
      <c r="D16" s="1356">
        <f>SUMIFS(Sheet1!S71_SpecialAdjustedBudget,Sheet1!S71_SA34aCode,$AC:$AC,Sheet1!S71_A5CapexCode,$AD:$AD)</f>
        <v>0</v>
      </c>
      <c r="E16" s="1356"/>
      <c r="F16" s="1356"/>
      <c r="G16" s="1356"/>
      <c r="H16" s="1356"/>
      <c r="I16" s="1356">
        <f>SUMIFS(Sheet1!S71_AdjustmentAmount,Sheet1!S71_SA34aCode,$AC:$AC,Sheet1!S71_A5CapexCode,$AD:$AD)</f>
        <v>0</v>
      </c>
      <c r="J16" s="75">
        <f t="shared" si="3"/>
        <v>0</v>
      </c>
      <c r="K16" s="75">
        <f t="shared" si="4"/>
        <v>0</v>
      </c>
      <c r="L16" s="1356">
        <f>SUMIFS(Sheet1!S71_OY1AdjustedBudget,Sheet1!S71_SA34aCode,$AC:$AC,Sheet1!S71_A5CapexCode,$AD:$AD)</f>
        <v>0</v>
      </c>
      <c r="M16" s="1357">
        <f>SUMIFS(Sheet1!S71_OY2AdjustedBudget,Sheet1!S71_SA34aCode,$AC:$AC,Sheet1!S71_A5CapexCode,$AD:$AD)</f>
        <v>0</v>
      </c>
      <c r="N16" s="842"/>
      <c r="AC16" s="1336" t="s">
        <v>1908</v>
      </c>
      <c r="AD16" s="1336" t="s">
        <v>1846</v>
      </c>
    </row>
    <row r="17" spans="1:30" ht="12.75" customHeight="1" x14ac:dyDescent="0.25">
      <c r="A17" s="585" t="s">
        <v>1575</v>
      </c>
      <c r="B17" s="73"/>
      <c r="C17" s="1356">
        <f>SUMIFS(Sheet1!S71_OriginalBudget,Sheet1!S71_SA34aCode,$AC:$AC,Sheet1!S71_A5CapexCode,$AD:$AD)</f>
        <v>0</v>
      </c>
      <c r="D17" s="1356">
        <f>SUMIFS(Sheet1!S71_SpecialAdjustedBudget,Sheet1!S71_SA34aCode,$AC:$AC,Sheet1!S71_A5CapexCode,$AD:$AD)</f>
        <v>0</v>
      </c>
      <c r="E17" s="1356"/>
      <c r="F17" s="1356"/>
      <c r="G17" s="1356"/>
      <c r="H17" s="1356"/>
      <c r="I17" s="1356">
        <f>SUMIFS(Sheet1!S71_AdjustmentAmount,Sheet1!S71_SA34aCode,$AC:$AC,Sheet1!S71_A5CapexCode,$AD:$AD)</f>
        <v>0</v>
      </c>
      <c r="J17" s="75">
        <f t="shared" si="3"/>
        <v>0</v>
      </c>
      <c r="K17" s="75">
        <f t="shared" si="4"/>
        <v>0</v>
      </c>
      <c r="L17" s="1356">
        <f>SUMIFS(Sheet1!S71_OY1AdjustedBudget,Sheet1!S71_SA34aCode,$AC:$AC,Sheet1!S71_A5CapexCode,$AD:$AD)</f>
        <v>0</v>
      </c>
      <c r="M17" s="1357">
        <f>SUMIFS(Sheet1!S71_OY2AdjustedBudget,Sheet1!S71_SA34aCode,$AC:$AC,Sheet1!S71_A5CapexCode,$AD:$AD)</f>
        <v>0</v>
      </c>
      <c r="N17" s="842"/>
      <c r="AC17" s="1336" t="s">
        <v>1909</v>
      </c>
      <c r="AD17" s="1336" t="s">
        <v>1846</v>
      </c>
    </row>
    <row r="18" spans="1:30" ht="12.75" customHeight="1" x14ac:dyDescent="0.25">
      <c r="A18" s="584" t="s">
        <v>1576</v>
      </c>
      <c r="B18" s="73"/>
      <c r="C18" s="130">
        <f t="shared" ref="C18:M18" si="6">SUM(C19:C27)</f>
        <v>0</v>
      </c>
      <c r="D18" s="130">
        <f t="shared" si="6"/>
        <v>0</v>
      </c>
      <c r="E18" s="130">
        <f t="shared" si="6"/>
        <v>0</v>
      </c>
      <c r="F18" s="130">
        <f t="shared" si="6"/>
        <v>0</v>
      </c>
      <c r="G18" s="130">
        <f t="shared" si="6"/>
        <v>0</v>
      </c>
      <c r="H18" s="130">
        <f t="shared" si="6"/>
        <v>0</v>
      </c>
      <c r="I18" s="130">
        <f t="shared" si="6"/>
        <v>0</v>
      </c>
      <c r="J18" s="75">
        <f t="shared" si="3"/>
        <v>0</v>
      </c>
      <c r="K18" s="75">
        <f t="shared" si="4"/>
        <v>0</v>
      </c>
      <c r="L18" s="130">
        <f>SUM(L19:L27)</f>
        <v>0</v>
      </c>
      <c r="M18" s="131">
        <f t="shared" si="6"/>
        <v>0</v>
      </c>
      <c r="N18" s="842"/>
      <c r="AD18" s="1336" t="s">
        <v>1846</v>
      </c>
    </row>
    <row r="19" spans="1:30" ht="12.75" customHeight="1" x14ac:dyDescent="0.25">
      <c r="A19" s="585" t="s">
        <v>1577</v>
      </c>
      <c r="B19" s="73"/>
      <c r="C19" s="1356">
        <f>SUMIFS(Sheet1!S71_OriginalBudget,Sheet1!S71_SA34aCode,$AC:$AC,Sheet1!S71_A5CapexCode,$AD:$AD)</f>
        <v>0</v>
      </c>
      <c r="D19" s="1356">
        <f>SUMIFS(Sheet1!S71_SpecialAdjustedBudget,Sheet1!S71_SA34aCode,$AC:$AC,Sheet1!S71_A5CapexCode,$AD:$AD)</f>
        <v>0</v>
      </c>
      <c r="E19" s="1356"/>
      <c r="F19" s="1356"/>
      <c r="G19" s="1356"/>
      <c r="H19" s="1356"/>
      <c r="I19" s="1356">
        <f>SUMIFS(Sheet1!S71_AdjustmentAmount,Sheet1!S71_SA34aCode,$AC:$AC,Sheet1!S71_A5CapexCode,$AD:$AD)</f>
        <v>0</v>
      </c>
      <c r="J19" s="75">
        <f t="shared" si="3"/>
        <v>0</v>
      </c>
      <c r="K19" s="75">
        <f t="shared" si="4"/>
        <v>0</v>
      </c>
      <c r="L19" s="1356">
        <f>SUMIFS(Sheet1!S71_OY1AdjustedBudget,Sheet1!S71_SA34aCode,$AC:$AC,Sheet1!S71_A5CapexCode,$AD:$AD)</f>
        <v>0</v>
      </c>
      <c r="M19" s="1357">
        <f>SUMIFS(Sheet1!S71_OY2AdjustedBudget,Sheet1!S71_SA34aCode,$AC:$AC,Sheet1!S71_A5CapexCode,$AD:$AD)</f>
        <v>0</v>
      </c>
      <c r="N19" s="842"/>
      <c r="AC19" s="1336" t="s">
        <v>1865</v>
      </c>
      <c r="AD19" s="1336" t="s">
        <v>1846</v>
      </c>
    </row>
    <row r="20" spans="1:30" ht="12.6" customHeight="1" x14ac:dyDescent="0.25">
      <c r="A20" s="585" t="s">
        <v>1578</v>
      </c>
      <c r="B20" s="73"/>
      <c r="C20" s="1356">
        <f>SUMIFS(Sheet1!S71_OriginalBudget,Sheet1!S71_SA34aCode,$AC:$AC,Sheet1!S71_A5CapexCode,$AD:$AD)</f>
        <v>0</v>
      </c>
      <c r="D20" s="1356">
        <f>SUMIFS(Sheet1!S71_SpecialAdjustedBudget,Sheet1!S71_SA34aCode,$AC:$AC,Sheet1!S71_A5CapexCode,$AD:$AD)</f>
        <v>0</v>
      </c>
      <c r="E20" s="1356"/>
      <c r="F20" s="1356"/>
      <c r="G20" s="1356"/>
      <c r="H20" s="1356"/>
      <c r="I20" s="1356">
        <f>SUMIFS(Sheet1!S71_AdjustmentAmount,Sheet1!S71_SA34aCode,$AC:$AC,Sheet1!S71_A5CapexCode,$AD:$AD)</f>
        <v>0</v>
      </c>
      <c r="J20" s="75">
        <f t="shared" si="3"/>
        <v>0</v>
      </c>
      <c r="K20" s="75">
        <f t="shared" si="4"/>
        <v>0</v>
      </c>
      <c r="L20" s="1356">
        <f>SUMIFS(Sheet1!S71_OY1AdjustedBudget,Sheet1!S71_SA34aCode,$AC:$AC,Sheet1!S71_A5CapexCode,$AD:$AD)</f>
        <v>0</v>
      </c>
      <c r="M20" s="1357">
        <f>SUMIFS(Sheet1!S71_OY2AdjustedBudget,Sheet1!S71_SA34aCode,$AC:$AC,Sheet1!S71_A5CapexCode,$AD:$AD)</f>
        <v>0</v>
      </c>
      <c r="N20" s="842"/>
      <c r="AC20" s="1336" t="s">
        <v>1866</v>
      </c>
      <c r="AD20" s="1336" t="s">
        <v>1846</v>
      </c>
    </row>
    <row r="21" spans="1:30" ht="12.75" customHeight="1" x14ac:dyDescent="0.25">
      <c r="A21" s="585" t="s">
        <v>1579</v>
      </c>
      <c r="B21" s="73"/>
      <c r="C21" s="1356">
        <f>SUMIFS(Sheet1!S71_OriginalBudget,Sheet1!S71_SA34aCode,$AC:$AC,Sheet1!S71_A5CapexCode,$AD:$AD)</f>
        <v>0</v>
      </c>
      <c r="D21" s="1356">
        <f>SUMIFS(Sheet1!S71_SpecialAdjustedBudget,Sheet1!S71_SA34aCode,$AC:$AC,Sheet1!S71_A5CapexCode,$AD:$AD)</f>
        <v>0</v>
      </c>
      <c r="E21" s="1356"/>
      <c r="F21" s="1356"/>
      <c r="G21" s="1356"/>
      <c r="H21" s="1356"/>
      <c r="I21" s="1356">
        <f>SUMIFS(Sheet1!S71_AdjustmentAmount,Sheet1!S71_SA34aCode,$AC:$AC,Sheet1!S71_A5CapexCode,$AD:$AD)</f>
        <v>0</v>
      </c>
      <c r="J21" s="75">
        <f t="shared" si="3"/>
        <v>0</v>
      </c>
      <c r="K21" s="75">
        <f t="shared" si="4"/>
        <v>0</v>
      </c>
      <c r="L21" s="1356">
        <f>SUMIFS(Sheet1!S71_OY1AdjustedBudget,Sheet1!S71_SA34aCode,$AC:$AC,Sheet1!S71_A5CapexCode,$AD:$AD)</f>
        <v>0</v>
      </c>
      <c r="M21" s="1357">
        <f>SUMIFS(Sheet1!S71_OY2AdjustedBudget,Sheet1!S71_SA34aCode,$AC:$AC,Sheet1!S71_A5CapexCode,$AD:$AD)</f>
        <v>0</v>
      </c>
      <c r="N21" s="842"/>
      <c r="AC21" s="1336" t="s">
        <v>1867</v>
      </c>
      <c r="AD21" s="1336" t="s">
        <v>1846</v>
      </c>
    </row>
    <row r="22" spans="1:30" ht="12.75" customHeight="1" x14ac:dyDescent="0.25">
      <c r="A22" s="585" t="s">
        <v>1580</v>
      </c>
      <c r="B22" s="73"/>
      <c r="C22" s="1356">
        <f>SUMIFS(Sheet1!S71_OriginalBudget,Sheet1!S71_SA34aCode,$AC:$AC,Sheet1!S71_A5CapexCode,$AD:$AD)</f>
        <v>0</v>
      </c>
      <c r="D22" s="1356">
        <f>SUMIFS(Sheet1!S71_SpecialAdjustedBudget,Sheet1!S71_SA34aCode,$AC:$AC,Sheet1!S71_A5CapexCode,$AD:$AD)</f>
        <v>0</v>
      </c>
      <c r="E22" s="1356"/>
      <c r="F22" s="1356"/>
      <c r="G22" s="1356"/>
      <c r="H22" s="1356"/>
      <c r="I22" s="1356">
        <f>SUMIFS(Sheet1!S71_AdjustmentAmount,Sheet1!S71_SA34aCode,$AC:$AC,Sheet1!S71_A5CapexCode,$AD:$AD)</f>
        <v>0</v>
      </c>
      <c r="J22" s="75">
        <f t="shared" si="3"/>
        <v>0</v>
      </c>
      <c r="K22" s="75">
        <f t="shared" si="4"/>
        <v>0</v>
      </c>
      <c r="L22" s="1356">
        <f>SUMIFS(Sheet1!S71_OY1AdjustedBudget,Sheet1!S71_SA34aCode,$AC:$AC,Sheet1!S71_A5CapexCode,$AD:$AD)</f>
        <v>0</v>
      </c>
      <c r="M22" s="1357">
        <f>SUMIFS(Sheet1!S71_OY2AdjustedBudget,Sheet1!S71_SA34aCode,$AC:$AC,Sheet1!S71_A5CapexCode,$AD:$AD)</f>
        <v>0</v>
      </c>
      <c r="N22" s="837"/>
      <c r="AC22" s="1336" t="s">
        <v>1868</v>
      </c>
      <c r="AD22" s="1336" t="s">
        <v>1846</v>
      </c>
    </row>
    <row r="23" spans="1:30" ht="12.75" customHeight="1" x14ac:dyDescent="0.25">
      <c r="A23" s="585" t="s">
        <v>1581</v>
      </c>
      <c r="B23" s="73"/>
      <c r="C23" s="1356">
        <f>SUMIFS(Sheet1!S71_OriginalBudget,Sheet1!S71_SA34aCode,$AC:$AC,Sheet1!S71_A5CapexCode,$AD:$AD)</f>
        <v>0</v>
      </c>
      <c r="D23" s="1356">
        <f>SUMIFS(Sheet1!S71_SpecialAdjustedBudget,Sheet1!S71_SA34aCode,$AC:$AC,Sheet1!S71_A5CapexCode,$AD:$AD)</f>
        <v>0</v>
      </c>
      <c r="E23" s="1356"/>
      <c r="F23" s="1356"/>
      <c r="G23" s="1356"/>
      <c r="H23" s="1356"/>
      <c r="I23" s="1356">
        <f>SUMIFS(Sheet1!S71_AdjustmentAmount,Sheet1!S71_SA34aCode,$AC:$AC,Sheet1!S71_A5CapexCode,$AD:$AD)</f>
        <v>0</v>
      </c>
      <c r="J23" s="75">
        <f t="shared" si="3"/>
        <v>0</v>
      </c>
      <c r="K23" s="75">
        <f t="shared" si="4"/>
        <v>0</v>
      </c>
      <c r="L23" s="1356">
        <f>SUMIFS(Sheet1!S71_OY1AdjustedBudget,Sheet1!S71_SA34aCode,$AC:$AC,Sheet1!S71_A5CapexCode,$AD:$AD)</f>
        <v>0</v>
      </c>
      <c r="M23" s="1357">
        <f>SUMIFS(Sheet1!S71_OY2AdjustedBudget,Sheet1!S71_SA34aCode,$AC:$AC,Sheet1!S71_A5CapexCode,$AD:$AD)</f>
        <v>0</v>
      </c>
      <c r="N23" s="842"/>
      <c r="AC23" s="1336" t="s">
        <v>1910</v>
      </c>
      <c r="AD23" s="1336" t="s">
        <v>1846</v>
      </c>
    </row>
    <row r="24" spans="1:30" ht="12.75" customHeight="1" x14ac:dyDescent="0.25">
      <c r="A24" s="585" t="s">
        <v>1582</v>
      </c>
      <c r="B24" s="73"/>
      <c r="C24" s="1356">
        <f>SUMIFS(Sheet1!S71_OriginalBudget,Sheet1!S71_SA34aCode,$AC:$AC,Sheet1!S71_A5CapexCode,$AD:$AD)</f>
        <v>0</v>
      </c>
      <c r="D24" s="1356">
        <f>SUMIFS(Sheet1!S71_SpecialAdjustedBudget,Sheet1!S71_SA34aCode,$AC:$AC,Sheet1!S71_A5CapexCode,$AD:$AD)</f>
        <v>0</v>
      </c>
      <c r="E24" s="1356"/>
      <c r="F24" s="1356"/>
      <c r="G24" s="1356"/>
      <c r="H24" s="1356"/>
      <c r="I24" s="1356">
        <f>SUMIFS(Sheet1!S71_AdjustmentAmount,Sheet1!S71_SA34aCode,$AC:$AC,Sheet1!S71_A5CapexCode,$AD:$AD)</f>
        <v>0</v>
      </c>
      <c r="J24" s="75">
        <f t="shared" si="3"/>
        <v>0</v>
      </c>
      <c r="K24" s="75">
        <f t="shared" si="4"/>
        <v>0</v>
      </c>
      <c r="L24" s="1356">
        <f>SUMIFS(Sheet1!S71_OY1AdjustedBudget,Sheet1!S71_SA34aCode,$AC:$AC,Sheet1!S71_A5CapexCode,$AD:$AD)</f>
        <v>0</v>
      </c>
      <c r="M24" s="1357">
        <f>SUMIFS(Sheet1!S71_OY2AdjustedBudget,Sheet1!S71_SA34aCode,$AC:$AC,Sheet1!S71_A5CapexCode,$AD:$AD)</f>
        <v>0</v>
      </c>
      <c r="N24" s="837"/>
      <c r="AC24" s="1336" t="s">
        <v>1869</v>
      </c>
      <c r="AD24" s="1336" t="s">
        <v>1846</v>
      </c>
    </row>
    <row r="25" spans="1:30" ht="12.75" customHeight="1" x14ac:dyDescent="0.25">
      <c r="A25" s="585" t="s">
        <v>1583</v>
      </c>
      <c r="B25" s="73"/>
      <c r="C25" s="1356">
        <f>SUMIFS(Sheet1!S71_OriginalBudget,Sheet1!S71_SA34aCode,$AC:$AC,Sheet1!S71_A5CapexCode,$AD:$AD)</f>
        <v>0</v>
      </c>
      <c r="D25" s="1356">
        <f>SUMIFS(Sheet1!S71_SpecialAdjustedBudget,Sheet1!S71_SA34aCode,$AC:$AC,Sheet1!S71_A5CapexCode,$AD:$AD)</f>
        <v>0</v>
      </c>
      <c r="E25" s="1356"/>
      <c r="F25" s="1356"/>
      <c r="G25" s="1356"/>
      <c r="H25" s="1356"/>
      <c r="I25" s="1356">
        <f>SUMIFS(Sheet1!S71_AdjustmentAmount,Sheet1!S71_SA34aCode,$AC:$AC,Sheet1!S71_A5CapexCode,$AD:$AD)</f>
        <v>0</v>
      </c>
      <c r="J25" s="75">
        <f t="shared" si="3"/>
        <v>0</v>
      </c>
      <c r="K25" s="75">
        <f t="shared" si="4"/>
        <v>0</v>
      </c>
      <c r="L25" s="1356">
        <f>SUMIFS(Sheet1!S71_OY1AdjustedBudget,Sheet1!S71_SA34aCode,$AC:$AC,Sheet1!S71_A5CapexCode,$AD:$AD)</f>
        <v>0</v>
      </c>
      <c r="M25" s="1357">
        <f>SUMIFS(Sheet1!S71_OY2AdjustedBudget,Sheet1!S71_SA34aCode,$AC:$AC,Sheet1!S71_A5CapexCode,$AD:$AD)</f>
        <v>0</v>
      </c>
      <c r="N25" s="842"/>
      <c r="AC25" s="1336" t="s">
        <v>1870</v>
      </c>
      <c r="AD25" s="1336" t="s">
        <v>1846</v>
      </c>
    </row>
    <row r="26" spans="1:30" ht="12.75" customHeight="1" x14ac:dyDescent="0.25">
      <c r="A26" s="585" t="s">
        <v>1584</v>
      </c>
      <c r="B26" s="73"/>
      <c r="C26" s="1356">
        <f>SUMIFS(Sheet1!S71_OriginalBudget,Sheet1!S71_SA34aCode,$AC:$AC,Sheet1!S71_A5CapexCode,$AD:$AD)</f>
        <v>0</v>
      </c>
      <c r="D26" s="1356">
        <f>SUMIFS(Sheet1!S71_SpecialAdjustedBudget,Sheet1!S71_SA34aCode,$AC:$AC,Sheet1!S71_A5CapexCode,$AD:$AD)</f>
        <v>0</v>
      </c>
      <c r="E26" s="1356"/>
      <c r="F26" s="1356"/>
      <c r="G26" s="1356"/>
      <c r="H26" s="1356"/>
      <c r="I26" s="1356">
        <f>SUMIFS(Sheet1!S71_AdjustmentAmount,Sheet1!S71_SA34aCode,$AC:$AC,Sheet1!S71_A5CapexCode,$AD:$AD)</f>
        <v>0</v>
      </c>
      <c r="J26" s="75">
        <f t="shared" si="3"/>
        <v>0</v>
      </c>
      <c r="K26" s="75">
        <f t="shared" si="4"/>
        <v>0</v>
      </c>
      <c r="L26" s="1356">
        <f>SUMIFS(Sheet1!S71_OY1AdjustedBudget,Sheet1!S71_SA34aCode,$AC:$AC,Sheet1!S71_A5CapexCode,$AD:$AD)</f>
        <v>0</v>
      </c>
      <c r="M26" s="1357">
        <f>SUMIFS(Sheet1!S71_OY2AdjustedBudget,Sheet1!S71_SA34aCode,$AC:$AC,Sheet1!S71_A5CapexCode,$AD:$AD)</f>
        <v>0</v>
      </c>
      <c r="N26" s="837"/>
      <c r="AC26" s="1336" t="s">
        <v>1871</v>
      </c>
      <c r="AD26" s="1336" t="s">
        <v>1846</v>
      </c>
    </row>
    <row r="27" spans="1:30" ht="12.75" customHeight="1" x14ac:dyDescent="0.25">
      <c r="A27" s="585" t="s">
        <v>1571</v>
      </c>
      <c r="B27" s="73"/>
      <c r="C27" s="1356">
        <f>SUMIFS(Sheet1!S71_OriginalBudget,Sheet1!S71_SA34aCode,$AC:$AC,Sheet1!S71_A5CapexCode,$AD:$AD)</f>
        <v>0</v>
      </c>
      <c r="D27" s="1356">
        <f>SUMIFS(Sheet1!S71_SpecialAdjustedBudget,Sheet1!S71_SA34aCode,$AC:$AC,Sheet1!S71_A5CapexCode,$AD:$AD)</f>
        <v>0</v>
      </c>
      <c r="E27" s="1356"/>
      <c r="F27" s="1356"/>
      <c r="G27" s="1356"/>
      <c r="H27" s="1356"/>
      <c r="I27" s="1356">
        <f>SUMIFS(Sheet1!S71_AdjustmentAmount,Sheet1!S71_SA34aCode,$AC:$AC,Sheet1!S71_A5CapexCode,$AD:$AD)</f>
        <v>0</v>
      </c>
      <c r="J27" s="75">
        <f t="shared" si="3"/>
        <v>0</v>
      </c>
      <c r="K27" s="75">
        <f t="shared" si="4"/>
        <v>0</v>
      </c>
      <c r="L27" s="1356">
        <f>SUMIFS(Sheet1!S71_OY1AdjustedBudget,Sheet1!S71_SA34aCode,$AC:$AC,Sheet1!S71_A5CapexCode,$AD:$AD)</f>
        <v>0</v>
      </c>
      <c r="M27" s="1357">
        <f>SUMIFS(Sheet1!S71_OY2AdjustedBudget,Sheet1!S71_SA34aCode,$AC:$AC,Sheet1!S71_A5CapexCode,$AD:$AD)</f>
        <v>0</v>
      </c>
      <c r="N27" s="842"/>
      <c r="AC27" s="1336" t="s">
        <v>1911</v>
      </c>
      <c r="AD27" s="1336" t="s">
        <v>1846</v>
      </c>
    </row>
    <row r="28" spans="1:30" ht="12.75" customHeight="1" x14ac:dyDescent="0.25">
      <c r="A28" s="586" t="s">
        <v>1585</v>
      </c>
      <c r="B28" s="73"/>
      <c r="C28" s="130">
        <f t="shared" ref="C28:M28" si="7">SUM(C29:C38)</f>
        <v>0</v>
      </c>
      <c r="D28" s="130">
        <f t="shared" si="7"/>
        <v>0</v>
      </c>
      <c r="E28" s="130">
        <f t="shared" si="7"/>
        <v>0</v>
      </c>
      <c r="F28" s="130">
        <f t="shared" si="7"/>
        <v>0</v>
      </c>
      <c r="G28" s="130">
        <f t="shared" si="7"/>
        <v>0</v>
      </c>
      <c r="H28" s="130">
        <f t="shared" si="7"/>
        <v>0</v>
      </c>
      <c r="I28" s="130">
        <f t="shared" si="7"/>
        <v>0</v>
      </c>
      <c r="J28" s="75">
        <f t="shared" si="3"/>
        <v>0</v>
      </c>
      <c r="K28" s="75">
        <f t="shared" si="4"/>
        <v>0</v>
      </c>
      <c r="L28" s="130">
        <f>SUM(L29:L38)</f>
        <v>0</v>
      </c>
      <c r="M28" s="131">
        <f t="shared" si="7"/>
        <v>0</v>
      </c>
      <c r="N28" s="842"/>
      <c r="AD28" s="1336" t="s">
        <v>1846</v>
      </c>
    </row>
    <row r="29" spans="1:30" ht="12.75" customHeight="1" x14ac:dyDescent="0.25">
      <c r="A29" s="585" t="s">
        <v>1586</v>
      </c>
      <c r="B29" s="73"/>
      <c r="C29" s="1356">
        <f>SUMIFS(Sheet1!S71_OriginalBudget,Sheet1!S71_SA34aCode,$AC:$AC,Sheet1!S71_A5CapexCode,$AD:$AD)</f>
        <v>0</v>
      </c>
      <c r="D29" s="1356">
        <f>SUMIFS(Sheet1!S71_SpecialAdjustedBudget,Sheet1!S71_SA34aCode,$AC:$AC,Sheet1!S71_A5CapexCode,$AD:$AD)</f>
        <v>0</v>
      </c>
      <c r="E29" s="1356"/>
      <c r="F29" s="1356"/>
      <c r="G29" s="1356"/>
      <c r="H29" s="1356"/>
      <c r="I29" s="1356">
        <f>SUMIFS(Sheet1!S71_AdjustmentAmount,Sheet1!S71_SA34aCode,$AC:$AC,Sheet1!S71_A5CapexCode,$AD:$AD)</f>
        <v>0</v>
      </c>
      <c r="J29" s="75">
        <f t="shared" si="3"/>
        <v>0</v>
      </c>
      <c r="K29" s="75">
        <f t="shared" si="4"/>
        <v>0</v>
      </c>
      <c r="L29" s="1356">
        <f>SUMIFS(Sheet1!S71_OY1AdjustedBudget,Sheet1!S71_SA34aCode,$AC:$AC,Sheet1!S71_A5CapexCode,$AD:$AD)</f>
        <v>0</v>
      </c>
      <c r="M29" s="1357">
        <f>SUMIFS(Sheet1!S71_OY2AdjustedBudget,Sheet1!S71_SA34aCode,$AC:$AC,Sheet1!S71_A5CapexCode,$AD:$AD)</f>
        <v>0</v>
      </c>
      <c r="N29" s="842"/>
      <c r="AC29" s="1336" t="s">
        <v>1912</v>
      </c>
      <c r="AD29" s="1336" t="s">
        <v>1846</v>
      </c>
    </row>
    <row r="30" spans="1:30" ht="12.6" customHeight="1" x14ac:dyDescent="0.25">
      <c r="A30" s="585" t="s">
        <v>1587</v>
      </c>
      <c r="B30" s="73"/>
      <c r="C30" s="1356">
        <f>SUMIFS(Sheet1!S71_OriginalBudget,Sheet1!S71_SA34aCode,$AC:$AC,Sheet1!S71_A5CapexCode,$AD:$AD)</f>
        <v>0</v>
      </c>
      <c r="D30" s="1356">
        <f>SUMIFS(Sheet1!S71_SpecialAdjustedBudget,Sheet1!S71_SA34aCode,$AC:$AC,Sheet1!S71_A5CapexCode,$AD:$AD)</f>
        <v>0</v>
      </c>
      <c r="E30" s="1356"/>
      <c r="F30" s="1356"/>
      <c r="G30" s="1356"/>
      <c r="H30" s="1356"/>
      <c r="I30" s="1356">
        <f>SUMIFS(Sheet1!S71_AdjustmentAmount,Sheet1!S71_SA34aCode,$AC:$AC,Sheet1!S71_A5CapexCode,$AD:$AD)</f>
        <v>0</v>
      </c>
      <c r="J30" s="75">
        <f t="shared" si="3"/>
        <v>0</v>
      </c>
      <c r="K30" s="75">
        <f t="shared" si="4"/>
        <v>0</v>
      </c>
      <c r="L30" s="1356">
        <f>SUMIFS(Sheet1!S71_OY1AdjustedBudget,Sheet1!S71_SA34aCode,$AC:$AC,Sheet1!S71_A5CapexCode,$AD:$AD)</f>
        <v>0</v>
      </c>
      <c r="M30" s="1357">
        <f>SUMIFS(Sheet1!S71_OY2AdjustedBudget,Sheet1!S71_SA34aCode,$AC:$AC,Sheet1!S71_A5CapexCode,$AD:$AD)</f>
        <v>0</v>
      </c>
      <c r="N30" s="842"/>
      <c r="AC30" s="1336" t="s">
        <v>1913</v>
      </c>
      <c r="AD30" s="1336" t="s">
        <v>1846</v>
      </c>
    </row>
    <row r="31" spans="1:30" ht="12.75" customHeight="1" x14ac:dyDescent="0.25">
      <c r="A31" s="585" t="s">
        <v>1588</v>
      </c>
      <c r="B31" s="73"/>
      <c r="C31" s="1356">
        <f>SUMIFS(Sheet1!S71_OriginalBudget,Sheet1!S71_SA34aCode,$AC:$AC,Sheet1!S71_A5CapexCode,$AD:$AD)</f>
        <v>0</v>
      </c>
      <c r="D31" s="1356">
        <f>SUMIFS(Sheet1!S71_SpecialAdjustedBudget,Sheet1!S71_SA34aCode,$AC:$AC,Sheet1!S71_A5CapexCode,$AD:$AD)</f>
        <v>0</v>
      </c>
      <c r="E31" s="1356"/>
      <c r="F31" s="1356"/>
      <c r="G31" s="1356"/>
      <c r="H31" s="1356"/>
      <c r="I31" s="1356">
        <f>SUMIFS(Sheet1!S71_AdjustmentAmount,Sheet1!S71_SA34aCode,$AC:$AC,Sheet1!S71_A5CapexCode,$AD:$AD)</f>
        <v>0</v>
      </c>
      <c r="J31" s="75">
        <f t="shared" si="3"/>
        <v>0</v>
      </c>
      <c r="K31" s="75">
        <f t="shared" si="4"/>
        <v>0</v>
      </c>
      <c r="L31" s="1356">
        <f>SUMIFS(Sheet1!S71_OY1AdjustedBudget,Sheet1!S71_SA34aCode,$AC:$AC,Sheet1!S71_A5CapexCode,$AD:$AD)</f>
        <v>0</v>
      </c>
      <c r="M31" s="1357">
        <f>SUMIFS(Sheet1!S71_OY2AdjustedBudget,Sheet1!S71_SA34aCode,$AC:$AC,Sheet1!S71_A5CapexCode,$AD:$AD)</f>
        <v>0</v>
      </c>
      <c r="N31" s="842"/>
      <c r="AC31" s="1336" t="s">
        <v>1872</v>
      </c>
      <c r="AD31" s="1336" t="s">
        <v>1846</v>
      </c>
    </row>
    <row r="32" spans="1:30" ht="12.75" customHeight="1" x14ac:dyDescent="0.25">
      <c r="A32" s="585" t="s">
        <v>1589</v>
      </c>
      <c r="B32" s="73"/>
      <c r="C32" s="1356">
        <f>SUMIFS(Sheet1!S71_OriginalBudget,Sheet1!S71_SA34aCode,$AC:$AC,Sheet1!S71_A5CapexCode,$AD:$AD)</f>
        <v>0</v>
      </c>
      <c r="D32" s="1356">
        <f>SUMIFS(Sheet1!S71_SpecialAdjustedBudget,Sheet1!S71_SA34aCode,$AC:$AC,Sheet1!S71_A5CapexCode,$AD:$AD)</f>
        <v>0</v>
      </c>
      <c r="E32" s="1356"/>
      <c r="F32" s="1356"/>
      <c r="G32" s="1356"/>
      <c r="H32" s="1356"/>
      <c r="I32" s="1356">
        <f>SUMIFS(Sheet1!S71_AdjustmentAmount,Sheet1!S71_SA34aCode,$AC:$AC,Sheet1!S71_A5CapexCode,$AD:$AD)</f>
        <v>0</v>
      </c>
      <c r="J32" s="75">
        <f t="shared" si="3"/>
        <v>0</v>
      </c>
      <c r="K32" s="75">
        <f t="shared" si="4"/>
        <v>0</v>
      </c>
      <c r="L32" s="1356">
        <f>SUMIFS(Sheet1!S71_OY1AdjustedBudget,Sheet1!S71_SA34aCode,$AC:$AC,Sheet1!S71_A5CapexCode,$AD:$AD)</f>
        <v>0</v>
      </c>
      <c r="M32" s="1357">
        <f>SUMIFS(Sheet1!S71_OY2AdjustedBudget,Sheet1!S71_SA34aCode,$AC:$AC,Sheet1!S71_A5CapexCode,$AD:$AD)</f>
        <v>0</v>
      </c>
      <c r="N32" s="837"/>
      <c r="AC32" s="1336" t="s">
        <v>1873</v>
      </c>
      <c r="AD32" s="1336" t="s">
        <v>1846</v>
      </c>
    </row>
    <row r="33" spans="1:30" ht="12.75" customHeight="1" x14ac:dyDescent="0.25">
      <c r="A33" s="585" t="s">
        <v>1590</v>
      </c>
      <c r="B33" s="73"/>
      <c r="C33" s="1356">
        <f>SUMIFS(Sheet1!S71_OriginalBudget,Sheet1!S71_SA34aCode,$AC:$AC,Sheet1!S71_A5CapexCode,$AD:$AD)</f>
        <v>0</v>
      </c>
      <c r="D33" s="1356">
        <f>SUMIFS(Sheet1!S71_SpecialAdjustedBudget,Sheet1!S71_SA34aCode,$AC:$AC,Sheet1!S71_A5CapexCode,$AD:$AD)</f>
        <v>0</v>
      </c>
      <c r="E33" s="1356"/>
      <c r="F33" s="1356"/>
      <c r="G33" s="1356"/>
      <c r="H33" s="1356"/>
      <c r="I33" s="1356">
        <f>SUMIFS(Sheet1!S71_AdjustmentAmount,Sheet1!S71_SA34aCode,$AC:$AC,Sheet1!S71_A5CapexCode,$AD:$AD)</f>
        <v>0</v>
      </c>
      <c r="J33" s="75">
        <f t="shared" si="3"/>
        <v>0</v>
      </c>
      <c r="K33" s="75">
        <f t="shared" si="4"/>
        <v>0</v>
      </c>
      <c r="L33" s="1356">
        <f>SUMIFS(Sheet1!S71_OY1AdjustedBudget,Sheet1!S71_SA34aCode,$AC:$AC,Sheet1!S71_A5CapexCode,$AD:$AD)</f>
        <v>0</v>
      </c>
      <c r="M33" s="1357">
        <f>SUMIFS(Sheet1!S71_OY2AdjustedBudget,Sheet1!S71_SA34aCode,$AC:$AC,Sheet1!S71_A5CapexCode,$AD:$AD)</f>
        <v>0</v>
      </c>
      <c r="N33" s="842"/>
      <c r="AC33" s="1336" t="s">
        <v>1874</v>
      </c>
      <c r="AD33" s="1336" t="s">
        <v>1846</v>
      </c>
    </row>
    <row r="34" spans="1:30" ht="12.75" customHeight="1" x14ac:dyDescent="0.25">
      <c r="A34" s="585" t="s">
        <v>1591</v>
      </c>
      <c r="B34" s="73"/>
      <c r="C34" s="1356">
        <f>SUMIFS(Sheet1!S71_OriginalBudget,Sheet1!S71_SA34aCode,$AC:$AC,Sheet1!S71_A5CapexCode,$AD:$AD)</f>
        <v>0</v>
      </c>
      <c r="D34" s="1356">
        <f>SUMIFS(Sheet1!S71_SpecialAdjustedBudget,Sheet1!S71_SA34aCode,$AC:$AC,Sheet1!S71_A5CapexCode,$AD:$AD)</f>
        <v>0</v>
      </c>
      <c r="E34" s="1356"/>
      <c r="F34" s="1356"/>
      <c r="G34" s="1356"/>
      <c r="H34" s="1356"/>
      <c r="I34" s="1356">
        <f>SUMIFS(Sheet1!S71_AdjustmentAmount,Sheet1!S71_SA34aCode,$AC:$AC,Sheet1!S71_A5CapexCode,$AD:$AD)</f>
        <v>0</v>
      </c>
      <c r="J34" s="75">
        <f t="shared" si="3"/>
        <v>0</v>
      </c>
      <c r="K34" s="75">
        <f t="shared" si="4"/>
        <v>0</v>
      </c>
      <c r="L34" s="1356">
        <f>SUMIFS(Sheet1!S71_OY1AdjustedBudget,Sheet1!S71_SA34aCode,$AC:$AC,Sheet1!S71_A5CapexCode,$AD:$AD)</f>
        <v>0</v>
      </c>
      <c r="M34" s="1357">
        <f>SUMIFS(Sheet1!S71_OY2AdjustedBudget,Sheet1!S71_SA34aCode,$AC:$AC,Sheet1!S71_A5CapexCode,$AD:$AD)</f>
        <v>0</v>
      </c>
      <c r="N34" s="837"/>
      <c r="AC34" s="1336" t="s">
        <v>1875</v>
      </c>
      <c r="AD34" s="1336" t="s">
        <v>1846</v>
      </c>
    </row>
    <row r="35" spans="1:30" ht="12.75" customHeight="1" x14ac:dyDescent="0.25">
      <c r="A35" s="585" t="s">
        <v>1592</v>
      </c>
      <c r="B35" s="73"/>
      <c r="C35" s="1356">
        <f>SUMIFS(Sheet1!S71_OriginalBudget,Sheet1!S71_SA34aCode,$AC:$AC,Sheet1!S71_A5CapexCode,$AD:$AD)</f>
        <v>0</v>
      </c>
      <c r="D35" s="1356">
        <f>SUMIFS(Sheet1!S71_SpecialAdjustedBudget,Sheet1!S71_SA34aCode,$AC:$AC,Sheet1!S71_A5CapexCode,$AD:$AD)</f>
        <v>0</v>
      </c>
      <c r="E35" s="1356"/>
      <c r="F35" s="1356"/>
      <c r="G35" s="1356"/>
      <c r="H35" s="1356"/>
      <c r="I35" s="1356">
        <f>SUMIFS(Sheet1!S71_AdjustmentAmount,Sheet1!S71_SA34aCode,$AC:$AC,Sheet1!S71_A5CapexCode,$AD:$AD)</f>
        <v>0</v>
      </c>
      <c r="J35" s="75">
        <f t="shared" si="3"/>
        <v>0</v>
      </c>
      <c r="K35" s="75">
        <f t="shared" si="4"/>
        <v>0</v>
      </c>
      <c r="L35" s="1356">
        <f>SUMIFS(Sheet1!S71_OY1AdjustedBudget,Sheet1!S71_SA34aCode,$AC:$AC,Sheet1!S71_A5CapexCode,$AD:$AD)</f>
        <v>0</v>
      </c>
      <c r="M35" s="1357">
        <f>SUMIFS(Sheet1!S71_OY2AdjustedBudget,Sheet1!S71_SA34aCode,$AC:$AC,Sheet1!S71_A5CapexCode,$AD:$AD)</f>
        <v>0</v>
      </c>
      <c r="N35" s="842"/>
      <c r="AC35" s="1336" t="s">
        <v>1876</v>
      </c>
      <c r="AD35" s="1336" t="s">
        <v>1846</v>
      </c>
    </row>
    <row r="36" spans="1:30" ht="12.75" customHeight="1" x14ac:dyDescent="0.25">
      <c r="A36" s="585" t="s">
        <v>1593</v>
      </c>
      <c r="B36" s="73"/>
      <c r="C36" s="1356">
        <f>SUMIFS(Sheet1!S71_OriginalBudget,Sheet1!S71_SA34aCode,$AC:$AC,Sheet1!S71_A5CapexCode,$AD:$AD)</f>
        <v>0</v>
      </c>
      <c r="D36" s="1356">
        <f>SUMIFS(Sheet1!S71_SpecialAdjustedBudget,Sheet1!S71_SA34aCode,$AC:$AC,Sheet1!S71_A5CapexCode,$AD:$AD)</f>
        <v>0</v>
      </c>
      <c r="E36" s="1356"/>
      <c r="F36" s="1356"/>
      <c r="G36" s="1356"/>
      <c r="H36" s="1356"/>
      <c r="I36" s="1356">
        <f>SUMIFS(Sheet1!S71_AdjustmentAmount,Sheet1!S71_SA34aCode,$AC:$AC,Sheet1!S71_A5CapexCode,$AD:$AD)</f>
        <v>0</v>
      </c>
      <c r="J36" s="75">
        <f t="shared" si="3"/>
        <v>0</v>
      </c>
      <c r="K36" s="75">
        <f t="shared" si="4"/>
        <v>0</v>
      </c>
      <c r="L36" s="1356">
        <f>SUMIFS(Sheet1!S71_OY1AdjustedBudget,Sheet1!S71_SA34aCode,$AC:$AC,Sheet1!S71_A5CapexCode,$AD:$AD)</f>
        <v>0</v>
      </c>
      <c r="M36" s="1357">
        <f>SUMIFS(Sheet1!S71_OY2AdjustedBudget,Sheet1!S71_SA34aCode,$AC:$AC,Sheet1!S71_A5CapexCode,$AD:$AD)</f>
        <v>0</v>
      </c>
      <c r="N36" s="837"/>
      <c r="AC36" s="1336" t="s">
        <v>1914</v>
      </c>
      <c r="AD36" s="1336" t="s">
        <v>1846</v>
      </c>
    </row>
    <row r="37" spans="1:30" ht="12.75" customHeight="1" x14ac:dyDescent="0.25">
      <c r="A37" s="585" t="s">
        <v>1594</v>
      </c>
      <c r="B37" s="73"/>
      <c r="C37" s="1356">
        <f>SUMIFS(Sheet1!S71_OriginalBudget,Sheet1!S71_SA34aCode,$AC:$AC,Sheet1!S71_A5CapexCode,$AD:$AD)</f>
        <v>0</v>
      </c>
      <c r="D37" s="1356">
        <f>SUMIFS(Sheet1!S71_SpecialAdjustedBudget,Sheet1!S71_SA34aCode,$AC:$AC,Sheet1!S71_A5CapexCode,$AD:$AD)</f>
        <v>0</v>
      </c>
      <c r="E37" s="1356"/>
      <c r="F37" s="1356"/>
      <c r="G37" s="1356"/>
      <c r="H37" s="1356"/>
      <c r="I37" s="1356">
        <f>SUMIFS(Sheet1!S71_AdjustmentAmount,Sheet1!S71_SA34aCode,$AC:$AC,Sheet1!S71_A5CapexCode,$AD:$AD)</f>
        <v>0</v>
      </c>
      <c r="J37" s="75">
        <f t="shared" si="3"/>
        <v>0</v>
      </c>
      <c r="K37" s="75">
        <f t="shared" si="4"/>
        <v>0</v>
      </c>
      <c r="L37" s="1356">
        <f>SUMIFS(Sheet1!S71_OY1AdjustedBudget,Sheet1!S71_SA34aCode,$AC:$AC,Sheet1!S71_A5CapexCode,$AD:$AD)</f>
        <v>0</v>
      </c>
      <c r="M37" s="1357">
        <f>SUMIFS(Sheet1!S71_OY2AdjustedBudget,Sheet1!S71_SA34aCode,$AC:$AC,Sheet1!S71_A5CapexCode,$AD:$AD)</f>
        <v>0</v>
      </c>
      <c r="N37" s="842"/>
      <c r="AC37" s="1336" t="s">
        <v>1915</v>
      </c>
      <c r="AD37" s="1336" t="s">
        <v>1846</v>
      </c>
    </row>
    <row r="38" spans="1:30" ht="12.75" customHeight="1" x14ac:dyDescent="0.25">
      <c r="A38" s="585" t="s">
        <v>1571</v>
      </c>
      <c r="B38" s="73"/>
      <c r="C38" s="1356">
        <f>SUMIFS(Sheet1!S71_OriginalBudget,Sheet1!S71_SA34aCode,$AC:$AC,Sheet1!S71_A5CapexCode,$AD:$AD)</f>
        <v>0</v>
      </c>
      <c r="D38" s="1356">
        <f>SUMIFS(Sheet1!S71_SpecialAdjustedBudget,Sheet1!S71_SA34aCode,$AC:$AC,Sheet1!S71_A5CapexCode,$AD:$AD)</f>
        <v>0</v>
      </c>
      <c r="E38" s="1356"/>
      <c r="F38" s="1356"/>
      <c r="G38" s="1356"/>
      <c r="H38" s="1356"/>
      <c r="I38" s="1356">
        <f>SUMIFS(Sheet1!S71_AdjustmentAmount,Sheet1!S71_SA34aCode,$AC:$AC,Sheet1!S71_A5CapexCode,$AD:$AD)</f>
        <v>0</v>
      </c>
      <c r="J38" s="75">
        <f t="shared" si="3"/>
        <v>0</v>
      </c>
      <c r="K38" s="75">
        <f t="shared" si="4"/>
        <v>0</v>
      </c>
      <c r="L38" s="1356">
        <f>SUMIFS(Sheet1!S71_OY1AdjustedBudget,Sheet1!S71_SA34aCode,$AC:$AC,Sheet1!S71_A5CapexCode,$AD:$AD)</f>
        <v>0</v>
      </c>
      <c r="M38" s="1357">
        <f>SUMIFS(Sheet1!S71_OY2AdjustedBudget,Sheet1!S71_SA34aCode,$AC:$AC,Sheet1!S71_A5CapexCode,$AD:$AD)</f>
        <v>0</v>
      </c>
      <c r="N38" s="842"/>
      <c r="AC38" s="1336" t="s">
        <v>1816</v>
      </c>
      <c r="AD38" s="1336" t="s">
        <v>1846</v>
      </c>
    </row>
    <row r="39" spans="1:30" ht="12.75" customHeight="1" x14ac:dyDescent="0.25">
      <c r="A39" s="586" t="s">
        <v>1595</v>
      </c>
      <c r="B39" s="73"/>
      <c r="C39" s="1110">
        <f t="shared" ref="C39:M39" si="8">SUM(C40:C45)</f>
        <v>0</v>
      </c>
      <c r="D39" s="130">
        <f t="shared" si="8"/>
        <v>0</v>
      </c>
      <c r="E39" s="130">
        <f t="shared" si="8"/>
        <v>0</v>
      </c>
      <c r="F39" s="130">
        <f t="shared" si="8"/>
        <v>0</v>
      </c>
      <c r="G39" s="130">
        <f t="shared" si="8"/>
        <v>0</v>
      </c>
      <c r="H39" s="130">
        <f t="shared" si="8"/>
        <v>0</v>
      </c>
      <c r="I39" s="130">
        <f t="shared" si="8"/>
        <v>0</v>
      </c>
      <c r="J39" s="75">
        <f t="shared" si="3"/>
        <v>0</v>
      </c>
      <c r="K39" s="75">
        <f t="shared" si="4"/>
        <v>0</v>
      </c>
      <c r="L39" s="130">
        <f t="shared" si="8"/>
        <v>0</v>
      </c>
      <c r="M39" s="131">
        <f t="shared" si="8"/>
        <v>0</v>
      </c>
      <c r="N39" s="126"/>
      <c r="AD39" s="1336" t="s">
        <v>1846</v>
      </c>
    </row>
    <row r="40" spans="1:30" ht="12.75" customHeight="1" x14ac:dyDescent="0.25">
      <c r="A40" s="585" t="s">
        <v>1596</v>
      </c>
      <c r="B40" s="73"/>
      <c r="C40" s="1356">
        <f>SUMIFS(Sheet1!S71_OriginalBudget,Sheet1!S71_SA34aCode,$AC:$AC,Sheet1!S71_A5CapexCode,$AD:$AD)</f>
        <v>0</v>
      </c>
      <c r="D40" s="1356">
        <f>SUMIFS(Sheet1!S71_SpecialAdjustedBudget,Sheet1!S71_SA34aCode,$AC:$AC,Sheet1!S71_A5CapexCode,$AD:$AD)</f>
        <v>0</v>
      </c>
      <c r="E40" s="1356"/>
      <c r="F40" s="1356"/>
      <c r="G40" s="1356"/>
      <c r="H40" s="1356"/>
      <c r="I40" s="1356">
        <f>SUMIFS(Sheet1!S71_AdjustmentAmount,Sheet1!S71_SA34aCode,$AC:$AC,Sheet1!S71_A5CapexCode,$AD:$AD)</f>
        <v>0</v>
      </c>
      <c r="J40" s="75">
        <f t="shared" si="3"/>
        <v>0</v>
      </c>
      <c r="K40" s="75">
        <f t="shared" si="4"/>
        <v>0</v>
      </c>
      <c r="L40" s="1356">
        <f>SUMIFS(Sheet1!S71_OY1AdjustedBudget,Sheet1!S71_SA34aCode,$AC:$AC,Sheet1!S71_A5CapexCode,$AD:$AD)</f>
        <v>0</v>
      </c>
      <c r="M40" s="1357">
        <f>SUMIFS(Sheet1!S71_OY2AdjustedBudget,Sheet1!S71_SA34aCode,$AC:$AC,Sheet1!S71_A5CapexCode,$AD:$AD)</f>
        <v>0</v>
      </c>
      <c r="N40" s="837"/>
      <c r="AC40" s="1336" t="s">
        <v>1916</v>
      </c>
      <c r="AD40" s="1336" t="s">
        <v>1846</v>
      </c>
    </row>
    <row r="41" spans="1:30" ht="12.75" customHeight="1" x14ac:dyDescent="0.25">
      <c r="A41" s="585" t="s">
        <v>487</v>
      </c>
      <c r="B41" s="73"/>
      <c r="C41" s="1356">
        <f>SUMIFS(Sheet1!S71_OriginalBudget,Sheet1!S71_SA34aCode,$AC:$AC,Sheet1!S71_A5CapexCode,$AD:$AD)</f>
        <v>0</v>
      </c>
      <c r="D41" s="1356">
        <f>SUMIFS(Sheet1!S71_SpecialAdjustedBudget,Sheet1!S71_SA34aCode,$AC:$AC,Sheet1!S71_A5CapexCode,$AD:$AD)</f>
        <v>0</v>
      </c>
      <c r="E41" s="1356"/>
      <c r="F41" s="1356"/>
      <c r="G41" s="1356"/>
      <c r="H41" s="1356"/>
      <c r="I41" s="1356">
        <f>SUMIFS(Sheet1!S71_AdjustmentAmount,Sheet1!S71_SA34aCode,$AC:$AC,Sheet1!S71_A5CapexCode,$AD:$AD)</f>
        <v>0</v>
      </c>
      <c r="J41" s="75">
        <f t="shared" ref="J41:J72" si="9">SUM(E41:I41)</f>
        <v>0</v>
      </c>
      <c r="K41" s="75">
        <f t="shared" si="4"/>
        <v>0</v>
      </c>
      <c r="L41" s="1356">
        <f>SUMIFS(Sheet1!S71_OY1AdjustedBudget,Sheet1!S71_SA34aCode,$AC:$AC,Sheet1!S71_A5CapexCode,$AD:$AD)</f>
        <v>0</v>
      </c>
      <c r="M41" s="1357">
        <f>SUMIFS(Sheet1!S71_OY2AdjustedBudget,Sheet1!S71_SA34aCode,$AC:$AC,Sheet1!S71_A5CapexCode,$AD:$AD)</f>
        <v>0</v>
      </c>
      <c r="N41" s="837"/>
      <c r="AC41" s="1336" t="s">
        <v>1917</v>
      </c>
      <c r="AD41" s="1336" t="s">
        <v>1846</v>
      </c>
    </row>
    <row r="42" spans="1:30" ht="12.75" customHeight="1" x14ac:dyDescent="0.25">
      <c r="A42" s="585" t="s">
        <v>1597</v>
      </c>
      <c r="B42" s="73"/>
      <c r="C42" s="1356">
        <f>SUMIFS(Sheet1!S71_OriginalBudget,Sheet1!S71_SA34aCode,$AC:$AC,Sheet1!S71_A5CapexCode,$AD:$AD)</f>
        <v>0</v>
      </c>
      <c r="D42" s="1356">
        <f>SUMIFS(Sheet1!S71_SpecialAdjustedBudget,Sheet1!S71_SA34aCode,$AC:$AC,Sheet1!S71_A5CapexCode,$AD:$AD)</f>
        <v>0</v>
      </c>
      <c r="E42" s="1356"/>
      <c r="F42" s="1356"/>
      <c r="G42" s="1356"/>
      <c r="H42" s="1356"/>
      <c r="I42" s="1356">
        <f>SUMIFS(Sheet1!S71_AdjustmentAmount,Sheet1!S71_SA34aCode,$AC:$AC,Sheet1!S71_A5CapexCode,$AD:$AD)</f>
        <v>0</v>
      </c>
      <c r="J42" s="75">
        <f t="shared" si="9"/>
        <v>0</v>
      </c>
      <c r="K42" s="75">
        <f t="shared" si="4"/>
        <v>0</v>
      </c>
      <c r="L42" s="1356">
        <f>SUMIFS(Sheet1!S71_OY1AdjustedBudget,Sheet1!S71_SA34aCode,$AC:$AC,Sheet1!S71_A5CapexCode,$AD:$AD)</f>
        <v>0</v>
      </c>
      <c r="M42" s="1357">
        <f>SUMIFS(Sheet1!S71_OY2AdjustedBudget,Sheet1!S71_SA34aCode,$AC:$AC,Sheet1!S71_A5CapexCode,$AD:$AD)</f>
        <v>0</v>
      </c>
      <c r="N42" s="842"/>
      <c r="AC42" s="1336" t="s">
        <v>1918</v>
      </c>
      <c r="AD42" s="1336" t="s">
        <v>1846</v>
      </c>
    </row>
    <row r="43" spans="1:30" ht="12.75" customHeight="1" x14ac:dyDescent="0.25">
      <c r="A43" s="585" t="s">
        <v>1598</v>
      </c>
      <c r="B43" s="73"/>
      <c r="C43" s="1356">
        <f>SUMIFS(Sheet1!S71_OriginalBudget,Sheet1!S71_SA34aCode,$AC:$AC,Sheet1!S71_A5CapexCode,$AD:$AD)</f>
        <v>0</v>
      </c>
      <c r="D43" s="1356">
        <f>SUMIFS(Sheet1!S71_SpecialAdjustedBudget,Sheet1!S71_SA34aCode,$AC:$AC,Sheet1!S71_A5CapexCode,$AD:$AD)</f>
        <v>0</v>
      </c>
      <c r="E43" s="1356"/>
      <c r="F43" s="1356"/>
      <c r="G43" s="1356"/>
      <c r="H43" s="1356"/>
      <c r="I43" s="1356">
        <f>SUMIFS(Sheet1!S71_AdjustmentAmount,Sheet1!S71_SA34aCode,$AC:$AC,Sheet1!S71_A5CapexCode,$AD:$AD)</f>
        <v>0</v>
      </c>
      <c r="J43" s="75">
        <f t="shared" si="9"/>
        <v>0</v>
      </c>
      <c r="K43" s="75">
        <f t="shared" si="4"/>
        <v>0</v>
      </c>
      <c r="L43" s="1356">
        <f>SUMIFS(Sheet1!S71_OY1AdjustedBudget,Sheet1!S71_SA34aCode,$AC:$AC,Sheet1!S71_A5CapexCode,$AD:$AD)</f>
        <v>0</v>
      </c>
      <c r="M43" s="1357">
        <f>SUMIFS(Sheet1!S71_OY2AdjustedBudget,Sheet1!S71_SA34aCode,$AC:$AC,Sheet1!S71_A5CapexCode,$AD:$AD)</f>
        <v>0</v>
      </c>
      <c r="N43" s="842"/>
      <c r="AC43" s="1336" t="s">
        <v>1919</v>
      </c>
      <c r="AD43" s="1336" t="s">
        <v>1846</v>
      </c>
    </row>
    <row r="44" spans="1:30" ht="12.75" customHeight="1" x14ac:dyDescent="0.25">
      <c r="A44" s="585" t="s">
        <v>1599</v>
      </c>
      <c r="B44" s="73"/>
      <c r="C44" s="1356">
        <f>SUMIFS(Sheet1!S71_OriginalBudget,Sheet1!S71_SA34aCode,$AC:$AC,Sheet1!S71_A5CapexCode,$AD:$AD)</f>
        <v>0</v>
      </c>
      <c r="D44" s="1356">
        <f>SUMIFS(Sheet1!S71_SpecialAdjustedBudget,Sheet1!S71_SA34aCode,$AC:$AC,Sheet1!S71_A5CapexCode,$AD:$AD)</f>
        <v>0</v>
      </c>
      <c r="E44" s="1356"/>
      <c r="F44" s="1356"/>
      <c r="G44" s="1356"/>
      <c r="H44" s="1356"/>
      <c r="I44" s="1356">
        <f>SUMIFS(Sheet1!S71_AdjustmentAmount,Sheet1!S71_SA34aCode,$AC:$AC,Sheet1!S71_A5CapexCode,$AD:$AD)</f>
        <v>0</v>
      </c>
      <c r="J44" s="75">
        <f t="shared" si="9"/>
        <v>0</v>
      </c>
      <c r="K44" s="75">
        <f t="shared" si="4"/>
        <v>0</v>
      </c>
      <c r="L44" s="1356">
        <f>SUMIFS(Sheet1!S71_OY1AdjustedBudget,Sheet1!S71_SA34aCode,$AC:$AC,Sheet1!S71_A5CapexCode,$AD:$AD)</f>
        <v>0</v>
      </c>
      <c r="M44" s="1357">
        <f>SUMIFS(Sheet1!S71_OY2AdjustedBudget,Sheet1!S71_SA34aCode,$AC:$AC,Sheet1!S71_A5CapexCode,$AD:$AD)</f>
        <v>0</v>
      </c>
      <c r="N44" s="837"/>
      <c r="AC44" s="1336" t="s">
        <v>1878</v>
      </c>
      <c r="AD44" s="1336" t="s">
        <v>1846</v>
      </c>
    </row>
    <row r="45" spans="1:30" ht="12.75" customHeight="1" x14ac:dyDescent="0.25">
      <c r="A45" s="585" t="s">
        <v>1571</v>
      </c>
      <c r="B45" s="73"/>
      <c r="C45" s="1356">
        <f>SUMIFS(Sheet1!S71_OriginalBudget,Sheet1!S71_SA34aCode,$AC:$AC,Sheet1!S71_A5CapexCode,$AD:$AD)</f>
        <v>0</v>
      </c>
      <c r="D45" s="1356">
        <f>SUMIFS(Sheet1!S71_SpecialAdjustedBudget,Sheet1!S71_SA34aCode,$AC:$AC,Sheet1!S71_A5CapexCode,$AD:$AD)</f>
        <v>0</v>
      </c>
      <c r="E45" s="1356"/>
      <c r="F45" s="1356"/>
      <c r="G45" s="1356"/>
      <c r="H45" s="1356"/>
      <c r="I45" s="1356">
        <f>SUMIFS(Sheet1!S71_AdjustmentAmount,Sheet1!S71_SA34aCode,$AC:$AC,Sheet1!S71_A5CapexCode,$AD:$AD)</f>
        <v>0</v>
      </c>
      <c r="J45" s="75">
        <f t="shared" si="9"/>
        <v>0</v>
      </c>
      <c r="K45" s="75">
        <f t="shared" si="4"/>
        <v>0</v>
      </c>
      <c r="L45" s="1356">
        <f>SUMIFS(Sheet1!S71_OY1AdjustedBudget,Sheet1!S71_SA34aCode,$AC:$AC,Sheet1!S71_A5CapexCode,$AD:$AD)</f>
        <v>0</v>
      </c>
      <c r="M45" s="1357">
        <f>SUMIFS(Sheet1!S71_OY2AdjustedBudget,Sheet1!S71_SA34aCode,$AC:$AC,Sheet1!S71_A5CapexCode,$AD:$AD)</f>
        <v>0</v>
      </c>
      <c r="N45" s="842"/>
      <c r="AC45" s="1336" t="s">
        <v>1879</v>
      </c>
      <c r="AD45" s="1336" t="s">
        <v>1846</v>
      </c>
    </row>
    <row r="46" spans="1:30" ht="12.75" customHeight="1" x14ac:dyDescent="0.25">
      <c r="A46" s="586" t="s">
        <v>1600</v>
      </c>
      <c r="B46" s="73"/>
      <c r="C46" s="1110">
        <f t="shared" ref="C46:M46" si="10">SUM(C47:C53)</f>
        <v>0</v>
      </c>
      <c r="D46" s="130">
        <f t="shared" si="10"/>
        <v>0</v>
      </c>
      <c r="E46" s="130">
        <f t="shared" si="10"/>
        <v>0</v>
      </c>
      <c r="F46" s="130">
        <f t="shared" si="10"/>
        <v>0</v>
      </c>
      <c r="G46" s="130">
        <f t="shared" si="10"/>
        <v>0</v>
      </c>
      <c r="H46" s="130">
        <f t="shared" si="10"/>
        <v>0</v>
      </c>
      <c r="I46" s="130">
        <f t="shared" si="10"/>
        <v>0</v>
      </c>
      <c r="J46" s="75">
        <f t="shared" si="9"/>
        <v>0</v>
      </c>
      <c r="K46" s="75">
        <f t="shared" si="4"/>
        <v>0</v>
      </c>
      <c r="L46" s="130">
        <f t="shared" si="10"/>
        <v>0</v>
      </c>
      <c r="M46" s="131">
        <f t="shared" si="10"/>
        <v>0</v>
      </c>
      <c r="N46" s="126"/>
      <c r="AD46" s="1336" t="s">
        <v>1846</v>
      </c>
    </row>
    <row r="47" spans="1:30" ht="12.75" customHeight="1" x14ac:dyDescent="0.25">
      <c r="A47" s="585" t="s">
        <v>1601</v>
      </c>
      <c r="B47" s="73"/>
      <c r="C47" s="1356">
        <f>SUMIFS(Sheet1!S71_OriginalBudget,Sheet1!S71_SA34aCode,$AC:$AC,Sheet1!S71_A5CapexCode,$AD:$AD)</f>
        <v>0</v>
      </c>
      <c r="D47" s="1356">
        <f>SUMIFS(Sheet1!S71_SpecialAdjustedBudget,Sheet1!S71_SA34aCode,$AC:$AC,Sheet1!S71_A5CapexCode,$AD:$AD)</f>
        <v>0</v>
      </c>
      <c r="E47" s="1356"/>
      <c r="F47" s="1356"/>
      <c r="G47" s="1356"/>
      <c r="H47" s="1356"/>
      <c r="I47" s="1356">
        <f>SUMIFS(Sheet1!S71_AdjustmentAmount,Sheet1!S71_SA34aCode,$AC:$AC,Sheet1!S71_A5CapexCode,$AD:$AD)</f>
        <v>0</v>
      </c>
      <c r="J47" s="75">
        <f t="shared" si="9"/>
        <v>0</v>
      </c>
      <c r="K47" s="75">
        <f t="shared" si="4"/>
        <v>0</v>
      </c>
      <c r="L47" s="1356">
        <f>SUMIFS(Sheet1!S71_OY1AdjustedBudget,Sheet1!S71_SA34aCode,$AC:$AC,Sheet1!S71_A5CapexCode,$AD:$AD)</f>
        <v>0</v>
      </c>
      <c r="M47" s="1357">
        <f>SUMIFS(Sheet1!S71_OY2AdjustedBudget,Sheet1!S71_SA34aCode,$AC:$AC,Sheet1!S71_A5CapexCode,$AD:$AD)</f>
        <v>0</v>
      </c>
      <c r="N47" s="837"/>
      <c r="AC47" s="1336" t="s">
        <v>1920</v>
      </c>
      <c r="AD47" s="1336" t="s">
        <v>1846</v>
      </c>
    </row>
    <row r="48" spans="1:30" ht="12.75" customHeight="1" x14ac:dyDescent="0.25">
      <c r="A48" s="585" t="s">
        <v>1602</v>
      </c>
      <c r="B48" s="73"/>
      <c r="C48" s="1356">
        <f>SUMIFS(Sheet1!S71_OriginalBudget,Sheet1!S71_SA34aCode,$AC:$AC,Sheet1!S71_A5CapexCode,$AD:$AD)</f>
        <v>0</v>
      </c>
      <c r="D48" s="1356">
        <f>SUMIFS(Sheet1!S71_SpecialAdjustedBudget,Sheet1!S71_SA34aCode,$AC:$AC,Sheet1!S71_A5CapexCode,$AD:$AD)</f>
        <v>0</v>
      </c>
      <c r="E48" s="1356"/>
      <c r="F48" s="1356"/>
      <c r="G48" s="1356"/>
      <c r="H48" s="1356"/>
      <c r="I48" s="1356">
        <f>SUMIFS(Sheet1!S71_AdjustmentAmount,Sheet1!S71_SA34aCode,$AC:$AC,Sheet1!S71_A5CapexCode,$AD:$AD)</f>
        <v>0</v>
      </c>
      <c r="J48" s="75">
        <f t="shared" si="9"/>
        <v>0</v>
      </c>
      <c r="K48" s="75">
        <f t="shared" si="4"/>
        <v>0</v>
      </c>
      <c r="L48" s="1356">
        <f>SUMIFS(Sheet1!S71_OY1AdjustedBudget,Sheet1!S71_SA34aCode,$AC:$AC,Sheet1!S71_A5CapexCode,$AD:$AD)</f>
        <v>0</v>
      </c>
      <c r="M48" s="1357">
        <f>SUMIFS(Sheet1!S71_OY2AdjustedBudget,Sheet1!S71_SA34aCode,$AC:$AC,Sheet1!S71_A5CapexCode,$AD:$AD)</f>
        <v>0</v>
      </c>
      <c r="N48" s="837"/>
      <c r="AC48" s="1336" t="s">
        <v>1817</v>
      </c>
      <c r="AD48" s="1336" t="s">
        <v>1846</v>
      </c>
    </row>
    <row r="49" spans="1:30" ht="12.75" customHeight="1" x14ac:dyDescent="0.25">
      <c r="A49" s="585" t="s">
        <v>1603</v>
      </c>
      <c r="B49" s="73"/>
      <c r="C49" s="1356">
        <f>SUMIFS(Sheet1!S71_OriginalBudget,Sheet1!S71_SA34aCode,$AC:$AC,Sheet1!S71_A5CapexCode,$AD:$AD)</f>
        <v>0</v>
      </c>
      <c r="D49" s="1356">
        <f>SUMIFS(Sheet1!S71_SpecialAdjustedBudget,Sheet1!S71_SA34aCode,$AC:$AC,Sheet1!S71_A5CapexCode,$AD:$AD)</f>
        <v>0</v>
      </c>
      <c r="E49" s="1356"/>
      <c r="F49" s="1356"/>
      <c r="G49" s="1356"/>
      <c r="H49" s="1356"/>
      <c r="I49" s="1356">
        <f>SUMIFS(Sheet1!S71_AdjustmentAmount,Sheet1!S71_SA34aCode,$AC:$AC,Sheet1!S71_A5CapexCode,$AD:$AD)</f>
        <v>0</v>
      </c>
      <c r="J49" s="75">
        <f t="shared" si="9"/>
        <v>0</v>
      </c>
      <c r="K49" s="75">
        <f t="shared" si="4"/>
        <v>0</v>
      </c>
      <c r="L49" s="1356">
        <f>SUMIFS(Sheet1!S71_OY1AdjustedBudget,Sheet1!S71_SA34aCode,$AC:$AC,Sheet1!S71_A5CapexCode,$AD:$AD)</f>
        <v>0</v>
      </c>
      <c r="M49" s="1357">
        <f>SUMIFS(Sheet1!S71_OY2AdjustedBudget,Sheet1!S71_SA34aCode,$AC:$AC,Sheet1!S71_A5CapexCode,$AD:$AD)</f>
        <v>0</v>
      </c>
      <c r="N49" s="842"/>
      <c r="AC49" s="1336" t="s">
        <v>1921</v>
      </c>
      <c r="AD49" s="1336" t="s">
        <v>1846</v>
      </c>
    </row>
    <row r="50" spans="1:30" ht="12.75" customHeight="1" x14ac:dyDescent="0.25">
      <c r="A50" s="585" t="s">
        <v>1604</v>
      </c>
      <c r="B50" s="73"/>
      <c r="C50" s="1356">
        <f>SUMIFS(Sheet1!S71_OriginalBudget,Sheet1!S71_SA34aCode,$AC:$AC,Sheet1!S71_A5CapexCode,$AD:$AD)</f>
        <v>0</v>
      </c>
      <c r="D50" s="1356">
        <f>SUMIFS(Sheet1!S71_SpecialAdjustedBudget,Sheet1!S71_SA34aCode,$AC:$AC,Sheet1!S71_A5CapexCode,$AD:$AD)</f>
        <v>0</v>
      </c>
      <c r="E50" s="1356"/>
      <c r="F50" s="1356"/>
      <c r="G50" s="1356"/>
      <c r="H50" s="1356"/>
      <c r="I50" s="1356">
        <f>SUMIFS(Sheet1!S71_AdjustmentAmount,Sheet1!S71_SA34aCode,$AC:$AC,Sheet1!S71_A5CapexCode,$AD:$AD)</f>
        <v>0</v>
      </c>
      <c r="J50" s="75">
        <f t="shared" si="9"/>
        <v>0</v>
      </c>
      <c r="K50" s="75">
        <f t="shared" si="4"/>
        <v>0</v>
      </c>
      <c r="L50" s="1356">
        <f>SUMIFS(Sheet1!S71_OY1AdjustedBudget,Sheet1!S71_SA34aCode,$AC:$AC,Sheet1!S71_A5CapexCode,$AD:$AD)</f>
        <v>0</v>
      </c>
      <c r="M50" s="1357">
        <f>SUMIFS(Sheet1!S71_OY2AdjustedBudget,Sheet1!S71_SA34aCode,$AC:$AC,Sheet1!S71_A5CapexCode,$AD:$AD)</f>
        <v>0</v>
      </c>
      <c r="N50" s="842"/>
      <c r="AC50" s="1336" t="s">
        <v>1922</v>
      </c>
      <c r="AD50" s="1336" t="s">
        <v>1846</v>
      </c>
    </row>
    <row r="51" spans="1:30" ht="12.75" customHeight="1" x14ac:dyDescent="0.25">
      <c r="A51" s="585" t="s">
        <v>1605</v>
      </c>
      <c r="B51" s="73"/>
      <c r="C51" s="1356">
        <f>SUMIFS(Sheet1!S71_OriginalBudget,Sheet1!S71_SA34aCode,$AC:$AC,Sheet1!S71_A5CapexCode,$AD:$AD)</f>
        <v>0</v>
      </c>
      <c r="D51" s="1356">
        <f>SUMIFS(Sheet1!S71_SpecialAdjustedBudget,Sheet1!S71_SA34aCode,$AC:$AC,Sheet1!S71_A5CapexCode,$AD:$AD)</f>
        <v>0</v>
      </c>
      <c r="E51" s="1356"/>
      <c r="F51" s="1356"/>
      <c r="G51" s="1356"/>
      <c r="H51" s="1356"/>
      <c r="I51" s="1356">
        <f>SUMIFS(Sheet1!S71_AdjustmentAmount,Sheet1!S71_SA34aCode,$AC:$AC,Sheet1!S71_A5CapexCode,$AD:$AD)</f>
        <v>0</v>
      </c>
      <c r="J51" s="75">
        <f t="shared" si="9"/>
        <v>0</v>
      </c>
      <c r="K51" s="75">
        <f t="shared" si="4"/>
        <v>0</v>
      </c>
      <c r="L51" s="1356">
        <f>SUMIFS(Sheet1!S71_OY1AdjustedBudget,Sheet1!S71_SA34aCode,$AC:$AC,Sheet1!S71_A5CapexCode,$AD:$AD)</f>
        <v>0</v>
      </c>
      <c r="M51" s="1357">
        <f>SUMIFS(Sheet1!S71_OY2AdjustedBudget,Sheet1!S71_SA34aCode,$AC:$AC,Sheet1!S71_A5CapexCode,$AD:$AD)</f>
        <v>0</v>
      </c>
      <c r="N51" s="842"/>
      <c r="AC51" s="1336" t="s">
        <v>1923</v>
      </c>
      <c r="AD51" s="1336" t="s">
        <v>1846</v>
      </c>
    </row>
    <row r="52" spans="1:30" ht="12.75" customHeight="1" x14ac:dyDescent="0.25">
      <c r="A52" s="585" t="s">
        <v>1606</v>
      </c>
      <c r="B52" s="73"/>
      <c r="C52" s="1356">
        <f>SUMIFS(Sheet1!S71_OriginalBudget,Sheet1!S71_SA34aCode,$AC:$AC,Sheet1!S71_A5CapexCode,$AD:$AD)</f>
        <v>0</v>
      </c>
      <c r="D52" s="1356">
        <f>SUMIFS(Sheet1!S71_SpecialAdjustedBudget,Sheet1!S71_SA34aCode,$AC:$AC,Sheet1!S71_A5CapexCode,$AD:$AD)</f>
        <v>0</v>
      </c>
      <c r="E52" s="1356"/>
      <c r="F52" s="1356"/>
      <c r="G52" s="1356"/>
      <c r="H52" s="1356"/>
      <c r="I52" s="1356">
        <f>SUMIFS(Sheet1!S71_AdjustmentAmount,Sheet1!S71_SA34aCode,$AC:$AC,Sheet1!S71_A5CapexCode,$AD:$AD)</f>
        <v>0</v>
      </c>
      <c r="J52" s="75">
        <f t="shared" si="9"/>
        <v>0</v>
      </c>
      <c r="K52" s="75">
        <f t="shared" si="4"/>
        <v>0</v>
      </c>
      <c r="L52" s="1356">
        <f>SUMIFS(Sheet1!S71_OY1AdjustedBudget,Sheet1!S71_SA34aCode,$AC:$AC,Sheet1!S71_A5CapexCode,$AD:$AD)</f>
        <v>0</v>
      </c>
      <c r="M52" s="1357">
        <f>SUMIFS(Sheet1!S71_OY2AdjustedBudget,Sheet1!S71_SA34aCode,$AC:$AC,Sheet1!S71_A5CapexCode,$AD:$AD)</f>
        <v>0</v>
      </c>
      <c r="N52" s="837"/>
      <c r="AC52" s="1336" t="s">
        <v>1924</v>
      </c>
      <c r="AD52" s="1336" t="s">
        <v>1846</v>
      </c>
    </row>
    <row r="53" spans="1:30" ht="12.75" customHeight="1" x14ac:dyDescent="0.25">
      <c r="A53" s="585" t="s">
        <v>1571</v>
      </c>
      <c r="B53" s="73"/>
      <c r="C53" s="1356">
        <f>SUMIFS(Sheet1!S71_OriginalBudget,Sheet1!S71_SA34aCode,$AC:$AC,Sheet1!S71_A5CapexCode,$AD:$AD)</f>
        <v>0</v>
      </c>
      <c r="D53" s="1356">
        <f>SUMIFS(Sheet1!S71_SpecialAdjustedBudget,Sheet1!S71_SA34aCode,$AC:$AC,Sheet1!S71_A5CapexCode,$AD:$AD)</f>
        <v>0</v>
      </c>
      <c r="E53" s="1356"/>
      <c r="F53" s="1356"/>
      <c r="G53" s="1356"/>
      <c r="H53" s="1356"/>
      <c r="I53" s="1356">
        <f>SUMIFS(Sheet1!S71_AdjustmentAmount,Sheet1!S71_SA34aCode,$AC:$AC,Sheet1!S71_A5CapexCode,$AD:$AD)</f>
        <v>0</v>
      </c>
      <c r="J53" s="75">
        <f t="shared" si="9"/>
        <v>0</v>
      </c>
      <c r="K53" s="75">
        <f t="shared" si="4"/>
        <v>0</v>
      </c>
      <c r="L53" s="1356">
        <f>SUMIFS(Sheet1!S71_OY1AdjustedBudget,Sheet1!S71_SA34aCode,$AC:$AC,Sheet1!S71_A5CapexCode,$AD:$AD)</f>
        <v>0</v>
      </c>
      <c r="M53" s="1357">
        <f>SUMIFS(Sheet1!S71_OY2AdjustedBudget,Sheet1!S71_SA34aCode,$AC:$AC,Sheet1!S71_A5CapexCode,$AD:$AD)</f>
        <v>0</v>
      </c>
      <c r="N53" s="842"/>
      <c r="AC53" s="1336" t="s">
        <v>1925</v>
      </c>
      <c r="AD53" s="1336" t="s">
        <v>1846</v>
      </c>
    </row>
    <row r="54" spans="1:30" ht="12.75" customHeight="1" x14ac:dyDescent="0.25">
      <c r="A54" s="584" t="s">
        <v>1607</v>
      </c>
      <c r="B54" s="73"/>
      <c r="C54" s="1110">
        <f t="shared" ref="C54:M54" si="11">SUM(C55:C63)</f>
        <v>0</v>
      </c>
      <c r="D54" s="130">
        <f t="shared" si="11"/>
        <v>0</v>
      </c>
      <c r="E54" s="130">
        <f t="shared" si="11"/>
        <v>0</v>
      </c>
      <c r="F54" s="130">
        <f t="shared" si="11"/>
        <v>0</v>
      </c>
      <c r="G54" s="130">
        <f t="shared" si="11"/>
        <v>0</v>
      </c>
      <c r="H54" s="130">
        <f t="shared" si="11"/>
        <v>0</v>
      </c>
      <c r="I54" s="130">
        <f t="shared" si="11"/>
        <v>0</v>
      </c>
      <c r="J54" s="75">
        <f t="shared" si="9"/>
        <v>0</v>
      </c>
      <c r="K54" s="75">
        <f t="shared" si="4"/>
        <v>0</v>
      </c>
      <c r="L54" s="130">
        <f t="shared" si="11"/>
        <v>0</v>
      </c>
      <c r="M54" s="131">
        <f t="shared" si="11"/>
        <v>0</v>
      </c>
      <c r="N54" s="126"/>
      <c r="AD54" s="1336" t="s">
        <v>1846</v>
      </c>
    </row>
    <row r="55" spans="1:30" ht="12.75" customHeight="1" x14ac:dyDescent="0.25">
      <c r="A55" s="585" t="s">
        <v>1608</v>
      </c>
      <c r="B55" s="73"/>
      <c r="C55" s="1356">
        <f>SUMIFS(Sheet1!S71_OriginalBudget,Sheet1!S71_SA34aCode,$AC:$AC,Sheet1!S71_A5CapexCode,$AD:$AD)</f>
        <v>0</v>
      </c>
      <c r="D55" s="1356">
        <f>SUMIFS(Sheet1!S71_SpecialAdjustedBudget,Sheet1!S71_SA34aCode,$AC:$AC,Sheet1!S71_A5CapexCode,$AD:$AD)</f>
        <v>0</v>
      </c>
      <c r="E55" s="1356"/>
      <c r="F55" s="1356"/>
      <c r="G55" s="1356"/>
      <c r="H55" s="1356"/>
      <c r="I55" s="1356">
        <f>SUMIFS(Sheet1!S71_AdjustmentAmount,Sheet1!S71_SA34aCode,$AC:$AC,Sheet1!S71_A5CapexCode,$AD:$AD)</f>
        <v>0</v>
      </c>
      <c r="J55" s="75">
        <f t="shared" si="9"/>
        <v>0</v>
      </c>
      <c r="K55" s="75">
        <f t="shared" si="4"/>
        <v>0</v>
      </c>
      <c r="L55" s="1356">
        <f>SUMIFS(Sheet1!S71_OY1AdjustedBudget,Sheet1!S71_SA34aCode,$AC:$AC,Sheet1!S71_A5CapexCode,$AD:$AD)</f>
        <v>0</v>
      </c>
      <c r="M55" s="1357">
        <f>SUMIFS(Sheet1!S71_OY2AdjustedBudget,Sheet1!S71_SA34aCode,$AC:$AC,Sheet1!S71_A5CapexCode,$AD:$AD)</f>
        <v>0</v>
      </c>
      <c r="N55" s="837"/>
      <c r="AC55" s="1336" t="s">
        <v>1926</v>
      </c>
      <c r="AD55" s="1336" t="s">
        <v>1846</v>
      </c>
    </row>
    <row r="56" spans="1:30" ht="12.75" customHeight="1" x14ac:dyDescent="0.25">
      <c r="A56" s="585" t="s">
        <v>1609</v>
      </c>
      <c r="B56" s="73"/>
      <c r="C56" s="1356">
        <f>SUMIFS(Sheet1!S71_OriginalBudget,Sheet1!S71_SA34aCode,$AC:$AC,Sheet1!S71_A5CapexCode,$AD:$AD)</f>
        <v>0</v>
      </c>
      <c r="D56" s="1356">
        <f>SUMIFS(Sheet1!S71_SpecialAdjustedBudget,Sheet1!S71_SA34aCode,$AC:$AC,Sheet1!S71_A5CapexCode,$AD:$AD)</f>
        <v>0</v>
      </c>
      <c r="E56" s="1356"/>
      <c r="F56" s="1356"/>
      <c r="G56" s="1356"/>
      <c r="H56" s="1356"/>
      <c r="I56" s="1356">
        <f>SUMIFS(Sheet1!S71_AdjustmentAmount,Sheet1!S71_SA34aCode,$AC:$AC,Sheet1!S71_A5CapexCode,$AD:$AD)</f>
        <v>0</v>
      </c>
      <c r="J56" s="75">
        <f t="shared" si="9"/>
        <v>0</v>
      </c>
      <c r="K56" s="75">
        <f t="shared" si="4"/>
        <v>0</v>
      </c>
      <c r="L56" s="1356">
        <f>SUMIFS(Sheet1!S71_OY1AdjustedBudget,Sheet1!S71_SA34aCode,$AC:$AC,Sheet1!S71_A5CapexCode,$AD:$AD)</f>
        <v>0</v>
      </c>
      <c r="M56" s="1357">
        <f>SUMIFS(Sheet1!S71_OY2AdjustedBudget,Sheet1!S71_SA34aCode,$AC:$AC,Sheet1!S71_A5CapexCode,$AD:$AD)</f>
        <v>0</v>
      </c>
      <c r="N56" s="837"/>
      <c r="AC56" s="1336" t="s">
        <v>1927</v>
      </c>
      <c r="AD56" s="1336" t="s">
        <v>1846</v>
      </c>
    </row>
    <row r="57" spans="1:30" ht="12.75" customHeight="1" x14ac:dyDescent="0.25">
      <c r="A57" s="585" t="s">
        <v>1610</v>
      </c>
      <c r="B57" s="73"/>
      <c r="C57" s="1356">
        <f>SUMIFS(Sheet1!S71_OriginalBudget,Sheet1!S71_SA34aCode,$AC:$AC,Sheet1!S71_A5CapexCode,$AD:$AD)</f>
        <v>0</v>
      </c>
      <c r="D57" s="1356">
        <f>SUMIFS(Sheet1!S71_SpecialAdjustedBudget,Sheet1!S71_SA34aCode,$AC:$AC,Sheet1!S71_A5CapexCode,$AD:$AD)</f>
        <v>0</v>
      </c>
      <c r="E57" s="1356"/>
      <c r="F57" s="1356"/>
      <c r="G57" s="1356"/>
      <c r="H57" s="1356"/>
      <c r="I57" s="1356">
        <f>SUMIFS(Sheet1!S71_AdjustmentAmount,Sheet1!S71_SA34aCode,$AC:$AC,Sheet1!S71_A5CapexCode,$AD:$AD)</f>
        <v>0</v>
      </c>
      <c r="J57" s="75">
        <f t="shared" si="9"/>
        <v>0</v>
      </c>
      <c r="K57" s="75">
        <f t="shared" si="4"/>
        <v>0</v>
      </c>
      <c r="L57" s="1356">
        <f>SUMIFS(Sheet1!S71_OY1AdjustedBudget,Sheet1!S71_SA34aCode,$AC:$AC,Sheet1!S71_A5CapexCode,$AD:$AD)</f>
        <v>0</v>
      </c>
      <c r="M57" s="1357">
        <f>SUMIFS(Sheet1!S71_OY2AdjustedBudget,Sheet1!S71_SA34aCode,$AC:$AC,Sheet1!S71_A5CapexCode,$AD:$AD)</f>
        <v>0</v>
      </c>
      <c r="N57" s="842"/>
      <c r="AC57" s="1336" t="s">
        <v>1928</v>
      </c>
      <c r="AD57" s="1336" t="s">
        <v>1846</v>
      </c>
    </row>
    <row r="58" spans="1:30" ht="12.75" customHeight="1" x14ac:dyDescent="0.25">
      <c r="A58" s="585" t="s">
        <v>1573</v>
      </c>
      <c r="B58" s="73"/>
      <c r="C58" s="1356">
        <f>SUMIFS(Sheet1!S71_OriginalBudget,Sheet1!S71_SA34aCode,$AC:$AC,Sheet1!S71_A5CapexCode,$AD:$AD)</f>
        <v>0</v>
      </c>
      <c r="D58" s="1356">
        <f>SUMIFS(Sheet1!S71_SpecialAdjustedBudget,Sheet1!S71_SA34aCode,$AC:$AC,Sheet1!S71_A5CapexCode,$AD:$AD)</f>
        <v>0</v>
      </c>
      <c r="E58" s="1356"/>
      <c r="F58" s="1356"/>
      <c r="G58" s="1356"/>
      <c r="H58" s="1356"/>
      <c r="I58" s="1356">
        <f>SUMIFS(Sheet1!S71_AdjustmentAmount,Sheet1!S71_SA34aCode,$AC:$AC,Sheet1!S71_A5CapexCode,$AD:$AD)</f>
        <v>0</v>
      </c>
      <c r="J58" s="75">
        <f t="shared" si="9"/>
        <v>0</v>
      </c>
      <c r="K58" s="75">
        <f t="shared" si="4"/>
        <v>0</v>
      </c>
      <c r="L58" s="1356">
        <f>SUMIFS(Sheet1!S71_OY1AdjustedBudget,Sheet1!S71_SA34aCode,$AC:$AC,Sheet1!S71_A5CapexCode,$AD:$AD)</f>
        <v>0</v>
      </c>
      <c r="M58" s="1357">
        <f>SUMIFS(Sheet1!S71_OY2AdjustedBudget,Sheet1!S71_SA34aCode,$AC:$AC,Sheet1!S71_A5CapexCode,$AD:$AD)</f>
        <v>0</v>
      </c>
      <c r="N58" s="842"/>
      <c r="AC58" s="1336" t="s">
        <v>1818</v>
      </c>
      <c r="AD58" s="1336" t="s">
        <v>1846</v>
      </c>
    </row>
    <row r="59" spans="1:30" ht="12.75" customHeight="1" x14ac:dyDescent="0.25">
      <c r="A59" s="585" t="s">
        <v>1574</v>
      </c>
      <c r="B59" s="73"/>
      <c r="C59" s="1356">
        <f>SUMIFS(Sheet1!S71_OriginalBudget,Sheet1!S71_SA34aCode,$AC:$AC,Sheet1!S71_A5CapexCode,$AD:$AD)</f>
        <v>0</v>
      </c>
      <c r="D59" s="1356">
        <f>SUMIFS(Sheet1!S71_SpecialAdjustedBudget,Sheet1!S71_SA34aCode,$AC:$AC,Sheet1!S71_A5CapexCode,$AD:$AD)</f>
        <v>0</v>
      </c>
      <c r="E59" s="1356"/>
      <c r="F59" s="1356"/>
      <c r="G59" s="1356"/>
      <c r="H59" s="1356"/>
      <c r="I59" s="1356">
        <f>SUMIFS(Sheet1!S71_AdjustmentAmount,Sheet1!S71_SA34aCode,$AC:$AC,Sheet1!S71_A5CapexCode,$AD:$AD)</f>
        <v>0</v>
      </c>
      <c r="J59" s="75">
        <f t="shared" si="9"/>
        <v>0</v>
      </c>
      <c r="K59" s="75">
        <f t="shared" si="4"/>
        <v>0</v>
      </c>
      <c r="L59" s="1356">
        <f>SUMIFS(Sheet1!S71_OY1AdjustedBudget,Sheet1!S71_SA34aCode,$AC:$AC,Sheet1!S71_A5CapexCode,$AD:$AD)</f>
        <v>0</v>
      </c>
      <c r="M59" s="1357">
        <f>SUMIFS(Sheet1!S71_OY2AdjustedBudget,Sheet1!S71_SA34aCode,$AC:$AC,Sheet1!S71_A5CapexCode,$AD:$AD)</f>
        <v>0</v>
      </c>
      <c r="N59" s="842"/>
      <c r="AC59" s="1336" t="s">
        <v>1929</v>
      </c>
      <c r="AD59" s="1336" t="s">
        <v>1846</v>
      </c>
    </row>
    <row r="60" spans="1:30" ht="12.75" customHeight="1" x14ac:dyDescent="0.25">
      <c r="A60" s="585" t="s">
        <v>1575</v>
      </c>
      <c r="B60" s="73"/>
      <c r="C60" s="1356">
        <f>SUMIFS(Sheet1!S71_OriginalBudget,Sheet1!S71_SA34aCode,$AC:$AC,Sheet1!S71_A5CapexCode,$AD:$AD)</f>
        <v>0</v>
      </c>
      <c r="D60" s="1356">
        <f>SUMIFS(Sheet1!S71_SpecialAdjustedBudget,Sheet1!S71_SA34aCode,$AC:$AC,Sheet1!S71_A5CapexCode,$AD:$AD)</f>
        <v>0</v>
      </c>
      <c r="E60" s="1356"/>
      <c r="F60" s="1356"/>
      <c r="G60" s="1356"/>
      <c r="H60" s="1356"/>
      <c r="I60" s="1356">
        <f>SUMIFS(Sheet1!S71_AdjustmentAmount,Sheet1!S71_SA34aCode,$AC:$AC,Sheet1!S71_A5CapexCode,$AD:$AD)</f>
        <v>0</v>
      </c>
      <c r="J60" s="75">
        <f t="shared" si="9"/>
        <v>0</v>
      </c>
      <c r="K60" s="75">
        <f t="shared" si="4"/>
        <v>0</v>
      </c>
      <c r="L60" s="1356">
        <f>SUMIFS(Sheet1!S71_OY1AdjustedBudget,Sheet1!S71_SA34aCode,$AC:$AC,Sheet1!S71_A5CapexCode,$AD:$AD)</f>
        <v>0</v>
      </c>
      <c r="M60" s="1357">
        <f>SUMIFS(Sheet1!S71_OY2AdjustedBudget,Sheet1!S71_SA34aCode,$AC:$AC,Sheet1!S71_A5CapexCode,$AD:$AD)</f>
        <v>0</v>
      </c>
      <c r="N60" s="842"/>
      <c r="AC60" s="1336" t="s">
        <v>1930</v>
      </c>
      <c r="AD60" s="1336" t="s">
        <v>1846</v>
      </c>
    </row>
    <row r="61" spans="1:30" ht="12.75" customHeight="1" x14ac:dyDescent="0.25">
      <c r="A61" s="585" t="s">
        <v>1581</v>
      </c>
      <c r="B61" s="73"/>
      <c r="C61" s="1356">
        <f>SUMIFS(Sheet1!S71_OriginalBudget,Sheet1!S71_SA34aCode,$AC:$AC,Sheet1!S71_A5CapexCode,$AD:$AD)</f>
        <v>0</v>
      </c>
      <c r="D61" s="1356">
        <f>SUMIFS(Sheet1!S71_SpecialAdjustedBudget,Sheet1!S71_SA34aCode,$AC:$AC,Sheet1!S71_A5CapexCode,$AD:$AD)</f>
        <v>0</v>
      </c>
      <c r="E61" s="1356"/>
      <c r="F61" s="1356"/>
      <c r="G61" s="1356"/>
      <c r="H61" s="1356"/>
      <c r="I61" s="1356">
        <f>SUMIFS(Sheet1!S71_AdjustmentAmount,Sheet1!S71_SA34aCode,$AC:$AC,Sheet1!S71_A5CapexCode,$AD:$AD)</f>
        <v>0</v>
      </c>
      <c r="J61" s="75">
        <f t="shared" si="9"/>
        <v>0</v>
      </c>
      <c r="K61" s="75">
        <f t="shared" si="4"/>
        <v>0</v>
      </c>
      <c r="L61" s="1356">
        <f>SUMIFS(Sheet1!S71_OY1AdjustedBudget,Sheet1!S71_SA34aCode,$AC:$AC,Sheet1!S71_A5CapexCode,$AD:$AD)</f>
        <v>0</v>
      </c>
      <c r="M61" s="1357">
        <f>SUMIFS(Sheet1!S71_OY2AdjustedBudget,Sheet1!S71_SA34aCode,$AC:$AC,Sheet1!S71_A5CapexCode,$AD:$AD)</f>
        <v>0</v>
      </c>
      <c r="N61" s="842"/>
      <c r="AC61" s="1336" t="s">
        <v>1931</v>
      </c>
      <c r="AD61" s="1336" t="s">
        <v>1846</v>
      </c>
    </row>
    <row r="62" spans="1:30" ht="12.75" customHeight="1" x14ac:dyDescent="0.25">
      <c r="A62" s="585" t="s">
        <v>1584</v>
      </c>
      <c r="B62" s="73"/>
      <c r="C62" s="1356">
        <f>SUMIFS(Sheet1!S71_OriginalBudget,Sheet1!S71_SA34aCode,$AC:$AC,Sheet1!S71_A5CapexCode,$AD:$AD)</f>
        <v>0</v>
      </c>
      <c r="D62" s="1356">
        <f>SUMIFS(Sheet1!S71_SpecialAdjustedBudget,Sheet1!S71_SA34aCode,$AC:$AC,Sheet1!S71_A5CapexCode,$AD:$AD)</f>
        <v>0</v>
      </c>
      <c r="E62" s="1356"/>
      <c r="F62" s="1356"/>
      <c r="G62" s="1356"/>
      <c r="H62" s="1356"/>
      <c r="I62" s="1356">
        <f>SUMIFS(Sheet1!S71_AdjustmentAmount,Sheet1!S71_SA34aCode,$AC:$AC,Sheet1!S71_A5CapexCode,$AD:$AD)</f>
        <v>0</v>
      </c>
      <c r="J62" s="75">
        <f t="shared" si="9"/>
        <v>0</v>
      </c>
      <c r="K62" s="75">
        <f t="shared" si="4"/>
        <v>0</v>
      </c>
      <c r="L62" s="1356">
        <f>SUMIFS(Sheet1!S71_OY1AdjustedBudget,Sheet1!S71_SA34aCode,$AC:$AC,Sheet1!S71_A5CapexCode,$AD:$AD)</f>
        <v>0</v>
      </c>
      <c r="M62" s="1357">
        <f>SUMIFS(Sheet1!S71_OY2AdjustedBudget,Sheet1!S71_SA34aCode,$AC:$AC,Sheet1!S71_A5CapexCode,$AD:$AD)</f>
        <v>0</v>
      </c>
      <c r="N62" s="837"/>
      <c r="AC62" s="1336" t="s">
        <v>1932</v>
      </c>
      <c r="AD62" s="1336" t="s">
        <v>1846</v>
      </c>
    </row>
    <row r="63" spans="1:30" ht="12.75" customHeight="1" x14ac:dyDescent="0.25">
      <c r="A63" s="585" t="s">
        <v>1571</v>
      </c>
      <c r="B63" s="73"/>
      <c r="C63" s="1356">
        <f>SUMIFS(Sheet1!S71_OriginalBudget,Sheet1!S71_SA34aCode,$AC:$AC,Sheet1!S71_A5CapexCode,$AD:$AD)</f>
        <v>0</v>
      </c>
      <c r="D63" s="1356">
        <f>SUMIFS(Sheet1!S71_SpecialAdjustedBudget,Sheet1!S71_SA34aCode,$AC:$AC,Sheet1!S71_A5CapexCode,$AD:$AD)</f>
        <v>0</v>
      </c>
      <c r="E63" s="1356"/>
      <c r="F63" s="1356"/>
      <c r="G63" s="1356"/>
      <c r="H63" s="1356"/>
      <c r="I63" s="1356">
        <f>SUMIFS(Sheet1!S71_AdjustmentAmount,Sheet1!S71_SA34aCode,$AC:$AC,Sheet1!S71_A5CapexCode,$AD:$AD)</f>
        <v>0</v>
      </c>
      <c r="J63" s="75">
        <f t="shared" si="9"/>
        <v>0</v>
      </c>
      <c r="K63" s="75">
        <f t="shared" si="4"/>
        <v>0</v>
      </c>
      <c r="L63" s="1356">
        <f>SUMIFS(Sheet1!S71_OY1AdjustedBudget,Sheet1!S71_SA34aCode,$AC:$AC,Sheet1!S71_A5CapexCode,$AD:$AD)</f>
        <v>0</v>
      </c>
      <c r="M63" s="1357">
        <f>SUMIFS(Sheet1!S71_OY2AdjustedBudget,Sheet1!S71_SA34aCode,$AC:$AC,Sheet1!S71_A5CapexCode,$AD:$AD)</f>
        <v>0</v>
      </c>
      <c r="N63" s="842"/>
      <c r="AC63" s="1336" t="s">
        <v>1933</v>
      </c>
      <c r="AD63" s="1336" t="s">
        <v>1846</v>
      </c>
    </row>
    <row r="64" spans="1:30" ht="12.75" customHeight="1" x14ac:dyDescent="0.25">
      <c r="A64" s="586" t="s">
        <v>1611</v>
      </c>
      <c r="B64" s="73"/>
      <c r="C64" s="1110">
        <f t="shared" ref="C64:M64" si="12">SUM(C65:C69)</f>
        <v>0</v>
      </c>
      <c r="D64" s="130">
        <f t="shared" si="12"/>
        <v>0</v>
      </c>
      <c r="E64" s="130">
        <f t="shared" si="12"/>
        <v>0</v>
      </c>
      <c r="F64" s="130">
        <f t="shared" si="12"/>
        <v>0</v>
      </c>
      <c r="G64" s="130">
        <f t="shared" si="12"/>
        <v>0</v>
      </c>
      <c r="H64" s="130">
        <f t="shared" si="12"/>
        <v>0</v>
      </c>
      <c r="I64" s="130">
        <f t="shared" si="12"/>
        <v>0</v>
      </c>
      <c r="J64" s="75">
        <f t="shared" si="9"/>
        <v>0</v>
      </c>
      <c r="K64" s="75">
        <f t="shared" si="4"/>
        <v>0</v>
      </c>
      <c r="L64" s="130">
        <f t="shared" si="12"/>
        <v>0</v>
      </c>
      <c r="M64" s="131">
        <f t="shared" si="12"/>
        <v>0</v>
      </c>
      <c r="N64" s="126"/>
      <c r="AD64" s="1336" t="s">
        <v>1846</v>
      </c>
    </row>
    <row r="65" spans="1:30" ht="12.75" customHeight="1" x14ac:dyDescent="0.25">
      <c r="A65" s="585" t="s">
        <v>1612</v>
      </c>
      <c r="B65" s="73"/>
      <c r="C65" s="1356">
        <f>SUMIFS(Sheet1!S71_OriginalBudget,Sheet1!S71_SA34aCode,$AC:$AC,Sheet1!S71_A5CapexCode,$AD:$AD)</f>
        <v>0</v>
      </c>
      <c r="D65" s="1356">
        <f>SUMIFS(Sheet1!S71_SpecialAdjustedBudget,Sheet1!S71_SA34aCode,$AC:$AC,Sheet1!S71_A5CapexCode,$AD:$AD)</f>
        <v>0</v>
      </c>
      <c r="E65" s="1356"/>
      <c r="F65" s="1356"/>
      <c r="G65" s="1356"/>
      <c r="H65" s="1356"/>
      <c r="I65" s="1356">
        <f>SUMIFS(Sheet1!S71_AdjustmentAmount,Sheet1!S71_SA34aCode,$AC:$AC,Sheet1!S71_A5CapexCode,$AD:$AD)</f>
        <v>0</v>
      </c>
      <c r="J65" s="75">
        <f t="shared" si="9"/>
        <v>0</v>
      </c>
      <c r="K65" s="75">
        <f t="shared" si="4"/>
        <v>0</v>
      </c>
      <c r="L65" s="1356">
        <f>SUMIFS(Sheet1!S71_OY1AdjustedBudget,Sheet1!S71_SA34aCode,$AC:$AC,Sheet1!S71_A5CapexCode,$AD:$AD)</f>
        <v>0</v>
      </c>
      <c r="M65" s="1357">
        <f>SUMIFS(Sheet1!S71_OY2AdjustedBudget,Sheet1!S71_SA34aCode,$AC:$AC,Sheet1!S71_A5CapexCode,$AD:$AD)</f>
        <v>0</v>
      </c>
      <c r="N65" s="837"/>
      <c r="AC65" s="1336" t="s">
        <v>1934</v>
      </c>
      <c r="AD65" s="1336" t="s">
        <v>1846</v>
      </c>
    </row>
    <row r="66" spans="1:30" ht="12.75" customHeight="1" x14ac:dyDescent="0.25">
      <c r="A66" s="585" t="s">
        <v>1613</v>
      </c>
      <c r="B66" s="73"/>
      <c r="C66" s="1356">
        <f>SUMIFS(Sheet1!S71_OriginalBudget,Sheet1!S71_SA34aCode,$AC:$AC,Sheet1!S71_A5CapexCode,$AD:$AD)</f>
        <v>0</v>
      </c>
      <c r="D66" s="1356">
        <f>SUMIFS(Sheet1!S71_SpecialAdjustedBudget,Sheet1!S71_SA34aCode,$AC:$AC,Sheet1!S71_A5CapexCode,$AD:$AD)</f>
        <v>0</v>
      </c>
      <c r="E66" s="1356"/>
      <c r="F66" s="1356"/>
      <c r="G66" s="1356"/>
      <c r="H66" s="1356"/>
      <c r="I66" s="1356">
        <f>SUMIFS(Sheet1!S71_AdjustmentAmount,Sheet1!S71_SA34aCode,$AC:$AC,Sheet1!S71_A5CapexCode,$AD:$AD)</f>
        <v>0</v>
      </c>
      <c r="J66" s="75">
        <f t="shared" si="9"/>
        <v>0</v>
      </c>
      <c r="K66" s="75">
        <f t="shared" si="4"/>
        <v>0</v>
      </c>
      <c r="L66" s="1356">
        <f>SUMIFS(Sheet1!S71_OY1AdjustedBudget,Sheet1!S71_SA34aCode,$AC:$AC,Sheet1!S71_A5CapexCode,$AD:$AD)</f>
        <v>0</v>
      </c>
      <c r="M66" s="1357">
        <f>SUMIFS(Sheet1!S71_OY2AdjustedBudget,Sheet1!S71_SA34aCode,$AC:$AC,Sheet1!S71_A5CapexCode,$AD:$AD)</f>
        <v>0</v>
      </c>
      <c r="N66" s="837"/>
      <c r="AC66" s="1336" t="s">
        <v>1935</v>
      </c>
      <c r="AD66" s="1336" t="s">
        <v>1846</v>
      </c>
    </row>
    <row r="67" spans="1:30" ht="12.75" customHeight="1" x14ac:dyDescent="0.25">
      <c r="A67" s="585" t="s">
        <v>1614</v>
      </c>
      <c r="B67" s="73"/>
      <c r="C67" s="1356">
        <f>SUMIFS(Sheet1!S71_OriginalBudget,Sheet1!S71_SA34aCode,$AC:$AC,Sheet1!S71_A5CapexCode,$AD:$AD)</f>
        <v>0</v>
      </c>
      <c r="D67" s="1356">
        <f>SUMIFS(Sheet1!S71_SpecialAdjustedBudget,Sheet1!S71_SA34aCode,$AC:$AC,Sheet1!S71_A5CapexCode,$AD:$AD)</f>
        <v>0</v>
      </c>
      <c r="E67" s="1356"/>
      <c r="F67" s="1356"/>
      <c r="G67" s="1356"/>
      <c r="H67" s="1356"/>
      <c r="I67" s="1356">
        <f>SUMIFS(Sheet1!S71_AdjustmentAmount,Sheet1!S71_SA34aCode,$AC:$AC,Sheet1!S71_A5CapexCode,$AD:$AD)</f>
        <v>0</v>
      </c>
      <c r="J67" s="75">
        <f t="shared" si="9"/>
        <v>0</v>
      </c>
      <c r="K67" s="75">
        <f t="shared" si="4"/>
        <v>0</v>
      </c>
      <c r="L67" s="1356">
        <f>SUMIFS(Sheet1!S71_OY1AdjustedBudget,Sheet1!S71_SA34aCode,$AC:$AC,Sheet1!S71_A5CapexCode,$AD:$AD)</f>
        <v>0</v>
      </c>
      <c r="M67" s="1357">
        <f>SUMIFS(Sheet1!S71_OY2AdjustedBudget,Sheet1!S71_SA34aCode,$AC:$AC,Sheet1!S71_A5CapexCode,$AD:$AD)</f>
        <v>0</v>
      </c>
      <c r="N67" s="842"/>
      <c r="AC67" s="1336" t="s">
        <v>1936</v>
      </c>
      <c r="AD67" s="1336" t="s">
        <v>1846</v>
      </c>
    </row>
    <row r="68" spans="1:30" ht="12.75" customHeight="1" x14ac:dyDescent="0.25">
      <c r="A68" s="585" t="s">
        <v>1615</v>
      </c>
      <c r="B68" s="73"/>
      <c r="C68" s="1356">
        <f>SUMIFS(Sheet1!S71_OriginalBudget,Sheet1!S71_SA34aCode,$AC:$AC,Sheet1!S71_A5CapexCode,$AD:$AD)</f>
        <v>0</v>
      </c>
      <c r="D68" s="1356">
        <f>SUMIFS(Sheet1!S71_SpecialAdjustedBudget,Sheet1!S71_SA34aCode,$AC:$AC,Sheet1!S71_A5CapexCode,$AD:$AD)</f>
        <v>0</v>
      </c>
      <c r="E68" s="1356"/>
      <c r="F68" s="1356"/>
      <c r="G68" s="1356"/>
      <c r="H68" s="1356"/>
      <c r="I68" s="1356">
        <f>SUMIFS(Sheet1!S71_AdjustmentAmount,Sheet1!S71_SA34aCode,$AC:$AC,Sheet1!S71_A5CapexCode,$AD:$AD)</f>
        <v>0</v>
      </c>
      <c r="J68" s="75">
        <f t="shared" si="9"/>
        <v>0</v>
      </c>
      <c r="K68" s="75">
        <f t="shared" si="4"/>
        <v>0</v>
      </c>
      <c r="L68" s="1356">
        <f>SUMIFS(Sheet1!S71_OY1AdjustedBudget,Sheet1!S71_SA34aCode,$AC:$AC,Sheet1!S71_A5CapexCode,$AD:$AD)</f>
        <v>0</v>
      </c>
      <c r="M68" s="1357">
        <f>SUMIFS(Sheet1!S71_OY2AdjustedBudget,Sheet1!S71_SA34aCode,$AC:$AC,Sheet1!S71_A5CapexCode,$AD:$AD)</f>
        <v>0</v>
      </c>
      <c r="N68" s="837"/>
      <c r="AC68" s="1336" t="s">
        <v>1937</v>
      </c>
      <c r="AD68" s="1336" t="s">
        <v>1846</v>
      </c>
    </row>
    <row r="69" spans="1:30" ht="12.75" customHeight="1" x14ac:dyDescent="0.25">
      <c r="A69" s="585" t="s">
        <v>1571</v>
      </c>
      <c r="B69" s="73"/>
      <c r="C69" s="1356">
        <f>SUMIFS(Sheet1!S71_OriginalBudget,Sheet1!S71_SA34aCode,$AC:$AC,Sheet1!S71_A5CapexCode,$AD:$AD)</f>
        <v>0</v>
      </c>
      <c r="D69" s="1356">
        <f>SUMIFS(Sheet1!S71_SpecialAdjustedBudget,Sheet1!S71_SA34aCode,$AC:$AC,Sheet1!S71_A5CapexCode,$AD:$AD)</f>
        <v>0</v>
      </c>
      <c r="E69" s="1356"/>
      <c r="F69" s="1356"/>
      <c r="G69" s="1356"/>
      <c r="H69" s="1356"/>
      <c r="I69" s="1356">
        <f>SUMIFS(Sheet1!S71_AdjustmentAmount,Sheet1!S71_SA34aCode,$AC:$AC,Sheet1!S71_A5CapexCode,$AD:$AD)</f>
        <v>0</v>
      </c>
      <c r="J69" s="75">
        <f t="shared" si="9"/>
        <v>0</v>
      </c>
      <c r="K69" s="75">
        <f t="shared" si="4"/>
        <v>0</v>
      </c>
      <c r="L69" s="1356">
        <f>SUMIFS(Sheet1!S71_OY1AdjustedBudget,Sheet1!S71_SA34aCode,$AC:$AC,Sheet1!S71_A5CapexCode,$AD:$AD)</f>
        <v>0</v>
      </c>
      <c r="M69" s="1357">
        <f>SUMIFS(Sheet1!S71_OY2AdjustedBudget,Sheet1!S71_SA34aCode,$AC:$AC,Sheet1!S71_A5CapexCode,$AD:$AD)</f>
        <v>0</v>
      </c>
      <c r="N69" s="842"/>
      <c r="AC69" s="1336" t="s">
        <v>1938</v>
      </c>
      <c r="AD69" s="1336" t="s">
        <v>1846</v>
      </c>
    </row>
    <row r="70" spans="1:30" ht="12.75" customHeight="1" x14ac:dyDescent="0.25">
      <c r="A70" s="584" t="s">
        <v>1616</v>
      </c>
      <c r="B70" s="73"/>
      <c r="C70" s="130">
        <f t="shared" ref="C70:M70" si="13">SUM(C71:C74)</f>
        <v>0</v>
      </c>
      <c r="D70" s="130">
        <f t="shared" si="13"/>
        <v>0</v>
      </c>
      <c r="E70" s="130">
        <f t="shared" si="13"/>
        <v>0</v>
      </c>
      <c r="F70" s="130">
        <f t="shared" si="13"/>
        <v>0</v>
      </c>
      <c r="G70" s="130">
        <f t="shared" si="13"/>
        <v>0</v>
      </c>
      <c r="H70" s="130">
        <f t="shared" si="13"/>
        <v>0</v>
      </c>
      <c r="I70" s="130">
        <f t="shared" si="13"/>
        <v>0</v>
      </c>
      <c r="J70" s="75">
        <f t="shared" si="9"/>
        <v>0</v>
      </c>
      <c r="K70" s="75">
        <f t="shared" si="4"/>
        <v>0</v>
      </c>
      <c r="L70" s="130">
        <f t="shared" si="13"/>
        <v>0</v>
      </c>
      <c r="M70" s="131">
        <f t="shared" si="13"/>
        <v>0</v>
      </c>
      <c r="N70" s="842"/>
      <c r="AD70" s="1336" t="s">
        <v>1846</v>
      </c>
    </row>
    <row r="71" spans="1:30" ht="12.75" customHeight="1" x14ac:dyDescent="0.25">
      <c r="A71" s="585" t="s">
        <v>1617</v>
      </c>
      <c r="B71" s="73"/>
      <c r="C71" s="1356">
        <f>SUMIFS(Sheet1!S71_OriginalBudget,Sheet1!S71_SA34aCode,$AC:$AC,Sheet1!S71_A5CapexCode,$AD:$AD)</f>
        <v>0</v>
      </c>
      <c r="D71" s="1356">
        <f>SUMIFS(Sheet1!S71_SpecialAdjustedBudget,Sheet1!S71_SA34aCode,$AC:$AC,Sheet1!S71_A5CapexCode,$AD:$AD)</f>
        <v>0</v>
      </c>
      <c r="E71" s="1356"/>
      <c r="F71" s="1356"/>
      <c r="G71" s="1356"/>
      <c r="H71" s="1356"/>
      <c r="I71" s="1356">
        <f>SUMIFS(Sheet1!S71_AdjustmentAmount,Sheet1!S71_SA34aCode,$AC:$AC,Sheet1!S71_A5CapexCode,$AD:$AD)</f>
        <v>0</v>
      </c>
      <c r="J71" s="75">
        <f t="shared" si="9"/>
        <v>0</v>
      </c>
      <c r="K71" s="75">
        <f t="shared" si="4"/>
        <v>0</v>
      </c>
      <c r="L71" s="1356">
        <f>SUMIFS(Sheet1!S71_OY1AdjustedBudget,Sheet1!S71_SA34aCode,$AC:$AC,Sheet1!S71_A5CapexCode,$AD:$AD)</f>
        <v>0</v>
      </c>
      <c r="M71" s="1357">
        <f>SUMIFS(Sheet1!S71_OY2AdjustedBudget,Sheet1!S71_SA34aCode,$AC:$AC,Sheet1!S71_A5CapexCode,$AD:$AD)</f>
        <v>0</v>
      </c>
      <c r="N71" s="842"/>
      <c r="AC71" s="1336" t="s">
        <v>1939</v>
      </c>
      <c r="AD71" s="1336" t="s">
        <v>1846</v>
      </c>
    </row>
    <row r="72" spans="1:30" ht="12.75" customHeight="1" x14ac:dyDescent="0.25">
      <c r="A72" s="585" t="s">
        <v>1618</v>
      </c>
      <c r="B72" s="73"/>
      <c r="C72" s="1356">
        <f>SUMIFS(Sheet1!S71_OriginalBudget,Sheet1!S71_SA34aCode,$AC:$AC,Sheet1!S71_A5CapexCode,$AD:$AD)</f>
        <v>0</v>
      </c>
      <c r="D72" s="1356">
        <f>SUMIFS(Sheet1!S71_SpecialAdjustedBudget,Sheet1!S71_SA34aCode,$AC:$AC,Sheet1!S71_A5CapexCode,$AD:$AD)</f>
        <v>0</v>
      </c>
      <c r="E72" s="1356"/>
      <c r="F72" s="1356"/>
      <c r="G72" s="1356"/>
      <c r="H72" s="1356"/>
      <c r="I72" s="1356">
        <f>SUMIFS(Sheet1!S71_AdjustmentAmount,Sheet1!S71_SA34aCode,$AC:$AC,Sheet1!S71_A5CapexCode,$AD:$AD)</f>
        <v>0</v>
      </c>
      <c r="J72" s="75">
        <f t="shared" si="9"/>
        <v>0</v>
      </c>
      <c r="K72" s="75">
        <f t="shared" si="4"/>
        <v>0</v>
      </c>
      <c r="L72" s="1356">
        <f>SUMIFS(Sheet1!S71_OY1AdjustedBudget,Sheet1!S71_SA34aCode,$AC:$AC,Sheet1!S71_A5CapexCode,$AD:$AD)</f>
        <v>0</v>
      </c>
      <c r="M72" s="1357">
        <f>SUMIFS(Sheet1!S71_OY2AdjustedBudget,Sheet1!S71_SA34aCode,$AC:$AC,Sheet1!S71_A5CapexCode,$AD:$AD)</f>
        <v>0</v>
      </c>
      <c r="N72" s="842"/>
      <c r="AC72" s="1336" t="s">
        <v>1940</v>
      </c>
      <c r="AD72" s="1336" t="s">
        <v>1846</v>
      </c>
    </row>
    <row r="73" spans="1:30" ht="12.75" customHeight="1" x14ac:dyDescent="0.25">
      <c r="A73" s="585" t="s">
        <v>1619</v>
      </c>
      <c r="B73" s="73"/>
      <c r="C73" s="1356">
        <f>SUMIFS(Sheet1!S71_OriginalBudget,Sheet1!S71_SA34aCode,$AC:$AC,Sheet1!S71_A5CapexCode,$AD:$AD)</f>
        <v>0</v>
      </c>
      <c r="D73" s="1356">
        <f>SUMIFS(Sheet1!S71_SpecialAdjustedBudget,Sheet1!S71_SA34aCode,$AC:$AC,Sheet1!S71_A5CapexCode,$AD:$AD)</f>
        <v>0</v>
      </c>
      <c r="E73" s="1356"/>
      <c r="F73" s="1356"/>
      <c r="G73" s="1356"/>
      <c r="H73" s="1356"/>
      <c r="I73" s="1356">
        <f>SUMIFS(Sheet1!S71_AdjustmentAmount,Sheet1!S71_SA34aCode,$AC:$AC,Sheet1!S71_A5CapexCode,$AD:$AD)</f>
        <v>0</v>
      </c>
      <c r="J73" s="75">
        <f t="shared" ref="J73:J74" si="14">SUM(E73:I73)</f>
        <v>0</v>
      </c>
      <c r="K73" s="75">
        <f t="shared" ref="K73:K136" si="15">IF(D73=0,C73+J73,D73+J73)</f>
        <v>0</v>
      </c>
      <c r="L73" s="1356">
        <f>SUMIFS(Sheet1!S71_OY1AdjustedBudget,Sheet1!S71_SA34aCode,$AC:$AC,Sheet1!S71_A5CapexCode,$AD:$AD)</f>
        <v>0</v>
      </c>
      <c r="M73" s="1357">
        <f>SUMIFS(Sheet1!S71_OY2AdjustedBudget,Sheet1!S71_SA34aCode,$AC:$AC,Sheet1!S71_A5CapexCode,$AD:$AD)</f>
        <v>0</v>
      </c>
      <c r="N73" s="842"/>
      <c r="AC73" s="1336" t="s">
        <v>1941</v>
      </c>
      <c r="AD73" s="1336" t="s">
        <v>1846</v>
      </c>
    </row>
    <row r="74" spans="1:30" ht="12.75" customHeight="1" x14ac:dyDescent="0.25">
      <c r="A74" s="585" t="s">
        <v>1571</v>
      </c>
      <c r="B74" s="73"/>
      <c r="C74" s="1356">
        <f>SUMIFS(Sheet1!S71_OriginalBudget,Sheet1!S71_SA34aCode,$AC:$AC,Sheet1!S71_A5CapexCode,$AD:$AD)</f>
        <v>0</v>
      </c>
      <c r="D74" s="1356">
        <f>SUMIFS(Sheet1!S71_SpecialAdjustedBudget,Sheet1!S71_SA34aCode,$AC:$AC,Sheet1!S71_A5CapexCode,$AD:$AD)</f>
        <v>0</v>
      </c>
      <c r="E74" s="1356"/>
      <c r="F74" s="1356"/>
      <c r="G74" s="1356"/>
      <c r="H74" s="1356"/>
      <c r="I74" s="1356">
        <f>SUMIFS(Sheet1!S71_AdjustmentAmount,Sheet1!S71_SA34aCode,$AC:$AC,Sheet1!S71_A5CapexCode,$AD:$AD)</f>
        <v>0</v>
      </c>
      <c r="J74" s="75">
        <f t="shared" si="14"/>
        <v>0</v>
      </c>
      <c r="K74" s="75">
        <f t="shared" si="15"/>
        <v>0</v>
      </c>
      <c r="L74" s="1356">
        <f>SUMIFS(Sheet1!S71_OY1AdjustedBudget,Sheet1!S71_SA34aCode,$AC:$AC,Sheet1!S71_A5CapexCode,$AD:$AD)</f>
        <v>0</v>
      </c>
      <c r="M74" s="1357">
        <f>SUMIFS(Sheet1!S71_OY2AdjustedBudget,Sheet1!S71_SA34aCode,$AC:$AC,Sheet1!S71_A5CapexCode,$AD:$AD)</f>
        <v>0</v>
      </c>
      <c r="N74" s="842"/>
      <c r="AC74" s="1336" t="s">
        <v>1942</v>
      </c>
      <c r="AD74" s="1336" t="s">
        <v>1846</v>
      </c>
    </row>
    <row r="75" spans="1:30" ht="5.0999999999999996" customHeight="1" x14ac:dyDescent="0.25">
      <c r="A75" s="134"/>
      <c r="B75" s="73"/>
      <c r="C75" s="74"/>
      <c r="D75" s="75"/>
      <c r="E75" s="75"/>
      <c r="F75" s="75"/>
      <c r="G75" s="75"/>
      <c r="H75" s="75"/>
      <c r="I75" s="75"/>
      <c r="J75" s="75"/>
      <c r="K75" s="75"/>
      <c r="L75" s="75"/>
      <c r="M75" s="76"/>
      <c r="N75" s="126"/>
      <c r="AD75" s="1336" t="s">
        <v>1846</v>
      </c>
    </row>
    <row r="76" spans="1:30" ht="12.75" customHeight="1" x14ac:dyDescent="0.25">
      <c r="A76" s="484" t="s">
        <v>1620</v>
      </c>
      <c r="B76" s="73"/>
      <c r="C76" s="234">
        <f>+C77+C100</f>
        <v>9528984</v>
      </c>
      <c r="D76" s="235">
        <f>+D77+D100</f>
        <v>9528984</v>
      </c>
      <c r="E76" s="235">
        <f t="shared" ref="E76:M76" si="16">+E77+E100</f>
        <v>0</v>
      </c>
      <c r="F76" s="235">
        <f t="shared" si="16"/>
        <v>0</v>
      </c>
      <c r="G76" s="235">
        <f t="shared" si="16"/>
        <v>0</v>
      </c>
      <c r="H76" s="235">
        <f t="shared" si="16"/>
        <v>0</v>
      </c>
      <c r="I76" s="235">
        <f t="shared" si="16"/>
        <v>1936585</v>
      </c>
      <c r="J76" s="143">
        <f t="shared" ref="J76:J103" si="17">SUM(E76:I76)</f>
        <v>1936585</v>
      </c>
      <c r="K76" s="143">
        <f t="shared" si="15"/>
        <v>11465569</v>
      </c>
      <c r="L76" s="235">
        <f>+L77+L100</f>
        <v>0</v>
      </c>
      <c r="M76" s="236">
        <f t="shared" si="16"/>
        <v>0</v>
      </c>
      <c r="N76" s="126"/>
      <c r="AD76" s="1336" t="s">
        <v>1846</v>
      </c>
    </row>
    <row r="77" spans="1:30" ht="12.75" customHeight="1" x14ac:dyDescent="0.25">
      <c r="A77" s="584" t="s">
        <v>1621</v>
      </c>
      <c r="B77" s="73"/>
      <c r="C77" s="130">
        <f>SUM(C78:C99)</f>
        <v>9528984</v>
      </c>
      <c r="D77" s="130">
        <f>SUM(D78:D99)</f>
        <v>9528984</v>
      </c>
      <c r="E77" s="130">
        <f t="shared" ref="E77:M77" si="18">SUM(E78:E99)</f>
        <v>0</v>
      </c>
      <c r="F77" s="130">
        <f t="shared" si="18"/>
        <v>0</v>
      </c>
      <c r="G77" s="130">
        <f t="shared" si="18"/>
        <v>0</v>
      </c>
      <c r="H77" s="130">
        <f t="shared" si="18"/>
        <v>0</v>
      </c>
      <c r="I77" s="130">
        <f t="shared" si="18"/>
        <v>1936585</v>
      </c>
      <c r="J77" s="75">
        <f t="shared" si="17"/>
        <v>1936585</v>
      </c>
      <c r="K77" s="75">
        <f t="shared" si="15"/>
        <v>11465569</v>
      </c>
      <c r="L77" s="130">
        <f t="shared" si="18"/>
        <v>0</v>
      </c>
      <c r="M77" s="131">
        <f t="shared" si="18"/>
        <v>0</v>
      </c>
      <c r="N77" s="842"/>
      <c r="AD77" s="1336" t="s">
        <v>1846</v>
      </c>
    </row>
    <row r="78" spans="1:30" ht="12.75" customHeight="1" x14ac:dyDescent="0.25">
      <c r="A78" s="585" t="s">
        <v>1622</v>
      </c>
      <c r="B78" s="73"/>
      <c r="C78" s="1356">
        <f>SUMIFS(Sheet1!S71_OriginalBudget,Sheet1!S71_SA34aCode,$AC:$AC,Sheet1!S71_A5CapexCode,$AD:$AD)</f>
        <v>7990468</v>
      </c>
      <c r="D78" s="1356">
        <f>SUMIFS(Sheet1!S71_SpecialAdjustedBudget,Sheet1!S71_SA34aCode,$AC:$AC,Sheet1!S71_A5CapexCode,$AD:$AD)</f>
        <v>7990468</v>
      </c>
      <c r="E78" s="1356"/>
      <c r="F78" s="1356"/>
      <c r="G78" s="1356"/>
      <c r="H78" s="1356"/>
      <c r="I78" s="1356">
        <f>SUMIFS(Sheet1!S71_AdjustmentAmount,Sheet1!S71_SA34aCode,$AC:$AC,Sheet1!S71_A5CapexCode,$AD:$AD)</f>
        <v>1936585</v>
      </c>
      <c r="J78" s="75">
        <f t="shared" si="17"/>
        <v>1936585</v>
      </c>
      <c r="K78" s="75">
        <f t="shared" si="15"/>
        <v>9927053</v>
      </c>
      <c r="L78" s="1356">
        <f>SUMIFS(Sheet1!S71_OY1AdjustedBudget,Sheet1!S71_SA34aCode,$AC:$AC,Sheet1!S71_A5CapexCode,$AD:$AD)</f>
        <v>0</v>
      </c>
      <c r="M78" s="1357">
        <f>SUMIFS(Sheet1!S71_OY2AdjustedBudget,Sheet1!S71_SA34aCode,$AC:$AC,Sheet1!S71_A5CapexCode,$AD:$AD)</f>
        <v>0</v>
      </c>
      <c r="N78" s="126"/>
      <c r="AC78" s="1336" t="s">
        <v>1943</v>
      </c>
      <c r="AD78" s="1336" t="s">
        <v>1846</v>
      </c>
    </row>
    <row r="79" spans="1:30" ht="12.75" customHeight="1" x14ac:dyDescent="0.25">
      <c r="A79" s="585" t="s">
        <v>1623</v>
      </c>
      <c r="B79" s="73"/>
      <c r="C79" s="1356">
        <f>SUMIFS(Sheet1!S71_OriginalBudget,Sheet1!S71_SA34aCode,$AC:$AC,Sheet1!S71_A5CapexCode,$AD:$AD)</f>
        <v>0</v>
      </c>
      <c r="D79" s="1356">
        <f>SUMIFS(Sheet1!S71_SpecialAdjustedBudget,Sheet1!S71_SA34aCode,$AC:$AC,Sheet1!S71_A5CapexCode,$AD:$AD)</f>
        <v>0</v>
      </c>
      <c r="E79" s="1356"/>
      <c r="F79" s="1356"/>
      <c r="G79" s="1356"/>
      <c r="H79" s="1356"/>
      <c r="I79" s="1356">
        <f>SUMIFS(Sheet1!S71_AdjustmentAmount,Sheet1!S71_SA34aCode,$AC:$AC,Sheet1!S71_A5CapexCode,$AD:$AD)</f>
        <v>0</v>
      </c>
      <c r="J79" s="75">
        <f t="shared" si="17"/>
        <v>0</v>
      </c>
      <c r="K79" s="75">
        <f t="shared" si="15"/>
        <v>0</v>
      </c>
      <c r="L79" s="1356">
        <f>SUMIFS(Sheet1!S71_OY1AdjustedBudget,Sheet1!S71_SA34aCode,$AC:$AC,Sheet1!S71_A5CapexCode,$AD:$AD)</f>
        <v>0</v>
      </c>
      <c r="M79" s="1357">
        <f>SUMIFS(Sheet1!S71_OY2AdjustedBudget,Sheet1!S71_SA34aCode,$AC:$AC,Sheet1!S71_A5CapexCode,$AD:$AD)</f>
        <v>0</v>
      </c>
      <c r="N79" s="126"/>
      <c r="AC79" s="1336" t="s">
        <v>1819</v>
      </c>
      <c r="AD79" s="1336" t="s">
        <v>1846</v>
      </c>
    </row>
    <row r="80" spans="1:30" ht="12.75" customHeight="1" x14ac:dyDescent="0.25">
      <c r="A80" s="585" t="s">
        <v>1624</v>
      </c>
      <c r="B80" s="73"/>
      <c r="C80" s="1356">
        <f>SUMIFS(Sheet1!S71_OriginalBudget,Sheet1!S71_SA34aCode,$AC:$AC,Sheet1!S71_A5CapexCode,$AD:$AD)</f>
        <v>1538516</v>
      </c>
      <c r="D80" s="1356">
        <f>SUMIFS(Sheet1!S71_SpecialAdjustedBudget,Sheet1!S71_SA34aCode,$AC:$AC,Sheet1!S71_A5CapexCode,$AD:$AD)</f>
        <v>1538516</v>
      </c>
      <c r="E80" s="1356"/>
      <c r="F80" s="1356"/>
      <c r="G80" s="1356"/>
      <c r="H80" s="1356"/>
      <c r="I80" s="1356">
        <f>SUMIFS(Sheet1!S71_AdjustmentAmount,Sheet1!S71_SA34aCode,$AC:$AC,Sheet1!S71_A5CapexCode,$AD:$AD)</f>
        <v>0</v>
      </c>
      <c r="J80" s="75">
        <f t="shared" si="17"/>
        <v>0</v>
      </c>
      <c r="K80" s="75">
        <f t="shared" si="15"/>
        <v>1538516</v>
      </c>
      <c r="L80" s="1356">
        <f>SUMIFS(Sheet1!S71_OY1AdjustedBudget,Sheet1!S71_SA34aCode,$AC:$AC,Sheet1!S71_A5CapexCode,$AD:$AD)</f>
        <v>0</v>
      </c>
      <c r="M80" s="1357">
        <f>SUMIFS(Sheet1!S71_OY2AdjustedBudget,Sheet1!S71_SA34aCode,$AC:$AC,Sheet1!S71_A5CapexCode,$AD:$AD)</f>
        <v>0</v>
      </c>
      <c r="N80" s="126"/>
      <c r="AC80" s="1336" t="s">
        <v>1944</v>
      </c>
      <c r="AD80" s="1336" t="s">
        <v>1846</v>
      </c>
    </row>
    <row r="81" spans="1:30" ht="12.75" customHeight="1" x14ac:dyDescent="0.25">
      <c r="A81" s="585" t="s">
        <v>1625</v>
      </c>
      <c r="B81" s="73"/>
      <c r="C81" s="1356">
        <f>SUMIFS(Sheet1!S71_OriginalBudget,Sheet1!S71_SA34aCode,$AC:$AC,Sheet1!S71_A5CapexCode,$AD:$AD)</f>
        <v>0</v>
      </c>
      <c r="D81" s="1356">
        <f>SUMIFS(Sheet1!S71_SpecialAdjustedBudget,Sheet1!S71_SA34aCode,$AC:$AC,Sheet1!S71_A5CapexCode,$AD:$AD)</f>
        <v>0</v>
      </c>
      <c r="E81" s="1356"/>
      <c r="F81" s="1356"/>
      <c r="G81" s="1356"/>
      <c r="H81" s="1356"/>
      <c r="I81" s="1356">
        <f>SUMIFS(Sheet1!S71_AdjustmentAmount,Sheet1!S71_SA34aCode,$AC:$AC,Sheet1!S71_A5CapexCode,$AD:$AD)</f>
        <v>0</v>
      </c>
      <c r="J81" s="75">
        <f t="shared" si="17"/>
        <v>0</v>
      </c>
      <c r="K81" s="75">
        <f t="shared" si="15"/>
        <v>0</v>
      </c>
      <c r="L81" s="1356">
        <f>SUMIFS(Sheet1!S71_OY1AdjustedBudget,Sheet1!S71_SA34aCode,$AC:$AC,Sheet1!S71_A5CapexCode,$AD:$AD)</f>
        <v>0</v>
      </c>
      <c r="M81" s="1357">
        <f>SUMIFS(Sheet1!S71_OY2AdjustedBudget,Sheet1!S71_SA34aCode,$AC:$AC,Sheet1!S71_A5CapexCode,$AD:$AD)</f>
        <v>0</v>
      </c>
      <c r="N81" s="126"/>
      <c r="AC81" s="1336" t="s">
        <v>1945</v>
      </c>
      <c r="AD81" s="1336" t="s">
        <v>1846</v>
      </c>
    </row>
    <row r="82" spans="1:30" ht="12.75" customHeight="1" x14ac:dyDescent="0.25">
      <c r="A82" s="585" t="s">
        <v>1626</v>
      </c>
      <c r="B82" s="73"/>
      <c r="C82" s="1356">
        <f>SUMIFS(Sheet1!S71_OriginalBudget,Sheet1!S71_SA34aCode,$AC:$AC,Sheet1!S71_A5CapexCode,$AD:$AD)</f>
        <v>0</v>
      </c>
      <c r="D82" s="1356">
        <f>SUMIFS(Sheet1!S71_SpecialAdjustedBudget,Sheet1!S71_SA34aCode,$AC:$AC,Sheet1!S71_A5CapexCode,$AD:$AD)</f>
        <v>0</v>
      </c>
      <c r="E82" s="1356"/>
      <c r="F82" s="1356"/>
      <c r="G82" s="1356"/>
      <c r="H82" s="1356"/>
      <c r="I82" s="1356">
        <f>SUMIFS(Sheet1!S71_AdjustmentAmount,Sheet1!S71_SA34aCode,$AC:$AC,Sheet1!S71_A5CapexCode,$AD:$AD)</f>
        <v>0</v>
      </c>
      <c r="J82" s="75">
        <f t="shared" si="17"/>
        <v>0</v>
      </c>
      <c r="K82" s="75">
        <f t="shared" si="15"/>
        <v>0</v>
      </c>
      <c r="L82" s="1356">
        <f>SUMIFS(Sheet1!S71_OY1AdjustedBudget,Sheet1!S71_SA34aCode,$AC:$AC,Sheet1!S71_A5CapexCode,$AD:$AD)</f>
        <v>0</v>
      </c>
      <c r="M82" s="1357">
        <f>SUMIFS(Sheet1!S71_OY2AdjustedBudget,Sheet1!S71_SA34aCode,$AC:$AC,Sheet1!S71_A5CapexCode,$AD:$AD)</f>
        <v>0</v>
      </c>
      <c r="N82" s="126"/>
      <c r="AC82" s="1336" t="s">
        <v>1946</v>
      </c>
      <c r="AD82" s="1336" t="s">
        <v>1846</v>
      </c>
    </row>
    <row r="83" spans="1:30" ht="12.75" customHeight="1" x14ac:dyDescent="0.25">
      <c r="A83" s="585" t="s">
        <v>1627</v>
      </c>
      <c r="B83" s="73"/>
      <c r="C83" s="1356">
        <f>SUMIFS(Sheet1!S71_OriginalBudget,Sheet1!S71_SA34aCode,$AC:$AC,Sheet1!S71_A5CapexCode,$AD:$AD)</f>
        <v>0</v>
      </c>
      <c r="D83" s="1356">
        <f>SUMIFS(Sheet1!S71_SpecialAdjustedBudget,Sheet1!S71_SA34aCode,$AC:$AC,Sheet1!S71_A5CapexCode,$AD:$AD)</f>
        <v>0</v>
      </c>
      <c r="E83" s="1356"/>
      <c r="F83" s="1356"/>
      <c r="G83" s="1356"/>
      <c r="H83" s="1356"/>
      <c r="I83" s="1356">
        <f>SUMIFS(Sheet1!S71_AdjustmentAmount,Sheet1!S71_SA34aCode,$AC:$AC,Sheet1!S71_A5CapexCode,$AD:$AD)</f>
        <v>0</v>
      </c>
      <c r="J83" s="75">
        <f t="shared" si="17"/>
        <v>0</v>
      </c>
      <c r="K83" s="75">
        <f t="shared" si="15"/>
        <v>0</v>
      </c>
      <c r="L83" s="1356">
        <f>SUMIFS(Sheet1!S71_OY1AdjustedBudget,Sheet1!S71_SA34aCode,$AC:$AC,Sheet1!S71_A5CapexCode,$AD:$AD)</f>
        <v>0</v>
      </c>
      <c r="M83" s="1357">
        <f>SUMIFS(Sheet1!S71_OY2AdjustedBudget,Sheet1!S71_SA34aCode,$AC:$AC,Sheet1!S71_A5CapexCode,$AD:$AD)</f>
        <v>0</v>
      </c>
      <c r="N83" s="126"/>
      <c r="AC83" s="1336" t="s">
        <v>1947</v>
      </c>
      <c r="AD83" s="1336" t="s">
        <v>1846</v>
      </c>
    </row>
    <row r="84" spans="1:30" ht="12.75" customHeight="1" x14ac:dyDescent="0.25">
      <c r="A84" s="585" t="s">
        <v>1628</v>
      </c>
      <c r="B84" s="73"/>
      <c r="C84" s="1356">
        <f>SUMIFS(Sheet1!S71_OriginalBudget,Sheet1!S71_SA34aCode,$AC:$AC,Sheet1!S71_A5CapexCode,$AD:$AD)</f>
        <v>0</v>
      </c>
      <c r="D84" s="1356">
        <f>SUMIFS(Sheet1!S71_SpecialAdjustedBudget,Sheet1!S71_SA34aCode,$AC:$AC,Sheet1!S71_A5CapexCode,$AD:$AD)</f>
        <v>0</v>
      </c>
      <c r="E84" s="1356"/>
      <c r="F84" s="1356"/>
      <c r="G84" s="1356"/>
      <c r="H84" s="1356"/>
      <c r="I84" s="1356">
        <f>SUMIFS(Sheet1!S71_AdjustmentAmount,Sheet1!S71_SA34aCode,$AC:$AC,Sheet1!S71_A5CapexCode,$AD:$AD)</f>
        <v>0</v>
      </c>
      <c r="J84" s="75">
        <f t="shared" si="17"/>
        <v>0</v>
      </c>
      <c r="K84" s="75">
        <f t="shared" si="15"/>
        <v>0</v>
      </c>
      <c r="L84" s="1356">
        <f>SUMIFS(Sheet1!S71_OY1AdjustedBudget,Sheet1!S71_SA34aCode,$AC:$AC,Sheet1!S71_A5CapexCode,$AD:$AD)</f>
        <v>0</v>
      </c>
      <c r="M84" s="1357">
        <f>SUMIFS(Sheet1!S71_OY2AdjustedBudget,Sheet1!S71_SA34aCode,$AC:$AC,Sheet1!S71_A5CapexCode,$AD:$AD)</f>
        <v>0</v>
      </c>
      <c r="N84" s="126"/>
      <c r="AC84" s="1336" t="s">
        <v>1948</v>
      </c>
      <c r="AD84" s="1336" t="s">
        <v>1846</v>
      </c>
    </row>
    <row r="85" spans="1:30" ht="12.75" customHeight="1" x14ac:dyDescent="0.25">
      <c r="A85" s="585" t="s">
        <v>1629</v>
      </c>
      <c r="B85" s="73"/>
      <c r="C85" s="1356">
        <f>SUMIFS(Sheet1!S71_OriginalBudget,Sheet1!S71_SA34aCode,$AC:$AC,Sheet1!S71_A5CapexCode,$AD:$AD)</f>
        <v>0</v>
      </c>
      <c r="D85" s="1356">
        <f>SUMIFS(Sheet1!S71_SpecialAdjustedBudget,Sheet1!S71_SA34aCode,$AC:$AC,Sheet1!S71_A5CapexCode,$AD:$AD)</f>
        <v>0</v>
      </c>
      <c r="E85" s="1356"/>
      <c r="F85" s="1356"/>
      <c r="G85" s="1356"/>
      <c r="H85" s="1356"/>
      <c r="I85" s="1356">
        <f>SUMIFS(Sheet1!S71_AdjustmentAmount,Sheet1!S71_SA34aCode,$AC:$AC,Sheet1!S71_A5CapexCode,$AD:$AD)</f>
        <v>0</v>
      </c>
      <c r="J85" s="75">
        <f t="shared" si="17"/>
        <v>0</v>
      </c>
      <c r="K85" s="75">
        <f t="shared" si="15"/>
        <v>0</v>
      </c>
      <c r="L85" s="1356">
        <f>SUMIFS(Sheet1!S71_OY1AdjustedBudget,Sheet1!S71_SA34aCode,$AC:$AC,Sheet1!S71_A5CapexCode,$AD:$AD)</f>
        <v>0</v>
      </c>
      <c r="M85" s="1357">
        <f>SUMIFS(Sheet1!S71_OY2AdjustedBudget,Sheet1!S71_SA34aCode,$AC:$AC,Sheet1!S71_A5CapexCode,$AD:$AD)</f>
        <v>0</v>
      </c>
      <c r="N85" s="126"/>
      <c r="AC85" s="1336" t="s">
        <v>1949</v>
      </c>
      <c r="AD85" s="1336" t="s">
        <v>1846</v>
      </c>
    </row>
    <row r="86" spans="1:30" ht="12.75" customHeight="1" x14ac:dyDescent="0.25">
      <c r="A86" s="585" t="s">
        <v>1511</v>
      </c>
      <c r="B86" s="73"/>
      <c r="C86" s="1356">
        <f>SUMIFS(Sheet1!S71_OriginalBudget,Sheet1!S71_SA34aCode,$AC:$AC,Sheet1!S71_A5CapexCode,$AD:$AD)</f>
        <v>0</v>
      </c>
      <c r="D86" s="1356">
        <f>SUMIFS(Sheet1!S71_SpecialAdjustedBudget,Sheet1!S71_SA34aCode,$AC:$AC,Sheet1!S71_A5CapexCode,$AD:$AD)</f>
        <v>0</v>
      </c>
      <c r="E86" s="1356"/>
      <c r="F86" s="1356"/>
      <c r="G86" s="1356"/>
      <c r="H86" s="1356"/>
      <c r="I86" s="1356">
        <f>SUMIFS(Sheet1!S71_AdjustmentAmount,Sheet1!S71_SA34aCode,$AC:$AC,Sheet1!S71_A5CapexCode,$AD:$AD)</f>
        <v>0</v>
      </c>
      <c r="J86" s="75">
        <f t="shared" si="17"/>
        <v>0</v>
      </c>
      <c r="K86" s="75">
        <f t="shared" si="15"/>
        <v>0</v>
      </c>
      <c r="L86" s="1356">
        <f>SUMIFS(Sheet1!S71_OY1AdjustedBudget,Sheet1!S71_SA34aCode,$AC:$AC,Sheet1!S71_A5CapexCode,$AD:$AD)</f>
        <v>0</v>
      </c>
      <c r="M86" s="1357">
        <f>SUMIFS(Sheet1!S71_OY2AdjustedBudget,Sheet1!S71_SA34aCode,$AC:$AC,Sheet1!S71_A5CapexCode,$AD:$AD)</f>
        <v>0</v>
      </c>
      <c r="N86" s="126"/>
      <c r="AC86" s="1336" t="s">
        <v>1950</v>
      </c>
      <c r="AD86" s="1336" t="s">
        <v>1846</v>
      </c>
    </row>
    <row r="87" spans="1:30" ht="12.75" customHeight="1" x14ac:dyDescent="0.25">
      <c r="A87" s="585" t="s">
        <v>494</v>
      </c>
      <c r="B87" s="73"/>
      <c r="C87" s="1356">
        <f>SUMIFS(Sheet1!S71_OriginalBudget,Sheet1!S71_SA34aCode,$AC:$AC,Sheet1!S71_A5CapexCode,$AD:$AD)</f>
        <v>0</v>
      </c>
      <c r="D87" s="1356">
        <f>SUMIFS(Sheet1!S71_SpecialAdjustedBudget,Sheet1!S71_SA34aCode,$AC:$AC,Sheet1!S71_A5CapexCode,$AD:$AD)</f>
        <v>0</v>
      </c>
      <c r="E87" s="1356"/>
      <c r="F87" s="1356"/>
      <c r="G87" s="1356"/>
      <c r="H87" s="1356"/>
      <c r="I87" s="1356">
        <f>SUMIFS(Sheet1!S71_AdjustmentAmount,Sheet1!S71_SA34aCode,$AC:$AC,Sheet1!S71_A5CapexCode,$AD:$AD)</f>
        <v>0</v>
      </c>
      <c r="J87" s="75">
        <f t="shared" si="17"/>
        <v>0</v>
      </c>
      <c r="K87" s="75">
        <f t="shared" si="15"/>
        <v>0</v>
      </c>
      <c r="L87" s="1356">
        <f>SUMIFS(Sheet1!S71_OY1AdjustedBudget,Sheet1!S71_SA34aCode,$AC:$AC,Sheet1!S71_A5CapexCode,$AD:$AD)</f>
        <v>0</v>
      </c>
      <c r="M87" s="1357">
        <f>SUMIFS(Sheet1!S71_OY2AdjustedBudget,Sheet1!S71_SA34aCode,$AC:$AC,Sheet1!S71_A5CapexCode,$AD:$AD)</f>
        <v>0</v>
      </c>
      <c r="N87" s="126"/>
      <c r="AC87" s="1336" t="s">
        <v>1951</v>
      </c>
      <c r="AD87" s="1336" t="s">
        <v>1846</v>
      </c>
    </row>
    <row r="88" spans="1:30" ht="12.75" customHeight="1" x14ac:dyDescent="0.25">
      <c r="A88" s="585" t="s">
        <v>1630</v>
      </c>
      <c r="B88" s="73"/>
      <c r="C88" s="1356">
        <f>SUMIFS(Sheet1!S71_OriginalBudget,Sheet1!S71_SA34aCode,$AC:$AC,Sheet1!S71_A5CapexCode,$AD:$AD)</f>
        <v>0</v>
      </c>
      <c r="D88" s="1356">
        <f>SUMIFS(Sheet1!S71_SpecialAdjustedBudget,Sheet1!S71_SA34aCode,$AC:$AC,Sheet1!S71_A5CapexCode,$AD:$AD)</f>
        <v>0</v>
      </c>
      <c r="E88" s="1356"/>
      <c r="F88" s="1356"/>
      <c r="G88" s="1356"/>
      <c r="H88" s="1356"/>
      <c r="I88" s="1356">
        <f>SUMIFS(Sheet1!S71_AdjustmentAmount,Sheet1!S71_SA34aCode,$AC:$AC,Sheet1!S71_A5CapexCode,$AD:$AD)</f>
        <v>0</v>
      </c>
      <c r="J88" s="75">
        <f t="shared" si="17"/>
        <v>0</v>
      </c>
      <c r="K88" s="75">
        <f t="shared" si="15"/>
        <v>0</v>
      </c>
      <c r="L88" s="1356">
        <f>SUMIFS(Sheet1!S71_OY1AdjustedBudget,Sheet1!S71_SA34aCode,$AC:$AC,Sheet1!S71_A5CapexCode,$AD:$AD)</f>
        <v>0</v>
      </c>
      <c r="M88" s="1357">
        <f>SUMIFS(Sheet1!S71_OY2AdjustedBudget,Sheet1!S71_SA34aCode,$AC:$AC,Sheet1!S71_A5CapexCode,$AD:$AD)</f>
        <v>0</v>
      </c>
      <c r="N88" s="126"/>
      <c r="AC88" s="1336" t="s">
        <v>1952</v>
      </c>
      <c r="AD88" s="1336" t="s">
        <v>1846</v>
      </c>
    </row>
    <row r="89" spans="1:30" ht="12.75" customHeight="1" x14ac:dyDescent="0.25">
      <c r="A89" s="585" t="s">
        <v>1631</v>
      </c>
      <c r="B89" s="73"/>
      <c r="C89" s="1356">
        <f>SUMIFS(Sheet1!S71_OriginalBudget,Sheet1!S71_SA34aCode,$AC:$AC,Sheet1!S71_A5CapexCode,$AD:$AD)</f>
        <v>0</v>
      </c>
      <c r="D89" s="1356">
        <f>SUMIFS(Sheet1!S71_SpecialAdjustedBudget,Sheet1!S71_SA34aCode,$AC:$AC,Sheet1!S71_A5CapexCode,$AD:$AD)</f>
        <v>0</v>
      </c>
      <c r="E89" s="1356"/>
      <c r="F89" s="1356"/>
      <c r="G89" s="1356"/>
      <c r="H89" s="1356"/>
      <c r="I89" s="1356">
        <f>SUMIFS(Sheet1!S71_AdjustmentAmount,Sheet1!S71_SA34aCode,$AC:$AC,Sheet1!S71_A5CapexCode,$AD:$AD)</f>
        <v>0</v>
      </c>
      <c r="J89" s="75">
        <f t="shared" si="17"/>
        <v>0</v>
      </c>
      <c r="K89" s="75">
        <f t="shared" si="15"/>
        <v>0</v>
      </c>
      <c r="L89" s="1356">
        <f>SUMIFS(Sheet1!S71_OY1AdjustedBudget,Sheet1!S71_SA34aCode,$AC:$AC,Sheet1!S71_A5CapexCode,$AD:$AD)</f>
        <v>0</v>
      </c>
      <c r="M89" s="1357">
        <f>SUMIFS(Sheet1!S71_OY2AdjustedBudget,Sheet1!S71_SA34aCode,$AC:$AC,Sheet1!S71_A5CapexCode,$AD:$AD)</f>
        <v>0</v>
      </c>
      <c r="N89" s="126"/>
      <c r="AC89" s="1336" t="s">
        <v>1820</v>
      </c>
      <c r="AD89" s="1336" t="s">
        <v>1846</v>
      </c>
    </row>
    <row r="90" spans="1:30" ht="12.75" customHeight="1" x14ac:dyDescent="0.25">
      <c r="A90" s="585" t="s">
        <v>1632</v>
      </c>
      <c r="B90" s="73"/>
      <c r="C90" s="1356">
        <f>SUMIFS(Sheet1!S71_OriginalBudget,Sheet1!S71_SA34aCode,$AC:$AC,Sheet1!S71_A5CapexCode,$AD:$AD)</f>
        <v>0</v>
      </c>
      <c r="D90" s="1356">
        <f>SUMIFS(Sheet1!S71_SpecialAdjustedBudget,Sheet1!S71_SA34aCode,$AC:$AC,Sheet1!S71_A5CapexCode,$AD:$AD)</f>
        <v>0</v>
      </c>
      <c r="E90" s="1356"/>
      <c r="F90" s="1356"/>
      <c r="G90" s="1356"/>
      <c r="H90" s="1356"/>
      <c r="I90" s="1356">
        <f>SUMIFS(Sheet1!S71_AdjustmentAmount,Sheet1!S71_SA34aCode,$AC:$AC,Sheet1!S71_A5CapexCode,$AD:$AD)</f>
        <v>0</v>
      </c>
      <c r="J90" s="75">
        <f t="shared" si="17"/>
        <v>0</v>
      </c>
      <c r="K90" s="75">
        <f t="shared" si="15"/>
        <v>0</v>
      </c>
      <c r="L90" s="1356">
        <f>SUMIFS(Sheet1!S71_OY1AdjustedBudget,Sheet1!S71_SA34aCode,$AC:$AC,Sheet1!S71_A5CapexCode,$AD:$AD)</f>
        <v>0</v>
      </c>
      <c r="M90" s="1357">
        <f>SUMIFS(Sheet1!S71_OY2AdjustedBudget,Sheet1!S71_SA34aCode,$AC:$AC,Sheet1!S71_A5CapexCode,$AD:$AD)</f>
        <v>0</v>
      </c>
      <c r="N90" s="126"/>
      <c r="AC90" s="1336" t="s">
        <v>1953</v>
      </c>
      <c r="AD90" s="1336" t="s">
        <v>1846</v>
      </c>
    </row>
    <row r="91" spans="1:30" ht="12.75" customHeight="1" x14ac:dyDescent="0.25">
      <c r="A91" s="585" t="s">
        <v>1633</v>
      </c>
      <c r="B91" s="73"/>
      <c r="C91" s="1356">
        <f>SUMIFS(Sheet1!S71_OriginalBudget,Sheet1!S71_SA34aCode,$AC:$AC,Sheet1!S71_A5CapexCode,$AD:$AD)</f>
        <v>0</v>
      </c>
      <c r="D91" s="1356">
        <f>SUMIFS(Sheet1!S71_SpecialAdjustedBudget,Sheet1!S71_SA34aCode,$AC:$AC,Sheet1!S71_A5CapexCode,$AD:$AD)</f>
        <v>0</v>
      </c>
      <c r="E91" s="1356"/>
      <c r="F91" s="1356"/>
      <c r="G91" s="1356"/>
      <c r="H91" s="1356"/>
      <c r="I91" s="1356">
        <f>SUMIFS(Sheet1!S71_AdjustmentAmount,Sheet1!S71_SA34aCode,$AC:$AC,Sheet1!S71_A5CapexCode,$AD:$AD)</f>
        <v>0</v>
      </c>
      <c r="J91" s="75">
        <f t="shared" si="17"/>
        <v>0</v>
      </c>
      <c r="K91" s="75">
        <f t="shared" si="15"/>
        <v>0</v>
      </c>
      <c r="L91" s="1356">
        <f>SUMIFS(Sheet1!S71_OY1AdjustedBudget,Sheet1!S71_SA34aCode,$AC:$AC,Sheet1!S71_A5CapexCode,$AD:$AD)</f>
        <v>0</v>
      </c>
      <c r="M91" s="1357">
        <f>SUMIFS(Sheet1!S71_OY2AdjustedBudget,Sheet1!S71_SA34aCode,$AC:$AC,Sheet1!S71_A5CapexCode,$AD:$AD)</f>
        <v>0</v>
      </c>
      <c r="N91" s="126"/>
      <c r="AC91" s="1336" t="s">
        <v>1954</v>
      </c>
      <c r="AD91" s="1336" t="s">
        <v>1846</v>
      </c>
    </row>
    <row r="92" spans="1:30" ht="12.75" customHeight="1" x14ac:dyDescent="0.25">
      <c r="A92" s="585" t="s">
        <v>1634</v>
      </c>
      <c r="B92" s="73"/>
      <c r="C92" s="1356">
        <f>SUMIFS(Sheet1!S71_OriginalBudget,Sheet1!S71_SA34aCode,$AC:$AC,Sheet1!S71_A5CapexCode,$AD:$AD)</f>
        <v>0</v>
      </c>
      <c r="D92" s="1356">
        <f>SUMIFS(Sheet1!S71_SpecialAdjustedBudget,Sheet1!S71_SA34aCode,$AC:$AC,Sheet1!S71_A5CapexCode,$AD:$AD)</f>
        <v>0</v>
      </c>
      <c r="E92" s="1356"/>
      <c r="F92" s="1356"/>
      <c r="G92" s="1356"/>
      <c r="H92" s="1356"/>
      <c r="I92" s="1356">
        <f>SUMIFS(Sheet1!S71_AdjustmentAmount,Sheet1!S71_SA34aCode,$AC:$AC,Sheet1!S71_A5CapexCode,$AD:$AD)</f>
        <v>0</v>
      </c>
      <c r="J92" s="75">
        <f t="shared" si="17"/>
        <v>0</v>
      </c>
      <c r="K92" s="75">
        <f t="shared" si="15"/>
        <v>0</v>
      </c>
      <c r="L92" s="1356">
        <f>SUMIFS(Sheet1!S71_OY1AdjustedBudget,Sheet1!S71_SA34aCode,$AC:$AC,Sheet1!S71_A5CapexCode,$AD:$AD)</f>
        <v>0</v>
      </c>
      <c r="M92" s="1357">
        <f>SUMIFS(Sheet1!S71_OY2AdjustedBudget,Sheet1!S71_SA34aCode,$AC:$AC,Sheet1!S71_A5CapexCode,$AD:$AD)</f>
        <v>0</v>
      </c>
      <c r="N92" s="126"/>
      <c r="AC92" s="1336" t="s">
        <v>1955</v>
      </c>
      <c r="AD92" s="1336" t="s">
        <v>1846</v>
      </c>
    </row>
    <row r="93" spans="1:30" ht="12.75" customHeight="1" x14ac:dyDescent="0.25">
      <c r="A93" s="585" t="s">
        <v>1635</v>
      </c>
      <c r="B93" s="73"/>
      <c r="C93" s="1356">
        <f>SUMIFS(Sheet1!S71_OriginalBudget,Sheet1!S71_SA34aCode,$AC:$AC,Sheet1!S71_A5CapexCode,$AD:$AD)</f>
        <v>0</v>
      </c>
      <c r="D93" s="1356">
        <f>SUMIFS(Sheet1!S71_SpecialAdjustedBudget,Sheet1!S71_SA34aCode,$AC:$AC,Sheet1!S71_A5CapexCode,$AD:$AD)</f>
        <v>0</v>
      </c>
      <c r="E93" s="1356"/>
      <c r="F93" s="1356"/>
      <c r="G93" s="1356"/>
      <c r="H93" s="1356"/>
      <c r="I93" s="1356">
        <f>SUMIFS(Sheet1!S71_AdjustmentAmount,Sheet1!S71_SA34aCode,$AC:$AC,Sheet1!S71_A5CapexCode,$AD:$AD)</f>
        <v>0</v>
      </c>
      <c r="J93" s="75">
        <f t="shared" si="17"/>
        <v>0</v>
      </c>
      <c r="K93" s="75">
        <f t="shared" si="15"/>
        <v>0</v>
      </c>
      <c r="L93" s="1356">
        <f>SUMIFS(Sheet1!S71_OY1AdjustedBudget,Sheet1!S71_SA34aCode,$AC:$AC,Sheet1!S71_A5CapexCode,$AD:$AD)</f>
        <v>0</v>
      </c>
      <c r="M93" s="1357">
        <f>SUMIFS(Sheet1!S71_OY2AdjustedBudget,Sheet1!S71_SA34aCode,$AC:$AC,Sheet1!S71_A5CapexCode,$AD:$AD)</f>
        <v>0</v>
      </c>
      <c r="N93" s="126"/>
      <c r="AC93" s="1336" t="s">
        <v>1956</v>
      </c>
      <c r="AD93" s="1336" t="s">
        <v>1846</v>
      </c>
    </row>
    <row r="94" spans="1:30" ht="12.75" customHeight="1" x14ac:dyDescent="0.25">
      <c r="A94" s="585" t="s">
        <v>510</v>
      </c>
      <c r="B94" s="73"/>
      <c r="C94" s="1356">
        <f>SUMIFS(Sheet1!S71_OriginalBudget,Sheet1!S71_SA34aCode,$AC:$AC,Sheet1!S71_A5CapexCode,$AD:$AD)</f>
        <v>0</v>
      </c>
      <c r="D94" s="1356">
        <f>SUMIFS(Sheet1!S71_SpecialAdjustedBudget,Sheet1!S71_SA34aCode,$AC:$AC,Sheet1!S71_A5CapexCode,$AD:$AD)</f>
        <v>0</v>
      </c>
      <c r="E94" s="1356"/>
      <c r="F94" s="1356"/>
      <c r="G94" s="1356"/>
      <c r="H94" s="1356"/>
      <c r="I94" s="1356">
        <f>SUMIFS(Sheet1!S71_AdjustmentAmount,Sheet1!S71_SA34aCode,$AC:$AC,Sheet1!S71_A5CapexCode,$AD:$AD)</f>
        <v>0</v>
      </c>
      <c r="J94" s="75">
        <f t="shared" si="17"/>
        <v>0</v>
      </c>
      <c r="K94" s="75">
        <f t="shared" si="15"/>
        <v>0</v>
      </c>
      <c r="L94" s="1356">
        <f>SUMIFS(Sheet1!S71_OY1AdjustedBudget,Sheet1!S71_SA34aCode,$AC:$AC,Sheet1!S71_A5CapexCode,$AD:$AD)</f>
        <v>0</v>
      </c>
      <c r="M94" s="1357">
        <f>SUMIFS(Sheet1!S71_OY2AdjustedBudget,Sheet1!S71_SA34aCode,$AC:$AC,Sheet1!S71_A5CapexCode,$AD:$AD)</f>
        <v>0</v>
      </c>
      <c r="N94" s="126"/>
      <c r="AC94" s="1336" t="s">
        <v>1957</v>
      </c>
      <c r="AD94" s="1336" t="s">
        <v>1846</v>
      </c>
    </row>
    <row r="95" spans="1:30" ht="12.75" customHeight="1" x14ac:dyDescent="0.25">
      <c r="A95" s="585" t="s">
        <v>1636</v>
      </c>
      <c r="B95" s="73"/>
      <c r="C95" s="1356">
        <f>SUMIFS(Sheet1!S71_OriginalBudget,Sheet1!S71_SA34aCode,$AC:$AC,Sheet1!S71_A5CapexCode,$AD:$AD)</f>
        <v>0</v>
      </c>
      <c r="D95" s="1356">
        <f>SUMIFS(Sheet1!S71_SpecialAdjustedBudget,Sheet1!S71_SA34aCode,$AC:$AC,Sheet1!S71_A5CapexCode,$AD:$AD)</f>
        <v>0</v>
      </c>
      <c r="E95" s="1356"/>
      <c r="F95" s="1356"/>
      <c r="G95" s="1356"/>
      <c r="H95" s="1356"/>
      <c r="I95" s="1356">
        <f>SUMIFS(Sheet1!S71_AdjustmentAmount,Sheet1!S71_SA34aCode,$AC:$AC,Sheet1!S71_A5CapexCode,$AD:$AD)</f>
        <v>0</v>
      </c>
      <c r="J95" s="75">
        <f t="shared" si="17"/>
        <v>0</v>
      </c>
      <c r="K95" s="75">
        <f t="shared" si="15"/>
        <v>0</v>
      </c>
      <c r="L95" s="1356">
        <f>SUMIFS(Sheet1!S71_OY1AdjustedBudget,Sheet1!S71_SA34aCode,$AC:$AC,Sheet1!S71_A5CapexCode,$AD:$AD)</f>
        <v>0</v>
      </c>
      <c r="M95" s="1357">
        <f>SUMIFS(Sheet1!S71_OY2AdjustedBudget,Sheet1!S71_SA34aCode,$AC:$AC,Sheet1!S71_A5CapexCode,$AD:$AD)</f>
        <v>0</v>
      </c>
      <c r="N95" s="126"/>
      <c r="AC95" s="1336" t="s">
        <v>1958</v>
      </c>
      <c r="AD95" s="1336" t="s">
        <v>1846</v>
      </c>
    </row>
    <row r="96" spans="1:30" ht="12.75" customHeight="1" x14ac:dyDescent="0.25">
      <c r="A96" s="585" t="s">
        <v>509</v>
      </c>
      <c r="B96" s="73"/>
      <c r="C96" s="1356">
        <f>SUMIFS(Sheet1!S71_OriginalBudget,Sheet1!S71_SA34aCode,$AC:$AC,Sheet1!S71_A5CapexCode,$AD:$AD)</f>
        <v>0</v>
      </c>
      <c r="D96" s="1356">
        <f>SUMIFS(Sheet1!S71_SpecialAdjustedBudget,Sheet1!S71_SA34aCode,$AC:$AC,Sheet1!S71_A5CapexCode,$AD:$AD)</f>
        <v>0</v>
      </c>
      <c r="E96" s="1356"/>
      <c r="F96" s="1356"/>
      <c r="G96" s="1356"/>
      <c r="H96" s="1356"/>
      <c r="I96" s="1356">
        <f>SUMIFS(Sheet1!S71_AdjustmentAmount,Sheet1!S71_SA34aCode,$AC:$AC,Sheet1!S71_A5CapexCode,$AD:$AD)</f>
        <v>0</v>
      </c>
      <c r="J96" s="75">
        <f t="shared" si="17"/>
        <v>0</v>
      </c>
      <c r="K96" s="75">
        <f t="shared" si="15"/>
        <v>0</v>
      </c>
      <c r="L96" s="1356">
        <f>SUMIFS(Sheet1!S71_OY1AdjustedBudget,Sheet1!S71_SA34aCode,$AC:$AC,Sheet1!S71_A5CapexCode,$AD:$AD)</f>
        <v>0</v>
      </c>
      <c r="M96" s="1357">
        <f>SUMIFS(Sheet1!S71_OY2AdjustedBudget,Sheet1!S71_SA34aCode,$AC:$AC,Sheet1!S71_A5CapexCode,$AD:$AD)</f>
        <v>0</v>
      </c>
      <c r="N96" s="842"/>
      <c r="AC96" s="1336" t="s">
        <v>1959</v>
      </c>
      <c r="AD96" s="1336" t="s">
        <v>1846</v>
      </c>
    </row>
    <row r="97" spans="1:30" ht="12.75" customHeight="1" x14ac:dyDescent="0.25">
      <c r="A97" s="585" t="s">
        <v>1637</v>
      </c>
      <c r="B97" s="73"/>
      <c r="C97" s="1356">
        <f>SUMIFS(Sheet1!S71_OriginalBudget,Sheet1!S71_SA34aCode,$AC:$AC,Sheet1!S71_A5CapexCode,$AD:$AD)</f>
        <v>0</v>
      </c>
      <c r="D97" s="1356">
        <f>SUMIFS(Sheet1!S71_SpecialAdjustedBudget,Sheet1!S71_SA34aCode,$AC:$AC,Sheet1!S71_A5CapexCode,$AD:$AD)</f>
        <v>0</v>
      </c>
      <c r="E97" s="1356"/>
      <c r="F97" s="1356"/>
      <c r="G97" s="1356"/>
      <c r="H97" s="1356"/>
      <c r="I97" s="1356">
        <f>SUMIFS(Sheet1!S71_AdjustmentAmount,Sheet1!S71_SA34aCode,$AC:$AC,Sheet1!S71_A5CapexCode,$AD:$AD)</f>
        <v>0</v>
      </c>
      <c r="J97" s="75">
        <f t="shared" si="17"/>
        <v>0</v>
      </c>
      <c r="K97" s="75">
        <f t="shared" si="15"/>
        <v>0</v>
      </c>
      <c r="L97" s="1356">
        <f>SUMIFS(Sheet1!S71_OY1AdjustedBudget,Sheet1!S71_SA34aCode,$AC:$AC,Sheet1!S71_A5CapexCode,$AD:$AD)</f>
        <v>0</v>
      </c>
      <c r="M97" s="1357">
        <f>SUMIFS(Sheet1!S71_OY2AdjustedBudget,Sheet1!S71_SA34aCode,$AC:$AC,Sheet1!S71_A5CapexCode,$AD:$AD)</f>
        <v>0</v>
      </c>
      <c r="N97" s="126"/>
      <c r="AC97" s="1336" t="s">
        <v>1960</v>
      </c>
      <c r="AD97" s="1336" t="s">
        <v>1846</v>
      </c>
    </row>
    <row r="98" spans="1:30" ht="12.75" customHeight="1" x14ac:dyDescent="0.25">
      <c r="A98" s="585" t="s">
        <v>1638</v>
      </c>
      <c r="B98" s="73"/>
      <c r="C98" s="1356">
        <f>SUMIFS(Sheet1!S71_OriginalBudget,Sheet1!S71_SA34aCode,$AC:$AC,Sheet1!S71_A5CapexCode,$AD:$AD)</f>
        <v>0</v>
      </c>
      <c r="D98" s="1356">
        <f>SUMIFS(Sheet1!S71_SpecialAdjustedBudget,Sheet1!S71_SA34aCode,$AC:$AC,Sheet1!S71_A5CapexCode,$AD:$AD)</f>
        <v>0</v>
      </c>
      <c r="E98" s="1356"/>
      <c r="F98" s="1356"/>
      <c r="G98" s="1356"/>
      <c r="H98" s="1356"/>
      <c r="I98" s="1356">
        <f>SUMIFS(Sheet1!S71_AdjustmentAmount,Sheet1!S71_SA34aCode,$AC:$AC,Sheet1!S71_A5CapexCode,$AD:$AD)</f>
        <v>0</v>
      </c>
      <c r="J98" s="75">
        <f t="shared" si="17"/>
        <v>0</v>
      </c>
      <c r="K98" s="75">
        <f t="shared" si="15"/>
        <v>0</v>
      </c>
      <c r="L98" s="1356">
        <f>SUMIFS(Sheet1!S71_OY1AdjustedBudget,Sheet1!S71_SA34aCode,$AC:$AC,Sheet1!S71_A5CapexCode,$AD:$AD)</f>
        <v>0</v>
      </c>
      <c r="M98" s="1357">
        <f>SUMIFS(Sheet1!S71_OY2AdjustedBudget,Sheet1!S71_SA34aCode,$AC:$AC,Sheet1!S71_A5CapexCode,$AD:$AD)</f>
        <v>0</v>
      </c>
      <c r="N98" s="126"/>
      <c r="AC98" s="1336" t="s">
        <v>1961</v>
      </c>
      <c r="AD98" s="1336" t="s">
        <v>1846</v>
      </c>
    </row>
    <row r="99" spans="1:30" ht="12.75" customHeight="1" x14ac:dyDescent="0.25">
      <c r="A99" s="585" t="s">
        <v>1571</v>
      </c>
      <c r="B99" s="73"/>
      <c r="C99" s="1356">
        <f>SUMIFS(Sheet1!S71_OriginalBudget,Sheet1!S71_SA34aCode,$AC:$AC,Sheet1!S71_A5CapexCode,$AD:$AD)</f>
        <v>0</v>
      </c>
      <c r="D99" s="1356">
        <f>SUMIFS(Sheet1!S71_SpecialAdjustedBudget,Sheet1!S71_SA34aCode,$AC:$AC,Sheet1!S71_A5CapexCode,$AD:$AD)</f>
        <v>0</v>
      </c>
      <c r="E99" s="1356"/>
      <c r="F99" s="1356"/>
      <c r="G99" s="1356"/>
      <c r="H99" s="1356"/>
      <c r="I99" s="1356">
        <f>SUMIFS(Sheet1!S71_AdjustmentAmount,Sheet1!S71_SA34aCode,$AC:$AC,Sheet1!S71_A5CapexCode,$AD:$AD)</f>
        <v>0</v>
      </c>
      <c r="J99" s="75">
        <f t="shared" si="17"/>
        <v>0</v>
      </c>
      <c r="K99" s="75">
        <f t="shared" si="15"/>
        <v>0</v>
      </c>
      <c r="L99" s="1356">
        <f>SUMIFS(Sheet1!S71_OY1AdjustedBudget,Sheet1!S71_SA34aCode,$AC:$AC,Sheet1!S71_A5CapexCode,$AD:$AD)</f>
        <v>0</v>
      </c>
      <c r="M99" s="1357">
        <f>SUMIFS(Sheet1!S71_OY2AdjustedBudget,Sheet1!S71_SA34aCode,$AC:$AC,Sheet1!S71_A5CapexCode,$AD:$AD)</f>
        <v>0</v>
      </c>
      <c r="N99" s="126"/>
      <c r="AC99" s="1336" t="s">
        <v>1821</v>
      </c>
      <c r="AD99" s="1336" t="s">
        <v>1846</v>
      </c>
    </row>
    <row r="100" spans="1:30" ht="10.35" customHeight="1" x14ac:dyDescent="0.25">
      <c r="A100" s="584" t="s">
        <v>1639</v>
      </c>
      <c r="B100" s="73"/>
      <c r="C100" s="138">
        <f>SUM(C101:C103)</f>
        <v>0</v>
      </c>
      <c r="D100" s="139">
        <f t="shared" ref="D100:M100" si="19">SUM(D101:D103)</f>
        <v>0</v>
      </c>
      <c r="E100" s="139">
        <f t="shared" si="19"/>
        <v>0</v>
      </c>
      <c r="F100" s="139">
        <f t="shared" si="19"/>
        <v>0</v>
      </c>
      <c r="G100" s="139">
        <f t="shared" si="19"/>
        <v>0</v>
      </c>
      <c r="H100" s="139">
        <f t="shared" si="19"/>
        <v>0</v>
      </c>
      <c r="I100" s="139">
        <f t="shared" si="19"/>
        <v>0</v>
      </c>
      <c r="J100" s="139">
        <f t="shared" si="17"/>
        <v>0</v>
      </c>
      <c r="K100" s="139">
        <f t="shared" si="15"/>
        <v>0</v>
      </c>
      <c r="L100" s="139">
        <f t="shared" si="19"/>
        <v>0</v>
      </c>
      <c r="M100" s="140">
        <f t="shared" si="19"/>
        <v>0</v>
      </c>
      <c r="N100" s="126"/>
      <c r="AD100" s="1336" t="s">
        <v>1846</v>
      </c>
    </row>
    <row r="101" spans="1:30" ht="12.75" customHeight="1" x14ac:dyDescent="0.25">
      <c r="A101" s="585" t="s">
        <v>1640</v>
      </c>
      <c r="B101" s="73"/>
      <c r="C101" s="1356">
        <f>SUMIFS(Sheet1!S71_OriginalBudget,Sheet1!S71_SA34aCode,$AC:$AC,Sheet1!S71_A5CapexCode,$AD:$AD)</f>
        <v>0</v>
      </c>
      <c r="D101" s="1356">
        <f>SUMIFS(Sheet1!S71_SpecialAdjustedBudget,Sheet1!S71_SA34aCode,$AC:$AC,Sheet1!S71_A5CapexCode,$AD:$AD)</f>
        <v>0</v>
      </c>
      <c r="E101" s="1356"/>
      <c r="F101" s="1356"/>
      <c r="G101" s="1356"/>
      <c r="H101" s="1356"/>
      <c r="I101" s="1356">
        <f>SUMIFS(Sheet1!S71_AdjustmentAmount,Sheet1!S71_SA34aCode,$AC:$AC,Sheet1!S71_A5CapexCode,$AD:$AD)</f>
        <v>0</v>
      </c>
      <c r="J101" s="75">
        <f t="shared" si="17"/>
        <v>0</v>
      </c>
      <c r="K101" s="75">
        <f t="shared" si="15"/>
        <v>0</v>
      </c>
      <c r="L101" s="1356">
        <f>SUMIFS(Sheet1!S71_OY1AdjustedBudget,Sheet1!S71_SA34aCode,$AC:$AC,Sheet1!S71_A5CapexCode,$AD:$AD)</f>
        <v>0</v>
      </c>
      <c r="M101" s="1357">
        <f>SUMIFS(Sheet1!S71_OY2AdjustedBudget,Sheet1!S71_SA34aCode,$AC:$AC,Sheet1!S71_A5CapexCode,$AD:$AD)</f>
        <v>0</v>
      </c>
      <c r="N101" s="126"/>
      <c r="AC101" s="1336" t="s">
        <v>1962</v>
      </c>
      <c r="AD101" s="1336" t="s">
        <v>1846</v>
      </c>
    </row>
    <row r="102" spans="1:30" ht="12.75" customHeight="1" x14ac:dyDescent="0.25">
      <c r="A102" s="585" t="s">
        <v>1641</v>
      </c>
      <c r="B102" s="73"/>
      <c r="C102" s="1356">
        <f>SUMIFS(Sheet1!S71_OriginalBudget,Sheet1!S71_SA34aCode,$AC:$AC,Sheet1!S71_A5CapexCode,$AD:$AD)</f>
        <v>0</v>
      </c>
      <c r="D102" s="1356">
        <f>SUMIFS(Sheet1!S71_SpecialAdjustedBudget,Sheet1!S71_SA34aCode,$AC:$AC,Sheet1!S71_A5CapexCode,$AD:$AD)</f>
        <v>0</v>
      </c>
      <c r="E102" s="1356"/>
      <c r="F102" s="1356"/>
      <c r="G102" s="1356"/>
      <c r="H102" s="1356"/>
      <c r="I102" s="1356">
        <f>SUMIFS(Sheet1!S71_AdjustmentAmount,Sheet1!S71_SA34aCode,$AC:$AC,Sheet1!S71_A5CapexCode,$AD:$AD)</f>
        <v>0</v>
      </c>
      <c r="J102" s="75">
        <f t="shared" si="17"/>
        <v>0</v>
      </c>
      <c r="K102" s="75">
        <f t="shared" si="15"/>
        <v>0</v>
      </c>
      <c r="L102" s="1356">
        <f>SUMIFS(Sheet1!S71_OY1AdjustedBudget,Sheet1!S71_SA34aCode,$AC:$AC,Sheet1!S71_A5CapexCode,$AD:$AD)</f>
        <v>0</v>
      </c>
      <c r="M102" s="1357">
        <f>SUMIFS(Sheet1!S71_OY2AdjustedBudget,Sheet1!S71_SA34aCode,$AC:$AC,Sheet1!S71_A5CapexCode,$AD:$AD)</f>
        <v>0</v>
      </c>
      <c r="N102" s="126"/>
      <c r="AC102" s="1336" t="s">
        <v>1963</v>
      </c>
      <c r="AD102" s="1336" t="s">
        <v>1846</v>
      </c>
    </row>
    <row r="103" spans="1:30" ht="12.75" customHeight="1" x14ac:dyDescent="0.25">
      <c r="A103" s="585" t="s">
        <v>1571</v>
      </c>
      <c r="B103" s="73"/>
      <c r="C103" s="1356">
        <f>SUMIFS(Sheet1!S71_OriginalBudget,Sheet1!S71_SA34aCode,$AC:$AC,Sheet1!S71_A5CapexCode,$AD:$AD)</f>
        <v>0</v>
      </c>
      <c r="D103" s="1356">
        <f>SUMIFS(Sheet1!S71_SpecialAdjustedBudget,Sheet1!S71_SA34aCode,$AC:$AC,Sheet1!S71_A5CapexCode,$AD:$AD)</f>
        <v>0</v>
      </c>
      <c r="E103" s="1356"/>
      <c r="F103" s="1356"/>
      <c r="G103" s="1356"/>
      <c r="H103" s="1356"/>
      <c r="I103" s="1356">
        <f>SUMIFS(Sheet1!S71_AdjustmentAmount,Sheet1!S71_SA34aCode,$AC:$AC,Sheet1!S71_A5CapexCode,$AD:$AD)</f>
        <v>0</v>
      </c>
      <c r="J103" s="75">
        <f t="shared" si="17"/>
        <v>0</v>
      </c>
      <c r="K103" s="75">
        <f t="shared" si="15"/>
        <v>0</v>
      </c>
      <c r="L103" s="1356">
        <f>SUMIFS(Sheet1!S71_OY1AdjustedBudget,Sheet1!S71_SA34aCode,$AC:$AC,Sheet1!S71_A5CapexCode,$AD:$AD)</f>
        <v>0</v>
      </c>
      <c r="M103" s="1357">
        <f>SUMIFS(Sheet1!S71_OY2AdjustedBudget,Sheet1!S71_SA34aCode,$AC:$AC,Sheet1!S71_A5CapexCode,$AD:$AD)</f>
        <v>0</v>
      </c>
      <c r="N103" s="126"/>
      <c r="AC103" s="1336" t="s">
        <v>1964</v>
      </c>
      <c r="AD103" s="1336" t="s">
        <v>1846</v>
      </c>
    </row>
    <row r="104" spans="1:30" ht="5.0999999999999996" customHeight="1" x14ac:dyDescent="0.25">
      <c r="A104" s="134"/>
      <c r="B104" s="73"/>
      <c r="C104" s="619"/>
      <c r="D104" s="169"/>
      <c r="E104" s="169"/>
      <c r="F104" s="169"/>
      <c r="G104" s="169"/>
      <c r="H104" s="169"/>
      <c r="I104" s="169"/>
      <c r="J104" s="75"/>
      <c r="K104" s="75"/>
      <c r="L104" s="75"/>
      <c r="M104" s="76"/>
      <c r="N104" s="126"/>
      <c r="AD104" s="1336" t="s">
        <v>1846</v>
      </c>
    </row>
    <row r="105" spans="1:30" ht="12.75" customHeight="1" x14ac:dyDescent="0.25">
      <c r="A105" s="484" t="s">
        <v>767</v>
      </c>
      <c r="B105" s="73"/>
      <c r="C105" s="234">
        <f t="shared" ref="C105:M105" si="20">SUM(C106:C110)</f>
        <v>0</v>
      </c>
      <c r="D105" s="235">
        <f t="shared" si="20"/>
        <v>0</v>
      </c>
      <c r="E105" s="235">
        <f t="shared" si="20"/>
        <v>0</v>
      </c>
      <c r="F105" s="235">
        <f t="shared" si="20"/>
        <v>0</v>
      </c>
      <c r="G105" s="235">
        <f t="shared" si="20"/>
        <v>0</v>
      </c>
      <c r="H105" s="235">
        <f t="shared" si="20"/>
        <v>0</v>
      </c>
      <c r="I105" s="235">
        <f t="shared" si="20"/>
        <v>0</v>
      </c>
      <c r="J105" s="235">
        <f t="shared" ref="J105:J110" si="21">SUM(E105:I105)</f>
        <v>0</v>
      </c>
      <c r="K105" s="235">
        <f t="shared" si="15"/>
        <v>0</v>
      </c>
      <c r="L105" s="235">
        <f t="shared" si="20"/>
        <v>0</v>
      </c>
      <c r="M105" s="236">
        <f t="shared" si="20"/>
        <v>0</v>
      </c>
      <c r="N105" s="126"/>
      <c r="AD105" s="1336" t="s">
        <v>1846</v>
      </c>
    </row>
    <row r="106" spans="1:30" ht="12.75" customHeight="1" x14ac:dyDescent="0.25">
      <c r="A106" s="584" t="s">
        <v>1642</v>
      </c>
      <c r="B106" s="73"/>
      <c r="C106" s="1356">
        <f>SUMIFS(Sheet1!S71_OriginalBudget,Sheet1!S71_SA34aCode,$AC:$AC,Sheet1!S71_A5CapexCode,$AD:$AD)</f>
        <v>0</v>
      </c>
      <c r="D106" s="1356">
        <f>SUMIFS(Sheet1!S71_SpecialAdjustedBudget,Sheet1!S71_SA34aCode,$AC:$AC,Sheet1!S71_A5CapexCode,$AD:$AD)</f>
        <v>0</v>
      </c>
      <c r="E106" s="1356"/>
      <c r="F106" s="1356"/>
      <c r="G106" s="1356"/>
      <c r="H106" s="1356"/>
      <c r="I106" s="1356">
        <f>SUMIFS(Sheet1!S71_AdjustmentAmount,Sheet1!S71_SA34aCode,$AC:$AC,Sheet1!S71_A5CapexCode,$AD:$AD)</f>
        <v>0</v>
      </c>
      <c r="J106" s="75">
        <f t="shared" si="21"/>
        <v>0</v>
      </c>
      <c r="K106" s="75">
        <f t="shared" si="15"/>
        <v>0</v>
      </c>
      <c r="L106" s="1356">
        <f>SUMIFS(Sheet1!S71_OY1AdjustedBudget,Sheet1!S71_SA34aCode,$AC:$AC,Sheet1!S71_A5CapexCode,$AD:$AD)</f>
        <v>0</v>
      </c>
      <c r="M106" s="1357">
        <f>SUMIFS(Sheet1!S71_OY2AdjustedBudget,Sheet1!S71_SA34aCode,$AC:$AC,Sheet1!S71_A5CapexCode,$AD:$AD)</f>
        <v>0</v>
      </c>
      <c r="N106" s="126"/>
      <c r="AC106" s="1336" t="s">
        <v>1965</v>
      </c>
      <c r="AD106" s="1336" t="s">
        <v>1846</v>
      </c>
    </row>
    <row r="107" spans="1:30" ht="12.75" customHeight="1" x14ac:dyDescent="0.25">
      <c r="A107" s="586" t="s">
        <v>1643</v>
      </c>
      <c r="B107" s="73"/>
      <c r="C107" s="1356">
        <f>SUMIFS(Sheet1!S71_OriginalBudget,Sheet1!S71_SA34aCode,$AC:$AC,Sheet1!S71_A5CapexCode,$AD:$AD)</f>
        <v>0</v>
      </c>
      <c r="D107" s="1356">
        <f>SUMIFS(Sheet1!S71_SpecialAdjustedBudget,Sheet1!S71_SA34aCode,$AC:$AC,Sheet1!S71_A5CapexCode,$AD:$AD)</f>
        <v>0</v>
      </c>
      <c r="E107" s="1356"/>
      <c r="F107" s="1356"/>
      <c r="G107" s="1356"/>
      <c r="H107" s="1356"/>
      <c r="I107" s="1356">
        <f>SUMIFS(Sheet1!S71_AdjustmentAmount,Sheet1!S71_SA34aCode,$AC:$AC,Sheet1!S71_A5CapexCode,$AD:$AD)</f>
        <v>0</v>
      </c>
      <c r="J107" s="75">
        <f t="shared" si="21"/>
        <v>0</v>
      </c>
      <c r="K107" s="75">
        <f t="shared" si="15"/>
        <v>0</v>
      </c>
      <c r="L107" s="1356">
        <f>SUMIFS(Sheet1!S71_OY1AdjustedBudget,Sheet1!S71_SA34aCode,$AC:$AC,Sheet1!S71_A5CapexCode,$AD:$AD)</f>
        <v>0</v>
      </c>
      <c r="M107" s="1357">
        <f>SUMIFS(Sheet1!S71_OY2AdjustedBudget,Sheet1!S71_SA34aCode,$AC:$AC,Sheet1!S71_A5CapexCode,$AD:$AD)</f>
        <v>0</v>
      </c>
      <c r="N107" s="126"/>
      <c r="AC107" s="1336" t="s">
        <v>1966</v>
      </c>
      <c r="AD107" s="1336" t="s">
        <v>1846</v>
      </c>
    </row>
    <row r="108" spans="1:30" ht="12.75" customHeight="1" x14ac:dyDescent="0.25">
      <c r="A108" s="584" t="s">
        <v>1644</v>
      </c>
      <c r="B108" s="73"/>
      <c r="C108" s="1356">
        <f>SUMIFS(Sheet1!S71_OriginalBudget,Sheet1!S71_SA34aCode,$AC:$AC,Sheet1!S71_A5CapexCode,$AD:$AD)</f>
        <v>0</v>
      </c>
      <c r="D108" s="1356">
        <f>SUMIFS(Sheet1!S71_SpecialAdjustedBudget,Sheet1!S71_SA34aCode,$AC:$AC,Sheet1!S71_A5CapexCode,$AD:$AD)</f>
        <v>0</v>
      </c>
      <c r="E108" s="1356"/>
      <c r="F108" s="1356"/>
      <c r="G108" s="1356"/>
      <c r="H108" s="1356"/>
      <c r="I108" s="1356">
        <f>SUMIFS(Sheet1!S71_AdjustmentAmount,Sheet1!S71_SA34aCode,$AC:$AC,Sheet1!S71_A5CapexCode,$AD:$AD)</f>
        <v>0</v>
      </c>
      <c r="J108" s="75">
        <f t="shared" si="21"/>
        <v>0</v>
      </c>
      <c r="K108" s="75">
        <f t="shared" si="15"/>
        <v>0</v>
      </c>
      <c r="L108" s="1356">
        <f>SUMIFS(Sheet1!S71_OY1AdjustedBudget,Sheet1!S71_SA34aCode,$AC:$AC,Sheet1!S71_A5CapexCode,$AD:$AD)</f>
        <v>0</v>
      </c>
      <c r="M108" s="1357">
        <f>SUMIFS(Sheet1!S71_OY2AdjustedBudget,Sheet1!S71_SA34aCode,$AC:$AC,Sheet1!S71_A5CapexCode,$AD:$AD)</f>
        <v>0</v>
      </c>
      <c r="N108" s="126"/>
      <c r="AC108" s="1336" t="s">
        <v>1967</v>
      </c>
      <c r="AD108" s="1336" t="s">
        <v>1846</v>
      </c>
    </row>
    <row r="109" spans="1:30" ht="12.75" customHeight="1" x14ac:dyDescent="0.25">
      <c r="A109" s="584" t="s">
        <v>1645</v>
      </c>
      <c r="B109" s="73"/>
      <c r="C109" s="1356">
        <f>SUMIFS(Sheet1!S71_OriginalBudget,Sheet1!S71_SA34aCode,$AC:$AC,Sheet1!S71_A5CapexCode,$AD:$AD)</f>
        <v>0</v>
      </c>
      <c r="D109" s="1356">
        <f>SUMIFS(Sheet1!S71_SpecialAdjustedBudget,Sheet1!S71_SA34aCode,$AC:$AC,Sheet1!S71_A5CapexCode,$AD:$AD)</f>
        <v>0</v>
      </c>
      <c r="E109" s="1356"/>
      <c r="F109" s="1356"/>
      <c r="G109" s="1356"/>
      <c r="H109" s="1356"/>
      <c r="I109" s="1356">
        <f>SUMIFS(Sheet1!S71_AdjustmentAmount,Sheet1!S71_SA34aCode,$AC:$AC,Sheet1!S71_A5CapexCode,$AD:$AD)</f>
        <v>0</v>
      </c>
      <c r="J109" s="75">
        <f t="shared" si="21"/>
        <v>0</v>
      </c>
      <c r="K109" s="75">
        <f t="shared" si="15"/>
        <v>0</v>
      </c>
      <c r="L109" s="1356">
        <f>SUMIFS(Sheet1!S71_OY1AdjustedBudget,Sheet1!S71_SA34aCode,$AC:$AC,Sheet1!S71_A5CapexCode,$AD:$AD)</f>
        <v>0</v>
      </c>
      <c r="M109" s="1357">
        <f>SUMIFS(Sheet1!S71_OY2AdjustedBudget,Sheet1!S71_SA34aCode,$AC:$AC,Sheet1!S71_A5CapexCode,$AD:$AD)</f>
        <v>0</v>
      </c>
      <c r="N109" s="126"/>
      <c r="AC109" s="1336" t="s">
        <v>1968</v>
      </c>
      <c r="AD109" s="1336" t="s">
        <v>1846</v>
      </c>
    </row>
    <row r="110" spans="1:30" ht="12.75" customHeight="1" x14ac:dyDescent="0.25">
      <c r="A110" s="586" t="s">
        <v>1646</v>
      </c>
      <c r="B110" s="73"/>
      <c r="C110" s="1356">
        <f>SUMIFS(Sheet1!S71_OriginalBudget,Sheet1!S71_SA34aCode,$AC:$AC,Sheet1!S71_A5CapexCode,$AD:$AD)</f>
        <v>0</v>
      </c>
      <c r="D110" s="1356">
        <f>SUMIFS(Sheet1!S71_SpecialAdjustedBudget,Sheet1!S71_SA34aCode,$AC:$AC,Sheet1!S71_A5CapexCode,$AD:$AD)</f>
        <v>0</v>
      </c>
      <c r="E110" s="1356"/>
      <c r="F110" s="1356"/>
      <c r="G110" s="1356"/>
      <c r="H110" s="1356"/>
      <c r="I110" s="1356">
        <f>SUMIFS(Sheet1!S71_AdjustmentAmount,Sheet1!S71_SA34aCode,$AC:$AC,Sheet1!S71_A5CapexCode,$AD:$AD)</f>
        <v>0</v>
      </c>
      <c r="J110" s="75">
        <f t="shared" si="21"/>
        <v>0</v>
      </c>
      <c r="K110" s="75">
        <f t="shared" si="15"/>
        <v>0</v>
      </c>
      <c r="L110" s="1356">
        <f>SUMIFS(Sheet1!S71_OY1AdjustedBudget,Sheet1!S71_SA34aCode,$AC:$AC,Sheet1!S71_A5CapexCode,$AD:$AD)</f>
        <v>0</v>
      </c>
      <c r="M110" s="1357">
        <f>SUMIFS(Sheet1!S71_OY2AdjustedBudget,Sheet1!S71_SA34aCode,$AC:$AC,Sheet1!S71_A5CapexCode,$AD:$AD)</f>
        <v>0</v>
      </c>
      <c r="N110" s="126"/>
      <c r="AC110" s="1336" t="s">
        <v>1822</v>
      </c>
      <c r="AD110" s="1336" t="s">
        <v>1846</v>
      </c>
    </row>
    <row r="111" spans="1:30" ht="5.0999999999999996" customHeight="1" x14ac:dyDescent="0.25">
      <c r="A111" s="1211"/>
      <c r="B111" s="73"/>
      <c r="C111" s="74"/>
      <c r="D111" s="75"/>
      <c r="E111" s="75"/>
      <c r="F111" s="75"/>
      <c r="G111" s="75"/>
      <c r="H111" s="75"/>
      <c r="I111" s="75"/>
      <c r="J111" s="75"/>
      <c r="K111" s="75"/>
      <c r="L111" s="75"/>
      <c r="M111" s="76"/>
      <c r="N111" s="126"/>
      <c r="AD111" s="1336" t="s">
        <v>1846</v>
      </c>
    </row>
    <row r="112" spans="1:30" ht="12.75" customHeight="1" x14ac:dyDescent="0.25">
      <c r="A112" s="1212" t="s">
        <v>768</v>
      </c>
      <c r="B112" s="73"/>
      <c r="C112" s="234">
        <f t="shared" ref="C112:I112" si="22">+C113+C116</f>
        <v>0</v>
      </c>
      <c r="D112" s="235">
        <f t="shared" si="22"/>
        <v>0</v>
      </c>
      <c r="E112" s="235">
        <f t="shared" si="22"/>
        <v>0</v>
      </c>
      <c r="F112" s="235">
        <f t="shared" si="22"/>
        <v>0</v>
      </c>
      <c r="G112" s="235">
        <f t="shared" si="22"/>
        <v>0</v>
      </c>
      <c r="H112" s="235">
        <f t="shared" si="22"/>
        <v>0</v>
      </c>
      <c r="I112" s="235">
        <f t="shared" si="22"/>
        <v>0</v>
      </c>
      <c r="J112" s="235">
        <f t="shared" ref="J112:J118" si="23">SUM(E112:I112)</f>
        <v>0</v>
      </c>
      <c r="K112" s="143">
        <f t="shared" si="15"/>
        <v>0</v>
      </c>
      <c r="L112" s="235">
        <f>+L113+L116</f>
        <v>0</v>
      </c>
      <c r="M112" s="236">
        <f>+M113+M116</f>
        <v>0</v>
      </c>
      <c r="N112" s="126"/>
      <c r="AD112" s="1336" t="s">
        <v>1846</v>
      </c>
    </row>
    <row r="113" spans="1:30" ht="10.35" customHeight="1" x14ac:dyDescent="0.25">
      <c r="A113" s="584" t="s">
        <v>1647</v>
      </c>
      <c r="B113" s="73"/>
      <c r="C113" s="138">
        <f>SUM(C114:C115)</f>
        <v>0</v>
      </c>
      <c r="D113" s="139">
        <f>SUM(D114:D115)</f>
        <v>0</v>
      </c>
      <c r="E113" s="139">
        <f t="shared" ref="E113:M113" si="24">SUM(E114:E115)</f>
        <v>0</v>
      </c>
      <c r="F113" s="139">
        <f t="shared" si="24"/>
        <v>0</v>
      </c>
      <c r="G113" s="139">
        <f t="shared" si="24"/>
        <v>0</v>
      </c>
      <c r="H113" s="139">
        <f t="shared" si="24"/>
        <v>0</v>
      </c>
      <c r="I113" s="139">
        <f t="shared" si="24"/>
        <v>0</v>
      </c>
      <c r="J113" s="139">
        <f t="shared" si="23"/>
        <v>0</v>
      </c>
      <c r="K113" s="75">
        <f t="shared" si="15"/>
        <v>0</v>
      </c>
      <c r="L113" s="139">
        <f t="shared" si="24"/>
        <v>0</v>
      </c>
      <c r="M113" s="140">
        <f t="shared" si="24"/>
        <v>0</v>
      </c>
      <c r="N113" s="126"/>
      <c r="AD113" s="1336" t="s">
        <v>1846</v>
      </c>
    </row>
    <row r="114" spans="1:30" ht="12.75" customHeight="1" x14ac:dyDescent="0.25">
      <c r="A114" s="585" t="s">
        <v>1648</v>
      </c>
      <c r="B114" s="73"/>
      <c r="C114" s="1356">
        <f>SUMIFS(Sheet1!S71_OriginalBudget,Sheet1!S71_SA34aCode,$AC:$AC,Sheet1!S71_A5CapexCode,$AD:$AD)</f>
        <v>0</v>
      </c>
      <c r="D114" s="1356">
        <f>SUMIFS(Sheet1!S71_SpecialAdjustedBudget,Sheet1!S71_SA34aCode,$AC:$AC,Sheet1!S71_A5CapexCode,$AD:$AD)</f>
        <v>0</v>
      </c>
      <c r="E114" s="1356"/>
      <c r="F114" s="1356"/>
      <c r="G114" s="1356"/>
      <c r="H114" s="1356"/>
      <c r="I114" s="1356">
        <f>SUMIFS(Sheet1!S71_AdjustmentAmount,Sheet1!S71_SA34aCode,$AC:$AC,Sheet1!S71_A5CapexCode,$AD:$AD)</f>
        <v>0</v>
      </c>
      <c r="J114" s="75">
        <f t="shared" si="23"/>
        <v>0</v>
      </c>
      <c r="K114" s="75">
        <f t="shared" si="15"/>
        <v>0</v>
      </c>
      <c r="L114" s="1356">
        <f>SUMIFS(Sheet1!S71_OY1AdjustedBudget,Sheet1!S71_SA34aCode,$AC:$AC,Sheet1!S71_A5CapexCode,$AD:$AD)</f>
        <v>0</v>
      </c>
      <c r="M114" s="1357">
        <f>SUMIFS(Sheet1!S71_OY2AdjustedBudget,Sheet1!S71_SA34aCode,$AC:$AC,Sheet1!S71_A5CapexCode,$AD:$AD)</f>
        <v>0</v>
      </c>
      <c r="N114" s="126"/>
      <c r="AC114" s="1336" t="s">
        <v>1969</v>
      </c>
      <c r="AD114" s="1336" t="s">
        <v>1846</v>
      </c>
    </row>
    <row r="115" spans="1:30" ht="12.75" customHeight="1" x14ac:dyDescent="0.25">
      <c r="A115" s="585" t="s">
        <v>1649</v>
      </c>
      <c r="B115" s="73"/>
      <c r="C115" s="1356">
        <f>SUMIFS(Sheet1!S71_OriginalBudget,Sheet1!S71_SA34aCode,$AC:$AC,Sheet1!S71_A5CapexCode,$AD:$AD)</f>
        <v>0</v>
      </c>
      <c r="D115" s="1356">
        <f>SUMIFS(Sheet1!S71_SpecialAdjustedBudget,Sheet1!S71_SA34aCode,$AC:$AC,Sheet1!S71_A5CapexCode,$AD:$AD)</f>
        <v>0</v>
      </c>
      <c r="E115" s="1356"/>
      <c r="F115" s="1356"/>
      <c r="G115" s="1356"/>
      <c r="H115" s="1356"/>
      <c r="I115" s="1356">
        <f>SUMIFS(Sheet1!S71_AdjustmentAmount,Sheet1!S71_SA34aCode,$AC:$AC,Sheet1!S71_A5CapexCode,$AD:$AD)</f>
        <v>0</v>
      </c>
      <c r="J115" s="75">
        <f t="shared" si="23"/>
        <v>0</v>
      </c>
      <c r="K115" s="75">
        <f t="shared" si="15"/>
        <v>0</v>
      </c>
      <c r="L115" s="1356">
        <f>SUMIFS(Sheet1!S71_OY1AdjustedBudget,Sheet1!S71_SA34aCode,$AC:$AC,Sheet1!S71_A5CapexCode,$AD:$AD)</f>
        <v>0</v>
      </c>
      <c r="M115" s="1357">
        <f>SUMIFS(Sheet1!S71_OY2AdjustedBudget,Sheet1!S71_SA34aCode,$AC:$AC,Sheet1!S71_A5CapexCode,$AD:$AD)</f>
        <v>0</v>
      </c>
      <c r="N115" s="126"/>
      <c r="AC115" s="1336" t="s">
        <v>1970</v>
      </c>
      <c r="AD115" s="1336" t="s">
        <v>1846</v>
      </c>
    </row>
    <row r="116" spans="1:30" ht="10.35" customHeight="1" x14ac:dyDescent="0.25">
      <c r="A116" s="584" t="s">
        <v>1650</v>
      </c>
      <c r="B116" s="73"/>
      <c r="C116" s="138">
        <f>SUM(C117:C118)</f>
        <v>0</v>
      </c>
      <c r="D116" s="139">
        <f>SUM(D117:D118)</f>
        <v>0</v>
      </c>
      <c r="E116" s="139">
        <f t="shared" ref="E116:M116" si="25">SUM(E117:E118)</f>
        <v>0</v>
      </c>
      <c r="F116" s="139">
        <f t="shared" si="25"/>
        <v>0</v>
      </c>
      <c r="G116" s="139">
        <f t="shared" si="25"/>
        <v>0</v>
      </c>
      <c r="H116" s="139">
        <f t="shared" si="25"/>
        <v>0</v>
      </c>
      <c r="I116" s="139">
        <f t="shared" si="25"/>
        <v>0</v>
      </c>
      <c r="J116" s="139">
        <f t="shared" si="23"/>
        <v>0</v>
      </c>
      <c r="K116" s="139">
        <f t="shared" si="15"/>
        <v>0</v>
      </c>
      <c r="L116" s="139">
        <f t="shared" si="25"/>
        <v>0</v>
      </c>
      <c r="M116" s="140">
        <f t="shared" si="25"/>
        <v>0</v>
      </c>
      <c r="N116" s="126"/>
      <c r="AC116" s="1336" t="s">
        <v>1971</v>
      </c>
      <c r="AD116" s="1336" t="s">
        <v>1846</v>
      </c>
    </row>
    <row r="117" spans="1:30" ht="12.75" customHeight="1" x14ac:dyDescent="0.25">
      <c r="A117" s="585" t="s">
        <v>1648</v>
      </c>
      <c r="B117" s="73"/>
      <c r="C117" s="1356">
        <f>SUMIFS(Sheet1!S71_OriginalBudget,Sheet1!S71_SA34aCode,$AC:$AC,Sheet1!S71_A5CapexCode,$AD:$AD)</f>
        <v>0</v>
      </c>
      <c r="D117" s="1356">
        <f>SUMIFS(Sheet1!S71_SpecialAdjustedBudget,Sheet1!S71_SA34aCode,$AC:$AC,Sheet1!S71_A5CapexCode,$AD:$AD)</f>
        <v>0</v>
      </c>
      <c r="E117" s="1356"/>
      <c r="F117" s="1356"/>
      <c r="G117" s="1356"/>
      <c r="H117" s="1356"/>
      <c r="I117" s="1356">
        <f>SUMIFS(Sheet1!S71_AdjustmentAmount,Sheet1!S71_SA34aCode,$AC:$AC,Sheet1!S71_A5CapexCode,$AD:$AD)</f>
        <v>0</v>
      </c>
      <c r="J117" s="75">
        <f t="shared" si="23"/>
        <v>0</v>
      </c>
      <c r="K117" s="75">
        <f t="shared" si="15"/>
        <v>0</v>
      </c>
      <c r="L117" s="1356">
        <f>SUMIFS(Sheet1!S71_OY1AdjustedBudget,Sheet1!S71_SA34aCode,$AC:$AC,Sheet1!S71_A5CapexCode,$AD:$AD)</f>
        <v>0</v>
      </c>
      <c r="M117" s="1357">
        <f>SUMIFS(Sheet1!S71_OY2AdjustedBudget,Sheet1!S71_SA34aCode,$AC:$AC,Sheet1!S71_A5CapexCode,$AD:$AD)</f>
        <v>0</v>
      </c>
      <c r="N117" s="126"/>
      <c r="AC117" s="1336" t="s">
        <v>1972</v>
      </c>
      <c r="AD117" s="1336" t="s">
        <v>1846</v>
      </c>
    </row>
    <row r="118" spans="1:30" ht="12.75" customHeight="1" x14ac:dyDescent="0.25">
      <c r="A118" s="585" t="s">
        <v>1649</v>
      </c>
      <c r="B118" s="73"/>
      <c r="C118" s="1356">
        <f>SUMIFS(Sheet1!S71_OriginalBudget,Sheet1!S71_SA34aCode,$AC:$AC,Sheet1!S71_A5CapexCode,$AD:$AD)</f>
        <v>0</v>
      </c>
      <c r="D118" s="1356">
        <f>SUMIFS(Sheet1!S71_SpecialAdjustedBudget,Sheet1!S71_SA34aCode,$AC:$AC,Sheet1!S71_A5CapexCode,$AD:$AD)</f>
        <v>0</v>
      </c>
      <c r="E118" s="1356"/>
      <c r="F118" s="1356"/>
      <c r="G118" s="1356"/>
      <c r="H118" s="1356"/>
      <c r="I118" s="1356">
        <f>SUMIFS(Sheet1!S71_AdjustmentAmount,Sheet1!S71_SA34aCode,$AC:$AC,Sheet1!S71_A5CapexCode,$AD:$AD)</f>
        <v>0</v>
      </c>
      <c r="J118" s="75">
        <f t="shared" si="23"/>
        <v>0</v>
      </c>
      <c r="K118" s="75">
        <f t="shared" si="15"/>
        <v>0</v>
      </c>
      <c r="L118" s="1356">
        <f>SUMIFS(Sheet1!S71_OY1AdjustedBudget,Sheet1!S71_SA34aCode,$AC:$AC,Sheet1!S71_A5CapexCode,$AD:$AD)</f>
        <v>0</v>
      </c>
      <c r="M118" s="1357">
        <f>SUMIFS(Sheet1!S71_OY2AdjustedBudget,Sheet1!S71_SA34aCode,$AC:$AC,Sheet1!S71_A5CapexCode,$AD:$AD)</f>
        <v>0</v>
      </c>
      <c r="N118" s="126"/>
      <c r="AC118" s="1336" t="s">
        <v>1973</v>
      </c>
      <c r="AD118" s="1336" t="s">
        <v>1846</v>
      </c>
    </row>
    <row r="119" spans="1:30" ht="5.0999999999999996" customHeight="1" x14ac:dyDescent="0.25">
      <c r="A119" s="134"/>
      <c r="B119" s="73"/>
      <c r="C119" s="74"/>
      <c r="D119" s="75"/>
      <c r="E119" s="75"/>
      <c r="F119" s="75"/>
      <c r="G119" s="75"/>
      <c r="H119" s="75"/>
      <c r="I119" s="75"/>
      <c r="J119" s="75"/>
      <c r="K119" s="75"/>
      <c r="L119" s="75"/>
      <c r="M119" s="76"/>
      <c r="N119" s="126"/>
      <c r="AD119" s="1336" t="s">
        <v>1846</v>
      </c>
    </row>
    <row r="120" spans="1:30" ht="12.75" customHeight="1" x14ac:dyDescent="0.25">
      <c r="A120" s="1212" t="s">
        <v>769</v>
      </c>
      <c r="B120" s="73"/>
      <c r="C120" s="234">
        <f>+C121+C133</f>
        <v>5000000</v>
      </c>
      <c r="D120" s="235">
        <f t="shared" ref="D120:I120" si="26">+D121+D133</f>
        <v>5000000</v>
      </c>
      <c r="E120" s="235">
        <f t="shared" si="26"/>
        <v>0</v>
      </c>
      <c r="F120" s="235">
        <f t="shared" si="26"/>
        <v>0</v>
      </c>
      <c r="G120" s="235">
        <f t="shared" si="26"/>
        <v>0</v>
      </c>
      <c r="H120" s="235">
        <f t="shared" si="26"/>
        <v>0</v>
      </c>
      <c r="I120" s="235">
        <f t="shared" si="26"/>
        <v>-3478049</v>
      </c>
      <c r="J120" s="235">
        <f t="shared" ref="J120:J136" si="27">SUM(E120:I120)</f>
        <v>-3478049</v>
      </c>
      <c r="K120" s="143">
        <f t="shared" si="15"/>
        <v>1521951</v>
      </c>
      <c r="L120" s="235">
        <f>+L121+L133</f>
        <v>14000000</v>
      </c>
      <c r="M120" s="236">
        <f>+M121+M133</f>
        <v>5000000</v>
      </c>
      <c r="N120" s="126"/>
      <c r="AD120" s="1336" t="s">
        <v>1846</v>
      </c>
    </row>
    <row r="121" spans="1:30" ht="10.35" customHeight="1" x14ac:dyDescent="0.25">
      <c r="A121" s="584" t="s">
        <v>1651</v>
      </c>
      <c r="B121" s="73"/>
      <c r="C121" s="138">
        <f>SUM(C122:C132)</f>
        <v>5000000</v>
      </c>
      <c r="D121" s="139">
        <f t="shared" ref="D121:I121" si="28">SUM(D122:D132)</f>
        <v>5000000</v>
      </c>
      <c r="E121" s="139">
        <f t="shared" si="28"/>
        <v>0</v>
      </c>
      <c r="F121" s="139">
        <f t="shared" si="28"/>
        <v>0</v>
      </c>
      <c r="G121" s="139">
        <f t="shared" si="28"/>
        <v>0</v>
      </c>
      <c r="H121" s="139">
        <f t="shared" si="28"/>
        <v>0</v>
      </c>
      <c r="I121" s="139">
        <f t="shared" si="28"/>
        <v>-3478049</v>
      </c>
      <c r="J121" s="139">
        <f t="shared" si="27"/>
        <v>-3478049</v>
      </c>
      <c r="K121" s="139">
        <f t="shared" si="15"/>
        <v>1521951</v>
      </c>
      <c r="L121" s="139">
        <f>SUM(L122:L132)</f>
        <v>14000000</v>
      </c>
      <c r="M121" s="140">
        <f>SUM(M122:M132)</f>
        <v>5000000</v>
      </c>
      <c r="N121" s="126"/>
      <c r="AD121" s="1336" t="s">
        <v>1846</v>
      </c>
    </row>
    <row r="122" spans="1:30" ht="12.75" customHeight="1" x14ac:dyDescent="0.25">
      <c r="A122" s="585" t="s">
        <v>1652</v>
      </c>
      <c r="B122" s="73"/>
      <c r="C122" s="1356">
        <f>SUMIFS(Sheet1!S71_OriginalBudget,Sheet1!S71_SA34aCode,$AC:$AC,Sheet1!S71_A5CapexCode,$AD:$AD)</f>
        <v>5000000</v>
      </c>
      <c r="D122" s="1356">
        <f>SUMIFS(Sheet1!S71_SpecialAdjustedBudget,Sheet1!S71_SA34aCode,$AC:$AC,Sheet1!S71_A5CapexCode,$AD:$AD)</f>
        <v>5000000</v>
      </c>
      <c r="E122" s="1356"/>
      <c r="F122" s="1356"/>
      <c r="G122" s="1356"/>
      <c r="H122" s="1356"/>
      <c r="I122" s="1356">
        <f>SUMIFS(Sheet1!S71_AdjustmentAmount,Sheet1!S71_SA34aCode,$AC:$AC,Sheet1!S71_A5CapexCode,$AD:$AD)</f>
        <v>-3478049</v>
      </c>
      <c r="J122" s="75">
        <f t="shared" si="27"/>
        <v>-3478049</v>
      </c>
      <c r="K122" s="75">
        <f t="shared" si="15"/>
        <v>1521951</v>
      </c>
      <c r="L122" s="1356">
        <f>SUMIFS(Sheet1!S71_OY1AdjustedBudget,Sheet1!S71_SA34aCode,$AC:$AC,Sheet1!S71_A5CapexCode,$AD:$AD)</f>
        <v>14000000</v>
      </c>
      <c r="M122" s="1357">
        <f>SUMIFS(Sheet1!S71_OY2AdjustedBudget,Sheet1!S71_SA34aCode,$AC:$AC,Sheet1!S71_A5CapexCode,$AD:$AD)</f>
        <v>5000000</v>
      </c>
      <c r="N122" s="126"/>
      <c r="AC122" s="1336" t="s">
        <v>1823</v>
      </c>
      <c r="AD122" s="1336" t="s">
        <v>1846</v>
      </c>
    </row>
    <row r="123" spans="1:30" ht="12.75" customHeight="1" x14ac:dyDescent="0.25">
      <c r="A123" s="585" t="s">
        <v>1653</v>
      </c>
      <c r="B123" s="135"/>
      <c r="C123" s="1356">
        <f>SUMIFS(Sheet1!S71_OriginalBudget,Sheet1!S71_SA34aCode,$AC:$AC,Sheet1!S71_A5CapexCode,$AD:$AD)</f>
        <v>0</v>
      </c>
      <c r="D123" s="1356">
        <f>SUMIFS(Sheet1!S71_SpecialAdjustedBudget,Sheet1!S71_SA34aCode,$AC:$AC,Sheet1!S71_A5CapexCode,$AD:$AD)</f>
        <v>0</v>
      </c>
      <c r="E123" s="1356"/>
      <c r="F123" s="1356"/>
      <c r="G123" s="1356"/>
      <c r="H123" s="1356"/>
      <c r="I123" s="1356">
        <f>SUMIFS(Sheet1!S71_AdjustmentAmount,Sheet1!S71_SA34aCode,$AC:$AC,Sheet1!S71_A5CapexCode,$AD:$AD)</f>
        <v>0</v>
      </c>
      <c r="J123" s="75">
        <f t="shared" si="27"/>
        <v>0</v>
      </c>
      <c r="K123" s="75">
        <f t="shared" si="15"/>
        <v>0</v>
      </c>
      <c r="L123" s="1356">
        <f>SUMIFS(Sheet1!S71_OY1AdjustedBudget,Sheet1!S71_SA34aCode,$AC:$AC,Sheet1!S71_A5CapexCode,$AD:$AD)</f>
        <v>0</v>
      </c>
      <c r="M123" s="1357">
        <f>SUMIFS(Sheet1!S71_OY2AdjustedBudget,Sheet1!S71_SA34aCode,$AC:$AC,Sheet1!S71_A5CapexCode,$AD:$AD)</f>
        <v>0</v>
      </c>
      <c r="N123" s="126"/>
      <c r="AC123" s="1336" t="s">
        <v>1974</v>
      </c>
      <c r="AD123" s="1336" t="s">
        <v>1846</v>
      </c>
    </row>
    <row r="124" spans="1:30" ht="12.75" customHeight="1" x14ac:dyDescent="0.25">
      <c r="A124" s="585" t="s">
        <v>1654</v>
      </c>
      <c r="B124" s="73"/>
      <c r="C124" s="1356">
        <f>SUMIFS(Sheet1!S71_OriginalBudget,Sheet1!S71_SA34aCode,$AC:$AC,Sheet1!S71_A5CapexCode,$AD:$AD)</f>
        <v>0</v>
      </c>
      <c r="D124" s="1356">
        <f>SUMIFS(Sheet1!S71_SpecialAdjustedBudget,Sheet1!S71_SA34aCode,$AC:$AC,Sheet1!S71_A5CapexCode,$AD:$AD)</f>
        <v>0</v>
      </c>
      <c r="E124" s="1356"/>
      <c r="F124" s="1356"/>
      <c r="G124" s="1356"/>
      <c r="H124" s="1356"/>
      <c r="I124" s="1356">
        <f>SUMIFS(Sheet1!S71_AdjustmentAmount,Sheet1!S71_SA34aCode,$AC:$AC,Sheet1!S71_A5CapexCode,$AD:$AD)</f>
        <v>0</v>
      </c>
      <c r="J124" s="75">
        <f t="shared" si="27"/>
        <v>0</v>
      </c>
      <c r="K124" s="75">
        <f t="shared" si="15"/>
        <v>0</v>
      </c>
      <c r="L124" s="1356">
        <f>SUMIFS(Sheet1!S71_OY1AdjustedBudget,Sheet1!S71_SA34aCode,$AC:$AC,Sheet1!S71_A5CapexCode,$AD:$AD)</f>
        <v>0</v>
      </c>
      <c r="M124" s="1357">
        <f>SUMIFS(Sheet1!S71_OY2AdjustedBudget,Sheet1!S71_SA34aCode,$AC:$AC,Sheet1!S71_A5CapexCode,$AD:$AD)</f>
        <v>0</v>
      </c>
      <c r="N124" s="126"/>
      <c r="AC124" s="1336" t="s">
        <v>1975</v>
      </c>
      <c r="AD124" s="1336" t="s">
        <v>1846</v>
      </c>
    </row>
    <row r="125" spans="1:30" ht="12.75" customHeight="1" x14ac:dyDescent="0.25">
      <c r="A125" s="585" t="s">
        <v>1655</v>
      </c>
      <c r="B125" s="73"/>
      <c r="C125" s="1356">
        <f>SUMIFS(Sheet1!S71_OriginalBudget,Sheet1!S71_SA34aCode,$AC:$AC,Sheet1!S71_A5CapexCode,$AD:$AD)</f>
        <v>0</v>
      </c>
      <c r="D125" s="1356">
        <f>SUMIFS(Sheet1!S71_SpecialAdjustedBudget,Sheet1!S71_SA34aCode,$AC:$AC,Sheet1!S71_A5CapexCode,$AD:$AD)</f>
        <v>0</v>
      </c>
      <c r="E125" s="1356"/>
      <c r="F125" s="1356"/>
      <c r="G125" s="1356"/>
      <c r="H125" s="1356"/>
      <c r="I125" s="1356">
        <f>SUMIFS(Sheet1!S71_AdjustmentAmount,Sheet1!S71_SA34aCode,$AC:$AC,Sheet1!S71_A5CapexCode,$AD:$AD)</f>
        <v>0</v>
      </c>
      <c r="J125" s="75">
        <f t="shared" si="27"/>
        <v>0</v>
      </c>
      <c r="K125" s="75">
        <f t="shared" si="15"/>
        <v>0</v>
      </c>
      <c r="L125" s="1356">
        <f>SUMIFS(Sheet1!S71_OY1AdjustedBudget,Sheet1!S71_SA34aCode,$AC:$AC,Sheet1!S71_A5CapexCode,$AD:$AD)</f>
        <v>0</v>
      </c>
      <c r="M125" s="1357">
        <f>SUMIFS(Sheet1!S71_OY2AdjustedBudget,Sheet1!S71_SA34aCode,$AC:$AC,Sheet1!S71_A5CapexCode,$AD:$AD)</f>
        <v>0</v>
      </c>
      <c r="N125" s="126"/>
      <c r="AC125" s="1336" t="s">
        <v>1976</v>
      </c>
      <c r="AD125" s="1336" t="s">
        <v>1846</v>
      </c>
    </row>
    <row r="126" spans="1:30" ht="12.75" customHeight="1" x14ac:dyDescent="0.25">
      <c r="A126" s="585" t="s">
        <v>1656</v>
      </c>
      <c r="B126" s="73"/>
      <c r="C126" s="1356">
        <f>SUMIFS(Sheet1!S71_OriginalBudget,Sheet1!S71_SA34aCode,$AC:$AC,Sheet1!S71_A5CapexCode,$AD:$AD)</f>
        <v>0</v>
      </c>
      <c r="D126" s="1356">
        <f>SUMIFS(Sheet1!S71_SpecialAdjustedBudget,Sheet1!S71_SA34aCode,$AC:$AC,Sheet1!S71_A5CapexCode,$AD:$AD)</f>
        <v>0</v>
      </c>
      <c r="E126" s="1356"/>
      <c r="F126" s="1356"/>
      <c r="G126" s="1356"/>
      <c r="H126" s="1356"/>
      <c r="I126" s="1356">
        <f>SUMIFS(Sheet1!S71_AdjustmentAmount,Sheet1!S71_SA34aCode,$AC:$AC,Sheet1!S71_A5CapexCode,$AD:$AD)</f>
        <v>0</v>
      </c>
      <c r="J126" s="75">
        <f t="shared" si="27"/>
        <v>0</v>
      </c>
      <c r="K126" s="75">
        <f t="shared" si="15"/>
        <v>0</v>
      </c>
      <c r="L126" s="1356">
        <f>SUMIFS(Sheet1!S71_OY1AdjustedBudget,Sheet1!S71_SA34aCode,$AC:$AC,Sheet1!S71_A5CapexCode,$AD:$AD)</f>
        <v>0</v>
      </c>
      <c r="M126" s="1357">
        <f>SUMIFS(Sheet1!S71_OY2AdjustedBudget,Sheet1!S71_SA34aCode,$AC:$AC,Sheet1!S71_A5CapexCode,$AD:$AD)</f>
        <v>0</v>
      </c>
      <c r="N126" s="126"/>
      <c r="AC126" s="1336" t="s">
        <v>1977</v>
      </c>
      <c r="AD126" s="1336" t="s">
        <v>1846</v>
      </c>
    </row>
    <row r="127" spans="1:30" ht="12.75" customHeight="1" x14ac:dyDescent="0.25">
      <c r="A127" s="585" t="s">
        <v>1657</v>
      </c>
      <c r="B127" s="73"/>
      <c r="C127" s="1356">
        <f>SUMIFS(Sheet1!S71_OriginalBudget,Sheet1!S71_SA34aCode,$AC:$AC,Sheet1!S71_A5CapexCode,$AD:$AD)</f>
        <v>0</v>
      </c>
      <c r="D127" s="1356">
        <f>SUMIFS(Sheet1!S71_SpecialAdjustedBudget,Sheet1!S71_SA34aCode,$AC:$AC,Sheet1!S71_A5CapexCode,$AD:$AD)</f>
        <v>0</v>
      </c>
      <c r="E127" s="1356"/>
      <c r="F127" s="1356"/>
      <c r="G127" s="1356"/>
      <c r="H127" s="1356"/>
      <c r="I127" s="1356">
        <f>SUMIFS(Sheet1!S71_AdjustmentAmount,Sheet1!S71_SA34aCode,$AC:$AC,Sheet1!S71_A5CapexCode,$AD:$AD)</f>
        <v>0</v>
      </c>
      <c r="J127" s="75">
        <f t="shared" si="27"/>
        <v>0</v>
      </c>
      <c r="K127" s="75">
        <f t="shared" si="15"/>
        <v>0</v>
      </c>
      <c r="L127" s="1356">
        <f>SUMIFS(Sheet1!S71_OY1AdjustedBudget,Sheet1!S71_SA34aCode,$AC:$AC,Sheet1!S71_A5CapexCode,$AD:$AD)</f>
        <v>0</v>
      </c>
      <c r="M127" s="1357">
        <f>SUMIFS(Sheet1!S71_OY2AdjustedBudget,Sheet1!S71_SA34aCode,$AC:$AC,Sheet1!S71_A5CapexCode,$AD:$AD)</f>
        <v>0</v>
      </c>
      <c r="N127" s="126"/>
      <c r="AC127" s="1336" t="s">
        <v>1978</v>
      </c>
      <c r="AD127" s="1336" t="s">
        <v>1846</v>
      </c>
    </row>
    <row r="128" spans="1:30" ht="12.75" customHeight="1" x14ac:dyDescent="0.25">
      <c r="A128" s="585" t="s">
        <v>1658</v>
      </c>
      <c r="B128" s="73"/>
      <c r="C128" s="1356">
        <f>SUMIFS(Sheet1!S71_OriginalBudget,Sheet1!S71_SA34aCode,$AC:$AC,Sheet1!S71_A5CapexCode,$AD:$AD)</f>
        <v>0</v>
      </c>
      <c r="D128" s="1356">
        <f>SUMIFS(Sheet1!S71_SpecialAdjustedBudget,Sheet1!S71_SA34aCode,$AC:$AC,Sheet1!S71_A5CapexCode,$AD:$AD)</f>
        <v>0</v>
      </c>
      <c r="E128" s="1356"/>
      <c r="F128" s="1356"/>
      <c r="G128" s="1356"/>
      <c r="H128" s="1356"/>
      <c r="I128" s="1356">
        <f>SUMIFS(Sheet1!S71_AdjustmentAmount,Sheet1!S71_SA34aCode,$AC:$AC,Sheet1!S71_A5CapexCode,$AD:$AD)</f>
        <v>0</v>
      </c>
      <c r="J128" s="75">
        <f t="shared" si="27"/>
        <v>0</v>
      </c>
      <c r="K128" s="75">
        <f t="shared" si="15"/>
        <v>0</v>
      </c>
      <c r="L128" s="1356">
        <f>SUMIFS(Sheet1!S71_OY1AdjustedBudget,Sheet1!S71_SA34aCode,$AC:$AC,Sheet1!S71_A5CapexCode,$AD:$AD)</f>
        <v>0</v>
      </c>
      <c r="M128" s="1357">
        <f>SUMIFS(Sheet1!S71_OY2AdjustedBudget,Sheet1!S71_SA34aCode,$AC:$AC,Sheet1!S71_A5CapexCode,$AD:$AD)</f>
        <v>0</v>
      </c>
      <c r="N128" s="126"/>
      <c r="AC128" s="1336" t="s">
        <v>1979</v>
      </c>
      <c r="AD128" s="1336" t="s">
        <v>1846</v>
      </c>
    </row>
    <row r="129" spans="1:30" ht="12.75" customHeight="1" x14ac:dyDescent="0.25">
      <c r="A129" s="585" t="s">
        <v>1659</v>
      </c>
      <c r="B129" s="135"/>
      <c r="C129" s="1356">
        <f>SUMIFS(Sheet1!S71_OriginalBudget,Sheet1!S71_SA34aCode,$AC:$AC,Sheet1!S71_A5CapexCode,$AD:$AD)</f>
        <v>0</v>
      </c>
      <c r="D129" s="1356">
        <f>SUMIFS(Sheet1!S71_SpecialAdjustedBudget,Sheet1!S71_SA34aCode,$AC:$AC,Sheet1!S71_A5CapexCode,$AD:$AD)</f>
        <v>0</v>
      </c>
      <c r="E129" s="1356"/>
      <c r="F129" s="1356"/>
      <c r="G129" s="1356"/>
      <c r="H129" s="1356"/>
      <c r="I129" s="1356">
        <f>SUMIFS(Sheet1!S71_AdjustmentAmount,Sheet1!S71_SA34aCode,$AC:$AC,Sheet1!S71_A5CapexCode,$AD:$AD)</f>
        <v>0</v>
      </c>
      <c r="J129" s="75">
        <f t="shared" si="27"/>
        <v>0</v>
      </c>
      <c r="K129" s="75">
        <f t="shared" si="15"/>
        <v>0</v>
      </c>
      <c r="L129" s="1356">
        <f>SUMIFS(Sheet1!S71_OY1AdjustedBudget,Sheet1!S71_SA34aCode,$AC:$AC,Sheet1!S71_A5CapexCode,$AD:$AD)</f>
        <v>0</v>
      </c>
      <c r="M129" s="1357">
        <f>SUMIFS(Sheet1!S71_OY2AdjustedBudget,Sheet1!S71_SA34aCode,$AC:$AC,Sheet1!S71_A5CapexCode,$AD:$AD)</f>
        <v>0</v>
      </c>
      <c r="N129" s="126"/>
      <c r="AC129" s="1336" t="s">
        <v>1980</v>
      </c>
      <c r="AD129" s="1336" t="s">
        <v>1846</v>
      </c>
    </row>
    <row r="130" spans="1:30" ht="12.75" customHeight="1" x14ac:dyDescent="0.25">
      <c r="A130" s="585" t="s">
        <v>1660</v>
      </c>
      <c r="B130" s="73"/>
      <c r="C130" s="1356">
        <f>SUMIFS(Sheet1!S71_OriginalBudget,Sheet1!S71_SA34aCode,$AC:$AC,Sheet1!S71_A5CapexCode,$AD:$AD)</f>
        <v>0</v>
      </c>
      <c r="D130" s="1356">
        <f>SUMIFS(Sheet1!S71_SpecialAdjustedBudget,Sheet1!S71_SA34aCode,$AC:$AC,Sheet1!S71_A5CapexCode,$AD:$AD)</f>
        <v>0</v>
      </c>
      <c r="E130" s="1356"/>
      <c r="F130" s="1356"/>
      <c r="G130" s="1356"/>
      <c r="H130" s="1356"/>
      <c r="I130" s="1356">
        <f>SUMIFS(Sheet1!S71_AdjustmentAmount,Sheet1!S71_SA34aCode,$AC:$AC,Sheet1!S71_A5CapexCode,$AD:$AD)</f>
        <v>0</v>
      </c>
      <c r="J130" s="75">
        <f t="shared" si="27"/>
        <v>0</v>
      </c>
      <c r="K130" s="75">
        <f t="shared" si="15"/>
        <v>0</v>
      </c>
      <c r="L130" s="1356">
        <f>SUMIFS(Sheet1!S71_OY1AdjustedBudget,Sheet1!S71_SA34aCode,$AC:$AC,Sheet1!S71_A5CapexCode,$AD:$AD)</f>
        <v>0</v>
      </c>
      <c r="M130" s="1357">
        <f>SUMIFS(Sheet1!S71_OY2AdjustedBudget,Sheet1!S71_SA34aCode,$AC:$AC,Sheet1!S71_A5CapexCode,$AD:$AD)</f>
        <v>0</v>
      </c>
      <c r="N130" s="126"/>
      <c r="AC130" s="1336" t="s">
        <v>1981</v>
      </c>
      <c r="AD130" s="1336" t="s">
        <v>1846</v>
      </c>
    </row>
    <row r="131" spans="1:30" ht="12.75" customHeight="1" x14ac:dyDescent="0.25">
      <c r="A131" s="585" t="s">
        <v>1661</v>
      </c>
      <c r="B131" s="73"/>
      <c r="C131" s="1356">
        <f>SUMIFS(Sheet1!S71_OriginalBudget,Sheet1!S71_SA34aCode,$AC:$AC,Sheet1!S71_A5CapexCode,$AD:$AD)</f>
        <v>0</v>
      </c>
      <c r="D131" s="1356">
        <f>SUMIFS(Sheet1!S71_SpecialAdjustedBudget,Sheet1!S71_SA34aCode,$AC:$AC,Sheet1!S71_A5CapexCode,$AD:$AD)</f>
        <v>0</v>
      </c>
      <c r="E131" s="1356"/>
      <c r="F131" s="1356"/>
      <c r="G131" s="1356"/>
      <c r="H131" s="1356"/>
      <c r="I131" s="1356">
        <f>SUMIFS(Sheet1!S71_AdjustmentAmount,Sheet1!S71_SA34aCode,$AC:$AC,Sheet1!S71_A5CapexCode,$AD:$AD)</f>
        <v>0</v>
      </c>
      <c r="J131" s="75">
        <f t="shared" si="27"/>
        <v>0</v>
      </c>
      <c r="K131" s="75">
        <f t="shared" si="15"/>
        <v>0</v>
      </c>
      <c r="L131" s="1356">
        <f>SUMIFS(Sheet1!S71_OY1AdjustedBudget,Sheet1!S71_SA34aCode,$AC:$AC,Sheet1!S71_A5CapexCode,$AD:$AD)</f>
        <v>0</v>
      </c>
      <c r="M131" s="1357">
        <f>SUMIFS(Sheet1!S71_OY2AdjustedBudget,Sheet1!S71_SA34aCode,$AC:$AC,Sheet1!S71_A5CapexCode,$AD:$AD)</f>
        <v>0</v>
      </c>
      <c r="N131" s="126"/>
      <c r="AC131" s="1336" t="s">
        <v>1982</v>
      </c>
      <c r="AD131" s="1336" t="s">
        <v>1846</v>
      </c>
    </row>
    <row r="132" spans="1:30" ht="12.75" customHeight="1" x14ac:dyDescent="0.25">
      <c r="A132" s="585" t="s">
        <v>1571</v>
      </c>
      <c r="B132" s="73"/>
      <c r="C132" s="1356">
        <f>SUMIFS(Sheet1!S71_OriginalBudget,Sheet1!S71_SA34aCode,$AC:$AC,Sheet1!S71_A5CapexCode,$AD:$AD)</f>
        <v>0</v>
      </c>
      <c r="D132" s="1356">
        <f>SUMIFS(Sheet1!S71_SpecialAdjustedBudget,Sheet1!S71_SA34aCode,$AC:$AC,Sheet1!S71_A5CapexCode,$AD:$AD)</f>
        <v>0</v>
      </c>
      <c r="E132" s="1356"/>
      <c r="F132" s="1356"/>
      <c r="G132" s="1356"/>
      <c r="H132" s="1356"/>
      <c r="I132" s="1356">
        <f>SUMIFS(Sheet1!S71_AdjustmentAmount,Sheet1!S71_SA34aCode,$AC:$AC,Sheet1!S71_A5CapexCode,$AD:$AD)</f>
        <v>0</v>
      </c>
      <c r="J132" s="75">
        <f t="shared" si="27"/>
        <v>0</v>
      </c>
      <c r="K132" s="75">
        <f t="shared" si="15"/>
        <v>0</v>
      </c>
      <c r="L132" s="1356">
        <f>SUMIFS(Sheet1!S71_OY1AdjustedBudget,Sheet1!S71_SA34aCode,$AC:$AC,Sheet1!S71_A5CapexCode,$AD:$AD)</f>
        <v>0</v>
      </c>
      <c r="M132" s="1357">
        <f>SUMIFS(Sheet1!S71_OY2AdjustedBudget,Sheet1!S71_SA34aCode,$AC:$AC,Sheet1!S71_A5CapexCode,$AD:$AD)</f>
        <v>0</v>
      </c>
      <c r="N132" s="126"/>
      <c r="AC132" s="1336" t="s">
        <v>1824</v>
      </c>
      <c r="AD132" s="1336" t="s">
        <v>1846</v>
      </c>
    </row>
    <row r="133" spans="1:30" ht="10.35" customHeight="1" x14ac:dyDescent="0.25">
      <c r="A133" s="584" t="s">
        <v>621</v>
      </c>
      <c r="B133" s="73"/>
      <c r="C133" s="138">
        <f>SUM(C134:C136)</f>
        <v>0</v>
      </c>
      <c r="D133" s="139">
        <f>SUM(D134:D136)</f>
        <v>0</v>
      </c>
      <c r="E133" s="139">
        <f t="shared" ref="E133:M133" si="29">SUM(E134:E136)</f>
        <v>0</v>
      </c>
      <c r="F133" s="139">
        <f t="shared" si="29"/>
        <v>0</v>
      </c>
      <c r="G133" s="139">
        <f t="shared" si="29"/>
        <v>0</v>
      </c>
      <c r="H133" s="139">
        <f t="shared" si="29"/>
        <v>0</v>
      </c>
      <c r="I133" s="139">
        <f t="shared" si="29"/>
        <v>0</v>
      </c>
      <c r="J133" s="139">
        <f t="shared" si="27"/>
        <v>0</v>
      </c>
      <c r="K133" s="139">
        <f t="shared" si="15"/>
        <v>0</v>
      </c>
      <c r="L133" s="139">
        <f t="shared" si="29"/>
        <v>0</v>
      </c>
      <c r="M133" s="140">
        <f t="shared" si="29"/>
        <v>0</v>
      </c>
      <c r="N133" s="126"/>
      <c r="AD133" s="1336" t="s">
        <v>1846</v>
      </c>
    </row>
    <row r="134" spans="1:30" s="1216" customFormat="1" ht="12.75" customHeight="1" x14ac:dyDescent="0.25">
      <c r="A134" s="585" t="s">
        <v>1662</v>
      </c>
      <c r="B134" s="1213"/>
      <c r="C134" s="1356">
        <f>SUMIFS(Sheet1!S71_OriginalBudget,Sheet1!S71_SA34aCode,$AC:$AC,Sheet1!S71_A5CapexCode,$AD:$AD)</f>
        <v>0</v>
      </c>
      <c r="D134" s="1356">
        <f>SUMIFS(Sheet1!S71_SpecialAdjustedBudget,Sheet1!S71_SA34aCode,$AC:$AC,Sheet1!S71_A5CapexCode,$AD:$AD)</f>
        <v>0</v>
      </c>
      <c r="E134" s="1356"/>
      <c r="F134" s="1356"/>
      <c r="G134" s="1356"/>
      <c r="H134" s="1356"/>
      <c r="I134" s="1356">
        <f>SUMIFS(Sheet1!S71_AdjustmentAmount,Sheet1!S71_SA34aCode,$AC:$AC,Sheet1!S71_A5CapexCode,$AD:$AD)</f>
        <v>0</v>
      </c>
      <c r="J134" s="1214">
        <f t="shared" si="27"/>
        <v>0</v>
      </c>
      <c r="K134" s="1214">
        <f t="shared" si="15"/>
        <v>0</v>
      </c>
      <c r="L134" s="1356">
        <f>SUMIFS(Sheet1!S71_OY1AdjustedBudget,Sheet1!S71_SA34aCode,$AC:$AC,Sheet1!S71_A5CapexCode,$AD:$AD)</f>
        <v>0</v>
      </c>
      <c r="M134" s="1357">
        <f>SUMIFS(Sheet1!S71_OY2AdjustedBudget,Sheet1!S71_SA34aCode,$AC:$AC,Sheet1!S71_A5CapexCode,$AD:$AD)</f>
        <v>0</v>
      </c>
      <c r="N134" s="1215"/>
      <c r="AB134" s="1337"/>
      <c r="AC134" s="1336" t="s">
        <v>1983</v>
      </c>
      <c r="AD134" s="1336" t="s">
        <v>1846</v>
      </c>
    </row>
    <row r="135" spans="1:30" ht="12.75" customHeight="1" x14ac:dyDescent="0.25">
      <c r="A135" s="585" t="s">
        <v>1663</v>
      </c>
      <c r="B135" s="73"/>
      <c r="C135" s="1356">
        <f>SUMIFS(Sheet1!S71_OriginalBudget,Sheet1!S71_SA34aCode,$AC:$AC,Sheet1!S71_A5CapexCode,$AD:$AD)</f>
        <v>0</v>
      </c>
      <c r="D135" s="1356">
        <f>SUMIFS(Sheet1!S71_SpecialAdjustedBudget,Sheet1!S71_SA34aCode,$AC:$AC,Sheet1!S71_A5CapexCode,$AD:$AD)</f>
        <v>0</v>
      </c>
      <c r="E135" s="1356"/>
      <c r="F135" s="1356"/>
      <c r="G135" s="1356"/>
      <c r="H135" s="1356"/>
      <c r="I135" s="1356">
        <f>SUMIFS(Sheet1!S71_AdjustmentAmount,Sheet1!S71_SA34aCode,$AC:$AC,Sheet1!S71_A5CapexCode,$AD:$AD)</f>
        <v>0</v>
      </c>
      <c r="J135" s="75">
        <f t="shared" si="27"/>
        <v>0</v>
      </c>
      <c r="K135" s="75">
        <f t="shared" si="15"/>
        <v>0</v>
      </c>
      <c r="L135" s="1356">
        <f>SUMIFS(Sheet1!S71_OY1AdjustedBudget,Sheet1!S71_SA34aCode,$AC:$AC,Sheet1!S71_A5CapexCode,$AD:$AD)</f>
        <v>0</v>
      </c>
      <c r="M135" s="1357">
        <f>SUMIFS(Sheet1!S71_OY2AdjustedBudget,Sheet1!S71_SA34aCode,$AC:$AC,Sheet1!S71_A5CapexCode,$AD:$AD)</f>
        <v>0</v>
      </c>
      <c r="N135" s="126"/>
      <c r="AC135" s="1336" t="s">
        <v>1984</v>
      </c>
      <c r="AD135" s="1336" t="s">
        <v>1846</v>
      </c>
    </row>
    <row r="136" spans="1:30" ht="12.75" customHeight="1" x14ac:dyDescent="0.25">
      <c r="A136" s="585" t="s">
        <v>1571</v>
      </c>
      <c r="B136" s="73"/>
      <c r="C136" s="1356">
        <f>SUMIFS(Sheet1!S71_OriginalBudget,Sheet1!S71_SA34aCode,$AC:$AC,Sheet1!S71_A5CapexCode,$AD:$AD)</f>
        <v>0</v>
      </c>
      <c r="D136" s="1356">
        <f>SUMIFS(Sheet1!S71_SpecialAdjustedBudget,Sheet1!S71_SA34aCode,$AC:$AC,Sheet1!S71_A5CapexCode,$AD:$AD)</f>
        <v>0</v>
      </c>
      <c r="E136" s="1356"/>
      <c r="F136" s="1356"/>
      <c r="G136" s="1356"/>
      <c r="H136" s="1356"/>
      <c r="I136" s="1356">
        <f>SUMIFS(Sheet1!S71_AdjustmentAmount,Sheet1!S71_SA34aCode,$AC:$AC,Sheet1!S71_A5CapexCode,$AD:$AD)</f>
        <v>0</v>
      </c>
      <c r="J136" s="75">
        <f t="shared" si="27"/>
        <v>0</v>
      </c>
      <c r="K136" s="75">
        <f t="shared" si="15"/>
        <v>0</v>
      </c>
      <c r="L136" s="1356">
        <f>SUMIFS(Sheet1!S71_OY1AdjustedBudget,Sheet1!S71_SA34aCode,$AC:$AC,Sheet1!S71_A5CapexCode,$AD:$AD)</f>
        <v>0</v>
      </c>
      <c r="M136" s="1357">
        <f>SUMIFS(Sheet1!S71_OY2AdjustedBudget,Sheet1!S71_SA34aCode,$AC:$AC,Sheet1!S71_A5CapexCode,$AD:$AD)</f>
        <v>0</v>
      </c>
      <c r="N136" s="126"/>
      <c r="AC136" s="1337" t="s">
        <v>1985</v>
      </c>
      <c r="AD136" s="1337" t="s">
        <v>1846</v>
      </c>
    </row>
    <row r="137" spans="1:30" ht="5.0999999999999996" customHeight="1" x14ac:dyDescent="0.25">
      <c r="A137" s="134"/>
      <c r="B137" s="73"/>
      <c r="C137" s="74"/>
      <c r="D137" s="75"/>
      <c r="E137" s="75"/>
      <c r="F137" s="75"/>
      <c r="G137" s="75"/>
      <c r="H137" s="75"/>
      <c r="I137" s="75"/>
      <c r="J137" s="75"/>
      <c r="K137" s="75"/>
      <c r="L137" s="75"/>
      <c r="M137" s="76"/>
      <c r="N137" s="126"/>
      <c r="AD137" s="1336" t="s">
        <v>1846</v>
      </c>
    </row>
    <row r="138" spans="1:30" ht="12.75" customHeight="1" x14ac:dyDescent="0.25">
      <c r="A138" s="484" t="s">
        <v>1664</v>
      </c>
      <c r="B138" s="73"/>
      <c r="C138" s="234">
        <f t="shared" ref="C138:M138" si="30">SUM(C139:C139)</f>
        <v>0</v>
      </c>
      <c r="D138" s="235">
        <f t="shared" si="30"/>
        <v>0</v>
      </c>
      <c r="E138" s="235">
        <f t="shared" si="30"/>
        <v>0</v>
      </c>
      <c r="F138" s="235">
        <f t="shared" si="30"/>
        <v>0</v>
      </c>
      <c r="G138" s="235">
        <f t="shared" si="30"/>
        <v>0</v>
      </c>
      <c r="H138" s="235">
        <f t="shared" si="30"/>
        <v>0</v>
      </c>
      <c r="I138" s="235">
        <f t="shared" si="30"/>
        <v>0</v>
      </c>
      <c r="J138" s="235">
        <f>SUM(E138:I138)</f>
        <v>0</v>
      </c>
      <c r="K138" s="235">
        <f t="shared" ref="K138:K169" si="31">IF(D138=0,C138+J138,D138+J138)</f>
        <v>0</v>
      </c>
      <c r="L138" s="235">
        <f t="shared" si="30"/>
        <v>0</v>
      </c>
      <c r="M138" s="236">
        <f t="shared" si="30"/>
        <v>0</v>
      </c>
      <c r="N138" s="126"/>
      <c r="AD138" s="1336" t="s">
        <v>1846</v>
      </c>
    </row>
    <row r="139" spans="1:30" ht="12.75" customHeight="1" x14ac:dyDescent="0.25">
      <c r="A139" s="584" t="s">
        <v>1664</v>
      </c>
      <c r="B139" s="73"/>
      <c r="C139" s="1356">
        <f>SUMIFS(Sheet1!S71_OriginalBudget,Sheet1!S71_SA34aCode,$AC:$AC,Sheet1!S71_A5CapexCode,$AD:$AD)</f>
        <v>0</v>
      </c>
      <c r="D139" s="1356">
        <f>SUMIFS(Sheet1!S71_SpecialAdjustedBudget,Sheet1!S71_SA34aCode,$AC:$AC,Sheet1!S71_A5CapexCode,$AD:$AD)</f>
        <v>0</v>
      </c>
      <c r="E139" s="1356"/>
      <c r="F139" s="1356"/>
      <c r="G139" s="1356"/>
      <c r="H139" s="1356"/>
      <c r="I139" s="1356">
        <f>SUMIFS(Sheet1!S71_AdjustmentAmount,Sheet1!S71_SA34aCode,$AC:$AC,Sheet1!S71_A5CapexCode,$AD:$AD)</f>
        <v>0</v>
      </c>
      <c r="J139" s="75">
        <f>SUM(E139:I139)</f>
        <v>0</v>
      </c>
      <c r="K139" s="75">
        <f t="shared" si="31"/>
        <v>0</v>
      </c>
      <c r="L139" s="1356">
        <f>SUMIFS(Sheet1!S71_OY1AdjustedBudget,Sheet1!S71_SA34aCode,$AC:$AC,Sheet1!S71_A5CapexCode,$AD:$AD)</f>
        <v>0</v>
      </c>
      <c r="M139" s="1357">
        <f>SUMIFS(Sheet1!S71_OY2AdjustedBudget,Sheet1!S71_SA34aCode,$AC:$AC,Sheet1!S71_A5CapexCode,$AD:$AD)</f>
        <v>0</v>
      </c>
      <c r="N139" s="126"/>
      <c r="AC139" s="1336" t="s">
        <v>1986</v>
      </c>
      <c r="AD139" s="1336" t="s">
        <v>1846</v>
      </c>
    </row>
    <row r="140" spans="1:30" ht="5.0999999999999996" customHeight="1" x14ac:dyDescent="0.25">
      <c r="A140" s="1217"/>
      <c r="B140" s="73"/>
      <c r="C140" s="74"/>
      <c r="D140" s="75"/>
      <c r="E140" s="75"/>
      <c r="F140" s="75"/>
      <c r="G140" s="75"/>
      <c r="H140" s="75"/>
      <c r="I140" s="75"/>
      <c r="J140" s="75"/>
      <c r="K140" s="75"/>
      <c r="L140" s="75"/>
      <c r="M140" s="76"/>
      <c r="N140" s="126"/>
      <c r="AD140" s="1336" t="s">
        <v>1846</v>
      </c>
    </row>
    <row r="141" spans="1:30" ht="12.75" customHeight="1" x14ac:dyDescent="0.25">
      <c r="A141" s="484" t="s">
        <v>1665</v>
      </c>
      <c r="B141" s="73"/>
      <c r="C141" s="234">
        <f>SUM(C142:C143)</f>
        <v>0</v>
      </c>
      <c r="D141" s="235">
        <f t="shared" ref="D141:I141" si="32">SUM(D142:D143)</f>
        <v>0</v>
      </c>
      <c r="E141" s="235">
        <f t="shared" si="32"/>
        <v>0</v>
      </c>
      <c r="F141" s="235">
        <f t="shared" si="32"/>
        <v>0</v>
      </c>
      <c r="G141" s="235">
        <f t="shared" si="32"/>
        <v>0</v>
      </c>
      <c r="H141" s="235">
        <f t="shared" si="32"/>
        <v>0</v>
      </c>
      <c r="I141" s="235">
        <f t="shared" si="32"/>
        <v>0</v>
      </c>
      <c r="J141" s="235">
        <f t="shared" ref="J141:J149" si="33">SUM(E141:I141)</f>
        <v>0</v>
      </c>
      <c r="K141" s="235">
        <f t="shared" si="31"/>
        <v>0</v>
      </c>
      <c r="L141" s="235">
        <f>SUM(L142:L143)</f>
        <v>0</v>
      </c>
      <c r="M141" s="236">
        <f>SUM(M142:M143)</f>
        <v>0</v>
      </c>
      <c r="N141" s="126"/>
      <c r="AD141" s="1336" t="s">
        <v>1846</v>
      </c>
    </row>
    <row r="142" spans="1:30" ht="12.75" customHeight="1" x14ac:dyDescent="0.25">
      <c r="A142" s="586" t="s">
        <v>1666</v>
      </c>
      <c r="B142" s="73"/>
      <c r="C142" s="1356">
        <f>SUMIFS(Sheet1!S71_OriginalBudget,Sheet1!S71_SA34aCode,$AC:$AC,Sheet1!S71_A5CapexCode,$AD:$AD)</f>
        <v>0</v>
      </c>
      <c r="D142" s="1356">
        <f>SUMIFS(Sheet1!S71_SpecialAdjustedBudget,Sheet1!S71_SA34aCode,$AC:$AC,Sheet1!S71_A5CapexCode,$AD:$AD)</f>
        <v>0</v>
      </c>
      <c r="E142" s="1356"/>
      <c r="F142" s="1356"/>
      <c r="G142" s="1356"/>
      <c r="H142" s="1356"/>
      <c r="I142" s="1356">
        <f>SUMIFS(Sheet1!S71_AdjustmentAmount,Sheet1!S71_SA34aCode,$AC:$AC,Sheet1!S71_A5CapexCode,$AD:$AD)</f>
        <v>0</v>
      </c>
      <c r="J142" s="75">
        <f t="shared" si="33"/>
        <v>0</v>
      </c>
      <c r="K142" s="75">
        <f t="shared" si="31"/>
        <v>0</v>
      </c>
      <c r="L142" s="1356">
        <f>SUMIFS(Sheet1!S71_OY1AdjustedBudget,Sheet1!S71_SA34aCode,$AC:$AC,Sheet1!S71_A5CapexCode,$AD:$AD)</f>
        <v>0</v>
      </c>
      <c r="M142" s="1357">
        <f>SUMIFS(Sheet1!S71_OY2AdjustedBudget,Sheet1!S71_SA34aCode,$AC:$AC,Sheet1!S71_A5CapexCode,$AD:$AD)</f>
        <v>0</v>
      </c>
      <c r="N142" s="126"/>
      <c r="AC142" s="1336" t="s">
        <v>1987</v>
      </c>
      <c r="AD142" s="1336" t="s">
        <v>1846</v>
      </c>
    </row>
    <row r="143" spans="1:30" ht="10.35" customHeight="1" x14ac:dyDescent="0.25">
      <c r="A143" s="586" t="s">
        <v>1667</v>
      </c>
      <c r="B143" s="73"/>
      <c r="C143" s="138">
        <f>SUM(C144:C149)</f>
        <v>0</v>
      </c>
      <c r="D143" s="139">
        <f t="shared" ref="D143:I143" si="34">SUM(D144:D149)</f>
        <v>0</v>
      </c>
      <c r="E143" s="139">
        <f t="shared" si="34"/>
        <v>0</v>
      </c>
      <c r="F143" s="139">
        <f t="shared" si="34"/>
        <v>0</v>
      </c>
      <c r="G143" s="139">
        <f t="shared" si="34"/>
        <v>0</v>
      </c>
      <c r="H143" s="139">
        <f t="shared" si="34"/>
        <v>0</v>
      </c>
      <c r="I143" s="139">
        <f t="shared" si="34"/>
        <v>0</v>
      </c>
      <c r="J143" s="139">
        <f t="shared" si="33"/>
        <v>0</v>
      </c>
      <c r="K143" s="139">
        <f t="shared" si="31"/>
        <v>0</v>
      </c>
      <c r="L143" s="139">
        <f>SUM(L144:L149)</f>
        <v>0</v>
      </c>
      <c r="M143" s="140">
        <f>SUM(M144:M149)</f>
        <v>0</v>
      </c>
      <c r="N143" s="126"/>
      <c r="AD143" s="1336" t="s">
        <v>1846</v>
      </c>
    </row>
    <row r="144" spans="1:30" ht="12.75" customHeight="1" x14ac:dyDescent="0.25">
      <c r="A144" s="585" t="s">
        <v>1668</v>
      </c>
      <c r="B144" s="73"/>
      <c r="C144" s="1356">
        <f>SUMIFS(Sheet1!S71_OriginalBudget,Sheet1!S71_SA34aCode,$AC:$AC,Sheet1!S71_A5CapexCode,$AD:$AD)</f>
        <v>0</v>
      </c>
      <c r="D144" s="1356">
        <f>SUMIFS(Sheet1!S71_SpecialAdjustedBudget,Sheet1!S71_SA34aCode,$AC:$AC,Sheet1!S71_A5CapexCode,$AD:$AD)</f>
        <v>0</v>
      </c>
      <c r="E144" s="1356"/>
      <c r="F144" s="1356"/>
      <c r="G144" s="1356"/>
      <c r="H144" s="1356"/>
      <c r="I144" s="1356">
        <f>SUMIFS(Sheet1!S71_AdjustmentAmount,Sheet1!S71_SA34aCode,$AC:$AC,Sheet1!S71_A5CapexCode,$AD:$AD)</f>
        <v>0</v>
      </c>
      <c r="J144" s="75">
        <f t="shared" si="33"/>
        <v>0</v>
      </c>
      <c r="K144" s="75">
        <f t="shared" si="31"/>
        <v>0</v>
      </c>
      <c r="L144" s="1356">
        <f>SUMIFS(Sheet1!S71_OY1AdjustedBudget,Sheet1!S71_SA34aCode,$AC:$AC,Sheet1!S71_A5CapexCode,$AD:$AD)</f>
        <v>0</v>
      </c>
      <c r="M144" s="1357">
        <f>SUMIFS(Sheet1!S71_OY2AdjustedBudget,Sheet1!S71_SA34aCode,$AC:$AC,Sheet1!S71_A5CapexCode,$AD:$AD)</f>
        <v>0</v>
      </c>
      <c r="N144" s="126"/>
      <c r="AC144" s="1336" t="s">
        <v>1825</v>
      </c>
      <c r="AD144" s="1336" t="s">
        <v>1846</v>
      </c>
    </row>
    <row r="145" spans="1:30" ht="12.75" customHeight="1" x14ac:dyDescent="0.25">
      <c r="A145" s="585" t="s">
        <v>1669</v>
      </c>
      <c r="B145" s="135"/>
      <c r="C145" s="1356">
        <f>SUMIFS(Sheet1!S71_OriginalBudget,Sheet1!S71_SA34aCode,$AC:$AC,Sheet1!S71_A5CapexCode,$AD:$AD)</f>
        <v>0</v>
      </c>
      <c r="D145" s="1356">
        <f>SUMIFS(Sheet1!S71_SpecialAdjustedBudget,Sheet1!S71_SA34aCode,$AC:$AC,Sheet1!S71_A5CapexCode,$AD:$AD)</f>
        <v>0</v>
      </c>
      <c r="E145" s="1356"/>
      <c r="F145" s="1356"/>
      <c r="G145" s="1356"/>
      <c r="H145" s="1356"/>
      <c r="I145" s="1356">
        <f>SUMIFS(Sheet1!S71_AdjustmentAmount,Sheet1!S71_SA34aCode,$AC:$AC,Sheet1!S71_A5CapexCode,$AD:$AD)</f>
        <v>0</v>
      </c>
      <c r="J145" s="75">
        <f t="shared" si="33"/>
        <v>0</v>
      </c>
      <c r="K145" s="75">
        <f t="shared" si="31"/>
        <v>0</v>
      </c>
      <c r="L145" s="1356">
        <f>SUMIFS(Sheet1!S71_OY1AdjustedBudget,Sheet1!S71_SA34aCode,$AC:$AC,Sheet1!S71_A5CapexCode,$AD:$AD)</f>
        <v>0</v>
      </c>
      <c r="M145" s="1357">
        <f>SUMIFS(Sheet1!S71_OY2AdjustedBudget,Sheet1!S71_SA34aCode,$AC:$AC,Sheet1!S71_A5CapexCode,$AD:$AD)</f>
        <v>0</v>
      </c>
      <c r="N145" s="126"/>
      <c r="AC145" s="1336" t="s">
        <v>1988</v>
      </c>
      <c r="AD145" s="1336" t="s">
        <v>1846</v>
      </c>
    </row>
    <row r="146" spans="1:30" ht="12.75" customHeight="1" x14ac:dyDescent="0.25">
      <c r="A146" s="585" t="s">
        <v>1670</v>
      </c>
      <c r="B146" s="73"/>
      <c r="C146" s="1356">
        <f>SUMIFS(Sheet1!S71_OriginalBudget,Sheet1!S71_SA34aCode,$AC:$AC,Sheet1!S71_A5CapexCode,$AD:$AD)</f>
        <v>0</v>
      </c>
      <c r="D146" s="1356">
        <f>SUMIFS(Sheet1!S71_SpecialAdjustedBudget,Sheet1!S71_SA34aCode,$AC:$AC,Sheet1!S71_A5CapexCode,$AD:$AD)</f>
        <v>0</v>
      </c>
      <c r="E146" s="1356"/>
      <c r="F146" s="1356"/>
      <c r="G146" s="1356"/>
      <c r="H146" s="1356"/>
      <c r="I146" s="1356">
        <f>SUMIFS(Sheet1!S71_AdjustmentAmount,Sheet1!S71_SA34aCode,$AC:$AC,Sheet1!S71_A5CapexCode,$AD:$AD)</f>
        <v>0</v>
      </c>
      <c r="J146" s="75">
        <f t="shared" si="33"/>
        <v>0</v>
      </c>
      <c r="K146" s="75">
        <f t="shared" si="31"/>
        <v>0</v>
      </c>
      <c r="L146" s="1356">
        <f>SUMIFS(Sheet1!S71_OY1AdjustedBudget,Sheet1!S71_SA34aCode,$AC:$AC,Sheet1!S71_A5CapexCode,$AD:$AD)</f>
        <v>0</v>
      </c>
      <c r="M146" s="1357">
        <f>SUMIFS(Sheet1!S71_OY2AdjustedBudget,Sheet1!S71_SA34aCode,$AC:$AC,Sheet1!S71_A5CapexCode,$AD:$AD)</f>
        <v>0</v>
      </c>
      <c r="N146" s="126"/>
      <c r="AC146" s="1336" t="s">
        <v>1989</v>
      </c>
      <c r="AD146" s="1336" t="s">
        <v>1846</v>
      </c>
    </row>
    <row r="147" spans="1:30" ht="12.75" customHeight="1" x14ac:dyDescent="0.25">
      <c r="A147" s="585" t="s">
        <v>1671</v>
      </c>
      <c r="B147" s="73"/>
      <c r="C147" s="1356">
        <f>SUMIFS(Sheet1!S71_OriginalBudget,Sheet1!S71_SA34aCode,$AC:$AC,Sheet1!S71_A5CapexCode,$AD:$AD)</f>
        <v>0</v>
      </c>
      <c r="D147" s="1356">
        <f>SUMIFS(Sheet1!S71_SpecialAdjustedBudget,Sheet1!S71_SA34aCode,$AC:$AC,Sheet1!S71_A5CapexCode,$AD:$AD)</f>
        <v>0</v>
      </c>
      <c r="E147" s="1356"/>
      <c r="F147" s="1356"/>
      <c r="G147" s="1356"/>
      <c r="H147" s="1356"/>
      <c r="I147" s="1356">
        <f>SUMIFS(Sheet1!S71_AdjustmentAmount,Sheet1!S71_SA34aCode,$AC:$AC,Sheet1!S71_A5CapexCode,$AD:$AD)</f>
        <v>0</v>
      </c>
      <c r="J147" s="75">
        <f t="shared" si="33"/>
        <v>0</v>
      </c>
      <c r="K147" s="75">
        <f t="shared" si="31"/>
        <v>0</v>
      </c>
      <c r="L147" s="1356">
        <f>SUMIFS(Sheet1!S71_OY1AdjustedBudget,Sheet1!S71_SA34aCode,$AC:$AC,Sheet1!S71_A5CapexCode,$AD:$AD)</f>
        <v>0</v>
      </c>
      <c r="M147" s="1357">
        <f>SUMIFS(Sheet1!S71_OY2AdjustedBudget,Sheet1!S71_SA34aCode,$AC:$AC,Sheet1!S71_A5CapexCode,$AD:$AD)</f>
        <v>0</v>
      </c>
      <c r="N147" s="126"/>
      <c r="AC147" s="1336" t="s">
        <v>1990</v>
      </c>
      <c r="AD147" s="1336" t="s">
        <v>1846</v>
      </c>
    </row>
    <row r="148" spans="1:30" ht="12.75" customHeight="1" x14ac:dyDescent="0.25">
      <c r="A148" s="585" t="s">
        <v>1672</v>
      </c>
      <c r="B148" s="73"/>
      <c r="C148" s="1356">
        <f>SUMIFS(Sheet1!S71_OriginalBudget,Sheet1!S71_SA34aCode,$AC:$AC,Sheet1!S71_A5CapexCode,$AD:$AD)</f>
        <v>0</v>
      </c>
      <c r="D148" s="1356">
        <f>SUMIFS(Sheet1!S71_SpecialAdjustedBudget,Sheet1!S71_SA34aCode,$AC:$AC,Sheet1!S71_A5CapexCode,$AD:$AD)</f>
        <v>0</v>
      </c>
      <c r="E148" s="1356"/>
      <c r="F148" s="1356"/>
      <c r="G148" s="1356"/>
      <c r="H148" s="1356"/>
      <c r="I148" s="1356">
        <f>SUMIFS(Sheet1!S71_AdjustmentAmount,Sheet1!S71_SA34aCode,$AC:$AC,Sheet1!S71_A5CapexCode,$AD:$AD)</f>
        <v>0</v>
      </c>
      <c r="J148" s="75">
        <f t="shared" si="33"/>
        <v>0</v>
      </c>
      <c r="K148" s="75">
        <f t="shared" si="31"/>
        <v>0</v>
      </c>
      <c r="L148" s="1356">
        <f>SUMIFS(Sheet1!S71_OY1AdjustedBudget,Sheet1!S71_SA34aCode,$AC:$AC,Sheet1!S71_A5CapexCode,$AD:$AD)</f>
        <v>0</v>
      </c>
      <c r="M148" s="1357">
        <f>SUMIFS(Sheet1!S71_OY2AdjustedBudget,Sheet1!S71_SA34aCode,$AC:$AC,Sheet1!S71_A5CapexCode,$AD:$AD)</f>
        <v>0</v>
      </c>
      <c r="N148" s="126"/>
      <c r="AC148" s="1336" t="s">
        <v>1991</v>
      </c>
      <c r="AD148" s="1336" t="s">
        <v>1846</v>
      </c>
    </row>
    <row r="149" spans="1:30" ht="12.75" customHeight="1" x14ac:dyDescent="0.25">
      <c r="A149" s="585" t="s">
        <v>1673</v>
      </c>
      <c r="B149" s="73"/>
      <c r="C149" s="1356">
        <f>SUMIFS(Sheet1!S71_OriginalBudget,Sheet1!S71_SA34aCode,$AC:$AC,Sheet1!S71_A5CapexCode,$AD:$AD)</f>
        <v>0</v>
      </c>
      <c r="D149" s="1356">
        <f>SUMIFS(Sheet1!S71_SpecialAdjustedBudget,Sheet1!S71_SA34aCode,$AC:$AC,Sheet1!S71_A5CapexCode,$AD:$AD)</f>
        <v>0</v>
      </c>
      <c r="E149" s="1356"/>
      <c r="F149" s="1356"/>
      <c r="G149" s="1356"/>
      <c r="H149" s="1356"/>
      <c r="I149" s="1356">
        <f>SUMIFS(Sheet1!S71_AdjustmentAmount,Sheet1!S71_SA34aCode,$AC:$AC,Sheet1!S71_A5CapexCode,$AD:$AD)</f>
        <v>0</v>
      </c>
      <c r="J149" s="75">
        <f t="shared" si="33"/>
        <v>0</v>
      </c>
      <c r="K149" s="75">
        <f t="shared" si="31"/>
        <v>0</v>
      </c>
      <c r="L149" s="1356">
        <f>SUMIFS(Sheet1!S71_OY1AdjustedBudget,Sheet1!S71_SA34aCode,$AC:$AC,Sheet1!S71_A5CapexCode,$AD:$AD)</f>
        <v>0</v>
      </c>
      <c r="M149" s="1357">
        <f>SUMIFS(Sheet1!S71_OY2AdjustedBudget,Sheet1!S71_SA34aCode,$AC:$AC,Sheet1!S71_A5CapexCode,$AD:$AD)</f>
        <v>0</v>
      </c>
      <c r="N149" s="126"/>
      <c r="AC149" s="1336" t="s">
        <v>1992</v>
      </c>
      <c r="AD149" s="1336" t="s">
        <v>1846</v>
      </c>
    </row>
    <row r="150" spans="1:30" ht="5.0999999999999996" customHeight="1" x14ac:dyDescent="0.25">
      <c r="A150" s="1217"/>
      <c r="B150" s="73"/>
      <c r="C150" s="74"/>
      <c r="D150" s="75"/>
      <c r="E150" s="75"/>
      <c r="F150" s="75"/>
      <c r="G150" s="75"/>
      <c r="H150" s="75"/>
      <c r="I150" s="75"/>
      <c r="J150" s="75"/>
      <c r="K150" s="75"/>
      <c r="L150" s="75"/>
      <c r="M150" s="76"/>
      <c r="N150" s="126"/>
      <c r="AD150" s="1336" t="s">
        <v>1846</v>
      </c>
    </row>
    <row r="151" spans="1:30" ht="12.75" customHeight="1" x14ac:dyDescent="0.25">
      <c r="A151" s="484" t="s">
        <v>1674</v>
      </c>
      <c r="B151" s="73"/>
      <c r="C151" s="234">
        <f t="shared" ref="C151:M151" si="35">SUM(C152:C152)</f>
        <v>300000</v>
      </c>
      <c r="D151" s="235">
        <f t="shared" si="35"/>
        <v>300000</v>
      </c>
      <c r="E151" s="235">
        <f t="shared" si="35"/>
        <v>0</v>
      </c>
      <c r="F151" s="235">
        <f t="shared" si="35"/>
        <v>0</v>
      </c>
      <c r="G151" s="235">
        <f t="shared" si="35"/>
        <v>0</v>
      </c>
      <c r="H151" s="235">
        <f t="shared" si="35"/>
        <v>0</v>
      </c>
      <c r="I151" s="235">
        <f t="shared" si="35"/>
        <v>0</v>
      </c>
      <c r="J151" s="235">
        <f>SUM(E151:I151)</f>
        <v>0</v>
      </c>
      <c r="K151" s="235">
        <f t="shared" si="31"/>
        <v>300000</v>
      </c>
      <c r="L151" s="235">
        <f t="shared" si="35"/>
        <v>0</v>
      </c>
      <c r="M151" s="236">
        <f t="shared" si="35"/>
        <v>400000</v>
      </c>
      <c r="N151" s="126"/>
      <c r="AD151" s="1336" t="s">
        <v>1846</v>
      </c>
    </row>
    <row r="152" spans="1:30" ht="12.75" customHeight="1" x14ac:dyDescent="0.25">
      <c r="A152" s="584" t="s">
        <v>1674</v>
      </c>
      <c r="B152" s="73"/>
      <c r="C152" s="1356">
        <f>SUMIFS(Sheet1!S71_OriginalBudget,Sheet1!S71_SA34aCode,$AC:$AC,Sheet1!S71_A5CapexCode,$AD:$AD)</f>
        <v>300000</v>
      </c>
      <c r="D152" s="1356">
        <f>SUMIFS(Sheet1!S71_SpecialAdjustedBudget,Sheet1!S71_SA34aCode,$AC:$AC,Sheet1!S71_A5CapexCode,$AD:$AD)</f>
        <v>300000</v>
      </c>
      <c r="E152" s="1356"/>
      <c r="F152" s="1356"/>
      <c r="G152" s="1356"/>
      <c r="H152" s="1356"/>
      <c r="I152" s="1356">
        <f>SUMIFS(Sheet1!S71_AdjustmentAmount,Sheet1!S71_SA34aCode,$AC:$AC,Sheet1!S71_A5CapexCode,$AD:$AD)</f>
        <v>0</v>
      </c>
      <c r="J152" s="75">
        <f>SUM(E152:I152)</f>
        <v>0</v>
      </c>
      <c r="K152" s="75">
        <f t="shared" si="31"/>
        <v>300000</v>
      </c>
      <c r="L152" s="1356">
        <f>SUMIFS(Sheet1!S71_OY1AdjustedBudget,Sheet1!S71_SA34aCode,$AC:$AC,Sheet1!S71_A5CapexCode,$AD:$AD)</f>
        <v>0</v>
      </c>
      <c r="M152" s="1357">
        <f>SUMIFS(Sheet1!S71_OY2AdjustedBudget,Sheet1!S71_SA34aCode,$AC:$AC,Sheet1!S71_A5CapexCode,$AD:$AD)</f>
        <v>400000</v>
      </c>
      <c r="N152" s="126"/>
      <c r="AC152" s="1336" t="s">
        <v>1993</v>
      </c>
      <c r="AD152" s="1336" t="s">
        <v>1846</v>
      </c>
    </row>
    <row r="153" spans="1:30" ht="5.0999999999999996" customHeight="1" x14ac:dyDescent="0.25">
      <c r="A153" s="1217"/>
      <c r="B153" s="73"/>
      <c r="C153" s="74"/>
      <c r="D153" s="75"/>
      <c r="E153" s="75"/>
      <c r="F153" s="75"/>
      <c r="G153" s="75"/>
      <c r="H153" s="75"/>
      <c r="I153" s="75"/>
      <c r="J153" s="75"/>
      <c r="K153" s="75"/>
      <c r="L153" s="75"/>
      <c r="M153" s="76"/>
      <c r="N153" s="126"/>
      <c r="AD153" s="1336" t="s">
        <v>1846</v>
      </c>
    </row>
    <row r="154" spans="1:30" ht="12.75" customHeight="1" x14ac:dyDescent="0.25">
      <c r="A154" s="484" t="s">
        <v>1675</v>
      </c>
      <c r="B154" s="73"/>
      <c r="C154" s="234">
        <f t="shared" ref="C154:M154" si="36">SUM(C155:C155)</f>
        <v>400000</v>
      </c>
      <c r="D154" s="235">
        <f t="shared" si="36"/>
        <v>400000</v>
      </c>
      <c r="E154" s="235">
        <f t="shared" si="36"/>
        <v>0</v>
      </c>
      <c r="F154" s="235">
        <f t="shared" si="36"/>
        <v>0</v>
      </c>
      <c r="G154" s="235">
        <f t="shared" si="36"/>
        <v>0</v>
      </c>
      <c r="H154" s="235">
        <f t="shared" si="36"/>
        <v>0</v>
      </c>
      <c r="I154" s="235">
        <f t="shared" si="36"/>
        <v>0</v>
      </c>
      <c r="J154" s="235">
        <f>SUM(E154:I154)</f>
        <v>0</v>
      </c>
      <c r="K154" s="235">
        <f t="shared" si="31"/>
        <v>400000</v>
      </c>
      <c r="L154" s="235">
        <f t="shared" si="36"/>
        <v>0</v>
      </c>
      <c r="M154" s="236">
        <f t="shared" si="36"/>
        <v>1200000</v>
      </c>
      <c r="N154" s="126"/>
      <c r="AD154" s="1336" t="s">
        <v>1846</v>
      </c>
    </row>
    <row r="155" spans="1:30" ht="12.75" customHeight="1" x14ac:dyDescent="0.25">
      <c r="A155" s="584" t="s">
        <v>1675</v>
      </c>
      <c r="B155" s="73"/>
      <c r="C155" s="1356">
        <f>SUMIFS(Sheet1!S71_OriginalBudget,Sheet1!S71_SA34aCode,$AC:$AC,Sheet1!S71_A5CapexCode,$AD:$AD)</f>
        <v>400000</v>
      </c>
      <c r="D155" s="1356">
        <f>SUMIFS(Sheet1!S71_SpecialAdjustedBudget,Sheet1!S71_SA34aCode,$AC:$AC,Sheet1!S71_A5CapexCode,$AD:$AD)</f>
        <v>400000</v>
      </c>
      <c r="E155" s="1356"/>
      <c r="F155" s="1356"/>
      <c r="G155" s="1356"/>
      <c r="H155" s="1356"/>
      <c r="I155" s="1356">
        <f>SUMIFS(Sheet1!S71_AdjustmentAmount,Sheet1!S71_SA34aCode,$AC:$AC,Sheet1!S71_A5CapexCode,$AD:$AD)</f>
        <v>0</v>
      </c>
      <c r="J155" s="75">
        <f>SUM(E155:I155)</f>
        <v>0</v>
      </c>
      <c r="K155" s="75">
        <f t="shared" si="31"/>
        <v>400000</v>
      </c>
      <c r="L155" s="1356">
        <f>SUMIFS(Sheet1!S71_OY1AdjustedBudget,Sheet1!S71_SA34aCode,$AC:$AC,Sheet1!S71_A5CapexCode,$AD:$AD)</f>
        <v>0</v>
      </c>
      <c r="M155" s="1357">
        <f>SUMIFS(Sheet1!S71_OY2AdjustedBudget,Sheet1!S71_SA34aCode,$AC:$AC,Sheet1!S71_A5CapexCode,$AD:$AD)</f>
        <v>1200000</v>
      </c>
      <c r="N155" s="126"/>
      <c r="AC155" s="1336" t="s">
        <v>1994</v>
      </c>
      <c r="AD155" s="1336" t="s">
        <v>1846</v>
      </c>
    </row>
    <row r="156" spans="1:30" ht="5.0999999999999996" customHeight="1" x14ac:dyDescent="0.25">
      <c r="A156" s="1217"/>
      <c r="B156" s="73"/>
      <c r="C156" s="74"/>
      <c r="D156" s="75"/>
      <c r="E156" s="75"/>
      <c r="F156" s="75"/>
      <c r="G156" s="75"/>
      <c r="H156" s="75"/>
      <c r="I156" s="75"/>
      <c r="J156" s="75"/>
      <c r="K156" s="75"/>
      <c r="L156" s="75"/>
      <c r="M156" s="76"/>
      <c r="N156" s="126"/>
      <c r="AD156" s="1336" t="s">
        <v>1846</v>
      </c>
    </row>
    <row r="157" spans="1:30" ht="12.75" customHeight="1" x14ac:dyDescent="0.25">
      <c r="A157" s="484" t="s">
        <v>1676</v>
      </c>
      <c r="B157" s="73"/>
      <c r="C157" s="234">
        <f t="shared" ref="C157:M157" si="37">SUM(C158:C158)</f>
        <v>0</v>
      </c>
      <c r="D157" s="235">
        <f t="shared" si="37"/>
        <v>0</v>
      </c>
      <c r="E157" s="235">
        <f t="shared" si="37"/>
        <v>0</v>
      </c>
      <c r="F157" s="235">
        <f t="shared" si="37"/>
        <v>0</v>
      </c>
      <c r="G157" s="235">
        <f t="shared" si="37"/>
        <v>0</v>
      </c>
      <c r="H157" s="235">
        <f t="shared" si="37"/>
        <v>0</v>
      </c>
      <c r="I157" s="235">
        <f t="shared" si="37"/>
        <v>0</v>
      </c>
      <c r="J157" s="235">
        <f>SUM(E157:I157)</f>
        <v>0</v>
      </c>
      <c r="K157" s="235">
        <f t="shared" si="31"/>
        <v>0</v>
      </c>
      <c r="L157" s="235">
        <f t="shared" si="37"/>
        <v>0</v>
      </c>
      <c r="M157" s="236">
        <f t="shared" si="37"/>
        <v>0</v>
      </c>
      <c r="N157" s="126"/>
      <c r="AD157" s="1336" t="s">
        <v>1846</v>
      </c>
    </row>
    <row r="158" spans="1:30" ht="12.75" customHeight="1" x14ac:dyDescent="0.25">
      <c r="A158" s="584" t="s">
        <v>1676</v>
      </c>
      <c r="B158" s="73"/>
      <c r="C158" s="1356">
        <f>SUMIFS(Sheet1!S71_OriginalBudget,Sheet1!S71_SA34aCode,$AC:$AC,Sheet1!S71_A5CapexCode,$AD:$AD)</f>
        <v>0</v>
      </c>
      <c r="D158" s="1356">
        <f>SUMIFS(Sheet1!S71_SpecialAdjustedBudget,Sheet1!S71_SA34aCode,$AC:$AC,Sheet1!S71_A5CapexCode,$AD:$AD)</f>
        <v>0</v>
      </c>
      <c r="E158" s="1356"/>
      <c r="F158" s="1356"/>
      <c r="G158" s="1356"/>
      <c r="H158" s="1356"/>
      <c r="I158" s="1356">
        <f>SUMIFS(Sheet1!S71_AdjustmentAmount,Sheet1!S71_SA34aCode,$AC:$AC,Sheet1!S71_A5CapexCode,$AD:$AD)</f>
        <v>0</v>
      </c>
      <c r="J158" s="75">
        <f>SUM(E158:I158)</f>
        <v>0</v>
      </c>
      <c r="K158" s="75">
        <f t="shared" si="31"/>
        <v>0</v>
      </c>
      <c r="L158" s="1356">
        <f>SUMIFS(Sheet1!S71_OY1AdjustedBudget,Sheet1!S71_SA34aCode,$AC:$AC,Sheet1!S71_A5CapexCode,$AD:$AD)</f>
        <v>0</v>
      </c>
      <c r="M158" s="1357">
        <f>SUMIFS(Sheet1!S71_OY2AdjustedBudget,Sheet1!S71_SA34aCode,$AC:$AC,Sheet1!S71_A5CapexCode,$AD:$AD)</f>
        <v>0</v>
      </c>
      <c r="N158" s="126"/>
      <c r="AC158" s="1336" t="s">
        <v>1995</v>
      </c>
      <c r="AD158" s="1336" t="s">
        <v>1846</v>
      </c>
    </row>
    <row r="159" spans="1:30" ht="5.0999999999999996" customHeight="1" x14ac:dyDescent="0.25">
      <c r="A159" s="1217"/>
      <c r="B159" s="73"/>
      <c r="C159" s="74"/>
      <c r="D159" s="75"/>
      <c r="E159" s="75"/>
      <c r="F159" s="75"/>
      <c r="G159" s="75"/>
      <c r="H159" s="75"/>
      <c r="I159" s="75"/>
      <c r="J159" s="75"/>
      <c r="K159" s="75"/>
      <c r="L159" s="75"/>
      <c r="M159" s="76"/>
      <c r="N159" s="126"/>
      <c r="AD159" s="1336" t="s">
        <v>1846</v>
      </c>
    </row>
    <row r="160" spans="1:30" ht="12.75" customHeight="1" x14ac:dyDescent="0.25">
      <c r="A160" s="484" t="s">
        <v>1677</v>
      </c>
      <c r="B160" s="73"/>
      <c r="C160" s="234">
        <f t="shared" ref="C160:M160" si="38">SUM(C161:C161)</f>
        <v>0</v>
      </c>
      <c r="D160" s="235">
        <f t="shared" si="38"/>
        <v>0</v>
      </c>
      <c r="E160" s="235">
        <f t="shared" si="38"/>
        <v>0</v>
      </c>
      <c r="F160" s="235">
        <f t="shared" si="38"/>
        <v>0</v>
      </c>
      <c r="G160" s="235">
        <f t="shared" si="38"/>
        <v>0</v>
      </c>
      <c r="H160" s="235">
        <f t="shared" si="38"/>
        <v>0</v>
      </c>
      <c r="I160" s="235">
        <f t="shared" si="38"/>
        <v>0</v>
      </c>
      <c r="J160" s="235">
        <f>SUM(E160:I160)</f>
        <v>0</v>
      </c>
      <c r="K160" s="235">
        <f t="shared" si="31"/>
        <v>0</v>
      </c>
      <c r="L160" s="235">
        <f t="shared" si="38"/>
        <v>0</v>
      </c>
      <c r="M160" s="236">
        <f t="shared" si="38"/>
        <v>0</v>
      </c>
      <c r="N160" s="126"/>
      <c r="AD160" s="1336" t="s">
        <v>1846</v>
      </c>
    </row>
    <row r="161" spans="1:30" ht="12.75" customHeight="1" x14ac:dyDescent="0.25">
      <c r="A161" s="584" t="s">
        <v>1677</v>
      </c>
      <c r="B161" s="73"/>
      <c r="C161" s="1356">
        <f>SUMIFS(Sheet1!S71_OriginalBudget,Sheet1!S71_SA34aCode,$AC:$AC,Sheet1!S71_A5CapexCode,$AD:$AD)</f>
        <v>0</v>
      </c>
      <c r="D161" s="1356">
        <f>SUMIFS(Sheet1!S71_SpecialAdjustedBudget,Sheet1!S71_SA34aCode,$AC:$AC,Sheet1!S71_A5CapexCode,$AD:$AD)</f>
        <v>0</v>
      </c>
      <c r="E161" s="1356"/>
      <c r="F161" s="1356"/>
      <c r="G161" s="1356"/>
      <c r="H161" s="1356"/>
      <c r="I161" s="1356">
        <f>SUMIFS(Sheet1!S71_AdjustmentAmount,Sheet1!S71_SA34aCode,$AC:$AC,Sheet1!S71_A5CapexCode,$AD:$AD)</f>
        <v>0</v>
      </c>
      <c r="J161" s="75">
        <f>SUM(E161:I161)</f>
        <v>0</v>
      </c>
      <c r="K161" s="75">
        <f t="shared" si="31"/>
        <v>0</v>
      </c>
      <c r="L161" s="1356">
        <f>SUMIFS(Sheet1!S71_OY1AdjustedBudget,Sheet1!S71_SA34aCode,$AC:$AC,Sheet1!S71_A5CapexCode,$AD:$AD)</f>
        <v>0</v>
      </c>
      <c r="M161" s="1357">
        <f>SUMIFS(Sheet1!S71_OY2AdjustedBudget,Sheet1!S71_SA34aCode,$AC:$AC,Sheet1!S71_A5CapexCode,$AD:$AD)</f>
        <v>0</v>
      </c>
      <c r="N161" s="126"/>
      <c r="AC161" s="1336" t="s">
        <v>1996</v>
      </c>
      <c r="AD161" s="1336" t="s">
        <v>1846</v>
      </c>
    </row>
    <row r="162" spans="1:30" ht="5.0999999999999996" customHeight="1" x14ac:dyDescent="0.25">
      <c r="A162" s="1217"/>
      <c r="B162" s="73"/>
      <c r="C162" s="74"/>
      <c r="D162" s="75"/>
      <c r="E162" s="75"/>
      <c r="F162" s="75"/>
      <c r="G162" s="75"/>
      <c r="H162" s="75"/>
      <c r="I162" s="75"/>
      <c r="J162" s="75"/>
      <c r="K162" s="75"/>
      <c r="L162" s="75"/>
      <c r="M162" s="76"/>
      <c r="N162" s="126"/>
      <c r="AD162" s="1336" t="s">
        <v>1846</v>
      </c>
    </row>
    <row r="163" spans="1:30" ht="12.75" customHeight="1" x14ac:dyDescent="0.25">
      <c r="A163" s="484" t="s">
        <v>1734</v>
      </c>
      <c r="B163" s="73"/>
      <c r="C163" s="234">
        <f t="shared" ref="C163:M163" si="39">SUM(C164:C164)</f>
        <v>0</v>
      </c>
      <c r="D163" s="235">
        <f t="shared" si="39"/>
        <v>0</v>
      </c>
      <c r="E163" s="235">
        <f t="shared" si="39"/>
        <v>0</v>
      </c>
      <c r="F163" s="235">
        <f t="shared" si="39"/>
        <v>0</v>
      </c>
      <c r="G163" s="235">
        <f t="shared" si="39"/>
        <v>0</v>
      </c>
      <c r="H163" s="235">
        <f t="shared" si="39"/>
        <v>0</v>
      </c>
      <c r="I163" s="235">
        <f t="shared" si="39"/>
        <v>0</v>
      </c>
      <c r="J163" s="235">
        <f>SUM(E163:I163)</f>
        <v>0</v>
      </c>
      <c r="K163" s="235">
        <f t="shared" si="31"/>
        <v>0</v>
      </c>
      <c r="L163" s="235">
        <f t="shared" si="39"/>
        <v>0</v>
      </c>
      <c r="M163" s="236">
        <f t="shared" si="39"/>
        <v>0</v>
      </c>
      <c r="N163" s="126"/>
      <c r="AD163" s="1336" t="s">
        <v>1846</v>
      </c>
    </row>
    <row r="164" spans="1:30" ht="12.75" customHeight="1" x14ac:dyDescent="0.25">
      <c r="A164" s="584" t="s">
        <v>1734</v>
      </c>
      <c r="B164" s="73"/>
      <c r="C164" s="1356">
        <f>SUMIFS(Sheet1!S71_OriginalBudget,Sheet1!S71_SA34aCode,$AC:$AC,Sheet1!S71_A5CapexCode,$AD:$AD)</f>
        <v>0</v>
      </c>
      <c r="D164" s="1356">
        <f>SUMIFS(Sheet1!S71_SpecialAdjustedBudget,Sheet1!S71_SA34aCode,$AC:$AC,Sheet1!S71_A5CapexCode,$AD:$AD)</f>
        <v>0</v>
      </c>
      <c r="E164" s="1356"/>
      <c r="F164" s="1356"/>
      <c r="G164" s="1356"/>
      <c r="H164" s="1356"/>
      <c r="I164" s="1356">
        <f>SUMIFS(Sheet1!S71_AdjustmentAmount,Sheet1!S71_SA34aCode,$AC:$AC,Sheet1!S71_A5CapexCode,$AD:$AD)</f>
        <v>0</v>
      </c>
      <c r="J164" s="75">
        <f>SUM(E164:I164)</f>
        <v>0</v>
      </c>
      <c r="K164" s="75">
        <f t="shared" si="31"/>
        <v>0</v>
      </c>
      <c r="L164" s="1356">
        <f>SUMIFS(Sheet1!S71_OY1AdjustedBudget,Sheet1!S71_SA34aCode,$AC:$AC,Sheet1!S71_A5CapexCode,$AD:$AD)</f>
        <v>0</v>
      </c>
      <c r="M164" s="1357">
        <f>SUMIFS(Sheet1!S71_OY2AdjustedBudget,Sheet1!S71_SA34aCode,$AC:$AC,Sheet1!S71_A5CapexCode,$AD:$AD)</f>
        <v>0</v>
      </c>
      <c r="N164" s="126"/>
      <c r="AC164" s="1336" t="s">
        <v>1997</v>
      </c>
      <c r="AD164" s="1336" t="s">
        <v>1846</v>
      </c>
    </row>
    <row r="165" spans="1:30" ht="5.0999999999999996" customHeight="1" x14ac:dyDescent="0.25">
      <c r="A165" s="1217"/>
      <c r="B165" s="73"/>
      <c r="C165" s="74"/>
      <c r="D165" s="75"/>
      <c r="E165" s="75"/>
      <c r="F165" s="75"/>
      <c r="G165" s="75"/>
      <c r="H165" s="75"/>
      <c r="I165" s="75"/>
      <c r="J165" s="75"/>
      <c r="K165" s="75"/>
      <c r="L165" s="75"/>
      <c r="M165" s="76"/>
      <c r="N165" s="126"/>
      <c r="AD165" s="1336" t="s">
        <v>1846</v>
      </c>
    </row>
    <row r="166" spans="1:30" ht="12.75" customHeight="1" x14ac:dyDescent="0.25">
      <c r="A166" s="484" t="s">
        <v>1678</v>
      </c>
      <c r="B166" s="73"/>
      <c r="C166" s="234">
        <f t="shared" ref="C166:M166" si="40">SUM(C167:C167)</f>
        <v>0</v>
      </c>
      <c r="D166" s="235">
        <f t="shared" si="40"/>
        <v>0</v>
      </c>
      <c r="E166" s="235">
        <f t="shared" si="40"/>
        <v>0</v>
      </c>
      <c r="F166" s="235">
        <f t="shared" si="40"/>
        <v>0</v>
      </c>
      <c r="G166" s="235">
        <f t="shared" si="40"/>
        <v>0</v>
      </c>
      <c r="H166" s="235">
        <f t="shared" si="40"/>
        <v>0</v>
      </c>
      <c r="I166" s="235">
        <f t="shared" si="40"/>
        <v>0</v>
      </c>
      <c r="J166" s="235">
        <f>SUM(E166:I166)</f>
        <v>0</v>
      </c>
      <c r="K166" s="235">
        <f t="shared" si="31"/>
        <v>0</v>
      </c>
      <c r="L166" s="235">
        <f t="shared" si="40"/>
        <v>0</v>
      </c>
      <c r="M166" s="236">
        <f t="shared" si="40"/>
        <v>0</v>
      </c>
      <c r="N166" s="126"/>
      <c r="AD166" s="1336" t="s">
        <v>1846</v>
      </c>
    </row>
    <row r="167" spans="1:30" ht="12.75" customHeight="1" x14ac:dyDescent="0.25">
      <c r="A167" s="584" t="s">
        <v>1678</v>
      </c>
      <c r="B167" s="73"/>
      <c r="C167" s="1356">
        <f>SUMIFS(Sheet1!S71_OriginalBudget,Sheet1!S71_SA34aCode,$AC:$AC,Sheet1!S71_A5CapexCode,$AD:$AD)</f>
        <v>0</v>
      </c>
      <c r="D167" s="1356">
        <f>SUMIFS(Sheet1!S71_SpecialAdjustedBudget,Sheet1!S71_SA34aCode,$AC:$AC,Sheet1!S71_A5CapexCode,$AD:$AD)</f>
        <v>0</v>
      </c>
      <c r="E167" s="1356"/>
      <c r="F167" s="1356"/>
      <c r="G167" s="1356"/>
      <c r="H167" s="1356"/>
      <c r="I167" s="1356">
        <f>SUMIFS(Sheet1!S71_AdjustmentAmount,Sheet1!S71_SA34aCode,$AC:$AC,Sheet1!S71_A5CapexCode,$AD:$AD)</f>
        <v>0</v>
      </c>
      <c r="J167" s="75">
        <f>SUM(E167:I167)</f>
        <v>0</v>
      </c>
      <c r="K167" s="75">
        <f t="shared" si="31"/>
        <v>0</v>
      </c>
      <c r="L167" s="1356">
        <f>SUMIFS(Sheet1!S71_OY1AdjustedBudget,Sheet1!S71_SA34aCode,$AC:$AC,Sheet1!S71_A5CapexCode,$AD:$AD)</f>
        <v>0</v>
      </c>
      <c r="M167" s="1357">
        <f>SUMIFS(Sheet1!S71_OY2AdjustedBudget,Sheet1!S71_SA34aCode,$AC:$AC,Sheet1!S71_A5CapexCode,$AD:$AD)</f>
        <v>0</v>
      </c>
      <c r="N167" s="126"/>
      <c r="AC167" s="1336" t="s">
        <v>1998</v>
      </c>
      <c r="AD167" s="1336" t="s">
        <v>1846</v>
      </c>
    </row>
    <row r="168" spans="1:30" ht="5.0999999999999996" customHeight="1" x14ac:dyDescent="0.25">
      <c r="A168" s="134"/>
      <c r="B168" s="73"/>
      <c r="C168" s="74"/>
      <c r="D168" s="75"/>
      <c r="E168" s="75"/>
      <c r="F168" s="75"/>
      <c r="G168" s="75"/>
      <c r="H168" s="75"/>
      <c r="I168" s="75"/>
      <c r="J168" s="75"/>
      <c r="K168" s="75"/>
      <c r="L168" s="75"/>
      <c r="M168" s="76"/>
      <c r="N168" s="126"/>
      <c r="AD168" s="1336" t="s">
        <v>1846</v>
      </c>
    </row>
    <row r="169" spans="1:30" ht="12.75" customHeight="1" x14ac:dyDescent="0.25">
      <c r="A169" s="844" t="s">
        <v>1187</v>
      </c>
      <c r="B169" s="154">
        <v>1</v>
      </c>
      <c r="C169" s="155">
        <f>C8+C76+C105+C112+C120+C151+C138+C141+C154+C157+C160+C163+C166</f>
        <v>24696767</v>
      </c>
      <c r="D169" s="115">
        <f t="shared" ref="D169:I169" si="41">D8+D76+D105+D112+D120+D151+D138+D141+D154+D157+D160+D163+D166</f>
        <v>32420752</v>
      </c>
      <c r="E169" s="115">
        <f t="shared" si="41"/>
        <v>0</v>
      </c>
      <c r="F169" s="115">
        <f t="shared" si="41"/>
        <v>0</v>
      </c>
      <c r="G169" s="115">
        <f t="shared" si="41"/>
        <v>0</v>
      </c>
      <c r="H169" s="115">
        <f t="shared" si="41"/>
        <v>0</v>
      </c>
      <c r="I169" s="115">
        <f t="shared" si="41"/>
        <v>-208264</v>
      </c>
      <c r="J169" s="115">
        <f>SUM(E169:I169)</f>
        <v>-208264</v>
      </c>
      <c r="K169" s="115">
        <f t="shared" si="31"/>
        <v>32212488</v>
      </c>
      <c r="L169" s="155">
        <f>L8+L76+L105+L112+L120+L151+L138+L141+L154+L157+L160+L163+L166</f>
        <v>31027000</v>
      </c>
      <c r="M169" s="155">
        <f>M8+M76+M105+M112+M120+M151+M138+M141+M154+M157+M160+M163+M166</f>
        <v>24381000</v>
      </c>
      <c r="N169" s="126"/>
      <c r="AD169" s="1336" t="s">
        <v>1846</v>
      </c>
    </row>
    <row r="170" spans="1:30" ht="12.75" customHeight="1" x14ac:dyDescent="0.25">
      <c r="A170" s="498"/>
      <c r="B170" s="119"/>
      <c r="C170" s="499"/>
      <c r="D170" s="499"/>
      <c r="E170" s="499"/>
      <c r="F170" s="499"/>
      <c r="G170" s="499"/>
      <c r="H170" s="499"/>
      <c r="I170" s="499"/>
      <c r="J170" s="499"/>
      <c r="K170" s="499"/>
      <c r="L170" s="499"/>
      <c r="M170" s="499"/>
      <c r="N170" s="126"/>
    </row>
    <row r="171" spans="1:30" ht="12.75" customHeight="1" x14ac:dyDescent="0.25">
      <c r="A171" s="587" t="str">
        <f>head27a</f>
        <v>References</v>
      </c>
      <c r="B171" s="119"/>
      <c r="C171" s="53"/>
      <c r="D171" s="53"/>
      <c r="E171" s="53"/>
      <c r="F171" s="53"/>
      <c r="G171" s="53"/>
      <c r="H171" s="53"/>
      <c r="I171" s="53"/>
      <c r="J171" s="53"/>
      <c r="K171" s="53"/>
      <c r="L171" s="53"/>
      <c r="M171" s="53"/>
      <c r="N171" s="126"/>
    </row>
    <row r="172" spans="1:30" ht="12.75" customHeight="1" x14ac:dyDescent="0.25">
      <c r="A172" s="845" t="s">
        <v>1683</v>
      </c>
      <c r="B172" s="119"/>
      <c r="C172" s="53"/>
      <c r="D172" s="53"/>
      <c r="E172" s="53"/>
      <c r="F172" s="53"/>
      <c r="G172" s="53"/>
      <c r="H172" s="53"/>
      <c r="I172" s="53"/>
      <c r="J172" s="53"/>
      <c r="K172" s="53"/>
      <c r="L172" s="53"/>
      <c r="M172" s="53"/>
      <c r="N172" s="126"/>
    </row>
    <row r="173" spans="1:30" ht="12.75" customHeight="1" x14ac:dyDescent="0.25">
      <c r="A173" s="1416" t="s">
        <v>986</v>
      </c>
      <c r="B173" s="1416"/>
      <c r="C173" s="1416"/>
      <c r="D173" s="1416"/>
      <c r="E173" s="1416"/>
      <c r="F173" s="1416"/>
      <c r="G173" s="1416"/>
      <c r="H173" s="1416"/>
      <c r="I173" s="1416"/>
      <c r="J173" s="1416"/>
      <c r="K173" s="1416"/>
      <c r="L173" s="1416"/>
      <c r="M173" s="1416"/>
      <c r="N173" s="126"/>
    </row>
    <row r="174" spans="1:30" ht="12.75" customHeight="1" x14ac:dyDescent="0.25">
      <c r="A174" s="1416" t="s">
        <v>992</v>
      </c>
      <c r="B174" s="1416"/>
      <c r="C174" s="1416"/>
      <c r="D174" s="1416"/>
      <c r="E174" s="1416"/>
      <c r="F174" s="1416"/>
      <c r="G174" s="1416"/>
      <c r="H174" s="1416"/>
      <c r="I174" s="1416"/>
      <c r="J174" s="1416"/>
      <c r="K174" s="98"/>
      <c r="L174" s="98"/>
      <c r="M174" s="98"/>
      <c r="N174" s="126"/>
    </row>
    <row r="175" spans="1:30" ht="12.75" customHeight="1" x14ac:dyDescent="0.25">
      <c r="A175" s="1416" t="s">
        <v>993</v>
      </c>
      <c r="B175" s="1416"/>
      <c r="C175" s="1416"/>
      <c r="D175" s="1416"/>
      <c r="E175" s="1416"/>
      <c r="F175" s="1416"/>
      <c r="G175" s="1416"/>
      <c r="H175" s="1416"/>
      <c r="I175" s="1416"/>
      <c r="J175" s="1416"/>
      <c r="K175" s="98"/>
      <c r="L175" s="98"/>
      <c r="M175" s="98"/>
      <c r="N175" s="126"/>
    </row>
    <row r="176" spans="1:30" ht="12.75" customHeight="1" x14ac:dyDescent="0.25">
      <c r="A176" s="1416" t="s">
        <v>1016</v>
      </c>
      <c r="B176" s="1416"/>
      <c r="C176" s="1416"/>
      <c r="D176" s="1416"/>
      <c r="E176" s="1416"/>
      <c r="F176" s="1416"/>
      <c r="G176" s="1416"/>
      <c r="H176" s="1416"/>
      <c r="I176" s="1416"/>
      <c r="J176" s="1416"/>
      <c r="K176" s="1416"/>
      <c r="L176" s="1416"/>
      <c r="M176" s="1416"/>
      <c r="N176" s="126"/>
    </row>
    <row r="177" spans="1:14" ht="12.75" customHeight="1" x14ac:dyDescent="0.25">
      <c r="A177" s="99" t="s">
        <v>1017</v>
      </c>
      <c r="B177" s="93"/>
      <c r="C177" s="96"/>
      <c r="D177" s="96"/>
      <c r="E177" s="96"/>
      <c r="F177" s="96"/>
      <c r="G177" s="96"/>
      <c r="H177" s="96"/>
      <c r="I177" s="96"/>
      <c r="J177" s="96"/>
      <c r="K177" s="96"/>
      <c r="L177" s="96"/>
      <c r="M177" s="96"/>
      <c r="N177" s="126"/>
    </row>
    <row r="178" spans="1:14" ht="12.75" customHeight="1" x14ac:dyDescent="0.25">
      <c r="A178" s="1416" t="s">
        <v>1018</v>
      </c>
      <c r="B178" s="1416"/>
      <c r="C178" s="1416"/>
      <c r="D178" s="1416"/>
      <c r="E178" s="1416"/>
      <c r="F178" s="1416"/>
      <c r="G178" s="1416"/>
      <c r="H178" s="1416"/>
      <c r="I178" s="1416"/>
      <c r="J178" s="1416"/>
      <c r="K178" s="1416"/>
      <c r="L178" s="1416"/>
      <c r="M178" s="1416"/>
      <c r="N178" s="126"/>
    </row>
    <row r="179" spans="1:14" ht="12.75" customHeight="1" x14ac:dyDescent="0.25">
      <c r="A179" s="99" t="s">
        <v>1019</v>
      </c>
      <c r="B179" s="93"/>
      <c r="C179" s="96"/>
      <c r="D179" s="96"/>
      <c r="E179" s="96"/>
      <c r="F179" s="96"/>
      <c r="G179" s="96"/>
      <c r="H179" s="96"/>
      <c r="I179" s="96"/>
      <c r="J179" s="96"/>
      <c r="K179" s="96"/>
      <c r="L179" s="96"/>
      <c r="M179" s="96"/>
      <c r="N179" s="126"/>
    </row>
    <row r="180" spans="1:14" ht="12.75" customHeight="1" x14ac:dyDescent="0.25">
      <c r="A180" s="1416" t="s">
        <v>1020</v>
      </c>
      <c r="B180" s="1416"/>
      <c r="C180" s="1416"/>
      <c r="D180" s="1416"/>
      <c r="E180" s="1416"/>
      <c r="F180" s="1416"/>
      <c r="G180" s="1416"/>
      <c r="H180" s="1416"/>
      <c r="I180" s="1416"/>
      <c r="J180" s="1416"/>
      <c r="K180" s="1416"/>
      <c r="L180" s="1416"/>
      <c r="M180" s="1416"/>
      <c r="N180" s="126"/>
    </row>
    <row r="181" spans="1:14" ht="11.25" customHeight="1" x14ac:dyDescent="0.25">
      <c r="A181" s="896"/>
      <c r="B181" s="119"/>
      <c r="C181" s="53"/>
      <c r="D181" s="53"/>
      <c r="E181" s="53"/>
      <c r="F181" s="53"/>
      <c r="G181" s="53"/>
      <c r="H181" s="53"/>
      <c r="I181" s="53"/>
      <c r="J181" s="53"/>
      <c r="K181" s="53"/>
      <c r="L181" s="53"/>
      <c r="M181" s="53"/>
      <c r="N181" s="126"/>
    </row>
    <row r="182" spans="1:14" ht="11.25" customHeight="1" x14ac:dyDescent="0.25">
      <c r="A182" s="48"/>
      <c r="B182" s="119"/>
      <c r="C182" s="53"/>
      <c r="D182" s="53"/>
      <c r="E182" s="53"/>
      <c r="F182" s="53"/>
      <c r="G182" s="53"/>
      <c r="H182" s="53"/>
      <c r="I182" s="53"/>
      <c r="J182" s="53"/>
      <c r="K182" s="53"/>
      <c r="L182" s="53"/>
      <c r="M182" s="53"/>
      <c r="N182" s="126"/>
    </row>
    <row r="183" spans="1:14" ht="11.25" customHeight="1" x14ac:dyDescent="0.25">
      <c r="A183" s="120" t="s">
        <v>673</v>
      </c>
      <c r="B183" s="158"/>
      <c r="C183" s="783">
        <f>(C169+SB18b!C169+SB18e!C169)-'B5-Capex'!C65</f>
        <v>0</v>
      </c>
      <c r="D183" s="783"/>
      <c r="E183" s="783"/>
      <c r="F183" s="783"/>
      <c r="G183" s="783"/>
      <c r="H183" s="783"/>
      <c r="I183" s="783"/>
      <c r="J183" s="783"/>
      <c r="K183" s="783"/>
      <c r="L183" s="783">
        <f>(L169+SB18b!L169+SB18e!L169)-'B5-Capex'!L65</f>
        <v>0</v>
      </c>
      <c r="M183" s="783">
        <f>(M169+SB18b!M169+SB18e!M169)-'B5-Capex'!M65</f>
        <v>0</v>
      </c>
      <c r="N183" s="126"/>
    </row>
    <row r="184" spans="1:14" ht="11.25" customHeight="1" x14ac:dyDescent="0.25">
      <c r="N184" s="126"/>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4" type="noConversion"/>
  <printOptions horizontalCentered="1"/>
  <pageMargins left="0.35433070866141736" right="0.15748031496062992" top="0.78740157480314965" bottom="0.59055118110236227" header="0.51181102362204722" footer="0.39370078740157483"/>
  <pageSetup paperSize="9" scale="33" orientation="portrait" r:id="rId1"/>
  <headerFooter alignWithMargins="0"/>
  <ignoredErrors>
    <ignoredError sqref="D113 D116" 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tabColor indexed="42"/>
  </sheetPr>
  <dimension ref="A1:AD218"/>
  <sheetViews>
    <sheetView showGridLines="0" topLeftCell="A141" zoomScaleNormal="100" workbookViewId="0">
      <selection activeCell="C158" sqref="C158"/>
    </sheetView>
  </sheetViews>
  <sheetFormatPr defaultColWidth="9.140625" defaultRowHeight="12.75" x14ac:dyDescent="0.25"/>
  <cols>
    <col min="1" max="1" width="42.85546875" style="5" customWidth="1"/>
    <col min="2" max="2" width="3.140625" style="58" customWidth="1"/>
    <col min="3" max="13" width="9.140625" style="5"/>
    <col min="14" max="14" width="13.42578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28" width="9.140625" style="5" customWidth="1"/>
    <col min="29" max="30" width="9.140625" style="1336"/>
    <col min="31" max="16384" width="9.140625" style="5"/>
  </cols>
  <sheetData>
    <row r="1" spans="1:30" ht="13.5" x14ac:dyDescent="0.25">
      <c r="A1" s="57" t="str">
        <f>muni&amp;" - "&amp;ADJB18b&amp;" - "&amp;Date</f>
        <v xml:space="preserve">KZN226 Mkhambathini - Supporting Table SB18b Adjustments Budget - capital expenditure on renewal of existing assets by asset class - </v>
      </c>
      <c r="B1" s="5"/>
      <c r="C1" s="58"/>
    </row>
    <row r="2" spans="1:30" ht="25.5" x14ac:dyDescent="0.25">
      <c r="A2" s="1420" t="str">
        <f>desc</f>
        <v>Description</v>
      </c>
      <c r="B2" s="1420" t="str">
        <f>head27</f>
        <v>Ref</v>
      </c>
      <c r="C2" s="1417" t="str">
        <f>Head2</f>
        <v>Budget Year 2020/21</v>
      </c>
      <c r="D2" s="1418"/>
      <c r="E2" s="1418"/>
      <c r="F2" s="1418"/>
      <c r="G2" s="1418"/>
      <c r="H2" s="1418"/>
      <c r="I2" s="1418"/>
      <c r="J2" s="1418"/>
      <c r="K2" s="1419"/>
      <c r="L2" s="167" t="str">
        <f>Head10</f>
        <v>Budget Year +1 2021/22</v>
      </c>
      <c r="M2" s="168" t="str">
        <f>Head11</f>
        <v>Budget Year +2 2022/23</v>
      </c>
    </row>
    <row r="3" spans="1:30" ht="25.5" x14ac:dyDescent="0.25">
      <c r="A3" s="1421"/>
      <c r="B3" s="14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30" x14ac:dyDescent="0.25">
      <c r="A4" s="1421"/>
      <c r="B4" s="1421"/>
      <c r="C4" s="65"/>
      <c r="D4" s="15">
        <v>7</v>
      </c>
      <c r="E4" s="15">
        <v>8</v>
      </c>
      <c r="F4" s="15">
        <v>9</v>
      </c>
      <c r="G4" s="15">
        <v>10</v>
      </c>
      <c r="H4" s="15">
        <v>11</v>
      </c>
      <c r="I4" s="15">
        <v>12</v>
      </c>
      <c r="J4" s="15">
        <v>13</v>
      </c>
      <c r="K4" s="15">
        <v>14</v>
      </c>
      <c r="L4" s="15"/>
      <c r="M4" s="17"/>
    </row>
    <row r="5" spans="1:30" x14ac:dyDescent="0.25">
      <c r="A5" s="66" t="s">
        <v>605</v>
      </c>
      <c r="B5" s="104"/>
      <c r="C5" s="67" t="s">
        <v>549</v>
      </c>
      <c r="D5" s="68" t="s">
        <v>550</v>
      </c>
      <c r="E5" s="68" t="s">
        <v>551</v>
      </c>
      <c r="F5" s="69" t="s">
        <v>552</v>
      </c>
      <c r="G5" s="69" t="s">
        <v>553</v>
      </c>
      <c r="H5" s="69" t="s">
        <v>554</v>
      </c>
      <c r="I5" s="70" t="s">
        <v>555</v>
      </c>
      <c r="J5" s="70" t="s">
        <v>556</v>
      </c>
      <c r="K5" s="70" t="s">
        <v>557</v>
      </c>
      <c r="L5" s="70"/>
      <c r="M5" s="71"/>
    </row>
    <row r="6" spans="1:30" ht="12.75" customHeight="1" x14ac:dyDescent="0.25">
      <c r="A6" s="843" t="s">
        <v>1188</v>
      </c>
      <c r="B6" s="73"/>
      <c r="C6" s="74"/>
      <c r="D6" s="75"/>
      <c r="E6" s="75"/>
      <c r="F6" s="75"/>
      <c r="G6" s="75"/>
      <c r="H6" s="75"/>
      <c r="I6" s="75"/>
      <c r="J6" s="75"/>
      <c r="K6" s="75"/>
      <c r="L6" s="75"/>
      <c r="M6" s="76"/>
      <c r="N6" s="126"/>
    </row>
    <row r="7" spans="1:30" ht="5.0999999999999996" customHeight="1" x14ac:dyDescent="0.25">
      <c r="A7" s="124"/>
      <c r="B7" s="73"/>
      <c r="C7" s="74"/>
      <c r="D7" s="75"/>
      <c r="E7" s="75"/>
      <c r="F7" s="75"/>
      <c r="G7" s="75"/>
      <c r="H7" s="75"/>
      <c r="I7" s="75"/>
      <c r="J7" s="75"/>
      <c r="K7" s="75"/>
      <c r="L7" s="75"/>
      <c r="M7" s="76"/>
      <c r="N7" s="126"/>
    </row>
    <row r="8" spans="1:30" ht="12.75" customHeight="1" x14ac:dyDescent="0.25">
      <c r="A8" s="124" t="s">
        <v>766</v>
      </c>
      <c r="B8" s="73"/>
      <c r="C8" s="693">
        <f>C9+C14+C18+C28+C70+C39+C46+C54+C64</f>
        <v>0</v>
      </c>
      <c r="D8" s="693">
        <f t="shared" ref="D8:I8" si="0">D9+D14+D18+D28+D70+D39+D46+D54+D64</f>
        <v>0</v>
      </c>
      <c r="E8" s="693">
        <f t="shared" si="0"/>
        <v>0</v>
      </c>
      <c r="F8" s="693">
        <f t="shared" si="0"/>
        <v>0</v>
      </c>
      <c r="G8" s="693">
        <f t="shared" si="0"/>
        <v>0</v>
      </c>
      <c r="H8" s="693">
        <f t="shared" si="0"/>
        <v>0</v>
      </c>
      <c r="I8" s="693">
        <f t="shared" si="0"/>
        <v>0</v>
      </c>
      <c r="J8" s="694">
        <f t="shared" ref="J8" si="1">SUM(D8:I8)</f>
        <v>0</v>
      </c>
      <c r="K8" s="694">
        <f>IF(D8=0,C8+J8,D8+J8)</f>
        <v>0</v>
      </c>
      <c r="L8" s="693">
        <f>L9+L14+L18+L28+L70+L39+L46+L54+L64</f>
        <v>0</v>
      </c>
      <c r="M8" s="695">
        <f>M9+M14+M18+M28+M70+M39+M46+M54+M64</f>
        <v>0</v>
      </c>
      <c r="N8" s="837"/>
    </row>
    <row r="9" spans="1:30" ht="12.75" customHeight="1" x14ac:dyDescent="0.25">
      <c r="A9" s="584" t="s">
        <v>1568</v>
      </c>
      <c r="B9" s="73"/>
      <c r="C9" s="263">
        <f>SUM(C10:C13)</f>
        <v>0</v>
      </c>
      <c r="D9" s="263">
        <f t="shared" ref="D9:M9" si="2">SUM(D10:D13)</f>
        <v>0</v>
      </c>
      <c r="E9" s="263">
        <f t="shared" si="2"/>
        <v>0</v>
      </c>
      <c r="F9" s="263">
        <f t="shared" si="2"/>
        <v>0</v>
      </c>
      <c r="G9" s="263">
        <f t="shared" si="2"/>
        <v>0</v>
      </c>
      <c r="H9" s="263">
        <f t="shared" si="2"/>
        <v>0</v>
      </c>
      <c r="I9" s="263">
        <f t="shared" si="2"/>
        <v>0</v>
      </c>
      <c r="J9" s="75">
        <f t="shared" ref="J9:J40" si="3">SUM(E9:I9)</f>
        <v>0</v>
      </c>
      <c r="K9" s="75">
        <f t="shared" ref="K9:K72" si="4">IF(D9=0,C9+J9,D9+J9)</f>
        <v>0</v>
      </c>
      <c r="L9" s="263">
        <f t="shared" si="2"/>
        <v>0</v>
      </c>
      <c r="M9" s="264">
        <f t="shared" si="2"/>
        <v>0</v>
      </c>
      <c r="N9" s="126"/>
    </row>
    <row r="10" spans="1:30" ht="12.75" customHeight="1" x14ac:dyDescent="0.25">
      <c r="A10" s="585" t="s">
        <v>1002</v>
      </c>
      <c r="B10" s="73"/>
      <c r="C10" s="1356">
        <f>SUMIFS(Sheet1!S71_OriginalBudget,Sheet1!S71_SA34Code,$AC:$AC,Sheet1!S71_A5CapexCode,$AD:$AD)</f>
        <v>0</v>
      </c>
      <c r="D10" s="1356">
        <f>SUMIFS(Sheet1!S71_SpecialAdjustedBudget,Sheet1!S71_SA34Code,$AC:$AC,Sheet1!S71_A5CapexCode,$AD:$AD)</f>
        <v>0</v>
      </c>
      <c r="E10" s="1356"/>
      <c r="F10" s="1356"/>
      <c r="G10" s="1356"/>
      <c r="H10" s="1356"/>
      <c r="I10" s="1356">
        <f>SUMIFS(Sheet1!S71_AdjustmentAmount,Sheet1!S71_SA34Code,$AC:$AC,Sheet1!S71_A5CapexCode,$AD:$AD)</f>
        <v>0</v>
      </c>
      <c r="J10" s="75">
        <f t="shared" si="3"/>
        <v>0</v>
      </c>
      <c r="K10" s="75">
        <f t="shared" si="4"/>
        <v>0</v>
      </c>
      <c r="L10" s="1356">
        <f>SUMIFS(Sheet1!S71_OY1AdjustedBudget,Sheet1!S71_SA34Code,$AC:$AC,Sheet1!S71_A5CapexCode,$AD:$AD)</f>
        <v>0</v>
      </c>
      <c r="M10" s="1357">
        <f>SUMIFS(Sheet1!S71_OY2AdjustedBudget,Sheet1!S71_SA34Code,$AC:$AC,Sheet1!S71_A5CapexCode,$AD:$AD)</f>
        <v>0</v>
      </c>
      <c r="N10" s="837"/>
      <c r="AC10" s="1336" t="s">
        <v>1859</v>
      </c>
      <c r="AD10" s="1336" t="s">
        <v>1846</v>
      </c>
    </row>
    <row r="11" spans="1:30" ht="12.75" customHeight="1" x14ac:dyDescent="0.25">
      <c r="A11" s="585" t="s">
        <v>1569</v>
      </c>
      <c r="B11" s="73"/>
      <c r="C11" s="1356">
        <f>SUMIFS(Sheet1!S71_OriginalBudget,Sheet1!S71_SA34Code,$AC:$AC,Sheet1!S71_A5CapexCode,$AD:$AD)</f>
        <v>0</v>
      </c>
      <c r="D11" s="1356">
        <f>SUMIFS(Sheet1!S71_SpecialAdjustedBudget,Sheet1!S71_SA34Code,$AC:$AC,Sheet1!S71_A5CapexCode,$AD:$AD)</f>
        <v>0</v>
      </c>
      <c r="E11" s="1356"/>
      <c r="F11" s="1356"/>
      <c r="G11" s="1356"/>
      <c r="H11" s="1356"/>
      <c r="I11" s="1356">
        <f>SUMIFS(Sheet1!S71_AdjustmentAmount,Sheet1!S71_SA34Code,$AC:$AC,Sheet1!S71_A5CapexCode,$AD:$AD)</f>
        <v>0</v>
      </c>
      <c r="J11" s="75">
        <f t="shared" si="3"/>
        <v>0</v>
      </c>
      <c r="K11" s="75">
        <f t="shared" si="4"/>
        <v>0</v>
      </c>
      <c r="L11" s="1356">
        <f>SUMIFS(Sheet1!S71_OY1AdjustedBudget,Sheet1!S71_SA34Code,$AC:$AC,Sheet1!S71_A5CapexCode,$AD:$AD)</f>
        <v>0</v>
      </c>
      <c r="M11" s="1357">
        <f>SUMIFS(Sheet1!S71_OY2AdjustedBudget,Sheet1!S71_SA34Code,$AC:$AC,Sheet1!S71_A5CapexCode,$AD:$AD)</f>
        <v>0</v>
      </c>
      <c r="N11" s="842"/>
      <c r="AC11" s="1336" t="s">
        <v>1860</v>
      </c>
      <c r="AD11" s="1336" t="s">
        <v>1846</v>
      </c>
    </row>
    <row r="12" spans="1:30" ht="12.75" customHeight="1" x14ac:dyDescent="0.25">
      <c r="A12" s="585" t="s">
        <v>1570</v>
      </c>
      <c r="B12" s="73"/>
      <c r="C12" s="1356">
        <f>SUMIFS(Sheet1!S71_OriginalBudget,Sheet1!S71_SA34Code,$AC:$AC,Sheet1!S71_A5CapexCode,$AD:$AD)</f>
        <v>0</v>
      </c>
      <c r="D12" s="1356">
        <f>SUMIFS(Sheet1!S71_SpecialAdjustedBudget,Sheet1!S71_SA34Code,$AC:$AC,Sheet1!S71_A5CapexCode,$AD:$AD)</f>
        <v>0</v>
      </c>
      <c r="E12" s="1356"/>
      <c r="F12" s="1356"/>
      <c r="G12" s="1356"/>
      <c r="H12" s="1356"/>
      <c r="I12" s="1356">
        <f>SUMIFS(Sheet1!S71_AdjustmentAmount,Sheet1!S71_SA34Code,$AC:$AC,Sheet1!S71_A5CapexCode,$AD:$AD)</f>
        <v>0</v>
      </c>
      <c r="J12" s="75">
        <f t="shared" si="3"/>
        <v>0</v>
      </c>
      <c r="K12" s="75">
        <f t="shared" si="4"/>
        <v>0</v>
      </c>
      <c r="L12" s="1356">
        <f>SUMIFS(Sheet1!S71_OY1AdjustedBudget,Sheet1!S71_SA34Code,$AC:$AC,Sheet1!S71_A5CapexCode,$AD:$AD)</f>
        <v>0</v>
      </c>
      <c r="M12" s="1357">
        <f>SUMIFS(Sheet1!S71_OY2AdjustedBudget,Sheet1!S71_SA34Code,$AC:$AC,Sheet1!S71_A5CapexCode,$AD:$AD)</f>
        <v>0</v>
      </c>
      <c r="N12" s="837"/>
      <c r="AC12" s="1336" t="s">
        <v>1861</v>
      </c>
      <c r="AD12" s="1336" t="s">
        <v>1846</v>
      </c>
    </row>
    <row r="13" spans="1:30" ht="12.75" customHeight="1" x14ac:dyDescent="0.25">
      <c r="A13" s="585" t="s">
        <v>1571</v>
      </c>
      <c r="B13" s="73"/>
      <c r="C13" s="1356">
        <f>SUMIFS(Sheet1!S71_OriginalBudget,Sheet1!S71_SA34Code,$AC:$AC,Sheet1!S71_A5CapexCode,$AD:$AD)</f>
        <v>0</v>
      </c>
      <c r="D13" s="1356">
        <f>SUMIFS(Sheet1!S71_SpecialAdjustedBudget,Sheet1!S71_SA34Code,$AC:$AC,Sheet1!S71_A5CapexCode,$AD:$AD)</f>
        <v>0</v>
      </c>
      <c r="E13" s="1356"/>
      <c r="F13" s="1356"/>
      <c r="G13" s="1356"/>
      <c r="H13" s="1356"/>
      <c r="I13" s="1356">
        <f>SUMIFS(Sheet1!S71_AdjustmentAmount,Sheet1!S71_SA34Code,$AC:$AC,Sheet1!S71_A5CapexCode,$AD:$AD)</f>
        <v>0</v>
      </c>
      <c r="J13" s="75">
        <f t="shared" si="3"/>
        <v>0</v>
      </c>
      <c r="K13" s="75">
        <f t="shared" si="4"/>
        <v>0</v>
      </c>
      <c r="L13" s="1356">
        <f>SUMIFS(Sheet1!S71_OY1AdjustedBudget,Sheet1!S71_SA34Code,$AC:$AC,Sheet1!S71_A5CapexCode,$AD:$AD)</f>
        <v>0</v>
      </c>
      <c r="M13" s="1357">
        <f>SUMIFS(Sheet1!S71_OY2AdjustedBudget,Sheet1!S71_SA34Code,$AC:$AC,Sheet1!S71_A5CapexCode,$AD:$AD)</f>
        <v>0</v>
      </c>
      <c r="N13" s="842"/>
      <c r="AC13" s="1336" t="s">
        <v>1862</v>
      </c>
      <c r="AD13" s="1336" t="s">
        <v>1846</v>
      </c>
    </row>
    <row r="14" spans="1:30" ht="12.75" customHeight="1" x14ac:dyDescent="0.25">
      <c r="A14" s="584" t="s">
        <v>1572</v>
      </c>
      <c r="B14" s="73"/>
      <c r="C14" s="130">
        <f t="shared" ref="C14:I14" si="5">SUM(C15:C17)</f>
        <v>0</v>
      </c>
      <c r="D14" s="130">
        <f t="shared" si="5"/>
        <v>0</v>
      </c>
      <c r="E14" s="130">
        <f t="shared" si="5"/>
        <v>0</v>
      </c>
      <c r="F14" s="130">
        <f t="shared" si="5"/>
        <v>0</v>
      </c>
      <c r="G14" s="130">
        <f t="shared" si="5"/>
        <v>0</v>
      </c>
      <c r="H14" s="130">
        <f t="shared" si="5"/>
        <v>0</v>
      </c>
      <c r="I14" s="130">
        <f t="shared" si="5"/>
        <v>0</v>
      </c>
      <c r="J14" s="75">
        <f t="shared" si="3"/>
        <v>0</v>
      </c>
      <c r="K14" s="75">
        <f t="shared" si="4"/>
        <v>0</v>
      </c>
      <c r="L14" s="130">
        <f>SUM(L15:L17)</f>
        <v>0</v>
      </c>
      <c r="M14" s="131">
        <f>SUM(M15:M17)</f>
        <v>0</v>
      </c>
      <c r="N14" s="842"/>
      <c r="AD14" s="1336" t="s">
        <v>1846</v>
      </c>
    </row>
    <row r="15" spans="1:30" ht="12.75" customHeight="1" x14ac:dyDescent="0.25">
      <c r="A15" s="585" t="s">
        <v>1573</v>
      </c>
      <c r="B15" s="73"/>
      <c r="C15" s="1356">
        <f>SUMIFS(Sheet1!S71_OriginalBudget,Sheet1!S71_SA34Code,$AC:$AC,Sheet1!S71_A5CapexCode,$AD:$AD)</f>
        <v>0</v>
      </c>
      <c r="D15" s="1356">
        <f>SUMIFS(Sheet1!S71_SpecialAdjustedBudget,Sheet1!S71_SA34Code,$AC:$AC,Sheet1!S71_A5CapexCode,$AD:$AD)</f>
        <v>0</v>
      </c>
      <c r="E15" s="1356"/>
      <c r="F15" s="1356"/>
      <c r="G15" s="1356"/>
      <c r="H15" s="1356"/>
      <c r="I15" s="1356">
        <f>SUMIFS(Sheet1!S71_AdjustmentAmount,Sheet1!S71_SA34Code,$AC:$AC,Sheet1!S71_A5CapexCode,$AD:$AD)</f>
        <v>0</v>
      </c>
      <c r="J15" s="75">
        <f t="shared" si="3"/>
        <v>0</v>
      </c>
      <c r="K15" s="75">
        <f t="shared" si="4"/>
        <v>0</v>
      </c>
      <c r="L15" s="1356">
        <f>SUMIFS(Sheet1!S71_OY1AdjustedBudget,Sheet1!S71_SA34Code,$AC:$AC,Sheet1!S71_A5CapexCode,$AD:$AD)</f>
        <v>0</v>
      </c>
      <c r="M15" s="1357">
        <f>SUMIFS(Sheet1!S71_OY2AdjustedBudget,Sheet1!S71_SA34Code,$AC:$AC,Sheet1!S71_A5CapexCode,$AD:$AD)</f>
        <v>0</v>
      </c>
      <c r="N15" s="842"/>
      <c r="AC15" s="1336" t="s">
        <v>1864</v>
      </c>
      <c r="AD15" s="1336" t="s">
        <v>1846</v>
      </c>
    </row>
    <row r="16" spans="1:30" ht="12.75" customHeight="1" x14ac:dyDescent="0.25">
      <c r="A16" s="585" t="s">
        <v>1574</v>
      </c>
      <c r="B16" s="73"/>
      <c r="C16" s="1356">
        <f>SUMIFS(Sheet1!S71_OriginalBudget,Sheet1!S71_SA34Code,$AC:$AC,Sheet1!S71_A5CapexCode,$AD:$AD)</f>
        <v>0</v>
      </c>
      <c r="D16" s="1356">
        <f>SUMIFS(Sheet1!S71_SpecialAdjustedBudget,Sheet1!S71_SA34Code,$AC:$AC,Sheet1!S71_A5CapexCode,$AD:$AD)</f>
        <v>0</v>
      </c>
      <c r="E16" s="1356"/>
      <c r="F16" s="1356"/>
      <c r="G16" s="1356"/>
      <c r="H16" s="1356"/>
      <c r="I16" s="1356">
        <f>SUMIFS(Sheet1!S71_AdjustmentAmount,Sheet1!S71_SA34Code,$AC:$AC,Sheet1!S71_A5CapexCode,$AD:$AD)</f>
        <v>0</v>
      </c>
      <c r="J16" s="75">
        <f t="shared" si="3"/>
        <v>0</v>
      </c>
      <c r="K16" s="75">
        <f t="shared" si="4"/>
        <v>0</v>
      </c>
      <c r="L16" s="1356">
        <f>SUMIFS(Sheet1!S71_OY1AdjustedBudget,Sheet1!S71_SA34Code,$AC:$AC,Sheet1!S71_A5CapexCode,$AD:$AD)</f>
        <v>0</v>
      </c>
      <c r="M16" s="1357">
        <f>SUMIFS(Sheet1!S71_OY2AdjustedBudget,Sheet1!S71_SA34Code,$AC:$AC,Sheet1!S71_A5CapexCode,$AD:$AD)</f>
        <v>0</v>
      </c>
      <c r="N16" s="842"/>
      <c r="AC16" s="1336" t="s">
        <v>1908</v>
      </c>
      <c r="AD16" s="1336" t="s">
        <v>1846</v>
      </c>
    </row>
    <row r="17" spans="1:30" ht="12.75" customHeight="1" x14ac:dyDescent="0.25">
      <c r="A17" s="585" t="s">
        <v>1575</v>
      </c>
      <c r="B17" s="73"/>
      <c r="C17" s="1356">
        <f>SUMIFS(Sheet1!S71_OriginalBudget,Sheet1!S71_SA34Code,$AC:$AC,Sheet1!S71_A5CapexCode,$AD:$AD)</f>
        <v>0</v>
      </c>
      <c r="D17" s="1356">
        <f>SUMIFS(Sheet1!S71_SpecialAdjustedBudget,Sheet1!S71_SA34Code,$AC:$AC,Sheet1!S71_A5CapexCode,$AD:$AD)</f>
        <v>0</v>
      </c>
      <c r="E17" s="1356"/>
      <c r="F17" s="1356"/>
      <c r="G17" s="1356"/>
      <c r="H17" s="1356"/>
      <c r="I17" s="1356">
        <f>SUMIFS(Sheet1!S71_AdjustmentAmount,Sheet1!S71_SA34Code,$AC:$AC,Sheet1!S71_A5CapexCode,$AD:$AD)</f>
        <v>0</v>
      </c>
      <c r="J17" s="75">
        <f t="shared" si="3"/>
        <v>0</v>
      </c>
      <c r="K17" s="75">
        <f t="shared" si="4"/>
        <v>0</v>
      </c>
      <c r="L17" s="1356">
        <f>SUMIFS(Sheet1!S71_OY1AdjustedBudget,Sheet1!S71_SA34Code,$AC:$AC,Sheet1!S71_A5CapexCode,$AD:$AD)</f>
        <v>0</v>
      </c>
      <c r="M17" s="1357">
        <f>SUMIFS(Sheet1!S71_OY2AdjustedBudget,Sheet1!S71_SA34Code,$AC:$AC,Sheet1!S71_A5CapexCode,$AD:$AD)</f>
        <v>0</v>
      </c>
      <c r="N17" s="842"/>
      <c r="AC17" s="1336" t="s">
        <v>1909</v>
      </c>
      <c r="AD17" s="1336" t="s">
        <v>1846</v>
      </c>
    </row>
    <row r="18" spans="1:30" ht="12.75" customHeight="1" x14ac:dyDescent="0.25">
      <c r="A18" s="584" t="s">
        <v>1576</v>
      </c>
      <c r="B18" s="73"/>
      <c r="C18" s="130">
        <f t="shared" ref="C18:M18" si="6">SUM(C19:C27)</f>
        <v>0</v>
      </c>
      <c r="D18" s="130">
        <f t="shared" si="6"/>
        <v>0</v>
      </c>
      <c r="E18" s="130">
        <f t="shared" si="6"/>
        <v>0</v>
      </c>
      <c r="F18" s="130">
        <f t="shared" si="6"/>
        <v>0</v>
      </c>
      <c r="G18" s="130">
        <f t="shared" si="6"/>
        <v>0</v>
      </c>
      <c r="H18" s="130">
        <f t="shared" si="6"/>
        <v>0</v>
      </c>
      <c r="I18" s="130">
        <f t="shared" si="6"/>
        <v>0</v>
      </c>
      <c r="J18" s="75">
        <f t="shared" si="3"/>
        <v>0</v>
      </c>
      <c r="K18" s="75">
        <f t="shared" si="4"/>
        <v>0</v>
      </c>
      <c r="L18" s="130">
        <f t="shared" si="6"/>
        <v>0</v>
      </c>
      <c r="M18" s="131">
        <f t="shared" si="6"/>
        <v>0</v>
      </c>
      <c r="N18" s="842"/>
      <c r="AD18" s="1336" t="s">
        <v>1846</v>
      </c>
    </row>
    <row r="19" spans="1:30" ht="12.75" customHeight="1" x14ac:dyDescent="0.25">
      <c r="A19" s="585" t="s">
        <v>1577</v>
      </c>
      <c r="B19" s="73"/>
      <c r="C19" s="1356">
        <f>SUMIFS(Sheet1!S71_OriginalBudget,Sheet1!S71_SA34Code,$AC:$AC,Sheet1!S71_A5CapexCode,$AD:$AD)</f>
        <v>0</v>
      </c>
      <c r="D19" s="1356">
        <f>SUMIFS(Sheet1!S71_SpecialAdjustedBudget,Sheet1!S71_SA34Code,$AC:$AC,Sheet1!S71_A5CapexCode,$AD:$AD)</f>
        <v>0</v>
      </c>
      <c r="E19" s="1356"/>
      <c r="F19" s="1356"/>
      <c r="G19" s="1356"/>
      <c r="H19" s="1356"/>
      <c r="I19" s="1356">
        <f>SUMIFS(Sheet1!S71_AdjustmentAmount,Sheet1!S71_SA34Code,$AC:$AC,Sheet1!S71_A5CapexCode,$AD:$AD)</f>
        <v>0</v>
      </c>
      <c r="J19" s="75">
        <f t="shared" si="3"/>
        <v>0</v>
      </c>
      <c r="K19" s="75">
        <f t="shared" si="4"/>
        <v>0</v>
      </c>
      <c r="L19" s="1356">
        <f>SUMIFS(Sheet1!S71_OY1AdjustedBudget,Sheet1!S71_SA34Code,$AC:$AC,Sheet1!S71_A5CapexCode,$AD:$AD)</f>
        <v>0</v>
      </c>
      <c r="M19" s="1357">
        <f>SUMIFS(Sheet1!S71_OY2AdjustedBudget,Sheet1!S71_SA34Code,$AC:$AC,Sheet1!S71_A5CapexCode,$AD:$AD)</f>
        <v>0</v>
      </c>
      <c r="N19" s="842"/>
      <c r="AC19" s="1336" t="s">
        <v>1865</v>
      </c>
      <c r="AD19" s="1336" t="s">
        <v>1846</v>
      </c>
    </row>
    <row r="20" spans="1:30" ht="12.6" customHeight="1" x14ac:dyDescent="0.25">
      <c r="A20" s="585" t="s">
        <v>1578</v>
      </c>
      <c r="B20" s="73"/>
      <c r="C20" s="1356">
        <f>SUMIFS(Sheet1!S71_OriginalBudget,Sheet1!S71_SA34Code,$AC:$AC,Sheet1!S71_A5CapexCode,$AD:$AD)</f>
        <v>0</v>
      </c>
      <c r="D20" s="1356">
        <f>SUMIFS(Sheet1!S71_SpecialAdjustedBudget,Sheet1!S71_SA34Code,$AC:$AC,Sheet1!S71_A5CapexCode,$AD:$AD)</f>
        <v>0</v>
      </c>
      <c r="E20" s="1356"/>
      <c r="F20" s="1356"/>
      <c r="G20" s="1356"/>
      <c r="H20" s="1356"/>
      <c r="I20" s="1356">
        <f>SUMIFS(Sheet1!S71_AdjustmentAmount,Sheet1!S71_SA34Code,$AC:$AC,Sheet1!S71_A5CapexCode,$AD:$AD)</f>
        <v>0</v>
      </c>
      <c r="J20" s="75">
        <f t="shared" si="3"/>
        <v>0</v>
      </c>
      <c r="K20" s="75">
        <f t="shared" si="4"/>
        <v>0</v>
      </c>
      <c r="L20" s="1356">
        <f>SUMIFS(Sheet1!S71_OY1AdjustedBudget,Sheet1!S71_SA34Code,$AC:$AC,Sheet1!S71_A5CapexCode,$AD:$AD)</f>
        <v>0</v>
      </c>
      <c r="M20" s="1357">
        <f>SUMIFS(Sheet1!S71_OY2AdjustedBudget,Sheet1!S71_SA34Code,$AC:$AC,Sheet1!S71_A5CapexCode,$AD:$AD)</f>
        <v>0</v>
      </c>
      <c r="N20" s="842"/>
      <c r="AC20" s="1336" t="s">
        <v>1866</v>
      </c>
      <c r="AD20" s="1336" t="s">
        <v>1846</v>
      </c>
    </row>
    <row r="21" spans="1:30" ht="12.75" customHeight="1" x14ac:dyDescent="0.25">
      <c r="A21" s="585" t="s">
        <v>1579</v>
      </c>
      <c r="B21" s="73"/>
      <c r="C21" s="1356">
        <f>SUMIFS(Sheet1!S71_OriginalBudget,Sheet1!S71_SA34Code,$AC:$AC,Sheet1!S71_A5CapexCode,$AD:$AD)</f>
        <v>0</v>
      </c>
      <c r="D21" s="1356">
        <f>SUMIFS(Sheet1!S71_SpecialAdjustedBudget,Sheet1!S71_SA34Code,$AC:$AC,Sheet1!S71_A5CapexCode,$AD:$AD)</f>
        <v>0</v>
      </c>
      <c r="E21" s="1356"/>
      <c r="F21" s="1356"/>
      <c r="G21" s="1356"/>
      <c r="H21" s="1356"/>
      <c r="I21" s="1356">
        <f>SUMIFS(Sheet1!S71_AdjustmentAmount,Sheet1!S71_SA34Code,$AC:$AC,Sheet1!S71_A5CapexCode,$AD:$AD)</f>
        <v>0</v>
      </c>
      <c r="J21" s="75">
        <f t="shared" si="3"/>
        <v>0</v>
      </c>
      <c r="K21" s="75">
        <f t="shared" si="4"/>
        <v>0</v>
      </c>
      <c r="L21" s="1356">
        <f>SUMIFS(Sheet1!S71_OY1AdjustedBudget,Sheet1!S71_SA34Code,$AC:$AC,Sheet1!S71_A5CapexCode,$AD:$AD)</f>
        <v>0</v>
      </c>
      <c r="M21" s="1357">
        <f>SUMIFS(Sheet1!S71_OY2AdjustedBudget,Sheet1!S71_SA34Code,$AC:$AC,Sheet1!S71_A5CapexCode,$AD:$AD)</f>
        <v>0</v>
      </c>
      <c r="N21" s="842"/>
      <c r="AC21" s="1336" t="s">
        <v>1867</v>
      </c>
      <c r="AD21" s="1336" t="s">
        <v>1846</v>
      </c>
    </row>
    <row r="22" spans="1:30" ht="12.75" customHeight="1" x14ac:dyDescent="0.25">
      <c r="A22" s="585" t="s">
        <v>1580</v>
      </c>
      <c r="B22" s="73"/>
      <c r="C22" s="1356">
        <f>SUMIFS(Sheet1!S71_OriginalBudget,Sheet1!S71_SA34Code,$AC:$AC,Sheet1!S71_A5CapexCode,$AD:$AD)</f>
        <v>0</v>
      </c>
      <c r="D22" s="1356">
        <f>SUMIFS(Sheet1!S71_SpecialAdjustedBudget,Sheet1!S71_SA34Code,$AC:$AC,Sheet1!S71_A5CapexCode,$AD:$AD)</f>
        <v>0</v>
      </c>
      <c r="E22" s="1356"/>
      <c r="F22" s="1356"/>
      <c r="G22" s="1356"/>
      <c r="H22" s="1356"/>
      <c r="I22" s="1356">
        <f>SUMIFS(Sheet1!S71_AdjustmentAmount,Sheet1!S71_SA34Code,$AC:$AC,Sheet1!S71_A5CapexCode,$AD:$AD)</f>
        <v>0</v>
      </c>
      <c r="J22" s="75">
        <f t="shared" si="3"/>
        <v>0</v>
      </c>
      <c r="K22" s="75">
        <f t="shared" si="4"/>
        <v>0</v>
      </c>
      <c r="L22" s="1356">
        <f>SUMIFS(Sheet1!S71_OY1AdjustedBudget,Sheet1!S71_SA34Code,$AC:$AC,Sheet1!S71_A5CapexCode,$AD:$AD)</f>
        <v>0</v>
      </c>
      <c r="M22" s="1357">
        <f>SUMIFS(Sheet1!S71_OY2AdjustedBudget,Sheet1!S71_SA34Code,$AC:$AC,Sheet1!S71_A5CapexCode,$AD:$AD)</f>
        <v>0</v>
      </c>
      <c r="N22" s="837"/>
      <c r="AC22" s="1336" t="s">
        <v>1868</v>
      </c>
      <c r="AD22" s="1336" t="s">
        <v>1846</v>
      </c>
    </row>
    <row r="23" spans="1:30" ht="12.75" customHeight="1" x14ac:dyDescent="0.25">
      <c r="A23" s="585" t="s">
        <v>1581</v>
      </c>
      <c r="B23" s="73"/>
      <c r="C23" s="1356">
        <f>SUMIFS(Sheet1!S71_OriginalBudget,Sheet1!S71_SA34Code,$AC:$AC,Sheet1!S71_A5CapexCode,$AD:$AD)</f>
        <v>0</v>
      </c>
      <c r="D23" s="1356">
        <f>SUMIFS(Sheet1!S71_SpecialAdjustedBudget,Sheet1!S71_SA34Code,$AC:$AC,Sheet1!S71_A5CapexCode,$AD:$AD)</f>
        <v>0</v>
      </c>
      <c r="E23" s="1356"/>
      <c r="F23" s="1356"/>
      <c r="G23" s="1356"/>
      <c r="H23" s="1356"/>
      <c r="I23" s="1356">
        <f>SUMIFS(Sheet1!S71_AdjustmentAmount,Sheet1!S71_SA34Code,$AC:$AC,Sheet1!S71_A5CapexCode,$AD:$AD)</f>
        <v>0</v>
      </c>
      <c r="J23" s="75">
        <f t="shared" si="3"/>
        <v>0</v>
      </c>
      <c r="K23" s="75">
        <f t="shared" si="4"/>
        <v>0</v>
      </c>
      <c r="L23" s="1356">
        <f>SUMIFS(Sheet1!S71_OY1AdjustedBudget,Sheet1!S71_SA34Code,$AC:$AC,Sheet1!S71_A5CapexCode,$AD:$AD)</f>
        <v>0</v>
      </c>
      <c r="M23" s="1357">
        <f>SUMIFS(Sheet1!S71_OY2AdjustedBudget,Sheet1!S71_SA34Code,$AC:$AC,Sheet1!S71_A5CapexCode,$AD:$AD)</f>
        <v>0</v>
      </c>
      <c r="N23" s="842"/>
      <c r="AC23" s="1336" t="s">
        <v>1910</v>
      </c>
      <c r="AD23" s="1336" t="s">
        <v>1846</v>
      </c>
    </row>
    <row r="24" spans="1:30" ht="12.75" customHeight="1" x14ac:dyDescent="0.25">
      <c r="A24" s="585" t="s">
        <v>1582</v>
      </c>
      <c r="B24" s="73"/>
      <c r="C24" s="1356">
        <f>SUMIFS(Sheet1!S71_OriginalBudget,Sheet1!S71_SA34Code,$AC:$AC,Sheet1!S71_A5CapexCode,$AD:$AD)</f>
        <v>0</v>
      </c>
      <c r="D24" s="1356">
        <f>SUMIFS(Sheet1!S71_SpecialAdjustedBudget,Sheet1!S71_SA34Code,$AC:$AC,Sheet1!S71_A5CapexCode,$AD:$AD)</f>
        <v>0</v>
      </c>
      <c r="E24" s="1356"/>
      <c r="F24" s="1356"/>
      <c r="G24" s="1356"/>
      <c r="H24" s="1356"/>
      <c r="I24" s="1356">
        <f>SUMIFS(Sheet1!S71_AdjustmentAmount,Sheet1!S71_SA34Code,$AC:$AC,Sheet1!S71_A5CapexCode,$AD:$AD)</f>
        <v>0</v>
      </c>
      <c r="J24" s="75">
        <f t="shared" si="3"/>
        <v>0</v>
      </c>
      <c r="K24" s="75">
        <f t="shared" si="4"/>
        <v>0</v>
      </c>
      <c r="L24" s="1356">
        <f>SUMIFS(Sheet1!S71_OY1AdjustedBudget,Sheet1!S71_SA34Code,$AC:$AC,Sheet1!S71_A5CapexCode,$AD:$AD)</f>
        <v>0</v>
      </c>
      <c r="M24" s="1357">
        <f>SUMIFS(Sheet1!S71_OY2AdjustedBudget,Sheet1!S71_SA34Code,$AC:$AC,Sheet1!S71_A5CapexCode,$AD:$AD)</f>
        <v>0</v>
      </c>
      <c r="N24" s="837"/>
      <c r="AC24" s="1336" t="s">
        <v>1869</v>
      </c>
      <c r="AD24" s="1336" t="s">
        <v>1846</v>
      </c>
    </row>
    <row r="25" spans="1:30" ht="12.75" customHeight="1" x14ac:dyDescent="0.25">
      <c r="A25" s="585" t="s">
        <v>1583</v>
      </c>
      <c r="B25" s="73"/>
      <c r="C25" s="1356">
        <f>SUMIFS(Sheet1!S71_OriginalBudget,Sheet1!S71_SA34Code,$AC:$AC,Sheet1!S71_A5CapexCode,$AD:$AD)</f>
        <v>0</v>
      </c>
      <c r="D25" s="1356">
        <f>SUMIFS(Sheet1!S71_SpecialAdjustedBudget,Sheet1!S71_SA34Code,$AC:$AC,Sheet1!S71_A5CapexCode,$AD:$AD)</f>
        <v>0</v>
      </c>
      <c r="E25" s="1356"/>
      <c r="F25" s="1356"/>
      <c r="G25" s="1356"/>
      <c r="H25" s="1356"/>
      <c r="I25" s="1356">
        <f>SUMIFS(Sheet1!S71_AdjustmentAmount,Sheet1!S71_SA34Code,$AC:$AC,Sheet1!S71_A5CapexCode,$AD:$AD)</f>
        <v>0</v>
      </c>
      <c r="J25" s="75">
        <f t="shared" si="3"/>
        <v>0</v>
      </c>
      <c r="K25" s="75">
        <f t="shared" si="4"/>
        <v>0</v>
      </c>
      <c r="L25" s="1356">
        <f>SUMIFS(Sheet1!S71_OY1AdjustedBudget,Sheet1!S71_SA34Code,$AC:$AC,Sheet1!S71_A5CapexCode,$AD:$AD)</f>
        <v>0</v>
      </c>
      <c r="M25" s="1357">
        <f>SUMIFS(Sheet1!S71_OY2AdjustedBudget,Sheet1!S71_SA34Code,$AC:$AC,Sheet1!S71_A5CapexCode,$AD:$AD)</f>
        <v>0</v>
      </c>
      <c r="N25" s="842"/>
      <c r="AC25" s="1336" t="s">
        <v>1870</v>
      </c>
      <c r="AD25" s="1336" t="s">
        <v>1846</v>
      </c>
    </row>
    <row r="26" spans="1:30" ht="12.75" customHeight="1" x14ac:dyDescent="0.25">
      <c r="A26" s="585" t="s">
        <v>1584</v>
      </c>
      <c r="B26" s="73"/>
      <c r="C26" s="1356">
        <f>SUMIFS(Sheet1!S71_OriginalBudget,Sheet1!S71_SA34Code,$AC:$AC,Sheet1!S71_A5CapexCode,$AD:$AD)</f>
        <v>0</v>
      </c>
      <c r="D26" s="1356">
        <f>SUMIFS(Sheet1!S71_SpecialAdjustedBudget,Sheet1!S71_SA34Code,$AC:$AC,Sheet1!S71_A5CapexCode,$AD:$AD)</f>
        <v>0</v>
      </c>
      <c r="E26" s="1356"/>
      <c r="F26" s="1356"/>
      <c r="G26" s="1356"/>
      <c r="H26" s="1356"/>
      <c r="I26" s="1356">
        <f>SUMIFS(Sheet1!S71_AdjustmentAmount,Sheet1!S71_SA34Code,$AC:$AC,Sheet1!S71_A5CapexCode,$AD:$AD)</f>
        <v>0</v>
      </c>
      <c r="J26" s="75">
        <f t="shared" si="3"/>
        <v>0</v>
      </c>
      <c r="K26" s="75">
        <f t="shared" si="4"/>
        <v>0</v>
      </c>
      <c r="L26" s="1356">
        <f>SUMIFS(Sheet1!S71_OY1AdjustedBudget,Sheet1!S71_SA34Code,$AC:$AC,Sheet1!S71_A5CapexCode,$AD:$AD)</f>
        <v>0</v>
      </c>
      <c r="M26" s="1357">
        <f>SUMIFS(Sheet1!S71_OY2AdjustedBudget,Sheet1!S71_SA34Code,$AC:$AC,Sheet1!S71_A5CapexCode,$AD:$AD)</f>
        <v>0</v>
      </c>
      <c r="N26" s="837"/>
      <c r="AC26" s="1336" t="s">
        <v>1871</v>
      </c>
      <c r="AD26" s="1336" t="s">
        <v>1846</v>
      </c>
    </row>
    <row r="27" spans="1:30" ht="12.75" customHeight="1" x14ac:dyDescent="0.25">
      <c r="A27" s="585" t="s">
        <v>1571</v>
      </c>
      <c r="B27" s="73"/>
      <c r="C27" s="1356">
        <f>SUMIFS(Sheet1!S71_OriginalBudget,Sheet1!S71_SA34Code,$AC:$AC,Sheet1!S71_A5CapexCode,$AD:$AD)</f>
        <v>0</v>
      </c>
      <c r="D27" s="1356">
        <f>SUMIFS(Sheet1!S71_SpecialAdjustedBudget,Sheet1!S71_SA34Code,$AC:$AC,Sheet1!S71_A5CapexCode,$AD:$AD)</f>
        <v>0</v>
      </c>
      <c r="E27" s="1356"/>
      <c r="F27" s="1356"/>
      <c r="G27" s="1356"/>
      <c r="H27" s="1356"/>
      <c r="I27" s="1356">
        <f>SUMIFS(Sheet1!S71_AdjustmentAmount,Sheet1!S71_SA34Code,$AC:$AC,Sheet1!S71_A5CapexCode,$AD:$AD)</f>
        <v>0</v>
      </c>
      <c r="J27" s="75">
        <f t="shared" si="3"/>
        <v>0</v>
      </c>
      <c r="K27" s="75">
        <f t="shared" si="4"/>
        <v>0</v>
      </c>
      <c r="L27" s="1356">
        <f>SUMIFS(Sheet1!S71_OY1AdjustedBudget,Sheet1!S71_SA34Code,$AC:$AC,Sheet1!S71_A5CapexCode,$AD:$AD)</f>
        <v>0</v>
      </c>
      <c r="M27" s="1357">
        <f>SUMIFS(Sheet1!S71_OY2AdjustedBudget,Sheet1!S71_SA34Code,$AC:$AC,Sheet1!S71_A5CapexCode,$AD:$AD)</f>
        <v>0</v>
      </c>
      <c r="N27" s="842"/>
      <c r="AC27" s="1336" t="s">
        <v>1911</v>
      </c>
      <c r="AD27" s="1336" t="s">
        <v>1846</v>
      </c>
    </row>
    <row r="28" spans="1:30" ht="12.75" customHeight="1" x14ac:dyDescent="0.25">
      <c r="A28" s="586" t="s">
        <v>1585</v>
      </c>
      <c r="B28" s="73"/>
      <c r="C28" s="130">
        <f t="shared" ref="C28:M28" si="7">SUM(C29:C38)</f>
        <v>0</v>
      </c>
      <c r="D28" s="130">
        <f t="shared" si="7"/>
        <v>0</v>
      </c>
      <c r="E28" s="130">
        <f t="shared" si="7"/>
        <v>0</v>
      </c>
      <c r="F28" s="130">
        <f t="shared" si="7"/>
        <v>0</v>
      </c>
      <c r="G28" s="130">
        <f t="shared" si="7"/>
        <v>0</v>
      </c>
      <c r="H28" s="130">
        <f t="shared" si="7"/>
        <v>0</v>
      </c>
      <c r="I28" s="130">
        <f t="shared" si="7"/>
        <v>0</v>
      </c>
      <c r="J28" s="75">
        <f t="shared" si="3"/>
        <v>0</v>
      </c>
      <c r="K28" s="75">
        <f t="shared" si="4"/>
        <v>0</v>
      </c>
      <c r="L28" s="130">
        <f t="shared" si="7"/>
        <v>0</v>
      </c>
      <c r="M28" s="131">
        <f t="shared" si="7"/>
        <v>0</v>
      </c>
      <c r="N28" s="842"/>
      <c r="AD28" s="1336" t="s">
        <v>1846</v>
      </c>
    </row>
    <row r="29" spans="1:30" ht="12.75" customHeight="1" x14ac:dyDescent="0.25">
      <c r="A29" s="585" t="s">
        <v>1586</v>
      </c>
      <c r="B29" s="73"/>
      <c r="C29" s="1356">
        <f>SUMIFS(Sheet1!S71_OriginalBudget,Sheet1!S71_SA34Code,$AC:$AC,Sheet1!S71_A5CapexCode,$AD:$AD)</f>
        <v>0</v>
      </c>
      <c r="D29" s="1356">
        <f>SUMIFS(Sheet1!S71_SpecialAdjustedBudget,Sheet1!S71_SA34Code,$AC:$AC,Sheet1!S71_A5CapexCode,$AD:$AD)</f>
        <v>0</v>
      </c>
      <c r="E29" s="1356"/>
      <c r="F29" s="1356"/>
      <c r="G29" s="1356"/>
      <c r="H29" s="1356"/>
      <c r="I29" s="1356">
        <f>SUMIFS(Sheet1!S71_AdjustmentAmount,Sheet1!S71_SA34Code,$AC:$AC,Sheet1!S71_A5CapexCode,$AD:$AD)</f>
        <v>0</v>
      </c>
      <c r="J29" s="75">
        <f t="shared" si="3"/>
        <v>0</v>
      </c>
      <c r="K29" s="75">
        <f t="shared" si="4"/>
        <v>0</v>
      </c>
      <c r="L29" s="1356">
        <f>SUMIFS(Sheet1!S71_OY1AdjustedBudget,Sheet1!S71_SA34Code,$AC:$AC,Sheet1!S71_A5CapexCode,$AD:$AD)</f>
        <v>0</v>
      </c>
      <c r="M29" s="1357">
        <f>SUMIFS(Sheet1!S71_OY2AdjustedBudget,Sheet1!S71_SA34Code,$AC:$AC,Sheet1!S71_A5CapexCode,$AD:$AD)</f>
        <v>0</v>
      </c>
      <c r="N29" s="842"/>
      <c r="AC29" s="1336" t="s">
        <v>1912</v>
      </c>
      <c r="AD29" s="1336" t="s">
        <v>1846</v>
      </c>
    </row>
    <row r="30" spans="1:30" ht="12.6" customHeight="1" x14ac:dyDescent="0.25">
      <c r="A30" s="585" t="s">
        <v>1587</v>
      </c>
      <c r="B30" s="73"/>
      <c r="C30" s="1356">
        <f>SUMIFS(Sheet1!S71_OriginalBudget,Sheet1!S71_SA34Code,$AC:$AC,Sheet1!S71_A5CapexCode,$AD:$AD)</f>
        <v>0</v>
      </c>
      <c r="D30" s="1356">
        <f>SUMIFS(Sheet1!S71_SpecialAdjustedBudget,Sheet1!S71_SA34Code,$AC:$AC,Sheet1!S71_A5CapexCode,$AD:$AD)</f>
        <v>0</v>
      </c>
      <c r="E30" s="1356"/>
      <c r="F30" s="1356"/>
      <c r="G30" s="1356"/>
      <c r="H30" s="1356"/>
      <c r="I30" s="1356">
        <f>SUMIFS(Sheet1!S71_AdjustmentAmount,Sheet1!S71_SA34Code,$AC:$AC,Sheet1!S71_A5CapexCode,$AD:$AD)</f>
        <v>0</v>
      </c>
      <c r="J30" s="75">
        <f t="shared" si="3"/>
        <v>0</v>
      </c>
      <c r="K30" s="75">
        <f t="shared" si="4"/>
        <v>0</v>
      </c>
      <c r="L30" s="1356">
        <f>SUMIFS(Sheet1!S71_OY1AdjustedBudget,Sheet1!S71_SA34Code,$AC:$AC,Sheet1!S71_A5CapexCode,$AD:$AD)</f>
        <v>0</v>
      </c>
      <c r="M30" s="1357">
        <f>SUMIFS(Sheet1!S71_OY2AdjustedBudget,Sheet1!S71_SA34Code,$AC:$AC,Sheet1!S71_A5CapexCode,$AD:$AD)</f>
        <v>0</v>
      </c>
      <c r="N30" s="842"/>
      <c r="AC30" s="1336" t="s">
        <v>1913</v>
      </c>
      <c r="AD30" s="1336" t="s">
        <v>1846</v>
      </c>
    </row>
    <row r="31" spans="1:30" ht="12.75" customHeight="1" x14ac:dyDescent="0.25">
      <c r="A31" s="585" t="s">
        <v>1588</v>
      </c>
      <c r="B31" s="73"/>
      <c r="C31" s="1356">
        <f>SUMIFS(Sheet1!S71_OriginalBudget,Sheet1!S71_SA34Code,$AC:$AC,Sheet1!S71_A5CapexCode,$AD:$AD)</f>
        <v>0</v>
      </c>
      <c r="D31" s="1356">
        <f>SUMIFS(Sheet1!S71_SpecialAdjustedBudget,Sheet1!S71_SA34Code,$AC:$AC,Sheet1!S71_A5CapexCode,$AD:$AD)</f>
        <v>0</v>
      </c>
      <c r="E31" s="1356"/>
      <c r="F31" s="1356"/>
      <c r="G31" s="1356"/>
      <c r="H31" s="1356"/>
      <c r="I31" s="1356">
        <f>SUMIFS(Sheet1!S71_AdjustmentAmount,Sheet1!S71_SA34Code,$AC:$AC,Sheet1!S71_A5CapexCode,$AD:$AD)</f>
        <v>0</v>
      </c>
      <c r="J31" s="75">
        <f t="shared" si="3"/>
        <v>0</v>
      </c>
      <c r="K31" s="75">
        <f t="shared" si="4"/>
        <v>0</v>
      </c>
      <c r="L31" s="1356">
        <f>SUMIFS(Sheet1!S71_OY1AdjustedBudget,Sheet1!S71_SA34Code,$AC:$AC,Sheet1!S71_A5CapexCode,$AD:$AD)</f>
        <v>0</v>
      </c>
      <c r="M31" s="1357">
        <f>SUMIFS(Sheet1!S71_OY2AdjustedBudget,Sheet1!S71_SA34Code,$AC:$AC,Sheet1!S71_A5CapexCode,$AD:$AD)</f>
        <v>0</v>
      </c>
      <c r="N31" s="842"/>
      <c r="AC31" s="1336" t="s">
        <v>1872</v>
      </c>
      <c r="AD31" s="1336" t="s">
        <v>1846</v>
      </c>
    </row>
    <row r="32" spans="1:30" ht="12.75" customHeight="1" x14ac:dyDescent="0.25">
      <c r="A32" s="585" t="s">
        <v>1589</v>
      </c>
      <c r="B32" s="73"/>
      <c r="C32" s="1356">
        <f>SUMIFS(Sheet1!S71_OriginalBudget,Sheet1!S71_SA34Code,$AC:$AC,Sheet1!S71_A5CapexCode,$AD:$AD)</f>
        <v>0</v>
      </c>
      <c r="D32" s="1356">
        <f>SUMIFS(Sheet1!S71_SpecialAdjustedBudget,Sheet1!S71_SA34Code,$AC:$AC,Sheet1!S71_A5CapexCode,$AD:$AD)</f>
        <v>0</v>
      </c>
      <c r="E32" s="1356"/>
      <c r="F32" s="1356"/>
      <c r="G32" s="1356"/>
      <c r="H32" s="1356"/>
      <c r="I32" s="1356">
        <f>SUMIFS(Sheet1!S71_AdjustmentAmount,Sheet1!S71_SA34Code,$AC:$AC,Sheet1!S71_A5CapexCode,$AD:$AD)</f>
        <v>0</v>
      </c>
      <c r="J32" s="75">
        <f t="shared" si="3"/>
        <v>0</v>
      </c>
      <c r="K32" s="75">
        <f t="shared" si="4"/>
        <v>0</v>
      </c>
      <c r="L32" s="1356">
        <f>SUMIFS(Sheet1!S71_OY1AdjustedBudget,Sheet1!S71_SA34Code,$AC:$AC,Sheet1!S71_A5CapexCode,$AD:$AD)</f>
        <v>0</v>
      </c>
      <c r="M32" s="1357">
        <f>SUMIFS(Sheet1!S71_OY2AdjustedBudget,Sheet1!S71_SA34Code,$AC:$AC,Sheet1!S71_A5CapexCode,$AD:$AD)</f>
        <v>0</v>
      </c>
      <c r="N32" s="837"/>
      <c r="AC32" s="1336" t="s">
        <v>1873</v>
      </c>
      <c r="AD32" s="1336" t="s">
        <v>1846</v>
      </c>
    </row>
    <row r="33" spans="1:30" ht="12.75" customHeight="1" x14ac:dyDescent="0.25">
      <c r="A33" s="585" t="s">
        <v>1590</v>
      </c>
      <c r="B33" s="73"/>
      <c r="C33" s="1356">
        <f>SUMIFS(Sheet1!S71_OriginalBudget,Sheet1!S71_SA34Code,$AC:$AC,Sheet1!S71_A5CapexCode,$AD:$AD)</f>
        <v>0</v>
      </c>
      <c r="D33" s="1356">
        <f>SUMIFS(Sheet1!S71_SpecialAdjustedBudget,Sheet1!S71_SA34Code,$AC:$AC,Sheet1!S71_A5CapexCode,$AD:$AD)</f>
        <v>0</v>
      </c>
      <c r="E33" s="1356"/>
      <c r="F33" s="1356"/>
      <c r="G33" s="1356"/>
      <c r="H33" s="1356"/>
      <c r="I33" s="1356">
        <f>SUMIFS(Sheet1!S71_AdjustmentAmount,Sheet1!S71_SA34Code,$AC:$AC,Sheet1!S71_A5CapexCode,$AD:$AD)</f>
        <v>0</v>
      </c>
      <c r="J33" s="75">
        <f t="shared" si="3"/>
        <v>0</v>
      </c>
      <c r="K33" s="75">
        <f t="shared" si="4"/>
        <v>0</v>
      </c>
      <c r="L33" s="1356">
        <f>SUMIFS(Sheet1!S71_OY1AdjustedBudget,Sheet1!S71_SA34Code,$AC:$AC,Sheet1!S71_A5CapexCode,$AD:$AD)</f>
        <v>0</v>
      </c>
      <c r="M33" s="1357">
        <f>SUMIFS(Sheet1!S71_OY2AdjustedBudget,Sheet1!S71_SA34Code,$AC:$AC,Sheet1!S71_A5CapexCode,$AD:$AD)</f>
        <v>0</v>
      </c>
      <c r="N33" s="842"/>
      <c r="AC33" s="1336" t="s">
        <v>1874</v>
      </c>
      <c r="AD33" s="1336" t="s">
        <v>1846</v>
      </c>
    </row>
    <row r="34" spans="1:30" ht="12.75" customHeight="1" x14ac:dyDescent="0.25">
      <c r="A34" s="585" t="s">
        <v>1591</v>
      </c>
      <c r="B34" s="73"/>
      <c r="C34" s="1356">
        <f>SUMIFS(Sheet1!S71_OriginalBudget,Sheet1!S71_SA34Code,$AC:$AC,Sheet1!S71_A5CapexCode,$AD:$AD)</f>
        <v>0</v>
      </c>
      <c r="D34" s="1356">
        <f>SUMIFS(Sheet1!S71_SpecialAdjustedBudget,Sheet1!S71_SA34Code,$AC:$AC,Sheet1!S71_A5CapexCode,$AD:$AD)</f>
        <v>0</v>
      </c>
      <c r="E34" s="1356"/>
      <c r="F34" s="1356"/>
      <c r="G34" s="1356"/>
      <c r="H34" s="1356"/>
      <c r="I34" s="1356">
        <f>SUMIFS(Sheet1!S71_AdjustmentAmount,Sheet1!S71_SA34Code,$AC:$AC,Sheet1!S71_A5CapexCode,$AD:$AD)</f>
        <v>0</v>
      </c>
      <c r="J34" s="75">
        <f t="shared" si="3"/>
        <v>0</v>
      </c>
      <c r="K34" s="75">
        <f t="shared" si="4"/>
        <v>0</v>
      </c>
      <c r="L34" s="1356">
        <f>SUMIFS(Sheet1!S71_OY1AdjustedBudget,Sheet1!S71_SA34Code,$AC:$AC,Sheet1!S71_A5CapexCode,$AD:$AD)</f>
        <v>0</v>
      </c>
      <c r="M34" s="1357">
        <f>SUMIFS(Sheet1!S71_OY2AdjustedBudget,Sheet1!S71_SA34Code,$AC:$AC,Sheet1!S71_A5CapexCode,$AD:$AD)</f>
        <v>0</v>
      </c>
      <c r="N34" s="837"/>
      <c r="AC34" s="1336" t="s">
        <v>1875</v>
      </c>
      <c r="AD34" s="1336" t="s">
        <v>1846</v>
      </c>
    </row>
    <row r="35" spans="1:30" ht="12.75" customHeight="1" x14ac:dyDescent="0.25">
      <c r="A35" s="585" t="s">
        <v>1592</v>
      </c>
      <c r="B35" s="73"/>
      <c r="C35" s="1356">
        <f>SUMIFS(Sheet1!S71_OriginalBudget,Sheet1!S71_SA34Code,$AC:$AC,Sheet1!S71_A5CapexCode,$AD:$AD)</f>
        <v>0</v>
      </c>
      <c r="D35" s="1356">
        <f>SUMIFS(Sheet1!S71_SpecialAdjustedBudget,Sheet1!S71_SA34Code,$AC:$AC,Sheet1!S71_A5CapexCode,$AD:$AD)</f>
        <v>0</v>
      </c>
      <c r="E35" s="1356"/>
      <c r="F35" s="1356"/>
      <c r="G35" s="1356"/>
      <c r="H35" s="1356"/>
      <c r="I35" s="1356">
        <f>SUMIFS(Sheet1!S71_AdjustmentAmount,Sheet1!S71_SA34Code,$AC:$AC,Sheet1!S71_A5CapexCode,$AD:$AD)</f>
        <v>0</v>
      </c>
      <c r="J35" s="75">
        <f t="shared" si="3"/>
        <v>0</v>
      </c>
      <c r="K35" s="75">
        <f t="shared" si="4"/>
        <v>0</v>
      </c>
      <c r="L35" s="1356">
        <f>SUMIFS(Sheet1!S71_OY1AdjustedBudget,Sheet1!S71_SA34Code,$AC:$AC,Sheet1!S71_A5CapexCode,$AD:$AD)</f>
        <v>0</v>
      </c>
      <c r="M35" s="1357">
        <f>SUMIFS(Sheet1!S71_OY2AdjustedBudget,Sheet1!S71_SA34Code,$AC:$AC,Sheet1!S71_A5CapexCode,$AD:$AD)</f>
        <v>0</v>
      </c>
      <c r="N35" s="842"/>
      <c r="AC35" s="1336" t="s">
        <v>1876</v>
      </c>
      <c r="AD35" s="1336" t="s">
        <v>1846</v>
      </c>
    </row>
    <row r="36" spans="1:30" ht="12.75" customHeight="1" x14ac:dyDescent="0.25">
      <c r="A36" s="585" t="s">
        <v>1593</v>
      </c>
      <c r="B36" s="73"/>
      <c r="C36" s="1356">
        <f>SUMIFS(Sheet1!S71_OriginalBudget,Sheet1!S71_SA34Code,$AC:$AC,Sheet1!S71_A5CapexCode,$AD:$AD)</f>
        <v>0</v>
      </c>
      <c r="D36" s="1356">
        <f>SUMIFS(Sheet1!S71_SpecialAdjustedBudget,Sheet1!S71_SA34Code,$AC:$AC,Sheet1!S71_A5CapexCode,$AD:$AD)</f>
        <v>0</v>
      </c>
      <c r="E36" s="1356"/>
      <c r="F36" s="1356"/>
      <c r="G36" s="1356"/>
      <c r="H36" s="1356"/>
      <c r="I36" s="1356">
        <f>SUMIFS(Sheet1!S71_AdjustmentAmount,Sheet1!S71_SA34Code,$AC:$AC,Sheet1!S71_A5CapexCode,$AD:$AD)</f>
        <v>0</v>
      </c>
      <c r="J36" s="75">
        <f t="shared" si="3"/>
        <v>0</v>
      </c>
      <c r="K36" s="75">
        <f t="shared" si="4"/>
        <v>0</v>
      </c>
      <c r="L36" s="1356">
        <f>SUMIFS(Sheet1!S71_OY1AdjustedBudget,Sheet1!S71_SA34Code,$AC:$AC,Sheet1!S71_A5CapexCode,$AD:$AD)</f>
        <v>0</v>
      </c>
      <c r="M36" s="1357">
        <f>SUMIFS(Sheet1!S71_OY2AdjustedBudget,Sheet1!S71_SA34Code,$AC:$AC,Sheet1!S71_A5CapexCode,$AD:$AD)</f>
        <v>0</v>
      </c>
      <c r="N36" s="837"/>
      <c r="AC36" s="1336" t="s">
        <v>1914</v>
      </c>
      <c r="AD36" s="1336" t="s">
        <v>1846</v>
      </c>
    </row>
    <row r="37" spans="1:30" ht="12.75" customHeight="1" x14ac:dyDescent="0.25">
      <c r="A37" s="585" t="s">
        <v>1594</v>
      </c>
      <c r="B37" s="73"/>
      <c r="C37" s="1356">
        <f>SUMIFS(Sheet1!S71_OriginalBudget,Sheet1!S71_SA34Code,$AC:$AC,Sheet1!S71_A5CapexCode,$AD:$AD)</f>
        <v>0</v>
      </c>
      <c r="D37" s="1356">
        <f>SUMIFS(Sheet1!S71_SpecialAdjustedBudget,Sheet1!S71_SA34Code,$AC:$AC,Sheet1!S71_A5CapexCode,$AD:$AD)</f>
        <v>0</v>
      </c>
      <c r="E37" s="1356"/>
      <c r="F37" s="1356"/>
      <c r="G37" s="1356"/>
      <c r="H37" s="1356"/>
      <c r="I37" s="1356">
        <f>SUMIFS(Sheet1!S71_AdjustmentAmount,Sheet1!S71_SA34Code,$AC:$AC,Sheet1!S71_A5CapexCode,$AD:$AD)</f>
        <v>0</v>
      </c>
      <c r="J37" s="75">
        <f t="shared" si="3"/>
        <v>0</v>
      </c>
      <c r="K37" s="75">
        <f t="shared" si="4"/>
        <v>0</v>
      </c>
      <c r="L37" s="1356">
        <f>SUMIFS(Sheet1!S71_OY1AdjustedBudget,Sheet1!S71_SA34Code,$AC:$AC,Sheet1!S71_A5CapexCode,$AD:$AD)</f>
        <v>0</v>
      </c>
      <c r="M37" s="1357">
        <f>SUMIFS(Sheet1!S71_OY2AdjustedBudget,Sheet1!S71_SA34Code,$AC:$AC,Sheet1!S71_A5CapexCode,$AD:$AD)</f>
        <v>0</v>
      </c>
      <c r="N37" s="842"/>
      <c r="AC37" s="1336" t="s">
        <v>1915</v>
      </c>
      <c r="AD37" s="1336" t="s">
        <v>1846</v>
      </c>
    </row>
    <row r="38" spans="1:30" ht="12.75" customHeight="1" x14ac:dyDescent="0.25">
      <c r="A38" s="585" t="s">
        <v>1571</v>
      </c>
      <c r="B38" s="73"/>
      <c r="C38" s="1356">
        <f>SUMIFS(Sheet1!S71_OriginalBudget,Sheet1!S71_SA34Code,$AC:$AC,Sheet1!S71_A5CapexCode,$AD:$AD)</f>
        <v>0</v>
      </c>
      <c r="D38" s="1356">
        <f>SUMIFS(Sheet1!S71_SpecialAdjustedBudget,Sheet1!S71_SA34Code,$AC:$AC,Sheet1!S71_A5CapexCode,$AD:$AD)</f>
        <v>0</v>
      </c>
      <c r="E38" s="1356"/>
      <c r="F38" s="1356"/>
      <c r="G38" s="1356"/>
      <c r="H38" s="1356"/>
      <c r="I38" s="1356">
        <f>SUMIFS(Sheet1!S71_AdjustmentAmount,Sheet1!S71_SA34Code,$AC:$AC,Sheet1!S71_A5CapexCode,$AD:$AD)</f>
        <v>0</v>
      </c>
      <c r="J38" s="75">
        <f t="shared" si="3"/>
        <v>0</v>
      </c>
      <c r="K38" s="75">
        <f t="shared" si="4"/>
        <v>0</v>
      </c>
      <c r="L38" s="1356">
        <f>SUMIFS(Sheet1!S71_OY1AdjustedBudget,Sheet1!S71_SA34Code,$AC:$AC,Sheet1!S71_A5CapexCode,$AD:$AD)</f>
        <v>0</v>
      </c>
      <c r="M38" s="1357">
        <f>SUMIFS(Sheet1!S71_OY2AdjustedBudget,Sheet1!S71_SA34Code,$AC:$AC,Sheet1!S71_A5CapexCode,$AD:$AD)</f>
        <v>0</v>
      </c>
      <c r="N38" s="842"/>
      <c r="AC38" s="1336" t="s">
        <v>1816</v>
      </c>
      <c r="AD38" s="1336" t="s">
        <v>1846</v>
      </c>
    </row>
    <row r="39" spans="1:30" ht="12.75" customHeight="1" x14ac:dyDescent="0.25">
      <c r="A39" s="586" t="s">
        <v>1595</v>
      </c>
      <c r="B39" s="73"/>
      <c r="C39" s="1110">
        <f>SUM(C40:C45)</f>
        <v>0</v>
      </c>
      <c r="D39" s="130">
        <f t="shared" ref="D39:M39" si="8">SUM(D40:D45)</f>
        <v>0</v>
      </c>
      <c r="E39" s="130">
        <f t="shared" si="8"/>
        <v>0</v>
      </c>
      <c r="F39" s="130">
        <f t="shared" si="8"/>
        <v>0</v>
      </c>
      <c r="G39" s="130">
        <f t="shared" si="8"/>
        <v>0</v>
      </c>
      <c r="H39" s="130">
        <f t="shared" si="8"/>
        <v>0</v>
      </c>
      <c r="I39" s="130">
        <f t="shared" si="8"/>
        <v>0</v>
      </c>
      <c r="J39" s="75">
        <f t="shared" si="3"/>
        <v>0</v>
      </c>
      <c r="K39" s="75">
        <f t="shared" si="4"/>
        <v>0</v>
      </c>
      <c r="L39" s="130">
        <f t="shared" si="8"/>
        <v>0</v>
      </c>
      <c r="M39" s="131">
        <f t="shared" si="8"/>
        <v>0</v>
      </c>
      <c r="N39" s="126"/>
      <c r="AD39" s="1336" t="s">
        <v>1846</v>
      </c>
    </row>
    <row r="40" spans="1:30" ht="12.75" customHeight="1" x14ac:dyDescent="0.25">
      <c r="A40" s="585" t="s">
        <v>1596</v>
      </c>
      <c r="B40" s="73"/>
      <c r="C40" s="1356">
        <f>SUMIFS(Sheet1!S71_OriginalBudget,Sheet1!S71_SA34Code,$AC:$AC,Sheet1!S71_A5CapexCode,$AD:$AD)</f>
        <v>0</v>
      </c>
      <c r="D40" s="1356">
        <f>SUMIFS(Sheet1!S71_SpecialAdjustedBudget,Sheet1!S71_SA34Code,$AC:$AC,Sheet1!S71_A5CapexCode,$AD:$AD)</f>
        <v>0</v>
      </c>
      <c r="E40" s="1356"/>
      <c r="F40" s="1356"/>
      <c r="G40" s="1356"/>
      <c r="H40" s="1356"/>
      <c r="I40" s="1356">
        <f>SUMIFS(Sheet1!S71_AdjustmentAmount,Sheet1!S71_SA34Code,$AC:$AC,Sheet1!S71_A5CapexCode,$AD:$AD)</f>
        <v>0</v>
      </c>
      <c r="J40" s="75">
        <f t="shared" si="3"/>
        <v>0</v>
      </c>
      <c r="K40" s="75">
        <f t="shared" si="4"/>
        <v>0</v>
      </c>
      <c r="L40" s="1356">
        <f>SUMIFS(Sheet1!S71_OY1AdjustedBudget,Sheet1!S71_SA34Code,$AC:$AC,Sheet1!S71_A5CapexCode,$AD:$AD)</f>
        <v>0</v>
      </c>
      <c r="M40" s="1357">
        <f>SUMIFS(Sheet1!S71_OY2AdjustedBudget,Sheet1!S71_SA34Code,$AC:$AC,Sheet1!S71_A5CapexCode,$AD:$AD)</f>
        <v>0</v>
      </c>
      <c r="N40" s="837"/>
      <c r="AC40" s="1336" t="s">
        <v>1916</v>
      </c>
      <c r="AD40" s="1336" t="s">
        <v>1846</v>
      </c>
    </row>
    <row r="41" spans="1:30" ht="12.75" customHeight="1" x14ac:dyDescent="0.25">
      <c r="A41" s="585" t="s">
        <v>487</v>
      </c>
      <c r="B41" s="73"/>
      <c r="C41" s="1356">
        <f>SUMIFS(Sheet1!S71_OriginalBudget,Sheet1!S71_SA34Code,$AC:$AC,Sheet1!S71_A5CapexCode,$AD:$AD)</f>
        <v>0</v>
      </c>
      <c r="D41" s="1356">
        <f>SUMIFS(Sheet1!S71_SpecialAdjustedBudget,Sheet1!S71_SA34Code,$AC:$AC,Sheet1!S71_A5CapexCode,$AD:$AD)</f>
        <v>0</v>
      </c>
      <c r="E41" s="1356"/>
      <c r="F41" s="1356"/>
      <c r="G41" s="1356"/>
      <c r="H41" s="1356"/>
      <c r="I41" s="1356">
        <f>SUMIFS(Sheet1!S71_AdjustmentAmount,Sheet1!S71_SA34Code,$AC:$AC,Sheet1!S71_A5CapexCode,$AD:$AD)</f>
        <v>0</v>
      </c>
      <c r="J41" s="75">
        <f t="shared" ref="J41:J72" si="9">SUM(E41:I41)</f>
        <v>0</v>
      </c>
      <c r="K41" s="75">
        <f t="shared" si="4"/>
        <v>0</v>
      </c>
      <c r="L41" s="1356">
        <f>SUMIFS(Sheet1!S71_OY1AdjustedBudget,Sheet1!S71_SA34Code,$AC:$AC,Sheet1!S71_A5CapexCode,$AD:$AD)</f>
        <v>0</v>
      </c>
      <c r="M41" s="1357">
        <f>SUMIFS(Sheet1!S71_OY2AdjustedBudget,Sheet1!S71_SA34Code,$AC:$AC,Sheet1!S71_A5CapexCode,$AD:$AD)</f>
        <v>0</v>
      </c>
      <c r="N41" s="837"/>
      <c r="AC41" s="1336" t="s">
        <v>1917</v>
      </c>
      <c r="AD41" s="1336" t="s">
        <v>1846</v>
      </c>
    </row>
    <row r="42" spans="1:30" ht="12.75" customHeight="1" x14ac:dyDescent="0.25">
      <c r="A42" s="585" t="s">
        <v>1597</v>
      </c>
      <c r="B42" s="73"/>
      <c r="C42" s="1356">
        <f>SUMIFS(Sheet1!S71_OriginalBudget,Sheet1!S71_SA34Code,$AC:$AC,Sheet1!S71_A5CapexCode,$AD:$AD)</f>
        <v>0</v>
      </c>
      <c r="D42" s="1356">
        <f>SUMIFS(Sheet1!S71_SpecialAdjustedBudget,Sheet1!S71_SA34Code,$AC:$AC,Sheet1!S71_A5CapexCode,$AD:$AD)</f>
        <v>0</v>
      </c>
      <c r="E42" s="1356"/>
      <c r="F42" s="1356"/>
      <c r="G42" s="1356"/>
      <c r="H42" s="1356"/>
      <c r="I42" s="1356">
        <f>SUMIFS(Sheet1!S71_AdjustmentAmount,Sheet1!S71_SA34Code,$AC:$AC,Sheet1!S71_A5CapexCode,$AD:$AD)</f>
        <v>0</v>
      </c>
      <c r="J42" s="75">
        <f t="shared" si="9"/>
        <v>0</v>
      </c>
      <c r="K42" s="75">
        <f t="shared" si="4"/>
        <v>0</v>
      </c>
      <c r="L42" s="1356">
        <f>SUMIFS(Sheet1!S71_OY1AdjustedBudget,Sheet1!S71_SA34Code,$AC:$AC,Sheet1!S71_A5CapexCode,$AD:$AD)</f>
        <v>0</v>
      </c>
      <c r="M42" s="1357">
        <f>SUMIFS(Sheet1!S71_OY2AdjustedBudget,Sheet1!S71_SA34Code,$AC:$AC,Sheet1!S71_A5CapexCode,$AD:$AD)</f>
        <v>0</v>
      </c>
      <c r="N42" s="842"/>
      <c r="AC42" s="1336" t="s">
        <v>1918</v>
      </c>
      <c r="AD42" s="1336" t="s">
        <v>1846</v>
      </c>
    </row>
    <row r="43" spans="1:30" ht="12.75" customHeight="1" x14ac:dyDescent="0.25">
      <c r="A43" s="585" t="s">
        <v>1598</v>
      </c>
      <c r="B43" s="73"/>
      <c r="C43" s="1356">
        <f>SUMIFS(Sheet1!S71_OriginalBudget,Sheet1!S71_SA34Code,$AC:$AC,Sheet1!S71_A5CapexCode,$AD:$AD)</f>
        <v>0</v>
      </c>
      <c r="D43" s="1356">
        <f>SUMIFS(Sheet1!S71_SpecialAdjustedBudget,Sheet1!S71_SA34Code,$AC:$AC,Sheet1!S71_A5CapexCode,$AD:$AD)</f>
        <v>0</v>
      </c>
      <c r="E43" s="1356"/>
      <c r="F43" s="1356"/>
      <c r="G43" s="1356"/>
      <c r="H43" s="1356"/>
      <c r="I43" s="1356">
        <f>SUMIFS(Sheet1!S71_AdjustmentAmount,Sheet1!S71_SA34Code,$AC:$AC,Sheet1!S71_A5CapexCode,$AD:$AD)</f>
        <v>0</v>
      </c>
      <c r="J43" s="75">
        <f t="shared" si="9"/>
        <v>0</v>
      </c>
      <c r="K43" s="75">
        <f t="shared" si="4"/>
        <v>0</v>
      </c>
      <c r="L43" s="1356">
        <f>SUMIFS(Sheet1!S71_OY1AdjustedBudget,Sheet1!S71_SA34Code,$AC:$AC,Sheet1!S71_A5CapexCode,$AD:$AD)</f>
        <v>0</v>
      </c>
      <c r="M43" s="1357">
        <f>SUMIFS(Sheet1!S71_OY2AdjustedBudget,Sheet1!S71_SA34Code,$AC:$AC,Sheet1!S71_A5CapexCode,$AD:$AD)</f>
        <v>0</v>
      </c>
      <c r="N43" s="842"/>
      <c r="AC43" s="1336" t="s">
        <v>1919</v>
      </c>
      <c r="AD43" s="1336" t="s">
        <v>1846</v>
      </c>
    </row>
    <row r="44" spans="1:30" ht="12.75" customHeight="1" x14ac:dyDescent="0.25">
      <c r="A44" s="585" t="s">
        <v>1599</v>
      </c>
      <c r="B44" s="73"/>
      <c r="C44" s="1356">
        <f>SUMIFS(Sheet1!S71_OriginalBudget,Sheet1!S71_SA34Code,$AC:$AC,Sheet1!S71_A5CapexCode,$AD:$AD)</f>
        <v>0</v>
      </c>
      <c r="D44" s="1356">
        <f>SUMIFS(Sheet1!S71_SpecialAdjustedBudget,Sheet1!S71_SA34Code,$AC:$AC,Sheet1!S71_A5CapexCode,$AD:$AD)</f>
        <v>0</v>
      </c>
      <c r="E44" s="1356"/>
      <c r="F44" s="1356"/>
      <c r="G44" s="1356"/>
      <c r="H44" s="1356"/>
      <c r="I44" s="1356">
        <f>SUMIFS(Sheet1!S71_AdjustmentAmount,Sheet1!S71_SA34Code,$AC:$AC,Sheet1!S71_A5CapexCode,$AD:$AD)</f>
        <v>0</v>
      </c>
      <c r="J44" s="75">
        <f t="shared" si="9"/>
        <v>0</v>
      </c>
      <c r="K44" s="75">
        <f t="shared" si="4"/>
        <v>0</v>
      </c>
      <c r="L44" s="1356">
        <f>SUMIFS(Sheet1!S71_OY1AdjustedBudget,Sheet1!S71_SA34Code,$AC:$AC,Sheet1!S71_A5CapexCode,$AD:$AD)</f>
        <v>0</v>
      </c>
      <c r="M44" s="1357">
        <f>SUMIFS(Sheet1!S71_OY2AdjustedBudget,Sheet1!S71_SA34Code,$AC:$AC,Sheet1!S71_A5CapexCode,$AD:$AD)</f>
        <v>0</v>
      </c>
      <c r="N44" s="837"/>
      <c r="AC44" s="1336" t="s">
        <v>1878</v>
      </c>
      <c r="AD44" s="1336" t="s">
        <v>1846</v>
      </c>
    </row>
    <row r="45" spans="1:30" ht="12.75" customHeight="1" x14ac:dyDescent="0.25">
      <c r="A45" s="585" t="s">
        <v>1571</v>
      </c>
      <c r="B45" s="73"/>
      <c r="C45" s="1356">
        <f>SUMIFS(Sheet1!S71_OriginalBudget,Sheet1!S71_SA34Code,$AC:$AC,Sheet1!S71_A5CapexCode,$AD:$AD)</f>
        <v>0</v>
      </c>
      <c r="D45" s="1356">
        <f>SUMIFS(Sheet1!S71_SpecialAdjustedBudget,Sheet1!S71_SA34Code,$AC:$AC,Sheet1!S71_A5CapexCode,$AD:$AD)</f>
        <v>0</v>
      </c>
      <c r="E45" s="1356"/>
      <c r="F45" s="1356"/>
      <c r="G45" s="1356"/>
      <c r="H45" s="1356"/>
      <c r="I45" s="1356">
        <f>SUMIFS(Sheet1!S71_AdjustmentAmount,Sheet1!S71_SA34Code,$AC:$AC,Sheet1!S71_A5CapexCode,$AD:$AD)</f>
        <v>0</v>
      </c>
      <c r="J45" s="75">
        <f t="shared" si="9"/>
        <v>0</v>
      </c>
      <c r="K45" s="75">
        <f t="shared" si="4"/>
        <v>0</v>
      </c>
      <c r="L45" s="1356">
        <f>SUMIFS(Sheet1!S71_OY1AdjustedBudget,Sheet1!S71_SA34Code,$AC:$AC,Sheet1!S71_A5CapexCode,$AD:$AD)</f>
        <v>0</v>
      </c>
      <c r="M45" s="1357">
        <f>SUMIFS(Sheet1!S71_OY2AdjustedBudget,Sheet1!S71_SA34Code,$AC:$AC,Sheet1!S71_A5CapexCode,$AD:$AD)</f>
        <v>0</v>
      </c>
      <c r="N45" s="842"/>
      <c r="AC45" s="1336" t="s">
        <v>1879</v>
      </c>
      <c r="AD45" s="1336" t="s">
        <v>1846</v>
      </c>
    </row>
    <row r="46" spans="1:30" ht="12.75" customHeight="1" x14ac:dyDescent="0.25">
      <c r="A46" s="586" t="s">
        <v>1600</v>
      </c>
      <c r="B46" s="73"/>
      <c r="C46" s="1110">
        <f>SUM(C47:C53)</f>
        <v>0</v>
      </c>
      <c r="D46" s="130">
        <f t="shared" ref="D46:M46" si="10">SUM(D47:D53)</f>
        <v>0</v>
      </c>
      <c r="E46" s="130">
        <f t="shared" si="10"/>
        <v>0</v>
      </c>
      <c r="F46" s="130">
        <f t="shared" si="10"/>
        <v>0</v>
      </c>
      <c r="G46" s="130">
        <f t="shared" si="10"/>
        <v>0</v>
      </c>
      <c r="H46" s="130">
        <f t="shared" si="10"/>
        <v>0</v>
      </c>
      <c r="I46" s="130">
        <f t="shared" si="10"/>
        <v>0</v>
      </c>
      <c r="J46" s="75">
        <f t="shared" si="9"/>
        <v>0</v>
      </c>
      <c r="K46" s="75">
        <f t="shared" si="4"/>
        <v>0</v>
      </c>
      <c r="L46" s="130">
        <f t="shared" si="10"/>
        <v>0</v>
      </c>
      <c r="M46" s="131">
        <f t="shared" si="10"/>
        <v>0</v>
      </c>
      <c r="N46" s="126"/>
      <c r="AD46" s="1336" t="s">
        <v>1846</v>
      </c>
    </row>
    <row r="47" spans="1:30" ht="12.75" customHeight="1" x14ac:dyDescent="0.25">
      <c r="A47" s="585" t="s">
        <v>1601</v>
      </c>
      <c r="B47" s="73"/>
      <c r="C47" s="1356">
        <f>SUMIFS(Sheet1!S71_OriginalBudget,Sheet1!S71_SA34Code,$AC:$AC,Sheet1!S71_A5CapexCode,$AD:$AD)</f>
        <v>0</v>
      </c>
      <c r="D47" s="1356">
        <f>SUMIFS(Sheet1!S71_SpecialAdjustedBudget,Sheet1!S71_SA34Code,$AC:$AC,Sheet1!S71_A5CapexCode,$AD:$AD)</f>
        <v>0</v>
      </c>
      <c r="E47" s="1356"/>
      <c r="F47" s="1356"/>
      <c r="G47" s="1356"/>
      <c r="H47" s="1356"/>
      <c r="I47" s="1356">
        <f>SUMIFS(Sheet1!S71_AdjustmentAmount,Sheet1!S71_SA34Code,$AC:$AC,Sheet1!S71_A5CapexCode,$AD:$AD)</f>
        <v>0</v>
      </c>
      <c r="J47" s="75">
        <f t="shared" si="9"/>
        <v>0</v>
      </c>
      <c r="K47" s="75">
        <f t="shared" si="4"/>
        <v>0</v>
      </c>
      <c r="L47" s="1356">
        <f>SUMIFS(Sheet1!S71_OY1AdjustedBudget,Sheet1!S71_SA34Code,$AC:$AC,Sheet1!S71_A5CapexCode,$AD:$AD)</f>
        <v>0</v>
      </c>
      <c r="M47" s="1357">
        <f>SUMIFS(Sheet1!S71_OY2AdjustedBudget,Sheet1!S71_SA34Code,$AC:$AC,Sheet1!S71_A5CapexCode,$AD:$AD)</f>
        <v>0</v>
      </c>
      <c r="N47" s="837"/>
      <c r="AC47" s="1336" t="s">
        <v>1920</v>
      </c>
      <c r="AD47" s="1336" t="s">
        <v>1846</v>
      </c>
    </row>
    <row r="48" spans="1:30" ht="12.75" customHeight="1" x14ac:dyDescent="0.25">
      <c r="A48" s="585" t="s">
        <v>1602</v>
      </c>
      <c r="B48" s="73"/>
      <c r="C48" s="1356">
        <f>SUMIFS(Sheet1!S71_OriginalBudget,Sheet1!S71_SA34Code,$AC:$AC,Sheet1!S71_A5CapexCode,$AD:$AD)</f>
        <v>0</v>
      </c>
      <c r="D48" s="1356">
        <f>SUMIFS(Sheet1!S71_SpecialAdjustedBudget,Sheet1!S71_SA34Code,$AC:$AC,Sheet1!S71_A5CapexCode,$AD:$AD)</f>
        <v>0</v>
      </c>
      <c r="E48" s="1356"/>
      <c r="F48" s="1356"/>
      <c r="G48" s="1356"/>
      <c r="H48" s="1356"/>
      <c r="I48" s="1356">
        <f>SUMIFS(Sheet1!S71_AdjustmentAmount,Sheet1!S71_SA34Code,$AC:$AC,Sheet1!S71_A5CapexCode,$AD:$AD)</f>
        <v>0</v>
      </c>
      <c r="J48" s="75">
        <f t="shared" si="9"/>
        <v>0</v>
      </c>
      <c r="K48" s="75">
        <f t="shared" si="4"/>
        <v>0</v>
      </c>
      <c r="L48" s="1356">
        <f>SUMIFS(Sheet1!S71_OY1AdjustedBudget,Sheet1!S71_SA34Code,$AC:$AC,Sheet1!S71_A5CapexCode,$AD:$AD)</f>
        <v>0</v>
      </c>
      <c r="M48" s="1357">
        <f>SUMIFS(Sheet1!S71_OY2AdjustedBudget,Sheet1!S71_SA34Code,$AC:$AC,Sheet1!S71_A5CapexCode,$AD:$AD)</f>
        <v>0</v>
      </c>
      <c r="N48" s="837"/>
      <c r="AC48" s="1336" t="s">
        <v>1817</v>
      </c>
      <c r="AD48" s="1336" t="s">
        <v>1846</v>
      </c>
    </row>
    <row r="49" spans="1:30" ht="12.75" customHeight="1" x14ac:dyDescent="0.25">
      <c r="A49" s="585" t="s">
        <v>1603</v>
      </c>
      <c r="B49" s="73"/>
      <c r="C49" s="1356">
        <f>SUMIFS(Sheet1!S71_OriginalBudget,Sheet1!S71_SA34Code,$AC:$AC,Sheet1!S71_A5CapexCode,$AD:$AD)</f>
        <v>0</v>
      </c>
      <c r="D49" s="1356">
        <f>SUMIFS(Sheet1!S71_SpecialAdjustedBudget,Sheet1!S71_SA34Code,$AC:$AC,Sheet1!S71_A5CapexCode,$AD:$AD)</f>
        <v>0</v>
      </c>
      <c r="E49" s="1356"/>
      <c r="F49" s="1356"/>
      <c r="G49" s="1356"/>
      <c r="H49" s="1356"/>
      <c r="I49" s="1356">
        <f>SUMIFS(Sheet1!S71_AdjustmentAmount,Sheet1!S71_SA34Code,$AC:$AC,Sheet1!S71_A5CapexCode,$AD:$AD)</f>
        <v>0</v>
      </c>
      <c r="J49" s="75">
        <f t="shared" si="9"/>
        <v>0</v>
      </c>
      <c r="K49" s="75">
        <f t="shared" si="4"/>
        <v>0</v>
      </c>
      <c r="L49" s="1356">
        <f>SUMIFS(Sheet1!S71_OY1AdjustedBudget,Sheet1!S71_SA34Code,$AC:$AC,Sheet1!S71_A5CapexCode,$AD:$AD)</f>
        <v>0</v>
      </c>
      <c r="M49" s="1357">
        <f>SUMIFS(Sheet1!S71_OY2AdjustedBudget,Sheet1!S71_SA34Code,$AC:$AC,Sheet1!S71_A5CapexCode,$AD:$AD)</f>
        <v>0</v>
      </c>
      <c r="N49" s="842"/>
      <c r="AC49" s="1336" t="s">
        <v>1921</v>
      </c>
      <c r="AD49" s="1336" t="s">
        <v>1846</v>
      </c>
    </row>
    <row r="50" spans="1:30" ht="12.75" customHeight="1" x14ac:dyDescent="0.25">
      <c r="A50" s="585" t="s">
        <v>1604</v>
      </c>
      <c r="B50" s="73"/>
      <c r="C50" s="1356">
        <f>SUMIFS(Sheet1!S71_OriginalBudget,Sheet1!S71_SA34Code,$AC:$AC,Sheet1!S71_A5CapexCode,$AD:$AD)</f>
        <v>0</v>
      </c>
      <c r="D50" s="1356">
        <f>SUMIFS(Sheet1!S71_SpecialAdjustedBudget,Sheet1!S71_SA34Code,$AC:$AC,Sheet1!S71_A5CapexCode,$AD:$AD)</f>
        <v>0</v>
      </c>
      <c r="E50" s="1356"/>
      <c r="F50" s="1356"/>
      <c r="G50" s="1356"/>
      <c r="H50" s="1356"/>
      <c r="I50" s="1356">
        <f>SUMIFS(Sheet1!S71_AdjustmentAmount,Sheet1!S71_SA34Code,$AC:$AC,Sheet1!S71_A5CapexCode,$AD:$AD)</f>
        <v>0</v>
      </c>
      <c r="J50" s="75">
        <f t="shared" si="9"/>
        <v>0</v>
      </c>
      <c r="K50" s="75">
        <f t="shared" si="4"/>
        <v>0</v>
      </c>
      <c r="L50" s="1356">
        <f>SUMIFS(Sheet1!S71_OY1AdjustedBudget,Sheet1!S71_SA34Code,$AC:$AC,Sheet1!S71_A5CapexCode,$AD:$AD)</f>
        <v>0</v>
      </c>
      <c r="M50" s="1357">
        <f>SUMIFS(Sheet1!S71_OY2AdjustedBudget,Sheet1!S71_SA34Code,$AC:$AC,Sheet1!S71_A5CapexCode,$AD:$AD)</f>
        <v>0</v>
      </c>
      <c r="N50" s="842"/>
      <c r="AC50" s="1336" t="s">
        <v>1922</v>
      </c>
      <c r="AD50" s="1336" t="s">
        <v>1846</v>
      </c>
    </row>
    <row r="51" spans="1:30" ht="12.75" customHeight="1" x14ac:dyDescent="0.25">
      <c r="A51" s="585" t="s">
        <v>1605</v>
      </c>
      <c r="B51" s="73"/>
      <c r="C51" s="1356">
        <f>SUMIFS(Sheet1!S71_OriginalBudget,Sheet1!S71_SA34Code,$AC:$AC,Sheet1!S71_A5CapexCode,$AD:$AD)</f>
        <v>0</v>
      </c>
      <c r="D51" s="1356">
        <f>SUMIFS(Sheet1!S71_SpecialAdjustedBudget,Sheet1!S71_SA34Code,$AC:$AC,Sheet1!S71_A5CapexCode,$AD:$AD)</f>
        <v>0</v>
      </c>
      <c r="E51" s="1356"/>
      <c r="F51" s="1356"/>
      <c r="G51" s="1356"/>
      <c r="H51" s="1356"/>
      <c r="I51" s="1356">
        <f>SUMIFS(Sheet1!S71_AdjustmentAmount,Sheet1!S71_SA34Code,$AC:$AC,Sheet1!S71_A5CapexCode,$AD:$AD)</f>
        <v>0</v>
      </c>
      <c r="J51" s="75">
        <f t="shared" si="9"/>
        <v>0</v>
      </c>
      <c r="K51" s="75">
        <f t="shared" si="4"/>
        <v>0</v>
      </c>
      <c r="L51" s="1356">
        <f>SUMIFS(Sheet1!S71_OY1AdjustedBudget,Sheet1!S71_SA34Code,$AC:$AC,Sheet1!S71_A5CapexCode,$AD:$AD)</f>
        <v>0</v>
      </c>
      <c r="M51" s="1357">
        <f>SUMIFS(Sheet1!S71_OY2AdjustedBudget,Sheet1!S71_SA34Code,$AC:$AC,Sheet1!S71_A5CapexCode,$AD:$AD)</f>
        <v>0</v>
      </c>
      <c r="N51" s="842"/>
      <c r="AC51" s="1336" t="s">
        <v>1923</v>
      </c>
      <c r="AD51" s="1336" t="s">
        <v>1846</v>
      </c>
    </row>
    <row r="52" spans="1:30" ht="12.75" customHeight="1" x14ac:dyDescent="0.25">
      <c r="A52" s="585" t="s">
        <v>1606</v>
      </c>
      <c r="B52" s="73"/>
      <c r="C52" s="1356">
        <f>SUMIFS(Sheet1!S71_OriginalBudget,Sheet1!S71_SA34Code,$AC:$AC,Sheet1!S71_A5CapexCode,$AD:$AD)</f>
        <v>0</v>
      </c>
      <c r="D52" s="1356">
        <f>SUMIFS(Sheet1!S71_SpecialAdjustedBudget,Sheet1!S71_SA34Code,$AC:$AC,Sheet1!S71_A5CapexCode,$AD:$AD)</f>
        <v>0</v>
      </c>
      <c r="E52" s="1356"/>
      <c r="F52" s="1356"/>
      <c r="G52" s="1356"/>
      <c r="H52" s="1356"/>
      <c r="I52" s="1356">
        <f>SUMIFS(Sheet1!S71_AdjustmentAmount,Sheet1!S71_SA34Code,$AC:$AC,Sheet1!S71_A5CapexCode,$AD:$AD)</f>
        <v>0</v>
      </c>
      <c r="J52" s="75">
        <f t="shared" si="9"/>
        <v>0</v>
      </c>
      <c r="K52" s="75">
        <f t="shared" si="4"/>
        <v>0</v>
      </c>
      <c r="L52" s="1356">
        <f>SUMIFS(Sheet1!S71_OY1AdjustedBudget,Sheet1!S71_SA34Code,$AC:$AC,Sheet1!S71_A5CapexCode,$AD:$AD)</f>
        <v>0</v>
      </c>
      <c r="M52" s="1357">
        <f>SUMIFS(Sheet1!S71_OY2AdjustedBudget,Sheet1!S71_SA34Code,$AC:$AC,Sheet1!S71_A5CapexCode,$AD:$AD)</f>
        <v>0</v>
      </c>
      <c r="N52" s="837"/>
      <c r="AC52" s="1336" t="s">
        <v>1924</v>
      </c>
      <c r="AD52" s="1336" t="s">
        <v>1846</v>
      </c>
    </row>
    <row r="53" spans="1:30" ht="12.75" customHeight="1" x14ac:dyDescent="0.25">
      <c r="A53" s="585" t="s">
        <v>1571</v>
      </c>
      <c r="B53" s="73"/>
      <c r="C53" s="1356">
        <f>SUMIFS(Sheet1!S71_OriginalBudget,Sheet1!S71_SA34Code,$AC:$AC,Sheet1!S71_A5CapexCode,$AD:$AD)</f>
        <v>0</v>
      </c>
      <c r="D53" s="1356">
        <f>SUMIFS(Sheet1!S71_SpecialAdjustedBudget,Sheet1!S71_SA34Code,$AC:$AC,Sheet1!S71_A5CapexCode,$AD:$AD)</f>
        <v>0</v>
      </c>
      <c r="E53" s="1356"/>
      <c r="F53" s="1356"/>
      <c r="G53" s="1356"/>
      <c r="H53" s="1356"/>
      <c r="I53" s="1356">
        <f>SUMIFS(Sheet1!S71_AdjustmentAmount,Sheet1!S71_SA34Code,$AC:$AC,Sheet1!S71_A5CapexCode,$AD:$AD)</f>
        <v>0</v>
      </c>
      <c r="J53" s="75">
        <f t="shared" si="9"/>
        <v>0</v>
      </c>
      <c r="K53" s="75">
        <f t="shared" si="4"/>
        <v>0</v>
      </c>
      <c r="L53" s="1356">
        <f>SUMIFS(Sheet1!S71_OY1AdjustedBudget,Sheet1!S71_SA34Code,$AC:$AC,Sheet1!S71_A5CapexCode,$AD:$AD)</f>
        <v>0</v>
      </c>
      <c r="M53" s="1357">
        <f>SUMIFS(Sheet1!S71_OY2AdjustedBudget,Sheet1!S71_SA34Code,$AC:$AC,Sheet1!S71_A5CapexCode,$AD:$AD)</f>
        <v>0</v>
      </c>
      <c r="N53" s="842"/>
      <c r="AC53" s="1336" t="s">
        <v>1925</v>
      </c>
      <c r="AD53" s="1336" t="s">
        <v>1846</v>
      </c>
    </row>
    <row r="54" spans="1:30" ht="12.75" customHeight="1" x14ac:dyDescent="0.25">
      <c r="A54" s="584" t="s">
        <v>1607</v>
      </c>
      <c r="B54" s="73"/>
      <c r="C54" s="1110">
        <f>SUM(C55:C63)</f>
        <v>0</v>
      </c>
      <c r="D54" s="130">
        <f t="shared" ref="D54:M54" si="11">SUM(D55:D63)</f>
        <v>0</v>
      </c>
      <c r="E54" s="130">
        <f t="shared" si="11"/>
        <v>0</v>
      </c>
      <c r="F54" s="130">
        <f t="shared" si="11"/>
        <v>0</v>
      </c>
      <c r="G54" s="130">
        <f t="shared" si="11"/>
        <v>0</v>
      </c>
      <c r="H54" s="130">
        <f t="shared" si="11"/>
        <v>0</v>
      </c>
      <c r="I54" s="130">
        <f t="shared" si="11"/>
        <v>0</v>
      </c>
      <c r="J54" s="75">
        <f t="shared" si="9"/>
        <v>0</v>
      </c>
      <c r="K54" s="75">
        <f t="shared" si="4"/>
        <v>0</v>
      </c>
      <c r="L54" s="130">
        <f t="shared" si="11"/>
        <v>0</v>
      </c>
      <c r="M54" s="131">
        <f t="shared" si="11"/>
        <v>0</v>
      </c>
      <c r="N54" s="126"/>
      <c r="AD54" s="1336" t="s">
        <v>1846</v>
      </c>
    </row>
    <row r="55" spans="1:30" ht="12.75" customHeight="1" x14ac:dyDescent="0.25">
      <c r="A55" s="585" t="s">
        <v>1608</v>
      </c>
      <c r="B55" s="73"/>
      <c r="C55" s="1356">
        <f>SUMIFS(Sheet1!S71_OriginalBudget,Sheet1!S71_SA34Code,$AC:$AC,Sheet1!S71_A5CapexCode,$AD:$AD)</f>
        <v>0</v>
      </c>
      <c r="D55" s="1356">
        <f>SUMIFS(Sheet1!S71_SpecialAdjustedBudget,Sheet1!S71_SA34Code,$AC:$AC,Sheet1!S71_A5CapexCode,$AD:$AD)</f>
        <v>0</v>
      </c>
      <c r="E55" s="1356"/>
      <c r="F55" s="1356"/>
      <c r="G55" s="1356"/>
      <c r="H55" s="1356"/>
      <c r="I55" s="1356">
        <f>SUMIFS(Sheet1!S71_AdjustmentAmount,Sheet1!S71_SA34Code,$AC:$AC,Sheet1!S71_A5CapexCode,$AD:$AD)</f>
        <v>0</v>
      </c>
      <c r="J55" s="75">
        <f t="shared" si="9"/>
        <v>0</v>
      </c>
      <c r="K55" s="75">
        <f t="shared" si="4"/>
        <v>0</v>
      </c>
      <c r="L55" s="1356">
        <f>SUMIFS(Sheet1!S71_OY1AdjustedBudget,Sheet1!S71_SA34Code,$AC:$AC,Sheet1!S71_A5CapexCode,$AD:$AD)</f>
        <v>0</v>
      </c>
      <c r="M55" s="1357">
        <f>SUMIFS(Sheet1!S71_OY2AdjustedBudget,Sheet1!S71_SA34Code,$AC:$AC,Sheet1!S71_A5CapexCode,$AD:$AD)</f>
        <v>0</v>
      </c>
      <c r="N55" s="837"/>
      <c r="AC55" s="1336" t="s">
        <v>1926</v>
      </c>
      <c r="AD55" s="1336" t="s">
        <v>1846</v>
      </c>
    </row>
    <row r="56" spans="1:30" ht="12.75" customHeight="1" x14ac:dyDescent="0.25">
      <c r="A56" s="585" t="s">
        <v>1609</v>
      </c>
      <c r="B56" s="73"/>
      <c r="C56" s="1356">
        <f>SUMIFS(Sheet1!S71_OriginalBudget,Sheet1!S71_SA34Code,$AC:$AC,Sheet1!S71_A5CapexCode,$AD:$AD)</f>
        <v>0</v>
      </c>
      <c r="D56" s="1356">
        <f>SUMIFS(Sheet1!S71_SpecialAdjustedBudget,Sheet1!S71_SA34Code,$AC:$AC,Sheet1!S71_A5CapexCode,$AD:$AD)</f>
        <v>0</v>
      </c>
      <c r="E56" s="1356"/>
      <c r="F56" s="1356"/>
      <c r="G56" s="1356"/>
      <c r="H56" s="1356"/>
      <c r="I56" s="1356">
        <f>SUMIFS(Sheet1!S71_AdjustmentAmount,Sheet1!S71_SA34Code,$AC:$AC,Sheet1!S71_A5CapexCode,$AD:$AD)</f>
        <v>0</v>
      </c>
      <c r="J56" s="75">
        <f t="shared" si="9"/>
        <v>0</v>
      </c>
      <c r="K56" s="75">
        <f t="shared" si="4"/>
        <v>0</v>
      </c>
      <c r="L56" s="1356">
        <f>SUMIFS(Sheet1!S71_OY1AdjustedBudget,Sheet1!S71_SA34Code,$AC:$AC,Sheet1!S71_A5CapexCode,$AD:$AD)</f>
        <v>0</v>
      </c>
      <c r="M56" s="1357">
        <f>SUMIFS(Sheet1!S71_OY2AdjustedBudget,Sheet1!S71_SA34Code,$AC:$AC,Sheet1!S71_A5CapexCode,$AD:$AD)</f>
        <v>0</v>
      </c>
      <c r="N56" s="837"/>
      <c r="AC56" s="1336" t="s">
        <v>1927</v>
      </c>
      <c r="AD56" s="1336" t="s">
        <v>1846</v>
      </c>
    </row>
    <row r="57" spans="1:30" ht="12.75" customHeight="1" x14ac:dyDescent="0.25">
      <c r="A57" s="585" t="s">
        <v>1610</v>
      </c>
      <c r="B57" s="73"/>
      <c r="C57" s="1356">
        <f>SUMIFS(Sheet1!S71_OriginalBudget,Sheet1!S71_SA34Code,$AC:$AC,Sheet1!S71_A5CapexCode,$AD:$AD)</f>
        <v>0</v>
      </c>
      <c r="D57" s="1356">
        <f>SUMIFS(Sheet1!S71_SpecialAdjustedBudget,Sheet1!S71_SA34Code,$AC:$AC,Sheet1!S71_A5CapexCode,$AD:$AD)</f>
        <v>0</v>
      </c>
      <c r="E57" s="1356"/>
      <c r="F57" s="1356"/>
      <c r="G57" s="1356"/>
      <c r="H57" s="1356"/>
      <c r="I57" s="1356">
        <f>SUMIFS(Sheet1!S71_AdjustmentAmount,Sheet1!S71_SA34Code,$AC:$AC,Sheet1!S71_A5CapexCode,$AD:$AD)</f>
        <v>0</v>
      </c>
      <c r="J57" s="75">
        <f t="shared" si="9"/>
        <v>0</v>
      </c>
      <c r="K57" s="75">
        <f t="shared" si="4"/>
        <v>0</v>
      </c>
      <c r="L57" s="1356">
        <f>SUMIFS(Sheet1!S71_OY1AdjustedBudget,Sheet1!S71_SA34Code,$AC:$AC,Sheet1!S71_A5CapexCode,$AD:$AD)</f>
        <v>0</v>
      </c>
      <c r="M57" s="1357">
        <f>SUMIFS(Sheet1!S71_OY2AdjustedBudget,Sheet1!S71_SA34Code,$AC:$AC,Sheet1!S71_A5CapexCode,$AD:$AD)</f>
        <v>0</v>
      </c>
      <c r="N57" s="842"/>
      <c r="AC57" s="1336" t="s">
        <v>1928</v>
      </c>
      <c r="AD57" s="1336" t="s">
        <v>1846</v>
      </c>
    </row>
    <row r="58" spans="1:30" ht="12.75" customHeight="1" x14ac:dyDescent="0.25">
      <c r="A58" s="585" t="s">
        <v>1573</v>
      </c>
      <c r="B58" s="73"/>
      <c r="C58" s="1356">
        <f>SUMIFS(Sheet1!S71_OriginalBudget,Sheet1!S71_SA34Code,$AC:$AC,Sheet1!S71_A5CapexCode,$AD:$AD)</f>
        <v>0</v>
      </c>
      <c r="D58" s="1356">
        <f>SUMIFS(Sheet1!S71_SpecialAdjustedBudget,Sheet1!S71_SA34Code,$AC:$AC,Sheet1!S71_A5CapexCode,$AD:$AD)</f>
        <v>0</v>
      </c>
      <c r="E58" s="1356"/>
      <c r="F58" s="1356"/>
      <c r="G58" s="1356"/>
      <c r="H58" s="1356"/>
      <c r="I58" s="1356">
        <f>SUMIFS(Sheet1!S71_AdjustmentAmount,Sheet1!S71_SA34Code,$AC:$AC,Sheet1!S71_A5CapexCode,$AD:$AD)</f>
        <v>0</v>
      </c>
      <c r="J58" s="75">
        <f t="shared" si="9"/>
        <v>0</v>
      </c>
      <c r="K58" s="75">
        <f t="shared" si="4"/>
        <v>0</v>
      </c>
      <c r="L58" s="1356">
        <f>SUMIFS(Sheet1!S71_OY1AdjustedBudget,Sheet1!S71_SA34Code,$AC:$AC,Sheet1!S71_A5CapexCode,$AD:$AD)</f>
        <v>0</v>
      </c>
      <c r="M58" s="1357">
        <f>SUMIFS(Sheet1!S71_OY2AdjustedBudget,Sheet1!S71_SA34Code,$AC:$AC,Sheet1!S71_A5CapexCode,$AD:$AD)</f>
        <v>0</v>
      </c>
      <c r="N58" s="842"/>
      <c r="AC58" s="1336" t="s">
        <v>1818</v>
      </c>
      <c r="AD58" s="1336" t="s">
        <v>1846</v>
      </c>
    </row>
    <row r="59" spans="1:30" ht="12.75" customHeight="1" x14ac:dyDescent="0.25">
      <c r="A59" s="585" t="s">
        <v>1574</v>
      </c>
      <c r="B59" s="73"/>
      <c r="C59" s="1356">
        <f>SUMIFS(Sheet1!S71_OriginalBudget,Sheet1!S71_SA34Code,$AC:$AC,Sheet1!S71_A5CapexCode,$AD:$AD)</f>
        <v>0</v>
      </c>
      <c r="D59" s="1356">
        <f>SUMIFS(Sheet1!S71_SpecialAdjustedBudget,Sheet1!S71_SA34Code,$AC:$AC,Sheet1!S71_A5CapexCode,$AD:$AD)</f>
        <v>0</v>
      </c>
      <c r="E59" s="1356"/>
      <c r="F59" s="1356"/>
      <c r="G59" s="1356"/>
      <c r="H59" s="1356"/>
      <c r="I59" s="1356">
        <f>SUMIFS(Sheet1!S71_AdjustmentAmount,Sheet1!S71_SA34Code,$AC:$AC,Sheet1!S71_A5CapexCode,$AD:$AD)</f>
        <v>0</v>
      </c>
      <c r="J59" s="75">
        <f t="shared" si="9"/>
        <v>0</v>
      </c>
      <c r="K59" s="75">
        <f t="shared" si="4"/>
        <v>0</v>
      </c>
      <c r="L59" s="1356">
        <f>SUMIFS(Sheet1!S71_OY1AdjustedBudget,Sheet1!S71_SA34Code,$AC:$AC,Sheet1!S71_A5CapexCode,$AD:$AD)</f>
        <v>0</v>
      </c>
      <c r="M59" s="1357">
        <f>SUMIFS(Sheet1!S71_OY2AdjustedBudget,Sheet1!S71_SA34Code,$AC:$AC,Sheet1!S71_A5CapexCode,$AD:$AD)</f>
        <v>0</v>
      </c>
      <c r="N59" s="842"/>
      <c r="AC59" s="1336" t="s">
        <v>1929</v>
      </c>
      <c r="AD59" s="1336" t="s">
        <v>1846</v>
      </c>
    </row>
    <row r="60" spans="1:30" ht="12.75" customHeight="1" x14ac:dyDescent="0.25">
      <c r="A60" s="585" t="s">
        <v>1575</v>
      </c>
      <c r="B60" s="73"/>
      <c r="C60" s="1356">
        <f>SUMIFS(Sheet1!S71_OriginalBudget,Sheet1!S71_SA34Code,$AC:$AC,Sheet1!S71_A5CapexCode,$AD:$AD)</f>
        <v>0</v>
      </c>
      <c r="D60" s="1356">
        <f>SUMIFS(Sheet1!S71_SpecialAdjustedBudget,Sheet1!S71_SA34Code,$AC:$AC,Sheet1!S71_A5CapexCode,$AD:$AD)</f>
        <v>0</v>
      </c>
      <c r="E60" s="1356"/>
      <c r="F60" s="1356"/>
      <c r="G60" s="1356"/>
      <c r="H60" s="1356"/>
      <c r="I60" s="1356">
        <f>SUMIFS(Sheet1!S71_AdjustmentAmount,Sheet1!S71_SA34Code,$AC:$AC,Sheet1!S71_A5CapexCode,$AD:$AD)</f>
        <v>0</v>
      </c>
      <c r="J60" s="75">
        <f t="shared" si="9"/>
        <v>0</v>
      </c>
      <c r="K60" s="75">
        <f t="shared" si="4"/>
        <v>0</v>
      </c>
      <c r="L60" s="1356">
        <f>SUMIFS(Sheet1!S71_OY1AdjustedBudget,Sheet1!S71_SA34Code,$AC:$AC,Sheet1!S71_A5CapexCode,$AD:$AD)</f>
        <v>0</v>
      </c>
      <c r="M60" s="1357">
        <f>SUMIFS(Sheet1!S71_OY2AdjustedBudget,Sheet1!S71_SA34Code,$AC:$AC,Sheet1!S71_A5CapexCode,$AD:$AD)</f>
        <v>0</v>
      </c>
      <c r="N60" s="842"/>
      <c r="AC60" s="1336" t="s">
        <v>1930</v>
      </c>
      <c r="AD60" s="1336" t="s">
        <v>1846</v>
      </c>
    </row>
    <row r="61" spans="1:30" ht="12.75" customHeight="1" x14ac:dyDescent="0.25">
      <c r="A61" s="585" t="s">
        <v>1581</v>
      </c>
      <c r="B61" s="73"/>
      <c r="C61" s="1356">
        <f>SUMIFS(Sheet1!S71_OriginalBudget,Sheet1!S71_SA34Code,$AC:$AC,Sheet1!S71_A5CapexCode,$AD:$AD)</f>
        <v>0</v>
      </c>
      <c r="D61" s="1356">
        <f>SUMIFS(Sheet1!S71_SpecialAdjustedBudget,Sheet1!S71_SA34Code,$AC:$AC,Sheet1!S71_A5CapexCode,$AD:$AD)</f>
        <v>0</v>
      </c>
      <c r="E61" s="1356"/>
      <c r="F61" s="1356"/>
      <c r="G61" s="1356"/>
      <c r="H61" s="1356"/>
      <c r="I61" s="1356">
        <f>SUMIFS(Sheet1!S71_AdjustmentAmount,Sheet1!S71_SA34Code,$AC:$AC,Sheet1!S71_A5CapexCode,$AD:$AD)</f>
        <v>0</v>
      </c>
      <c r="J61" s="75">
        <f t="shared" si="9"/>
        <v>0</v>
      </c>
      <c r="K61" s="75">
        <f t="shared" si="4"/>
        <v>0</v>
      </c>
      <c r="L61" s="1356">
        <f>SUMIFS(Sheet1!S71_OY1AdjustedBudget,Sheet1!S71_SA34Code,$AC:$AC,Sheet1!S71_A5CapexCode,$AD:$AD)</f>
        <v>0</v>
      </c>
      <c r="M61" s="1357">
        <f>SUMIFS(Sheet1!S71_OY2AdjustedBudget,Sheet1!S71_SA34Code,$AC:$AC,Sheet1!S71_A5CapexCode,$AD:$AD)</f>
        <v>0</v>
      </c>
      <c r="N61" s="842"/>
      <c r="AC61" s="1336" t="s">
        <v>1931</v>
      </c>
      <c r="AD61" s="1336" t="s">
        <v>1846</v>
      </c>
    </row>
    <row r="62" spans="1:30" ht="12.75" customHeight="1" x14ac:dyDescent="0.25">
      <c r="A62" s="585" t="s">
        <v>1584</v>
      </c>
      <c r="B62" s="73"/>
      <c r="C62" s="1356">
        <f>SUMIFS(Sheet1!S71_OriginalBudget,Sheet1!S71_SA34Code,$AC:$AC,Sheet1!S71_A5CapexCode,$AD:$AD)</f>
        <v>0</v>
      </c>
      <c r="D62" s="1356">
        <f>SUMIFS(Sheet1!S71_SpecialAdjustedBudget,Sheet1!S71_SA34Code,$AC:$AC,Sheet1!S71_A5CapexCode,$AD:$AD)</f>
        <v>0</v>
      </c>
      <c r="E62" s="1356"/>
      <c r="F62" s="1356"/>
      <c r="G62" s="1356"/>
      <c r="H62" s="1356"/>
      <c r="I62" s="1356">
        <f>SUMIFS(Sheet1!S71_AdjustmentAmount,Sheet1!S71_SA34Code,$AC:$AC,Sheet1!S71_A5CapexCode,$AD:$AD)</f>
        <v>0</v>
      </c>
      <c r="J62" s="75">
        <f t="shared" si="9"/>
        <v>0</v>
      </c>
      <c r="K62" s="75">
        <f t="shared" si="4"/>
        <v>0</v>
      </c>
      <c r="L62" s="1356">
        <f>SUMIFS(Sheet1!S71_OY1AdjustedBudget,Sheet1!S71_SA34Code,$AC:$AC,Sheet1!S71_A5CapexCode,$AD:$AD)</f>
        <v>0</v>
      </c>
      <c r="M62" s="1357">
        <f>SUMIFS(Sheet1!S71_OY2AdjustedBudget,Sheet1!S71_SA34Code,$AC:$AC,Sheet1!S71_A5CapexCode,$AD:$AD)</f>
        <v>0</v>
      </c>
      <c r="N62" s="837"/>
      <c r="AC62" s="1336" t="s">
        <v>1932</v>
      </c>
      <c r="AD62" s="1336" t="s">
        <v>1846</v>
      </c>
    </row>
    <row r="63" spans="1:30" ht="12.75" customHeight="1" x14ac:dyDescent="0.25">
      <c r="A63" s="585" t="s">
        <v>1571</v>
      </c>
      <c r="B63" s="73"/>
      <c r="C63" s="1356">
        <f>SUMIFS(Sheet1!S71_OriginalBudget,Sheet1!S71_SA34Code,$AC:$AC,Sheet1!S71_A5CapexCode,$AD:$AD)</f>
        <v>0</v>
      </c>
      <c r="D63" s="1356">
        <f>SUMIFS(Sheet1!S71_SpecialAdjustedBudget,Sheet1!S71_SA34Code,$AC:$AC,Sheet1!S71_A5CapexCode,$AD:$AD)</f>
        <v>0</v>
      </c>
      <c r="E63" s="1356"/>
      <c r="F63" s="1356"/>
      <c r="G63" s="1356"/>
      <c r="H63" s="1356"/>
      <c r="I63" s="1356">
        <f>SUMIFS(Sheet1!S71_AdjustmentAmount,Sheet1!S71_SA34Code,$AC:$AC,Sheet1!S71_A5CapexCode,$AD:$AD)</f>
        <v>0</v>
      </c>
      <c r="J63" s="75">
        <f t="shared" si="9"/>
        <v>0</v>
      </c>
      <c r="K63" s="75">
        <f t="shared" si="4"/>
        <v>0</v>
      </c>
      <c r="L63" s="1356">
        <f>SUMIFS(Sheet1!S71_OY1AdjustedBudget,Sheet1!S71_SA34Code,$AC:$AC,Sheet1!S71_A5CapexCode,$AD:$AD)</f>
        <v>0</v>
      </c>
      <c r="M63" s="1357">
        <f>SUMIFS(Sheet1!S71_OY2AdjustedBudget,Sheet1!S71_SA34Code,$AC:$AC,Sheet1!S71_A5CapexCode,$AD:$AD)</f>
        <v>0</v>
      </c>
      <c r="N63" s="842"/>
      <c r="AC63" s="1336" t="s">
        <v>1933</v>
      </c>
      <c r="AD63" s="1336" t="s">
        <v>1846</v>
      </c>
    </row>
    <row r="64" spans="1:30" ht="12.75" customHeight="1" x14ac:dyDescent="0.25">
      <c r="A64" s="586" t="s">
        <v>1611</v>
      </c>
      <c r="B64" s="73"/>
      <c r="C64" s="1110">
        <f t="shared" ref="C64:M64" si="12">SUM(C65:C69)</f>
        <v>0</v>
      </c>
      <c r="D64" s="130">
        <f t="shared" si="12"/>
        <v>0</v>
      </c>
      <c r="E64" s="130">
        <f t="shared" si="12"/>
        <v>0</v>
      </c>
      <c r="F64" s="130">
        <f t="shared" si="12"/>
        <v>0</v>
      </c>
      <c r="G64" s="130">
        <f t="shared" si="12"/>
        <v>0</v>
      </c>
      <c r="H64" s="130">
        <f t="shared" si="12"/>
        <v>0</v>
      </c>
      <c r="I64" s="130">
        <f t="shared" si="12"/>
        <v>0</v>
      </c>
      <c r="J64" s="75">
        <f t="shared" si="9"/>
        <v>0</v>
      </c>
      <c r="K64" s="75">
        <f t="shared" si="4"/>
        <v>0</v>
      </c>
      <c r="L64" s="130">
        <f t="shared" si="12"/>
        <v>0</v>
      </c>
      <c r="M64" s="131">
        <f t="shared" si="12"/>
        <v>0</v>
      </c>
      <c r="N64" s="126"/>
      <c r="AD64" s="1336" t="s">
        <v>1846</v>
      </c>
    </row>
    <row r="65" spans="1:30" ht="12.75" customHeight="1" x14ac:dyDescent="0.25">
      <c r="A65" s="585" t="s">
        <v>1612</v>
      </c>
      <c r="B65" s="73"/>
      <c r="C65" s="1356">
        <f>SUMIFS(Sheet1!S71_OriginalBudget,Sheet1!S71_SA34Code,$AC:$AC,Sheet1!S71_A5CapexCode,$AD:$AD)</f>
        <v>0</v>
      </c>
      <c r="D65" s="1356">
        <f>SUMIFS(Sheet1!S71_SpecialAdjustedBudget,Sheet1!S71_SA34Code,$AC:$AC,Sheet1!S71_A5CapexCode,$AD:$AD)</f>
        <v>0</v>
      </c>
      <c r="E65" s="1356"/>
      <c r="F65" s="1356"/>
      <c r="G65" s="1356"/>
      <c r="H65" s="1356"/>
      <c r="I65" s="1356">
        <f>SUMIFS(Sheet1!S71_AdjustmentAmount,Sheet1!S71_SA34Code,$AC:$AC,Sheet1!S71_A5CapexCode,$AD:$AD)</f>
        <v>0</v>
      </c>
      <c r="J65" s="75">
        <f t="shared" si="9"/>
        <v>0</v>
      </c>
      <c r="K65" s="75">
        <f t="shared" si="4"/>
        <v>0</v>
      </c>
      <c r="L65" s="1356">
        <f>SUMIFS(Sheet1!S71_OY1AdjustedBudget,Sheet1!S71_SA34Code,$AC:$AC,Sheet1!S71_A5CapexCode,$AD:$AD)</f>
        <v>0</v>
      </c>
      <c r="M65" s="1357">
        <f>SUMIFS(Sheet1!S71_OY2AdjustedBudget,Sheet1!S71_SA34Code,$AC:$AC,Sheet1!S71_A5CapexCode,$AD:$AD)</f>
        <v>0</v>
      </c>
      <c r="N65" s="837"/>
      <c r="AC65" s="1336" t="s">
        <v>1934</v>
      </c>
      <c r="AD65" s="1336" t="s">
        <v>1846</v>
      </c>
    </row>
    <row r="66" spans="1:30" ht="12.75" customHeight="1" x14ac:dyDescent="0.25">
      <c r="A66" s="585" t="s">
        <v>1613</v>
      </c>
      <c r="B66" s="73"/>
      <c r="C66" s="1356">
        <f>SUMIFS(Sheet1!S71_OriginalBudget,Sheet1!S71_SA34Code,$AC:$AC,Sheet1!S71_A5CapexCode,$AD:$AD)</f>
        <v>0</v>
      </c>
      <c r="D66" s="1356">
        <f>SUMIFS(Sheet1!S71_SpecialAdjustedBudget,Sheet1!S71_SA34Code,$AC:$AC,Sheet1!S71_A5CapexCode,$AD:$AD)</f>
        <v>0</v>
      </c>
      <c r="E66" s="1356"/>
      <c r="F66" s="1356"/>
      <c r="G66" s="1356"/>
      <c r="H66" s="1356"/>
      <c r="I66" s="1356">
        <f>SUMIFS(Sheet1!S71_AdjustmentAmount,Sheet1!S71_SA34Code,$AC:$AC,Sheet1!S71_A5CapexCode,$AD:$AD)</f>
        <v>0</v>
      </c>
      <c r="J66" s="75">
        <f t="shared" si="9"/>
        <v>0</v>
      </c>
      <c r="K66" s="75">
        <f t="shared" si="4"/>
        <v>0</v>
      </c>
      <c r="L66" s="1356">
        <f>SUMIFS(Sheet1!S71_OY1AdjustedBudget,Sheet1!S71_SA34Code,$AC:$AC,Sheet1!S71_A5CapexCode,$AD:$AD)</f>
        <v>0</v>
      </c>
      <c r="M66" s="1357">
        <f>SUMIFS(Sheet1!S71_OY2AdjustedBudget,Sheet1!S71_SA34Code,$AC:$AC,Sheet1!S71_A5CapexCode,$AD:$AD)</f>
        <v>0</v>
      </c>
      <c r="N66" s="837"/>
      <c r="AC66" s="1336" t="s">
        <v>1935</v>
      </c>
      <c r="AD66" s="1336" t="s">
        <v>1846</v>
      </c>
    </row>
    <row r="67" spans="1:30" ht="12.75" customHeight="1" x14ac:dyDescent="0.25">
      <c r="A67" s="585" t="s">
        <v>1614</v>
      </c>
      <c r="B67" s="73"/>
      <c r="C67" s="1356">
        <f>SUMIFS(Sheet1!S71_OriginalBudget,Sheet1!S71_SA34Code,$AC:$AC,Sheet1!S71_A5CapexCode,$AD:$AD)</f>
        <v>0</v>
      </c>
      <c r="D67" s="1356">
        <f>SUMIFS(Sheet1!S71_SpecialAdjustedBudget,Sheet1!S71_SA34Code,$AC:$AC,Sheet1!S71_A5CapexCode,$AD:$AD)</f>
        <v>0</v>
      </c>
      <c r="E67" s="1356"/>
      <c r="F67" s="1356"/>
      <c r="G67" s="1356"/>
      <c r="H67" s="1356"/>
      <c r="I67" s="1356">
        <f>SUMIFS(Sheet1!S71_AdjustmentAmount,Sheet1!S71_SA34Code,$AC:$AC,Sheet1!S71_A5CapexCode,$AD:$AD)</f>
        <v>0</v>
      </c>
      <c r="J67" s="75">
        <f t="shared" si="9"/>
        <v>0</v>
      </c>
      <c r="K67" s="75">
        <f t="shared" si="4"/>
        <v>0</v>
      </c>
      <c r="L67" s="1356">
        <f>SUMIFS(Sheet1!S71_OY1AdjustedBudget,Sheet1!S71_SA34Code,$AC:$AC,Sheet1!S71_A5CapexCode,$AD:$AD)</f>
        <v>0</v>
      </c>
      <c r="M67" s="1357">
        <f>SUMIFS(Sheet1!S71_OY2AdjustedBudget,Sheet1!S71_SA34Code,$AC:$AC,Sheet1!S71_A5CapexCode,$AD:$AD)</f>
        <v>0</v>
      </c>
      <c r="N67" s="842"/>
      <c r="AC67" s="1336" t="s">
        <v>1936</v>
      </c>
      <c r="AD67" s="1336" t="s">
        <v>1846</v>
      </c>
    </row>
    <row r="68" spans="1:30" ht="12.75" customHeight="1" x14ac:dyDescent="0.25">
      <c r="A68" s="585" t="s">
        <v>1615</v>
      </c>
      <c r="B68" s="73"/>
      <c r="C68" s="1356">
        <f>SUMIFS(Sheet1!S71_OriginalBudget,Sheet1!S71_SA34Code,$AC:$AC,Sheet1!S71_A5CapexCode,$AD:$AD)</f>
        <v>0</v>
      </c>
      <c r="D68" s="1356">
        <f>SUMIFS(Sheet1!S71_SpecialAdjustedBudget,Sheet1!S71_SA34Code,$AC:$AC,Sheet1!S71_A5CapexCode,$AD:$AD)</f>
        <v>0</v>
      </c>
      <c r="E68" s="1356"/>
      <c r="F68" s="1356"/>
      <c r="G68" s="1356"/>
      <c r="H68" s="1356"/>
      <c r="I68" s="1356">
        <f>SUMIFS(Sheet1!S71_AdjustmentAmount,Sheet1!S71_SA34Code,$AC:$AC,Sheet1!S71_A5CapexCode,$AD:$AD)</f>
        <v>0</v>
      </c>
      <c r="J68" s="75">
        <f t="shared" si="9"/>
        <v>0</v>
      </c>
      <c r="K68" s="75">
        <f t="shared" si="4"/>
        <v>0</v>
      </c>
      <c r="L68" s="1356">
        <f>SUMIFS(Sheet1!S71_OY1AdjustedBudget,Sheet1!S71_SA34Code,$AC:$AC,Sheet1!S71_A5CapexCode,$AD:$AD)</f>
        <v>0</v>
      </c>
      <c r="M68" s="1357">
        <f>SUMIFS(Sheet1!S71_OY2AdjustedBudget,Sheet1!S71_SA34Code,$AC:$AC,Sheet1!S71_A5CapexCode,$AD:$AD)</f>
        <v>0</v>
      </c>
      <c r="N68" s="837"/>
      <c r="AC68" s="1336" t="s">
        <v>1937</v>
      </c>
      <c r="AD68" s="1336" t="s">
        <v>1846</v>
      </c>
    </row>
    <row r="69" spans="1:30" ht="12.75" customHeight="1" x14ac:dyDescent="0.25">
      <c r="A69" s="585" t="s">
        <v>1571</v>
      </c>
      <c r="B69" s="73"/>
      <c r="C69" s="1356">
        <f>SUMIFS(Sheet1!S71_OriginalBudget,Sheet1!S71_SA34Code,$AC:$AC,Sheet1!S71_A5CapexCode,$AD:$AD)</f>
        <v>0</v>
      </c>
      <c r="D69" s="1356">
        <f>SUMIFS(Sheet1!S71_SpecialAdjustedBudget,Sheet1!S71_SA34Code,$AC:$AC,Sheet1!S71_A5CapexCode,$AD:$AD)</f>
        <v>0</v>
      </c>
      <c r="E69" s="1356"/>
      <c r="F69" s="1356"/>
      <c r="G69" s="1356"/>
      <c r="H69" s="1356"/>
      <c r="I69" s="1356">
        <f>SUMIFS(Sheet1!S71_AdjustmentAmount,Sheet1!S71_SA34Code,$AC:$AC,Sheet1!S71_A5CapexCode,$AD:$AD)</f>
        <v>0</v>
      </c>
      <c r="J69" s="75">
        <f t="shared" si="9"/>
        <v>0</v>
      </c>
      <c r="K69" s="75">
        <f t="shared" si="4"/>
        <v>0</v>
      </c>
      <c r="L69" s="1356">
        <f>SUMIFS(Sheet1!S71_OY1AdjustedBudget,Sheet1!S71_SA34Code,$AC:$AC,Sheet1!S71_A5CapexCode,$AD:$AD)</f>
        <v>0</v>
      </c>
      <c r="M69" s="1357">
        <f>SUMIFS(Sheet1!S71_OY2AdjustedBudget,Sheet1!S71_SA34Code,$AC:$AC,Sheet1!S71_A5CapexCode,$AD:$AD)</f>
        <v>0</v>
      </c>
      <c r="N69" s="842"/>
      <c r="AC69" s="1336" t="s">
        <v>1938</v>
      </c>
      <c r="AD69" s="1336" t="s">
        <v>1846</v>
      </c>
    </row>
    <row r="70" spans="1:30" ht="12.75" customHeight="1" x14ac:dyDescent="0.25">
      <c r="A70" s="584" t="s">
        <v>1616</v>
      </c>
      <c r="B70" s="73"/>
      <c r="C70" s="130">
        <f t="shared" ref="C70:M70" si="13">SUM(C71:C74)</f>
        <v>0</v>
      </c>
      <c r="D70" s="130">
        <f t="shared" si="13"/>
        <v>0</v>
      </c>
      <c r="E70" s="130">
        <f t="shared" si="13"/>
        <v>0</v>
      </c>
      <c r="F70" s="130">
        <f t="shared" si="13"/>
        <v>0</v>
      </c>
      <c r="G70" s="130">
        <f t="shared" si="13"/>
        <v>0</v>
      </c>
      <c r="H70" s="130">
        <f t="shared" si="13"/>
        <v>0</v>
      </c>
      <c r="I70" s="130">
        <f t="shared" si="13"/>
        <v>0</v>
      </c>
      <c r="J70" s="75">
        <f t="shared" si="9"/>
        <v>0</v>
      </c>
      <c r="K70" s="75">
        <f t="shared" si="4"/>
        <v>0</v>
      </c>
      <c r="L70" s="130">
        <f t="shared" si="13"/>
        <v>0</v>
      </c>
      <c r="M70" s="131">
        <f t="shared" si="13"/>
        <v>0</v>
      </c>
      <c r="N70" s="842"/>
      <c r="AD70" s="1336" t="s">
        <v>1846</v>
      </c>
    </row>
    <row r="71" spans="1:30" ht="12.75" customHeight="1" x14ac:dyDescent="0.25">
      <c r="A71" s="585" t="s">
        <v>1617</v>
      </c>
      <c r="B71" s="73"/>
      <c r="C71" s="1356">
        <f>SUMIFS(Sheet1!S71_OriginalBudget,Sheet1!S71_SA34Code,$AC:$AC,Sheet1!S71_A5CapexCode,$AD:$AD)</f>
        <v>0</v>
      </c>
      <c r="D71" s="1356">
        <f>SUMIFS(Sheet1!S71_SpecialAdjustedBudget,Sheet1!S71_SA34Code,$AC:$AC,Sheet1!S71_A5CapexCode,$AD:$AD)</f>
        <v>0</v>
      </c>
      <c r="E71" s="1356"/>
      <c r="F71" s="1356"/>
      <c r="G71" s="1356"/>
      <c r="H71" s="1356"/>
      <c r="I71" s="1356">
        <f>SUMIFS(Sheet1!S71_AdjustmentAmount,Sheet1!S71_SA34Code,$AC:$AC,Sheet1!S71_A5CapexCode,$AD:$AD)</f>
        <v>0</v>
      </c>
      <c r="J71" s="75">
        <f t="shared" si="9"/>
        <v>0</v>
      </c>
      <c r="K71" s="75">
        <f t="shared" si="4"/>
        <v>0</v>
      </c>
      <c r="L71" s="1356">
        <f>SUMIFS(Sheet1!S71_OY1AdjustedBudget,Sheet1!S71_SA34Code,$AC:$AC,Sheet1!S71_A5CapexCode,$AD:$AD)</f>
        <v>0</v>
      </c>
      <c r="M71" s="1357">
        <f>SUMIFS(Sheet1!S71_OY2AdjustedBudget,Sheet1!S71_SA34Code,$AC:$AC,Sheet1!S71_A5CapexCode,$AD:$AD)</f>
        <v>0</v>
      </c>
      <c r="N71" s="842"/>
      <c r="AC71" s="1336" t="s">
        <v>1939</v>
      </c>
      <c r="AD71" s="1336" t="s">
        <v>1846</v>
      </c>
    </row>
    <row r="72" spans="1:30" ht="12.75" customHeight="1" x14ac:dyDescent="0.25">
      <c r="A72" s="585" t="s">
        <v>1618</v>
      </c>
      <c r="B72" s="73"/>
      <c r="C72" s="1356">
        <f>SUMIFS(Sheet1!S71_OriginalBudget,Sheet1!S71_SA34Code,$AC:$AC,Sheet1!S71_A5CapexCode,$AD:$AD)</f>
        <v>0</v>
      </c>
      <c r="D72" s="1356">
        <f>SUMIFS(Sheet1!S71_SpecialAdjustedBudget,Sheet1!S71_SA34Code,$AC:$AC,Sheet1!S71_A5CapexCode,$AD:$AD)</f>
        <v>0</v>
      </c>
      <c r="E72" s="1356"/>
      <c r="F72" s="1356"/>
      <c r="G72" s="1356"/>
      <c r="H72" s="1356"/>
      <c r="I72" s="1356">
        <f>SUMIFS(Sheet1!S71_AdjustmentAmount,Sheet1!S71_SA34Code,$AC:$AC,Sheet1!S71_A5CapexCode,$AD:$AD)</f>
        <v>0</v>
      </c>
      <c r="J72" s="75">
        <f t="shared" si="9"/>
        <v>0</v>
      </c>
      <c r="K72" s="75">
        <f t="shared" si="4"/>
        <v>0</v>
      </c>
      <c r="L72" s="1356">
        <f>SUMIFS(Sheet1!S71_OY1AdjustedBudget,Sheet1!S71_SA34Code,$AC:$AC,Sheet1!S71_A5CapexCode,$AD:$AD)</f>
        <v>0</v>
      </c>
      <c r="M72" s="1357">
        <f>SUMIFS(Sheet1!S71_OY2AdjustedBudget,Sheet1!S71_SA34Code,$AC:$AC,Sheet1!S71_A5CapexCode,$AD:$AD)</f>
        <v>0</v>
      </c>
      <c r="N72" s="842"/>
      <c r="AC72" s="1336" t="s">
        <v>1940</v>
      </c>
      <c r="AD72" s="1336" t="s">
        <v>1846</v>
      </c>
    </row>
    <row r="73" spans="1:30" ht="12.75" customHeight="1" x14ac:dyDescent="0.25">
      <c r="A73" s="585" t="s">
        <v>1619</v>
      </c>
      <c r="B73" s="73"/>
      <c r="C73" s="1356">
        <f>SUMIFS(Sheet1!S71_OriginalBudget,Sheet1!S71_SA34Code,$AC:$AC,Sheet1!S71_A5CapexCode,$AD:$AD)</f>
        <v>0</v>
      </c>
      <c r="D73" s="1356">
        <f>SUMIFS(Sheet1!S71_SpecialAdjustedBudget,Sheet1!S71_SA34Code,$AC:$AC,Sheet1!S71_A5CapexCode,$AD:$AD)</f>
        <v>0</v>
      </c>
      <c r="E73" s="1356"/>
      <c r="F73" s="1356"/>
      <c r="G73" s="1356"/>
      <c r="H73" s="1356"/>
      <c r="I73" s="1356">
        <f>SUMIFS(Sheet1!S71_AdjustmentAmount,Sheet1!S71_SA34Code,$AC:$AC,Sheet1!S71_A5CapexCode,$AD:$AD)</f>
        <v>0</v>
      </c>
      <c r="J73" s="75">
        <f t="shared" ref="J73:J74" si="14">SUM(E73:I73)</f>
        <v>0</v>
      </c>
      <c r="K73" s="75">
        <f>IF(D73=0,C73+J73,D73+J73)</f>
        <v>0</v>
      </c>
      <c r="L73" s="1356">
        <f>SUMIFS(Sheet1!S71_OY1AdjustedBudget,Sheet1!S71_SA34Code,$AC:$AC,Sheet1!S71_A5CapexCode,$AD:$AD)</f>
        <v>0</v>
      </c>
      <c r="M73" s="1357">
        <f>SUMIFS(Sheet1!S71_OY2AdjustedBudget,Sheet1!S71_SA34Code,$AC:$AC,Sheet1!S71_A5CapexCode,$AD:$AD)</f>
        <v>0</v>
      </c>
      <c r="N73" s="842"/>
      <c r="AC73" s="1336" t="s">
        <v>1941</v>
      </c>
      <c r="AD73" s="1336" t="s">
        <v>1846</v>
      </c>
    </row>
    <row r="74" spans="1:30" ht="12.75" customHeight="1" x14ac:dyDescent="0.25">
      <c r="A74" s="585" t="s">
        <v>1571</v>
      </c>
      <c r="B74" s="73"/>
      <c r="C74" s="1356">
        <f>SUMIFS(Sheet1!S71_OriginalBudget,Sheet1!S71_SA34Code,$AC:$AC,Sheet1!S71_A5CapexCode,$AD:$AD)</f>
        <v>0</v>
      </c>
      <c r="D74" s="1356">
        <f>SUMIFS(Sheet1!S71_SpecialAdjustedBudget,Sheet1!S71_SA34Code,$AC:$AC,Sheet1!S71_A5CapexCode,$AD:$AD)</f>
        <v>0</v>
      </c>
      <c r="E74" s="1356"/>
      <c r="F74" s="1356"/>
      <c r="G74" s="1356"/>
      <c r="H74" s="1356"/>
      <c r="I74" s="1356">
        <f>SUMIFS(Sheet1!S71_AdjustmentAmount,Sheet1!S71_SA34Code,$AC:$AC,Sheet1!S71_A5CapexCode,$AD:$AD)</f>
        <v>0</v>
      </c>
      <c r="J74" s="75">
        <f t="shared" si="14"/>
        <v>0</v>
      </c>
      <c r="K74" s="75">
        <f>IF(D74=0,C74+J74,D74+J74)</f>
        <v>0</v>
      </c>
      <c r="L74" s="1356">
        <f>SUMIFS(Sheet1!S71_OY1AdjustedBudget,Sheet1!S71_SA34Code,$AC:$AC,Sheet1!S71_A5CapexCode,$AD:$AD)</f>
        <v>0</v>
      </c>
      <c r="M74" s="1357">
        <f>SUMIFS(Sheet1!S71_OY2AdjustedBudget,Sheet1!S71_SA34Code,$AC:$AC,Sheet1!S71_A5CapexCode,$AD:$AD)</f>
        <v>0</v>
      </c>
      <c r="N74" s="842"/>
      <c r="AC74" s="1336" t="s">
        <v>1942</v>
      </c>
      <c r="AD74" s="1336" t="s">
        <v>1846</v>
      </c>
    </row>
    <row r="75" spans="1:30" ht="5.0999999999999996" customHeight="1" x14ac:dyDescent="0.25">
      <c r="A75" s="134"/>
      <c r="B75" s="73"/>
      <c r="C75" s="74"/>
      <c r="D75" s="75"/>
      <c r="E75" s="75"/>
      <c r="F75" s="75"/>
      <c r="G75" s="75"/>
      <c r="H75" s="75"/>
      <c r="I75" s="75"/>
      <c r="J75" s="75"/>
      <c r="K75" s="75"/>
      <c r="L75" s="75"/>
      <c r="M75" s="76"/>
      <c r="N75" s="126"/>
      <c r="AD75" s="1336" t="s">
        <v>1846</v>
      </c>
    </row>
    <row r="76" spans="1:30" ht="12.75" customHeight="1" x14ac:dyDescent="0.25">
      <c r="A76" s="484" t="s">
        <v>1620</v>
      </c>
      <c r="B76" s="73"/>
      <c r="C76" s="234">
        <f>+C77+C100</f>
        <v>0</v>
      </c>
      <c r="D76" s="235">
        <f>+D77+D100</f>
        <v>0</v>
      </c>
      <c r="E76" s="235">
        <f t="shared" ref="E76:M76" si="15">+E77+E100</f>
        <v>0</v>
      </c>
      <c r="F76" s="235">
        <f t="shared" si="15"/>
        <v>0</v>
      </c>
      <c r="G76" s="235">
        <f t="shared" si="15"/>
        <v>0</v>
      </c>
      <c r="H76" s="235">
        <f t="shared" si="15"/>
        <v>0</v>
      </c>
      <c r="I76" s="235">
        <f t="shared" si="15"/>
        <v>0</v>
      </c>
      <c r="J76" s="143">
        <f t="shared" ref="J76:J103" si="16">SUM(E76:I76)</f>
        <v>0</v>
      </c>
      <c r="K76" s="143">
        <f t="shared" ref="K76:K139" si="17">IF(D76=0,C76+J76,D76+J76)</f>
        <v>0</v>
      </c>
      <c r="L76" s="235">
        <f t="shared" si="15"/>
        <v>0</v>
      </c>
      <c r="M76" s="236">
        <f t="shared" si="15"/>
        <v>0</v>
      </c>
      <c r="N76" s="126"/>
      <c r="AD76" s="1336" t="s">
        <v>1846</v>
      </c>
    </row>
    <row r="77" spans="1:30" ht="12.75" customHeight="1" x14ac:dyDescent="0.25">
      <c r="A77" s="584" t="s">
        <v>1621</v>
      </c>
      <c r="B77" s="73"/>
      <c r="C77" s="130">
        <f>SUM(C78:C99)</f>
        <v>0</v>
      </c>
      <c r="D77" s="130">
        <f t="shared" ref="D77:I77" si="18">SUM(D78:D99)</f>
        <v>0</v>
      </c>
      <c r="E77" s="130">
        <f t="shared" si="18"/>
        <v>0</v>
      </c>
      <c r="F77" s="130">
        <f t="shared" si="18"/>
        <v>0</v>
      </c>
      <c r="G77" s="130">
        <f t="shared" si="18"/>
        <v>0</v>
      </c>
      <c r="H77" s="130">
        <f t="shared" si="18"/>
        <v>0</v>
      </c>
      <c r="I77" s="130">
        <f t="shared" si="18"/>
        <v>0</v>
      </c>
      <c r="J77" s="75">
        <f t="shared" si="16"/>
        <v>0</v>
      </c>
      <c r="K77" s="75">
        <f t="shared" si="17"/>
        <v>0</v>
      </c>
      <c r="L77" s="130">
        <f>SUM(L78:L99)</f>
        <v>0</v>
      </c>
      <c r="M77" s="131">
        <f>SUM(M78:M99)</f>
        <v>0</v>
      </c>
      <c r="N77" s="842"/>
      <c r="AD77" s="1336" t="s">
        <v>1846</v>
      </c>
    </row>
    <row r="78" spans="1:30" ht="12.75" customHeight="1" x14ac:dyDescent="0.25">
      <c r="A78" s="585" t="s">
        <v>1622</v>
      </c>
      <c r="B78" s="73"/>
      <c r="C78" s="1356">
        <f>SUMIFS(Sheet1!S71_OriginalBudget,Sheet1!S71_SA34Code,$AC:$AC,Sheet1!S71_A5CapexCode,$AD:$AD)</f>
        <v>0</v>
      </c>
      <c r="D78" s="1356">
        <f>SUMIFS(Sheet1!S71_SpecialAdjustedBudget,Sheet1!S71_SA34Code,$AC:$AC,Sheet1!S71_A5CapexCode,$AD:$AD)</f>
        <v>0</v>
      </c>
      <c r="E78" s="1356"/>
      <c r="F78" s="1356"/>
      <c r="G78" s="1356"/>
      <c r="H78" s="1356"/>
      <c r="I78" s="1356">
        <f>SUMIFS(Sheet1!S71_AdjustmentAmount,Sheet1!S71_SA34Code,$AC:$AC,Sheet1!S71_A5CapexCode,$AD:$AD)</f>
        <v>0</v>
      </c>
      <c r="J78" s="75">
        <f t="shared" si="16"/>
        <v>0</v>
      </c>
      <c r="K78" s="75">
        <f t="shared" si="17"/>
        <v>0</v>
      </c>
      <c r="L78" s="1356">
        <f>SUMIFS(Sheet1!S71_OY1AdjustedBudget,Sheet1!S71_SA34Code,$AC:$AC,Sheet1!S71_A5CapexCode,$AD:$AD)</f>
        <v>0</v>
      </c>
      <c r="M78" s="1357">
        <f>SUMIFS(Sheet1!S71_OY2AdjustedBudget,Sheet1!S71_SA34Code,$AC:$AC,Sheet1!S71_A5CapexCode,$AD:$AD)</f>
        <v>0</v>
      </c>
      <c r="N78" s="126"/>
      <c r="AC78" s="1336" t="s">
        <v>1943</v>
      </c>
      <c r="AD78" s="1336" t="s">
        <v>1846</v>
      </c>
    </row>
    <row r="79" spans="1:30" ht="12.75" customHeight="1" x14ac:dyDescent="0.25">
      <c r="A79" s="585" t="s">
        <v>1623</v>
      </c>
      <c r="B79" s="73"/>
      <c r="C79" s="1356">
        <f>SUMIFS(Sheet1!S71_OriginalBudget,Sheet1!S71_SA34Code,$AC:$AC,Sheet1!S71_A5CapexCode,$AD:$AD)</f>
        <v>0</v>
      </c>
      <c r="D79" s="1356">
        <f>SUMIFS(Sheet1!S71_SpecialAdjustedBudget,Sheet1!S71_SA34Code,$AC:$AC,Sheet1!S71_A5CapexCode,$AD:$AD)</f>
        <v>0</v>
      </c>
      <c r="E79" s="1356"/>
      <c r="F79" s="1356"/>
      <c r="G79" s="1356"/>
      <c r="H79" s="1356"/>
      <c r="I79" s="1356">
        <f>SUMIFS(Sheet1!S71_AdjustmentAmount,Sheet1!S71_SA34Code,$AC:$AC,Sheet1!S71_A5CapexCode,$AD:$AD)</f>
        <v>0</v>
      </c>
      <c r="J79" s="75">
        <f t="shared" si="16"/>
        <v>0</v>
      </c>
      <c r="K79" s="75">
        <f t="shared" si="17"/>
        <v>0</v>
      </c>
      <c r="L79" s="1356">
        <f>SUMIFS(Sheet1!S71_OY1AdjustedBudget,Sheet1!S71_SA34Code,$AC:$AC,Sheet1!S71_A5CapexCode,$AD:$AD)</f>
        <v>0</v>
      </c>
      <c r="M79" s="1357">
        <f>SUMIFS(Sheet1!S71_OY2AdjustedBudget,Sheet1!S71_SA34Code,$AC:$AC,Sheet1!S71_A5CapexCode,$AD:$AD)</f>
        <v>0</v>
      </c>
      <c r="N79" s="126"/>
      <c r="AC79" s="1336" t="s">
        <v>1819</v>
      </c>
      <c r="AD79" s="1336" t="s">
        <v>1846</v>
      </c>
    </row>
    <row r="80" spans="1:30" ht="12.75" customHeight="1" x14ac:dyDescent="0.25">
      <c r="A80" s="585" t="s">
        <v>1624</v>
      </c>
      <c r="B80" s="73"/>
      <c r="C80" s="1356">
        <f>SUMIFS(Sheet1!S71_OriginalBudget,Sheet1!S71_SA34Code,$AC:$AC,Sheet1!S71_A5CapexCode,$AD:$AD)</f>
        <v>0</v>
      </c>
      <c r="D80" s="1356">
        <f>SUMIFS(Sheet1!S71_SpecialAdjustedBudget,Sheet1!S71_SA34Code,$AC:$AC,Sheet1!S71_A5CapexCode,$AD:$AD)</f>
        <v>0</v>
      </c>
      <c r="E80" s="1356"/>
      <c r="F80" s="1356"/>
      <c r="G80" s="1356"/>
      <c r="H80" s="1356"/>
      <c r="I80" s="1356">
        <f>SUMIFS(Sheet1!S71_AdjustmentAmount,Sheet1!S71_SA34Code,$AC:$AC,Sheet1!S71_A5CapexCode,$AD:$AD)</f>
        <v>0</v>
      </c>
      <c r="J80" s="75">
        <f t="shared" si="16"/>
        <v>0</v>
      </c>
      <c r="K80" s="75">
        <f t="shared" si="17"/>
        <v>0</v>
      </c>
      <c r="L80" s="1356">
        <f>SUMIFS(Sheet1!S71_OY1AdjustedBudget,Sheet1!S71_SA34Code,$AC:$AC,Sheet1!S71_A5CapexCode,$AD:$AD)</f>
        <v>0</v>
      </c>
      <c r="M80" s="1357">
        <f>SUMIFS(Sheet1!S71_OY2AdjustedBudget,Sheet1!S71_SA34Code,$AC:$AC,Sheet1!S71_A5CapexCode,$AD:$AD)</f>
        <v>0</v>
      </c>
      <c r="N80" s="126"/>
      <c r="AC80" s="1336" t="s">
        <v>1944</v>
      </c>
      <c r="AD80" s="1336" t="s">
        <v>1846</v>
      </c>
    </row>
    <row r="81" spans="1:30" ht="12.75" customHeight="1" x14ac:dyDescent="0.25">
      <c r="A81" s="585" t="s">
        <v>1625</v>
      </c>
      <c r="B81" s="73"/>
      <c r="C81" s="1356">
        <f>SUMIFS(Sheet1!S71_OriginalBudget,Sheet1!S71_SA34Code,$AC:$AC,Sheet1!S71_A5CapexCode,$AD:$AD)</f>
        <v>0</v>
      </c>
      <c r="D81" s="1356">
        <f>SUMIFS(Sheet1!S71_SpecialAdjustedBudget,Sheet1!S71_SA34Code,$AC:$AC,Sheet1!S71_A5CapexCode,$AD:$AD)</f>
        <v>0</v>
      </c>
      <c r="E81" s="1356"/>
      <c r="F81" s="1356"/>
      <c r="G81" s="1356"/>
      <c r="H81" s="1356"/>
      <c r="I81" s="1356">
        <f>SUMIFS(Sheet1!S71_AdjustmentAmount,Sheet1!S71_SA34Code,$AC:$AC,Sheet1!S71_A5CapexCode,$AD:$AD)</f>
        <v>0</v>
      </c>
      <c r="J81" s="75">
        <f t="shared" si="16"/>
        <v>0</v>
      </c>
      <c r="K81" s="75">
        <f t="shared" si="17"/>
        <v>0</v>
      </c>
      <c r="L81" s="1356">
        <f>SUMIFS(Sheet1!S71_OY1AdjustedBudget,Sheet1!S71_SA34Code,$AC:$AC,Sheet1!S71_A5CapexCode,$AD:$AD)</f>
        <v>0</v>
      </c>
      <c r="M81" s="1357">
        <f>SUMIFS(Sheet1!S71_OY2AdjustedBudget,Sheet1!S71_SA34Code,$AC:$AC,Sheet1!S71_A5CapexCode,$AD:$AD)</f>
        <v>0</v>
      </c>
      <c r="N81" s="126"/>
      <c r="AC81" s="1336" t="s">
        <v>1945</v>
      </c>
      <c r="AD81" s="1336" t="s">
        <v>1846</v>
      </c>
    </row>
    <row r="82" spans="1:30" ht="12.75" customHeight="1" x14ac:dyDescent="0.25">
      <c r="A82" s="585" t="s">
        <v>1626</v>
      </c>
      <c r="B82" s="73"/>
      <c r="C82" s="1356">
        <f>SUMIFS(Sheet1!S71_OriginalBudget,Sheet1!S71_SA34Code,$AC:$AC,Sheet1!S71_A5CapexCode,$AD:$AD)</f>
        <v>0</v>
      </c>
      <c r="D82" s="1356">
        <f>SUMIFS(Sheet1!S71_SpecialAdjustedBudget,Sheet1!S71_SA34Code,$AC:$AC,Sheet1!S71_A5CapexCode,$AD:$AD)</f>
        <v>0</v>
      </c>
      <c r="E82" s="1356"/>
      <c r="F82" s="1356"/>
      <c r="G82" s="1356"/>
      <c r="H82" s="1356"/>
      <c r="I82" s="1356">
        <f>SUMIFS(Sheet1!S71_AdjustmentAmount,Sheet1!S71_SA34Code,$AC:$AC,Sheet1!S71_A5CapexCode,$AD:$AD)</f>
        <v>0</v>
      </c>
      <c r="J82" s="75">
        <f t="shared" si="16"/>
        <v>0</v>
      </c>
      <c r="K82" s="75">
        <f t="shared" si="17"/>
        <v>0</v>
      </c>
      <c r="L82" s="1356">
        <f>SUMIFS(Sheet1!S71_OY1AdjustedBudget,Sheet1!S71_SA34Code,$AC:$AC,Sheet1!S71_A5CapexCode,$AD:$AD)</f>
        <v>0</v>
      </c>
      <c r="M82" s="1357">
        <f>SUMIFS(Sheet1!S71_OY2AdjustedBudget,Sheet1!S71_SA34Code,$AC:$AC,Sheet1!S71_A5CapexCode,$AD:$AD)</f>
        <v>0</v>
      </c>
      <c r="N82" s="126"/>
      <c r="AC82" s="1336" t="s">
        <v>1946</v>
      </c>
      <c r="AD82" s="1336" t="s">
        <v>1846</v>
      </c>
    </row>
    <row r="83" spans="1:30" ht="12.75" customHeight="1" x14ac:dyDescent="0.25">
      <c r="A83" s="585" t="s">
        <v>1627</v>
      </c>
      <c r="B83" s="73"/>
      <c r="C83" s="1356">
        <f>SUMIFS(Sheet1!S71_OriginalBudget,Sheet1!S71_SA34Code,$AC:$AC,Sheet1!S71_A5CapexCode,$AD:$AD)</f>
        <v>0</v>
      </c>
      <c r="D83" s="1356">
        <f>SUMIFS(Sheet1!S71_SpecialAdjustedBudget,Sheet1!S71_SA34Code,$AC:$AC,Sheet1!S71_A5CapexCode,$AD:$AD)</f>
        <v>0</v>
      </c>
      <c r="E83" s="1356"/>
      <c r="F83" s="1356"/>
      <c r="G83" s="1356"/>
      <c r="H83" s="1356"/>
      <c r="I83" s="1356">
        <f>SUMIFS(Sheet1!S71_AdjustmentAmount,Sheet1!S71_SA34Code,$AC:$AC,Sheet1!S71_A5CapexCode,$AD:$AD)</f>
        <v>0</v>
      </c>
      <c r="J83" s="75">
        <f t="shared" si="16"/>
        <v>0</v>
      </c>
      <c r="K83" s="75">
        <f t="shared" si="17"/>
        <v>0</v>
      </c>
      <c r="L83" s="1356">
        <f>SUMIFS(Sheet1!S71_OY1AdjustedBudget,Sheet1!S71_SA34Code,$AC:$AC,Sheet1!S71_A5CapexCode,$AD:$AD)</f>
        <v>0</v>
      </c>
      <c r="M83" s="1357">
        <f>SUMIFS(Sheet1!S71_OY2AdjustedBudget,Sheet1!S71_SA34Code,$AC:$AC,Sheet1!S71_A5CapexCode,$AD:$AD)</f>
        <v>0</v>
      </c>
      <c r="N83" s="126"/>
      <c r="AC83" s="1336" t="s">
        <v>1947</v>
      </c>
      <c r="AD83" s="1336" t="s">
        <v>1846</v>
      </c>
    </row>
    <row r="84" spans="1:30" ht="12.75" customHeight="1" x14ac:dyDescent="0.25">
      <c r="A84" s="585" t="s">
        <v>1628</v>
      </c>
      <c r="B84" s="73"/>
      <c r="C84" s="1356">
        <f>SUMIFS(Sheet1!S71_OriginalBudget,Sheet1!S71_SA34Code,$AC:$AC,Sheet1!S71_A5CapexCode,$AD:$AD)</f>
        <v>0</v>
      </c>
      <c r="D84" s="1356">
        <f>SUMIFS(Sheet1!S71_SpecialAdjustedBudget,Sheet1!S71_SA34Code,$AC:$AC,Sheet1!S71_A5CapexCode,$AD:$AD)</f>
        <v>0</v>
      </c>
      <c r="E84" s="1356"/>
      <c r="F84" s="1356"/>
      <c r="G84" s="1356"/>
      <c r="H84" s="1356"/>
      <c r="I84" s="1356">
        <f>SUMIFS(Sheet1!S71_AdjustmentAmount,Sheet1!S71_SA34Code,$AC:$AC,Sheet1!S71_A5CapexCode,$AD:$AD)</f>
        <v>0</v>
      </c>
      <c r="J84" s="75">
        <f t="shared" si="16"/>
        <v>0</v>
      </c>
      <c r="K84" s="75">
        <f t="shared" si="17"/>
        <v>0</v>
      </c>
      <c r="L84" s="1356">
        <f>SUMIFS(Sheet1!S71_OY1AdjustedBudget,Sheet1!S71_SA34Code,$AC:$AC,Sheet1!S71_A5CapexCode,$AD:$AD)</f>
        <v>0</v>
      </c>
      <c r="M84" s="1357">
        <f>SUMIFS(Sheet1!S71_OY2AdjustedBudget,Sheet1!S71_SA34Code,$AC:$AC,Sheet1!S71_A5CapexCode,$AD:$AD)</f>
        <v>0</v>
      </c>
      <c r="N84" s="126"/>
      <c r="AC84" s="1336" t="s">
        <v>1948</v>
      </c>
      <c r="AD84" s="1336" t="s">
        <v>1846</v>
      </c>
    </row>
    <row r="85" spans="1:30" ht="12.75" customHeight="1" x14ac:dyDescent="0.25">
      <c r="A85" s="585" t="s">
        <v>1629</v>
      </c>
      <c r="B85" s="73"/>
      <c r="C85" s="1356">
        <f>SUMIFS(Sheet1!S71_OriginalBudget,Sheet1!S71_SA34Code,$AC:$AC,Sheet1!S71_A5CapexCode,$AD:$AD)</f>
        <v>0</v>
      </c>
      <c r="D85" s="1356">
        <f>SUMIFS(Sheet1!S71_SpecialAdjustedBudget,Sheet1!S71_SA34Code,$AC:$AC,Sheet1!S71_A5CapexCode,$AD:$AD)</f>
        <v>0</v>
      </c>
      <c r="E85" s="1356"/>
      <c r="F85" s="1356"/>
      <c r="G85" s="1356"/>
      <c r="H85" s="1356"/>
      <c r="I85" s="1356">
        <f>SUMIFS(Sheet1!S71_AdjustmentAmount,Sheet1!S71_SA34Code,$AC:$AC,Sheet1!S71_A5CapexCode,$AD:$AD)</f>
        <v>0</v>
      </c>
      <c r="J85" s="75">
        <f t="shared" si="16"/>
        <v>0</v>
      </c>
      <c r="K85" s="75">
        <f t="shared" si="17"/>
        <v>0</v>
      </c>
      <c r="L85" s="1356">
        <f>SUMIFS(Sheet1!S71_OY1AdjustedBudget,Sheet1!S71_SA34Code,$AC:$AC,Sheet1!S71_A5CapexCode,$AD:$AD)</f>
        <v>0</v>
      </c>
      <c r="M85" s="1357">
        <f>SUMIFS(Sheet1!S71_OY2AdjustedBudget,Sheet1!S71_SA34Code,$AC:$AC,Sheet1!S71_A5CapexCode,$AD:$AD)</f>
        <v>0</v>
      </c>
      <c r="N85" s="126"/>
      <c r="AC85" s="1336" t="s">
        <v>1949</v>
      </c>
      <c r="AD85" s="1336" t="s">
        <v>1846</v>
      </c>
    </row>
    <row r="86" spans="1:30" ht="12.75" customHeight="1" x14ac:dyDescent="0.25">
      <c r="A86" s="585" t="s">
        <v>1511</v>
      </c>
      <c r="B86" s="73"/>
      <c r="C86" s="1356">
        <f>SUMIFS(Sheet1!S71_OriginalBudget,Sheet1!S71_SA34Code,$AC:$AC,Sheet1!S71_A5CapexCode,$AD:$AD)</f>
        <v>0</v>
      </c>
      <c r="D86" s="1356">
        <f>SUMIFS(Sheet1!S71_SpecialAdjustedBudget,Sheet1!S71_SA34Code,$AC:$AC,Sheet1!S71_A5CapexCode,$AD:$AD)</f>
        <v>0</v>
      </c>
      <c r="E86" s="1356"/>
      <c r="F86" s="1356"/>
      <c r="G86" s="1356"/>
      <c r="H86" s="1356"/>
      <c r="I86" s="1356">
        <f>SUMIFS(Sheet1!S71_AdjustmentAmount,Sheet1!S71_SA34Code,$AC:$AC,Sheet1!S71_A5CapexCode,$AD:$AD)</f>
        <v>0</v>
      </c>
      <c r="J86" s="75">
        <f t="shared" si="16"/>
        <v>0</v>
      </c>
      <c r="K86" s="75">
        <f t="shared" si="17"/>
        <v>0</v>
      </c>
      <c r="L86" s="1356">
        <f>SUMIFS(Sheet1!S71_OY1AdjustedBudget,Sheet1!S71_SA34Code,$AC:$AC,Sheet1!S71_A5CapexCode,$AD:$AD)</f>
        <v>0</v>
      </c>
      <c r="M86" s="1357">
        <f>SUMIFS(Sheet1!S71_OY2AdjustedBudget,Sheet1!S71_SA34Code,$AC:$AC,Sheet1!S71_A5CapexCode,$AD:$AD)</f>
        <v>0</v>
      </c>
      <c r="N86" s="126"/>
      <c r="AC86" s="1336" t="s">
        <v>1950</v>
      </c>
      <c r="AD86" s="1336" t="s">
        <v>1846</v>
      </c>
    </row>
    <row r="87" spans="1:30" ht="12.75" customHeight="1" x14ac:dyDescent="0.25">
      <c r="A87" s="585" t="s">
        <v>494</v>
      </c>
      <c r="B87" s="73"/>
      <c r="C87" s="1356">
        <f>SUMIFS(Sheet1!S71_OriginalBudget,Sheet1!S71_SA34Code,$AC:$AC,Sheet1!S71_A5CapexCode,$AD:$AD)</f>
        <v>0</v>
      </c>
      <c r="D87" s="1356">
        <f>SUMIFS(Sheet1!S71_SpecialAdjustedBudget,Sheet1!S71_SA34Code,$AC:$AC,Sheet1!S71_A5CapexCode,$AD:$AD)</f>
        <v>0</v>
      </c>
      <c r="E87" s="1356"/>
      <c r="F87" s="1356"/>
      <c r="G87" s="1356"/>
      <c r="H87" s="1356"/>
      <c r="I87" s="1356">
        <f>SUMIFS(Sheet1!S71_AdjustmentAmount,Sheet1!S71_SA34Code,$AC:$AC,Sheet1!S71_A5CapexCode,$AD:$AD)</f>
        <v>0</v>
      </c>
      <c r="J87" s="75">
        <f t="shared" si="16"/>
        <v>0</v>
      </c>
      <c r="K87" s="75">
        <f t="shared" si="17"/>
        <v>0</v>
      </c>
      <c r="L87" s="1356">
        <f>SUMIFS(Sheet1!S71_OY1AdjustedBudget,Sheet1!S71_SA34Code,$AC:$AC,Sheet1!S71_A5CapexCode,$AD:$AD)</f>
        <v>0</v>
      </c>
      <c r="M87" s="1357">
        <f>SUMIFS(Sheet1!S71_OY2AdjustedBudget,Sheet1!S71_SA34Code,$AC:$AC,Sheet1!S71_A5CapexCode,$AD:$AD)</f>
        <v>0</v>
      </c>
      <c r="N87" s="126"/>
      <c r="AC87" s="1336" t="s">
        <v>1951</v>
      </c>
      <c r="AD87" s="1336" t="s">
        <v>1846</v>
      </c>
    </row>
    <row r="88" spans="1:30" ht="12.75" customHeight="1" x14ac:dyDescent="0.25">
      <c r="A88" s="585" t="s">
        <v>1630</v>
      </c>
      <c r="B88" s="73"/>
      <c r="C88" s="1356">
        <f>SUMIFS(Sheet1!S71_OriginalBudget,Sheet1!S71_SA34Code,$AC:$AC,Sheet1!S71_A5CapexCode,$AD:$AD)</f>
        <v>0</v>
      </c>
      <c r="D88" s="1356">
        <f>SUMIFS(Sheet1!S71_SpecialAdjustedBudget,Sheet1!S71_SA34Code,$AC:$AC,Sheet1!S71_A5CapexCode,$AD:$AD)</f>
        <v>0</v>
      </c>
      <c r="E88" s="1356"/>
      <c r="F88" s="1356"/>
      <c r="G88" s="1356"/>
      <c r="H88" s="1356"/>
      <c r="I88" s="1356">
        <f>SUMIFS(Sheet1!S71_AdjustmentAmount,Sheet1!S71_SA34Code,$AC:$AC,Sheet1!S71_A5CapexCode,$AD:$AD)</f>
        <v>0</v>
      </c>
      <c r="J88" s="75">
        <f t="shared" si="16"/>
        <v>0</v>
      </c>
      <c r="K88" s="75">
        <f t="shared" si="17"/>
        <v>0</v>
      </c>
      <c r="L88" s="1356">
        <f>SUMIFS(Sheet1!S71_OY1AdjustedBudget,Sheet1!S71_SA34Code,$AC:$AC,Sheet1!S71_A5CapexCode,$AD:$AD)</f>
        <v>0</v>
      </c>
      <c r="M88" s="1357">
        <f>SUMIFS(Sheet1!S71_OY2AdjustedBudget,Sheet1!S71_SA34Code,$AC:$AC,Sheet1!S71_A5CapexCode,$AD:$AD)</f>
        <v>0</v>
      </c>
      <c r="N88" s="126"/>
      <c r="AC88" s="1336" t="s">
        <v>1952</v>
      </c>
      <c r="AD88" s="1336" t="s">
        <v>1846</v>
      </c>
    </row>
    <row r="89" spans="1:30" ht="12.75" customHeight="1" x14ac:dyDescent="0.25">
      <c r="A89" s="585" t="s">
        <v>1631</v>
      </c>
      <c r="B89" s="73"/>
      <c r="C89" s="1356">
        <f>SUMIFS(Sheet1!S71_OriginalBudget,Sheet1!S71_SA34Code,$AC:$AC,Sheet1!S71_A5CapexCode,$AD:$AD)</f>
        <v>0</v>
      </c>
      <c r="D89" s="1356">
        <f>SUMIFS(Sheet1!S71_SpecialAdjustedBudget,Sheet1!S71_SA34Code,$AC:$AC,Sheet1!S71_A5CapexCode,$AD:$AD)</f>
        <v>0</v>
      </c>
      <c r="E89" s="1356"/>
      <c r="F89" s="1356"/>
      <c r="G89" s="1356"/>
      <c r="H89" s="1356"/>
      <c r="I89" s="1356">
        <f>SUMIFS(Sheet1!S71_AdjustmentAmount,Sheet1!S71_SA34Code,$AC:$AC,Sheet1!S71_A5CapexCode,$AD:$AD)</f>
        <v>0</v>
      </c>
      <c r="J89" s="75">
        <f t="shared" si="16"/>
        <v>0</v>
      </c>
      <c r="K89" s="75">
        <f t="shared" si="17"/>
        <v>0</v>
      </c>
      <c r="L89" s="1356">
        <f>SUMIFS(Sheet1!S71_OY1AdjustedBudget,Sheet1!S71_SA34Code,$AC:$AC,Sheet1!S71_A5CapexCode,$AD:$AD)</f>
        <v>0</v>
      </c>
      <c r="M89" s="1357">
        <f>SUMIFS(Sheet1!S71_OY2AdjustedBudget,Sheet1!S71_SA34Code,$AC:$AC,Sheet1!S71_A5CapexCode,$AD:$AD)</f>
        <v>0</v>
      </c>
      <c r="N89" s="126"/>
      <c r="AC89" s="1336" t="s">
        <v>1820</v>
      </c>
      <c r="AD89" s="1336" t="s">
        <v>1846</v>
      </c>
    </row>
    <row r="90" spans="1:30" ht="12.75" customHeight="1" x14ac:dyDescent="0.25">
      <c r="A90" s="585" t="s">
        <v>1632</v>
      </c>
      <c r="B90" s="73"/>
      <c r="C90" s="1356">
        <f>SUMIFS(Sheet1!S71_OriginalBudget,Sheet1!S71_SA34Code,$AC:$AC,Sheet1!S71_A5CapexCode,$AD:$AD)</f>
        <v>0</v>
      </c>
      <c r="D90" s="1356">
        <f>SUMIFS(Sheet1!S71_SpecialAdjustedBudget,Sheet1!S71_SA34Code,$AC:$AC,Sheet1!S71_A5CapexCode,$AD:$AD)</f>
        <v>0</v>
      </c>
      <c r="E90" s="1356"/>
      <c r="F90" s="1356"/>
      <c r="G90" s="1356"/>
      <c r="H90" s="1356"/>
      <c r="I90" s="1356">
        <f>SUMIFS(Sheet1!S71_AdjustmentAmount,Sheet1!S71_SA34Code,$AC:$AC,Sheet1!S71_A5CapexCode,$AD:$AD)</f>
        <v>0</v>
      </c>
      <c r="J90" s="75">
        <f t="shared" si="16"/>
        <v>0</v>
      </c>
      <c r="K90" s="75">
        <f t="shared" si="17"/>
        <v>0</v>
      </c>
      <c r="L90" s="1356">
        <f>SUMIFS(Sheet1!S71_OY1AdjustedBudget,Sheet1!S71_SA34Code,$AC:$AC,Sheet1!S71_A5CapexCode,$AD:$AD)</f>
        <v>0</v>
      </c>
      <c r="M90" s="1357">
        <f>SUMIFS(Sheet1!S71_OY2AdjustedBudget,Sheet1!S71_SA34Code,$AC:$AC,Sheet1!S71_A5CapexCode,$AD:$AD)</f>
        <v>0</v>
      </c>
      <c r="N90" s="126"/>
      <c r="AC90" s="1336" t="s">
        <v>1953</v>
      </c>
      <c r="AD90" s="1336" t="s">
        <v>1846</v>
      </c>
    </row>
    <row r="91" spans="1:30" ht="12.75" customHeight="1" x14ac:dyDescent="0.25">
      <c r="A91" s="585" t="s">
        <v>1633</v>
      </c>
      <c r="B91" s="73"/>
      <c r="C91" s="1356">
        <f>SUMIFS(Sheet1!S71_OriginalBudget,Sheet1!S71_SA34Code,$AC:$AC,Sheet1!S71_A5CapexCode,$AD:$AD)</f>
        <v>0</v>
      </c>
      <c r="D91" s="1356">
        <f>SUMIFS(Sheet1!S71_SpecialAdjustedBudget,Sheet1!S71_SA34Code,$AC:$AC,Sheet1!S71_A5CapexCode,$AD:$AD)</f>
        <v>0</v>
      </c>
      <c r="E91" s="1356"/>
      <c r="F91" s="1356"/>
      <c r="G91" s="1356"/>
      <c r="H91" s="1356"/>
      <c r="I91" s="1356">
        <f>SUMIFS(Sheet1!S71_AdjustmentAmount,Sheet1!S71_SA34Code,$AC:$AC,Sheet1!S71_A5CapexCode,$AD:$AD)</f>
        <v>0</v>
      </c>
      <c r="J91" s="75">
        <f t="shared" si="16"/>
        <v>0</v>
      </c>
      <c r="K91" s="75">
        <f t="shared" si="17"/>
        <v>0</v>
      </c>
      <c r="L91" s="1356">
        <f>SUMIFS(Sheet1!S71_OY1AdjustedBudget,Sheet1!S71_SA34Code,$AC:$AC,Sheet1!S71_A5CapexCode,$AD:$AD)</f>
        <v>0</v>
      </c>
      <c r="M91" s="1357">
        <f>SUMIFS(Sheet1!S71_OY2AdjustedBudget,Sheet1!S71_SA34Code,$AC:$AC,Sheet1!S71_A5CapexCode,$AD:$AD)</f>
        <v>0</v>
      </c>
      <c r="N91" s="126"/>
      <c r="AC91" s="1336" t="s">
        <v>1954</v>
      </c>
      <c r="AD91" s="1336" t="s">
        <v>1846</v>
      </c>
    </row>
    <row r="92" spans="1:30" ht="12.75" customHeight="1" x14ac:dyDescent="0.25">
      <c r="A92" s="585" t="s">
        <v>1634</v>
      </c>
      <c r="B92" s="73"/>
      <c r="C92" s="1356">
        <f>SUMIFS(Sheet1!S71_OriginalBudget,Sheet1!S71_SA34Code,$AC:$AC,Sheet1!S71_A5CapexCode,$AD:$AD)</f>
        <v>0</v>
      </c>
      <c r="D92" s="1356">
        <f>SUMIFS(Sheet1!S71_SpecialAdjustedBudget,Sheet1!S71_SA34Code,$AC:$AC,Sheet1!S71_A5CapexCode,$AD:$AD)</f>
        <v>0</v>
      </c>
      <c r="E92" s="1356"/>
      <c r="F92" s="1356"/>
      <c r="G92" s="1356"/>
      <c r="H92" s="1356"/>
      <c r="I92" s="1356">
        <f>SUMIFS(Sheet1!S71_AdjustmentAmount,Sheet1!S71_SA34Code,$AC:$AC,Sheet1!S71_A5CapexCode,$AD:$AD)</f>
        <v>0</v>
      </c>
      <c r="J92" s="75">
        <f t="shared" si="16"/>
        <v>0</v>
      </c>
      <c r="K92" s="75">
        <f t="shared" si="17"/>
        <v>0</v>
      </c>
      <c r="L92" s="1356">
        <f>SUMIFS(Sheet1!S71_OY1AdjustedBudget,Sheet1!S71_SA34Code,$AC:$AC,Sheet1!S71_A5CapexCode,$AD:$AD)</f>
        <v>0</v>
      </c>
      <c r="M92" s="1357">
        <f>SUMIFS(Sheet1!S71_OY2AdjustedBudget,Sheet1!S71_SA34Code,$AC:$AC,Sheet1!S71_A5CapexCode,$AD:$AD)</f>
        <v>0</v>
      </c>
      <c r="N92" s="126"/>
      <c r="AC92" s="1336" t="s">
        <v>1955</v>
      </c>
      <c r="AD92" s="1336" t="s">
        <v>1846</v>
      </c>
    </row>
    <row r="93" spans="1:30" ht="12.75" customHeight="1" x14ac:dyDescent="0.25">
      <c r="A93" s="585" t="s">
        <v>1635</v>
      </c>
      <c r="B93" s="73"/>
      <c r="C93" s="1356">
        <f>SUMIFS(Sheet1!S71_OriginalBudget,Sheet1!S71_SA34Code,$AC:$AC,Sheet1!S71_A5CapexCode,$AD:$AD)</f>
        <v>0</v>
      </c>
      <c r="D93" s="1356">
        <f>SUMIFS(Sheet1!S71_SpecialAdjustedBudget,Sheet1!S71_SA34Code,$AC:$AC,Sheet1!S71_A5CapexCode,$AD:$AD)</f>
        <v>0</v>
      </c>
      <c r="E93" s="1356"/>
      <c r="F93" s="1356"/>
      <c r="G93" s="1356"/>
      <c r="H93" s="1356"/>
      <c r="I93" s="1356">
        <f>SUMIFS(Sheet1!S71_AdjustmentAmount,Sheet1!S71_SA34Code,$AC:$AC,Sheet1!S71_A5CapexCode,$AD:$AD)</f>
        <v>0</v>
      </c>
      <c r="J93" s="75">
        <f t="shared" si="16"/>
        <v>0</v>
      </c>
      <c r="K93" s="75">
        <f t="shared" si="17"/>
        <v>0</v>
      </c>
      <c r="L93" s="1356">
        <f>SUMIFS(Sheet1!S71_OY1AdjustedBudget,Sheet1!S71_SA34Code,$AC:$AC,Sheet1!S71_A5CapexCode,$AD:$AD)</f>
        <v>0</v>
      </c>
      <c r="M93" s="1357">
        <f>SUMIFS(Sheet1!S71_OY2AdjustedBudget,Sheet1!S71_SA34Code,$AC:$AC,Sheet1!S71_A5CapexCode,$AD:$AD)</f>
        <v>0</v>
      </c>
      <c r="N93" s="126"/>
      <c r="AC93" s="1336" t="s">
        <v>1956</v>
      </c>
      <c r="AD93" s="1336" t="s">
        <v>1846</v>
      </c>
    </row>
    <row r="94" spans="1:30" ht="12.75" customHeight="1" x14ac:dyDescent="0.25">
      <c r="A94" s="585" t="s">
        <v>510</v>
      </c>
      <c r="B94" s="73"/>
      <c r="C94" s="1356">
        <f>SUMIFS(Sheet1!S71_OriginalBudget,Sheet1!S71_SA34Code,$AC:$AC,Sheet1!S71_A5CapexCode,$AD:$AD)</f>
        <v>0</v>
      </c>
      <c r="D94" s="1356">
        <f>SUMIFS(Sheet1!S71_SpecialAdjustedBudget,Sheet1!S71_SA34Code,$AC:$AC,Sheet1!S71_A5CapexCode,$AD:$AD)</f>
        <v>0</v>
      </c>
      <c r="E94" s="1356"/>
      <c r="F94" s="1356"/>
      <c r="G94" s="1356"/>
      <c r="H94" s="1356"/>
      <c r="I94" s="1356">
        <f>SUMIFS(Sheet1!S71_AdjustmentAmount,Sheet1!S71_SA34Code,$AC:$AC,Sheet1!S71_A5CapexCode,$AD:$AD)</f>
        <v>0</v>
      </c>
      <c r="J94" s="75">
        <f t="shared" si="16"/>
        <v>0</v>
      </c>
      <c r="K94" s="75">
        <f t="shared" si="17"/>
        <v>0</v>
      </c>
      <c r="L94" s="1356">
        <f>SUMIFS(Sheet1!S71_OY1AdjustedBudget,Sheet1!S71_SA34Code,$AC:$AC,Sheet1!S71_A5CapexCode,$AD:$AD)</f>
        <v>0</v>
      </c>
      <c r="M94" s="1357">
        <f>SUMIFS(Sheet1!S71_OY2AdjustedBudget,Sheet1!S71_SA34Code,$AC:$AC,Sheet1!S71_A5CapexCode,$AD:$AD)</f>
        <v>0</v>
      </c>
      <c r="N94" s="126"/>
      <c r="AC94" s="1336" t="s">
        <v>1957</v>
      </c>
      <c r="AD94" s="1336" t="s">
        <v>1846</v>
      </c>
    </row>
    <row r="95" spans="1:30" ht="12.75" customHeight="1" x14ac:dyDescent="0.25">
      <c r="A95" s="585" t="s">
        <v>1636</v>
      </c>
      <c r="B95" s="73"/>
      <c r="C95" s="1356">
        <f>SUMIFS(Sheet1!S71_OriginalBudget,Sheet1!S71_SA34Code,$AC:$AC,Sheet1!S71_A5CapexCode,$AD:$AD)</f>
        <v>0</v>
      </c>
      <c r="D95" s="1356">
        <f>SUMIFS(Sheet1!S71_SpecialAdjustedBudget,Sheet1!S71_SA34Code,$AC:$AC,Sheet1!S71_A5CapexCode,$AD:$AD)</f>
        <v>0</v>
      </c>
      <c r="E95" s="1356"/>
      <c r="F95" s="1356"/>
      <c r="G95" s="1356"/>
      <c r="H95" s="1356"/>
      <c r="I95" s="1356">
        <f>SUMIFS(Sheet1!S71_AdjustmentAmount,Sheet1!S71_SA34Code,$AC:$AC,Sheet1!S71_A5CapexCode,$AD:$AD)</f>
        <v>0</v>
      </c>
      <c r="J95" s="75">
        <f t="shared" si="16"/>
        <v>0</v>
      </c>
      <c r="K95" s="75">
        <f t="shared" si="17"/>
        <v>0</v>
      </c>
      <c r="L95" s="1356">
        <f>SUMIFS(Sheet1!S71_OY1AdjustedBudget,Sheet1!S71_SA34Code,$AC:$AC,Sheet1!S71_A5CapexCode,$AD:$AD)</f>
        <v>0</v>
      </c>
      <c r="M95" s="1357">
        <f>SUMIFS(Sheet1!S71_OY2AdjustedBudget,Sheet1!S71_SA34Code,$AC:$AC,Sheet1!S71_A5CapexCode,$AD:$AD)</f>
        <v>0</v>
      </c>
      <c r="N95" s="126"/>
      <c r="AC95" s="1336" t="s">
        <v>1958</v>
      </c>
      <c r="AD95" s="1336" t="s">
        <v>1846</v>
      </c>
    </row>
    <row r="96" spans="1:30" ht="12.75" customHeight="1" x14ac:dyDescent="0.25">
      <c r="A96" s="585" t="s">
        <v>509</v>
      </c>
      <c r="B96" s="73"/>
      <c r="C96" s="1356">
        <f>SUMIFS(Sheet1!S71_OriginalBudget,Sheet1!S71_SA34Code,$AC:$AC,Sheet1!S71_A5CapexCode,$AD:$AD)</f>
        <v>0</v>
      </c>
      <c r="D96" s="1356">
        <f>SUMIFS(Sheet1!S71_SpecialAdjustedBudget,Sheet1!S71_SA34Code,$AC:$AC,Sheet1!S71_A5CapexCode,$AD:$AD)</f>
        <v>0</v>
      </c>
      <c r="E96" s="1356"/>
      <c r="F96" s="1356"/>
      <c r="G96" s="1356"/>
      <c r="H96" s="1356"/>
      <c r="I96" s="1356">
        <f>SUMIFS(Sheet1!S71_AdjustmentAmount,Sheet1!S71_SA34Code,$AC:$AC,Sheet1!S71_A5CapexCode,$AD:$AD)</f>
        <v>0</v>
      </c>
      <c r="J96" s="75">
        <f t="shared" si="16"/>
        <v>0</v>
      </c>
      <c r="K96" s="75">
        <f t="shared" si="17"/>
        <v>0</v>
      </c>
      <c r="L96" s="1356">
        <f>SUMIFS(Sheet1!S71_OY1AdjustedBudget,Sheet1!S71_SA34Code,$AC:$AC,Sheet1!S71_A5CapexCode,$AD:$AD)</f>
        <v>0</v>
      </c>
      <c r="M96" s="1357">
        <f>SUMIFS(Sheet1!S71_OY2AdjustedBudget,Sheet1!S71_SA34Code,$AC:$AC,Sheet1!S71_A5CapexCode,$AD:$AD)</f>
        <v>0</v>
      </c>
      <c r="N96" s="842"/>
      <c r="AC96" s="1336" t="s">
        <v>1959</v>
      </c>
      <c r="AD96" s="1336" t="s">
        <v>1846</v>
      </c>
    </row>
    <row r="97" spans="1:30" ht="12.75" customHeight="1" x14ac:dyDescent="0.25">
      <c r="A97" s="585" t="s">
        <v>1637</v>
      </c>
      <c r="B97" s="73"/>
      <c r="C97" s="1356">
        <f>SUMIFS(Sheet1!S71_OriginalBudget,Sheet1!S71_SA34Code,$AC:$AC,Sheet1!S71_A5CapexCode,$AD:$AD)</f>
        <v>0</v>
      </c>
      <c r="D97" s="1356">
        <f>SUMIFS(Sheet1!S71_SpecialAdjustedBudget,Sheet1!S71_SA34Code,$AC:$AC,Sheet1!S71_A5CapexCode,$AD:$AD)</f>
        <v>0</v>
      </c>
      <c r="E97" s="1356"/>
      <c r="F97" s="1356"/>
      <c r="G97" s="1356"/>
      <c r="H97" s="1356"/>
      <c r="I97" s="1356">
        <f>SUMIFS(Sheet1!S71_AdjustmentAmount,Sheet1!S71_SA34Code,$AC:$AC,Sheet1!S71_A5CapexCode,$AD:$AD)</f>
        <v>0</v>
      </c>
      <c r="J97" s="75">
        <f t="shared" si="16"/>
        <v>0</v>
      </c>
      <c r="K97" s="75">
        <f t="shared" si="17"/>
        <v>0</v>
      </c>
      <c r="L97" s="1356">
        <f>SUMIFS(Sheet1!S71_OY1AdjustedBudget,Sheet1!S71_SA34Code,$AC:$AC,Sheet1!S71_A5CapexCode,$AD:$AD)</f>
        <v>0</v>
      </c>
      <c r="M97" s="1357">
        <f>SUMIFS(Sheet1!S71_OY2AdjustedBudget,Sheet1!S71_SA34Code,$AC:$AC,Sheet1!S71_A5CapexCode,$AD:$AD)</f>
        <v>0</v>
      </c>
      <c r="N97" s="126"/>
      <c r="AC97" s="1336" t="s">
        <v>1960</v>
      </c>
      <c r="AD97" s="1336" t="s">
        <v>1846</v>
      </c>
    </row>
    <row r="98" spans="1:30" ht="12.75" customHeight="1" x14ac:dyDescent="0.25">
      <c r="A98" s="585" t="s">
        <v>1638</v>
      </c>
      <c r="B98" s="73"/>
      <c r="C98" s="1356">
        <f>SUMIFS(Sheet1!S71_OriginalBudget,Sheet1!S71_SA34Code,$AC:$AC,Sheet1!S71_A5CapexCode,$AD:$AD)</f>
        <v>0</v>
      </c>
      <c r="D98" s="1356">
        <f>SUMIFS(Sheet1!S71_SpecialAdjustedBudget,Sheet1!S71_SA34Code,$AC:$AC,Sheet1!S71_A5CapexCode,$AD:$AD)</f>
        <v>0</v>
      </c>
      <c r="E98" s="1356"/>
      <c r="F98" s="1356"/>
      <c r="G98" s="1356"/>
      <c r="H98" s="1356"/>
      <c r="I98" s="1356">
        <f>SUMIFS(Sheet1!S71_AdjustmentAmount,Sheet1!S71_SA34Code,$AC:$AC,Sheet1!S71_A5CapexCode,$AD:$AD)</f>
        <v>0</v>
      </c>
      <c r="J98" s="75">
        <f t="shared" si="16"/>
        <v>0</v>
      </c>
      <c r="K98" s="75">
        <f t="shared" si="17"/>
        <v>0</v>
      </c>
      <c r="L98" s="1356">
        <f>SUMIFS(Sheet1!S71_OY1AdjustedBudget,Sheet1!S71_SA34Code,$AC:$AC,Sheet1!S71_A5CapexCode,$AD:$AD)</f>
        <v>0</v>
      </c>
      <c r="M98" s="1357">
        <f>SUMIFS(Sheet1!S71_OY2AdjustedBudget,Sheet1!S71_SA34Code,$AC:$AC,Sheet1!S71_A5CapexCode,$AD:$AD)</f>
        <v>0</v>
      </c>
      <c r="N98" s="126"/>
      <c r="AC98" s="1336" t="s">
        <v>1961</v>
      </c>
      <c r="AD98" s="1336" t="s">
        <v>1846</v>
      </c>
    </row>
    <row r="99" spans="1:30" ht="12.75" customHeight="1" x14ac:dyDescent="0.25">
      <c r="A99" s="585" t="s">
        <v>1571</v>
      </c>
      <c r="B99" s="73"/>
      <c r="C99" s="1356">
        <f>SUMIFS(Sheet1!S71_OriginalBudget,Sheet1!S71_SA34Code,$AC:$AC,Sheet1!S71_A5CapexCode,$AD:$AD)</f>
        <v>0</v>
      </c>
      <c r="D99" s="1356">
        <f>SUMIFS(Sheet1!S71_SpecialAdjustedBudget,Sheet1!S71_SA34Code,$AC:$AC,Sheet1!S71_A5CapexCode,$AD:$AD)</f>
        <v>0</v>
      </c>
      <c r="E99" s="1356"/>
      <c r="F99" s="1356"/>
      <c r="G99" s="1356"/>
      <c r="H99" s="1356"/>
      <c r="I99" s="1356">
        <f>SUMIFS(Sheet1!S71_AdjustmentAmount,Sheet1!S71_SA34Code,$AC:$AC,Sheet1!S71_A5CapexCode,$AD:$AD)</f>
        <v>0</v>
      </c>
      <c r="J99" s="75">
        <f t="shared" si="16"/>
        <v>0</v>
      </c>
      <c r="K99" s="75">
        <f t="shared" si="17"/>
        <v>0</v>
      </c>
      <c r="L99" s="1356">
        <f>SUMIFS(Sheet1!S71_OY1AdjustedBudget,Sheet1!S71_SA34Code,$AC:$AC,Sheet1!S71_A5CapexCode,$AD:$AD)</f>
        <v>0</v>
      </c>
      <c r="M99" s="1357">
        <f>SUMIFS(Sheet1!S71_OY2AdjustedBudget,Sheet1!S71_SA34Code,$AC:$AC,Sheet1!S71_A5CapexCode,$AD:$AD)</f>
        <v>0</v>
      </c>
      <c r="N99" s="126"/>
      <c r="AC99" s="1336" t="s">
        <v>1821</v>
      </c>
      <c r="AD99" s="1336" t="s">
        <v>1846</v>
      </c>
    </row>
    <row r="100" spans="1:30" ht="10.35" customHeight="1" x14ac:dyDescent="0.25">
      <c r="A100" s="584" t="s">
        <v>1639</v>
      </c>
      <c r="B100" s="73"/>
      <c r="C100" s="138">
        <f>SUM(C101:C103)</f>
        <v>0</v>
      </c>
      <c r="D100" s="139">
        <f t="shared" ref="D100:M100" si="19">SUM(D101:D103)</f>
        <v>0</v>
      </c>
      <c r="E100" s="139">
        <f t="shared" si="19"/>
        <v>0</v>
      </c>
      <c r="F100" s="139">
        <f t="shared" si="19"/>
        <v>0</v>
      </c>
      <c r="G100" s="139">
        <f t="shared" si="19"/>
        <v>0</v>
      </c>
      <c r="H100" s="139">
        <f t="shared" si="19"/>
        <v>0</v>
      </c>
      <c r="I100" s="139">
        <f t="shared" si="19"/>
        <v>0</v>
      </c>
      <c r="J100" s="139">
        <f t="shared" si="16"/>
        <v>0</v>
      </c>
      <c r="K100" s="139">
        <f t="shared" si="17"/>
        <v>0</v>
      </c>
      <c r="L100" s="139">
        <f t="shared" si="19"/>
        <v>0</v>
      </c>
      <c r="M100" s="140">
        <f t="shared" si="19"/>
        <v>0</v>
      </c>
      <c r="N100" s="126"/>
      <c r="AD100" s="1336" t="s">
        <v>1846</v>
      </c>
    </row>
    <row r="101" spans="1:30" ht="12.75" customHeight="1" x14ac:dyDescent="0.25">
      <c r="A101" s="585" t="s">
        <v>1640</v>
      </c>
      <c r="B101" s="73"/>
      <c r="C101" s="1356">
        <f>SUMIFS(Sheet1!S71_OriginalBudget,Sheet1!S71_SA34Code,$AC:$AC,Sheet1!S71_A5CapexCode,$AD:$AD)</f>
        <v>0</v>
      </c>
      <c r="D101" s="1356">
        <f>SUMIFS(Sheet1!S71_SpecialAdjustedBudget,Sheet1!S71_SA34Code,$AC:$AC,Sheet1!S71_A5CapexCode,$AD:$AD)</f>
        <v>0</v>
      </c>
      <c r="E101" s="1356"/>
      <c r="F101" s="1356"/>
      <c r="G101" s="1356"/>
      <c r="H101" s="1356"/>
      <c r="I101" s="1356">
        <f>SUMIFS(Sheet1!S71_AdjustmentAmount,Sheet1!S71_SA34Code,$AC:$AC,Sheet1!S71_A5CapexCode,$AD:$AD)</f>
        <v>0</v>
      </c>
      <c r="J101" s="75">
        <f t="shared" si="16"/>
        <v>0</v>
      </c>
      <c r="K101" s="75">
        <f t="shared" si="17"/>
        <v>0</v>
      </c>
      <c r="L101" s="1356">
        <f>SUMIFS(Sheet1!S71_OY1AdjustedBudget,Sheet1!S71_SA34Code,$AC:$AC,Sheet1!S71_A5CapexCode,$AD:$AD)</f>
        <v>0</v>
      </c>
      <c r="M101" s="1357">
        <f>SUMIFS(Sheet1!S71_OY2AdjustedBudget,Sheet1!S71_SA34Code,$AC:$AC,Sheet1!S71_A5CapexCode,$AD:$AD)</f>
        <v>0</v>
      </c>
      <c r="N101" s="126"/>
      <c r="AC101" s="1336" t="s">
        <v>1962</v>
      </c>
      <c r="AD101" s="1336" t="s">
        <v>1846</v>
      </c>
    </row>
    <row r="102" spans="1:30" ht="12.75" customHeight="1" x14ac:dyDescent="0.25">
      <c r="A102" s="585" t="s">
        <v>1641</v>
      </c>
      <c r="B102" s="73"/>
      <c r="C102" s="1356">
        <f>SUMIFS(Sheet1!S71_OriginalBudget,Sheet1!S71_SA34Code,$AC:$AC,Sheet1!S71_A5CapexCode,$AD:$AD)</f>
        <v>0</v>
      </c>
      <c r="D102" s="1356">
        <f>SUMIFS(Sheet1!S71_SpecialAdjustedBudget,Sheet1!S71_SA34Code,$AC:$AC,Sheet1!S71_A5CapexCode,$AD:$AD)</f>
        <v>0</v>
      </c>
      <c r="E102" s="1356"/>
      <c r="F102" s="1356"/>
      <c r="G102" s="1356"/>
      <c r="H102" s="1356"/>
      <c r="I102" s="1356">
        <f>SUMIFS(Sheet1!S71_AdjustmentAmount,Sheet1!S71_SA34Code,$AC:$AC,Sheet1!S71_A5CapexCode,$AD:$AD)</f>
        <v>0</v>
      </c>
      <c r="J102" s="75">
        <f t="shared" si="16"/>
        <v>0</v>
      </c>
      <c r="K102" s="75">
        <f t="shared" si="17"/>
        <v>0</v>
      </c>
      <c r="L102" s="1356">
        <f>SUMIFS(Sheet1!S71_OY1AdjustedBudget,Sheet1!S71_SA34Code,$AC:$AC,Sheet1!S71_A5CapexCode,$AD:$AD)</f>
        <v>0</v>
      </c>
      <c r="M102" s="1357">
        <f>SUMIFS(Sheet1!S71_OY2AdjustedBudget,Sheet1!S71_SA34Code,$AC:$AC,Sheet1!S71_A5CapexCode,$AD:$AD)</f>
        <v>0</v>
      </c>
      <c r="N102" s="126"/>
      <c r="AC102" s="1336" t="s">
        <v>1963</v>
      </c>
      <c r="AD102" s="1336" t="s">
        <v>1846</v>
      </c>
    </row>
    <row r="103" spans="1:30" ht="12.75" customHeight="1" x14ac:dyDescent="0.25">
      <c r="A103" s="585" t="s">
        <v>1571</v>
      </c>
      <c r="B103" s="73"/>
      <c r="C103" s="1356">
        <f>SUMIFS(Sheet1!S71_OriginalBudget,Sheet1!S71_SA34Code,$AC:$AC,Sheet1!S71_A5CapexCode,$AD:$AD)</f>
        <v>0</v>
      </c>
      <c r="D103" s="1356">
        <f>SUMIFS(Sheet1!S71_SpecialAdjustedBudget,Sheet1!S71_SA34Code,$AC:$AC,Sheet1!S71_A5CapexCode,$AD:$AD)</f>
        <v>0</v>
      </c>
      <c r="E103" s="1356"/>
      <c r="F103" s="1356"/>
      <c r="G103" s="1356"/>
      <c r="H103" s="1356"/>
      <c r="I103" s="1356">
        <f>SUMIFS(Sheet1!S71_AdjustmentAmount,Sheet1!S71_SA34Code,$AC:$AC,Sheet1!S71_A5CapexCode,$AD:$AD)</f>
        <v>0</v>
      </c>
      <c r="J103" s="75">
        <f t="shared" si="16"/>
        <v>0</v>
      </c>
      <c r="K103" s="75">
        <f t="shared" si="17"/>
        <v>0</v>
      </c>
      <c r="L103" s="1356">
        <f>SUMIFS(Sheet1!S71_OY1AdjustedBudget,Sheet1!S71_SA34Code,$AC:$AC,Sheet1!S71_A5CapexCode,$AD:$AD)</f>
        <v>0</v>
      </c>
      <c r="M103" s="1357">
        <f>SUMIFS(Sheet1!S71_OY2AdjustedBudget,Sheet1!S71_SA34Code,$AC:$AC,Sheet1!S71_A5CapexCode,$AD:$AD)</f>
        <v>0</v>
      </c>
      <c r="N103" s="126"/>
      <c r="AC103" s="1336" t="s">
        <v>1964</v>
      </c>
      <c r="AD103" s="1336" t="s">
        <v>1846</v>
      </c>
    </row>
    <row r="104" spans="1:30" ht="5.0999999999999996" customHeight="1" x14ac:dyDescent="0.25">
      <c r="A104" s="134"/>
      <c r="B104" s="73"/>
      <c r="C104" s="125"/>
      <c r="D104" s="169"/>
      <c r="E104" s="169"/>
      <c r="F104" s="169"/>
      <c r="G104" s="169"/>
      <c r="H104" s="169"/>
      <c r="I104" s="169"/>
      <c r="J104" s="75"/>
      <c r="K104" s="75"/>
      <c r="L104" s="1362"/>
      <c r="M104" s="1363"/>
      <c r="N104" s="126"/>
      <c r="AD104" s="1336" t="s">
        <v>1846</v>
      </c>
    </row>
    <row r="105" spans="1:30" ht="12.75" customHeight="1" x14ac:dyDescent="0.25">
      <c r="A105" s="484" t="s">
        <v>767</v>
      </c>
      <c r="B105" s="73"/>
      <c r="C105" s="234">
        <f t="shared" ref="C105:M105" si="20">SUM(C106:C110)</f>
        <v>0</v>
      </c>
      <c r="D105" s="235">
        <f t="shared" si="20"/>
        <v>0</v>
      </c>
      <c r="E105" s="235">
        <f t="shared" si="20"/>
        <v>0</v>
      </c>
      <c r="F105" s="235">
        <f t="shared" si="20"/>
        <v>0</v>
      </c>
      <c r="G105" s="235">
        <f t="shared" si="20"/>
        <v>0</v>
      </c>
      <c r="H105" s="235">
        <f t="shared" si="20"/>
        <v>0</v>
      </c>
      <c r="I105" s="235">
        <f t="shared" si="20"/>
        <v>0</v>
      </c>
      <c r="J105" s="235">
        <f t="shared" ref="J105:J110" si="21">SUM(E105:I105)</f>
        <v>0</v>
      </c>
      <c r="K105" s="235">
        <f t="shared" si="17"/>
        <v>0</v>
      </c>
      <c r="L105" s="235">
        <f t="shared" si="20"/>
        <v>0</v>
      </c>
      <c r="M105" s="236">
        <f t="shared" si="20"/>
        <v>0</v>
      </c>
      <c r="N105" s="126"/>
      <c r="AD105" s="1336" t="s">
        <v>1846</v>
      </c>
    </row>
    <row r="106" spans="1:30" ht="12.75" customHeight="1" x14ac:dyDescent="0.25">
      <c r="A106" s="584" t="s">
        <v>1642</v>
      </c>
      <c r="B106" s="73"/>
      <c r="C106" s="1356">
        <f>SUMIFS(Sheet1!S71_OriginalBudget,Sheet1!S71_SA34Code,$AC:$AC,Sheet1!S71_A5CapexCode,$AD:$AD)</f>
        <v>0</v>
      </c>
      <c r="D106" s="1356">
        <f>SUMIFS(Sheet1!S71_SpecialAdjustedBudget,Sheet1!S71_SA34Code,$AC:$AC,Sheet1!S71_A5CapexCode,$AD:$AD)</f>
        <v>0</v>
      </c>
      <c r="E106" s="1356"/>
      <c r="F106" s="1356"/>
      <c r="G106" s="1356"/>
      <c r="H106" s="1356"/>
      <c r="I106" s="1356">
        <f>SUMIFS(Sheet1!S71_AdjustmentAmount,Sheet1!S71_SA34Code,$AC:$AC,Sheet1!S71_A5CapexCode,$AD:$AD)</f>
        <v>0</v>
      </c>
      <c r="J106" s="75">
        <f t="shared" si="21"/>
        <v>0</v>
      </c>
      <c r="K106" s="75">
        <f t="shared" si="17"/>
        <v>0</v>
      </c>
      <c r="L106" s="1356">
        <f>SUMIFS(Sheet1!S71_OY1AdjustedBudget,Sheet1!S71_SA34Code,$AC:$AC,Sheet1!S71_A5CapexCode,$AD:$AD)</f>
        <v>0</v>
      </c>
      <c r="M106" s="1357">
        <f>SUMIFS(Sheet1!S71_OY2AdjustedBudget,Sheet1!S71_SA34Code,$AC:$AC,Sheet1!S71_A5CapexCode,$AD:$AD)</f>
        <v>0</v>
      </c>
      <c r="N106" s="126"/>
      <c r="AC106" s="1336" t="s">
        <v>1965</v>
      </c>
      <c r="AD106" s="1336" t="s">
        <v>1846</v>
      </c>
    </row>
    <row r="107" spans="1:30" ht="12.75" customHeight="1" x14ac:dyDescent="0.25">
      <c r="A107" s="586" t="s">
        <v>1643</v>
      </c>
      <c r="B107" s="73"/>
      <c r="C107" s="1356">
        <f>SUMIFS(Sheet1!S71_OriginalBudget,Sheet1!S71_SA34Code,$AC:$AC,Sheet1!S71_A5CapexCode,$AD:$AD)</f>
        <v>0</v>
      </c>
      <c r="D107" s="1356">
        <f>SUMIFS(Sheet1!S71_SpecialAdjustedBudget,Sheet1!S71_SA34Code,$AC:$AC,Sheet1!S71_A5CapexCode,$AD:$AD)</f>
        <v>0</v>
      </c>
      <c r="E107" s="1356"/>
      <c r="F107" s="1356"/>
      <c r="G107" s="1356"/>
      <c r="H107" s="1356"/>
      <c r="I107" s="1356">
        <f>SUMIFS(Sheet1!S71_AdjustmentAmount,Sheet1!S71_SA34Code,$AC:$AC,Sheet1!S71_A5CapexCode,$AD:$AD)</f>
        <v>0</v>
      </c>
      <c r="J107" s="75">
        <f t="shared" si="21"/>
        <v>0</v>
      </c>
      <c r="K107" s="75">
        <f t="shared" si="17"/>
        <v>0</v>
      </c>
      <c r="L107" s="1356">
        <f>SUMIFS(Sheet1!S71_OY1AdjustedBudget,Sheet1!S71_SA34Code,$AC:$AC,Sheet1!S71_A5CapexCode,$AD:$AD)</f>
        <v>0</v>
      </c>
      <c r="M107" s="1357">
        <f>SUMIFS(Sheet1!S71_OY2AdjustedBudget,Sheet1!S71_SA34Code,$AC:$AC,Sheet1!S71_A5CapexCode,$AD:$AD)</f>
        <v>0</v>
      </c>
      <c r="N107" s="126"/>
      <c r="AC107" s="1336" t="s">
        <v>1966</v>
      </c>
      <c r="AD107" s="1336" t="s">
        <v>1846</v>
      </c>
    </row>
    <row r="108" spans="1:30" ht="12.75" customHeight="1" x14ac:dyDescent="0.25">
      <c r="A108" s="584" t="s">
        <v>1644</v>
      </c>
      <c r="B108" s="73"/>
      <c r="C108" s="1356">
        <f>SUMIFS(Sheet1!S71_OriginalBudget,Sheet1!S71_SA34Code,$AC:$AC,Sheet1!S71_A5CapexCode,$AD:$AD)</f>
        <v>0</v>
      </c>
      <c r="D108" s="1356">
        <f>SUMIFS(Sheet1!S71_SpecialAdjustedBudget,Sheet1!S71_SA34Code,$AC:$AC,Sheet1!S71_A5CapexCode,$AD:$AD)</f>
        <v>0</v>
      </c>
      <c r="E108" s="1356"/>
      <c r="F108" s="1356"/>
      <c r="G108" s="1356"/>
      <c r="H108" s="1356"/>
      <c r="I108" s="1356">
        <f>SUMIFS(Sheet1!S71_AdjustmentAmount,Sheet1!S71_SA34Code,$AC:$AC,Sheet1!S71_A5CapexCode,$AD:$AD)</f>
        <v>0</v>
      </c>
      <c r="J108" s="75">
        <f t="shared" si="21"/>
        <v>0</v>
      </c>
      <c r="K108" s="75">
        <f t="shared" si="17"/>
        <v>0</v>
      </c>
      <c r="L108" s="1356">
        <f>SUMIFS(Sheet1!S71_OY1AdjustedBudget,Sheet1!S71_SA34Code,$AC:$AC,Sheet1!S71_A5CapexCode,$AD:$AD)</f>
        <v>0</v>
      </c>
      <c r="M108" s="1357">
        <f>SUMIFS(Sheet1!S71_OY2AdjustedBudget,Sheet1!S71_SA34Code,$AC:$AC,Sheet1!S71_A5CapexCode,$AD:$AD)</f>
        <v>0</v>
      </c>
      <c r="N108" s="126"/>
      <c r="AC108" s="1336" t="s">
        <v>1967</v>
      </c>
      <c r="AD108" s="1336" t="s">
        <v>1846</v>
      </c>
    </row>
    <row r="109" spans="1:30" ht="12.75" customHeight="1" x14ac:dyDescent="0.25">
      <c r="A109" s="584" t="s">
        <v>1645</v>
      </c>
      <c r="B109" s="73"/>
      <c r="C109" s="1356">
        <f>SUMIFS(Sheet1!S71_OriginalBudget,Sheet1!S71_SA34Code,$AC:$AC,Sheet1!S71_A5CapexCode,$AD:$AD)</f>
        <v>0</v>
      </c>
      <c r="D109" s="1356">
        <f>SUMIFS(Sheet1!S71_SpecialAdjustedBudget,Sheet1!S71_SA34Code,$AC:$AC,Sheet1!S71_A5CapexCode,$AD:$AD)</f>
        <v>0</v>
      </c>
      <c r="E109" s="1356"/>
      <c r="F109" s="1356"/>
      <c r="G109" s="1356"/>
      <c r="H109" s="1356"/>
      <c r="I109" s="1356">
        <f>SUMIFS(Sheet1!S71_AdjustmentAmount,Sheet1!S71_SA34Code,$AC:$AC,Sheet1!S71_A5CapexCode,$AD:$AD)</f>
        <v>0</v>
      </c>
      <c r="J109" s="75">
        <f t="shared" si="21"/>
        <v>0</v>
      </c>
      <c r="K109" s="75">
        <f t="shared" si="17"/>
        <v>0</v>
      </c>
      <c r="L109" s="1356">
        <f>SUMIFS(Sheet1!S71_OY1AdjustedBudget,Sheet1!S71_SA34Code,$AC:$AC,Sheet1!S71_A5CapexCode,$AD:$AD)</f>
        <v>0</v>
      </c>
      <c r="M109" s="1357">
        <f>SUMIFS(Sheet1!S71_OY2AdjustedBudget,Sheet1!S71_SA34Code,$AC:$AC,Sheet1!S71_A5CapexCode,$AD:$AD)</f>
        <v>0</v>
      </c>
      <c r="N109" s="126"/>
      <c r="AC109" s="1336" t="s">
        <v>1968</v>
      </c>
      <c r="AD109" s="1336" t="s">
        <v>1846</v>
      </c>
    </row>
    <row r="110" spans="1:30" ht="12.75" customHeight="1" x14ac:dyDescent="0.25">
      <c r="A110" s="586" t="s">
        <v>1646</v>
      </c>
      <c r="B110" s="73"/>
      <c r="C110" s="1356">
        <f>SUMIFS(Sheet1!S71_OriginalBudget,Sheet1!S71_SA34Code,$AC:$AC,Sheet1!S71_A5CapexCode,$AD:$AD)</f>
        <v>0</v>
      </c>
      <c r="D110" s="1356">
        <f>SUMIFS(Sheet1!S71_SpecialAdjustedBudget,Sheet1!S71_SA34Code,$AC:$AC,Sheet1!S71_A5CapexCode,$AD:$AD)</f>
        <v>0</v>
      </c>
      <c r="E110" s="1356"/>
      <c r="F110" s="1356"/>
      <c r="G110" s="1356"/>
      <c r="H110" s="1356"/>
      <c r="I110" s="1356">
        <f>SUMIFS(Sheet1!S71_AdjustmentAmount,Sheet1!S71_SA34Code,$AC:$AC,Sheet1!S71_A5CapexCode,$AD:$AD)</f>
        <v>0</v>
      </c>
      <c r="J110" s="75">
        <f t="shared" si="21"/>
        <v>0</v>
      </c>
      <c r="K110" s="75">
        <f t="shared" si="17"/>
        <v>0</v>
      </c>
      <c r="L110" s="1356">
        <f>SUMIFS(Sheet1!S71_OY1AdjustedBudget,Sheet1!S71_SA34Code,$AC:$AC,Sheet1!S71_A5CapexCode,$AD:$AD)</f>
        <v>0</v>
      </c>
      <c r="M110" s="1357">
        <f>SUMIFS(Sheet1!S71_OY2AdjustedBudget,Sheet1!S71_SA34Code,$AC:$AC,Sheet1!S71_A5CapexCode,$AD:$AD)</f>
        <v>0</v>
      </c>
      <c r="N110" s="126"/>
      <c r="AC110" s="1336" t="s">
        <v>1822</v>
      </c>
      <c r="AD110" s="1336" t="s">
        <v>1846</v>
      </c>
    </row>
    <row r="111" spans="1:30" ht="5.0999999999999996" customHeight="1" x14ac:dyDescent="0.25">
      <c r="A111" s="1211"/>
      <c r="B111" s="73"/>
      <c r="C111" s="74"/>
      <c r="D111" s="75"/>
      <c r="E111" s="75"/>
      <c r="F111" s="75"/>
      <c r="G111" s="75"/>
      <c r="H111" s="75"/>
      <c r="I111" s="75"/>
      <c r="J111" s="75"/>
      <c r="K111" s="75"/>
      <c r="L111" s="75"/>
      <c r="M111" s="76"/>
      <c r="N111" s="126"/>
      <c r="AD111" s="1336" t="s">
        <v>1846</v>
      </c>
    </row>
    <row r="112" spans="1:30" ht="12.75" customHeight="1" x14ac:dyDescent="0.25">
      <c r="A112" s="1212" t="s">
        <v>768</v>
      </c>
      <c r="B112" s="73"/>
      <c r="C112" s="234">
        <f>+C113+C116</f>
        <v>0</v>
      </c>
      <c r="D112" s="235">
        <f t="shared" ref="D112:I112" si="22">+D113+D116</f>
        <v>0</v>
      </c>
      <c r="E112" s="235">
        <f t="shared" si="22"/>
        <v>0</v>
      </c>
      <c r="F112" s="235">
        <f t="shared" si="22"/>
        <v>0</v>
      </c>
      <c r="G112" s="235">
        <f t="shared" si="22"/>
        <v>0</v>
      </c>
      <c r="H112" s="235">
        <f t="shared" si="22"/>
        <v>0</v>
      </c>
      <c r="I112" s="235">
        <f t="shared" si="22"/>
        <v>0</v>
      </c>
      <c r="J112" s="235">
        <f t="shared" ref="J112:J118" si="23">SUM(E112:I112)</f>
        <v>0</v>
      </c>
      <c r="K112" s="235">
        <f t="shared" si="17"/>
        <v>0</v>
      </c>
      <c r="L112" s="235">
        <f>+L113+L116</f>
        <v>0</v>
      </c>
      <c r="M112" s="236">
        <f>+M113+M116</f>
        <v>0</v>
      </c>
      <c r="N112" s="126"/>
      <c r="AD112" s="1336" t="s">
        <v>1846</v>
      </c>
    </row>
    <row r="113" spans="1:30" ht="10.35" customHeight="1" x14ac:dyDescent="0.25">
      <c r="A113" s="584" t="s">
        <v>1647</v>
      </c>
      <c r="B113" s="73"/>
      <c r="C113" s="138">
        <f>SUM(C114:C115)</f>
        <v>0</v>
      </c>
      <c r="D113" s="139">
        <f>SUM(D114:D115)</f>
        <v>0</v>
      </c>
      <c r="E113" s="139">
        <f t="shared" ref="E113:M113" si="24">SUM(E114:E115)</f>
        <v>0</v>
      </c>
      <c r="F113" s="139">
        <f t="shared" si="24"/>
        <v>0</v>
      </c>
      <c r="G113" s="139">
        <f t="shared" si="24"/>
        <v>0</v>
      </c>
      <c r="H113" s="139">
        <f t="shared" si="24"/>
        <v>0</v>
      </c>
      <c r="I113" s="139">
        <f t="shared" si="24"/>
        <v>0</v>
      </c>
      <c r="J113" s="139">
        <f t="shared" si="23"/>
        <v>0</v>
      </c>
      <c r="K113" s="139">
        <f t="shared" si="17"/>
        <v>0</v>
      </c>
      <c r="L113" s="139">
        <f t="shared" si="24"/>
        <v>0</v>
      </c>
      <c r="M113" s="140">
        <f t="shared" si="24"/>
        <v>0</v>
      </c>
      <c r="N113" s="126"/>
      <c r="AD113" s="1336" t="s">
        <v>1846</v>
      </c>
    </row>
    <row r="114" spans="1:30" ht="12.75" customHeight="1" x14ac:dyDescent="0.25">
      <c r="A114" s="585" t="s">
        <v>1648</v>
      </c>
      <c r="B114" s="73"/>
      <c r="C114" s="1356">
        <f>SUMIFS(Sheet1!S71_OriginalBudget,Sheet1!S71_SA34Code,$AC:$AC,Sheet1!S71_A5CapexCode,$AD:$AD)</f>
        <v>0</v>
      </c>
      <c r="D114" s="1356">
        <f>SUMIFS(Sheet1!S71_SpecialAdjustedBudget,Sheet1!S71_SA34Code,$AC:$AC,Sheet1!S71_A5CapexCode,$AD:$AD)</f>
        <v>0</v>
      </c>
      <c r="E114" s="1356"/>
      <c r="F114" s="1356"/>
      <c r="G114" s="1356"/>
      <c r="H114" s="1356"/>
      <c r="I114" s="1356">
        <f>SUMIFS(Sheet1!S71_AdjustmentAmount,Sheet1!S71_SA34Code,$AC:$AC,Sheet1!S71_A5CapexCode,$AD:$AD)</f>
        <v>0</v>
      </c>
      <c r="J114" s="75">
        <f t="shared" si="23"/>
        <v>0</v>
      </c>
      <c r="K114" s="75">
        <f t="shared" si="17"/>
        <v>0</v>
      </c>
      <c r="L114" s="1356">
        <f>SUMIFS(Sheet1!S71_OY1AdjustedBudget,Sheet1!S71_SA34Code,$AC:$AC,Sheet1!S71_A5CapexCode,$AD:$AD)</f>
        <v>0</v>
      </c>
      <c r="M114" s="1357">
        <f>SUMIFS(Sheet1!S71_OY2AdjustedBudget,Sheet1!S71_SA34Code,$AC:$AC,Sheet1!S71_A5CapexCode,$AD:$AD)</f>
        <v>0</v>
      </c>
      <c r="N114" s="126"/>
      <c r="AC114" s="1336" t="s">
        <v>1969</v>
      </c>
      <c r="AD114" s="1336" t="s">
        <v>1846</v>
      </c>
    </row>
    <row r="115" spans="1:30" ht="12.75" customHeight="1" x14ac:dyDescent="0.25">
      <c r="A115" s="585" t="s">
        <v>1649</v>
      </c>
      <c r="B115" s="73"/>
      <c r="C115" s="1356">
        <f>SUMIFS(Sheet1!S71_OriginalBudget,Sheet1!S71_SA34Code,$AC:$AC,Sheet1!S71_A5CapexCode,$AD:$AD)</f>
        <v>0</v>
      </c>
      <c r="D115" s="1356">
        <f>SUMIFS(Sheet1!S71_SpecialAdjustedBudget,Sheet1!S71_SA34Code,$AC:$AC,Sheet1!S71_A5CapexCode,$AD:$AD)</f>
        <v>0</v>
      </c>
      <c r="E115" s="1356"/>
      <c r="F115" s="1356"/>
      <c r="G115" s="1356"/>
      <c r="H115" s="1356"/>
      <c r="I115" s="1356">
        <f>SUMIFS(Sheet1!S71_AdjustmentAmount,Sheet1!S71_SA34Code,$AC:$AC,Sheet1!S71_A5CapexCode,$AD:$AD)</f>
        <v>0</v>
      </c>
      <c r="J115" s="75">
        <f t="shared" si="23"/>
        <v>0</v>
      </c>
      <c r="K115" s="75">
        <f t="shared" si="17"/>
        <v>0</v>
      </c>
      <c r="L115" s="1356">
        <f>SUMIFS(Sheet1!S71_OY1AdjustedBudget,Sheet1!S71_SA34Code,$AC:$AC,Sheet1!S71_A5CapexCode,$AD:$AD)</f>
        <v>0</v>
      </c>
      <c r="M115" s="1357">
        <f>SUMIFS(Sheet1!S71_OY2AdjustedBudget,Sheet1!S71_SA34Code,$AC:$AC,Sheet1!S71_A5CapexCode,$AD:$AD)</f>
        <v>0</v>
      </c>
      <c r="N115" s="126"/>
      <c r="AC115" s="1336" t="s">
        <v>1970</v>
      </c>
      <c r="AD115" s="1336" t="s">
        <v>1846</v>
      </c>
    </row>
    <row r="116" spans="1:30" ht="10.35" customHeight="1" x14ac:dyDescent="0.25">
      <c r="A116" s="584" t="s">
        <v>1650</v>
      </c>
      <c r="B116" s="73"/>
      <c r="C116" s="138">
        <f>SUM(C117:C118)</f>
        <v>0</v>
      </c>
      <c r="D116" s="139">
        <f>SUM(D117:D118)</f>
        <v>0</v>
      </c>
      <c r="E116" s="139">
        <f t="shared" ref="E116:M116" si="25">SUM(E117:E118)</f>
        <v>0</v>
      </c>
      <c r="F116" s="139">
        <f t="shared" si="25"/>
        <v>0</v>
      </c>
      <c r="G116" s="139">
        <f t="shared" si="25"/>
        <v>0</v>
      </c>
      <c r="H116" s="139">
        <f t="shared" si="25"/>
        <v>0</v>
      </c>
      <c r="I116" s="139">
        <f t="shared" si="25"/>
        <v>0</v>
      </c>
      <c r="J116" s="139">
        <f t="shared" si="23"/>
        <v>0</v>
      </c>
      <c r="K116" s="139">
        <f t="shared" si="17"/>
        <v>0</v>
      </c>
      <c r="L116" s="139">
        <f t="shared" si="25"/>
        <v>0</v>
      </c>
      <c r="M116" s="140">
        <f t="shared" si="25"/>
        <v>0</v>
      </c>
      <c r="N116" s="126"/>
      <c r="AC116" s="1336" t="s">
        <v>1971</v>
      </c>
      <c r="AD116" s="1336" t="s">
        <v>1846</v>
      </c>
    </row>
    <row r="117" spans="1:30" ht="12.75" customHeight="1" x14ac:dyDescent="0.25">
      <c r="A117" s="585" t="s">
        <v>1648</v>
      </c>
      <c r="B117" s="73"/>
      <c r="C117" s="1356">
        <f>SUMIFS(Sheet1!S71_OriginalBudget,Sheet1!S71_SA34Code,$AC:$AC,Sheet1!S71_A5CapexCode,$AD:$AD)</f>
        <v>0</v>
      </c>
      <c r="D117" s="1356">
        <f>SUMIFS(Sheet1!S71_SpecialAdjustedBudget,Sheet1!S71_SA34Code,$AC:$AC,Sheet1!S71_A5CapexCode,$AD:$AD)</f>
        <v>0</v>
      </c>
      <c r="E117" s="1356"/>
      <c r="F117" s="1356"/>
      <c r="G117" s="1356"/>
      <c r="H117" s="1356"/>
      <c r="I117" s="1356">
        <f>SUMIFS(Sheet1!S71_AdjustmentAmount,Sheet1!S71_SA34Code,$AC:$AC,Sheet1!S71_A5CapexCode,$AD:$AD)</f>
        <v>0</v>
      </c>
      <c r="J117" s="75">
        <f t="shared" si="23"/>
        <v>0</v>
      </c>
      <c r="K117" s="75">
        <f t="shared" si="17"/>
        <v>0</v>
      </c>
      <c r="L117" s="1356">
        <f>SUMIFS(Sheet1!S71_OY1AdjustedBudget,Sheet1!S71_SA34Code,$AC:$AC,Sheet1!S71_A5CapexCode,$AD:$AD)</f>
        <v>0</v>
      </c>
      <c r="M117" s="1357">
        <f>SUMIFS(Sheet1!S71_OY2AdjustedBudget,Sheet1!S71_SA34Code,$AC:$AC,Sheet1!S71_A5CapexCode,$AD:$AD)</f>
        <v>0</v>
      </c>
      <c r="N117" s="126"/>
      <c r="AC117" s="1336" t="s">
        <v>1972</v>
      </c>
      <c r="AD117" s="1336" t="s">
        <v>1846</v>
      </c>
    </row>
    <row r="118" spans="1:30" ht="12.75" customHeight="1" x14ac:dyDescent="0.25">
      <c r="A118" s="585" t="s">
        <v>1649</v>
      </c>
      <c r="B118" s="73"/>
      <c r="C118" s="1356">
        <f>SUMIFS(Sheet1!S71_OriginalBudget,Sheet1!S71_SA34Code,$AC:$AC,Sheet1!S71_A5CapexCode,$AD:$AD)</f>
        <v>0</v>
      </c>
      <c r="D118" s="1356">
        <f>SUMIFS(Sheet1!S71_SpecialAdjustedBudget,Sheet1!S71_SA34Code,$AC:$AC,Sheet1!S71_A5CapexCode,$AD:$AD)</f>
        <v>0</v>
      </c>
      <c r="E118" s="1356"/>
      <c r="F118" s="1356"/>
      <c r="G118" s="1356"/>
      <c r="H118" s="1356"/>
      <c r="I118" s="1356">
        <f>SUMIFS(Sheet1!S71_AdjustmentAmount,Sheet1!S71_SA34Code,$AC:$AC,Sheet1!S71_A5CapexCode,$AD:$AD)</f>
        <v>0</v>
      </c>
      <c r="J118" s="75">
        <f t="shared" si="23"/>
        <v>0</v>
      </c>
      <c r="K118" s="75">
        <f t="shared" si="17"/>
        <v>0</v>
      </c>
      <c r="L118" s="1356">
        <f>SUMIFS(Sheet1!S71_OY1AdjustedBudget,Sheet1!S71_SA34Code,$AC:$AC,Sheet1!S71_A5CapexCode,$AD:$AD)</f>
        <v>0</v>
      </c>
      <c r="M118" s="1357">
        <f>SUMIFS(Sheet1!S71_OY2AdjustedBudget,Sheet1!S71_SA34Code,$AC:$AC,Sheet1!S71_A5CapexCode,$AD:$AD)</f>
        <v>0</v>
      </c>
      <c r="N118" s="126"/>
      <c r="AC118" s="1336" t="s">
        <v>1973</v>
      </c>
      <c r="AD118" s="1336" t="s">
        <v>1846</v>
      </c>
    </row>
    <row r="119" spans="1:30" ht="5.0999999999999996" customHeight="1" x14ac:dyDescent="0.25">
      <c r="A119" s="134"/>
      <c r="B119" s="73"/>
      <c r="C119" s="74"/>
      <c r="D119" s="75"/>
      <c r="E119" s="75"/>
      <c r="F119" s="75"/>
      <c r="G119" s="75"/>
      <c r="H119" s="75"/>
      <c r="I119" s="75"/>
      <c r="J119" s="75"/>
      <c r="K119" s="75"/>
      <c r="L119" s="75"/>
      <c r="M119" s="76"/>
      <c r="N119" s="126"/>
      <c r="AD119" s="1336" t="s">
        <v>1846</v>
      </c>
    </row>
    <row r="120" spans="1:30" ht="12.75" customHeight="1" x14ac:dyDescent="0.25">
      <c r="A120" s="1212" t="s">
        <v>769</v>
      </c>
      <c r="B120" s="73"/>
      <c r="C120" s="234">
        <f>+C121+C133</f>
        <v>0</v>
      </c>
      <c r="D120" s="235">
        <f t="shared" ref="D120:I120" si="26">+D121+D133</f>
        <v>0</v>
      </c>
      <c r="E120" s="235">
        <f t="shared" si="26"/>
        <v>0</v>
      </c>
      <c r="F120" s="235">
        <f t="shared" si="26"/>
        <v>0</v>
      </c>
      <c r="G120" s="235">
        <f t="shared" si="26"/>
        <v>0</v>
      </c>
      <c r="H120" s="235">
        <f t="shared" si="26"/>
        <v>0</v>
      </c>
      <c r="I120" s="235">
        <f t="shared" si="26"/>
        <v>550000</v>
      </c>
      <c r="J120" s="235">
        <f t="shared" ref="J120:J136" si="27">SUM(E120:I120)</f>
        <v>550000</v>
      </c>
      <c r="K120" s="235">
        <f t="shared" si="17"/>
        <v>550000</v>
      </c>
      <c r="L120" s="235">
        <f>+L121+L133</f>
        <v>1200000</v>
      </c>
      <c r="M120" s="236">
        <f>+M121+M133</f>
        <v>0</v>
      </c>
      <c r="N120" s="126"/>
      <c r="AD120" s="1336" t="s">
        <v>1846</v>
      </c>
    </row>
    <row r="121" spans="1:30" ht="10.35" customHeight="1" x14ac:dyDescent="0.25">
      <c r="A121" s="584" t="s">
        <v>1651</v>
      </c>
      <c r="B121" s="73"/>
      <c r="C121" s="138">
        <f>SUM(C122:C132)</f>
        <v>0</v>
      </c>
      <c r="D121" s="139">
        <f t="shared" ref="D121:I121" si="28">SUM(D122:D132)</f>
        <v>0</v>
      </c>
      <c r="E121" s="139">
        <f t="shared" si="28"/>
        <v>0</v>
      </c>
      <c r="F121" s="139">
        <f t="shared" si="28"/>
        <v>0</v>
      </c>
      <c r="G121" s="139">
        <f t="shared" si="28"/>
        <v>0</v>
      </c>
      <c r="H121" s="139">
        <f t="shared" si="28"/>
        <v>0</v>
      </c>
      <c r="I121" s="139">
        <f t="shared" si="28"/>
        <v>550000</v>
      </c>
      <c r="J121" s="139">
        <f t="shared" si="27"/>
        <v>550000</v>
      </c>
      <c r="K121" s="139">
        <f t="shared" si="17"/>
        <v>550000</v>
      </c>
      <c r="L121" s="139">
        <f>SUM(L122:L132)</f>
        <v>1200000</v>
      </c>
      <c r="M121" s="140">
        <f>SUM(M122:M132)</f>
        <v>0</v>
      </c>
      <c r="N121" s="126"/>
      <c r="AD121" s="1336" t="s">
        <v>1846</v>
      </c>
    </row>
    <row r="122" spans="1:30" ht="12.75" customHeight="1" x14ac:dyDescent="0.25">
      <c r="A122" s="585" t="s">
        <v>1652</v>
      </c>
      <c r="B122" s="73"/>
      <c r="C122" s="1356">
        <f>SUMIFS(Sheet1!S71_OriginalBudget,Sheet1!S71_SA34Code,$AC:$AC,Sheet1!S71_A5CapexCode,$AD:$AD)</f>
        <v>0</v>
      </c>
      <c r="D122" s="1356">
        <f>SUMIFS(Sheet1!S71_SpecialAdjustedBudget,Sheet1!S71_SA34Code,$AC:$AC,Sheet1!S71_A5CapexCode,$AD:$AD)</f>
        <v>0</v>
      </c>
      <c r="E122" s="1356"/>
      <c r="F122" s="1356"/>
      <c r="G122" s="1356"/>
      <c r="H122" s="1356"/>
      <c r="I122" s="1356">
        <f>SUMIFS(Sheet1!S71_AdjustmentAmount,Sheet1!S71_SA34Code,$AC:$AC,Sheet1!S71_A5CapexCode,$AD:$AD)</f>
        <v>0</v>
      </c>
      <c r="J122" s="75">
        <f t="shared" si="27"/>
        <v>0</v>
      </c>
      <c r="K122" s="75">
        <f t="shared" si="17"/>
        <v>0</v>
      </c>
      <c r="L122" s="1356">
        <f>SUMIFS(Sheet1!S71_OY1AdjustedBudget,Sheet1!S71_SA34Code,$AC:$AC,Sheet1!S71_A5CapexCode,$AD:$AD)</f>
        <v>0</v>
      </c>
      <c r="M122" s="1357">
        <f>SUMIFS(Sheet1!S71_OY2AdjustedBudget,Sheet1!S71_SA34Code,$AC:$AC,Sheet1!S71_A5CapexCode,$AD:$AD)</f>
        <v>0</v>
      </c>
      <c r="N122" s="126"/>
      <c r="AC122" s="1336" t="s">
        <v>1823</v>
      </c>
      <c r="AD122" s="1336" t="s">
        <v>1846</v>
      </c>
    </row>
    <row r="123" spans="1:30" ht="12.75" customHeight="1" x14ac:dyDescent="0.25">
      <c r="A123" s="585" t="s">
        <v>1653</v>
      </c>
      <c r="B123" s="135"/>
      <c r="C123" s="1356">
        <f>SUMIFS(Sheet1!S71_OriginalBudget,Sheet1!S71_SA34Code,$AC:$AC,Sheet1!S71_A5CapexCode,$AD:$AD)</f>
        <v>0</v>
      </c>
      <c r="D123" s="1356">
        <f>SUMIFS(Sheet1!S71_SpecialAdjustedBudget,Sheet1!S71_SA34Code,$AC:$AC,Sheet1!S71_A5CapexCode,$AD:$AD)</f>
        <v>0</v>
      </c>
      <c r="E123" s="1356"/>
      <c r="F123" s="1356"/>
      <c r="G123" s="1356"/>
      <c r="H123" s="1356"/>
      <c r="I123" s="1356">
        <f>SUMIFS(Sheet1!S71_AdjustmentAmount,Sheet1!S71_SA34Code,$AC:$AC,Sheet1!S71_A5CapexCode,$AD:$AD)</f>
        <v>0</v>
      </c>
      <c r="J123" s="75">
        <f t="shared" si="27"/>
        <v>0</v>
      </c>
      <c r="K123" s="75">
        <f t="shared" si="17"/>
        <v>0</v>
      </c>
      <c r="L123" s="1356">
        <f>SUMIFS(Sheet1!S71_OY1AdjustedBudget,Sheet1!S71_SA34Code,$AC:$AC,Sheet1!S71_A5CapexCode,$AD:$AD)</f>
        <v>0</v>
      </c>
      <c r="M123" s="1357">
        <f>SUMIFS(Sheet1!S71_OY2AdjustedBudget,Sheet1!S71_SA34Code,$AC:$AC,Sheet1!S71_A5CapexCode,$AD:$AD)</f>
        <v>0</v>
      </c>
      <c r="N123" s="126"/>
      <c r="AC123" s="1336" t="s">
        <v>1974</v>
      </c>
      <c r="AD123" s="1336" t="s">
        <v>1846</v>
      </c>
    </row>
    <row r="124" spans="1:30" ht="12.75" customHeight="1" x14ac:dyDescent="0.25">
      <c r="A124" s="585" t="s">
        <v>1654</v>
      </c>
      <c r="B124" s="73"/>
      <c r="C124" s="1356">
        <f>SUMIFS(Sheet1!S71_OriginalBudget,Sheet1!S71_SA34Code,$AC:$AC,Sheet1!S71_A5CapexCode,$AD:$AD)</f>
        <v>0</v>
      </c>
      <c r="D124" s="1356">
        <f>SUMIFS(Sheet1!S71_SpecialAdjustedBudget,Sheet1!S71_SA34Code,$AC:$AC,Sheet1!S71_A5CapexCode,$AD:$AD)</f>
        <v>0</v>
      </c>
      <c r="E124" s="1356"/>
      <c r="F124" s="1356"/>
      <c r="G124" s="1356"/>
      <c r="H124" s="1356"/>
      <c r="I124" s="1356">
        <f>SUMIFS(Sheet1!S71_AdjustmentAmount,Sheet1!S71_SA34Code,$AC:$AC,Sheet1!S71_A5CapexCode,$AD:$AD)</f>
        <v>0</v>
      </c>
      <c r="J124" s="75">
        <f t="shared" si="27"/>
        <v>0</v>
      </c>
      <c r="K124" s="75">
        <f t="shared" si="17"/>
        <v>0</v>
      </c>
      <c r="L124" s="1356">
        <f>SUMIFS(Sheet1!S71_OY1AdjustedBudget,Sheet1!S71_SA34Code,$AC:$AC,Sheet1!S71_A5CapexCode,$AD:$AD)</f>
        <v>0</v>
      </c>
      <c r="M124" s="1357">
        <f>SUMIFS(Sheet1!S71_OY2AdjustedBudget,Sheet1!S71_SA34Code,$AC:$AC,Sheet1!S71_A5CapexCode,$AD:$AD)</f>
        <v>0</v>
      </c>
      <c r="N124" s="126"/>
      <c r="AC124" s="1336" t="s">
        <v>1975</v>
      </c>
      <c r="AD124" s="1336" t="s">
        <v>1846</v>
      </c>
    </row>
    <row r="125" spans="1:30" ht="12.75" customHeight="1" x14ac:dyDescent="0.25">
      <c r="A125" s="585" t="s">
        <v>1655</v>
      </c>
      <c r="B125" s="73"/>
      <c r="C125" s="1356">
        <f>SUMIFS(Sheet1!S71_OriginalBudget,Sheet1!S71_SA34Code,$AC:$AC,Sheet1!S71_A5CapexCode,$AD:$AD)</f>
        <v>0</v>
      </c>
      <c r="D125" s="1356">
        <f>SUMIFS(Sheet1!S71_SpecialAdjustedBudget,Sheet1!S71_SA34Code,$AC:$AC,Sheet1!S71_A5CapexCode,$AD:$AD)</f>
        <v>0</v>
      </c>
      <c r="E125" s="1356"/>
      <c r="F125" s="1356"/>
      <c r="G125" s="1356"/>
      <c r="H125" s="1356"/>
      <c r="I125" s="1356">
        <f>SUMIFS(Sheet1!S71_AdjustmentAmount,Sheet1!S71_SA34Code,$AC:$AC,Sheet1!S71_A5CapexCode,$AD:$AD)</f>
        <v>0</v>
      </c>
      <c r="J125" s="75">
        <f t="shared" si="27"/>
        <v>0</v>
      </c>
      <c r="K125" s="75">
        <f t="shared" si="17"/>
        <v>0</v>
      </c>
      <c r="L125" s="1356">
        <f>SUMIFS(Sheet1!S71_OY1AdjustedBudget,Sheet1!S71_SA34Code,$AC:$AC,Sheet1!S71_A5CapexCode,$AD:$AD)</f>
        <v>0</v>
      </c>
      <c r="M125" s="1357">
        <f>SUMIFS(Sheet1!S71_OY2AdjustedBudget,Sheet1!S71_SA34Code,$AC:$AC,Sheet1!S71_A5CapexCode,$AD:$AD)</f>
        <v>0</v>
      </c>
      <c r="N125" s="126"/>
      <c r="AC125" s="1336" t="s">
        <v>1976</v>
      </c>
      <c r="AD125" s="1336" t="s">
        <v>1846</v>
      </c>
    </row>
    <row r="126" spans="1:30" ht="12.75" customHeight="1" x14ac:dyDescent="0.25">
      <c r="A126" s="585" t="s">
        <v>1656</v>
      </c>
      <c r="B126" s="73"/>
      <c r="C126" s="1356">
        <f>SUMIFS(Sheet1!S71_OriginalBudget,Sheet1!S71_SA34Code,$AC:$AC,Sheet1!S71_A5CapexCode,$AD:$AD)</f>
        <v>0</v>
      </c>
      <c r="D126" s="1356">
        <f>SUMIFS(Sheet1!S71_SpecialAdjustedBudget,Sheet1!S71_SA34Code,$AC:$AC,Sheet1!S71_A5CapexCode,$AD:$AD)</f>
        <v>0</v>
      </c>
      <c r="E126" s="1356"/>
      <c r="F126" s="1356"/>
      <c r="G126" s="1356"/>
      <c r="H126" s="1356"/>
      <c r="I126" s="1356">
        <f>SUMIFS(Sheet1!S71_AdjustmentAmount,Sheet1!S71_SA34Code,$AC:$AC,Sheet1!S71_A5CapexCode,$AD:$AD)</f>
        <v>550000</v>
      </c>
      <c r="J126" s="75">
        <f t="shared" si="27"/>
        <v>550000</v>
      </c>
      <c r="K126" s="75">
        <f t="shared" si="17"/>
        <v>550000</v>
      </c>
      <c r="L126" s="1356">
        <f>SUMIFS(Sheet1!S71_OY1AdjustedBudget,Sheet1!S71_SA34Code,$AC:$AC,Sheet1!S71_A5CapexCode,$AD:$AD)</f>
        <v>1200000</v>
      </c>
      <c r="M126" s="1357">
        <f>SUMIFS(Sheet1!S71_OY2AdjustedBudget,Sheet1!S71_SA34Code,$AC:$AC,Sheet1!S71_A5CapexCode,$AD:$AD)</f>
        <v>0</v>
      </c>
      <c r="N126" s="126"/>
      <c r="AC126" s="1336" t="s">
        <v>1977</v>
      </c>
      <c r="AD126" s="1336" t="s">
        <v>1846</v>
      </c>
    </row>
    <row r="127" spans="1:30" ht="12.75" customHeight="1" x14ac:dyDescent="0.25">
      <c r="A127" s="585" t="s">
        <v>1657</v>
      </c>
      <c r="B127" s="73"/>
      <c r="C127" s="1356">
        <f>SUMIFS(Sheet1!S71_OriginalBudget,Sheet1!S71_SA34Code,$AC:$AC,Sheet1!S71_A5CapexCode,$AD:$AD)</f>
        <v>0</v>
      </c>
      <c r="D127" s="1356">
        <f>SUMIFS(Sheet1!S71_SpecialAdjustedBudget,Sheet1!S71_SA34Code,$AC:$AC,Sheet1!S71_A5CapexCode,$AD:$AD)</f>
        <v>0</v>
      </c>
      <c r="E127" s="1356"/>
      <c r="F127" s="1356"/>
      <c r="G127" s="1356"/>
      <c r="H127" s="1356"/>
      <c r="I127" s="1356">
        <f>SUMIFS(Sheet1!S71_AdjustmentAmount,Sheet1!S71_SA34Code,$AC:$AC,Sheet1!S71_A5CapexCode,$AD:$AD)</f>
        <v>0</v>
      </c>
      <c r="J127" s="75">
        <f t="shared" si="27"/>
        <v>0</v>
      </c>
      <c r="K127" s="75">
        <f t="shared" si="17"/>
        <v>0</v>
      </c>
      <c r="L127" s="1356">
        <f>SUMIFS(Sheet1!S71_OY1AdjustedBudget,Sheet1!S71_SA34Code,$AC:$AC,Sheet1!S71_A5CapexCode,$AD:$AD)</f>
        <v>0</v>
      </c>
      <c r="M127" s="1357">
        <f>SUMIFS(Sheet1!S71_OY2AdjustedBudget,Sheet1!S71_SA34Code,$AC:$AC,Sheet1!S71_A5CapexCode,$AD:$AD)</f>
        <v>0</v>
      </c>
      <c r="N127" s="126"/>
      <c r="AC127" s="1336" t="s">
        <v>1978</v>
      </c>
      <c r="AD127" s="1336" t="s">
        <v>1846</v>
      </c>
    </row>
    <row r="128" spans="1:30" ht="12.75" customHeight="1" x14ac:dyDescent="0.25">
      <c r="A128" s="585" t="s">
        <v>1658</v>
      </c>
      <c r="B128" s="73"/>
      <c r="C128" s="1356">
        <f>SUMIFS(Sheet1!S71_OriginalBudget,Sheet1!S71_SA34Code,$AC:$AC,Sheet1!S71_A5CapexCode,$AD:$AD)</f>
        <v>0</v>
      </c>
      <c r="D128" s="1356">
        <f>SUMIFS(Sheet1!S71_SpecialAdjustedBudget,Sheet1!S71_SA34Code,$AC:$AC,Sheet1!S71_A5CapexCode,$AD:$AD)</f>
        <v>0</v>
      </c>
      <c r="E128" s="1356"/>
      <c r="F128" s="1356"/>
      <c r="G128" s="1356"/>
      <c r="H128" s="1356"/>
      <c r="I128" s="1356">
        <f>SUMIFS(Sheet1!S71_AdjustmentAmount,Sheet1!S71_SA34Code,$AC:$AC,Sheet1!S71_A5CapexCode,$AD:$AD)</f>
        <v>0</v>
      </c>
      <c r="J128" s="75">
        <f t="shared" si="27"/>
        <v>0</v>
      </c>
      <c r="K128" s="75">
        <f t="shared" si="17"/>
        <v>0</v>
      </c>
      <c r="L128" s="1356">
        <f>SUMIFS(Sheet1!S71_OY1AdjustedBudget,Sheet1!S71_SA34Code,$AC:$AC,Sheet1!S71_A5CapexCode,$AD:$AD)</f>
        <v>0</v>
      </c>
      <c r="M128" s="1357">
        <f>SUMIFS(Sheet1!S71_OY2AdjustedBudget,Sheet1!S71_SA34Code,$AC:$AC,Sheet1!S71_A5CapexCode,$AD:$AD)</f>
        <v>0</v>
      </c>
      <c r="N128" s="126"/>
      <c r="AC128" s="1336" t="s">
        <v>1979</v>
      </c>
      <c r="AD128" s="1336" t="s">
        <v>1846</v>
      </c>
    </row>
    <row r="129" spans="1:30" ht="12.75" customHeight="1" x14ac:dyDescent="0.25">
      <c r="A129" s="585" t="s">
        <v>1659</v>
      </c>
      <c r="B129" s="135"/>
      <c r="C129" s="1356">
        <f>SUMIFS(Sheet1!S71_OriginalBudget,Sheet1!S71_SA34Code,$AC:$AC,Sheet1!S71_A5CapexCode,$AD:$AD)</f>
        <v>0</v>
      </c>
      <c r="D129" s="1356">
        <f>SUMIFS(Sheet1!S71_SpecialAdjustedBudget,Sheet1!S71_SA34Code,$AC:$AC,Sheet1!S71_A5CapexCode,$AD:$AD)</f>
        <v>0</v>
      </c>
      <c r="E129" s="1356"/>
      <c r="F129" s="1356"/>
      <c r="G129" s="1356"/>
      <c r="H129" s="1356"/>
      <c r="I129" s="1356">
        <f>SUMIFS(Sheet1!S71_AdjustmentAmount,Sheet1!S71_SA34Code,$AC:$AC,Sheet1!S71_A5CapexCode,$AD:$AD)</f>
        <v>0</v>
      </c>
      <c r="J129" s="75">
        <f t="shared" si="27"/>
        <v>0</v>
      </c>
      <c r="K129" s="75">
        <f t="shared" si="17"/>
        <v>0</v>
      </c>
      <c r="L129" s="1356">
        <f>SUMIFS(Sheet1!S71_OY1AdjustedBudget,Sheet1!S71_SA34Code,$AC:$AC,Sheet1!S71_A5CapexCode,$AD:$AD)</f>
        <v>0</v>
      </c>
      <c r="M129" s="1357">
        <f>SUMIFS(Sheet1!S71_OY2AdjustedBudget,Sheet1!S71_SA34Code,$AC:$AC,Sheet1!S71_A5CapexCode,$AD:$AD)</f>
        <v>0</v>
      </c>
      <c r="N129" s="126"/>
      <c r="AC129" s="1336" t="s">
        <v>1980</v>
      </c>
      <c r="AD129" s="1336" t="s">
        <v>1846</v>
      </c>
    </row>
    <row r="130" spans="1:30" ht="12.75" customHeight="1" x14ac:dyDescent="0.25">
      <c r="A130" s="585" t="s">
        <v>1660</v>
      </c>
      <c r="B130" s="73"/>
      <c r="C130" s="1356">
        <f>SUMIFS(Sheet1!S71_OriginalBudget,Sheet1!S71_SA34Code,$AC:$AC,Sheet1!S71_A5CapexCode,$AD:$AD)</f>
        <v>0</v>
      </c>
      <c r="D130" s="1356">
        <f>SUMIFS(Sheet1!S71_SpecialAdjustedBudget,Sheet1!S71_SA34Code,$AC:$AC,Sheet1!S71_A5CapexCode,$AD:$AD)</f>
        <v>0</v>
      </c>
      <c r="E130" s="1356"/>
      <c r="F130" s="1356"/>
      <c r="G130" s="1356"/>
      <c r="H130" s="1356"/>
      <c r="I130" s="1356">
        <f>SUMIFS(Sheet1!S71_AdjustmentAmount,Sheet1!S71_SA34Code,$AC:$AC,Sheet1!S71_A5CapexCode,$AD:$AD)</f>
        <v>0</v>
      </c>
      <c r="J130" s="75">
        <f t="shared" si="27"/>
        <v>0</v>
      </c>
      <c r="K130" s="75">
        <f t="shared" si="17"/>
        <v>0</v>
      </c>
      <c r="L130" s="1356">
        <f>SUMIFS(Sheet1!S71_OY1AdjustedBudget,Sheet1!S71_SA34Code,$AC:$AC,Sheet1!S71_A5CapexCode,$AD:$AD)</f>
        <v>0</v>
      </c>
      <c r="M130" s="1357">
        <f>SUMIFS(Sheet1!S71_OY2AdjustedBudget,Sheet1!S71_SA34Code,$AC:$AC,Sheet1!S71_A5CapexCode,$AD:$AD)</f>
        <v>0</v>
      </c>
      <c r="N130" s="126"/>
      <c r="AC130" s="1336" t="s">
        <v>1981</v>
      </c>
      <c r="AD130" s="1336" t="s">
        <v>1846</v>
      </c>
    </row>
    <row r="131" spans="1:30" ht="12.75" customHeight="1" x14ac:dyDescent="0.25">
      <c r="A131" s="585" t="s">
        <v>1661</v>
      </c>
      <c r="B131" s="73"/>
      <c r="C131" s="1356">
        <f>SUMIFS(Sheet1!S71_OriginalBudget,Sheet1!S71_SA34Code,$AC:$AC,Sheet1!S71_A5CapexCode,$AD:$AD)</f>
        <v>0</v>
      </c>
      <c r="D131" s="1356">
        <f>SUMIFS(Sheet1!S71_SpecialAdjustedBudget,Sheet1!S71_SA34Code,$AC:$AC,Sheet1!S71_A5CapexCode,$AD:$AD)</f>
        <v>0</v>
      </c>
      <c r="E131" s="1356"/>
      <c r="F131" s="1356"/>
      <c r="G131" s="1356"/>
      <c r="H131" s="1356"/>
      <c r="I131" s="1356">
        <f>SUMIFS(Sheet1!S71_AdjustmentAmount,Sheet1!S71_SA34Code,$AC:$AC,Sheet1!S71_A5CapexCode,$AD:$AD)</f>
        <v>0</v>
      </c>
      <c r="J131" s="75">
        <f t="shared" si="27"/>
        <v>0</v>
      </c>
      <c r="K131" s="75">
        <f t="shared" si="17"/>
        <v>0</v>
      </c>
      <c r="L131" s="1356">
        <f>SUMIFS(Sheet1!S71_OY1AdjustedBudget,Sheet1!S71_SA34Code,$AC:$AC,Sheet1!S71_A5CapexCode,$AD:$AD)</f>
        <v>0</v>
      </c>
      <c r="M131" s="1357">
        <f>SUMIFS(Sheet1!S71_OY2AdjustedBudget,Sheet1!S71_SA34Code,$AC:$AC,Sheet1!S71_A5CapexCode,$AD:$AD)</f>
        <v>0</v>
      </c>
      <c r="N131" s="126"/>
      <c r="AC131" s="1336" t="s">
        <v>1982</v>
      </c>
      <c r="AD131" s="1336" t="s">
        <v>1846</v>
      </c>
    </row>
    <row r="132" spans="1:30" ht="12.75" customHeight="1" x14ac:dyDescent="0.25">
      <c r="A132" s="585" t="s">
        <v>1571</v>
      </c>
      <c r="B132" s="73"/>
      <c r="C132" s="1356">
        <f>SUMIFS(Sheet1!S71_OriginalBudget,Sheet1!S71_SA34Code,$AC:$AC,Sheet1!S71_A5CapexCode,$AD:$AD)</f>
        <v>0</v>
      </c>
      <c r="D132" s="1356">
        <f>SUMIFS(Sheet1!S71_SpecialAdjustedBudget,Sheet1!S71_SA34Code,$AC:$AC,Sheet1!S71_A5CapexCode,$AD:$AD)</f>
        <v>0</v>
      </c>
      <c r="E132" s="1356"/>
      <c r="F132" s="1356"/>
      <c r="G132" s="1356"/>
      <c r="H132" s="1356"/>
      <c r="I132" s="1356">
        <f>SUMIFS(Sheet1!S71_AdjustmentAmount,Sheet1!S71_SA34Code,$AC:$AC,Sheet1!S71_A5CapexCode,$AD:$AD)</f>
        <v>0</v>
      </c>
      <c r="J132" s="75">
        <f t="shared" si="27"/>
        <v>0</v>
      </c>
      <c r="K132" s="75">
        <f t="shared" si="17"/>
        <v>0</v>
      </c>
      <c r="L132" s="1356">
        <f>SUMIFS(Sheet1!S71_OY1AdjustedBudget,Sheet1!S71_SA34Code,$AC:$AC,Sheet1!S71_A5CapexCode,$AD:$AD)</f>
        <v>0</v>
      </c>
      <c r="M132" s="1357">
        <f>SUMIFS(Sheet1!S71_OY2AdjustedBudget,Sheet1!S71_SA34Code,$AC:$AC,Sheet1!S71_A5CapexCode,$AD:$AD)</f>
        <v>0</v>
      </c>
      <c r="N132" s="126"/>
      <c r="AC132" s="1336" t="s">
        <v>1824</v>
      </c>
      <c r="AD132" s="1336" t="s">
        <v>1846</v>
      </c>
    </row>
    <row r="133" spans="1:30" ht="10.35" customHeight="1" x14ac:dyDescent="0.25">
      <c r="A133" s="584" t="s">
        <v>621</v>
      </c>
      <c r="B133" s="73"/>
      <c r="C133" s="138">
        <f>SUM(C134:C136)</f>
        <v>0</v>
      </c>
      <c r="D133" s="139">
        <f>SUM(D134:D136)</f>
        <v>0</v>
      </c>
      <c r="E133" s="139">
        <f t="shared" ref="E133:M133" si="29">SUM(E134:E136)</f>
        <v>0</v>
      </c>
      <c r="F133" s="139">
        <f t="shared" si="29"/>
        <v>0</v>
      </c>
      <c r="G133" s="139">
        <f t="shared" si="29"/>
        <v>0</v>
      </c>
      <c r="H133" s="139">
        <f t="shared" si="29"/>
        <v>0</v>
      </c>
      <c r="I133" s="139">
        <f t="shared" si="29"/>
        <v>0</v>
      </c>
      <c r="J133" s="139">
        <f t="shared" si="27"/>
        <v>0</v>
      </c>
      <c r="K133" s="139">
        <f t="shared" si="17"/>
        <v>0</v>
      </c>
      <c r="L133" s="139">
        <f t="shared" si="29"/>
        <v>0</v>
      </c>
      <c r="M133" s="140">
        <f t="shared" si="29"/>
        <v>0</v>
      </c>
      <c r="N133" s="126"/>
      <c r="AD133" s="1336" t="s">
        <v>1846</v>
      </c>
    </row>
    <row r="134" spans="1:30" s="1216" customFormat="1" ht="12.75" customHeight="1" x14ac:dyDescent="0.25">
      <c r="A134" s="585" t="s">
        <v>1662</v>
      </c>
      <c r="B134" s="1213"/>
      <c r="C134" s="1356">
        <f>SUMIFS(Sheet1!S71_OriginalBudget,Sheet1!S71_SA34Code,$AC:$AC,Sheet1!S71_A5CapexCode,$AD:$AD)</f>
        <v>0</v>
      </c>
      <c r="D134" s="1356">
        <f>SUMIFS(Sheet1!S71_SpecialAdjustedBudget,Sheet1!S71_SA34Code,$AC:$AC,Sheet1!S71_A5CapexCode,$AD:$AD)</f>
        <v>0</v>
      </c>
      <c r="E134" s="1356"/>
      <c r="F134" s="1356"/>
      <c r="G134" s="1356"/>
      <c r="H134" s="1356"/>
      <c r="I134" s="1356">
        <f>SUMIFS(Sheet1!S71_AdjustmentAmount,Sheet1!S71_SA34Code,$AC:$AC,Sheet1!S71_A5CapexCode,$AD:$AD)</f>
        <v>0</v>
      </c>
      <c r="J134" s="1214">
        <f t="shared" si="27"/>
        <v>0</v>
      </c>
      <c r="K134" s="1214">
        <f t="shared" si="17"/>
        <v>0</v>
      </c>
      <c r="L134" s="1356">
        <f>SUMIFS(Sheet1!S71_OY1AdjustedBudget,Sheet1!S71_SA34Code,$AC:$AC,Sheet1!S71_A5CapexCode,$AD:$AD)</f>
        <v>0</v>
      </c>
      <c r="M134" s="1357">
        <f>SUMIFS(Sheet1!S71_OY2AdjustedBudget,Sheet1!S71_SA34Code,$AC:$AC,Sheet1!S71_A5CapexCode,$AD:$AD)</f>
        <v>0</v>
      </c>
      <c r="N134" s="1215"/>
      <c r="AC134" s="1336" t="s">
        <v>1983</v>
      </c>
      <c r="AD134" s="1336" t="s">
        <v>1846</v>
      </c>
    </row>
    <row r="135" spans="1:30" ht="12.75" customHeight="1" x14ac:dyDescent="0.25">
      <c r="A135" s="585" t="s">
        <v>1663</v>
      </c>
      <c r="B135" s="73"/>
      <c r="C135" s="1356">
        <f>SUMIFS(Sheet1!S71_OriginalBudget,Sheet1!S71_SA34Code,$AC:$AC,Sheet1!S71_A5CapexCode,$AD:$AD)</f>
        <v>0</v>
      </c>
      <c r="D135" s="1356">
        <f>SUMIFS(Sheet1!S71_SpecialAdjustedBudget,Sheet1!S71_SA34Code,$AC:$AC,Sheet1!S71_A5CapexCode,$AD:$AD)</f>
        <v>0</v>
      </c>
      <c r="E135" s="1356"/>
      <c r="F135" s="1356"/>
      <c r="G135" s="1356"/>
      <c r="H135" s="1356"/>
      <c r="I135" s="1356">
        <f>SUMIFS(Sheet1!S71_AdjustmentAmount,Sheet1!S71_SA34Code,$AC:$AC,Sheet1!S71_A5CapexCode,$AD:$AD)</f>
        <v>0</v>
      </c>
      <c r="J135" s="75">
        <f t="shared" si="27"/>
        <v>0</v>
      </c>
      <c r="K135" s="75">
        <f t="shared" si="17"/>
        <v>0</v>
      </c>
      <c r="L135" s="1356">
        <f>SUMIFS(Sheet1!S71_OY1AdjustedBudget,Sheet1!S71_SA34Code,$AC:$AC,Sheet1!S71_A5CapexCode,$AD:$AD)</f>
        <v>0</v>
      </c>
      <c r="M135" s="1357">
        <f>SUMIFS(Sheet1!S71_OY2AdjustedBudget,Sheet1!S71_SA34Code,$AC:$AC,Sheet1!S71_A5CapexCode,$AD:$AD)</f>
        <v>0</v>
      </c>
      <c r="N135" s="126"/>
      <c r="AC135" s="1336" t="s">
        <v>1984</v>
      </c>
      <c r="AD135" s="1336" t="s">
        <v>1846</v>
      </c>
    </row>
    <row r="136" spans="1:30" ht="12.75" customHeight="1" x14ac:dyDescent="0.25">
      <c r="A136" s="585" t="s">
        <v>1571</v>
      </c>
      <c r="B136" s="73"/>
      <c r="C136" s="1356">
        <f>SUMIFS(Sheet1!S71_OriginalBudget,Sheet1!S71_SA34Code,$AC:$AC,Sheet1!S71_A5CapexCode,$AD:$AD)</f>
        <v>0</v>
      </c>
      <c r="D136" s="1356">
        <f>SUMIFS(Sheet1!S71_SpecialAdjustedBudget,Sheet1!S71_SA34Code,$AC:$AC,Sheet1!S71_A5CapexCode,$AD:$AD)</f>
        <v>0</v>
      </c>
      <c r="E136" s="1356"/>
      <c r="F136" s="1356"/>
      <c r="G136" s="1356"/>
      <c r="H136" s="1356"/>
      <c r="I136" s="1356">
        <f>SUMIFS(Sheet1!S71_AdjustmentAmount,Sheet1!S71_SA34Code,$AC:$AC,Sheet1!S71_A5CapexCode,$AD:$AD)</f>
        <v>0</v>
      </c>
      <c r="J136" s="75">
        <f t="shared" si="27"/>
        <v>0</v>
      </c>
      <c r="K136" s="75">
        <f t="shared" si="17"/>
        <v>0</v>
      </c>
      <c r="L136" s="1356">
        <f>SUMIFS(Sheet1!S71_OY1AdjustedBudget,Sheet1!S71_SA34Code,$AC:$AC,Sheet1!S71_A5CapexCode,$AD:$AD)</f>
        <v>0</v>
      </c>
      <c r="M136" s="1357">
        <f>SUMIFS(Sheet1!S71_OY2AdjustedBudget,Sheet1!S71_SA34Code,$AC:$AC,Sheet1!S71_A5CapexCode,$AD:$AD)</f>
        <v>0</v>
      </c>
      <c r="N136" s="126"/>
      <c r="AC136" s="1337" t="s">
        <v>1985</v>
      </c>
      <c r="AD136" s="1337" t="s">
        <v>1846</v>
      </c>
    </row>
    <row r="137" spans="1:30" ht="5.0999999999999996" customHeight="1" x14ac:dyDescent="0.25">
      <c r="A137" s="134"/>
      <c r="B137" s="73"/>
      <c r="C137" s="74"/>
      <c r="D137" s="75"/>
      <c r="E137" s="75"/>
      <c r="F137" s="75"/>
      <c r="G137" s="75"/>
      <c r="H137" s="75"/>
      <c r="I137" s="75"/>
      <c r="J137" s="75"/>
      <c r="K137" s="75"/>
      <c r="L137" s="75"/>
      <c r="M137" s="76"/>
      <c r="N137" s="126"/>
      <c r="AD137" s="1336" t="s">
        <v>1846</v>
      </c>
    </row>
    <row r="138" spans="1:30" ht="12.75" customHeight="1" x14ac:dyDescent="0.25">
      <c r="A138" s="484" t="s">
        <v>1664</v>
      </c>
      <c r="B138" s="73"/>
      <c r="C138" s="234">
        <f t="shared" ref="C138:M138" si="30">SUM(C139:C139)</f>
        <v>0</v>
      </c>
      <c r="D138" s="235">
        <f t="shared" si="30"/>
        <v>0</v>
      </c>
      <c r="E138" s="235">
        <f t="shared" si="30"/>
        <v>0</v>
      </c>
      <c r="F138" s="235">
        <f t="shared" si="30"/>
        <v>0</v>
      </c>
      <c r="G138" s="235">
        <f t="shared" si="30"/>
        <v>0</v>
      </c>
      <c r="H138" s="235">
        <f t="shared" si="30"/>
        <v>0</v>
      </c>
      <c r="I138" s="235">
        <f t="shared" si="30"/>
        <v>0</v>
      </c>
      <c r="J138" s="235">
        <f>SUM(E138:I138)</f>
        <v>0</v>
      </c>
      <c r="K138" s="235">
        <f t="shared" si="17"/>
        <v>0</v>
      </c>
      <c r="L138" s="235">
        <f t="shared" si="30"/>
        <v>0</v>
      </c>
      <c r="M138" s="236">
        <f t="shared" si="30"/>
        <v>0</v>
      </c>
      <c r="N138" s="126"/>
      <c r="AD138" s="1336" t="s">
        <v>1846</v>
      </c>
    </row>
    <row r="139" spans="1:30" ht="12.75" customHeight="1" x14ac:dyDescent="0.25">
      <c r="A139" s="584" t="s">
        <v>1664</v>
      </c>
      <c r="B139" s="73"/>
      <c r="C139" s="1356">
        <f>SUMIFS(Sheet1!S71_OriginalBudget,Sheet1!S71_SA34Code,$AC:$AC,Sheet1!S71_A5CapexCode,$AD:$AD)</f>
        <v>0</v>
      </c>
      <c r="D139" s="1356">
        <f>SUMIFS(Sheet1!S71_SpecialAdjustedBudget,Sheet1!S71_SA34Code,$AC:$AC,Sheet1!S71_A5CapexCode,$AD:$AD)</f>
        <v>0</v>
      </c>
      <c r="E139" s="1356"/>
      <c r="F139" s="1356"/>
      <c r="G139" s="1356"/>
      <c r="H139" s="1356"/>
      <c r="I139" s="1356">
        <f>SUMIFS(Sheet1!S71_AdjustmentAmount,Sheet1!S71_SA34Code,$AC:$AC,Sheet1!S71_A5CapexCode,$AD:$AD)</f>
        <v>0</v>
      </c>
      <c r="J139" s="75">
        <f>SUM(E139:I139)</f>
        <v>0</v>
      </c>
      <c r="K139" s="75">
        <f t="shared" si="17"/>
        <v>0</v>
      </c>
      <c r="L139" s="1356">
        <f>SUMIFS(Sheet1!S71_OY1AdjustedBudget,Sheet1!S71_SA34Code,$AC:$AC,Sheet1!S71_A5CapexCode,$AD:$AD)</f>
        <v>0</v>
      </c>
      <c r="M139" s="1357">
        <f>SUMIFS(Sheet1!S71_OY2AdjustedBudget,Sheet1!S71_SA34Code,$AC:$AC,Sheet1!S71_A5CapexCode,$AD:$AD)</f>
        <v>0</v>
      </c>
      <c r="N139" s="126"/>
      <c r="AC139" s="1336" t="s">
        <v>1986</v>
      </c>
      <c r="AD139" s="1336" t="s">
        <v>1846</v>
      </c>
    </row>
    <row r="140" spans="1:30" ht="5.0999999999999996" customHeight="1" x14ac:dyDescent="0.25">
      <c r="A140" s="1217"/>
      <c r="B140" s="73"/>
      <c r="C140" s="74"/>
      <c r="D140" s="75"/>
      <c r="E140" s="75"/>
      <c r="F140" s="75"/>
      <c r="G140" s="75"/>
      <c r="H140" s="75"/>
      <c r="I140" s="75"/>
      <c r="J140" s="75"/>
      <c r="K140" s="75"/>
      <c r="L140" s="75"/>
      <c r="M140" s="76"/>
      <c r="N140" s="126"/>
      <c r="AD140" s="1336" t="s">
        <v>1846</v>
      </c>
    </row>
    <row r="141" spans="1:30" ht="12.75" customHeight="1" x14ac:dyDescent="0.25">
      <c r="A141" s="484" t="s">
        <v>1665</v>
      </c>
      <c r="B141" s="73"/>
      <c r="C141" s="234">
        <f>SUM(C142:C143)</f>
        <v>0</v>
      </c>
      <c r="D141" s="235">
        <f t="shared" ref="D141:I141" si="31">SUM(D142:D143)</f>
        <v>0</v>
      </c>
      <c r="E141" s="235">
        <f t="shared" si="31"/>
        <v>0</v>
      </c>
      <c r="F141" s="235">
        <f t="shared" si="31"/>
        <v>0</v>
      </c>
      <c r="G141" s="235">
        <f t="shared" si="31"/>
        <v>0</v>
      </c>
      <c r="H141" s="235">
        <f t="shared" si="31"/>
        <v>0</v>
      </c>
      <c r="I141" s="235">
        <f t="shared" si="31"/>
        <v>0</v>
      </c>
      <c r="J141" s="235">
        <f t="shared" ref="J141:J149" si="32">SUM(E141:I141)</f>
        <v>0</v>
      </c>
      <c r="K141" s="235">
        <f t="shared" ref="K141:K149" si="33">IF(D141=0,C141+J141,D141+J141)</f>
        <v>0</v>
      </c>
      <c r="L141" s="235">
        <f>SUM(L142:L143)</f>
        <v>0</v>
      </c>
      <c r="M141" s="236">
        <f>SUM(M142:M143)</f>
        <v>0</v>
      </c>
      <c r="N141" s="126"/>
      <c r="AD141" s="1336" t="s">
        <v>1846</v>
      </c>
    </row>
    <row r="142" spans="1:30" ht="12.75" customHeight="1" x14ac:dyDescent="0.25">
      <c r="A142" s="586" t="s">
        <v>1666</v>
      </c>
      <c r="B142" s="73"/>
      <c r="C142" s="1356">
        <f>SUMIFS(Sheet1!S71_OriginalBudget,Sheet1!S71_SA34Code,$AC:$AC,Sheet1!S71_A5CapexCode,$AD:$AD)</f>
        <v>0</v>
      </c>
      <c r="D142" s="1356">
        <f>SUMIFS(Sheet1!S71_SpecialAdjustedBudget,Sheet1!S71_SA34Code,$AC:$AC,Sheet1!S71_A5CapexCode,$AD:$AD)</f>
        <v>0</v>
      </c>
      <c r="E142" s="1356"/>
      <c r="F142" s="1356"/>
      <c r="G142" s="1356"/>
      <c r="H142" s="1356"/>
      <c r="I142" s="1356">
        <f>SUMIFS(Sheet1!S71_AdjustmentAmount,Sheet1!S71_SA34Code,$AC:$AC,Sheet1!S71_A5CapexCode,$AD:$AD)</f>
        <v>0</v>
      </c>
      <c r="J142" s="75">
        <f t="shared" si="32"/>
        <v>0</v>
      </c>
      <c r="K142" s="75">
        <f t="shared" si="33"/>
        <v>0</v>
      </c>
      <c r="L142" s="1356">
        <f>SUMIFS(Sheet1!S71_OY1AdjustedBudget,Sheet1!S71_SA34Code,$AC:$AC,Sheet1!S71_A5CapexCode,$AD:$AD)</f>
        <v>0</v>
      </c>
      <c r="M142" s="1357">
        <f>SUMIFS(Sheet1!S71_OY2AdjustedBudget,Sheet1!S71_SA34Code,$AC:$AC,Sheet1!S71_A5CapexCode,$AD:$AD)</f>
        <v>0</v>
      </c>
      <c r="N142" s="126"/>
      <c r="AC142" s="1336" t="s">
        <v>1987</v>
      </c>
      <c r="AD142" s="1336" t="s">
        <v>1846</v>
      </c>
    </row>
    <row r="143" spans="1:30" ht="10.35" customHeight="1" x14ac:dyDescent="0.25">
      <c r="A143" s="586" t="s">
        <v>1667</v>
      </c>
      <c r="B143" s="73"/>
      <c r="C143" s="138">
        <f>SUM(C144:C149)</f>
        <v>0</v>
      </c>
      <c r="D143" s="139">
        <f t="shared" ref="D143:I143" si="34">SUM(D144:D149)</f>
        <v>0</v>
      </c>
      <c r="E143" s="139">
        <f t="shared" si="34"/>
        <v>0</v>
      </c>
      <c r="F143" s="139">
        <f t="shared" si="34"/>
        <v>0</v>
      </c>
      <c r="G143" s="139">
        <f t="shared" si="34"/>
        <v>0</v>
      </c>
      <c r="H143" s="139">
        <f t="shared" si="34"/>
        <v>0</v>
      </c>
      <c r="I143" s="139">
        <f t="shared" si="34"/>
        <v>0</v>
      </c>
      <c r="J143" s="139">
        <f t="shared" si="32"/>
        <v>0</v>
      </c>
      <c r="K143" s="139">
        <f t="shared" si="33"/>
        <v>0</v>
      </c>
      <c r="L143" s="139">
        <f>SUM(L144:L149)</f>
        <v>0</v>
      </c>
      <c r="M143" s="140">
        <f>SUM(M144:M149)</f>
        <v>0</v>
      </c>
      <c r="N143" s="126"/>
      <c r="AD143" s="1336" t="s">
        <v>1846</v>
      </c>
    </row>
    <row r="144" spans="1:30" ht="12.75" customHeight="1" x14ac:dyDescent="0.25">
      <c r="A144" s="585" t="s">
        <v>1668</v>
      </c>
      <c r="B144" s="73"/>
      <c r="C144" s="1356">
        <f>SUMIFS(Sheet1!S71_OriginalBudget,Sheet1!S71_SA34Code,$AC:$AC,Sheet1!S71_A5CapexCode,$AD:$AD)</f>
        <v>0</v>
      </c>
      <c r="D144" s="1356">
        <f>SUMIFS(Sheet1!S71_SpecialAdjustedBudget,Sheet1!S71_SA34Code,$AC:$AC,Sheet1!S71_A5CapexCode,$AD:$AD)</f>
        <v>0</v>
      </c>
      <c r="E144" s="1356"/>
      <c r="F144" s="1356"/>
      <c r="G144" s="1356"/>
      <c r="H144" s="1356"/>
      <c r="I144" s="1356">
        <f>SUMIFS(Sheet1!S71_AdjustmentAmount,Sheet1!S71_SA34Code,$AC:$AC,Sheet1!S71_A5CapexCode,$AD:$AD)</f>
        <v>0</v>
      </c>
      <c r="J144" s="75">
        <f t="shared" si="32"/>
        <v>0</v>
      </c>
      <c r="K144" s="75">
        <f t="shared" si="33"/>
        <v>0</v>
      </c>
      <c r="L144" s="1356">
        <f>SUMIFS(Sheet1!S71_OY1AdjustedBudget,Sheet1!S71_SA34Code,$AC:$AC,Sheet1!S71_A5CapexCode,$AD:$AD)</f>
        <v>0</v>
      </c>
      <c r="M144" s="1357">
        <f>SUMIFS(Sheet1!S71_OY2AdjustedBudget,Sheet1!S71_SA34Code,$AC:$AC,Sheet1!S71_A5CapexCode,$AD:$AD)</f>
        <v>0</v>
      </c>
      <c r="N144" s="126"/>
      <c r="AC144" s="1336" t="s">
        <v>1825</v>
      </c>
      <c r="AD144" s="1336" t="s">
        <v>1846</v>
      </c>
    </row>
    <row r="145" spans="1:30" ht="12.75" customHeight="1" x14ac:dyDescent="0.25">
      <c r="A145" s="585" t="s">
        <v>1669</v>
      </c>
      <c r="B145" s="135"/>
      <c r="C145" s="1356">
        <f>SUMIFS(Sheet1!S71_OriginalBudget,Sheet1!S71_SA34Code,$AC:$AC,Sheet1!S71_A5CapexCode,$AD:$AD)</f>
        <v>0</v>
      </c>
      <c r="D145" s="1356">
        <f>SUMIFS(Sheet1!S71_SpecialAdjustedBudget,Sheet1!S71_SA34Code,$AC:$AC,Sheet1!S71_A5CapexCode,$AD:$AD)</f>
        <v>0</v>
      </c>
      <c r="E145" s="1356"/>
      <c r="F145" s="1356"/>
      <c r="G145" s="1356"/>
      <c r="H145" s="1356"/>
      <c r="I145" s="1356">
        <f>SUMIFS(Sheet1!S71_AdjustmentAmount,Sheet1!S71_SA34Code,$AC:$AC,Sheet1!S71_A5CapexCode,$AD:$AD)</f>
        <v>0</v>
      </c>
      <c r="J145" s="75">
        <f t="shared" si="32"/>
        <v>0</v>
      </c>
      <c r="K145" s="75">
        <f t="shared" si="33"/>
        <v>0</v>
      </c>
      <c r="L145" s="1356">
        <f>SUMIFS(Sheet1!S71_OY1AdjustedBudget,Sheet1!S71_SA34Code,$AC:$AC,Sheet1!S71_A5CapexCode,$AD:$AD)</f>
        <v>0</v>
      </c>
      <c r="M145" s="1357">
        <f>SUMIFS(Sheet1!S71_OY2AdjustedBudget,Sheet1!S71_SA34Code,$AC:$AC,Sheet1!S71_A5CapexCode,$AD:$AD)</f>
        <v>0</v>
      </c>
      <c r="N145" s="126"/>
      <c r="AC145" s="1336" t="s">
        <v>1988</v>
      </c>
      <c r="AD145" s="1336" t="s">
        <v>1846</v>
      </c>
    </row>
    <row r="146" spans="1:30" ht="12.75" customHeight="1" x14ac:dyDescent="0.25">
      <c r="A146" s="585" t="s">
        <v>1670</v>
      </c>
      <c r="B146" s="73"/>
      <c r="C146" s="1356">
        <f>SUMIFS(Sheet1!S71_OriginalBudget,Sheet1!S71_SA34Code,$AC:$AC,Sheet1!S71_A5CapexCode,$AD:$AD)</f>
        <v>0</v>
      </c>
      <c r="D146" s="1356">
        <f>SUMIFS(Sheet1!S71_SpecialAdjustedBudget,Sheet1!S71_SA34Code,$AC:$AC,Sheet1!S71_A5CapexCode,$AD:$AD)</f>
        <v>0</v>
      </c>
      <c r="E146" s="1356"/>
      <c r="F146" s="1356"/>
      <c r="G146" s="1356"/>
      <c r="H146" s="1356"/>
      <c r="I146" s="1356">
        <f>SUMIFS(Sheet1!S71_AdjustmentAmount,Sheet1!S71_SA34Code,$AC:$AC,Sheet1!S71_A5CapexCode,$AD:$AD)</f>
        <v>0</v>
      </c>
      <c r="J146" s="75">
        <f t="shared" si="32"/>
        <v>0</v>
      </c>
      <c r="K146" s="75">
        <f t="shared" si="33"/>
        <v>0</v>
      </c>
      <c r="L146" s="1356">
        <f>SUMIFS(Sheet1!S71_OY1AdjustedBudget,Sheet1!S71_SA34Code,$AC:$AC,Sheet1!S71_A5CapexCode,$AD:$AD)</f>
        <v>0</v>
      </c>
      <c r="M146" s="1357">
        <f>SUMIFS(Sheet1!S71_OY2AdjustedBudget,Sheet1!S71_SA34Code,$AC:$AC,Sheet1!S71_A5CapexCode,$AD:$AD)</f>
        <v>0</v>
      </c>
      <c r="N146" s="126"/>
      <c r="AC146" s="1336" t="s">
        <v>1989</v>
      </c>
      <c r="AD146" s="1336" t="s">
        <v>1846</v>
      </c>
    </row>
    <row r="147" spans="1:30" ht="12.75" customHeight="1" x14ac:dyDescent="0.25">
      <c r="A147" s="585" t="s">
        <v>1671</v>
      </c>
      <c r="B147" s="73"/>
      <c r="C147" s="1356">
        <f>SUMIFS(Sheet1!S71_OriginalBudget,Sheet1!S71_SA34Code,$AC:$AC,Sheet1!S71_A5CapexCode,$AD:$AD)</f>
        <v>0</v>
      </c>
      <c r="D147" s="1356">
        <f>SUMIFS(Sheet1!S71_SpecialAdjustedBudget,Sheet1!S71_SA34Code,$AC:$AC,Sheet1!S71_A5CapexCode,$AD:$AD)</f>
        <v>0</v>
      </c>
      <c r="E147" s="1356"/>
      <c r="F147" s="1356"/>
      <c r="G147" s="1356"/>
      <c r="H147" s="1356"/>
      <c r="I147" s="1356">
        <f>SUMIFS(Sheet1!S71_AdjustmentAmount,Sheet1!S71_SA34Code,$AC:$AC,Sheet1!S71_A5CapexCode,$AD:$AD)</f>
        <v>0</v>
      </c>
      <c r="J147" s="75">
        <f t="shared" si="32"/>
        <v>0</v>
      </c>
      <c r="K147" s="75">
        <f t="shared" si="33"/>
        <v>0</v>
      </c>
      <c r="L147" s="1356">
        <f>SUMIFS(Sheet1!S71_OY1AdjustedBudget,Sheet1!S71_SA34Code,$AC:$AC,Sheet1!S71_A5CapexCode,$AD:$AD)</f>
        <v>0</v>
      </c>
      <c r="M147" s="1357">
        <f>SUMIFS(Sheet1!S71_OY2AdjustedBudget,Sheet1!S71_SA34Code,$AC:$AC,Sheet1!S71_A5CapexCode,$AD:$AD)</f>
        <v>0</v>
      </c>
      <c r="N147" s="126"/>
      <c r="AC147" s="1336" t="s">
        <v>1990</v>
      </c>
      <c r="AD147" s="1336" t="s">
        <v>1846</v>
      </c>
    </row>
    <row r="148" spans="1:30" ht="12.75" customHeight="1" x14ac:dyDescent="0.25">
      <c r="A148" s="585" t="s">
        <v>1672</v>
      </c>
      <c r="B148" s="73"/>
      <c r="C148" s="1356">
        <f>SUMIFS(Sheet1!S71_OriginalBudget,Sheet1!S71_SA34Code,$AC:$AC,Sheet1!S71_A5CapexCode,$AD:$AD)</f>
        <v>0</v>
      </c>
      <c r="D148" s="1356">
        <f>SUMIFS(Sheet1!S71_SpecialAdjustedBudget,Sheet1!S71_SA34Code,$AC:$AC,Sheet1!S71_A5CapexCode,$AD:$AD)</f>
        <v>0</v>
      </c>
      <c r="E148" s="1356"/>
      <c r="F148" s="1356"/>
      <c r="G148" s="1356"/>
      <c r="H148" s="1356"/>
      <c r="I148" s="1356">
        <f>SUMIFS(Sheet1!S71_AdjustmentAmount,Sheet1!S71_SA34Code,$AC:$AC,Sheet1!S71_A5CapexCode,$AD:$AD)</f>
        <v>0</v>
      </c>
      <c r="J148" s="75">
        <f t="shared" si="32"/>
        <v>0</v>
      </c>
      <c r="K148" s="75">
        <f t="shared" si="33"/>
        <v>0</v>
      </c>
      <c r="L148" s="1356">
        <f>SUMIFS(Sheet1!S71_OY1AdjustedBudget,Sheet1!S71_SA34Code,$AC:$AC,Sheet1!S71_A5CapexCode,$AD:$AD)</f>
        <v>0</v>
      </c>
      <c r="M148" s="1357">
        <f>SUMIFS(Sheet1!S71_OY2AdjustedBudget,Sheet1!S71_SA34Code,$AC:$AC,Sheet1!S71_A5CapexCode,$AD:$AD)</f>
        <v>0</v>
      </c>
      <c r="N148" s="126"/>
      <c r="AC148" s="1336" t="s">
        <v>1991</v>
      </c>
      <c r="AD148" s="1336" t="s">
        <v>1846</v>
      </c>
    </row>
    <row r="149" spans="1:30" ht="12.75" customHeight="1" x14ac:dyDescent="0.25">
      <c r="A149" s="585" t="s">
        <v>1673</v>
      </c>
      <c r="B149" s="73"/>
      <c r="C149" s="1356">
        <f>SUMIFS(Sheet1!S71_OriginalBudget,Sheet1!S71_SA34Code,$AC:$AC,Sheet1!S71_A5CapexCode,$AD:$AD)</f>
        <v>0</v>
      </c>
      <c r="D149" s="1356">
        <f>SUMIFS(Sheet1!S71_SpecialAdjustedBudget,Sheet1!S71_SA34Code,$AC:$AC,Sheet1!S71_A5CapexCode,$AD:$AD)</f>
        <v>0</v>
      </c>
      <c r="E149" s="1356"/>
      <c r="F149" s="1356"/>
      <c r="G149" s="1356"/>
      <c r="H149" s="1356"/>
      <c r="I149" s="1356">
        <f>SUMIFS(Sheet1!S71_AdjustmentAmount,Sheet1!S71_SA34Code,$AC:$AC,Sheet1!S71_A5CapexCode,$AD:$AD)</f>
        <v>0</v>
      </c>
      <c r="J149" s="75">
        <f t="shared" si="32"/>
        <v>0</v>
      </c>
      <c r="K149" s="75">
        <f t="shared" si="33"/>
        <v>0</v>
      </c>
      <c r="L149" s="1356">
        <f>SUMIFS(Sheet1!S71_OY1AdjustedBudget,Sheet1!S71_SA34Code,$AC:$AC,Sheet1!S71_A5CapexCode,$AD:$AD)</f>
        <v>0</v>
      </c>
      <c r="M149" s="1357">
        <f>SUMIFS(Sheet1!S71_OY2AdjustedBudget,Sheet1!S71_SA34Code,$AC:$AC,Sheet1!S71_A5CapexCode,$AD:$AD)</f>
        <v>0</v>
      </c>
      <c r="N149" s="126"/>
      <c r="AC149" s="1336" t="s">
        <v>1992</v>
      </c>
      <c r="AD149" s="1336" t="s">
        <v>1846</v>
      </c>
    </row>
    <row r="150" spans="1:30" ht="5.0999999999999996" customHeight="1" x14ac:dyDescent="0.25">
      <c r="A150" s="1217"/>
      <c r="B150" s="73"/>
      <c r="C150" s="74"/>
      <c r="D150" s="75"/>
      <c r="E150" s="75"/>
      <c r="F150" s="75"/>
      <c r="G150" s="75"/>
      <c r="H150" s="75"/>
      <c r="I150" s="75"/>
      <c r="J150" s="75"/>
      <c r="K150" s="75"/>
      <c r="L150" s="75"/>
      <c r="M150" s="76"/>
      <c r="N150" s="126"/>
      <c r="AD150" s="1336" t="s">
        <v>1846</v>
      </c>
    </row>
    <row r="151" spans="1:30" ht="12.75" customHeight="1" x14ac:dyDescent="0.25">
      <c r="A151" s="484" t="s">
        <v>1674</v>
      </c>
      <c r="B151" s="73"/>
      <c r="C151" s="234">
        <f t="shared" ref="C151:M151" si="35">SUM(C152:C152)</f>
        <v>0</v>
      </c>
      <c r="D151" s="235">
        <f t="shared" si="35"/>
        <v>0</v>
      </c>
      <c r="E151" s="235">
        <f t="shared" si="35"/>
        <v>0</v>
      </c>
      <c r="F151" s="235">
        <f t="shared" si="35"/>
        <v>0</v>
      </c>
      <c r="G151" s="235">
        <f t="shared" si="35"/>
        <v>0</v>
      </c>
      <c r="H151" s="235">
        <f t="shared" si="35"/>
        <v>0</v>
      </c>
      <c r="I151" s="235">
        <f t="shared" si="35"/>
        <v>0</v>
      </c>
      <c r="J151" s="235">
        <f t="shared" si="35"/>
        <v>0</v>
      </c>
      <c r="K151" s="235">
        <f t="shared" si="35"/>
        <v>0</v>
      </c>
      <c r="L151" s="235">
        <f t="shared" si="35"/>
        <v>0</v>
      </c>
      <c r="M151" s="236">
        <f t="shared" si="35"/>
        <v>0</v>
      </c>
      <c r="N151" s="126"/>
      <c r="AD151" s="1336" t="s">
        <v>1846</v>
      </c>
    </row>
    <row r="152" spans="1:30" ht="12.75" customHeight="1" x14ac:dyDescent="0.25">
      <c r="A152" s="584" t="s">
        <v>1674</v>
      </c>
      <c r="B152" s="73"/>
      <c r="C152" s="1356">
        <f>SUMIFS(Sheet1!S71_OriginalBudget,Sheet1!S71_SA34Code,$AC:$AC,Sheet1!S71_A5CapexCode,$AD:$AD)</f>
        <v>0</v>
      </c>
      <c r="D152" s="1356">
        <f>SUMIFS(Sheet1!S71_SpecialAdjustedBudget,Sheet1!S71_SA34Code,$AC:$AC,Sheet1!S71_A5CapexCode,$AD:$AD)</f>
        <v>0</v>
      </c>
      <c r="E152" s="1356"/>
      <c r="F152" s="1356"/>
      <c r="G152" s="1356"/>
      <c r="H152" s="1356"/>
      <c r="I152" s="1356">
        <f>SUMIFS(Sheet1!S71_AdjustmentAmount,Sheet1!S71_SA34Code,$AC:$AC,Sheet1!S71_A5CapexCode,$AD:$AD)</f>
        <v>0</v>
      </c>
      <c r="J152" s="75">
        <f>SUM(E152:I152)</f>
        <v>0</v>
      </c>
      <c r="K152" s="75">
        <f>IF(D152=0,C152+J152,D152+J152)</f>
        <v>0</v>
      </c>
      <c r="L152" s="1356">
        <f>SUMIFS(Sheet1!S71_OY1AdjustedBudget,Sheet1!S71_SA34Code,$AC:$AC,Sheet1!S71_A5CapexCode,$AD:$AD)</f>
        <v>0</v>
      </c>
      <c r="M152" s="1357">
        <f>SUMIFS(Sheet1!S71_OY2AdjustedBudget,Sheet1!S71_SA34Code,$AC:$AC,Sheet1!S71_A5CapexCode,$AD:$AD)</f>
        <v>0</v>
      </c>
      <c r="N152" s="126"/>
      <c r="AC152" s="1336" t="s">
        <v>1993</v>
      </c>
      <c r="AD152" s="1336" t="s">
        <v>1846</v>
      </c>
    </row>
    <row r="153" spans="1:30" ht="5.0999999999999996" customHeight="1" x14ac:dyDescent="0.25">
      <c r="A153" s="1217"/>
      <c r="B153" s="73"/>
      <c r="C153" s="74"/>
      <c r="D153" s="75"/>
      <c r="E153" s="75"/>
      <c r="F153" s="75"/>
      <c r="G153" s="75"/>
      <c r="H153" s="75"/>
      <c r="I153" s="75"/>
      <c r="J153" s="75"/>
      <c r="K153" s="75"/>
      <c r="L153" s="75"/>
      <c r="M153" s="76"/>
      <c r="N153" s="126"/>
      <c r="AD153" s="1336" t="s">
        <v>1846</v>
      </c>
    </row>
    <row r="154" spans="1:30" ht="12.75" customHeight="1" x14ac:dyDescent="0.25">
      <c r="A154" s="484" t="s">
        <v>1675</v>
      </c>
      <c r="B154" s="73"/>
      <c r="C154" s="234">
        <f t="shared" ref="C154:M154" si="36">SUM(C155:C155)</f>
        <v>0</v>
      </c>
      <c r="D154" s="235">
        <f t="shared" si="36"/>
        <v>0</v>
      </c>
      <c r="E154" s="235">
        <f t="shared" si="36"/>
        <v>0</v>
      </c>
      <c r="F154" s="235">
        <f t="shared" si="36"/>
        <v>0</v>
      </c>
      <c r="G154" s="235">
        <f t="shared" si="36"/>
        <v>0</v>
      </c>
      <c r="H154" s="235">
        <f t="shared" si="36"/>
        <v>0</v>
      </c>
      <c r="I154" s="235">
        <f t="shared" si="36"/>
        <v>0</v>
      </c>
      <c r="J154" s="235">
        <f>SUM(E154:I154)</f>
        <v>0</v>
      </c>
      <c r="K154" s="235">
        <f>IF(D154=0,C154+J154,D154+J154)</f>
        <v>0</v>
      </c>
      <c r="L154" s="235">
        <f t="shared" si="36"/>
        <v>0</v>
      </c>
      <c r="M154" s="236">
        <f t="shared" si="36"/>
        <v>0</v>
      </c>
      <c r="N154" s="126"/>
      <c r="AD154" s="1336" t="s">
        <v>1846</v>
      </c>
    </row>
    <row r="155" spans="1:30" ht="12.75" customHeight="1" x14ac:dyDescent="0.25">
      <c r="A155" s="584" t="s">
        <v>1675</v>
      </c>
      <c r="B155" s="73"/>
      <c r="C155" s="1356">
        <f>SUMIFS(Sheet1!S71_OriginalBudget,Sheet1!S71_SA34Code,$AC:$AC,Sheet1!S71_A5CapexCode,$AD:$AD)</f>
        <v>0</v>
      </c>
      <c r="D155" s="1356">
        <f>SUMIFS(Sheet1!S71_SpecialAdjustedBudget,Sheet1!S71_SA34Code,$AC:$AC,Sheet1!S71_A5CapexCode,$AD:$AD)</f>
        <v>0</v>
      </c>
      <c r="E155" s="1356"/>
      <c r="F155" s="1356"/>
      <c r="G155" s="1356"/>
      <c r="H155" s="1356"/>
      <c r="I155" s="1356">
        <f>SUMIFS(Sheet1!S71_AdjustmentAmount,Sheet1!S71_SA34Code,$AC:$AC,Sheet1!S71_A5CapexCode,$AD:$AD)</f>
        <v>0</v>
      </c>
      <c r="J155" s="75">
        <f>SUM(E155:I155)</f>
        <v>0</v>
      </c>
      <c r="K155" s="75">
        <f>IF(D155=0,C155+J155,D155+J155)</f>
        <v>0</v>
      </c>
      <c r="L155" s="1356">
        <f>SUMIFS(Sheet1!S71_OY1AdjustedBudget,Sheet1!S71_SA34Code,$AC:$AC,Sheet1!S71_A5CapexCode,$AD:$AD)</f>
        <v>0</v>
      </c>
      <c r="M155" s="1357">
        <f>SUMIFS(Sheet1!S71_OY2AdjustedBudget,Sheet1!S71_SA34Code,$AC:$AC,Sheet1!S71_A5CapexCode,$AD:$AD)</f>
        <v>0</v>
      </c>
      <c r="N155" s="126"/>
      <c r="AC155" s="1336" t="s">
        <v>1994</v>
      </c>
      <c r="AD155" s="1336" t="s">
        <v>1846</v>
      </c>
    </row>
    <row r="156" spans="1:30" ht="5.0999999999999996" customHeight="1" x14ac:dyDescent="0.25">
      <c r="A156" s="1217"/>
      <c r="B156" s="73"/>
      <c r="C156" s="74"/>
      <c r="D156" s="75"/>
      <c r="E156" s="75"/>
      <c r="F156" s="75"/>
      <c r="G156" s="75"/>
      <c r="H156" s="75"/>
      <c r="I156" s="75"/>
      <c r="J156" s="75"/>
      <c r="K156" s="75"/>
      <c r="L156" s="75"/>
      <c r="M156" s="76"/>
      <c r="N156" s="126"/>
      <c r="AD156" s="1336" t="s">
        <v>1846</v>
      </c>
    </row>
    <row r="157" spans="1:30" ht="12.75" customHeight="1" x14ac:dyDescent="0.25">
      <c r="A157" s="484" t="s">
        <v>1676</v>
      </c>
      <c r="B157" s="73"/>
      <c r="C157" s="234">
        <f t="shared" ref="C157:M157" si="37">SUM(C158:C158)</f>
        <v>0</v>
      </c>
      <c r="D157" s="235">
        <f t="shared" si="37"/>
        <v>0</v>
      </c>
      <c r="E157" s="235">
        <f t="shared" si="37"/>
        <v>0</v>
      </c>
      <c r="F157" s="235">
        <f t="shared" si="37"/>
        <v>0</v>
      </c>
      <c r="G157" s="235">
        <f t="shared" si="37"/>
        <v>0</v>
      </c>
      <c r="H157" s="235">
        <f t="shared" si="37"/>
        <v>0</v>
      </c>
      <c r="I157" s="235">
        <f t="shared" si="37"/>
        <v>0</v>
      </c>
      <c r="J157" s="235">
        <f>SUM(E157:I157)</f>
        <v>0</v>
      </c>
      <c r="K157" s="235">
        <f>IF(D157=0,C157+J157,D157+J157)</f>
        <v>0</v>
      </c>
      <c r="L157" s="235">
        <f t="shared" si="37"/>
        <v>0</v>
      </c>
      <c r="M157" s="236">
        <f t="shared" si="37"/>
        <v>0</v>
      </c>
      <c r="N157" s="126"/>
      <c r="AD157" s="1336" t="s">
        <v>1846</v>
      </c>
    </row>
    <row r="158" spans="1:30" ht="12.75" customHeight="1" x14ac:dyDescent="0.25">
      <c r="A158" s="584" t="s">
        <v>1676</v>
      </c>
      <c r="B158" s="73"/>
      <c r="C158" s="1356">
        <f>SUMIFS(Sheet1!S71_OriginalBudget,Sheet1!S71_SA34Code,$AC:$AC,Sheet1!S71_A5CapexCode,$AD:$AD)</f>
        <v>0</v>
      </c>
      <c r="D158" s="1356">
        <f>SUMIFS(Sheet1!S71_SpecialAdjustedBudget,Sheet1!S71_SA34Code,$AC:$AC,Sheet1!S71_A5CapexCode,$AD:$AD)</f>
        <v>0</v>
      </c>
      <c r="E158" s="1356"/>
      <c r="F158" s="1356"/>
      <c r="G158" s="1356"/>
      <c r="H158" s="1356"/>
      <c r="I158" s="1356">
        <f>SUMIFS(Sheet1!S71_AdjustmentAmount,Sheet1!S71_SA34Code,$AC:$AC,Sheet1!S71_A5CapexCode,$AD:$AD)</f>
        <v>0</v>
      </c>
      <c r="J158" s="75">
        <f>SUM(E158:I158)</f>
        <v>0</v>
      </c>
      <c r="K158" s="75">
        <f>IF(D158=0,C158+J158,D158+J158)</f>
        <v>0</v>
      </c>
      <c r="L158" s="1356">
        <f>SUMIFS(Sheet1!S71_OY1AdjustedBudget,Sheet1!S71_SA34Code,$AC:$AC,Sheet1!S71_A5CapexCode,$AD:$AD)</f>
        <v>0</v>
      </c>
      <c r="M158" s="1357">
        <f>SUMIFS(Sheet1!S71_OY2AdjustedBudget,Sheet1!S71_SA34Code,$AC:$AC,Sheet1!S71_A5CapexCode,$AD:$AD)</f>
        <v>0</v>
      </c>
      <c r="N158" s="126"/>
      <c r="AC158" s="1336" t="s">
        <v>1995</v>
      </c>
      <c r="AD158" s="1336" t="s">
        <v>1846</v>
      </c>
    </row>
    <row r="159" spans="1:30" ht="5.0999999999999996" customHeight="1" x14ac:dyDescent="0.25">
      <c r="A159" s="1217"/>
      <c r="B159" s="73"/>
      <c r="C159" s="74"/>
      <c r="D159" s="75"/>
      <c r="E159" s="75"/>
      <c r="F159" s="75"/>
      <c r="G159" s="75"/>
      <c r="H159" s="75"/>
      <c r="I159" s="75"/>
      <c r="J159" s="75"/>
      <c r="K159" s="75"/>
      <c r="L159" s="75"/>
      <c r="M159" s="76"/>
      <c r="N159" s="126"/>
      <c r="AD159" s="1336" t="s">
        <v>1846</v>
      </c>
    </row>
    <row r="160" spans="1:30" ht="12.75" customHeight="1" x14ac:dyDescent="0.25">
      <c r="A160" s="484" t="s">
        <v>1677</v>
      </c>
      <c r="B160" s="73"/>
      <c r="C160" s="234">
        <f t="shared" ref="C160:M160" si="38">SUM(C161:C161)</f>
        <v>0</v>
      </c>
      <c r="D160" s="235">
        <f t="shared" si="38"/>
        <v>0</v>
      </c>
      <c r="E160" s="235">
        <f t="shared" si="38"/>
        <v>0</v>
      </c>
      <c r="F160" s="235">
        <f t="shared" si="38"/>
        <v>0</v>
      </c>
      <c r="G160" s="235">
        <f t="shared" si="38"/>
        <v>0</v>
      </c>
      <c r="H160" s="235">
        <f t="shared" si="38"/>
        <v>0</v>
      </c>
      <c r="I160" s="235">
        <f t="shared" si="38"/>
        <v>0</v>
      </c>
      <c r="J160" s="235">
        <f>SUM(E160:I160)</f>
        <v>0</v>
      </c>
      <c r="K160" s="235">
        <f>IF(D160=0,C160+J160,D160+J160)</f>
        <v>0</v>
      </c>
      <c r="L160" s="235">
        <f t="shared" si="38"/>
        <v>0</v>
      </c>
      <c r="M160" s="236">
        <f t="shared" si="38"/>
        <v>0</v>
      </c>
      <c r="N160" s="126"/>
      <c r="AD160" s="1336" t="s">
        <v>1846</v>
      </c>
    </row>
    <row r="161" spans="1:30" ht="12.75" customHeight="1" x14ac:dyDescent="0.25">
      <c r="A161" s="584" t="s">
        <v>1677</v>
      </c>
      <c r="B161" s="73"/>
      <c r="C161" s="1356">
        <f>SUMIFS(Sheet1!S71_OriginalBudget,Sheet1!S71_SA34Code,$AC:$AC,Sheet1!S71_A5CapexCode,$AD:$AD)</f>
        <v>0</v>
      </c>
      <c r="D161" s="1356">
        <f>SUMIFS(Sheet1!S71_SpecialAdjustedBudget,Sheet1!S71_SA34Code,$AC:$AC,Sheet1!S71_A5CapexCode,$AD:$AD)</f>
        <v>0</v>
      </c>
      <c r="E161" s="1356"/>
      <c r="F161" s="1356"/>
      <c r="G161" s="1356"/>
      <c r="H161" s="1356"/>
      <c r="I161" s="1356">
        <f>SUMIFS(Sheet1!S71_AdjustmentAmount,Sheet1!S71_SA34Code,$AC:$AC,Sheet1!S71_A5CapexCode,$AD:$AD)</f>
        <v>0</v>
      </c>
      <c r="J161" s="75">
        <f>SUM(E161:I161)</f>
        <v>0</v>
      </c>
      <c r="K161" s="75">
        <f>IF(D161=0,C161+J161,D161+J161)</f>
        <v>0</v>
      </c>
      <c r="L161" s="1356">
        <f>SUMIFS(Sheet1!S71_OY1AdjustedBudget,Sheet1!S71_SA34Code,$AC:$AC,Sheet1!S71_A5CapexCode,$AD:$AD)</f>
        <v>0</v>
      </c>
      <c r="M161" s="1357">
        <f>SUMIFS(Sheet1!S71_OY2AdjustedBudget,Sheet1!S71_SA34Code,$AC:$AC,Sheet1!S71_A5CapexCode,$AD:$AD)</f>
        <v>0</v>
      </c>
      <c r="N161" s="126"/>
      <c r="AC161" s="1336" t="s">
        <v>1996</v>
      </c>
      <c r="AD161" s="1336" t="s">
        <v>1846</v>
      </c>
    </row>
    <row r="162" spans="1:30" ht="5.0999999999999996" customHeight="1" x14ac:dyDescent="0.25">
      <c r="A162" s="1217"/>
      <c r="B162" s="73"/>
      <c r="C162" s="74"/>
      <c r="D162" s="75"/>
      <c r="E162" s="75"/>
      <c r="F162" s="75"/>
      <c r="G162" s="75"/>
      <c r="H162" s="75"/>
      <c r="I162" s="75"/>
      <c r="J162" s="75"/>
      <c r="K162" s="75"/>
      <c r="L162" s="75"/>
      <c r="M162" s="76"/>
      <c r="N162" s="126"/>
      <c r="AD162" s="1336" t="s">
        <v>1846</v>
      </c>
    </row>
    <row r="163" spans="1:30" ht="12.75" customHeight="1" x14ac:dyDescent="0.25">
      <c r="A163" s="484" t="s">
        <v>1734</v>
      </c>
      <c r="B163" s="73"/>
      <c r="C163" s="234">
        <f t="shared" ref="C163:M163" si="39">SUM(C164:C164)</f>
        <v>0</v>
      </c>
      <c r="D163" s="235">
        <f t="shared" si="39"/>
        <v>0</v>
      </c>
      <c r="E163" s="235">
        <f t="shared" si="39"/>
        <v>0</v>
      </c>
      <c r="F163" s="235">
        <f t="shared" si="39"/>
        <v>0</v>
      </c>
      <c r="G163" s="235">
        <f t="shared" si="39"/>
        <v>0</v>
      </c>
      <c r="H163" s="235">
        <f t="shared" si="39"/>
        <v>0</v>
      </c>
      <c r="I163" s="235">
        <f t="shared" si="39"/>
        <v>0</v>
      </c>
      <c r="J163" s="235">
        <f>SUM(E163:I163)</f>
        <v>0</v>
      </c>
      <c r="K163" s="235">
        <f>IF(D163=0,C163+J163,D163+J163)</f>
        <v>0</v>
      </c>
      <c r="L163" s="235">
        <f t="shared" si="39"/>
        <v>0</v>
      </c>
      <c r="M163" s="236">
        <f t="shared" si="39"/>
        <v>0</v>
      </c>
      <c r="N163" s="126"/>
      <c r="AD163" s="1336" t="s">
        <v>1846</v>
      </c>
    </row>
    <row r="164" spans="1:30" ht="12.75" customHeight="1" x14ac:dyDescent="0.25">
      <c r="A164" s="584" t="s">
        <v>1734</v>
      </c>
      <c r="B164" s="73"/>
      <c r="C164" s="1356">
        <f>SUMIFS(Sheet1!S71_OriginalBudget,Sheet1!S71_SA34Code,$AC:$AC,Sheet1!S71_A5CapexCode,$AD:$AD)</f>
        <v>0</v>
      </c>
      <c r="D164" s="1356">
        <f>SUMIFS(Sheet1!S71_SpecialAdjustedBudget,Sheet1!S71_SA34Code,$AC:$AC,Sheet1!S71_A5CapexCode,$AD:$AD)</f>
        <v>0</v>
      </c>
      <c r="E164" s="1356"/>
      <c r="F164" s="1356"/>
      <c r="G164" s="1356"/>
      <c r="H164" s="1356"/>
      <c r="I164" s="1356">
        <f>SUMIFS(Sheet1!S71_AdjustmentAmount,Sheet1!S71_SA34Code,$AC:$AC,Sheet1!S71_A5CapexCode,$AD:$AD)</f>
        <v>0</v>
      </c>
      <c r="J164" s="75">
        <f>SUM(E164:I164)</f>
        <v>0</v>
      </c>
      <c r="K164" s="75">
        <f>IF(D164=0,C164+J164,D164+J164)</f>
        <v>0</v>
      </c>
      <c r="L164" s="1356">
        <f>SUMIFS(Sheet1!S71_OY1AdjustedBudget,Sheet1!S71_SA34Code,$AC:$AC,Sheet1!S71_A5CapexCode,$AD:$AD)</f>
        <v>0</v>
      </c>
      <c r="M164" s="1357">
        <f>SUMIFS(Sheet1!S71_OY2AdjustedBudget,Sheet1!S71_SA34Code,$AC:$AC,Sheet1!S71_A5CapexCode,$AD:$AD)</f>
        <v>0</v>
      </c>
      <c r="N164" s="126"/>
      <c r="AC164" s="1336" t="s">
        <v>1997</v>
      </c>
      <c r="AD164" s="1336" t="s">
        <v>1846</v>
      </c>
    </row>
    <row r="165" spans="1:30" ht="5.0999999999999996" customHeight="1" x14ac:dyDescent="0.25">
      <c r="A165" s="1217"/>
      <c r="B165" s="73"/>
      <c r="C165" s="74"/>
      <c r="D165" s="75"/>
      <c r="E165" s="75"/>
      <c r="F165" s="75"/>
      <c r="G165" s="75"/>
      <c r="H165" s="75"/>
      <c r="I165" s="75"/>
      <c r="J165" s="75"/>
      <c r="K165" s="75"/>
      <c r="L165" s="75"/>
      <c r="M165" s="76"/>
      <c r="N165" s="126"/>
      <c r="AD165" s="1336" t="s">
        <v>1846</v>
      </c>
    </row>
    <row r="166" spans="1:30" ht="12.75" customHeight="1" x14ac:dyDescent="0.25">
      <c r="A166" s="484" t="s">
        <v>1678</v>
      </c>
      <c r="B166" s="73"/>
      <c r="C166" s="234">
        <f t="shared" ref="C166:M166" si="40">SUM(C167:C167)</f>
        <v>0</v>
      </c>
      <c r="D166" s="235">
        <f t="shared" si="40"/>
        <v>0</v>
      </c>
      <c r="E166" s="235">
        <f t="shared" si="40"/>
        <v>0</v>
      </c>
      <c r="F166" s="235">
        <f t="shared" si="40"/>
        <v>0</v>
      </c>
      <c r="G166" s="235">
        <f t="shared" si="40"/>
        <v>0</v>
      </c>
      <c r="H166" s="235">
        <f t="shared" si="40"/>
        <v>0</v>
      </c>
      <c r="I166" s="235">
        <f t="shared" si="40"/>
        <v>0</v>
      </c>
      <c r="J166" s="235">
        <f>SUM(E166:I166)</f>
        <v>0</v>
      </c>
      <c r="K166" s="235">
        <f>IF(D166=0,C166+J166,D166+J166)</f>
        <v>0</v>
      </c>
      <c r="L166" s="235">
        <f t="shared" si="40"/>
        <v>0</v>
      </c>
      <c r="M166" s="236">
        <f t="shared" si="40"/>
        <v>0</v>
      </c>
      <c r="N166" s="126"/>
      <c r="AD166" s="1336" t="s">
        <v>1846</v>
      </c>
    </row>
    <row r="167" spans="1:30" ht="12.75" customHeight="1" x14ac:dyDescent="0.25">
      <c r="A167" s="584" t="s">
        <v>1678</v>
      </c>
      <c r="B167" s="73"/>
      <c r="C167" s="1356">
        <f>SUMIFS(Sheet1!S71_OriginalBudget,Sheet1!S71_SA34Code,$AC:$AC,Sheet1!S71_A5CapexCode,$AD:$AD)</f>
        <v>0</v>
      </c>
      <c r="D167" s="1356">
        <f>SUMIFS(Sheet1!S71_SpecialAdjustedBudget,Sheet1!S71_SA34Code,$AC:$AC,Sheet1!S71_A5CapexCode,$AD:$AD)</f>
        <v>0</v>
      </c>
      <c r="E167" s="1356"/>
      <c r="F167" s="1356"/>
      <c r="G167" s="1356"/>
      <c r="H167" s="1356"/>
      <c r="I167" s="1356">
        <f>SUMIFS(Sheet1!S71_AdjustmentAmount,Sheet1!S71_SA34Code,$AC:$AC,Sheet1!S71_A5CapexCode,$AD:$AD)</f>
        <v>0</v>
      </c>
      <c r="J167" s="75">
        <f>SUM(E167:I167)</f>
        <v>0</v>
      </c>
      <c r="K167" s="75">
        <f>IF(D167=0,C167+J167,D167+J167)</f>
        <v>0</v>
      </c>
      <c r="L167" s="1356">
        <f>SUMIFS(Sheet1!S71_OY1AdjustedBudget,Sheet1!S71_SA34Code,$AC:$AC,Sheet1!S71_A5CapexCode,$AD:$AD)</f>
        <v>0</v>
      </c>
      <c r="M167" s="1357">
        <f>SUMIFS(Sheet1!S71_OY2AdjustedBudget,Sheet1!S71_SA34Code,$AC:$AC,Sheet1!S71_A5CapexCode,$AD:$AD)</f>
        <v>0</v>
      </c>
      <c r="N167" s="126"/>
      <c r="AC167" s="1336" t="s">
        <v>1998</v>
      </c>
      <c r="AD167" s="1336" t="s">
        <v>1846</v>
      </c>
    </row>
    <row r="168" spans="1:30" ht="5.0999999999999996" customHeight="1" x14ac:dyDescent="0.25">
      <c r="A168" s="134"/>
      <c r="B168" s="73"/>
      <c r="C168" s="74"/>
      <c r="D168" s="75"/>
      <c r="E168" s="75"/>
      <c r="F168" s="75"/>
      <c r="G168" s="75"/>
      <c r="H168" s="75"/>
      <c r="I168" s="75"/>
      <c r="J168" s="75"/>
      <c r="K168" s="75"/>
      <c r="L168" s="75"/>
      <c r="M168" s="76"/>
      <c r="N168" s="126"/>
      <c r="AD168" s="1336" t="s">
        <v>1846</v>
      </c>
    </row>
    <row r="169" spans="1:30" ht="12.75" customHeight="1" x14ac:dyDescent="0.25">
      <c r="A169" s="846" t="s">
        <v>1189</v>
      </c>
      <c r="B169" s="154">
        <v>1</v>
      </c>
      <c r="C169" s="155">
        <f>C8+C76+C105+C112+C120+C151+C138+C141+C154+C157+C160+C163+C166</f>
        <v>0</v>
      </c>
      <c r="D169" s="115">
        <f t="shared" ref="D169:M169" si="41">D8+D76+D105+D112+D120+D151+D138+D141+D154+D157+D160+D163+D166</f>
        <v>0</v>
      </c>
      <c r="E169" s="115">
        <f t="shared" si="41"/>
        <v>0</v>
      </c>
      <c r="F169" s="115">
        <f t="shared" si="41"/>
        <v>0</v>
      </c>
      <c r="G169" s="115">
        <f t="shared" si="41"/>
        <v>0</v>
      </c>
      <c r="H169" s="115">
        <f t="shared" si="41"/>
        <v>0</v>
      </c>
      <c r="I169" s="115">
        <f t="shared" si="41"/>
        <v>550000</v>
      </c>
      <c r="J169" s="115">
        <f>SUM(E169:I169)</f>
        <v>550000</v>
      </c>
      <c r="K169" s="115">
        <f>IF(D169=0,C169+J169,D169+J169)</f>
        <v>550000</v>
      </c>
      <c r="L169" s="115">
        <f t="shared" si="41"/>
        <v>1200000</v>
      </c>
      <c r="M169" s="116">
        <f t="shared" si="41"/>
        <v>0</v>
      </c>
      <c r="N169" s="126"/>
      <c r="AD169" s="1336" t="s">
        <v>1846</v>
      </c>
    </row>
    <row r="170" spans="1:30" ht="12.75" customHeight="1" x14ac:dyDescent="0.25">
      <c r="A170" s="498"/>
      <c r="B170" s="119"/>
      <c r="C170" s="499"/>
      <c r="D170" s="499"/>
      <c r="E170" s="499"/>
      <c r="F170" s="499"/>
      <c r="G170" s="499"/>
      <c r="H170" s="499"/>
      <c r="I170" s="499"/>
      <c r="J170" s="499"/>
      <c r="K170" s="499"/>
      <c r="L170" s="499"/>
      <c r="M170" s="499"/>
      <c r="N170" s="126"/>
    </row>
    <row r="171" spans="1:30" ht="12.75" customHeight="1" x14ac:dyDescent="0.25">
      <c r="A171" s="587" t="str">
        <f>head27a</f>
        <v>References</v>
      </c>
      <c r="B171" s="119"/>
      <c r="C171" s="53"/>
      <c r="D171" s="53"/>
      <c r="E171" s="53"/>
      <c r="F171" s="53"/>
      <c r="G171" s="53"/>
      <c r="H171" s="53"/>
      <c r="I171" s="53"/>
      <c r="J171" s="53"/>
      <c r="K171" s="53"/>
      <c r="L171" s="53"/>
      <c r="M171" s="53"/>
      <c r="N171" s="126"/>
    </row>
    <row r="172" spans="1:30" ht="12.75" customHeight="1" x14ac:dyDescent="0.25">
      <c r="A172" s="845" t="s">
        <v>1682</v>
      </c>
      <c r="B172" s="119"/>
      <c r="C172" s="53"/>
      <c r="D172" s="53"/>
      <c r="E172" s="53"/>
      <c r="F172" s="53"/>
      <c r="G172" s="53"/>
      <c r="H172" s="53"/>
      <c r="I172" s="53"/>
      <c r="J172" s="53"/>
      <c r="K172" s="53"/>
      <c r="L172" s="53"/>
      <c r="M172" s="53"/>
      <c r="N172" s="126"/>
    </row>
    <row r="173" spans="1:30" ht="12.75" customHeight="1" x14ac:dyDescent="0.25">
      <c r="A173" s="1422" t="s">
        <v>986</v>
      </c>
      <c r="B173" s="1422"/>
      <c r="C173" s="1422"/>
      <c r="D173" s="1422"/>
      <c r="E173" s="1422"/>
      <c r="F173" s="1422"/>
      <c r="G173" s="1422"/>
      <c r="H173" s="1422"/>
      <c r="I173" s="1422"/>
      <c r="J173" s="1422"/>
      <c r="K173" s="1422"/>
      <c r="L173" s="1422"/>
      <c r="M173" s="1422"/>
      <c r="N173" s="126"/>
    </row>
    <row r="174" spans="1:30" ht="12.75" customHeight="1" x14ac:dyDescent="0.25">
      <c r="A174" s="1422" t="s">
        <v>992</v>
      </c>
      <c r="B174" s="1422"/>
      <c r="C174" s="1422"/>
      <c r="D174" s="1422"/>
      <c r="E174" s="1422"/>
      <c r="F174" s="1422"/>
      <c r="G174" s="1422"/>
      <c r="H174" s="1422"/>
      <c r="I174" s="1422"/>
      <c r="J174" s="1422"/>
      <c r="K174" s="822"/>
      <c r="L174" s="822"/>
      <c r="M174" s="822"/>
      <c r="N174" s="126"/>
    </row>
    <row r="175" spans="1:30" ht="12.75" customHeight="1" x14ac:dyDescent="0.25">
      <c r="A175" s="1422" t="s">
        <v>993</v>
      </c>
      <c r="B175" s="1422"/>
      <c r="C175" s="1422"/>
      <c r="D175" s="1422"/>
      <c r="E175" s="1422"/>
      <c r="F175" s="1422"/>
      <c r="G175" s="1422"/>
      <c r="H175" s="1422"/>
      <c r="I175" s="1422"/>
      <c r="J175" s="1422"/>
      <c r="K175" s="822"/>
      <c r="L175" s="822"/>
      <c r="M175" s="822"/>
      <c r="N175" s="126"/>
    </row>
    <row r="176" spans="1:30" ht="12.75" customHeight="1" x14ac:dyDescent="0.25">
      <c r="A176" s="1422" t="s">
        <v>1016</v>
      </c>
      <c r="B176" s="1422"/>
      <c r="C176" s="1422"/>
      <c r="D176" s="1422"/>
      <c r="E176" s="1422"/>
      <c r="F176" s="1422"/>
      <c r="G176" s="1422"/>
      <c r="H176" s="1422"/>
      <c r="I176" s="1422"/>
      <c r="J176" s="1422"/>
      <c r="K176" s="1422"/>
      <c r="L176" s="1422"/>
      <c r="M176" s="1422"/>
      <c r="N176" s="126"/>
    </row>
    <row r="177" spans="1:14" ht="12.75" customHeight="1" x14ac:dyDescent="0.25">
      <c r="A177" s="157" t="s">
        <v>1017</v>
      </c>
      <c r="B177" s="158"/>
      <c r="C177" s="94"/>
      <c r="D177" s="94"/>
      <c r="E177" s="94"/>
      <c r="F177" s="94"/>
      <c r="G177" s="94"/>
      <c r="H177" s="94"/>
      <c r="I177" s="94"/>
      <c r="J177" s="94"/>
      <c r="K177" s="94"/>
      <c r="L177" s="94"/>
      <c r="M177" s="94"/>
      <c r="N177" s="126"/>
    </row>
    <row r="178" spans="1:14" ht="12.75" customHeight="1" x14ac:dyDescent="0.25">
      <c r="A178" s="1422" t="s">
        <v>1018</v>
      </c>
      <c r="B178" s="1422"/>
      <c r="C178" s="1422"/>
      <c r="D178" s="1422"/>
      <c r="E178" s="1422"/>
      <c r="F178" s="1422"/>
      <c r="G178" s="1422"/>
      <c r="H178" s="1422"/>
      <c r="I178" s="1422"/>
      <c r="J178" s="1422"/>
      <c r="K178" s="1422"/>
      <c r="L178" s="1422"/>
      <c r="M178" s="1422"/>
      <c r="N178" s="126"/>
    </row>
    <row r="179" spans="1:14" ht="12.75" customHeight="1" x14ac:dyDescent="0.25">
      <c r="A179" s="157" t="s">
        <v>1019</v>
      </c>
      <c r="B179" s="158"/>
      <c r="C179" s="94"/>
      <c r="D179" s="94"/>
      <c r="E179" s="94"/>
      <c r="F179" s="94"/>
      <c r="G179" s="94"/>
      <c r="H179" s="94"/>
      <c r="I179" s="94"/>
      <c r="J179" s="94"/>
      <c r="K179" s="94"/>
      <c r="L179" s="94"/>
      <c r="M179" s="94"/>
      <c r="N179" s="126"/>
    </row>
    <row r="180" spans="1:14" ht="12.75" customHeight="1" x14ac:dyDescent="0.25">
      <c r="A180" s="1422" t="s">
        <v>1020</v>
      </c>
      <c r="B180" s="1422"/>
      <c r="C180" s="1422"/>
      <c r="D180" s="1422"/>
      <c r="E180" s="1422"/>
      <c r="F180" s="1422"/>
      <c r="G180" s="1422"/>
      <c r="H180" s="1422"/>
      <c r="I180" s="1422"/>
      <c r="J180" s="1422"/>
      <c r="K180" s="1422"/>
      <c r="L180" s="1422"/>
      <c r="M180" s="1422"/>
      <c r="N180" s="126"/>
    </row>
    <row r="181" spans="1:14" ht="11.25" customHeight="1" x14ac:dyDescent="0.25">
      <c r="A181" s="336"/>
      <c r="B181" s="781"/>
      <c r="C181" s="543"/>
      <c r="D181" s="543"/>
      <c r="E181" s="543"/>
      <c r="F181" s="543"/>
      <c r="G181" s="543"/>
      <c r="H181" s="543"/>
      <c r="I181" s="543"/>
      <c r="J181" s="543"/>
      <c r="K181" s="543"/>
      <c r="L181" s="543"/>
      <c r="M181" s="543"/>
      <c r="N181" s="126"/>
    </row>
    <row r="182" spans="1:14" ht="11.25" customHeight="1" x14ac:dyDescent="0.25">
      <c r="A182" s="48"/>
      <c r="B182" s="119"/>
      <c r="C182" s="53"/>
      <c r="D182" s="53"/>
      <c r="E182" s="53"/>
      <c r="F182" s="53"/>
      <c r="G182" s="53"/>
      <c r="H182" s="53"/>
      <c r="I182" s="53"/>
      <c r="J182" s="53"/>
      <c r="K182" s="53"/>
      <c r="L182" s="53"/>
      <c r="M182" s="53"/>
      <c r="N182" s="126"/>
    </row>
    <row r="183" spans="1:14" ht="11.25" customHeight="1" x14ac:dyDescent="0.25">
      <c r="A183" s="120" t="s">
        <v>673</v>
      </c>
      <c r="B183" s="158"/>
      <c r="C183" s="783">
        <f>(C169+SB18a!C169+SB18e!C169)-'B5-Capex'!C65</f>
        <v>0</v>
      </c>
      <c r="D183" s="783"/>
      <c r="E183" s="783"/>
      <c r="F183" s="783"/>
      <c r="G183" s="783"/>
      <c r="H183" s="783"/>
      <c r="I183" s="783"/>
      <c r="J183" s="783"/>
      <c r="K183" s="783"/>
      <c r="L183" s="783">
        <f>(L169+SB18a!L169+SB18e!L169)-'B5-Capex'!L65</f>
        <v>0</v>
      </c>
      <c r="M183" s="783">
        <f>(M169+SB18a!M169+SB18e!M169)-'B5-Capex'!M65</f>
        <v>0</v>
      </c>
      <c r="N183" s="126"/>
    </row>
    <row r="184" spans="1:14" ht="11.25" customHeight="1" x14ac:dyDescent="0.25">
      <c r="N184" s="126"/>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4"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0">
    <tabColor rgb="FF92D050"/>
    <pageSetUpPr fitToPage="1"/>
  </sheetPr>
  <dimension ref="A1:F104"/>
  <sheetViews>
    <sheetView workbookViewId="0">
      <pane ySplit="1" topLeftCell="A38" activePane="bottomLeft" state="frozen"/>
      <selection activeCell="C6" sqref="C6"/>
      <selection pane="bottomLeft" activeCell="F99" sqref="F99"/>
    </sheetView>
  </sheetViews>
  <sheetFormatPr defaultColWidth="9.140625" defaultRowHeight="11.25" x14ac:dyDescent="0.2"/>
  <cols>
    <col min="1" max="1" width="10.5703125" style="660" customWidth="1"/>
    <col min="2" max="2" width="92.140625" style="649" customWidth="1"/>
    <col min="3" max="3" width="18.5703125" style="649" customWidth="1"/>
    <col min="4" max="4" width="16.5703125" style="649" customWidth="1"/>
    <col min="5" max="5" width="78.85546875" style="649" bestFit="1" customWidth="1"/>
    <col min="6" max="6" width="70.42578125" style="649" bestFit="1" customWidth="1"/>
    <col min="7" max="16384" width="9.140625" style="649"/>
  </cols>
  <sheetData>
    <row r="1" spans="1:4" x14ac:dyDescent="0.2">
      <c r="A1" s="1388" t="s">
        <v>280</v>
      </c>
      <c r="B1" s="1389"/>
      <c r="C1" s="1389"/>
      <c r="D1" s="1390"/>
    </row>
    <row r="2" spans="1:4" x14ac:dyDescent="0.2">
      <c r="A2" s="784" t="s">
        <v>281</v>
      </c>
      <c r="B2" s="785" t="str">
        <f>HLOOKUP(MTREF,Headings,2)</f>
        <v>2019/20</v>
      </c>
      <c r="C2" s="786" t="s">
        <v>282</v>
      </c>
      <c r="D2" s="787"/>
    </row>
    <row r="3" spans="1:4" x14ac:dyDescent="0.2">
      <c r="A3" s="788" t="s">
        <v>283</v>
      </c>
      <c r="B3" s="789" t="str">
        <f>HLOOKUP(MTREF,Headings,3)</f>
        <v>2018/19</v>
      </c>
      <c r="C3" s="790" t="s">
        <v>284</v>
      </c>
      <c r="D3" s="791"/>
    </row>
    <row r="4" spans="1:4" x14ac:dyDescent="0.2">
      <c r="A4" s="788" t="s">
        <v>285</v>
      </c>
      <c r="B4" s="789" t="str">
        <f>HLOOKUP(MTREF,Headings,4)</f>
        <v>2017/18</v>
      </c>
      <c r="C4" s="790" t="s">
        <v>286</v>
      </c>
      <c r="D4" s="791"/>
    </row>
    <row r="5" spans="1:4" x14ac:dyDescent="0.2">
      <c r="A5" s="788" t="s">
        <v>287</v>
      </c>
      <c r="B5" s="790" t="str">
        <f>HLOOKUP(MTREF,Headings,7)</f>
        <v>Budget Year 2020/21</v>
      </c>
      <c r="C5" s="790" t="s">
        <v>288</v>
      </c>
      <c r="D5" s="791"/>
    </row>
    <row r="6" spans="1:4" x14ac:dyDescent="0.2">
      <c r="A6" s="788" t="s">
        <v>289</v>
      </c>
      <c r="B6" s="790" t="str">
        <f>HLOOKUP(MTREF,Headings,6)</f>
        <v>2020/21</v>
      </c>
      <c r="C6" s="790" t="s">
        <v>290</v>
      </c>
      <c r="D6" s="791"/>
    </row>
    <row r="7" spans="1:4" x14ac:dyDescent="0.2">
      <c r="A7" s="788" t="s">
        <v>291</v>
      </c>
      <c r="B7" s="790" t="str">
        <f>HLOOKUP(MTREF,Headings,5)</f>
        <v>2020/21 Medium Term Revenue &amp; Expenditure Framework</v>
      </c>
      <c r="C7" s="790" t="s">
        <v>292</v>
      </c>
      <c r="D7" s="791"/>
    </row>
    <row r="8" spans="1:4" x14ac:dyDescent="0.2">
      <c r="A8" s="657" t="s">
        <v>293</v>
      </c>
      <c r="B8" s="648" t="s">
        <v>225</v>
      </c>
      <c r="C8" s="648"/>
      <c r="D8" s="658"/>
    </row>
    <row r="9" spans="1:4" x14ac:dyDescent="0.2">
      <c r="A9" s="657" t="s">
        <v>294</v>
      </c>
      <c r="B9" s="648" t="s">
        <v>295</v>
      </c>
      <c r="C9" s="648"/>
      <c r="D9" s="658"/>
    </row>
    <row r="10" spans="1:4" x14ac:dyDescent="0.2">
      <c r="A10" s="657" t="s">
        <v>302</v>
      </c>
      <c r="B10" s="648" t="s">
        <v>303</v>
      </c>
      <c r="C10" s="648"/>
      <c r="D10" s="658"/>
    </row>
    <row r="11" spans="1:4" x14ac:dyDescent="0.2">
      <c r="A11" s="657" t="s">
        <v>304</v>
      </c>
      <c r="B11" s="648" t="s">
        <v>305</v>
      </c>
      <c r="C11" s="648"/>
      <c r="D11" s="658"/>
    </row>
    <row r="12" spans="1:4" x14ac:dyDescent="0.2">
      <c r="A12" s="657" t="s">
        <v>306</v>
      </c>
      <c r="B12" s="648" t="s">
        <v>307</v>
      </c>
      <c r="C12" s="648"/>
      <c r="D12" s="658"/>
    </row>
    <row r="13" spans="1:4" x14ac:dyDescent="0.2">
      <c r="A13" s="657" t="s">
        <v>308</v>
      </c>
      <c r="B13" s="648" t="s">
        <v>309</v>
      </c>
      <c r="C13" s="648"/>
      <c r="D13" s="658"/>
    </row>
    <row r="14" spans="1:4" x14ac:dyDescent="0.2">
      <c r="A14" s="657" t="s">
        <v>310</v>
      </c>
      <c r="B14" s="648" t="s">
        <v>239</v>
      </c>
      <c r="C14" s="648"/>
      <c r="D14" s="658"/>
    </row>
    <row r="15" spans="1:4" x14ac:dyDescent="0.2">
      <c r="A15" s="657" t="s">
        <v>311</v>
      </c>
      <c r="B15" s="648" t="s">
        <v>312</v>
      </c>
      <c r="C15" s="648"/>
      <c r="D15" s="658"/>
    </row>
    <row r="16" spans="1:4" x14ac:dyDescent="0.2">
      <c r="A16" s="788" t="s">
        <v>313</v>
      </c>
      <c r="B16" s="790" t="str">
        <f>HLOOKUP(MTREF,Headings,7)</f>
        <v>Budget Year 2020/21</v>
      </c>
      <c r="C16" s="790" t="s">
        <v>314</v>
      </c>
      <c r="D16" s="792" t="s">
        <v>315</v>
      </c>
    </row>
    <row r="17" spans="1:4" x14ac:dyDescent="0.2">
      <c r="A17" s="788" t="s">
        <v>316</v>
      </c>
      <c r="B17" s="790" t="str">
        <f>HLOOKUP(MTREF,Headings,8)</f>
        <v>Budget Year +1 2021/22</v>
      </c>
      <c r="C17" s="790" t="s">
        <v>317</v>
      </c>
      <c r="D17" s="792" t="s">
        <v>318</v>
      </c>
    </row>
    <row r="18" spans="1:4" x14ac:dyDescent="0.2">
      <c r="A18" s="788" t="s">
        <v>319</v>
      </c>
      <c r="B18" s="790" t="str">
        <f>HLOOKUP(MTREF,Headings,9)</f>
        <v>Budget Year +2 2022/23</v>
      </c>
      <c r="C18" s="790" t="s">
        <v>320</v>
      </c>
      <c r="D18" s="792" t="s">
        <v>321</v>
      </c>
    </row>
    <row r="19" spans="1:4" x14ac:dyDescent="0.2">
      <c r="A19" s="657" t="s">
        <v>322</v>
      </c>
      <c r="B19" s="648" t="s">
        <v>246</v>
      </c>
      <c r="C19" s="648"/>
      <c r="D19" s="659" t="s">
        <v>323</v>
      </c>
    </row>
    <row r="20" spans="1:4" x14ac:dyDescent="0.2">
      <c r="A20" s="657" t="s">
        <v>324</v>
      </c>
      <c r="B20" s="648" t="s">
        <v>325</v>
      </c>
      <c r="C20" s="648"/>
      <c r="D20" s="659" t="s">
        <v>326</v>
      </c>
    </row>
    <row r="21" spans="1:4" x14ac:dyDescent="0.2">
      <c r="A21" s="657" t="s">
        <v>327</v>
      </c>
      <c r="B21" s="648" t="s">
        <v>328</v>
      </c>
      <c r="C21" s="648"/>
      <c r="D21" s="659"/>
    </row>
    <row r="22" spans="1:4" x14ac:dyDescent="0.2">
      <c r="A22" s="657" t="s">
        <v>329</v>
      </c>
      <c r="B22" s="648" t="s">
        <v>521</v>
      </c>
      <c r="C22" s="648"/>
      <c r="D22" s="659"/>
    </row>
    <row r="23" spans="1:4" x14ac:dyDescent="0.2">
      <c r="A23" s="657" t="s">
        <v>330</v>
      </c>
      <c r="B23" s="648" t="s">
        <v>575</v>
      </c>
      <c r="C23" s="648"/>
      <c r="D23" s="659" t="s">
        <v>331</v>
      </c>
    </row>
    <row r="24" spans="1:4" x14ac:dyDescent="0.2">
      <c r="A24" s="657" t="s">
        <v>332</v>
      </c>
      <c r="B24" s="648" t="s">
        <v>276</v>
      </c>
      <c r="C24" s="648"/>
      <c r="D24" s="659"/>
    </row>
    <row r="25" spans="1:4" x14ac:dyDescent="0.2">
      <c r="A25" s="657" t="s">
        <v>333</v>
      </c>
      <c r="B25" s="648" t="s">
        <v>334</v>
      </c>
      <c r="C25" s="648"/>
      <c r="D25" s="659"/>
    </row>
    <row r="26" spans="1:4" x14ac:dyDescent="0.2">
      <c r="A26" s="657" t="s">
        <v>335</v>
      </c>
      <c r="B26" s="648" t="s">
        <v>336</v>
      </c>
      <c r="C26" s="648"/>
      <c r="D26" s="659"/>
    </row>
    <row r="27" spans="1:4" x14ac:dyDescent="0.2">
      <c r="A27" s="657" t="s">
        <v>337</v>
      </c>
      <c r="B27" s="648" t="s">
        <v>338</v>
      </c>
      <c r="C27" s="648"/>
      <c r="D27" s="659"/>
    </row>
    <row r="28" spans="1:4" x14ac:dyDescent="0.2">
      <c r="A28" s="657" t="s">
        <v>339</v>
      </c>
      <c r="B28" s="648" t="s">
        <v>340</v>
      </c>
      <c r="C28" s="648"/>
      <c r="D28" s="659"/>
    </row>
    <row r="29" spans="1:4" x14ac:dyDescent="0.2">
      <c r="A29" s="657" t="s">
        <v>341</v>
      </c>
      <c r="B29" s="648" t="s">
        <v>342</v>
      </c>
      <c r="C29" s="648"/>
      <c r="D29" s="659"/>
    </row>
    <row r="30" spans="1:4" x14ac:dyDescent="0.2">
      <c r="A30" s="657" t="s">
        <v>343</v>
      </c>
      <c r="B30" s="648" t="s">
        <v>344</v>
      </c>
      <c r="C30" s="648"/>
      <c r="D30" s="659"/>
    </row>
    <row r="31" spans="1:4" x14ac:dyDescent="0.2">
      <c r="A31" s="657" t="s">
        <v>345</v>
      </c>
      <c r="B31" s="648" t="s">
        <v>346</v>
      </c>
      <c r="C31" s="648"/>
      <c r="D31" s="659"/>
    </row>
    <row r="32" spans="1:4" x14ac:dyDescent="0.2">
      <c r="A32" s="657" t="s">
        <v>347</v>
      </c>
      <c r="B32" s="648" t="s">
        <v>348</v>
      </c>
      <c r="C32" s="648"/>
      <c r="D32" s="659"/>
    </row>
    <row r="33" spans="1:4" x14ac:dyDescent="0.2">
      <c r="A33" s="657" t="s">
        <v>349</v>
      </c>
      <c r="B33" s="648" t="s">
        <v>350</v>
      </c>
      <c r="C33" s="648"/>
      <c r="D33" s="659"/>
    </row>
    <row r="34" spans="1:4" x14ac:dyDescent="0.2">
      <c r="A34" s="657" t="s">
        <v>351</v>
      </c>
      <c r="B34" s="648" t="s">
        <v>352</v>
      </c>
      <c r="C34" s="648"/>
      <c r="D34" s="659"/>
    </row>
    <row r="35" spans="1:4" x14ac:dyDescent="0.2">
      <c r="A35" s="657" t="s">
        <v>353</v>
      </c>
      <c r="B35" s="647" t="s">
        <v>354</v>
      </c>
      <c r="C35" s="648"/>
      <c r="D35" s="659"/>
    </row>
    <row r="36" spans="1:4" x14ac:dyDescent="0.2">
      <c r="A36" s="657" t="s">
        <v>355</v>
      </c>
      <c r="B36" s="647" t="s">
        <v>356</v>
      </c>
      <c r="C36" s="648"/>
      <c r="D36" s="659"/>
    </row>
    <row r="37" spans="1:4" x14ac:dyDescent="0.2">
      <c r="A37" s="657" t="s">
        <v>357</v>
      </c>
      <c r="B37" s="647" t="s">
        <v>358</v>
      </c>
      <c r="C37" s="648"/>
      <c r="D37" s="659"/>
    </row>
    <row r="38" spans="1:4" x14ac:dyDescent="0.2">
      <c r="A38" s="657" t="s">
        <v>359</v>
      </c>
      <c r="B38" s="647" t="str">
        <f>Head3&amp;" Summary"</f>
        <v>2020/21 Medium Term Revenue &amp; Expenditure Framework Summary</v>
      </c>
      <c r="C38" s="648"/>
      <c r="D38" s="659"/>
    </row>
    <row r="39" spans="1:4" x14ac:dyDescent="0.2">
      <c r="A39" s="657" t="s">
        <v>360</v>
      </c>
      <c r="B39" s="1169" t="s">
        <v>362</v>
      </c>
      <c r="C39" s="648"/>
      <c r="D39" s="659"/>
    </row>
    <row r="40" spans="1:4" x14ac:dyDescent="0.2">
      <c r="A40" s="657" t="s">
        <v>361</v>
      </c>
      <c r="B40" s="1169" t="s">
        <v>1456</v>
      </c>
      <c r="C40" s="648"/>
      <c r="D40" s="659"/>
    </row>
    <row r="41" spans="1:4" x14ac:dyDescent="0.2">
      <c r="A41" s="657" t="s">
        <v>363</v>
      </c>
      <c r="B41" s="1170" t="s">
        <v>1457</v>
      </c>
      <c r="C41" s="650"/>
      <c r="D41" s="659"/>
    </row>
    <row r="42" spans="1:4" x14ac:dyDescent="0.2">
      <c r="A42" s="657" t="s">
        <v>364</v>
      </c>
      <c r="B42" s="1169" t="s">
        <v>365</v>
      </c>
      <c r="C42" s="648"/>
      <c r="D42" s="659"/>
    </row>
    <row r="43" spans="1:4" x14ac:dyDescent="0.2">
      <c r="A43" s="657" t="s">
        <v>366</v>
      </c>
      <c r="B43" s="1169" t="s">
        <v>367</v>
      </c>
      <c r="C43" s="648"/>
      <c r="D43" s="659"/>
    </row>
    <row r="44" spans="1:4" x14ac:dyDescent="0.2">
      <c r="A44" s="657" t="s">
        <v>368</v>
      </c>
      <c r="B44" s="1171"/>
      <c r="C44" s="648"/>
      <c r="D44" s="659"/>
    </row>
    <row r="45" spans="1:4" x14ac:dyDescent="0.2">
      <c r="A45" s="657" t="s">
        <v>369</v>
      </c>
      <c r="B45" s="1169" t="s">
        <v>370</v>
      </c>
      <c r="C45" s="648"/>
      <c r="D45" s="659"/>
    </row>
    <row r="46" spans="1:4" x14ac:dyDescent="0.2">
      <c r="A46" s="657" t="s">
        <v>371</v>
      </c>
      <c r="B46" s="1169" t="s">
        <v>372</v>
      </c>
      <c r="C46" s="648"/>
      <c r="D46" s="659"/>
    </row>
    <row r="47" spans="1:4" x14ac:dyDescent="0.2">
      <c r="A47" s="657" t="s">
        <v>373</v>
      </c>
      <c r="B47" s="1169" t="s">
        <v>374</v>
      </c>
      <c r="C47" s="648"/>
      <c r="D47" s="659"/>
    </row>
    <row r="48" spans="1:4" x14ac:dyDescent="0.2">
      <c r="A48" s="657" t="s">
        <v>375</v>
      </c>
      <c r="B48" s="1169" t="s">
        <v>376</v>
      </c>
      <c r="C48" s="648"/>
      <c r="D48" s="659"/>
    </row>
    <row r="49" spans="1:4" x14ac:dyDescent="0.2">
      <c r="A49" s="657" t="s">
        <v>377</v>
      </c>
      <c r="B49" s="1169" t="s">
        <v>378</v>
      </c>
      <c r="C49" s="648"/>
      <c r="D49" s="659"/>
    </row>
    <row r="50" spans="1:4" x14ac:dyDescent="0.2">
      <c r="A50" s="657" t="s">
        <v>379</v>
      </c>
      <c r="B50" s="1169" t="s">
        <v>380</v>
      </c>
      <c r="C50" s="648"/>
      <c r="D50" s="659"/>
    </row>
    <row r="51" spans="1:4" x14ac:dyDescent="0.2">
      <c r="A51" s="657" t="s">
        <v>381</v>
      </c>
      <c r="B51" s="1169" t="s">
        <v>382</v>
      </c>
      <c r="C51" s="648"/>
      <c r="D51" s="659"/>
    </row>
    <row r="52" spans="1:4" x14ac:dyDescent="0.2">
      <c r="A52" s="657" t="s">
        <v>383</v>
      </c>
      <c r="B52" s="647" t="s">
        <v>384</v>
      </c>
      <c r="C52" s="648"/>
      <c r="D52" s="659"/>
    </row>
    <row r="53" spans="1:4" x14ac:dyDescent="0.2">
      <c r="A53" s="657" t="s">
        <v>385</v>
      </c>
      <c r="B53" s="647" t="s">
        <v>386</v>
      </c>
      <c r="C53" s="648"/>
      <c r="D53" s="659"/>
    </row>
    <row r="54" spans="1:4" x14ac:dyDescent="0.2">
      <c r="A54" s="657" t="s">
        <v>387</v>
      </c>
      <c r="B54" s="647" t="s">
        <v>388</v>
      </c>
      <c r="C54" s="648"/>
      <c r="D54" s="659"/>
    </row>
    <row r="55" spans="1:4" x14ac:dyDescent="0.2">
      <c r="A55" s="657" t="s">
        <v>389</v>
      </c>
      <c r="B55" s="647" t="s">
        <v>390</v>
      </c>
      <c r="C55" s="648"/>
      <c r="D55" s="659"/>
    </row>
    <row r="56" spans="1:4" x14ac:dyDescent="0.2">
      <c r="A56" s="657" t="s">
        <v>391</v>
      </c>
      <c r="B56" s="647" t="s">
        <v>392</v>
      </c>
      <c r="C56" s="648"/>
      <c r="D56" s="659"/>
    </row>
    <row r="57" spans="1:4" x14ac:dyDescent="0.2">
      <c r="A57" s="657" t="s">
        <v>393</v>
      </c>
      <c r="B57" s="647" t="s">
        <v>394</v>
      </c>
      <c r="C57" s="648"/>
      <c r="D57" s="659"/>
    </row>
    <row r="58" spans="1:4" x14ac:dyDescent="0.2">
      <c r="A58" s="657" t="s">
        <v>395</v>
      </c>
      <c r="B58" s="647" t="s">
        <v>396</v>
      </c>
      <c r="C58" s="648"/>
      <c r="D58" s="659"/>
    </row>
    <row r="59" spans="1:4" x14ac:dyDescent="0.2">
      <c r="A59" s="657" t="s">
        <v>397</v>
      </c>
      <c r="B59" s="647" t="s">
        <v>398</v>
      </c>
      <c r="C59" s="648"/>
      <c r="D59" s="659"/>
    </row>
    <row r="60" spans="1:4" x14ac:dyDescent="0.2">
      <c r="A60" s="657" t="s">
        <v>399</v>
      </c>
      <c r="B60" s="647" t="s">
        <v>400</v>
      </c>
      <c r="C60" s="648"/>
      <c r="D60" s="659"/>
    </row>
    <row r="61" spans="1:4" x14ac:dyDescent="0.2">
      <c r="A61" s="657" t="s">
        <v>401</v>
      </c>
      <c r="B61" s="647" t="s">
        <v>402</v>
      </c>
      <c r="C61" s="648"/>
      <c r="D61" s="659"/>
    </row>
    <row r="62" spans="1:4" x14ac:dyDescent="0.2">
      <c r="A62" s="1391" t="s">
        <v>403</v>
      </c>
      <c r="B62" s="1392"/>
      <c r="C62" s="1392"/>
      <c r="D62" s="1393"/>
    </row>
    <row r="63" spans="1:4" x14ac:dyDescent="0.2">
      <c r="A63" s="793" t="s">
        <v>404</v>
      </c>
      <c r="B63" s="670" t="str">
        <f>'Lookup and lists'!B28</f>
        <v>KZN226 Mkhambathini</v>
      </c>
      <c r="C63" s="670"/>
      <c r="D63" s="660"/>
    </row>
    <row r="64" spans="1:4" x14ac:dyDescent="0.2">
      <c r="A64" s="793" t="s">
        <v>221</v>
      </c>
      <c r="B64" s="794">
        <v>2</v>
      </c>
      <c r="C64" s="670" t="s">
        <v>222</v>
      </c>
      <c r="D64" s="660">
        <v>1</v>
      </c>
    </row>
    <row r="65" spans="1:6" x14ac:dyDescent="0.2">
      <c r="A65" s="698" t="str">
        <f>IF((MuniEntities=1)*(MuniType=2),"YES","NO")</f>
        <v>NO</v>
      </c>
      <c r="B65" s="2" t="s">
        <v>405</v>
      </c>
      <c r="C65" s="671"/>
      <c r="D65" s="660"/>
    </row>
    <row r="66" spans="1:6" x14ac:dyDescent="0.2">
      <c r="A66" s="1394" t="s">
        <v>406</v>
      </c>
      <c r="B66" s="1395"/>
      <c r="C66" s="661"/>
      <c r="D66" s="661"/>
      <c r="E66" s="662" t="s">
        <v>407</v>
      </c>
      <c r="F66" s="662" t="s">
        <v>408</v>
      </c>
    </row>
    <row r="67" spans="1:6" x14ac:dyDescent="0.2">
      <c r="A67" s="657" t="s">
        <v>409</v>
      </c>
      <c r="B67" s="648" t="str">
        <f t="shared" ref="B67:B100" si="0">D67&amp;IF(Consolques="YES",E67,F67)</f>
        <v>Table B1 Adjustments Budget Summary</v>
      </c>
      <c r="C67" s="648"/>
      <c r="D67" s="663" t="s">
        <v>410</v>
      </c>
      <c r="E67" s="649" t="str">
        <f>"Consolidated "&amp;F67</f>
        <v>Consolidated Adjustments Budget Summary</v>
      </c>
      <c r="F67" s="649" t="str">
        <f>"Adjustments Budget Summary"</f>
        <v>Adjustments Budget Summary</v>
      </c>
    </row>
    <row r="68" spans="1:6" x14ac:dyDescent="0.2">
      <c r="A68" s="657" t="s">
        <v>411</v>
      </c>
      <c r="B68" s="648" t="str">
        <f t="shared" si="0"/>
        <v>Table B3 Adjustments Budget Financial Performance (revenue and expenditure by municipal vote)</v>
      </c>
      <c r="C68" s="648"/>
      <c r="D68" s="663" t="s">
        <v>414</v>
      </c>
      <c r="E68" s="649" t="str">
        <f t="shared" ref="E68:E99" si="1">"Consolidated "&amp;F68</f>
        <v>Consolidated Adjustments Budget Financial Performance (revenue and expenditure by municipal vote)</v>
      </c>
      <c r="F68" s="649" t="str">
        <f>"Adjustments Budget Financial Performance (revenue and expenditure by municipal vote)"</f>
        <v>Adjustments Budget Financial Performance (revenue and expenditure by municipal vote)</v>
      </c>
    </row>
    <row r="69" spans="1:6" x14ac:dyDescent="0.2">
      <c r="A69" s="657" t="s">
        <v>413</v>
      </c>
      <c r="B69" s="648" t="str">
        <f t="shared" si="0"/>
        <v>Table B2 Adjustments Budget Financial Performance (functional classification)</v>
      </c>
      <c r="C69" s="648"/>
      <c r="D69" s="663" t="s">
        <v>412</v>
      </c>
      <c r="E69" s="649" t="str">
        <f t="shared" si="1"/>
        <v>Consolidated Adjustments Budget Financial Performance (functional classification)</v>
      </c>
      <c r="F69" s="649" t="str">
        <f>"Adjustments Budget Financial Performance (functional classification)"</f>
        <v>Adjustments Budget Financial Performance (functional classification)</v>
      </c>
    </row>
    <row r="70" spans="1:6" x14ac:dyDescent="0.2">
      <c r="A70" s="657" t="s">
        <v>415</v>
      </c>
      <c r="B70" s="648" t="str">
        <f t="shared" si="0"/>
        <v>Table B4 Adjustments Budget Financial Performance (revenue and expenditure)</v>
      </c>
      <c r="C70" s="648"/>
      <c r="D70" s="663" t="s">
        <v>416</v>
      </c>
      <c r="E70" s="649" t="str">
        <f t="shared" si="1"/>
        <v>Consolidated Adjustments Budget Financial Performance (revenue and expenditure)</v>
      </c>
      <c r="F70" s="649" t="str">
        <f>"Adjustments Budget Financial Performance (revenue and expenditure)"</f>
        <v>Adjustments Budget Financial Performance (revenue and expenditure)</v>
      </c>
    </row>
    <row r="71" spans="1:6" x14ac:dyDescent="0.2">
      <c r="A71" s="657" t="s">
        <v>417</v>
      </c>
      <c r="B71" s="648" t="str">
        <f t="shared" si="0"/>
        <v>Table B5 Adjustments Capital Expenditure Budget by vote and funding</v>
      </c>
      <c r="C71" s="648"/>
      <c r="D71" s="663" t="s">
        <v>418</v>
      </c>
      <c r="E71" s="649" t="str">
        <f t="shared" si="1"/>
        <v>Consolidated Adjustments Capital Expenditure Budget by vote and funding</v>
      </c>
      <c r="F71" s="649" t="str">
        <f>"Adjustments Capital Expenditure Budget by vote and funding"</f>
        <v>Adjustments Capital Expenditure Budget by vote and funding</v>
      </c>
    </row>
    <row r="72" spans="1:6" x14ac:dyDescent="0.2">
      <c r="A72" s="657" t="s">
        <v>419</v>
      </c>
      <c r="B72" s="648" t="str">
        <f t="shared" si="0"/>
        <v>Table B6 Adjustments Budget Financial Position</v>
      </c>
      <c r="C72" s="648"/>
      <c r="D72" s="663" t="s">
        <v>420</v>
      </c>
      <c r="E72" s="649" t="str">
        <f t="shared" si="1"/>
        <v>Consolidated Adjustments Budget Financial Position</v>
      </c>
      <c r="F72" s="649" t="str">
        <f>"Adjustments Budget Financial Position"</f>
        <v>Adjustments Budget Financial Position</v>
      </c>
    </row>
    <row r="73" spans="1:6" x14ac:dyDescent="0.2">
      <c r="A73" s="657" t="s">
        <v>421</v>
      </c>
      <c r="B73" s="648" t="str">
        <f t="shared" si="0"/>
        <v>Table B7 Adjustments Budget Cash Flows</v>
      </c>
      <c r="C73" s="648"/>
      <c r="D73" s="663" t="s">
        <v>422</v>
      </c>
      <c r="E73" s="649" t="str">
        <f t="shared" si="1"/>
        <v>Consolidated Adjustments Budget Cash Flows</v>
      </c>
      <c r="F73" s="649" t="str">
        <f>"Adjustments Budget Cash Flows"</f>
        <v>Adjustments Budget Cash Flows</v>
      </c>
    </row>
    <row r="74" spans="1:6" x14ac:dyDescent="0.2">
      <c r="A74" s="657" t="s">
        <v>423</v>
      </c>
      <c r="B74" s="648" t="str">
        <f t="shared" si="0"/>
        <v>Table B8 Cash backed reserves/accumulated surplus reconciliation</v>
      </c>
      <c r="C74" s="648"/>
      <c r="D74" s="663" t="s">
        <v>424</v>
      </c>
      <c r="E74" s="649" t="str">
        <f t="shared" si="1"/>
        <v>Consolidated Cash backed reserves/accumulated surplus reconciliation</v>
      </c>
      <c r="F74" s="649" t="str">
        <f>"Cash backed reserves/accumulated surplus reconciliation"</f>
        <v>Cash backed reserves/accumulated surplus reconciliation</v>
      </c>
    </row>
    <row r="75" spans="1:6" x14ac:dyDescent="0.2">
      <c r="A75" s="657" t="s">
        <v>425</v>
      </c>
      <c r="B75" s="648" t="str">
        <f t="shared" si="0"/>
        <v>Table B9 Asset Management</v>
      </c>
      <c r="C75" s="648"/>
      <c r="D75" s="663" t="s">
        <v>426</v>
      </c>
      <c r="E75" s="649" t="str">
        <f t="shared" si="1"/>
        <v>Consolidated Asset Management</v>
      </c>
      <c r="F75" s="649" t="str">
        <f>"Asset Management"</f>
        <v>Asset Management</v>
      </c>
    </row>
    <row r="76" spans="1:6" x14ac:dyDescent="0.2">
      <c r="A76" s="657" t="s">
        <v>427</v>
      </c>
      <c r="B76" s="648" t="str">
        <f t="shared" si="0"/>
        <v>Table B10 Basic service delivery measurement</v>
      </c>
      <c r="C76" s="648"/>
      <c r="D76" s="663" t="s">
        <v>428</v>
      </c>
      <c r="E76" s="649" t="str">
        <f t="shared" si="1"/>
        <v>Consolidated Basic service delivery measurement</v>
      </c>
      <c r="F76" s="649" t="str">
        <f>"Basic service delivery measurement"</f>
        <v>Basic service delivery measurement</v>
      </c>
    </row>
    <row r="77" spans="1:6" x14ac:dyDescent="0.2">
      <c r="A77" s="657" t="s">
        <v>429</v>
      </c>
      <c r="B77" s="648" t="str">
        <f t="shared" si="0"/>
        <v>Supporting Table SB1 Supporting detail to 'Budgeted Financial Performance'</v>
      </c>
      <c r="C77" s="648"/>
      <c r="D77" s="663" t="str">
        <f>D101&amp;"Table SB1 "</f>
        <v xml:space="preserve">Supporting Table SB1 </v>
      </c>
      <c r="E77" s="649" t="str">
        <f t="shared" si="1"/>
        <v>Consolidated Supporting detail to 'Budgeted Financial Performance'</v>
      </c>
      <c r="F77" s="649" t="str">
        <f>"Supporting detail to 'Budgeted Financial Performance'"</f>
        <v>Supporting detail to 'Budgeted Financial Performance'</v>
      </c>
    </row>
    <row r="78" spans="1:6" x14ac:dyDescent="0.2">
      <c r="A78" s="657" t="s">
        <v>430</v>
      </c>
      <c r="B78" s="648" t="str">
        <f t="shared" si="0"/>
        <v>Supporting Table SB2 Supporting detail to 'Financial Position Budget'</v>
      </c>
      <c r="C78" s="648"/>
      <c r="D78" s="663" t="str">
        <f>D101&amp;"Table SB2 "</f>
        <v xml:space="preserve">Supporting Table SB2 </v>
      </c>
      <c r="E78" s="649" t="str">
        <f t="shared" si="1"/>
        <v>Consolidated Supporting detail to 'Financial Position Budget'</v>
      </c>
      <c r="F78" s="649" t="str">
        <f>"Supporting detail to 'Financial Position Budget'"</f>
        <v>Supporting detail to 'Financial Position Budget'</v>
      </c>
    </row>
    <row r="79" spans="1:6" x14ac:dyDescent="0.2">
      <c r="A79" s="657" t="s">
        <v>431</v>
      </c>
      <c r="B79" s="648" t="str">
        <f t="shared" si="0"/>
        <v>Supporting Table SB3 Adjustments to the SDBIP - performance objectives</v>
      </c>
      <c r="C79" s="648"/>
      <c r="D79" s="663" t="str">
        <f>D101&amp;"Table SB3 "</f>
        <v xml:space="preserve">Supporting Table SB3 </v>
      </c>
      <c r="E79" s="649" t="str">
        <f t="shared" si="1"/>
        <v>Consolidated Adjustments to the SDBIP - performance objectives</v>
      </c>
      <c r="F79" s="649" t="str">
        <f>"Adjustments to the SDBIP - performance objectives"</f>
        <v>Adjustments to the SDBIP - performance objectives</v>
      </c>
    </row>
    <row r="80" spans="1:6" x14ac:dyDescent="0.2">
      <c r="A80" s="657" t="s">
        <v>432</v>
      </c>
      <c r="B80" s="648" t="str">
        <f t="shared" si="0"/>
        <v>Supporting Table SB4 Adjustments to budgeted performance indicators and benchmarks</v>
      </c>
      <c r="C80" s="664"/>
      <c r="D80" s="663" t="str">
        <f>D101&amp;"Table SB4 "</f>
        <v xml:space="preserve">Supporting Table SB4 </v>
      </c>
      <c r="E80" s="649" t="str">
        <f t="shared" si="1"/>
        <v>Consolidated Adjustments to budgeted performance indicators and benchmarks</v>
      </c>
      <c r="F80" s="665" t="str">
        <f>"Adjustments to budgeted performance indicators and benchmarks"</f>
        <v>Adjustments to budgeted performance indicators and benchmarks</v>
      </c>
    </row>
    <row r="81" spans="1:6" x14ac:dyDescent="0.2">
      <c r="A81" s="657" t="s">
        <v>433</v>
      </c>
      <c r="B81" s="648" t="str">
        <f t="shared" si="0"/>
        <v>Supporting Table SB5 Adjustments Budget - social, economic and demographic statistics and assumptions</v>
      </c>
      <c r="C81" s="664"/>
      <c r="D81" s="663" t="str">
        <f>D101&amp;"Table SB5 "</f>
        <v xml:space="preserve">Supporting Table SB5 </v>
      </c>
      <c r="E81" s="649" t="str">
        <f t="shared" si="1"/>
        <v>Consolidated Adjustments Budget - social, economic and demographic statistics and assumptions</v>
      </c>
      <c r="F81" s="664" t="str">
        <f>"Adjustments Budget - social, economic and demographic statistics and assumptions"</f>
        <v>Adjustments Budget - social, economic and demographic statistics and assumptions</v>
      </c>
    </row>
    <row r="82" spans="1:6" x14ac:dyDescent="0.2">
      <c r="A82" s="657" t="s">
        <v>434</v>
      </c>
      <c r="B82" s="648" t="str">
        <f t="shared" si="0"/>
        <v>Supporting Table SB6 Adjustments Budget - funding measurement</v>
      </c>
      <c r="C82" s="664"/>
      <c r="D82" s="663" t="str">
        <f>D101&amp;"Table SB6 "</f>
        <v xml:space="preserve">Supporting Table SB6 </v>
      </c>
      <c r="E82" s="649" t="str">
        <f t="shared" si="1"/>
        <v>Consolidated Adjustments Budget - funding measurement</v>
      </c>
      <c r="F82" s="664" t="str">
        <f>"Adjustments Budget - funding measurement"</f>
        <v>Adjustments Budget - funding measurement</v>
      </c>
    </row>
    <row r="83" spans="1:6" x14ac:dyDescent="0.2">
      <c r="A83" s="657" t="s">
        <v>435</v>
      </c>
      <c r="B83" s="648" t="str">
        <f t="shared" si="0"/>
        <v>Supporting Table SB7 Adjustments Budget - transfers and grant receipts</v>
      </c>
      <c r="C83" s="664"/>
      <c r="D83" s="663" t="str">
        <f>D101&amp;"Table SB7 "</f>
        <v xml:space="preserve">Supporting Table SB7 </v>
      </c>
      <c r="E83" s="649" t="str">
        <f t="shared" si="1"/>
        <v>Consolidated Adjustments Budget - transfers and grant receipts</v>
      </c>
      <c r="F83" s="664" t="str">
        <f>"Adjustments Budget - transfers and grant receipts"</f>
        <v>Adjustments Budget - transfers and grant receipts</v>
      </c>
    </row>
    <row r="84" spans="1:6" x14ac:dyDescent="0.2">
      <c r="A84" s="657" t="s">
        <v>436</v>
      </c>
      <c r="B84" s="648" t="str">
        <f t="shared" si="0"/>
        <v>Supporting Table SB8 Adjustments Budget - expenditure on transfers and grant programme</v>
      </c>
      <c r="C84" s="664"/>
      <c r="D84" s="663" t="str">
        <f>D101&amp;"Table SB8 "</f>
        <v xml:space="preserve">Supporting Table SB8 </v>
      </c>
      <c r="E84" s="649" t="str">
        <f t="shared" si="1"/>
        <v>Consolidated Adjustments Budget - expenditure on transfers and grant programme</v>
      </c>
      <c r="F84" s="664" t="str">
        <f>"Adjustments Budget - expenditure on transfers and grant programme"</f>
        <v>Adjustments Budget - expenditure on transfers and grant programme</v>
      </c>
    </row>
    <row r="85" spans="1:6" x14ac:dyDescent="0.2">
      <c r="A85" s="657" t="s">
        <v>437</v>
      </c>
      <c r="B85" s="648" t="str">
        <f t="shared" si="0"/>
        <v>Supporting Table SB9 Adjustments Budget - reconciliation of transfers, grant receipts, and unspent funds</v>
      </c>
      <c r="C85" s="664"/>
      <c r="D85" s="663" t="str">
        <f>D101&amp;"Table SB9 "</f>
        <v xml:space="preserve">Supporting Table SB9 </v>
      </c>
      <c r="E85" s="649" t="str">
        <f t="shared" si="1"/>
        <v>Consolidated Adjustments Budget - reconciliation of transfers, grant receipts, and unspent funds</v>
      </c>
      <c r="F85" s="664" t="str">
        <f>"Adjustments Budget - reconciliation of transfers, grant receipts, and unspent funds"</f>
        <v>Adjustments Budget - reconciliation of transfers, grant receipts, and unspent funds</v>
      </c>
    </row>
    <row r="86" spans="1:6" x14ac:dyDescent="0.2">
      <c r="A86" s="657" t="s">
        <v>438</v>
      </c>
      <c r="B86" s="648" t="str">
        <f t="shared" si="0"/>
        <v>Supporting Table SB10 Adjustments Budget - transfers and grants made by the municipality</v>
      </c>
      <c r="C86" s="664"/>
      <c r="D86" s="663" t="str">
        <f>D101&amp;"Table SB10 "</f>
        <v xml:space="preserve">Supporting Table SB10 </v>
      </c>
      <c r="E86" s="649" t="str">
        <f t="shared" si="1"/>
        <v>Consolidated Adjustments Budget - transfers and grants made by the municipality</v>
      </c>
      <c r="F86" s="664" t="str">
        <f>"Adjustments Budget - transfers and grants made by the municipality"</f>
        <v>Adjustments Budget - transfers and grants made by the municipality</v>
      </c>
    </row>
    <row r="87" spans="1:6" x14ac:dyDescent="0.2">
      <c r="A87" s="657" t="s">
        <v>439</v>
      </c>
      <c r="B87" s="648" t="str">
        <f t="shared" si="0"/>
        <v>Supporting Table SB11 Adjustments Budget - councillor and staff benefits</v>
      </c>
      <c r="C87" s="664"/>
      <c r="D87" s="663" t="str">
        <f>D101&amp;"Table SB11 "</f>
        <v xml:space="preserve">Supporting Table SB11 </v>
      </c>
      <c r="E87" s="649" t="str">
        <f t="shared" si="1"/>
        <v>Consolidated Adjustments Budget - councillor and staff benefits</v>
      </c>
      <c r="F87" s="664" t="str">
        <f>"Adjustments Budget - councillor and staff benefits"</f>
        <v>Adjustments Budget - councillor and staff benefits</v>
      </c>
    </row>
    <row r="88" spans="1:6" x14ac:dyDescent="0.2">
      <c r="A88" s="657" t="s">
        <v>440</v>
      </c>
      <c r="B88" s="648" t="str">
        <f t="shared" si="0"/>
        <v>Supporting Table SB12 Adjustments Budget - monthly revenue and expenditure (municipal vote)</v>
      </c>
      <c r="C88" s="648"/>
      <c r="D88" s="663" t="str">
        <f>D101&amp;"Table SB12 "</f>
        <v xml:space="preserve">Supporting Table SB12 </v>
      </c>
      <c r="E88" s="649" t="str">
        <f t="shared" si="1"/>
        <v>Consolidated Adjustments Budget - monthly revenue and expenditure (municipal vote)</v>
      </c>
      <c r="F88" s="665" t="str">
        <f>"Adjustments Budget - monthly revenue and expenditure (municipal vote)"</f>
        <v>Adjustments Budget - monthly revenue and expenditure (municipal vote)</v>
      </c>
    </row>
    <row r="89" spans="1:6" x14ac:dyDescent="0.2">
      <c r="A89" s="657" t="s">
        <v>441</v>
      </c>
      <c r="B89" s="648" t="str">
        <f t="shared" si="0"/>
        <v>Supporting Table SB13 Adjustments Budget - monthly revenue and expenditure (functional classification)</v>
      </c>
      <c r="C89" s="648"/>
      <c r="D89" s="663" t="str">
        <f>D101&amp;"Table SB13 "</f>
        <v xml:space="preserve">Supporting Table SB13 </v>
      </c>
      <c r="E89" s="649" t="str">
        <f t="shared" si="1"/>
        <v>Consolidated Adjustments Budget - monthly revenue and expenditure (functional classification)</v>
      </c>
      <c r="F89" s="649" t="str">
        <f>"Adjustments Budget - monthly revenue and expenditure (functional classification)"</f>
        <v>Adjustments Budget - monthly revenue and expenditure (functional classification)</v>
      </c>
    </row>
    <row r="90" spans="1:6" x14ac:dyDescent="0.2">
      <c r="A90" s="657" t="s">
        <v>442</v>
      </c>
      <c r="B90" s="648" t="str">
        <f t="shared" si="0"/>
        <v>Supporting Table SB14 Adjustments Budget - monthly revenue and expenditure</v>
      </c>
      <c r="C90" s="648"/>
      <c r="D90" s="663" t="str">
        <f>D101&amp;"Table SB14 "</f>
        <v xml:space="preserve">Supporting Table SB14 </v>
      </c>
      <c r="E90" s="649" t="str">
        <f t="shared" si="1"/>
        <v>Consolidated Adjustments Budget - monthly revenue and expenditure</v>
      </c>
      <c r="F90" s="649" t="str">
        <f>"Adjustments Budget - monthly revenue and expenditure"</f>
        <v>Adjustments Budget - monthly revenue and expenditure</v>
      </c>
    </row>
    <row r="91" spans="1:6" x14ac:dyDescent="0.2">
      <c r="A91" s="657" t="s">
        <v>443</v>
      </c>
      <c r="B91" s="648" t="str">
        <f t="shared" si="0"/>
        <v>Supporting Table SB15 Adjustments Budget - monthly cash flow</v>
      </c>
      <c r="C91" s="648"/>
      <c r="D91" s="663" t="str">
        <f>D101&amp;"Table SB15 "</f>
        <v xml:space="preserve">Supporting Table SB15 </v>
      </c>
      <c r="E91" s="649" t="str">
        <f t="shared" si="1"/>
        <v>Consolidated Adjustments Budget - monthly cash flow</v>
      </c>
      <c r="F91" s="649" t="str">
        <f>"Adjustments Budget - monthly cash flow"</f>
        <v>Adjustments Budget - monthly cash flow</v>
      </c>
    </row>
    <row r="92" spans="1:6" x14ac:dyDescent="0.2">
      <c r="A92" s="657" t="s">
        <v>444</v>
      </c>
      <c r="B92" s="648" t="str">
        <f t="shared" si="0"/>
        <v>Supporting Table SB16 Adjustments Budget - monthly capital expenditure (municipal vote)</v>
      </c>
      <c r="C92" s="648"/>
      <c r="D92" s="663" t="str">
        <f>D101&amp;"Table SB16 "</f>
        <v xml:space="preserve">Supporting Table SB16 </v>
      </c>
      <c r="E92" s="649" t="str">
        <f t="shared" si="1"/>
        <v>Consolidated Adjustments Budget - monthly capital expenditure (municipal vote)</v>
      </c>
      <c r="F92" s="649" t="str">
        <f>"Adjustments Budget - monthly capital expenditure (municipal vote)"</f>
        <v>Adjustments Budget - monthly capital expenditure (municipal vote)</v>
      </c>
    </row>
    <row r="93" spans="1:6" x14ac:dyDescent="0.2">
      <c r="A93" s="657" t="s">
        <v>445</v>
      </c>
      <c r="B93" s="648" t="str">
        <f t="shared" si="0"/>
        <v>Supporting Table SB17 Adjustments Budget - monthly capital expenditure (functional classification)</v>
      </c>
      <c r="C93" s="648"/>
      <c r="D93" s="663" t="str">
        <f>D101&amp;"Table SB17 "</f>
        <v xml:space="preserve">Supporting Table SB17 </v>
      </c>
      <c r="E93" s="649" t="str">
        <f t="shared" si="1"/>
        <v>Consolidated Adjustments Budget - monthly capital expenditure (functional classification)</v>
      </c>
      <c r="F93" s="649" t="str">
        <f>"Adjustments Budget - monthly capital expenditure (functional classification)"</f>
        <v>Adjustments Budget - monthly capital expenditure (functional classification)</v>
      </c>
    </row>
    <row r="94" spans="1:6" x14ac:dyDescent="0.2">
      <c r="A94" s="657" t="s">
        <v>1172</v>
      </c>
      <c r="B94" s="648" t="str">
        <f t="shared" si="0"/>
        <v>Supporting Table SB18a Adjustments Budget - capital expenditure on new assets by asset class</v>
      </c>
      <c r="C94" s="648"/>
      <c r="D94" s="663" t="str">
        <f>D101&amp;"Table SB18a "</f>
        <v xml:space="preserve">Supporting Table SB18a </v>
      </c>
      <c r="E94" s="649" t="str">
        <f t="shared" si="1"/>
        <v>Consolidated Adjustments Budget - capital expenditure on new assets by asset class</v>
      </c>
      <c r="F94" s="649" t="str">
        <f>"Adjustments Budget - capital expenditure on new assets by asset class"</f>
        <v>Adjustments Budget - capital expenditure on new assets by asset class</v>
      </c>
    </row>
    <row r="95" spans="1:6" x14ac:dyDescent="0.2">
      <c r="A95" s="657" t="s">
        <v>1173</v>
      </c>
      <c r="B95" s="648" t="str">
        <f t="shared" si="0"/>
        <v>Supporting Table SB18b Adjustments Budget - capital expenditure on renewal of existing assets by asset class</v>
      </c>
      <c r="C95" s="648"/>
      <c r="D95" s="663" t="str">
        <f>D101&amp;"Table SB18b "</f>
        <v xml:space="preserve">Supporting Table SB18b </v>
      </c>
      <c r="E95" s="649" t="str">
        <f>"Consolidated "&amp;F95</f>
        <v>Consolidated Adjustments Budget - capital expenditure on renewal of existing assets by asset class</v>
      </c>
      <c r="F95" s="649" t="str">
        <f>"Adjustments Budget - capital expenditure on renewal of existing assets by asset class"</f>
        <v>Adjustments Budget - capital expenditure on renewal of existing assets by asset class</v>
      </c>
    </row>
    <row r="96" spans="1:6" x14ac:dyDescent="0.2">
      <c r="A96" s="657" t="s">
        <v>1174</v>
      </c>
      <c r="B96" s="648" t="str">
        <f t="shared" si="0"/>
        <v>Supporting Table SB18c Adjustments Budget - expenditure on repairs and maintenance by asset class</v>
      </c>
      <c r="C96" s="648"/>
      <c r="D96" s="663" t="str">
        <f>D101&amp;"Table SB18c "</f>
        <v xml:space="preserve">Supporting Table SB18c </v>
      </c>
      <c r="E96" s="649" t="str">
        <f>"Consolidated "&amp;F96</f>
        <v>Consolidated Adjustments Budget - expenditure on repairs and maintenance by asset class</v>
      </c>
      <c r="F96" s="649" t="str">
        <f>"Adjustments Budget - expenditure on repairs and maintenance by asset class"</f>
        <v>Adjustments Budget - expenditure on repairs and maintenance by asset class</v>
      </c>
    </row>
    <row r="97" spans="1:6" x14ac:dyDescent="0.2">
      <c r="A97" s="657" t="s">
        <v>1330</v>
      </c>
      <c r="B97" s="648" t="str">
        <f t="shared" si="0"/>
        <v>Supporting Table SB18d Adjustments Budget - depreciation by asset class</v>
      </c>
      <c r="C97" s="648"/>
      <c r="D97" s="663" t="str">
        <f>D101&amp;"Table SB18d "</f>
        <v xml:space="preserve">Supporting Table SB18d </v>
      </c>
      <c r="E97" s="649" t="str">
        <f>"Consolidated "&amp;F97</f>
        <v>Consolidated Adjustments Budget - depreciation by asset class</v>
      </c>
      <c r="F97" s="649" t="str">
        <f>"Adjustments Budget - depreciation by asset class"</f>
        <v>Adjustments Budget - depreciation by asset class</v>
      </c>
    </row>
    <row r="98" spans="1:6" x14ac:dyDescent="0.2">
      <c r="A98" s="657" t="s">
        <v>1684</v>
      </c>
      <c r="B98" s="648" t="str">
        <f t="shared" si="0"/>
        <v>Supporting Table SB18d Adjustments Budget - capital expenditure on upgrading of existing assets by asset class</v>
      </c>
      <c r="C98" s="648"/>
      <c r="D98" s="663" t="str">
        <f>D101&amp;"Table SB18d "</f>
        <v xml:space="preserve">Supporting Table SB18d </v>
      </c>
      <c r="E98" s="649" t="str">
        <f>"Consolidated "&amp;F98</f>
        <v>Consolidated Adjustments Budget - capital expenditure on upgrading of existing assets by asset class</v>
      </c>
      <c r="F98" s="649" t="str">
        <f>"Adjustments Budget - capital expenditure on upgrading of existing assets by asset class"</f>
        <v>Adjustments Budget - capital expenditure on upgrading of existing assets by asset class</v>
      </c>
    </row>
    <row r="99" spans="1:6" x14ac:dyDescent="0.2">
      <c r="A99" s="657" t="s">
        <v>446</v>
      </c>
      <c r="B99" s="648" t="str">
        <f t="shared" si="0"/>
        <v>Supporting Table SB19 List of capital programmes and projects affected by Adjustments Budget</v>
      </c>
      <c r="C99" s="648"/>
      <c r="D99" s="663" t="str">
        <f>D101&amp;"Table SB19 "</f>
        <v xml:space="preserve">Supporting Table SB19 </v>
      </c>
      <c r="E99" s="649" t="str">
        <f t="shared" si="1"/>
        <v>Consolidated List of capital programmes and projects affected by Adjustments Budget</v>
      </c>
      <c r="F99" s="649" t="str">
        <f>"List of capital programmes and projects affected by Adjustments Budget"</f>
        <v>List of capital programmes and projects affected by Adjustments Budget</v>
      </c>
    </row>
    <row r="100" spans="1:6" x14ac:dyDescent="0.2">
      <c r="A100" s="666" t="s">
        <v>447</v>
      </c>
      <c r="B100" s="648" t="str">
        <f t="shared" si="0"/>
        <v>Supporting Table SB20 Not required</v>
      </c>
      <c r="C100" s="654"/>
      <c r="D100" s="667" t="str">
        <f>D101&amp;"Table SB20 "</f>
        <v xml:space="preserve">Supporting Table SB20 </v>
      </c>
      <c r="E100" s="649" t="str">
        <f>"Adjusted Budget Municipal Entity Performance Summary"</f>
        <v>Adjusted Budget Municipal Entity Performance Summary</v>
      </c>
      <c r="F100" s="649" t="s">
        <v>448</v>
      </c>
    </row>
    <row r="101" spans="1:6" x14ac:dyDescent="0.2">
      <c r="A101" s="649"/>
      <c r="D101" s="649" t="s">
        <v>449</v>
      </c>
    </row>
    <row r="102" spans="1:6" x14ac:dyDescent="0.2">
      <c r="A102" s="649"/>
    </row>
    <row r="103" spans="1:6" x14ac:dyDescent="0.2">
      <c r="A103" s="649"/>
    </row>
    <row r="104" spans="1:6" x14ac:dyDescent="0.2">
      <c r="D104" s="668"/>
    </row>
  </sheetData>
  <sheetProtection formatCells="0" selectLockedCells="1"/>
  <mergeCells count="3">
    <mergeCell ref="A1:D1"/>
    <mergeCell ref="A62:D62"/>
    <mergeCell ref="A66:B66"/>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
    <tabColor indexed="42"/>
  </sheetPr>
  <dimension ref="A1:AD217"/>
  <sheetViews>
    <sheetView showGridLines="0" workbookViewId="0">
      <pane xSplit="2" ySplit="5" topLeftCell="C71" activePane="bottomRight" state="frozen"/>
      <selection activeCell="C6" sqref="C6"/>
      <selection pane="topRight" activeCell="C6" sqref="C6"/>
      <selection pane="bottomLeft" activeCell="C6" sqref="C6"/>
      <selection pane="bottomRight" activeCell="J9" sqref="J9:J169"/>
    </sheetView>
  </sheetViews>
  <sheetFormatPr defaultColWidth="9.140625" defaultRowHeight="12.75" x14ac:dyDescent="0.25"/>
  <cols>
    <col min="1" max="1" width="34.140625" style="5" bestFit="1" customWidth="1"/>
    <col min="2" max="2" width="3.140625" style="58" customWidth="1"/>
    <col min="3" max="13" width="9.140625" style="5"/>
    <col min="14" max="14" width="13.42578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28" width="9.140625" style="5" customWidth="1"/>
    <col min="29" max="30" width="9.140625" style="1336"/>
    <col min="31" max="16384" width="9.140625" style="5"/>
  </cols>
  <sheetData>
    <row r="1" spans="1:30" ht="13.5" x14ac:dyDescent="0.25">
      <c r="A1" s="57" t="str">
        <f>muni&amp;" - "&amp;ADJB18c&amp;" - "&amp;Date</f>
        <v xml:space="preserve">KZN226 Mkhambathini - Supporting Table SB18c Adjustments Budget - expenditure on repairs and maintenance by asset class - </v>
      </c>
      <c r="B1" s="5"/>
      <c r="C1" s="58"/>
    </row>
    <row r="2" spans="1:30" ht="25.5" x14ac:dyDescent="0.25">
      <c r="A2" s="1420" t="str">
        <f>desc</f>
        <v>Description</v>
      </c>
      <c r="B2" s="1420" t="str">
        <f>head27</f>
        <v>Ref</v>
      </c>
      <c r="C2" s="1417" t="str">
        <f>Head2</f>
        <v>Budget Year 2020/21</v>
      </c>
      <c r="D2" s="1418"/>
      <c r="E2" s="1418"/>
      <c r="F2" s="1418"/>
      <c r="G2" s="1418"/>
      <c r="H2" s="1418"/>
      <c r="I2" s="1418"/>
      <c r="J2" s="1418"/>
      <c r="K2" s="1419"/>
      <c r="L2" s="167" t="str">
        <f>Head10</f>
        <v>Budget Year +1 2021/22</v>
      </c>
      <c r="M2" s="168" t="str">
        <f>Head11</f>
        <v>Budget Year +2 2022/23</v>
      </c>
    </row>
    <row r="3" spans="1:30" ht="25.5" x14ac:dyDescent="0.25">
      <c r="A3" s="1421"/>
      <c r="B3" s="14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30" x14ac:dyDescent="0.25">
      <c r="A4" s="1421"/>
      <c r="B4" s="1421"/>
      <c r="C4" s="65"/>
      <c r="D4" s="15">
        <v>7</v>
      </c>
      <c r="E4" s="15">
        <v>8</v>
      </c>
      <c r="F4" s="15">
        <v>9</v>
      </c>
      <c r="G4" s="15">
        <v>10</v>
      </c>
      <c r="H4" s="15">
        <v>11</v>
      </c>
      <c r="I4" s="15">
        <v>12</v>
      </c>
      <c r="J4" s="15">
        <v>13</v>
      </c>
      <c r="K4" s="15">
        <v>14</v>
      </c>
      <c r="L4" s="15"/>
      <c r="M4" s="17"/>
    </row>
    <row r="5" spans="1:30" x14ac:dyDescent="0.25">
      <c r="A5" s="66" t="s">
        <v>605</v>
      </c>
      <c r="B5" s="104"/>
      <c r="C5" s="67" t="s">
        <v>549</v>
      </c>
      <c r="D5" s="68" t="s">
        <v>550</v>
      </c>
      <c r="E5" s="68" t="s">
        <v>551</v>
      </c>
      <c r="F5" s="69" t="s">
        <v>552</v>
      </c>
      <c r="G5" s="69" t="s">
        <v>553</v>
      </c>
      <c r="H5" s="69" t="s">
        <v>554</v>
      </c>
      <c r="I5" s="70" t="s">
        <v>555</v>
      </c>
      <c r="J5" s="70" t="s">
        <v>556</v>
      </c>
      <c r="K5" s="70" t="s">
        <v>557</v>
      </c>
      <c r="L5" s="70"/>
      <c r="M5" s="71"/>
    </row>
    <row r="6" spans="1:30" ht="12.75" customHeight="1" x14ac:dyDescent="0.25">
      <c r="A6" s="843" t="s">
        <v>1190</v>
      </c>
      <c r="B6" s="73"/>
      <c r="C6" s="74"/>
      <c r="D6" s="75"/>
      <c r="E6" s="75"/>
      <c r="F6" s="75"/>
      <c r="G6" s="75"/>
      <c r="H6" s="75"/>
      <c r="I6" s="75"/>
      <c r="J6" s="75"/>
      <c r="K6" s="75"/>
      <c r="L6" s="75"/>
      <c r="M6" s="76"/>
      <c r="N6" s="126"/>
    </row>
    <row r="7" spans="1:30" ht="5.0999999999999996" customHeight="1" x14ac:dyDescent="0.25">
      <c r="A7" s="124"/>
      <c r="B7" s="73"/>
      <c r="C7" s="74"/>
      <c r="D7" s="75"/>
      <c r="E7" s="75"/>
      <c r="F7" s="75"/>
      <c r="G7" s="75"/>
      <c r="H7" s="75"/>
      <c r="I7" s="75"/>
      <c r="J7" s="75"/>
      <c r="K7" s="75"/>
      <c r="L7" s="75"/>
      <c r="M7" s="76"/>
      <c r="N7" s="126"/>
    </row>
    <row r="8" spans="1:30" ht="12.75" customHeight="1" x14ac:dyDescent="0.25">
      <c r="A8" s="124" t="s">
        <v>766</v>
      </c>
      <c r="B8" s="73"/>
      <c r="C8" s="693">
        <f>C9+C14+C18+C28+C70+C39+C46+C54+C64</f>
        <v>11000000</v>
      </c>
      <c r="D8" s="693">
        <f t="shared" ref="D8:I8" si="0">D9+D14+D18+D28+D70+D39+D46+D54+D64</f>
        <v>11000000</v>
      </c>
      <c r="E8" s="693">
        <f t="shared" si="0"/>
        <v>0</v>
      </c>
      <c r="F8" s="693">
        <f t="shared" si="0"/>
        <v>0</v>
      </c>
      <c r="G8" s="693">
        <f t="shared" si="0"/>
        <v>0</v>
      </c>
      <c r="H8" s="693">
        <f t="shared" si="0"/>
        <v>0</v>
      </c>
      <c r="I8" s="693">
        <f t="shared" si="0"/>
        <v>4551245</v>
      </c>
      <c r="J8" s="694">
        <f t="shared" ref="J8" si="1">SUM(D8:I8)</f>
        <v>15551245</v>
      </c>
      <c r="K8" s="694">
        <f>IF(D8=0,C8+J8,D8+J8)</f>
        <v>26551245</v>
      </c>
      <c r="L8" s="693">
        <f>L9+L14+L18+L28+L70+L39+L46+L54+L64</f>
        <v>7140000</v>
      </c>
      <c r="M8" s="695">
        <f>M9+M14+M18+M28+M70+M39+M46+M54+M64</f>
        <v>7404000</v>
      </c>
      <c r="N8" s="837"/>
    </row>
    <row r="9" spans="1:30" ht="12.75" customHeight="1" x14ac:dyDescent="0.25">
      <c r="A9" s="584" t="s">
        <v>1568</v>
      </c>
      <c r="B9" s="73"/>
      <c r="C9" s="263">
        <f>SUM(C10:C13)</f>
        <v>11000000</v>
      </c>
      <c r="D9" s="263">
        <f t="shared" ref="D9:M9" si="2">SUM(D10:D13)</f>
        <v>11000000</v>
      </c>
      <c r="E9" s="263">
        <f t="shared" si="2"/>
        <v>0</v>
      </c>
      <c r="F9" s="263">
        <f t="shared" si="2"/>
        <v>0</v>
      </c>
      <c r="G9" s="263">
        <f t="shared" si="2"/>
        <v>0</v>
      </c>
      <c r="H9" s="263">
        <f t="shared" si="2"/>
        <v>0</v>
      </c>
      <c r="I9" s="263">
        <f t="shared" si="2"/>
        <v>4551245</v>
      </c>
      <c r="J9" s="75">
        <f t="shared" ref="J9:J40" si="3">SUM(E9:I9)</f>
        <v>4551245</v>
      </c>
      <c r="K9" s="75">
        <f t="shared" ref="K9:K72" si="4">IF(D9=0,C9+J9,D9+J9)</f>
        <v>15551245</v>
      </c>
      <c r="L9" s="263">
        <f t="shared" si="2"/>
        <v>7140000</v>
      </c>
      <c r="M9" s="264">
        <f t="shared" si="2"/>
        <v>7404000</v>
      </c>
      <c r="N9" s="126"/>
    </row>
    <row r="10" spans="1:30" ht="12.75" customHeight="1" x14ac:dyDescent="0.25">
      <c r="A10" s="585" t="s">
        <v>1002</v>
      </c>
      <c r="B10" s="73"/>
      <c r="C10" s="1356">
        <f>SUMIFS(Sheet1!S71_OriginalBudget,Sheet1!S71_SA34cCode,$AC:$AC,Sheet1!S71_RepMaintCode,$AD:$AD)</f>
        <v>9000000</v>
      </c>
      <c r="D10" s="1356">
        <f>SUMIFS(Sheet1!S71_SpecialAdjustedBudget,Sheet1!S71_SA34cCode,$AC:$AC,Sheet1!S71_RepMaintCode,$AD:$AD)</f>
        <v>9000000</v>
      </c>
      <c r="E10" s="1356"/>
      <c r="F10" s="1356"/>
      <c r="G10" s="1356"/>
      <c r="H10" s="1356"/>
      <c r="I10" s="1356">
        <f>SUMIFS(Sheet1!S71_AdjustmentAmount,Sheet1!S71_SA34cCode,$AC:$AC,Sheet1!S71_RepMaintCode,$AD:$AD)</f>
        <v>3268512</v>
      </c>
      <c r="J10" s="75">
        <f t="shared" si="3"/>
        <v>3268512</v>
      </c>
      <c r="K10" s="75">
        <f t="shared" si="4"/>
        <v>12268512</v>
      </c>
      <c r="L10" s="1356">
        <f>SUMIFS(Sheet1!S71_OY1AdjustedBudget,Sheet1!S71_SA34cCode,$AC:$AC,Sheet1!S71_RepMaintCode,$AD:$AD)</f>
        <v>4500000</v>
      </c>
      <c r="M10" s="1357">
        <f>SUMIFS(Sheet1!S71_OY2AdjustedBudget,Sheet1!S71_SA34cCode,$AC:$AC,Sheet1!S71_RepMaintCode,$AD:$AD)</f>
        <v>4500000</v>
      </c>
      <c r="N10" s="837"/>
      <c r="AC10" s="1336" t="s">
        <v>1859</v>
      </c>
      <c r="AD10" s="1336" t="s">
        <v>1906</v>
      </c>
    </row>
    <row r="11" spans="1:30" ht="12.75" customHeight="1" x14ac:dyDescent="0.25">
      <c r="A11" s="585" t="s">
        <v>1569</v>
      </c>
      <c r="B11" s="73"/>
      <c r="C11" s="1356">
        <f>SUMIFS(Sheet1!S71_OriginalBudget,Sheet1!S71_SA34cCode,$AC:$AC,Sheet1!S71_RepMaintCode,$AD:$AD)</f>
        <v>2000000</v>
      </c>
      <c r="D11" s="1356">
        <f>SUMIFS(Sheet1!S71_SpecialAdjustedBudget,Sheet1!S71_SA34cCode,$AC:$AC,Sheet1!S71_RepMaintCode,$AD:$AD)</f>
        <v>2000000</v>
      </c>
      <c r="E11" s="1356"/>
      <c r="F11" s="1356"/>
      <c r="G11" s="1356"/>
      <c r="H11" s="1356"/>
      <c r="I11" s="1356">
        <f>SUMIFS(Sheet1!S71_AdjustmentAmount,Sheet1!S71_SA34cCode,$AC:$AC,Sheet1!S71_RepMaintCode,$AD:$AD)</f>
        <v>1282733</v>
      </c>
      <c r="J11" s="75">
        <f t="shared" si="3"/>
        <v>1282733</v>
      </c>
      <c r="K11" s="75">
        <f t="shared" si="4"/>
        <v>3282733</v>
      </c>
      <c r="L11" s="1356">
        <f>SUMIFS(Sheet1!S71_OY1AdjustedBudget,Sheet1!S71_SA34cCode,$AC:$AC,Sheet1!S71_RepMaintCode,$AD:$AD)</f>
        <v>2640000</v>
      </c>
      <c r="M11" s="1357">
        <f>SUMIFS(Sheet1!S71_OY2AdjustedBudget,Sheet1!S71_SA34cCode,$AC:$AC,Sheet1!S71_RepMaintCode,$AD:$AD)</f>
        <v>2904000</v>
      </c>
      <c r="N11" s="842"/>
      <c r="AC11" s="1336" t="s">
        <v>1860</v>
      </c>
      <c r="AD11" s="1336" t="s">
        <v>1906</v>
      </c>
    </row>
    <row r="12" spans="1:30" ht="12.75" customHeight="1" x14ac:dyDescent="0.25">
      <c r="A12" s="585" t="s">
        <v>1570</v>
      </c>
      <c r="B12" s="73"/>
      <c r="C12" s="1356">
        <f>SUMIFS(Sheet1!S71_OriginalBudget,Sheet1!S71_SA34cCode,$AC:$AC,Sheet1!S71_RepMaintCode,$AD:$AD)</f>
        <v>0</v>
      </c>
      <c r="D12" s="1356">
        <f>SUMIFS(Sheet1!S71_SpecialAdjustedBudget,Sheet1!S71_SA34cCode,$AC:$AC,Sheet1!S71_RepMaintCode,$AD:$AD)</f>
        <v>0</v>
      </c>
      <c r="E12" s="1356"/>
      <c r="F12" s="1356"/>
      <c r="G12" s="1356"/>
      <c r="H12" s="1356"/>
      <c r="I12" s="1356">
        <f>SUMIFS(Sheet1!S71_AdjustmentAmount,Sheet1!S71_SA34cCode,$AC:$AC,Sheet1!S71_RepMaintCode,$AD:$AD)</f>
        <v>0</v>
      </c>
      <c r="J12" s="75">
        <f t="shared" si="3"/>
        <v>0</v>
      </c>
      <c r="K12" s="75">
        <f t="shared" si="4"/>
        <v>0</v>
      </c>
      <c r="L12" s="1356">
        <f>SUMIFS(Sheet1!S71_OY1AdjustedBudget,Sheet1!S71_SA34cCode,$AC:$AC,Sheet1!S71_RepMaintCode,$AD:$AD)</f>
        <v>0</v>
      </c>
      <c r="M12" s="1357">
        <f>SUMIFS(Sheet1!S71_OY2AdjustedBudget,Sheet1!S71_SA34cCode,$AC:$AC,Sheet1!S71_RepMaintCode,$AD:$AD)</f>
        <v>0</v>
      </c>
      <c r="N12" s="837"/>
      <c r="AC12" s="1336" t="s">
        <v>1861</v>
      </c>
      <c r="AD12" s="1336" t="s">
        <v>1906</v>
      </c>
    </row>
    <row r="13" spans="1:30" ht="12.75" customHeight="1" x14ac:dyDescent="0.25">
      <c r="A13" s="585" t="s">
        <v>1571</v>
      </c>
      <c r="B13" s="73"/>
      <c r="C13" s="1356">
        <f>SUMIFS(Sheet1!S71_OriginalBudget,Sheet1!S71_SA34cCode,$AC:$AC,Sheet1!S71_RepMaintCode,$AD:$AD)</f>
        <v>0</v>
      </c>
      <c r="D13" s="1356">
        <f>SUMIFS(Sheet1!S71_SpecialAdjustedBudget,Sheet1!S71_SA34cCode,$AC:$AC,Sheet1!S71_RepMaintCode,$AD:$AD)</f>
        <v>0</v>
      </c>
      <c r="E13" s="1356"/>
      <c r="F13" s="1356"/>
      <c r="G13" s="1356"/>
      <c r="H13" s="1356"/>
      <c r="I13" s="1356">
        <f>SUMIFS(Sheet1!S71_AdjustmentAmount,Sheet1!S71_SA34cCode,$AC:$AC,Sheet1!S71_RepMaintCode,$AD:$AD)</f>
        <v>0</v>
      </c>
      <c r="J13" s="75">
        <f t="shared" si="3"/>
        <v>0</v>
      </c>
      <c r="K13" s="75">
        <f t="shared" si="4"/>
        <v>0</v>
      </c>
      <c r="L13" s="1356">
        <f>SUMIFS(Sheet1!S71_OY1AdjustedBudget,Sheet1!S71_SA34cCode,$AC:$AC,Sheet1!S71_RepMaintCode,$AD:$AD)</f>
        <v>0</v>
      </c>
      <c r="M13" s="1357">
        <f>SUMIFS(Sheet1!S71_OY2AdjustedBudget,Sheet1!S71_SA34cCode,$AC:$AC,Sheet1!S71_RepMaintCode,$AD:$AD)</f>
        <v>0</v>
      </c>
      <c r="N13" s="842"/>
      <c r="AC13" s="1336" t="s">
        <v>1862</v>
      </c>
      <c r="AD13" s="1336" t="s">
        <v>1906</v>
      </c>
    </row>
    <row r="14" spans="1:30" ht="12.75" customHeight="1" x14ac:dyDescent="0.25">
      <c r="A14" s="584" t="s">
        <v>1572</v>
      </c>
      <c r="B14" s="73"/>
      <c r="C14" s="130">
        <f t="shared" ref="C14:I14" si="5">SUM(C15:C17)</f>
        <v>0</v>
      </c>
      <c r="D14" s="130">
        <f t="shared" si="5"/>
        <v>0</v>
      </c>
      <c r="E14" s="130">
        <f t="shared" si="5"/>
        <v>0</v>
      </c>
      <c r="F14" s="130">
        <f t="shared" si="5"/>
        <v>0</v>
      </c>
      <c r="G14" s="130">
        <f t="shared" si="5"/>
        <v>0</v>
      </c>
      <c r="H14" s="130">
        <f t="shared" si="5"/>
        <v>0</v>
      </c>
      <c r="I14" s="130">
        <f t="shared" si="5"/>
        <v>0</v>
      </c>
      <c r="J14" s="75">
        <f t="shared" si="3"/>
        <v>0</v>
      </c>
      <c r="K14" s="75">
        <f t="shared" si="4"/>
        <v>0</v>
      </c>
      <c r="L14" s="130">
        <f>SUM(L15:L17)</f>
        <v>0</v>
      </c>
      <c r="M14" s="131">
        <f>SUM(M15:M17)</f>
        <v>0</v>
      </c>
      <c r="N14" s="842"/>
      <c r="AD14" s="1336" t="s">
        <v>1906</v>
      </c>
    </row>
    <row r="15" spans="1:30" ht="12.75" customHeight="1" x14ac:dyDescent="0.25">
      <c r="A15" s="585" t="s">
        <v>1573</v>
      </c>
      <c r="B15" s="73"/>
      <c r="C15" s="1356">
        <f>SUMIFS(Sheet1!S71_OriginalBudget,Sheet1!S71_SA34cCode,$AC:$AC,Sheet1!S71_RepMaintCode,$AD:$AD)</f>
        <v>0</v>
      </c>
      <c r="D15" s="1356">
        <f>SUMIFS(Sheet1!S71_SpecialAdjustedBudget,Sheet1!S71_SA34cCode,$AC:$AC,Sheet1!S71_RepMaintCode,$AD:$AD)</f>
        <v>0</v>
      </c>
      <c r="E15" s="1356"/>
      <c r="F15" s="1356"/>
      <c r="G15" s="1356"/>
      <c r="H15" s="1356"/>
      <c r="I15" s="1356">
        <f>SUMIFS(Sheet1!S71_AdjustmentAmount,Sheet1!S71_SA34cCode,$AC:$AC,Sheet1!S71_RepMaintCode,$AD:$AD)</f>
        <v>0</v>
      </c>
      <c r="J15" s="75">
        <f t="shared" si="3"/>
        <v>0</v>
      </c>
      <c r="K15" s="75">
        <f t="shared" si="4"/>
        <v>0</v>
      </c>
      <c r="L15" s="1356">
        <f>SUMIFS(Sheet1!S71_OY1AdjustedBudget,Sheet1!S71_SA34cCode,$AC:$AC,Sheet1!S71_RepMaintCode,$AD:$AD)</f>
        <v>0</v>
      </c>
      <c r="M15" s="1357">
        <f>SUMIFS(Sheet1!S71_OY2AdjustedBudget,Sheet1!S71_SA34cCode,$AC:$AC,Sheet1!S71_RepMaintCode,$AD:$AD)</f>
        <v>0</v>
      </c>
      <c r="N15" s="842"/>
      <c r="AC15" s="1336" t="s">
        <v>1864</v>
      </c>
      <c r="AD15" s="1336" t="s">
        <v>1906</v>
      </c>
    </row>
    <row r="16" spans="1:30" ht="12.75" customHeight="1" x14ac:dyDescent="0.25">
      <c r="A16" s="585" t="s">
        <v>1574</v>
      </c>
      <c r="B16" s="73"/>
      <c r="C16" s="1356">
        <f>SUMIFS(Sheet1!S71_OriginalBudget,Sheet1!S71_SA34cCode,$AC:$AC,Sheet1!S71_RepMaintCode,$AD:$AD)</f>
        <v>0</v>
      </c>
      <c r="D16" s="1356">
        <f>SUMIFS(Sheet1!S71_SpecialAdjustedBudget,Sheet1!S71_SA34cCode,$AC:$AC,Sheet1!S71_RepMaintCode,$AD:$AD)</f>
        <v>0</v>
      </c>
      <c r="E16" s="1356"/>
      <c r="F16" s="1356"/>
      <c r="G16" s="1356"/>
      <c r="H16" s="1356"/>
      <c r="I16" s="1356">
        <f>SUMIFS(Sheet1!S71_AdjustmentAmount,Sheet1!S71_SA34cCode,$AC:$AC,Sheet1!S71_RepMaintCode,$AD:$AD)</f>
        <v>0</v>
      </c>
      <c r="J16" s="75">
        <f t="shared" si="3"/>
        <v>0</v>
      </c>
      <c r="K16" s="75">
        <f t="shared" si="4"/>
        <v>0</v>
      </c>
      <c r="L16" s="1356">
        <f>SUMIFS(Sheet1!S71_OY1AdjustedBudget,Sheet1!S71_SA34cCode,$AC:$AC,Sheet1!S71_RepMaintCode,$AD:$AD)</f>
        <v>0</v>
      </c>
      <c r="M16" s="1357">
        <f>SUMIFS(Sheet1!S71_OY2AdjustedBudget,Sheet1!S71_SA34cCode,$AC:$AC,Sheet1!S71_RepMaintCode,$AD:$AD)</f>
        <v>0</v>
      </c>
      <c r="N16" s="842"/>
      <c r="AC16" s="1336" t="s">
        <v>1908</v>
      </c>
      <c r="AD16" s="1336" t="s">
        <v>1906</v>
      </c>
    </row>
    <row r="17" spans="1:30" ht="12.75" customHeight="1" x14ac:dyDescent="0.25">
      <c r="A17" s="585" t="s">
        <v>1575</v>
      </c>
      <c r="B17" s="73"/>
      <c r="C17" s="1356">
        <f>SUMIFS(Sheet1!S71_OriginalBudget,Sheet1!S71_SA34cCode,$AC:$AC,Sheet1!S71_RepMaintCode,$AD:$AD)</f>
        <v>0</v>
      </c>
      <c r="D17" s="1356">
        <f>SUMIFS(Sheet1!S71_SpecialAdjustedBudget,Sheet1!S71_SA34cCode,$AC:$AC,Sheet1!S71_RepMaintCode,$AD:$AD)</f>
        <v>0</v>
      </c>
      <c r="E17" s="1356"/>
      <c r="F17" s="1356"/>
      <c r="G17" s="1356"/>
      <c r="H17" s="1356"/>
      <c r="I17" s="1356">
        <f>SUMIFS(Sheet1!S71_AdjustmentAmount,Sheet1!S71_SA34cCode,$AC:$AC,Sheet1!S71_RepMaintCode,$AD:$AD)</f>
        <v>0</v>
      </c>
      <c r="J17" s="75">
        <f t="shared" si="3"/>
        <v>0</v>
      </c>
      <c r="K17" s="75">
        <f t="shared" si="4"/>
        <v>0</v>
      </c>
      <c r="L17" s="1356">
        <f>SUMIFS(Sheet1!S71_OY1AdjustedBudget,Sheet1!S71_SA34cCode,$AC:$AC,Sheet1!S71_RepMaintCode,$AD:$AD)</f>
        <v>0</v>
      </c>
      <c r="M17" s="1357">
        <f>SUMIFS(Sheet1!S71_OY2AdjustedBudget,Sheet1!S71_SA34cCode,$AC:$AC,Sheet1!S71_RepMaintCode,$AD:$AD)</f>
        <v>0</v>
      </c>
      <c r="N17" s="842"/>
      <c r="AC17" s="1336" t="s">
        <v>1909</v>
      </c>
      <c r="AD17" s="1336" t="s">
        <v>1906</v>
      </c>
    </row>
    <row r="18" spans="1:30" ht="12.75" customHeight="1" x14ac:dyDescent="0.25">
      <c r="A18" s="584" t="s">
        <v>1576</v>
      </c>
      <c r="B18" s="73"/>
      <c r="C18" s="130">
        <f t="shared" ref="C18:M18" si="6">SUM(C19:C27)</f>
        <v>0</v>
      </c>
      <c r="D18" s="130">
        <f t="shared" si="6"/>
        <v>0</v>
      </c>
      <c r="E18" s="130">
        <f t="shared" si="6"/>
        <v>0</v>
      </c>
      <c r="F18" s="130">
        <f t="shared" si="6"/>
        <v>0</v>
      </c>
      <c r="G18" s="130">
        <f t="shared" si="6"/>
        <v>0</v>
      </c>
      <c r="H18" s="130">
        <f t="shared" si="6"/>
        <v>0</v>
      </c>
      <c r="I18" s="130">
        <f t="shared" si="6"/>
        <v>0</v>
      </c>
      <c r="J18" s="75">
        <f t="shared" si="3"/>
        <v>0</v>
      </c>
      <c r="K18" s="75">
        <f t="shared" si="4"/>
        <v>0</v>
      </c>
      <c r="L18" s="130">
        <f t="shared" si="6"/>
        <v>0</v>
      </c>
      <c r="M18" s="131">
        <f t="shared" si="6"/>
        <v>0</v>
      </c>
      <c r="N18" s="842"/>
      <c r="AD18" s="1336" t="s">
        <v>1906</v>
      </c>
    </row>
    <row r="19" spans="1:30" ht="12.75" customHeight="1" x14ac:dyDescent="0.25">
      <c r="A19" s="585" t="s">
        <v>1577</v>
      </c>
      <c r="B19" s="73"/>
      <c r="C19" s="1356">
        <f>SUMIFS(Sheet1!S71_OriginalBudget,Sheet1!S71_SA34cCode,$AC:$AC,Sheet1!S71_RepMaintCode,$AD:$AD)</f>
        <v>0</v>
      </c>
      <c r="D19" s="1356">
        <f>SUMIFS(Sheet1!S71_SpecialAdjustedBudget,Sheet1!S71_SA34cCode,$AC:$AC,Sheet1!S71_RepMaintCode,$AD:$AD)</f>
        <v>0</v>
      </c>
      <c r="E19" s="1356"/>
      <c r="F19" s="1356"/>
      <c r="G19" s="1356"/>
      <c r="H19" s="1356"/>
      <c r="I19" s="1356">
        <f>SUMIFS(Sheet1!S71_AdjustmentAmount,Sheet1!S71_SA34cCode,$AC:$AC,Sheet1!S71_RepMaintCode,$AD:$AD)</f>
        <v>0</v>
      </c>
      <c r="J19" s="75">
        <f t="shared" si="3"/>
        <v>0</v>
      </c>
      <c r="K19" s="75">
        <f t="shared" si="4"/>
        <v>0</v>
      </c>
      <c r="L19" s="1356">
        <f>SUMIFS(Sheet1!S71_OY1AdjustedBudget,Sheet1!S71_SA34cCode,$AC:$AC,Sheet1!S71_RepMaintCode,$AD:$AD)</f>
        <v>0</v>
      </c>
      <c r="M19" s="1357">
        <f>SUMIFS(Sheet1!S71_OY2AdjustedBudget,Sheet1!S71_SA34cCode,$AC:$AC,Sheet1!S71_RepMaintCode,$AD:$AD)</f>
        <v>0</v>
      </c>
      <c r="N19" s="842"/>
      <c r="AC19" s="1336" t="s">
        <v>1865</v>
      </c>
      <c r="AD19" s="1336" t="s">
        <v>1906</v>
      </c>
    </row>
    <row r="20" spans="1:30" ht="12.6" customHeight="1" x14ac:dyDescent="0.25">
      <c r="A20" s="585" t="s">
        <v>1578</v>
      </c>
      <c r="B20" s="73"/>
      <c r="C20" s="1356">
        <f>SUMIFS(Sheet1!S71_OriginalBudget,Sheet1!S71_SA34cCode,$AC:$AC,Sheet1!S71_RepMaintCode,$AD:$AD)</f>
        <v>0</v>
      </c>
      <c r="D20" s="1356">
        <f>SUMIFS(Sheet1!S71_SpecialAdjustedBudget,Sheet1!S71_SA34cCode,$AC:$AC,Sheet1!S71_RepMaintCode,$AD:$AD)</f>
        <v>0</v>
      </c>
      <c r="E20" s="1356"/>
      <c r="F20" s="1356"/>
      <c r="G20" s="1356"/>
      <c r="H20" s="1356"/>
      <c r="I20" s="1356">
        <f>SUMIFS(Sheet1!S71_AdjustmentAmount,Sheet1!S71_SA34cCode,$AC:$AC,Sheet1!S71_RepMaintCode,$AD:$AD)</f>
        <v>0</v>
      </c>
      <c r="J20" s="75">
        <f t="shared" si="3"/>
        <v>0</v>
      </c>
      <c r="K20" s="75">
        <f t="shared" si="4"/>
        <v>0</v>
      </c>
      <c r="L20" s="1356">
        <f>SUMIFS(Sheet1!S71_OY1AdjustedBudget,Sheet1!S71_SA34cCode,$AC:$AC,Sheet1!S71_RepMaintCode,$AD:$AD)</f>
        <v>0</v>
      </c>
      <c r="M20" s="1357">
        <f>SUMIFS(Sheet1!S71_OY2AdjustedBudget,Sheet1!S71_SA34cCode,$AC:$AC,Sheet1!S71_RepMaintCode,$AD:$AD)</f>
        <v>0</v>
      </c>
      <c r="N20" s="842"/>
      <c r="AC20" s="1336" t="s">
        <v>1866</v>
      </c>
      <c r="AD20" s="1336" t="s">
        <v>1906</v>
      </c>
    </row>
    <row r="21" spans="1:30" ht="12.75" customHeight="1" x14ac:dyDescent="0.25">
      <c r="A21" s="585" t="s">
        <v>1579</v>
      </c>
      <c r="B21" s="73"/>
      <c r="C21" s="1356">
        <f>SUMIFS(Sheet1!S71_OriginalBudget,Sheet1!S71_SA34cCode,$AC:$AC,Sheet1!S71_RepMaintCode,$AD:$AD)</f>
        <v>0</v>
      </c>
      <c r="D21" s="1356">
        <f>SUMIFS(Sheet1!S71_SpecialAdjustedBudget,Sheet1!S71_SA34cCode,$AC:$AC,Sheet1!S71_RepMaintCode,$AD:$AD)</f>
        <v>0</v>
      </c>
      <c r="E21" s="1356"/>
      <c r="F21" s="1356"/>
      <c r="G21" s="1356"/>
      <c r="H21" s="1356"/>
      <c r="I21" s="1356">
        <f>SUMIFS(Sheet1!S71_AdjustmentAmount,Sheet1!S71_SA34cCode,$AC:$AC,Sheet1!S71_RepMaintCode,$AD:$AD)</f>
        <v>0</v>
      </c>
      <c r="J21" s="75">
        <f t="shared" si="3"/>
        <v>0</v>
      </c>
      <c r="K21" s="75">
        <f t="shared" si="4"/>
        <v>0</v>
      </c>
      <c r="L21" s="1356">
        <f>SUMIFS(Sheet1!S71_OY1AdjustedBudget,Sheet1!S71_SA34cCode,$AC:$AC,Sheet1!S71_RepMaintCode,$AD:$AD)</f>
        <v>0</v>
      </c>
      <c r="M21" s="1357">
        <f>SUMIFS(Sheet1!S71_OY2AdjustedBudget,Sheet1!S71_SA34cCode,$AC:$AC,Sheet1!S71_RepMaintCode,$AD:$AD)</f>
        <v>0</v>
      </c>
      <c r="N21" s="842"/>
      <c r="AC21" s="1336" t="s">
        <v>1867</v>
      </c>
      <c r="AD21" s="1336" t="s">
        <v>1906</v>
      </c>
    </row>
    <row r="22" spans="1:30" ht="12.75" customHeight="1" x14ac:dyDescent="0.25">
      <c r="A22" s="585" t="s">
        <v>1580</v>
      </c>
      <c r="B22" s="73"/>
      <c r="C22" s="1356">
        <f>SUMIFS(Sheet1!S71_OriginalBudget,Sheet1!S71_SA34cCode,$AC:$AC,Sheet1!S71_RepMaintCode,$AD:$AD)</f>
        <v>0</v>
      </c>
      <c r="D22" s="1356">
        <f>SUMIFS(Sheet1!S71_SpecialAdjustedBudget,Sheet1!S71_SA34cCode,$AC:$AC,Sheet1!S71_RepMaintCode,$AD:$AD)</f>
        <v>0</v>
      </c>
      <c r="E22" s="1356"/>
      <c r="F22" s="1356"/>
      <c r="G22" s="1356"/>
      <c r="H22" s="1356"/>
      <c r="I22" s="1356">
        <f>SUMIFS(Sheet1!S71_AdjustmentAmount,Sheet1!S71_SA34cCode,$AC:$AC,Sheet1!S71_RepMaintCode,$AD:$AD)</f>
        <v>0</v>
      </c>
      <c r="J22" s="75">
        <f t="shared" si="3"/>
        <v>0</v>
      </c>
      <c r="K22" s="75">
        <f t="shared" si="4"/>
        <v>0</v>
      </c>
      <c r="L22" s="1356">
        <f>SUMIFS(Sheet1!S71_OY1AdjustedBudget,Sheet1!S71_SA34cCode,$AC:$AC,Sheet1!S71_RepMaintCode,$AD:$AD)</f>
        <v>0</v>
      </c>
      <c r="M22" s="1357">
        <f>SUMIFS(Sheet1!S71_OY2AdjustedBudget,Sheet1!S71_SA34cCode,$AC:$AC,Sheet1!S71_RepMaintCode,$AD:$AD)</f>
        <v>0</v>
      </c>
      <c r="N22" s="837"/>
      <c r="AC22" s="1336" t="s">
        <v>1868</v>
      </c>
      <c r="AD22" s="1336" t="s">
        <v>1906</v>
      </c>
    </row>
    <row r="23" spans="1:30" ht="12.75" customHeight="1" x14ac:dyDescent="0.25">
      <c r="A23" s="585" t="s">
        <v>1581</v>
      </c>
      <c r="B23" s="73"/>
      <c r="C23" s="1356">
        <f>SUMIFS(Sheet1!S71_OriginalBudget,Sheet1!S71_SA34cCode,$AC:$AC,Sheet1!S71_RepMaintCode,$AD:$AD)</f>
        <v>0</v>
      </c>
      <c r="D23" s="1356">
        <f>SUMIFS(Sheet1!S71_SpecialAdjustedBudget,Sheet1!S71_SA34cCode,$AC:$AC,Sheet1!S71_RepMaintCode,$AD:$AD)</f>
        <v>0</v>
      </c>
      <c r="E23" s="1356"/>
      <c r="F23" s="1356"/>
      <c r="G23" s="1356"/>
      <c r="H23" s="1356"/>
      <c r="I23" s="1356">
        <f>SUMIFS(Sheet1!S71_AdjustmentAmount,Sheet1!S71_SA34cCode,$AC:$AC,Sheet1!S71_RepMaintCode,$AD:$AD)</f>
        <v>0</v>
      </c>
      <c r="J23" s="75">
        <f t="shared" si="3"/>
        <v>0</v>
      </c>
      <c r="K23" s="75">
        <f t="shared" si="4"/>
        <v>0</v>
      </c>
      <c r="L23" s="1356">
        <f>SUMIFS(Sheet1!S71_OY1AdjustedBudget,Sheet1!S71_SA34cCode,$AC:$AC,Sheet1!S71_RepMaintCode,$AD:$AD)</f>
        <v>0</v>
      </c>
      <c r="M23" s="1357">
        <f>SUMIFS(Sheet1!S71_OY2AdjustedBudget,Sheet1!S71_SA34cCode,$AC:$AC,Sheet1!S71_RepMaintCode,$AD:$AD)</f>
        <v>0</v>
      </c>
      <c r="N23" s="842"/>
      <c r="AC23" s="1336" t="s">
        <v>1910</v>
      </c>
      <c r="AD23" s="1336" t="s">
        <v>1906</v>
      </c>
    </row>
    <row r="24" spans="1:30" ht="12.75" customHeight="1" x14ac:dyDescent="0.25">
      <c r="A24" s="585" t="s">
        <v>1582</v>
      </c>
      <c r="B24" s="73"/>
      <c r="C24" s="1356">
        <f>SUMIFS(Sheet1!S71_OriginalBudget,Sheet1!S71_SA34cCode,$AC:$AC,Sheet1!S71_RepMaintCode,$AD:$AD)</f>
        <v>0</v>
      </c>
      <c r="D24" s="1356">
        <f>SUMIFS(Sheet1!S71_SpecialAdjustedBudget,Sheet1!S71_SA34cCode,$AC:$AC,Sheet1!S71_RepMaintCode,$AD:$AD)</f>
        <v>0</v>
      </c>
      <c r="E24" s="1356"/>
      <c r="F24" s="1356"/>
      <c r="G24" s="1356"/>
      <c r="H24" s="1356"/>
      <c r="I24" s="1356">
        <f>SUMIFS(Sheet1!S71_AdjustmentAmount,Sheet1!S71_SA34cCode,$AC:$AC,Sheet1!S71_RepMaintCode,$AD:$AD)</f>
        <v>0</v>
      </c>
      <c r="J24" s="75">
        <f t="shared" si="3"/>
        <v>0</v>
      </c>
      <c r="K24" s="75">
        <f t="shared" si="4"/>
        <v>0</v>
      </c>
      <c r="L24" s="1356">
        <f>SUMIFS(Sheet1!S71_OY1AdjustedBudget,Sheet1!S71_SA34cCode,$AC:$AC,Sheet1!S71_RepMaintCode,$AD:$AD)</f>
        <v>0</v>
      </c>
      <c r="M24" s="1357">
        <f>SUMIFS(Sheet1!S71_OY2AdjustedBudget,Sheet1!S71_SA34cCode,$AC:$AC,Sheet1!S71_RepMaintCode,$AD:$AD)</f>
        <v>0</v>
      </c>
      <c r="N24" s="837"/>
      <c r="AC24" s="1336" t="s">
        <v>1869</v>
      </c>
      <c r="AD24" s="1336" t="s">
        <v>1906</v>
      </c>
    </row>
    <row r="25" spans="1:30" ht="12.75" customHeight="1" x14ac:dyDescent="0.25">
      <c r="A25" s="585" t="s">
        <v>1583</v>
      </c>
      <c r="B25" s="73"/>
      <c r="C25" s="1356">
        <f>SUMIFS(Sheet1!S71_OriginalBudget,Sheet1!S71_SA34cCode,$AC:$AC,Sheet1!S71_RepMaintCode,$AD:$AD)</f>
        <v>0</v>
      </c>
      <c r="D25" s="1356">
        <f>SUMIFS(Sheet1!S71_SpecialAdjustedBudget,Sheet1!S71_SA34cCode,$AC:$AC,Sheet1!S71_RepMaintCode,$AD:$AD)</f>
        <v>0</v>
      </c>
      <c r="E25" s="1356"/>
      <c r="F25" s="1356"/>
      <c r="G25" s="1356"/>
      <c r="H25" s="1356"/>
      <c r="I25" s="1356">
        <f>SUMIFS(Sheet1!S71_AdjustmentAmount,Sheet1!S71_SA34cCode,$AC:$AC,Sheet1!S71_RepMaintCode,$AD:$AD)</f>
        <v>0</v>
      </c>
      <c r="J25" s="75">
        <f t="shared" si="3"/>
        <v>0</v>
      </c>
      <c r="K25" s="75">
        <f t="shared" si="4"/>
        <v>0</v>
      </c>
      <c r="L25" s="1356">
        <f>SUMIFS(Sheet1!S71_OY1AdjustedBudget,Sheet1!S71_SA34cCode,$AC:$AC,Sheet1!S71_RepMaintCode,$AD:$AD)</f>
        <v>0</v>
      </c>
      <c r="M25" s="1357">
        <f>SUMIFS(Sheet1!S71_OY2AdjustedBudget,Sheet1!S71_SA34cCode,$AC:$AC,Sheet1!S71_RepMaintCode,$AD:$AD)</f>
        <v>0</v>
      </c>
      <c r="N25" s="842"/>
      <c r="AC25" s="1336" t="s">
        <v>1870</v>
      </c>
      <c r="AD25" s="1336" t="s">
        <v>1906</v>
      </c>
    </row>
    <row r="26" spans="1:30" ht="12.75" customHeight="1" x14ac:dyDescent="0.25">
      <c r="A26" s="585" t="s">
        <v>1584</v>
      </c>
      <c r="B26" s="73"/>
      <c r="C26" s="1356">
        <f>SUMIFS(Sheet1!S71_OriginalBudget,Sheet1!S71_SA34cCode,$AC:$AC,Sheet1!S71_RepMaintCode,$AD:$AD)</f>
        <v>0</v>
      </c>
      <c r="D26" s="1356">
        <f>SUMIFS(Sheet1!S71_SpecialAdjustedBudget,Sheet1!S71_SA34cCode,$AC:$AC,Sheet1!S71_RepMaintCode,$AD:$AD)</f>
        <v>0</v>
      </c>
      <c r="E26" s="1356"/>
      <c r="F26" s="1356"/>
      <c r="G26" s="1356"/>
      <c r="H26" s="1356"/>
      <c r="I26" s="1356">
        <f>SUMIFS(Sheet1!S71_AdjustmentAmount,Sheet1!S71_SA34cCode,$AC:$AC,Sheet1!S71_RepMaintCode,$AD:$AD)</f>
        <v>0</v>
      </c>
      <c r="J26" s="75">
        <f t="shared" si="3"/>
        <v>0</v>
      </c>
      <c r="K26" s="75">
        <f t="shared" si="4"/>
        <v>0</v>
      </c>
      <c r="L26" s="1356">
        <f>SUMIFS(Sheet1!S71_OY1AdjustedBudget,Sheet1!S71_SA34cCode,$AC:$AC,Sheet1!S71_RepMaintCode,$AD:$AD)</f>
        <v>0</v>
      </c>
      <c r="M26" s="1357">
        <f>SUMIFS(Sheet1!S71_OY2AdjustedBudget,Sheet1!S71_SA34cCode,$AC:$AC,Sheet1!S71_RepMaintCode,$AD:$AD)</f>
        <v>0</v>
      </c>
      <c r="N26" s="837"/>
      <c r="AC26" s="1336" t="s">
        <v>1871</v>
      </c>
      <c r="AD26" s="1336" t="s">
        <v>1906</v>
      </c>
    </row>
    <row r="27" spans="1:30" ht="12.75" customHeight="1" x14ac:dyDescent="0.25">
      <c r="A27" s="585" t="s">
        <v>1571</v>
      </c>
      <c r="B27" s="73"/>
      <c r="C27" s="1356">
        <f>SUMIFS(Sheet1!S71_OriginalBudget,Sheet1!S71_SA34cCode,$AC:$AC,Sheet1!S71_RepMaintCode,$AD:$AD)</f>
        <v>0</v>
      </c>
      <c r="D27" s="1356">
        <f>SUMIFS(Sheet1!S71_SpecialAdjustedBudget,Sheet1!S71_SA34cCode,$AC:$AC,Sheet1!S71_RepMaintCode,$AD:$AD)</f>
        <v>0</v>
      </c>
      <c r="E27" s="1356"/>
      <c r="F27" s="1356"/>
      <c r="G27" s="1356"/>
      <c r="H27" s="1356"/>
      <c r="I27" s="1356">
        <f>SUMIFS(Sheet1!S71_AdjustmentAmount,Sheet1!S71_SA34cCode,$AC:$AC,Sheet1!S71_RepMaintCode,$AD:$AD)</f>
        <v>0</v>
      </c>
      <c r="J27" s="75">
        <f t="shared" si="3"/>
        <v>0</v>
      </c>
      <c r="K27" s="75">
        <f t="shared" si="4"/>
        <v>0</v>
      </c>
      <c r="L27" s="1356">
        <f>SUMIFS(Sheet1!S71_OY1AdjustedBudget,Sheet1!S71_SA34cCode,$AC:$AC,Sheet1!S71_RepMaintCode,$AD:$AD)</f>
        <v>0</v>
      </c>
      <c r="M27" s="1357">
        <f>SUMIFS(Sheet1!S71_OY2AdjustedBudget,Sheet1!S71_SA34cCode,$AC:$AC,Sheet1!S71_RepMaintCode,$AD:$AD)</f>
        <v>0</v>
      </c>
      <c r="N27" s="842"/>
      <c r="AC27" s="1336" t="s">
        <v>1911</v>
      </c>
      <c r="AD27" s="1336" t="s">
        <v>1906</v>
      </c>
    </row>
    <row r="28" spans="1:30" ht="12.75" customHeight="1" x14ac:dyDescent="0.25">
      <c r="A28" s="586" t="s">
        <v>1585</v>
      </c>
      <c r="B28" s="73"/>
      <c r="C28" s="130">
        <f t="shared" ref="C28:M28" si="7">SUM(C29:C38)</f>
        <v>0</v>
      </c>
      <c r="D28" s="130">
        <f t="shared" si="7"/>
        <v>0</v>
      </c>
      <c r="E28" s="130">
        <f t="shared" si="7"/>
        <v>0</v>
      </c>
      <c r="F28" s="130">
        <f t="shared" si="7"/>
        <v>0</v>
      </c>
      <c r="G28" s="130">
        <f t="shared" si="7"/>
        <v>0</v>
      </c>
      <c r="H28" s="130">
        <f t="shared" si="7"/>
        <v>0</v>
      </c>
      <c r="I28" s="130">
        <f t="shared" si="7"/>
        <v>0</v>
      </c>
      <c r="J28" s="75">
        <f t="shared" si="3"/>
        <v>0</v>
      </c>
      <c r="K28" s="75">
        <f t="shared" si="4"/>
        <v>0</v>
      </c>
      <c r="L28" s="130">
        <f t="shared" si="7"/>
        <v>0</v>
      </c>
      <c r="M28" s="131">
        <f t="shared" si="7"/>
        <v>0</v>
      </c>
      <c r="N28" s="842"/>
      <c r="AD28" s="1336" t="s">
        <v>1906</v>
      </c>
    </row>
    <row r="29" spans="1:30" ht="12.75" customHeight="1" x14ac:dyDescent="0.25">
      <c r="A29" s="585" t="s">
        <v>1586</v>
      </c>
      <c r="B29" s="73"/>
      <c r="C29" s="1356">
        <f>SUMIFS(Sheet1!S71_OriginalBudget,Sheet1!S71_SA34cCode,$AC:$AC,Sheet1!S71_RepMaintCode,$AD:$AD)</f>
        <v>0</v>
      </c>
      <c r="D29" s="1356">
        <f>SUMIFS(Sheet1!S71_SpecialAdjustedBudget,Sheet1!S71_SA34cCode,$AC:$AC,Sheet1!S71_RepMaintCode,$AD:$AD)</f>
        <v>0</v>
      </c>
      <c r="E29" s="1356"/>
      <c r="F29" s="1356"/>
      <c r="G29" s="1356"/>
      <c r="H29" s="1356"/>
      <c r="I29" s="1356">
        <f>SUMIFS(Sheet1!S71_AdjustmentAmount,Sheet1!S71_SA34cCode,$AC:$AC,Sheet1!S71_RepMaintCode,$AD:$AD)</f>
        <v>0</v>
      </c>
      <c r="J29" s="75">
        <f t="shared" si="3"/>
        <v>0</v>
      </c>
      <c r="K29" s="75">
        <f t="shared" si="4"/>
        <v>0</v>
      </c>
      <c r="L29" s="1356">
        <f>SUMIFS(Sheet1!S71_OY1AdjustedBudget,Sheet1!S71_SA34cCode,$AC:$AC,Sheet1!S71_RepMaintCode,$AD:$AD)</f>
        <v>0</v>
      </c>
      <c r="M29" s="1357">
        <f>SUMIFS(Sheet1!S71_OY2AdjustedBudget,Sheet1!S71_SA34cCode,$AC:$AC,Sheet1!S71_RepMaintCode,$AD:$AD)</f>
        <v>0</v>
      </c>
      <c r="N29" s="842"/>
      <c r="AC29" s="1336" t="s">
        <v>1912</v>
      </c>
      <c r="AD29" s="1336" t="s">
        <v>1906</v>
      </c>
    </row>
    <row r="30" spans="1:30" ht="12.6" customHeight="1" x14ac:dyDescent="0.25">
      <c r="A30" s="585" t="s">
        <v>1587</v>
      </c>
      <c r="B30" s="73"/>
      <c r="C30" s="1356">
        <f>SUMIFS(Sheet1!S71_OriginalBudget,Sheet1!S71_SA34cCode,$AC:$AC,Sheet1!S71_RepMaintCode,$AD:$AD)</f>
        <v>0</v>
      </c>
      <c r="D30" s="1356">
        <f>SUMIFS(Sheet1!S71_SpecialAdjustedBudget,Sheet1!S71_SA34cCode,$AC:$AC,Sheet1!S71_RepMaintCode,$AD:$AD)</f>
        <v>0</v>
      </c>
      <c r="E30" s="1356"/>
      <c r="F30" s="1356"/>
      <c r="G30" s="1356"/>
      <c r="H30" s="1356"/>
      <c r="I30" s="1356">
        <f>SUMIFS(Sheet1!S71_AdjustmentAmount,Sheet1!S71_SA34cCode,$AC:$AC,Sheet1!S71_RepMaintCode,$AD:$AD)</f>
        <v>0</v>
      </c>
      <c r="J30" s="75">
        <f t="shared" si="3"/>
        <v>0</v>
      </c>
      <c r="K30" s="75">
        <f t="shared" si="4"/>
        <v>0</v>
      </c>
      <c r="L30" s="1356">
        <f>SUMIFS(Sheet1!S71_OY1AdjustedBudget,Sheet1!S71_SA34cCode,$AC:$AC,Sheet1!S71_RepMaintCode,$AD:$AD)</f>
        <v>0</v>
      </c>
      <c r="M30" s="1357">
        <f>SUMIFS(Sheet1!S71_OY2AdjustedBudget,Sheet1!S71_SA34cCode,$AC:$AC,Sheet1!S71_RepMaintCode,$AD:$AD)</f>
        <v>0</v>
      </c>
      <c r="N30" s="842"/>
      <c r="AC30" s="1336" t="s">
        <v>1913</v>
      </c>
      <c r="AD30" s="1336" t="s">
        <v>1906</v>
      </c>
    </row>
    <row r="31" spans="1:30" ht="12.75" customHeight="1" x14ac:dyDescent="0.25">
      <c r="A31" s="585" t="s">
        <v>1588</v>
      </c>
      <c r="B31" s="73"/>
      <c r="C31" s="1356">
        <f>SUMIFS(Sheet1!S71_OriginalBudget,Sheet1!S71_SA34cCode,$AC:$AC,Sheet1!S71_RepMaintCode,$AD:$AD)</f>
        <v>0</v>
      </c>
      <c r="D31" s="1356">
        <f>SUMIFS(Sheet1!S71_SpecialAdjustedBudget,Sheet1!S71_SA34cCode,$AC:$AC,Sheet1!S71_RepMaintCode,$AD:$AD)</f>
        <v>0</v>
      </c>
      <c r="E31" s="1356"/>
      <c r="F31" s="1356"/>
      <c r="G31" s="1356"/>
      <c r="H31" s="1356"/>
      <c r="I31" s="1356">
        <f>SUMIFS(Sheet1!S71_AdjustmentAmount,Sheet1!S71_SA34cCode,$AC:$AC,Sheet1!S71_RepMaintCode,$AD:$AD)</f>
        <v>0</v>
      </c>
      <c r="J31" s="75">
        <f t="shared" si="3"/>
        <v>0</v>
      </c>
      <c r="K31" s="75">
        <f t="shared" si="4"/>
        <v>0</v>
      </c>
      <c r="L31" s="1356">
        <f>SUMIFS(Sheet1!S71_OY1AdjustedBudget,Sheet1!S71_SA34cCode,$AC:$AC,Sheet1!S71_RepMaintCode,$AD:$AD)</f>
        <v>0</v>
      </c>
      <c r="M31" s="1357">
        <f>SUMIFS(Sheet1!S71_OY2AdjustedBudget,Sheet1!S71_SA34cCode,$AC:$AC,Sheet1!S71_RepMaintCode,$AD:$AD)</f>
        <v>0</v>
      </c>
      <c r="N31" s="842"/>
      <c r="AC31" s="1336" t="s">
        <v>1872</v>
      </c>
      <c r="AD31" s="1336" t="s">
        <v>1906</v>
      </c>
    </row>
    <row r="32" spans="1:30" ht="12.75" customHeight="1" x14ac:dyDescent="0.25">
      <c r="A32" s="585" t="s">
        <v>1589</v>
      </c>
      <c r="B32" s="73"/>
      <c r="C32" s="1356">
        <f>SUMIFS(Sheet1!S71_OriginalBudget,Sheet1!S71_SA34cCode,$AC:$AC,Sheet1!S71_RepMaintCode,$AD:$AD)</f>
        <v>0</v>
      </c>
      <c r="D32" s="1356">
        <f>SUMIFS(Sheet1!S71_SpecialAdjustedBudget,Sheet1!S71_SA34cCode,$AC:$AC,Sheet1!S71_RepMaintCode,$AD:$AD)</f>
        <v>0</v>
      </c>
      <c r="E32" s="1356"/>
      <c r="F32" s="1356"/>
      <c r="G32" s="1356"/>
      <c r="H32" s="1356"/>
      <c r="I32" s="1356">
        <f>SUMIFS(Sheet1!S71_AdjustmentAmount,Sheet1!S71_SA34cCode,$AC:$AC,Sheet1!S71_RepMaintCode,$AD:$AD)</f>
        <v>0</v>
      </c>
      <c r="J32" s="75">
        <f t="shared" si="3"/>
        <v>0</v>
      </c>
      <c r="K32" s="75">
        <f t="shared" si="4"/>
        <v>0</v>
      </c>
      <c r="L32" s="1356">
        <f>SUMIFS(Sheet1!S71_OY1AdjustedBudget,Sheet1!S71_SA34cCode,$AC:$AC,Sheet1!S71_RepMaintCode,$AD:$AD)</f>
        <v>0</v>
      </c>
      <c r="M32" s="1357">
        <f>SUMIFS(Sheet1!S71_OY2AdjustedBudget,Sheet1!S71_SA34cCode,$AC:$AC,Sheet1!S71_RepMaintCode,$AD:$AD)</f>
        <v>0</v>
      </c>
      <c r="N32" s="837"/>
      <c r="AC32" s="1336" t="s">
        <v>1873</v>
      </c>
      <c r="AD32" s="1336" t="s">
        <v>1906</v>
      </c>
    </row>
    <row r="33" spans="1:30" ht="12.75" customHeight="1" x14ac:dyDescent="0.25">
      <c r="A33" s="585" t="s">
        <v>1590</v>
      </c>
      <c r="B33" s="73"/>
      <c r="C33" s="1356">
        <f>SUMIFS(Sheet1!S71_OriginalBudget,Sheet1!S71_SA34cCode,$AC:$AC,Sheet1!S71_RepMaintCode,$AD:$AD)</f>
        <v>0</v>
      </c>
      <c r="D33" s="1356">
        <f>SUMIFS(Sheet1!S71_SpecialAdjustedBudget,Sheet1!S71_SA34cCode,$AC:$AC,Sheet1!S71_RepMaintCode,$AD:$AD)</f>
        <v>0</v>
      </c>
      <c r="E33" s="1356"/>
      <c r="F33" s="1356"/>
      <c r="G33" s="1356"/>
      <c r="H33" s="1356"/>
      <c r="I33" s="1356">
        <f>SUMIFS(Sheet1!S71_AdjustmentAmount,Sheet1!S71_SA34cCode,$AC:$AC,Sheet1!S71_RepMaintCode,$AD:$AD)</f>
        <v>0</v>
      </c>
      <c r="J33" s="75">
        <f t="shared" si="3"/>
        <v>0</v>
      </c>
      <c r="K33" s="75">
        <f t="shared" si="4"/>
        <v>0</v>
      </c>
      <c r="L33" s="1356">
        <f>SUMIFS(Sheet1!S71_OY1AdjustedBudget,Sheet1!S71_SA34cCode,$AC:$AC,Sheet1!S71_RepMaintCode,$AD:$AD)</f>
        <v>0</v>
      </c>
      <c r="M33" s="1357">
        <f>SUMIFS(Sheet1!S71_OY2AdjustedBudget,Sheet1!S71_SA34cCode,$AC:$AC,Sheet1!S71_RepMaintCode,$AD:$AD)</f>
        <v>0</v>
      </c>
      <c r="N33" s="842"/>
      <c r="AC33" s="1336" t="s">
        <v>1874</v>
      </c>
      <c r="AD33" s="1336" t="s">
        <v>1906</v>
      </c>
    </row>
    <row r="34" spans="1:30" ht="12.75" customHeight="1" x14ac:dyDescent="0.25">
      <c r="A34" s="585" t="s">
        <v>1591</v>
      </c>
      <c r="B34" s="73"/>
      <c r="C34" s="1356">
        <f>SUMIFS(Sheet1!S71_OriginalBudget,Sheet1!S71_SA34cCode,$AC:$AC,Sheet1!S71_RepMaintCode,$AD:$AD)</f>
        <v>0</v>
      </c>
      <c r="D34" s="1356">
        <f>SUMIFS(Sheet1!S71_SpecialAdjustedBudget,Sheet1!S71_SA34cCode,$AC:$AC,Sheet1!S71_RepMaintCode,$AD:$AD)</f>
        <v>0</v>
      </c>
      <c r="E34" s="1356"/>
      <c r="F34" s="1356"/>
      <c r="G34" s="1356"/>
      <c r="H34" s="1356"/>
      <c r="I34" s="1356">
        <f>SUMIFS(Sheet1!S71_AdjustmentAmount,Sheet1!S71_SA34cCode,$AC:$AC,Sheet1!S71_RepMaintCode,$AD:$AD)</f>
        <v>0</v>
      </c>
      <c r="J34" s="75">
        <f t="shared" si="3"/>
        <v>0</v>
      </c>
      <c r="K34" s="75">
        <f t="shared" si="4"/>
        <v>0</v>
      </c>
      <c r="L34" s="1356">
        <f>SUMIFS(Sheet1!S71_OY1AdjustedBudget,Sheet1!S71_SA34cCode,$AC:$AC,Sheet1!S71_RepMaintCode,$AD:$AD)</f>
        <v>0</v>
      </c>
      <c r="M34" s="1357">
        <f>SUMIFS(Sheet1!S71_OY2AdjustedBudget,Sheet1!S71_SA34cCode,$AC:$AC,Sheet1!S71_RepMaintCode,$AD:$AD)</f>
        <v>0</v>
      </c>
      <c r="N34" s="837"/>
      <c r="AC34" s="1336" t="s">
        <v>1875</v>
      </c>
      <c r="AD34" s="1336" t="s">
        <v>1906</v>
      </c>
    </row>
    <row r="35" spans="1:30" ht="12.75" customHeight="1" x14ac:dyDescent="0.25">
      <c r="A35" s="585" t="s">
        <v>1592</v>
      </c>
      <c r="B35" s="73"/>
      <c r="C35" s="1356">
        <f>SUMIFS(Sheet1!S71_OriginalBudget,Sheet1!S71_SA34cCode,$AC:$AC,Sheet1!S71_RepMaintCode,$AD:$AD)</f>
        <v>0</v>
      </c>
      <c r="D35" s="1356">
        <f>SUMIFS(Sheet1!S71_SpecialAdjustedBudget,Sheet1!S71_SA34cCode,$AC:$AC,Sheet1!S71_RepMaintCode,$AD:$AD)</f>
        <v>0</v>
      </c>
      <c r="E35" s="1356"/>
      <c r="F35" s="1356"/>
      <c r="G35" s="1356"/>
      <c r="H35" s="1356"/>
      <c r="I35" s="1356">
        <f>SUMIFS(Sheet1!S71_AdjustmentAmount,Sheet1!S71_SA34cCode,$AC:$AC,Sheet1!S71_RepMaintCode,$AD:$AD)</f>
        <v>0</v>
      </c>
      <c r="J35" s="75">
        <f t="shared" si="3"/>
        <v>0</v>
      </c>
      <c r="K35" s="75">
        <f t="shared" si="4"/>
        <v>0</v>
      </c>
      <c r="L35" s="1356">
        <f>SUMIFS(Sheet1!S71_OY1AdjustedBudget,Sheet1!S71_SA34cCode,$AC:$AC,Sheet1!S71_RepMaintCode,$AD:$AD)</f>
        <v>0</v>
      </c>
      <c r="M35" s="1357">
        <f>SUMIFS(Sheet1!S71_OY2AdjustedBudget,Sheet1!S71_SA34cCode,$AC:$AC,Sheet1!S71_RepMaintCode,$AD:$AD)</f>
        <v>0</v>
      </c>
      <c r="N35" s="842"/>
      <c r="AC35" s="1336" t="s">
        <v>1876</v>
      </c>
      <c r="AD35" s="1336" t="s">
        <v>1906</v>
      </c>
    </row>
    <row r="36" spans="1:30" ht="12.75" customHeight="1" x14ac:dyDescent="0.25">
      <c r="A36" s="585" t="s">
        <v>1593</v>
      </c>
      <c r="B36" s="73"/>
      <c r="C36" s="1356">
        <f>SUMIFS(Sheet1!S71_OriginalBudget,Sheet1!S71_SA34cCode,$AC:$AC,Sheet1!S71_RepMaintCode,$AD:$AD)</f>
        <v>0</v>
      </c>
      <c r="D36" s="1356">
        <f>SUMIFS(Sheet1!S71_SpecialAdjustedBudget,Sheet1!S71_SA34cCode,$AC:$AC,Sheet1!S71_RepMaintCode,$AD:$AD)</f>
        <v>0</v>
      </c>
      <c r="E36" s="1356"/>
      <c r="F36" s="1356"/>
      <c r="G36" s="1356"/>
      <c r="H36" s="1356"/>
      <c r="I36" s="1356">
        <f>SUMIFS(Sheet1!S71_AdjustmentAmount,Sheet1!S71_SA34cCode,$AC:$AC,Sheet1!S71_RepMaintCode,$AD:$AD)</f>
        <v>0</v>
      </c>
      <c r="J36" s="75">
        <f t="shared" si="3"/>
        <v>0</v>
      </c>
      <c r="K36" s="75">
        <f t="shared" si="4"/>
        <v>0</v>
      </c>
      <c r="L36" s="1356">
        <f>SUMIFS(Sheet1!S71_OY1AdjustedBudget,Sheet1!S71_SA34cCode,$AC:$AC,Sheet1!S71_RepMaintCode,$AD:$AD)</f>
        <v>0</v>
      </c>
      <c r="M36" s="1357">
        <f>SUMIFS(Sheet1!S71_OY2AdjustedBudget,Sheet1!S71_SA34cCode,$AC:$AC,Sheet1!S71_RepMaintCode,$AD:$AD)</f>
        <v>0</v>
      </c>
      <c r="N36" s="837"/>
      <c r="AC36" s="1336" t="s">
        <v>1914</v>
      </c>
      <c r="AD36" s="1336" t="s">
        <v>1906</v>
      </c>
    </row>
    <row r="37" spans="1:30" ht="12.75" customHeight="1" x14ac:dyDescent="0.25">
      <c r="A37" s="585" t="s">
        <v>1594</v>
      </c>
      <c r="B37" s="73"/>
      <c r="C37" s="1356">
        <f>SUMIFS(Sheet1!S71_OriginalBudget,Sheet1!S71_SA34cCode,$AC:$AC,Sheet1!S71_RepMaintCode,$AD:$AD)</f>
        <v>0</v>
      </c>
      <c r="D37" s="1356">
        <f>SUMIFS(Sheet1!S71_SpecialAdjustedBudget,Sheet1!S71_SA34cCode,$AC:$AC,Sheet1!S71_RepMaintCode,$AD:$AD)</f>
        <v>0</v>
      </c>
      <c r="E37" s="1356"/>
      <c r="F37" s="1356"/>
      <c r="G37" s="1356"/>
      <c r="H37" s="1356"/>
      <c r="I37" s="1356">
        <f>SUMIFS(Sheet1!S71_AdjustmentAmount,Sheet1!S71_SA34cCode,$AC:$AC,Sheet1!S71_RepMaintCode,$AD:$AD)</f>
        <v>0</v>
      </c>
      <c r="J37" s="75">
        <f t="shared" si="3"/>
        <v>0</v>
      </c>
      <c r="K37" s="75">
        <f t="shared" si="4"/>
        <v>0</v>
      </c>
      <c r="L37" s="1356">
        <f>SUMIFS(Sheet1!S71_OY1AdjustedBudget,Sheet1!S71_SA34cCode,$AC:$AC,Sheet1!S71_RepMaintCode,$AD:$AD)</f>
        <v>0</v>
      </c>
      <c r="M37" s="1357">
        <f>SUMIFS(Sheet1!S71_OY2AdjustedBudget,Sheet1!S71_SA34cCode,$AC:$AC,Sheet1!S71_RepMaintCode,$AD:$AD)</f>
        <v>0</v>
      </c>
      <c r="N37" s="842"/>
      <c r="AC37" s="1336" t="s">
        <v>1915</v>
      </c>
      <c r="AD37" s="1336" t="s">
        <v>1906</v>
      </c>
    </row>
    <row r="38" spans="1:30" ht="12.75" customHeight="1" x14ac:dyDescent="0.25">
      <c r="A38" s="585" t="s">
        <v>1571</v>
      </c>
      <c r="B38" s="73"/>
      <c r="C38" s="1356">
        <f>SUMIFS(Sheet1!S71_OriginalBudget,Sheet1!S71_SA34cCode,$AC:$AC,Sheet1!S71_RepMaintCode,$AD:$AD)</f>
        <v>0</v>
      </c>
      <c r="D38" s="1356">
        <f>SUMIFS(Sheet1!S71_SpecialAdjustedBudget,Sheet1!S71_SA34cCode,$AC:$AC,Sheet1!S71_RepMaintCode,$AD:$AD)</f>
        <v>0</v>
      </c>
      <c r="E38" s="1356"/>
      <c r="F38" s="1356"/>
      <c r="G38" s="1356"/>
      <c r="H38" s="1356"/>
      <c r="I38" s="1356">
        <f>SUMIFS(Sheet1!S71_AdjustmentAmount,Sheet1!S71_SA34cCode,$AC:$AC,Sheet1!S71_RepMaintCode,$AD:$AD)</f>
        <v>0</v>
      </c>
      <c r="J38" s="75">
        <f t="shared" si="3"/>
        <v>0</v>
      </c>
      <c r="K38" s="75">
        <f t="shared" si="4"/>
        <v>0</v>
      </c>
      <c r="L38" s="1356">
        <f>SUMIFS(Sheet1!S71_OY1AdjustedBudget,Sheet1!S71_SA34cCode,$AC:$AC,Sheet1!S71_RepMaintCode,$AD:$AD)</f>
        <v>0</v>
      </c>
      <c r="M38" s="1357">
        <f>SUMIFS(Sheet1!S71_OY2AdjustedBudget,Sheet1!S71_SA34cCode,$AC:$AC,Sheet1!S71_RepMaintCode,$AD:$AD)</f>
        <v>0</v>
      </c>
      <c r="N38" s="842"/>
      <c r="AC38" s="1336" t="s">
        <v>1816</v>
      </c>
      <c r="AD38" s="1336" t="s">
        <v>1906</v>
      </c>
    </row>
    <row r="39" spans="1:30" ht="12.75" customHeight="1" x14ac:dyDescent="0.25">
      <c r="A39" s="586" t="s">
        <v>1595</v>
      </c>
      <c r="B39" s="73"/>
      <c r="C39" s="1110">
        <f>SUM(C40:C45)</f>
        <v>0</v>
      </c>
      <c r="D39" s="130">
        <f t="shared" ref="D39:M39" si="8">SUM(D40:D45)</f>
        <v>0</v>
      </c>
      <c r="E39" s="130">
        <f t="shared" si="8"/>
        <v>0</v>
      </c>
      <c r="F39" s="130">
        <f t="shared" si="8"/>
        <v>0</v>
      </c>
      <c r="G39" s="130">
        <f t="shared" si="8"/>
        <v>0</v>
      </c>
      <c r="H39" s="130">
        <f t="shared" si="8"/>
        <v>0</v>
      </c>
      <c r="I39" s="130">
        <f t="shared" si="8"/>
        <v>0</v>
      </c>
      <c r="J39" s="75">
        <f t="shared" si="3"/>
        <v>0</v>
      </c>
      <c r="K39" s="75">
        <f t="shared" si="4"/>
        <v>0</v>
      </c>
      <c r="L39" s="130">
        <f t="shared" si="8"/>
        <v>0</v>
      </c>
      <c r="M39" s="131">
        <f t="shared" si="8"/>
        <v>0</v>
      </c>
      <c r="N39" s="126"/>
      <c r="AD39" s="1336" t="s">
        <v>1906</v>
      </c>
    </row>
    <row r="40" spans="1:30" ht="12.75" customHeight="1" x14ac:dyDescent="0.25">
      <c r="A40" s="585" t="s">
        <v>1596</v>
      </c>
      <c r="B40" s="73"/>
      <c r="C40" s="1356">
        <f>SUMIFS(Sheet1!S71_OriginalBudget,Sheet1!S71_SA34cCode,$AC:$AC,Sheet1!S71_RepMaintCode,$AD:$AD)</f>
        <v>0</v>
      </c>
      <c r="D40" s="1356">
        <f>SUMIFS(Sheet1!S71_SpecialAdjustedBudget,Sheet1!S71_SA34cCode,$AC:$AC,Sheet1!S71_RepMaintCode,$AD:$AD)</f>
        <v>0</v>
      </c>
      <c r="E40" s="1356"/>
      <c r="F40" s="1356"/>
      <c r="G40" s="1356"/>
      <c r="H40" s="1356"/>
      <c r="I40" s="1356">
        <f>SUMIFS(Sheet1!S71_AdjustmentAmount,Sheet1!S71_SA34cCode,$AC:$AC,Sheet1!S71_RepMaintCode,$AD:$AD)</f>
        <v>0</v>
      </c>
      <c r="J40" s="75">
        <f t="shared" si="3"/>
        <v>0</v>
      </c>
      <c r="K40" s="75">
        <f t="shared" si="4"/>
        <v>0</v>
      </c>
      <c r="L40" s="1356">
        <f>SUMIFS(Sheet1!S71_OY1AdjustedBudget,Sheet1!S71_SA34cCode,$AC:$AC,Sheet1!S71_RepMaintCode,$AD:$AD)</f>
        <v>0</v>
      </c>
      <c r="M40" s="1357">
        <f>SUMIFS(Sheet1!S71_OY2AdjustedBudget,Sheet1!S71_SA34cCode,$AC:$AC,Sheet1!S71_RepMaintCode,$AD:$AD)</f>
        <v>0</v>
      </c>
      <c r="N40" s="837"/>
      <c r="AC40" s="1336" t="s">
        <v>1916</v>
      </c>
      <c r="AD40" s="1336" t="s">
        <v>1906</v>
      </c>
    </row>
    <row r="41" spans="1:30" ht="12.75" customHeight="1" x14ac:dyDescent="0.25">
      <c r="A41" s="585" t="s">
        <v>487</v>
      </c>
      <c r="B41" s="73"/>
      <c r="C41" s="1356">
        <f>SUMIFS(Sheet1!S71_OriginalBudget,Sheet1!S71_SA34cCode,$AC:$AC,Sheet1!S71_RepMaintCode,$AD:$AD)</f>
        <v>0</v>
      </c>
      <c r="D41" s="1356">
        <f>SUMIFS(Sheet1!S71_SpecialAdjustedBudget,Sheet1!S71_SA34cCode,$AC:$AC,Sheet1!S71_RepMaintCode,$AD:$AD)</f>
        <v>0</v>
      </c>
      <c r="E41" s="1356"/>
      <c r="F41" s="1356"/>
      <c r="G41" s="1356"/>
      <c r="H41" s="1356"/>
      <c r="I41" s="1356">
        <f>SUMIFS(Sheet1!S71_AdjustmentAmount,Sheet1!S71_SA34cCode,$AC:$AC,Sheet1!S71_RepMaintCode,$AD:$AD)</f>
        <v>0</v>
      </c>
      <c r="J41" s="75">
        <f t="shared" ref="J41:J72" si="9">SUM(E41:I41)</f>
        <v>0</v>
      </c>
      <c r="K41" s="75">
        <f t="shared" si="4"/>
        <v>0</v>
      </c>
      <c r="L41" s="1356">
        <f>SUMIFS(Sheet1!S71_OY1AdjustedBudget,Sheet1!S71_SA34cCode,$AC:$AC,Sheet1!S71_RepMaintCode,$AD:$AD)</f>
        <v>0</v>
      </c>
      <c r="M41" s="1357">
        <f>SUMIFS(Sheet1!S71_OY2AdjustedBudget,Sheet1!S71_SA34cCode,$AC:$AC,Sheet1!S71_RepMaintCode,$AD:$AD)</f>
        <v>0</v>
      </c>
      <c r="N41" s="837"/>
      <c r="AC41" s="1336" t="s">
        <v>1917</v>
      </c>
      <c r="AD41" s="1336" t="s">
        <v>1906</v>
      </c>
    </row>
    <row r="42" spans="1:30" ht="12.75" customHeight="1" x14ac:dyDescent="0.25">
      <c r="A42" s="585" t="s">
        <v>1597</v>
      </c>
      <c r="B42" s="73"/>
      <c r="C42" s="1356">
        <f>SUMIFS(Sheet1!S71_OriginalBudget,Sheet1!S71_SA34cCode,$AC:$AC,Sheet1!S71_RepMaintCode,$AD:$AD)</f>
        <v>0</v>
      </c>
      <c r="D42" s="1356">
        <f>SUMIFS(Sheet1!S71_SpecialAdjustedBudget,Sheet1!S71_SA34cCode,$AC:$AC,Sheet1!S71_RepMaintCode,$AD:$AD)</f>
        <v>0</v>
      </c>
      <c r="E42" s="1356"/>
      <c r="F42" s="1356"/>
      <c r="G42" s="1356"/>
      <c r="H42" s="1356"/>
      <c r="I42" s="1356">
        <f>SUMIFS(Sheet1!S71_AdjustmentAmount,Sheet1!S71_SA34cCode,$AC:$AC,Sheet1!S71_RepMaintCode,$AD:$AD)</f>
        <v>0</v>
      </c>
      <c r="J42" s="75">
        <f t="shared" si="9"/>
        <v>0</v>
      </c>
      <c r="K42" s="75">
        <f t="shared" si="4"/>
        <v>0</v>
      </c>
      <c r="L42" s="1356">
        <f>SUMIFS(Sheet1!S71_OY1AdjustedBudget,Sheet1!S71_SA34cCode,$AC:$AC,Sheet1!S71_RepMaintCode,$AD:$AD)</f>
        <v>0</v>
      </c>
      <c r="M42" s="1357">
        <f>SUMIFS(Sheet1!S71_OY2AdjustedBudget,Sheet1!S71_SA34cCode,$AC:$AC,Sheet1!S71_RepMaintCode,$AD:$AD)</f>
        <v>0</v>
      </c>
      <c r="N42" s="842"/>
      <c r="AC42" s="1336" t="s">
        <v>1918</v>
      </c>
      <c r="AD42" s="1336" t="s">
        <v>1906</v>
      </c>
    </row>
    <row r="43" spans="1:30" ht="12.75" customHeight="1" x14ac:dyDescent="0.25">
      <c r="A43" s="585" t="s">
        <v>1598</v>
      </c>
      <c r="B43" s="73"/>
      <c r="C43" s="1356">
        <f>SUMIFS(Sheet1!S71_OriginalBudget,Sheet1!S71_SA34cCode,$AC:$AC,Sheet1!S71_RepMaintCode,$AD:$AD)</f>
        <v>0</v>
      </c>
      <c r="D43" s="1356">
        <f>SUMIFS(Sheet1!S71_SpecialAdjustedBudget,Sheet1!S71_SA34cCode,$AC:$AC,Sheet1!S71_RepMaintCode,$AD:$AD)</f>
        <v>0</v>
      </c>
      <c r="E43" s="1356"/>
      <c r="F43" s="1356"/>
      <c r="G43" s="1356"/>
      <c r="H43" s="1356"/>
      <c r="I43" s="1356">
        <f>SUMIFS(Sheet1!S71_AdjustmentAmount,Sheet1!S71_SA34cCode,$AC:$AC,Sheet1!S71_RepMaintCode,$AD:$AD)</f>
        <v>0</v>
      </c>
      <c r="J43" s="75">
        <f t="shared" si="9"/>
        <v>0</v>
      </c>
      <c r="K43" s="75">
        <f t="shared" si="4"/>
        <v>0</v>
      </c>
      <c r="L43" s="1356">
        <f>SUMIFS(Sheet1!S71_OY1AdjustedBudget,Sheet1!S71_SA34cCode,$AC:$AC,Sheet1!S71_RepMaintCode,$AD:$AD)</f>
        <v>0</v>
      </c>
      <c r="M43" s="1357">
        <f>SUMIFS(Sheet1!S71_OY2AdjustedBudget,Sheet1!S71_SA34cCode,$AC:$AC,Sheet1!S71_RepMaintCode,$AD:$AD)</f>
        <v>0</v>
      </c>
      <c r="N43" s="842"/>
      <c r="AC43" s="1336" t="s">
        <v>1919</v>
      </c>
      <c r="AD43" s="1336" t="s">
        <v>1906</v>
      </c>
    </row>
    <row r="44" spans="1:30" ht="12.75" customHeight="1" x14ac:dyDescent="0.25">
      <c r="A44" s="585" t="s">
        <v>1599</v>
      </c>
      <c r="B44" s="73"/>
      <c r="C44" s="1356">
        <f>SUMIFS(Sheet1!S71_OriginalBudget,Sheet1!S71_SA34cCode,$AC:$AC,Sheet1!S71_RepMaintCode,$AD:$AD)</f>
        <v>0</v>
      </c>
      <c r="D44" s="1356">
        <f>SUMIFS(Sheet1!S71_SpecialAdjustedBudget,Sheet1!S71_SA34cCode,$AC:$AC,Sheet1!S71_RepMaintCode,$AD:$AD)</f>
        <v>0</v>
      </c>
      <c r="E44" s="1356"/>
      <c r="F44" s="1356"/>
      <c r="G44" s="1356"/>
      <c r="H44" s="1356"/>
      <c r="I44" s="1356">
        <f>SUMIFS(Sheet1!S71_AdjustmentAmount,Sheet1!S71_SA34cCode,$AC:$AC,Sheet1!S71_RepMaintCode,$AD:$AD)</f>
        <v>0</v>
      </c>
      <c r="J44" s="75">
        <f t="shared" si="9"/>
        <v>0</v>
      </c>
      <c r="K44" s="75">
        <f t="shared" si="4"/>
        <v>0</v>
      </c>
      <c r="L44" s="1356">
        <f>SUMIFS(Sheet1!S71_OY1AdjustedBudget,Sheet1!S71_SA34cCode,$AC:$AC,Sheet1!S71_RepMaintCode,$AD:$AD)</f>
        <v>0</v>
      </c>
      <c r="M44" s="1357">
        <f>SUMIFS(Sheet1!S71_OY2AdjustedBudget,Sheet1!S71_SA34cCode,$AC:$AC,Sheet1!S71_RepMaintCode,$AD:$AD)</f>
        <v>0</v>
      </c>
      <c r="N44" s="837"/>
      <c r="AC44" s="1336" t="s">
        <v>1878</v>
      </c>
      <c r="AD44" s="1336" t="s">
        <v>1906</v>
      </c>
    </row>
    <row r="45" spans="1:30" ht="12.75" customHeight="1" x14ac:dyDescent="0.25">
      <c r="A45" s="585" t="s">
        <v>1571</v>
      </c>
      <c r="B45" s="73"/>
      <c r="C45" s="1356">
        <f>SUMIFS(Sheet1!S71_OriginalBudget,Sheet1!S71_SA34cCode,$AC:$AC,Sheet1!S71_RepMaintCode,$AD:$AD)</f>
        <v>0</v>
      </c>
      <c r="D45" s="1356">
        <f>SUMIFS(Sheet1!S71_SpecialAdjustedBudget,Sheet1!S71_SA34cCode,$AC:$AC,Sheet1!S71_RepMaintCode,$AD:$AD)</f>
        <v>0</v>
      </c>
      <c r="E45" s="1356"/>
      <c r="F45" s="1356"/>
      <c r="G45" s="1356"/>
      <c r="H45" s="1356"/>
      <c r="I45" s="1356">
        <f>SUMIFS(Sheet1!S71_AdjustmentAmount,Sheet1!S71_SA34cCode,$AC:$AC,Sheet1!S71_RepMaintCode,$AD:$AD)</f>
        <v>0</v>
      </c>
      <c r="J45" s="75">
        <f t="shared" si="9"/>
        <v>0</v>
      </c>
      <c r="K45" s="75">
        <f t="shared" si="4"/>
        <v>0</v>
      </c>
      <c r="L45" s="1356">
        <f>SUMIFS(Sheet1!S71_OY1AdjustedBudget,Sheet1!S71_SA34cCode,$AC:$AC,Sheet1!S71_RepMaintCode,$AD:$AD)</f>
        <v>0</v>
      </c>
      <c r="M45" s="1357">
        <f>SUMIFS(Sheet1!S71_OY2AdjustedBudget,Sheet1!S71_SA34cCode,$AC:$AC,Sheet1!S71_RepMaintCode,$AD:$AD)</f>
        <v>0</v>
      </c>
      <c r="N45" s="842"/>
      <c r="AC45" s="1336" t="s">
        <v>1879</v>
      </c>
      <c r="AD45" s="1336" t="s">
        <v>1906</v>
      </c>
    </row>
    <row r="46" spans="1:30" ht="12.75" customHeight="1" x14ac:dyDescent="0.25">
      <c r="A46" s="586" t="s">
        <v>1600</v>
      </c>
      <c r="B46" s="73"/>
      <c r="C46" s="1110">
        <f>SUM(C47:C53)</f>
        <v>0</v>
      </c>
      <c r="D46" s="130">
        <f t="shared" ref="D46:M46" si="10">SUM(D47:D53)</f>
        <v>0</v>
      </c>
      <c r="E46" s="130">
        <f t="shared" si="10"/>
        <v>0</v>
      </c>
      <c r="F46" s="130">
        <f t="shared" si="10"/>
        <v>0</v>
      </c>
      <c r="G46" s="130">
        <f t="shared" si="10"/>
        <v>0</v>
      </c>
      <c r="H46" s="130">
        <f t="shared" si="10"/>
        <v>0</v>
      </c>
      <c r="I46" s="130">
        <f t="shared" si="10"/>
        <v>0</v>
      </c>
      <c r="J46" s="75">
        <f t="shared" si="9"/>
        <v>0</v>
      </c>
      <c r="K46" s="75">
        <f t="shared" si="4"/>
        <v>0</v>
      </c>
      <c r="L46" s="130">
        <f t="shared" si="10"/>
        <v>0</v>
      </c>
      <c r="M46" s="131">
        <f t="shared" si="10"/>
        <v>0</v>
      </c>
      <c r="N46" s="126"/>
      <c r="AD46" s="1336" t="s">
        <v>1906</v>
      </c>
    </row>
    <row r="47" spans="1:30" ht="12.75" customHeight="1" x14ac:dyDescent="0.25">
      <c r="A47" s="585" t="s">
        <v>1601</v>
      </c>
      <c r="B47" s="73"/>
      <c r="C47" s="1356">
        <f>SUMIFS(Sheet1!S71_OriginalBudget,Sheet1!S71_SA34cCode,$AC:$AC,Sheet1!S71_RepMaintCode,$AD:$AD)</f>
        <v>0</v>
      </c>
      <c r="D47" s="1356">
        <f>SUMIFS(Sheet1!S71_SpecialAdjustedBudget,Sheet1!S71_SA34cCode,$AC:$AC,Sheet1!S71_RepMaintCode,$AD:$AD)</f>
        <v>0</v>
      </c>
      <c r="E47" s="1356"/>
      <c r="F47" s="1356"/>
      <c r="G47" s="1356"/>
      <c r="H47" s="1356"/>
      <c r="I47" s="1356">
        <f>SUMIFS(Sheet1!S71_AdjustmentAmount,Sheet1!S71_SA34cCode,$AC:$AC,Sheet1!S71_RepMaintCode,$AD:$AD)</f>
        <v>0</v>
      </c>
      <c r="J47" s="75">
        <f t="shared" si="9"/>
        <v>0</v>
      </c>
      <c r="K47" s="75">
        <f t="shared" si="4"/>
        <v>0</v>
      </c>
      <c r="L47" s="1356">
        <f>SUMIFS(Sheet1!S71_OY1AdjustedBudget,Sheet1!S71_SA34cCode,$AC:$AC,Sheet1!S71_RepMaintCode,$AD:$AD)</f>
        <v>0</v>
      </c>
      <c r="M47" s="1357">
        <f>SUMIFS(Sheet1!S71_OY2AdjustedBudget,Sheet1!S71_SA34cCode,$AC:$AC,Sheet1!S71_RepMaintCode,$AD:$AD)</f>
        <v>0</v>
      </c>
      <c r="N47" s="837"/>
      <c r="AC47" s="1336" t="s">
        <v>1920</v>
      </c>
      <c r="AD47" s="1336" t="s">
        <v>1906</v>
      </c>
    </row>
    <row r="48" spans="1:30" ht="12.75" customHeight="1" x14ac:dyDescent="0.25">
      <c r="A48" s="585" t="s">
        <v>1602</v>
      </c>
      <c r="B48" s="73"/>
      <c r="C48" s="1356">
        <f>SUMIFS(Sheet1!S71_OriginalBudget,Sheet1!S71_SA34cCode,$AC:$AC,Sheet1!S71_RepMaintCode,$AD:$AD)</f>
        <v>0</v>
      </c>
      <c r="D48" s="1356">
        <f>SUMIFS(Sheet1!S71_SpecialAdjustedBudget,Sheet1!S71_SA34cCode,$AC:$AC,Sheet1!S71_RepMaintCode,$AD:$AD)</f>
        <v>0</v>
      </c>
      <c r="E48" s="1356"/>
      <c r="F48" s="1356"/>
      <c r="G48" s="1356"/>
      <c r="H48" s="1356"/>
      <c r="I48" s="1356">
        <f>SUMIFS(Sheet1!S71_AdjustmentAmount,Sheet1!S71_SA34cCode,$AC:$AC,Sheet1!S71_RepMaintCode,$AD:$AD)</f>
        <v>0</v>
      </c>
      <c r="J48" s="75">
        <f t="shared" si="9"/>
        <v>0</v>
      </c>
      <c r="K48" s="75">
        <f t="shared" si="4"/>
        <v>0</v>
      </c>
      <c r="L48" s="1356">
        <f>SUMIFS(Sheet1!S71_OY1AdjustedBudget,Sheet1!S71_SA34cCode,$AC:$AC,Sheet1!S71_RepMaintCode,$AD:$AD)</f>
        <v>0</v>
      </c>
      <c r="M48" s="1357">
        <f>SUMIFS(Sheet1!S71_OY2AdjustedBudget,Sheet1!S71_SA34cCode,$AC:$AC,Sheet1!S71_RepMaintCode,$AD:$AD)</f>
        <v>0</v>
      </c>
      <c r="N48" s="837"/>
      <c r="AC48" s="1336" t="s">
        <v>1817</v>
      </c>
      <c r="AD48" s="1336" t="s">
        <v>1906</v>
      </c>
    </row>
    <row r="49" spans="1:30" ht="12.75" customHeight="1" x14ac:dyDescent="0.25">
      <c r="A49" s="585" t="s">
        <v>1603</v>
      </c>
      <c r="B49" s="73"/>
      <c r="C49" s="1356">
        <f>SUMIFS(Sheet1!S71_OriginalBudget,Sheet1!S71_SA34cCode,$AC:$AC,Sheet1!S71_RepMaintCode,$AD:$AD)</f>
        <v>0</v>
      </c>
      <c r="D49" s="1356">
        <f>SUMIFS(Sheet1!S71_SpecialAdjustedBudget,Sheet1!S71_SA34cCode,$AC:$AC,Sheet1!S71_RepMaintCode,$AD:$AD)</f>
        <v>0</v>
      </c>
      <c r="E49" s="1356"/>
      <c r="F49" s="1356"/>
      <c r="G49" s="1356"/>
      <c r="H49" s="1356"/>
      <c r="I49" s="1356">
        <f>SUMIFS(Sheet1!S71_AdjustmentAmount,Sheet1!S71_SA34cCode,$AC:$AC,Sheet1!S71_RepMaintCode,$AD:$AD)</f>
        <v>0</v>
      </c>
      <c r="J49" s="75">
        <f t="shared" si="9"/>
        <v>0</v>
      </c>
      <c r="K49" s="75">
        <f t="shared" si="4"/>
        <v>0</v>
      </c>
      <c r="L49" s="1356">
        <f>SUMIFS(Sheet1!S71_OY1AdjustedBudget,Sheet1!S71_SA34cCode,$AC:$AC,Sheet1!S71_RepMaintCode,$AD:$AD)</f>
        <v>0</v>
      </c>
      <c r="M49" s="1357">
        <f>SUMIFS(Sheet1!S71_OY2AdjustedBudget,Sheet1!S71_SA34cCode,$AC:$AC,Sheet1!S71_RepMaintCode,$AD:$AD)</f>
        <v>0</v>
      </c>
      <c r="N49" s="842"/>
      <c r="AC49" s="1336" t="s">
        <v>1921</v>
      </c>
      <c r="AD49" s="1336" t="s">
        <v>1906</v>
      </c>
    </row>
    <row r="50" spans="1:30" ht="12.75" customHeight="1" x14ac:dyDescent="0.25">
      <c r="A50" s="585" t="s">
        <v>1604</v>
      </c>
      <c r="B50" s="73"/>
      <c r="C50" s="1356">
        <f>SUMIFS(Sheet1!S71_OriginalBudget,Sheet1!S71_SA34cCode,$AC:$AC,Sheet1!S71_RepMaintCode,$AD:$AD)</f>
        <v>0</v>
      </c>
      <c r="D50" s="1356">
        <f>SUMIFS(Sheet1!S71_SpecialAdjustedBudget,Sheet1!S71_SA34cCode,$AC:$AC,Sheet1!S71_RepMaintCode,$AD:$AD)</f>
        <v>0</v>
      </c>
      <c r="E50" s="1356"/>
      <c r="F50" s="1356"/>
      <c r="G50" s="1356"/>
      <c r="H50" s="1356"/>
      <c r="I50" s="1356">
        <f>SUMIFS(Sheet1!S71_AdjustmentAmount,Sheet1!S71_SA34cCode,$AC:$AC,Sheet1!S71_RepMaintCode,$AD:$AD)</f>
        <v>0</v>
      </c>
      <c r="J50" s="75">
        <f t="shared" si="9"/>
        <v>0</v>
      </c>
      <c r="K50" s="75">
        <f t="shared" si="4"/>
        <v>0</v>
      </c>
      <c r="L50" s="1356">
        <f>SUMIFS(Sheet1!S71_OY1AdjustedBudget,Sheet1!S71_SA34cCode,$AC:$AC,Sheet1!S71_RepMaintCode,$AD:$AD)</f>
        <v>0</v>
      </c>
      <c r="M50" s="1357">
        <f>SUMIFS(Sheet1!S71_OY2AdjustedBudget,Sheet1!S71_SA34cCode,$AC:$AC,Sheet1!S71_RepMaintCode,$AD:$AD)</f>
        <v>0</v>
      </c>
      <c r="N50" s="842"/>
      <c r="AC50" s="1336" t="s">
        <v>1922</v>
      </c>
      <c r="AD50" s="1336" t="s">
        <v>1906</v>
      </c>
    </row>
    <row r="51" spans="1:30" ht="12.75" customHeight="1" x14ac:dyDescent="0.25">
      <c r="A51" s="585" t="s">
        <v>1605</v>
      </c>
      <c r="B51" s="73"/>
      <c r="C51" s="1356">
        <f>SUMIFS(Sheet1!S71_OriginalBudget,Sheet1!S71_SA34cCode,$AC:$AC,Sheet1!S71_RepMaintCode,$AD:$AD)</f>
        <v>0</v>
      </c>
      <c r="D51" s="1356">
        <f>SUMIFS(Sheet1!S71_SpecialAdjustedBudget,Sheet1!S71_SA34cCode,$AC:$AC,Sheet1!S71_RepMaintCode,$AD:$AD)</f>
        <v>0</v>
      </c>
      <c r="E51" s="1356"/>
      <c r="F51" s="1356"/>
      <c r="G51" s="1356"/>
      <c r="H51" s="1356"/>
      <c r="I51" s="1356">
        <f>SUMIFS(Sheet1!S71_AdjustmentAmount,Sheet1!S71_SA34cCode,$AC:$AC,Sheet1!S71_RepMaintCode,$AD:$AD)</f>
        <v>0</v>
      </c>
      <c r="J51" s="75">
        <f t="shared" si="9"/>
        <v>0</v>
      </c>
      <c r="K51" s="75">
        <f t="shared" si="4"/>
        <v>0</v>
      </c>
      <c r="L51" s="1356">
        <f>SUMIFS(Sheet1!S71_OY1AdjustedBudget,Sheet1!S71_SA34cCode,$AC:$AC,Sheet1!S71_RepMaintCode,$AD:$AD)</f>
        <v>0</v>
      </c>
      <c r="M51" s="1357">
        <f>SUMIFS(Sheet1!S71_OY2AdjustedBudget,Sheet1!S71_SA34cCode,$AC:$AC,Sheet1!S71_RepMaintCode,$AD:$AD)</f>
        <v>0</v>
      </c>
      <c r="N51" s="842"/>
      <c r="AC51" s="1336" t="s">
        <v>1923</v>
      </c>
      <c r="AD51" s="1336" t="s">
        <v>1906</v>
      </c>
    </row>
    <row r="52" spans="1:30" ht="12.75" customHeight="1" x14ac:dyDescent="0.25">
      <c r="A52" s="585" t="s">
        <v>1606</v>
      </c>
      <c r="B52" s="73"/>
      <c r="C52" s="1356">
        <f>SUMIFS(Sheet1!S71_OriginalBudget,Sheet1!S71_SA34cCode,$AC:$AC,Sheet1!S71_RepMaintCode,$AD:$AD)</f>
        <v>0</v>
      </c>
      <c r="D52" s="1356">
        <f>SUMIFS(Sheet1!S71_SpecialAdjustedBudget,Sheet1!S71_SA34cCode,$AC:$AC,Sheet1!S71_RepMaintCode,$AD:$AD)</f>
        <v>0</v>
      </c>
      <c r="E52" s="1356"/>
      <c r="F52" s="1356"/>
      <c r="G52" s="1356"/>
      <c r="H52" s="1356"/>
      <c r="I52" s="1356">
        <f>SUMIFS(Sheet1!S71_AdjustmentAmount,Sheet1!S71_SA34cCode,$AC:$AC,Sheet1!S71_RepMaintCode,$AD:$AD)</f>
        <v>0</v>
      </c>
      <c r="J52" s="75">
        <f t="shared" si="9"/>
        <v>0</v>
      </c>
      <c r="K52" s="75">
        <f t="shared" si="4"/>
        <v>0</v>
      </c>
      <c r="L52" s="1356">
        <f>SUMIFS(Sheet1!S71_OY1AdjustedBudget,Sheet1!S71_SA34cCode,$AC:$AC,Sheet1!S71_RepMaintCode,$AD:$AD)</f>
        <v>0</v>
      </c>
      <c r="M52" s="1357">
        <f>SUMIFS(Sheet1!S71_OY2AdjustedBudget,Sheet1!S71_SA34cCode,$AC:$AC,Sheet1!S71_RepMaintCode,$AD:$AD)</f>
        <v>0</v>
      </c>
      <c r="N52" s="837"/>
      <c r="AC52" s="1336" t="s">
        <v>1924</v>
      </c>
      <c r="AD52" s="1336" t="s">
        <v>1906</v>
      </c>
    </row>
    <row r="53" spans="1:30" ht="12.75" customHeight="1" x14ac:dyDescent="0.25">
      <c r="A53" s="585" t="s">
        <v>1571</v>
      </c>
      <c r="B53" s="73"/>
      <c r="C53" s="1356">
        <f>SUMIFS(Sheet1!S71_OriginalBudget,Sheet1!S71_SA34cCode,$AC:$AC,Sheet1!S71_RepMaintCode,$AD:$AD)</f>
        <v>0</v>
      </c>
      <c r="D53" s="1356">
        <f>SUMIFS(Sheet1!S71_SpecialAdjustedBudget,Sheet1!S71_SA34cCode,$AC:$AC,Sheet1!S71_RepMaintCode,$AD:$AD)</f>
        <v>0</v>
      </c>
      <c r="E53" s="1356"/>
      <c r="F53" s="1356"/>
      <c r="G53" s="1356"/>
      <c r="H53" s="1356"/>
      <c r="I53" s="1356">
        <f>SUMIFS(Sheet1!S71_AdjustmentAmount,Sheet1!S71_SA34cCode,$AC:$AC,Sheet1!S71_RepMaintCode,$AD:$AD)</f>
        <v>0</v>
      </c>
      <c r="J53" s="75">
        <f t="shared" si="9"/>
        <v>0</v>
      </c>
      <c r="K53" s="75">
        <f t="shared" si="4"/>
        <v>0</v>
      </c>
      <c r="L53" s="1356">
        <f>SUMIFS(Sheet1!S71_OY1AdjustedBudget,Sheet1!S71_SA34cCode,$AC:$AC,Sheet1!S71_RepMaintCode,$AD:$AD)</f>
        <v>0</v>
      </c>
      <c r="M53" s="1357">
        <f>SUMIFS(Sheet1!S71_OY2AdjustedBudget,Sheet1!S71_SA34cCode,$AC:$AC,Sheet1!S71_RepMaintCode,$AD:$AD)</f>
        <v>0</v>
      </c>
      <c r="N53" s="842"/>
      <c r="AC53" s="1336" t="s">
        <v>1925</v>
      </c>
      <c r="AD53" s="1336" t="s">
        <v>1906</v>
      </c>
    </row>
    <row r="54" spans="1:30" ht="12.75" customHeight="1" x14ac:dyDescent="0.25">
      <c r="A54" s="584" t="s">
        <v>1607</v>
      </c>
      <c r="B54" s="73"/>
      <c r="C54" s="1110">
        <f>SUM(C55:C63)</f>
        <v>0</v>
      </c>
      <c r="D54" s="130">
        <f t="shared" ref="D54:M54" si="11">SUM(D55:D63)</f>
        <v>0</v>
      </c>
      <c r="E54" s="130">
        <f t="shared" si="11"/>
        <v>0</v>
      </c>
      <c r="F54" s="130">
        <f t="shared" si="11"/>
        <v>0</v>
      </c>
      <c r="G54" s="130">
        <f t="shared" si="11"/>
        <v>0</v>
      </c>
      <c r="H54" s="130">
        <f t="shared" si="11"/>
        <v>0</v>
      </c>
      <c r="I54" s="130">
        <f t="shared" si="11"/>
        <v>0</v>
      </c>
      <c r="J54" s="75">
        <f t="shared" si="9"/>
        <v>0</v>
      </c>
      <c r="K54" s="75">
        <f t="shared" si="4"/>
        <v>0</v>
      </c>
      <c r="L54" s="130">
        <f t="shared" si="11"/>
        <v>0</v>
      </c>
      <c r="M54" s="131">
        <f t="shared" si="11"/>
        <v>0</v>
      </c>
      <c r="N54" s="126"/>
      <c r="AD54" s="1336" t="s">
        <v>1906</v>
      </c>
    </row>
    <row r="55" spans="1:30" ht="12.75" customHeight="1" x14ac:dyDescent="0.25">
      <c r="A55" s="585" t="s">
        <v>1608</v>
      </c>
      <c r="B55" s="73"/>
      <c r="C55" s="1356">
        <f>SUMIFS(Sheet1!S71_OriginalBudget,Sheet1!S71_SA34cCode,$AC:$AC,Sheet1!S71_RepMaintCode,$AD:$AD)</f>
        <v>0</v>
      </c>
      <c r="D55" s="1356">
        <f>SUMIFS(Sheet1!S71_SpecialAdjustedBudget,Sheet1!S71_SA34cCode,$AC:$AC,Sheet1!S71_RepMaintCode,$AD:$AD)</f>
        <v>0</v>
      </c>
      <c r="E55" s="1356"/>
      <c r="F55" s="1356"/>
      <c r="G55" s="1356"/>
      <c r="H55" s="1356"/>
      <c r="I55" s="1356">
        <f>SUMIFS(Sheet1!S71_AdjustmentAmount,Sheet1!S71_SA34cCode,$AC:$AC,Sheet1!S71_RepMaintCode,$AD:$AD)</f>
        <v>0</v>
      </c>
      <c r="J55" s="75">
        <f t="shared" si="9"/>
        <v>0</v>
      </c>
      <c r="K55" s="75">
        <f t="shared" si="4"/>
        <v>0</v>
      </c>
      <c r="L55" s="1356">
        <f>SUMIFS(Sheet1!S71_OY1AdjustedBudget,Sheet1!S71_SA34cCode,$AC:$AC,Sheet1!S71_RepMaintCode,$AD:$AD)</f>
        <v>0</v>
      </c>
      <c r="M55" s="1357">
        <f>SUMIFS(Sheet1!S71_OY2AdjustedBudget,Sheet1!S71_SA34cCode,$AC:$AC,Sheet1!S71_RepMaintCode,$AD:$AD)</f>
        <v>0</v>
      </c>
      <c r="N55" s="837"/>
      <c r="AC55" s="1336" t="s">
        <v>1926</v>
      </c>
      <c r="AD55" s="1336" t="s">
        <v>1906</v>
      </c>
    </row>
    <row r="56" spans="1:30" ht="12.75" customHeight="1" x14ac:dyDescent="0.25">
      <c r="A56" s="585" t="s">
        <v>1609</v>
      </c>
      <c r="B56" s="73"/>
      <c r="C56" s="1356">
        <f>SUMIFS(Sheet1!S71_OriginalBudget,Sheet1!S71_SA34cCode,$AC:$AC,Sheet1!S71_RepMaintCode,$AD:$AD)</f>
        <v>0</v>
      </c>
      <c r="D56" s="1356">
        <f>SUMIFS(Sheet1!S71_SpecialAdjustedBudget,Sheet1!S71_SA34cCode,$AC:$AC,Sheet1!S71_RepMaintCode,$AD:$AD)</f>
        <v>0</v>
      </c>
      <c r="E56" s="1356"/>
      <c r="F56" s="1356"/>
      <c r="G56" s="1356"/>
      <c r="H56" s="1356"/>
      <c r="I56" s="1356">
        <f>SUMIFS(Sheet1!S71_AdjustmentAmount,Sheet1!S71_SA34cCode,$AC:$AC,Sheet1!S71_RepMaintCode,$AD:$AD)</f>
        <v>0</v>
      </c>
      <c r="J56" s="75">
        <f t="shared" si="9"/>
        <v>0</v>
      </c>
      <c r="K56" s="75">
        <f t="shared" si="4"/>
        <v>0</v>
      </c>
      <c r="L56" s="1356">
        <f>SUMIFS(Sheet1!S71_OY1AdjustedBudget,Sheet1!S71_SA34cCode,$AC:$AC,Sheet1!S71_RepMaintCode,$AD:$AD)</f>
        <v>0</v>
      </c>
      <c r="M56" s="1357">
        <f>SUMIFS(Sheet1!S71_OY2AdjustedBudget,Sheet1!S71_SA34cCode,$AC:$AC,Sheet1!S71_RepMaintCode,$AD:$AD)</f>
        <v>0</v>
      </c>
      <c r="N56" s="837"/>
      <c r="AC56" s="1336" t="s">
        <v>1927</v>
      </c>
      <c r="AD56" s="1336" t="s">
        <v>1906</v>
      </c>
    </row>
    <row r="57" spans="1:30" ht="12.75" customHeight="1" x14ac:dyDescent="0.25">
      <c r="A57" s="585" t="s">
        <v>1610</v>
      </c>
      <c r="B57" s="73"/>
      <c r="C57" s="1356">
        <f>SUMIFS(Sheet1!S71_OriginalBudget,Sheet1!S71_SA34cCode,$AC:$AC,Sheet1!S71_RepMaintCode,$AD:$AD)</f>
        <v>0</v>
      </c>
      <c r="D57" s="1356">
        <f>SUMIFS(Sheet1!S71_SpecialAdjustedBudget,Sheet1!S71_SA34cCode,$AC:$AC,Sheet1!S71_RepMaintCode,$AD:$AD)</f>
        <v>0</v>
      </c>
      <c r="E57" s="1356"/>
      <c r="F57" s="1356"/>
      <c r="G57" s="1356"/>
      <c r="H57" s="1356"/>
      <c r="I57" s="1356">
        <f>SUMIFS(Sheet1!S71_AdjustmentAmount,Sheet1!S71_SA34cCode,$AC:$AC,Sheet1!S71_RepMaintCode,$AD:$AD)</f>
        <v>0</v>
      </c>
      <c r="J57" s="75">
        <f t="shared" si="9"/>
        <v>0</v>
      </c>
      <c r="K57" s="75">
        <f t="shared" si="4"/>
        <v>0</v>
      </c>
      <c r="L57" s="1356">
        <f>SUMIFS(Sheet1!S71_OY1AdjustedBudget,Sheet1!S71_SA34cCode,$AC:$AC,Sheet1!S71_RepMaintCode,$AD:$AD)</f>
        <v>0</v>
      </c>
      <c r="M57" s="1357">
        <f>SUMIFS(Sheet1!S71_OY2AdjustedBudget,Sheet1!S71_SA34cCode,$AC:$AC,Sheet1!S71_RepMaintCode,$AD:$AD)</f>
        <v>0</v>
      </c>
      <c r="N57" s="842"/>
      <c r="AC57" s="1336" t="s">
        <v>1928</v>
      </c>
      <c r="AD57" s="1336" t="s">
        <v>1906</v>
      </c>
    </row>
    <row r="58" spans="1:30" ht="12.75" customHeight="1" x14ac:dyDescent="0.25">
      <c r="A58" s="585" t="s">
        <v>1573</v>
      </c>
      <c r="B58" s="73"/>
      <c r="C58" s="1356">
        <f>SUMIFS(Sheet1!S71_OriginalBudget,Sheet1!S71_SA34cCode,$AC:$AC,Sheet1!S71_RepMaintCode,$AD:$AD)</f>
        <v>0</v>
      </c>
      <c r="D58" s="1356">
        <f>SUMIFS(Sheet1!S71_SpecialAdjustedBudget,Sheet1!S71_SA34cCode,$AC:$AC,Sheet1!S71_RepMaintCode,$AD:$AD)</f>
        <v>0</v>
      </c>
      <c r="E58" s="1356"/>
      <c r="F58" s="1356"/>
      <c r="G58" s="1356"/>
      <c r="H58" s="1356"/>
      <c r="I58" s="1356">
        <f>SUMIFS(Sheet1!S71_AdjustmentAmount,Sheet1!S71_SA34cCode,$AC:$AC,Sheet1!S71_RepMaintCode,$AD:$AD)</f>
        <v>0</v>
      </c>
      <c r="J58" s="75">
        <f t="shared" si="9"/>
        <v>0</v>
      </c>
      <c r="K58" s="75">
        <f t="shared" si="4"/>
        <v>0</v>
      </c>
      <c r="L58" s="1356">
        <f>SUMIFS(Sheet1!S71_OY1AdjustedBudget,Sheet1!S71_SA34cCode,$AC:$AC,Sheet1!S71_RepMaintCode,$AD:$AD)</f>
        <v>0</v>
      </c>
      <c r="M58" s="1357">
        <f>SUMIFS(Sheet1!S71_OY2AdjustedBudget,Sheet1!S71_SA34cCode,$AC:$AC,Sheet1!S71_RepMaintCode,$AD:$AD)</f>
        <v>0</v>
      </c>
      <c r="N58" s="842"/>
      <c r="AC58" s="1336" t="s">
        <v>1818</v>
      </c>
      <c r="AD58" s="1336" t="s">
        <v>1906</v>
      </c>
    </row>
    <row r="59" spans="1:30" ht="12.75" customHeight="1" x14ac:dyDescent="0.25">
      <c r="A59" s="585" t="s">
        <v>1574</v>
      </c>
      <c r="B59" s="73"/>
      <c r="C59" s="1356">
        <f>SUMIFS(Sheet1!S71_OriginalBudget,Sheet1!S71_SA34cCode,$AC:$AC,Sheet1!S71_RepMaintCode,$AD:$AD)</f>
        <v>0</v>
      </c>
      <c r="D59" s="1356">
        <f>SUMIFS(Sheet1!S71_SpecialAdjustedBudget,Sheet1!S71_SA34cCode,$AC:$AC,Sheet1!S71_RepMaintCode,$AD:$AD)</f>
        <v>0</v>
      </c>
      <c r="E59" s="1356"/>
      <c r="F59" s="1356"/>
      <c r="G59" s="1356"/>
      <c r="H59" s="1356"/>
      <c r="I59" s="1356">
        <f>SUMIFS(Sheet1!S71_AdjustmentAmount,Sheet1!S71_SA34cCode,$AC:$AC,Sheet1!S71_RepMaintCode,$AD:$AD)</f>
        <v>0</v>
      </c>
      <c r="J59" s="75">
        <f t="shared" si="9"/>
        <v>0</v>
      </c>
      <c r="K59" s="75">
        <f t="shared" si="4"/>
        <v>0</v>
      </c>
      <c r="L59" s="1356">
        <f>SUMIFS(Sheet1!S71_OY1AdjustedBudget,Sheet1!S71_SA34cCode,$AC:$AC,Sheet1!S71_RepMaintCode,$AD:$AD)</f>
        <v>0</v>
      </c>
      <c r="M59" s="1357">
        <f>SUMIFS(Sheet1!S71_OY2AdjustedBudget,Sheet1!S71_SA34cCode,$AC:$AC,Sheet1!S71_RepMaintCode,$AD:$AD)</f>
        <v>0</v>
      </c>
      <c r="N59" s="842"/>
      <c r="AC59" s="1336" t="s">
        <v>1929</v>
      </c>
      <c r="AD59" s="1336" t="s">
        <v>1906</v>
      </c>
    </row>
    <row r="60" spans="1:30" ht="12.75" customHeight="1" x14ac:dyDescent="0.25">
      <c r="A60" s="585" t="s">
        <v>1575</v>
      </c>
      <c r="B60" s="73"/>
      <c r="C60" s="1356">
        <f>SUMIFS(Sheet1!S71_OriginalBudget,Sheet1!S71_SA34cCode,$AC:$AC,Sheet1!S71_RepMaintCode,$AD:$AD)</f>
        <v>0</v>
      </c>
      <c r="D60" s="1356">
        <f>SUMIFS(Sheet1!S71_SpecialAdjustedBudget,Sheet1!S71_SA34cCode,$AC:$AC,Sheet1!S71_RepMaintCode,$AD:$AD)</f>
        <v>0</v>
      </c>
      <c r="E60" s="1356"/>
      <c r="F60" s="1356"/>
      <c r="G60" s="1356"/>
      <c r="H60" s="1356"/>
      <c r="I60" s="1356">
        <f>SUMIFS(Sheet1!S71_AdjustmentAmount,Sheet1!S71_SA34cCode,$AC:$AC,Sheet1!S71_RepMaintCode,$AD:$AD)</f>
        <v>0</v>
      </c>
      <c r="J60" s="75">
        <f t="shared" si="9"/>
        <v>0</v>
      </c>
      <c r="K60" s="75">
        <f t="shared" si="4"/>
        <v>0</v>
      </c>
      <c r="L60" s="1356">
        <f>SUMIFS(Sheet1!S71_OY1AdjustedBudget,Sheet1!S71_SA34cCode,$AC:$AC,Sheet1!S71_RepMaintCode,$AD:$AD)</f>
        <v>0</v>
      </c>
      <c r="M60" s="1357">
        <f>SUMIFS(Sheet1!S71_OY2AdjustedBudget,Sheet1!S71_SA34cCode,$AC:$AC,Sheet1!S71_RepMaintCode,$AD:$AD)</f>
        <v>0</v>
      </c>
      <c r="N60" s="842"/>
      <c r="AC60" s="1336" t="s">
        <v>1930</v>
      </c>
      <c r="AD60" s="1336" t="s">
        <v>1906</v>
      </c>
    </row>
    <row r="61" spans="1:30" ht="12.75" customHeight="1" x14ac:dyDescent="0.25">
      <c r="A61" s="585" t="s">
        <v>1581</v>
      </c>
      <c r="B61" s="73"/>
      <c r="C61" s="1356">
        <f>SUMIFS(Sheet1!S71_OriginalBudget,Sheet1!S71_SA34cCode,$AC:$AC,Sheet1!S71_RepMaintCode,$AD:$AD)</f>
        <v>0</v>
      </c>
      <c r="D61" s="1356">
        <f>SUMIFS(Sheet1!S71_SpecialAdjustedBudget,Sheet1!S71_SA34cCode,$AC:$AC,Sheet1!S71_RepMaintCode,$AD:$AD)</f>
        <v>0</v>
      </c>
      <c r="E61" s="1356"/>
      <c r="F61" s="1356"/>
      <c r="G61" s="1356"/>
      <c r="H61" s="1356"/>
      <c r="I61" s="1356">
        <f>SUMIFS(Sheet1!S71_AdjustmentAmount,Sheet1!S71_SA34cCode,$AC:$AC,Sheet1!S71_RepMaintCode,$AD:$AD)</f>
        <v>0</v>
      </c>
      <c r="J61" s="75">
        <f t="shared" si="9"/>
        <v>0</v>
      </c>
      <c r="K61" s="75">
        <f t="shared" si="4"/>
        <v>0</v>
      </c>
      <c r="L61" s="1356">
        <f>SUMIFS(Sheet1!S71_OY1AdjustedBudget,Sheet1!S71_SA34cCode,$AC:$AC,Sheet1!S71_RepMaintCode,$AD:$AD)</f>
        <v>0</v>
      </c>
      <c r="M61" s="1357">
        <f>SUMIFS(Sheet1!S71_OY2AdjustedBudget,Sheet1!S71_SA34cCode,$AC:$AC,Sheet1!S71_RepMaintCode,$AD:$AD)</f>
        <v>0</v>
      </c>
      <c r="N61" s="842"/>
      <c r="AC61" s="1336" t="s">
        <v>1931</v>
      </c>
      <c r="AD61" s="1336" t="s">
        <v>1906</v>
      </c>
    </row>
    <row r="62" spans="1:30" ht="12.75" customHeight="1" x14ac:dyDescent="0.25">
      <c r="A62" s="585" t="s">
        <v>1584</v>
      </c>
      <c r="B62" s="73"/>
      <c r="C62" s="1356">
        <f>SUMIFS(Sheet1!S71_OriginalBudget,Sheet1!S71_SA34cCode,$AC:$AC,Sheet1!S71_RepMaintCode,$AD:$AD)</f>
        <v>0</v>
      </c>
      <c r="D62" s="1356">
        <f>SUMIFS(Sheet1!S71_SpecialAdjustedBudget,Sheet1!S71_SA34cCode,$AC:$AC,Sheet1!S71_RepMaintCode,$AD:$AD)</f>
        <v>0</v>
      </c>
      <c r="E62" s="1356"/>
      <c r="F62" s="1356"/>
      <c r="G62" s="1356"/>
      <c r="H62" s="1356"/>
      <c r="I62" s="1356">
        <f>SUMIFS(Sheet1!S71_AdjustmentAmount,Sheet1!S71_SA34cCode,$AC:$AC,Sheet1!S71_RepMaintCode,$AD:$AD)</f>
        <v>0</v>
      </c>
      <c r="J62" s="75">
        <f t="shared" si="9"/>
        <v>0</v>
      </c>
      <c r="K62" s="75">
        <f t="shared" si="4"/>
        <v>0</v>
      </c>
      <c r="L62" s="1356">
        <f>SUMIFS(Sheet1!S71_OY1AdjustedBudget,Sheet1!S71_SA34cCode,$AC:$AC,Sheet1!S71_RepMaintCode,$AD:$AD)</f>
        <v>0</v>
      </c>
      <c r="M62" s="1357">
        <f>SUMIFS(Sheet1!S71_OY2AdjustedBudget,Sheet1!S71_SA34cCode,$AC:$AC,Sheet1!S71_RepMaintCode,$AD:$AD)</f>
        <v>0</v>
      </c>
      <c r="N62" s="837"/>
      <c r="AC62" s="1336" t="s">
        <v>1932</v>
      </c>
      <c r="AD62" s="1336" t="s">
        <v>1906</v>
      </c>
    </row>
    <row r="63" spans="1:30" ht="12.75" customHeight="1" x14ac:dyDescent="0.25">
      <c r="A63" s="585" t="s">
        <v>1571</v>
      </c>
      <c r="B63" s="73"/>
      <c r="C63" s="1356">
        <f>SUMIFS(Sheet1!S71_OriginalBudget,Sheet1!S71_SA34cCode,$AC:$AC,Sheet1!S71_RepMaintCode,$AD:$AD)</f>
        <v>0</v>
      </c>
      <c r="D63" s="1356">
        <f>SUMIFS(Sheet1!S71_SpecialAdjustedBudget,Sheet1!S71_SA34cCode,$AC:$AC,Sheet1!S71_RepMaintCode,$AD:$AD)</f>
        <v>0</v>
      </c>
      <c r="E63" s="1356"/>
      <c r="F63" s="1356"/>
      <c r="G63" s="1356"/>
      <c r="H63" s="1356"/>
      <c r="I63" s="1356">
        <f>SUMIFS(Sheet1!S71_AdjustmentAmount,Sheet1!S71_SA34cCode,$AC:$AC,Sheet1!S71_RepMaintCode,$AD:$AD)</f>
        <v>0</v>
      </c>
      <c r="J63" s="75">
        <f t="shared" si="9"/>
        <v>0</v>
      </c>
      <c r="K63" s="75">
        <f t="shared" si="4"/>
        <v>0</v>
      </c>
      <c r="L63" s="1356">
        <f>SUMIFS(Sheet1!S71_OY1AdjustedBudget,Sheet1!S71_SA34cCode,$AC:$AC,Sheet1!S71_RepMaintCode,$AD:$AD)</f>
        <v>0</v>
      </c>
      <c r="M63" s="1357">
        <f>SUMIFS(Sheet1!S71_OY2AdjustedBudget,Sheet1!S71_SA34cCode,$AC:$AC,Sheet1!S71_RepMaintCode,$AD:$AD)</f>
        <v>0</v>
      </c>
      <c r="N63" s="842"/>
      <c r="AC63" s="1336" t="s">
        <v>1933</v>
      </c>
      <c r="AD63" s="1336" t="s">
        <v>1906</v>
      </c>
    </row>
    <row r="64" spans="1:30" ht="12.75" customHeight="1" x14ac:dyDescent="0.25">
      <c r="A64" s="586" t="s">
        <v>1611</v>
      </c>
      <c r="B64" s="73"/>
      <c r="C64" s="1110">
        <f t="shared" ref="C64:M64" si="12">SUM(C65:C69)</f>
        <v>0</v>
      </c>
      <c r="D64" s="130">
        <f t="shared" si="12"/>
        <v>0</v>
      </c>
      <c r="E64" s="130">
        <f t="shared" si="12"/>
        <v>0</v>
      </c>
      <c r="F64" s="130">
        <f t="shared" si="12"/>
        <v>0</v>
      </c>
      <c r="G64" s="130">
        <f t="shared" si="12"/>
        <v>0</v>
      </c>
      <c r="H64" s="130">
        <f t="shared" si="12"/>
        <v>0</v>
      </c>
      <c r="I64" s="130">
        <f t="shared" si="12"/>
        <v>0</v>
      </c>
      <c r="J64" s="75">
        <f t="shared" si="9"/>
        <v>0</v>
      </c>
      <c r="K64" s="75">
        <f t="shared" si="4"/>
        <v>0</v>
      </c>
      <c r="L64" s="130">
        <f t="shared" si="12"/>
        <v>0</v>
      </c>
      <c r="M64" s="131">
        <f t="shared" si="12"/>
        <v>0</v>
      </c>
      <c r="N64" s="126"/>
      <c r="AD64" s="1336" t="s">
        <v>1906</v>
      </c>
    </row>
    <row r="65" spans="1:30" ht="12.75" customHeight="1" x14ac:dyDescent="0.25">
      <c r="A65" s="585" t="s">
        <v>1612</v>
      </c>
      <c r="B65" s="73"/>
      <c r="C65" s="1356">
        <f>SUMIFS(Sheet1!S71_OriginalBudget,Sheet1!S71_SA34cCode,$AC:$AC,Sheet1!S71_RepMaintCode,$AD:$AD)</f>
        <v>0</v>
      </c>
      <c r="D65" s="1356">
        <f>SUMIFS(Sheet1!S71_SpecialAdjustedBudget,Sheet1!S71_SA34cCode,$AC:$AC,Sheet1!S71_RepMaintCode,$AD:$AD)</f>
        <v>0</v>
      </c>
      <c r="E65" s="1356"/>
      <c r="F65" s="1356"/>
      <c r="G65" s="1356"/>
      <c r="H65" s="1356"/>
      <c r="I65" s="1356">
        <f>SUMIFS(Sheet1!S71_AdjustmentAmount,Sheet1!S71_SA34cCode,$AC:$AC,Sheet1!S71_RepMaintCode,$AD:$AD)</f>
        <v>0</v>
      </c>
      <c r="J65" s="75">
        <f t="shared" si="9"/>
        <v>0</v>
      </c>
      <c r="K65" s="75">
        <f t="shared" si="4"/>
        <v>0</v>
      </c>
      <c r="L65" s="1356">
        <f>SUMIFS(Sheet1!S71_OY1AdjustedBudget,Sheet1!S71_SA34cCode,$AC:$AC,Sheet1!S71_RepMaintCode,$AD:$AD)</f>
        <v>0</v>
      </c>
      <c r="M65" s="1357">
        <f>SUMIFS(Sheet1!S71_OY2AdjustedBudget,Sheet1!S71_SA34cCode,$AC:$AC,Sheet1!S71_RepMaintCode,$AD:$AD)</f>
        <v>0</v>
      </c>
      <c r="N65" s="837"/>
      <c r="AC65" s="1336" t="s">
        <v>1934</v>
      </c>
      <c r="AD65" s="1336" t="s">
        <v>1906</v>
      </c>
    </row>
    <row r="66" spans="1:30" ht="12.75" customHeight="1" x14ac:dyDescent="0.25">
      <c r="A66" s="585" t="s">
        <v>1613</v>
      </c>
      <c r="B66" s="73"/>
      <c r="C66" s="1356">
        <f>SUMIFS(Sheet1!S71_OriginalBudget,Sheet1!S71_SA34cCode,$AC:$AC,Sheet1!S71_RepMaintCode,$AD:$AD)</f>
        <v>0</v>
      </c>
      <c r="D66" s="1356">
        <f>SUMIFS(Sheet1!S71_SpecialAdjustedBudget,Sheet1!S71_SA34cCode,$AC:$AC,Sheet1!S71_RepMaintCode,$AD:$AD)</f>
        <v>0</v>
      </c>
      <c r="E66" s="1356"/>
      <c r="F66" s="1356"/>
      <c r="G66" s="1356"/>
      <c r="H66" s="1356"/>
      <c r="I66" s="1356">
        <f>SUMIFS(Sheet1!S71_AdjustmentAmount,Sheet1!S71_SA34cCode,$AC:$AC,Sheet1!S71_RepMaintCode,$AD:$AD)</f>
        <v>0</v>
      </c>
      <c r="J66" s="75">
        <f t="shared" si="9"/>
        <v>0</v>
      </c>
      <c r="K66" s="75">
        <f t="shared" si="4"/>
        <v>0</v>
      </c>
      <c r="L66" s="1356">
        <f>SUMIFS(Sheet1!S71_OY1AdjustedBudget,Sheet1!S71_SA34cCode,$AC:$AC,Sheet1!S71_RepMaintCode,$AD:$AD)</f>
        <v>0</v>
      </c>
      <c r="M66" s="1357">
        <f>SUMIFS(Sheet1!S71_OY2AdjustedBudget,Sheet1!S71_SA34cCode,$AC:$AC,Sheet1!S71_RepMaintCode,$AD:$AD)</f>
        <v>0</v>
      </c>
      <c r="N66" s="837"/>
      <c r="AC66" s="1336" t="s">
        <v>1935</v>
      </c>
      <c r="AD66" s="1336" t="s">
        <v>1906</v>
      </c>
    </row>
    <row r="67" spans="1:30" ht="12.75" customHeight="1" x14ac:dyDescent="0.25">
      <c r="A67" s="585" t="s">
        <v>1614</v>
      </c>
      <c r="B67" s="73"/>
      <c r="C67" s="1356">
        <f>SUMIFS(Sheet1!S71_OriginalBudget,Sheet1!S71_SA34cCode,$AC:$AC,Sheet1!S71_RepMaintCode,$AD:$AD)</f>
        <v>0</v>
      </c>
      <c r="D67" s="1356">
        <f>SUMIFS(Sheet1!S71_SpecialAdjustedBudget,Sheet1!S71_SA34cCode,$AC:$AC,Sheet1!S71_RepMaintCode,$AD:$AD)</f>
        <v>0</v>
      </c>
      <c r="E67" s="1356"/>
      <c r="F67" s="1356"/>
      <c r="G67" s="1356"/>
      <c r="H67" s="1356"/>
      <c r="I67" s="1356">
        <f>SUMIFS(Sheet1!S71_AdjustmentAmount,Sheet1!S71_SA34cCode,$AC:$AC,Sheet1!S71_RepMaintCode,$AD:$AD)</f>
        <v>0</v>
      </c>
      <c r="J67" s="75">
        <f t="shared" si="9"/>
        <v>0</v>
      </c>
      <c r="K67" s="75">
        <f t="shared" si="4"/>
        <v>0</v>
      </c>
      <c r="L67" s="1356">
        <f>SUMIFS(Sheet1!S71_OY1AdjustedBudget,Sheet1!S71_SA34cCode,$AC:$AC,Sheet1!S71_RepMaintCode,$AD:$AD)</f>
        <v>0</v>
      </c>
      <c r="M67" s="1357">
        <f>SUMIFS(Sheet1!S71_OY2AdjustedBudget,Sheet1!S71_SA34cCode,$AC:$AC,Sheet1!S71_RepMaintCode,$AD:$AD)</f>
        <v>0</v>
      </c>
      <c r="N67" s="842"/>
      <c r="AC67" s="1336" t="s">
        <v>1936</v>
      </c>
      <c r="AD67" s="1336" t="s">
        <v>1906</v>
      </c>
    </row>
    <row r="68" spans="1:30" ht="12.75" customHeight="1" x14ac:dyDescent="0.25">
      <c r="A68" s="585" t="s">
        <v>1615</v>
      </c>
      <c r="B68" s="73"/>
      <c r="C68" s="1356">
        <f>SUMIFS(Sheet1!S71_OriginalBudget,Sheet1!S71_SA34cCode,$AC:$AC,Sheet1!S71_RepMaintCode,$AD:$AD)</f>
        <v>0</v>
      </c>
      <c r="D68" s="1356">
        <f>SUMIFS(Sheet1!S71_SpecialAdjustedBudget,Sheet1!S71_SA34cCode,$AC:$AC,Sheet1!S71_RepMaintCode,$AD:$AD)</f>
        <v>0</v>
      </c>
      <c r="E68" s="1356"/>
      <c r="F68" s="1356"/>
      <c r="G68" s="1356"/>
      <c r="H68" s="1356"/>
      <c r="I68" s="1356">
        <f>SUMIFS(Sheet1!S71_AdjustmentAmount,Sheet1!S71_SA34cCode,$AC:$AC,Sheet1!S71_RepMaintCode,$AD:$AD)</f>
        <v>0</v>
      </c>
      <c r="J68" s="75">
        <f t="shared" si="9"/>
        <v>0</v>
      </c>
      <c r="K68" s="75">
        <f t="shared" si="4"/>
        <v>0</v>
      </c>
      <c r="L68" s="1356">
        <f>SUMIFS(Sheet1!S71_OY1AdjustedBudget,Sheet1!S71_SA34cCode,$AC:$AC,Sheet1!S71_RepMaintCode,$AD:$AD)</f>
        <v>0</v>
      </c>
      <c r="M68" s="1357">
        <f>SUMIFS(Sheet1!S71_OY2AdjustedBudget,Sheet1!S71_SA34cCode,$AC:$AC,Sheet1!S71_RepMaintCode,$AD:$AD)</f>
        <v>0</v>
      </c>
      <c r="N68" s="837"/>
      <c r="AC68" s="1336" t="s">
        <v>1937</v>
      </c>
      <c r="AD68" s="1336" t="s">
        <v>1906</v>
      </c>
    </row>
    <row r="69" spans="1:30" ht="12.75" customHeight="1" x14ac:dyDescent="0.25">
      <c r="A69" s="585" t="s">
        <v>1571</v>
      </c>
      <c r="B69" s="73"/>
      <c r="C69" s="1356">
        <f>SUMIFS(Sheet1!S71_OriginalBudget,Sheet1!S71_SA34cCode,$AC:$AC,Sheet1!S71_RepMaintCode,$AD:$AD)</f>
        <v>0</v>
      </c>
      <c r="D69" s="1356">
        <f>SUMIFS(Sheet1!S71_SpecialAdjustedBudget,Sheet1!S71_SA34cCode,$AC:$AC,Sheet1!S71_RepMaintCode,$AD:$AD)</f>
        <v>0</v>
      </c>
      <c r="E69" s="1356"/>
      <c r="F69" s="1356"/>
      <c r="G69" s="1356"/>
      <c r="H69" s="1356"/>
      <c r="I69" s="1356">
        <f>SUMIFS(Sheet1!S71_AdjustmentAmount,Sheet1!S71_SA34cCode,$AC:$AC,Sheet1!S71_RepMaintCode,$AD:$AD)</f>
        <v>0</v>
      </c>
      <c r="J69" s="75">
        <f t="shared" si="9"/>
        <v>0</v>
      </c>
      <c r="K69" s="75">
        <f t="shared" si="4"/>
        <v>0</v>
      </c>
      <c r="L69" s="1356">
        <f>SUMIFS(Sheet1!S71_OY1AdjustedBudget,Sheet1!S71_SA34cCode,$AC:$AC,Sheet1!S71_RepMaintCode,$AD:$AD)</f>
        <v>0</v>
      </c>
      <c r="M69" s="1357">
        <f>SUMIFS(Sheet1!S71_OY2AdjustedBudget,Sheet1!S71_SA34cCode,$AC:$AC,Sheet1!S71_RepMaintCode,$AD:$AD)</f>
        <v>0</v>
      </c>
      <c r="N69" s="842"/>
      <c r="AC69" s="1336" t="s">
        <v>1938</v>
      </c>
      <c r="AD69" s="1336" t="s">
        <v>1906</v>
      </c>
    </row>
    <row r="70" spans="1:30" ht="12.75" customHeight="1" x14ac:dyDescent="0.25">
      <c r="A70" s="584" t="s">
        <v>1616</v>
      </c>
      <c r="B70" s="73"/>
      <c r="C70" s="130">
        <f t="shared" ref="C70:M70" si="13">SUM(C71:C74)</f>
        <v>0</v>
      </c>
      <c r="D70" s="130">
        <f t="shared" si="13"/>
        <v>0</v>
      </c>
      <c r="E70" s="130">
        <f t="shared" si="13"/>
        <v>0</v>
      </c>
      <c r="F70" s="130">
        <f t="shared" si="13"/>
        <v>0</v>
      </c>
      <c r="G70" s="130">
        <f t="shared" si="13"/>
        <v>0</v>
      </c>
      <c r="H70" s="130">
        <f t="shared" si="13"/>
        <v>0</v>
      </c>
      <c r="I70" s="130">
        <f t="shared" si="13"/>
        <v>0</v>
      </c>
      <c r="J70" s="75">
        <f t="shared" si="9"/>
        <v>0</v>
      </c>
      <c r="K70" s="75">
        <f t="shared" si="4"/>
        <v>0</v>
      </c>
      <c r="L70" s="130">
        <f t="shared" si="13"/>
        <v>0</v>
      </c>
      <c r="M70" s="131">
        <f t="shared" si="13"/>
        <v>0</v>
      </c>
      <c r="N70" s="842"/>
      <c r="AD70" s="1336" t="s">
        <v>1906</v>
      </c>
    </row>
    <row r="71" spans="1:30" ht="12.75" customHeight="1" x14ac:dyDescent="0.25">
      <c r="A71" s="585" t="s">
        <v>1617</v>
      </c>
      <c r="B71" s="73"/>
      <c r="C71" s="1356">
        <f>SUMIFS(Sheet1!S71_OriginalBudget,Sheet1!S71_SA34cCode,$AC:$AC,Sheet1!S71_RepMaintCode,$AD:$AD)</f>
        <v>0</v>
      </c>
      <c r="D71" s="1356">
        <f>SUMIFS(Sheet1!S71_SpecialAdjustedBudget,Sheet1!S71_SA34cCode,$AC:$AC,Sheet1!S71_RepMaintCode,$AD:$AD)</f>
        <v>0</v>
      </c>
      <c r="E71" s="1356"/>
      <c r="F71" s="1356"/>
      <c r="G71" s="1356"/>
      <c r="H71" s="1356"/>
      <c r="I71" s="1356">
        <f>SUMIFS(Sheet1!S71_AdjustmentAmount,Sheet1!S71_SA34cCode,$AC:$AC,Sheet1!S71_RepMaintCode,$AD:$AD)</f>
        <v>0</v>
      </c>
      <c r="J71" s="75">
        <f t="shared" si="9"/>
        <v>0</v>
      </c>
      <c r="K71" s="75">
        <f t="shared" si="4"/>
        <v>0</v>
      </c>
      <c r="L71" s="1356">
        <f>SUMIFS(Sheet1!S71_OY1AdjustedBudget,Sheet1!S71_SA34cCode,$AC:$AC,Sheet1!S71_RepMaintCode,$AD:$AD)</f>
        <v>0</v>
      </c>
      <c r="M71" s="1357">
        <f>SUMIFS(Sheet1!S71_OY2AdjustedBudget,Sheet1!S71_SA34cCode,$AC:$AC,Sheet1!S71_RepMaintCode,$AD:$AD)</f>
        <v>0</v>
      </c>
      <c r="N71" s="842"/>
      <c r="AC71" s="1336" t="s">
        <v>1939</v>
      </c>
      <c r="AD71" s="1336" t="s">
        <v>1906</v>
      </c>
    </row>
    <row r="72" spans="1:30" ht="12.75" customHeight="1" x14ac:dyDescent="0.25">
      <c r="A72" s="585" t="s">
        <v>1618</v>
      </c>
      <c r="B72" s="73"/>
      <c r="C72" s="1356">
        <f>SUMIFS(Sheet1!S71_OriginalBudget,Sheet1!S71_SA34cCode,$AC:$AC,Sheet1!S71_RepMaintCode,$AD:$AD)</f>
        <v>0</v>
      </c>
      <c r="D72" s="1356">
        <f>SUMIFS(Sheet1!S71_SpecialAdjustedBudget,Sheet1!S71_SA34cCode,$AC:$AC,Sheet1!S71_RepMaintCode,$AD:$AD)</f>
        <v>0</v>
      </c>
      <c r="E72" s="1356"/>
      <c r="F72" s="1356"/>
      <c r="G72" s="1356"/>
      <c r="H72" s="1356"/>
      <c r="I72" s="1356">
        <f>SUMIFS(Sheet1!S71_AdjustmentAmount,Sheet1!S71_SA34cCode,$AC:$AC,Sheet1!S71_RepMaintCode,$AD:$AD)</f>
        <v>0</v>
      </c>
      <c r="J72" s="75">
        <f t="shared" si="9"/>
        <v>0</v>
      </c>
      <c r="K72" s="75">
        <f t="shared" si="4"/>
        <v>0</v>
      </c>
      <c r="L72" s="1356">
        <f>SUMIFS(Sheet1!S71_OY1AdjustedBudget,Sheet1!S71_SA34cCode,$AC:$AC,Sheet1!S71_RepMaintCode,$AD:$AD)</f>
        <v>0</v>
      </c>
      <c r="M72" s="1357">
        <f>SUMIFS(Sheet1!S71_OY2AdjustedBudget,Sheet1!S71_SA34cCode,$AC:$AC,Sheet1!S71_RepMaintCode,$AD:$AD)</f>
        <v>0</v>
      </c>
      <c r="N72" s="842"/>
      <c r="AC72" s="1336" t="s">
        <v>1940</v>
      </c>
      <c r="AD72" s="1336" t="s">
        <v>1906</v>
      </c>
    </row>
    <row r="73" spans="1:30" ht="12.75" customHeight="1" x14ac:dyDescent="0.25">
      <c r="A73" s="585" t="s">
        <v>1619</v>
      </c>
      <c r="B73" s="73"/>
      <c r="C73" s="1356">
        <f>SUMIFS(Sheet1!S71_OriginalBudget,Sheet1!S71_SA34cCode,$AC:$AC,Sheet1!S71_RepMaintCode,$AD:$AD)</f>
        <v>0</v>
      </c>
      <c r="D73" s="1356">
        <f>SUMIFS(Sheet1!S71_SpecialAdjustedBudget,Sheet1!S71_SA34cCode,$AC:$AC,Sheet1!S71_RepMaintCode,$AD:$AD)</f>
        <v>0</v>
      </c>
      <c r="E73" s="1356"/>
      <c r="F73" s="1356"/>
      <c r="G73" s="1356"/>
      <c r="H73" s="1356"/>
      <c r="I73" s="1356">
        <f>SUMIFS(Sheet1!S71_AdjustmentAmount,Sheet1!S71_SA34cCode,$AC:$AC,Sheet1!S71_RepMaintCode,$AD:$AD)</f>
        <v>0</v>
      </c>
      <c r="J73" s="75">
        <f t="shared" ref="J73:J74" si="14">SUM(E73:I73)</f>
        <v>0</v>
      </c>
      <c r="K73" s="75">
        <f t="shared" ref="K73:K136" si="15">IF(D73=0,C73+J73,D73+J73)</f>
        <v>0</v>
      </c>
      <c r="L73" s="1356">
        <f>SUMIFS(Sheet1!S71_OY1AdjustedBudget,Sheet1!S71_SA34cCode,$AC:$AC,Sheet1!S71_RepMaintCode,$AD:$AD)</f>
        <v>0</v>
      </c>
      <c r="M73" s="1357">
        <f>SUMIFS(Sheet1!S71_OY2AdjustedBudget,Sheet1!S71_SA34cCode,$AC:$AC,Sheet1!S71_RepMaintCode,$AD:$AD)</f>
        <v>0</v>
      </c>
      <c r="N73" s="842"/>
      <c r="AC73" s="1336" t="s">
        <v>1941</v>
      </c>
      <c r="AD73" s="1336" t="s">
        <v>1906</v>
      </c>
    </row>
    <row r="74" spans="1:30" ht="12.75" customHeight="1" x14ac:dyDescent="0.25">
      <c r="A74" s="585" t="s">
        <v>1571</v>
      </c>
      <c r="B74" s="73"/>
      <c r="C74" s="1356">
        <f>SUMIFS(Sheet1!S71_OriginalBudget,Sheet1!S71_SA34cCode,$AC:$AC,Sheet1!S71_RepMaintCode,$AD:$AD)</f>
        <v>0</v>
      </c>
      <c r="D74" s="1356">
        <f>SUMIFS(Sheet1!S71_SpecialAdjustedBudget,Sheet1!S71_SA34cCode,$AC:$AC,Sheet1!S71_RepMaintCode,$AD:$AD)</f>
        <v>0</v>
      </c>
      <c r="E74" s="1356"/>
      <c r="F74" s="1356"/>
      <c r="G74" s="1356"/>
      <c r="H74" s="1356"/>
      <c r="I74" s="1356">
        <f>SUMIFS(Sheet1!S71_AdjustmentAmount,Sheet1!S71_SA34cCode,$AC:$AC,Sheet1!S71_RepMaintCode,$AD:$AD)</f>
        <v>0</v>
      </c>
      <c r="J74" s="75">
        <f t="shared" si="14"/>
        <v>0</v>
      </c>
      <c r="K74" s="75">
        <f t="shared" si="15"/>
        <v>0</v>
      </c>
      <c r="L74" s="1356">
        <f>SUMIFS(Sheet1!S71_OY1AdjustedBudget,Sheet1!S71_SA34cCode,$AC:$AC,Sheet1!S71_RepMaintCode,$AD:$AD)</f>
        <v>0</v>
      </c>
      <c r="M74" s="1357">
        <f>SUMIFS(Sheet1!S71_OY2AdjustedBudget,Sheet1!S71_SA34cCode,$AC:$AC,Sheet1!S71_RepMaintCode,$AD:$AD)</f>
        <v>0</v>
      </c>
      <c r="N74" s="842"/>
      <c r="AC74" s="1336" t="s">
        <v>1942</v>
      </c>
      <c r="AD74" s="1336" t="s">
        <v>1906</v>
      </c>
    </row>
    <row r="75" spans="1:30" ht="5.0999999999999996" customHeight="1" x14ac:dyDescent="0.25">
      <c r="A75" s="134"/>
      <c r="B75" s="73"/>
      <c r="C75" s="74"/>
      <c r="D75" s="75"/>
      <c r="E75" s="75"/>
      <c r="F75" s="75"/>
      <c r="G75" s="75"/>
      <c r="H75" s="75"/>
      <c r="I75" s="75"/>
      <c r="J75" s="75"/>
      <c r="K75" s="75"/>
      <c r="L75" s="75"/>
      <c r="M75" s="76"/>
      <c r="N75" s="126"/>
      <c r="AD75" s="1336" t="s">
        <v>1906</v>
      </c>
    </row>
    <row r="76" spans="1:30" ht="12.75" customHeight="1" x14ac:dyDescent="0.25">
      <c r="A76" s="484" t="s">
        <v>1620</v>
      </c>
      <c r="B76" s="73"/>
      <c r="C76" s="234">
        <f>+C77+C100</f>
        <v>3500000</v>
      </c>
      <c r="D76" s="235">
        <f>+D77+D100</f>
        <v>3500000</v>
      </c>
      <c r="E76" s="235">
        <f t="shared" ref="E76:M76" si="16">+E77+E100</f>
        <v>0</v>
      </c>
      <c r="F76" s="235">
        <f t="shared" si="16"/>
        <v>0</v>
      </c>
      <c r="G76" s="235">
        <f t="shared" si="16"/>
        <v>0</v>
      </c>
      <c r="H76" s="235">
        <f t="shared" si="16"/>
        <v>0</v>
      </c>
      <c r="I76" s="235">
        <f t="shared" si="16"/>
        <v>2979775</v>
      </c>
      <c r="J76" s="143">
        <f t="shared" ref="J76:J103" si="17">SUM(E76:I76)</f>
        <v>2979775</v>
      </c>
      <c r="K76" s="143">
        <f t="shared" si="15"/>
        <v>6479775</v>
      </c>
      <c r="L76" s="235">
        <f t="shared" si="16"/>
        <v>3850000</v>
      </c>
      <c r="M76" s="236">
        <f t="shared" si="16"/>
        <v>4235000</v>
      </c>
      <c r="N76" s="126"/>
      <c r="AD76" s="1336" t="s">
        <v>1906</v>
      </c>
    </row>
    <row r="77" spans="1:30" ht="12.75" customHeight="1" x14ac:dyDescent="0.25">
      <c r="A77" s="584" t="s">
        <v>1621</v>
      </c>
      <c r="B77" s="73"/>
      <c r="C77" s="130">
        <f>SUM(C78:C99)</f>
        <v>2000000</v>
      </c>
      <c r="D77" s="130">
        <f>SUM(D78:D99)</f>
        <v>2000000</v>
      </c>
      <c r="E77" s="130">
        <f t="shared" ref="E77:M77" si="18">SUM(E78:E99)</f>
        <v>0</v>
      </c>
      <c r="F77" s="130">
        <f t="shared" si="18"/>
        <v>0</v>
      </c>
      <c r="G77" s="130">
        <f t="shared" si="18"/>
        <v>0</v>
      </c>
      <c r="H77" s="130">
        <f t="shared" si="18"/>
        <v>0</v>
      </c>
      <c r="I77" s="130">
        <f t="shared" si="18"/>
        <v>2979775</v>
      </c>
      <c r="J77" s="75">
        <f t="shared" si="17"/>
        <v>2979775</v>
      </c>
      <c r="K77" s="75">
        <f t="shared" si="15"/>
        <v>4979775</v>
      </c>
      <c r="L77" s="130">
        <f t="shared" si="18"/>
        <v>2200000</v>
      </c>
      <c r="M77" s="131">
        <f t="shared" si="18"/>
        <v>2420000</v>
      </c>
      <c r="N77" s="842"/>
      <c r="AD77" s="1336" t="s">
        <v>1906</v>
      </c>
    </row>
    <row r="78" spans="1:30" ht="12.75" customHeight="1" x14ac:dyDescent="0.25">
      <c r="A78" s="585" t="s">
        <v>1622</v>
      </c>
      <c r="B78" s="73"/>
      <c r="C78" s="1356">
        <f>SUMIFS(Sheet1!S71_OriginalBudget,Sheet1!S71_SA34cCode,$AC:$AC,Sheet1!S71_RepMaintCode,$AD:$AD)</f>
        <v>2000000</v>
      </c>
      <c r="D78" s="1356">
        <f>SUMIFS(Sheet1!S71_SpecialAdjustedBudget,Sheet1!S71_SA34cCode,$AC:$AC,Sheet1!S71_RepMaintCode,$AD:$AD)</f>
        <v>2000000</v>
      </c>
      <c r="E78" s="1356"/>
      <c r="F78" s="1356"/>
      <c r="G78" s="1356"/>
      <c r="H78" s="1356"/>
      <c r="I78" s="1356">
        <f>SUMIFS(Sheet1!S71_AdjustmentAmount,Sheet1!S71_SA34cCode,$AC:$AC,Sheet1!S71_RepMaintCode,$AD:$AD)</f>
        <v>2979775</v>
      </c>
      <c r="J78" s="75">
        <f t="shared" si="17"/>
        <v>2979775</v>
      </c>
      <c r="K78" s="75">
        <f t="shared" si="15"/>
        <v>4979775</v>
      </c>
      <c r="L78" s="1356">
        <f>SUMIFS(Sheet1!S71_OY1AdjustedBudget,Sheet1!S71_SA34cCode,$AC:$AC,Sheet1!S71_RepMaintCode,$AD:$AD)</f>
        <v>2200000</v>
      </c>
      <c r="M78" s="1357">
        <f>SUMIFS(Sheet1!S71_OY2AdjustedBudget,Sheet1!S71_SA34cCode,$AC:$AC,Sheet1!S71_RepMaintCode,$AD:$AD)</f>
        <v>2420000</v>
      </c>
      <c r="N78" s="126"/>
      <c r="AC78" s="1336" t="s">
        <v>1943</v>
      </c>
      <c r="AD78" s="1336" t="s">
        <v>1906</v>
      </c>
    </row>
    <row r="79" spans="1:30" ht="12.75" customHeight="1" x14ac:dyDescent="0.25">
      <c r="A79" s="585" t="s">
        <v>1623</v>
      </c>
      <c r="B79" s="73"/>
      <c r="C79" s="1356">
        <f>SUMIFS(Sheet1!S71_OriginalBudget,Sheet1!S71_SA34cCode,$AC:$AC,Sheet1!S71_RepMaintCode,$AD:$AD)</f>
        <v>0</v>
      </c>
      <c r="D79" s="1356">
        <f>SUMIFS(Sheet1!S71_SpecialAdjustedBudget,Sheet1!S71_SA34cCode,$AC:$AC,Sheet1!S71_RepMaintCode,$AD:$AD)</f>
        <v>0</v>
      </c>
      <c r="E79" s="1356"/>
      <c r="F79" s="1356"/>
      <c r="G79" s="1356"/>
      <c r="H79" s="1356"/>
      <c r="I79" s="1356">
        <f>SUMIFS(Sheet1!S71_AdjustmentAmount,Sheet1!S71_SA34cCode,$AC:$AC,Sheet1!S71_RepMaintCode,$AD:$AD)</f>
        <v>0</v>
      </c>
      <c r="J79" s="75">
        <f t="shared" si="17"/>
        <v>0</v>
      </c>
      <c r="K79" s="75">
        <f t="shared" si="15"/>
        <v>0</v>
      </c>
      <c r="L79" s="1356">
        <f>SUMIFS(Sheet1!S71_OY1AdjustedBudget,Sheet1!S71_SA34cCode,$AC:$AC,Sheet1!S71_RepMaintCode,$AD:$AD)</f>
        <v>0</v>
      </c>
      <c r="M79" s="1357">
        <f>SUMIFS(Sheet1!S71_OY2AdjustedBudget,Sheet1!S71_SA34cCode,$AC:$AC,Sheet1!S71_RepMaintCode,$AD:$AD)</f>
        <v>0</v>
      </c>
      <c r="N79" s="126"/>
      <c r="AC79" s="1336" t="s">
        <v>1819</v>
      </c>
      <c r="AD79" s="1336" t="s">
        <v>1906</v>
      </c>
    </row>
    <row r="80" spans="1:30" ht="12.75" customHeight="1" x14ac:dyDescent="0.25">
      <c r="A80" s="585" t="s">
        <v>1624</v>
      </c>
      <c r="B80" s="73"/>
      <c r="C80" s="1356">
        <f>SUMIFS(Sheet1!S71_OriginalBudget,Sheet1!S71_SA34cCode,$AC:$AC,Sheet1!S71_RepMaintCode,$AD:$AD)</f>
        <v>0</v>
      </c>
      <c r="D80" s="1356">
        <f>SUMIFS(Sheet1!S71_SpecialAdjustedBudget,Sheet1!S71_SA34cCode,$AC:$AC,Sheet1!S71_RepMaintCode,$AD:$AD)</f>
        <v>0</v>
      </c>
      <c r="E80" s="1356"/>
      <c r="F80" s="1356"/>
      <c r="G80" s="1356"/>
      <c r="H80" s="1356"/>
      <c r="I80" s="1356">
        <f>SUMIFS(Sheet1!S71_AdjustmentAmount,Sheet1!S71_SA34cCode,$AC:$AC,Sheet1!S71_RepMaintCode,$AD:$AD)</f>
        <v>0</v>
      </c>
      <c r="J80" s="75">
        <f t="shared" si="17"/>
        <v>0</v>
      </c>
      <c r="K80" s="75">
        <f t="shared" si="15"/>
        <v>0</v>
      </c>
      <c r="L80" s="1356">
        <f>SUMIFS(Sheet1!S71_OY1AdjustedBudget,Sheet1!S71_SA34cCode,$AC:$AC,Sheet1!S71_RepMaintCode,$AD:$AD)</f>
        <v>0</v>
      </c>
      <c r="M80" s="1357">
        <f>SUMIFS(Sheet1!S71_OY2AdjustedBudget,Sheet1!S71_SA34cCode,$AC:$AC,Sheet1!S71_RepMaintCode,$AD:$AD)</f>
        <v>0</v>
      </c>
      <c r="N80" s="126"/>
      <c r="AC80" s="1336" t="s">
        <v>1944</v>
      </c>
      <c r="AD80" s="1336" t="s">
        <v>1906</v>
      </c>
    </row>
    <row r="81" spans="1:30" ht="12.75" customHeight="1" x14ac:dyDescent="0.25">
      <c r="A81" s="585" t="s">
        <v>1625</v>
      </c>
      <c r="B81" s="73"/>
      <c r="C81" s="1356">
        <f>SUMIFS(Sheet1!S71_OriginalBudget,Sheet1!S71_SA34cCode,$AC:$AC,Sheet1!S71_RepMaintCode,$AD:$AD)</f>
        <v>0</v>
      </c>
      <c r="D81" s="1356">
        <f>SUMIFS(Sheet1!S71_SpecialAdjustedBudget,Sheet1!S71_SA34cCode,$AC:$AC,Sheet1!S71_RepMaintCode,$AD:$AD)</f>
        <v>0</v>
      </c>
      <c r="E81" s="1356"/>
      <c r="F81" s="1356"/>
      <c r="G81" s="1356"/>
      <c r="H81" s="1356"/>
      <c r="I81" s="1356">
        <f>SUMIFS(Sheet1!S71_AdjustmentAmount,Sheet1!S71_SA34cCode,$AC:$AC,Sheet1!S71_RepMaintCode,$AD:$AD)</f>
        <v>0</v>
      </c>
      <c r="J81" s="75">
        <f t="shared" si="17"/>
        <v>0</v>
      </c>
      <c r="K81" s="75">
        <f t="shared" si="15"/>
        <v>0</v>
      </c>
      <c r="L81" s="1356">
        <f>SUMIFS(Sheet1!S71_OY1AdjustedBudget,Sheet1!S71_SA34cCode,$AC:$AC,Sheet1!S71_RepMaintCode,$AD:$AD)</f>
        <v>0</v>
      </c>
      <c r="M81" s="1357">
        <f>SUMIFS(Sheet1!S71_OY2AdjustedBudget,Sheet1!S71_SA34cCode,$AC:$AC,Sheet1!S71_RepMaintCode,$AD:$AD)</f>
        <v>0</v>
      </c>
      <c r="N81" s="126"/>
      <c r="AC81" s="1336" t="s">
        <v>1945</v>
      </c>
      <c r="AD81" s="1336" t="s">
        <v>1906</v>
      </c>
    </row>
    <row r="82" spans="1:30" ht="12.75" customHeight="1" x14ac:dyDescent="0.25">
      <c r="A82" s="585" t="s">
        <v>1626</v>
      </c>
      <c r="B82" s="73"/>
      <c r="C82" s="1356">
        <f>SUMIFS(Sheet1!S71_OriginalBudget,Sheet1!S71_SA34cCode,$AC:$AC,Sheet1!S71_RepMaintCode,$AD:$AD)</f>
        <v>0</v>
      </c>
      <c r="D82" s="1356">
        <f>SUMIFS(Sheet1!S71_SpecialAdjustedBudget,Sheet1!S71_SA34cCode,$AC:$AC,Sheet1!S71_RepMaintCode,$AD:$AD)</f>
        <v>0</v>
      </c>
      <c r="E82" s="1356"/>
      <c r="F82" s="1356"/>
      <c r="G82" s="1356"/>
      <c r="H82" s="1356"/>
      <c r="I82" s="1356">
        <f>SUMIFS(Sheet1!S71_AdjustmentAmount,Sheet1!S71_SA34cCode,$AC:$AC,Sheet1!S71_RepMaintCode,$AD:$AD)</f>
        <v>0</v>
      </c>
      <c r="J82" s="75">
        <f t="shared" si="17"/>
        <v>0</v>
      </c>
      <c r="K82" s="75">
        <f t="shared" si="15"/>
        <v>0</v>
      </c>
      <c r="L82" s="1356">
        <f>SUMIFS(Sheet1!S71_OY1AdjustedBudget,Sheet1!S71_SA34cCode,$AC:$AC,Sheet1!S71_RepMaintCode,$AD:$AD)</f>
        <v>0</v>
      </c>
      <c r="M82" s="1357">
        <f>SUMIFS(Sheet1!S71_OY2AdjustedBudget,Sheet1!S71_SA34cCode,$AC:$AC,Sheet1!S71_RepMaintCode,$AD:$AD)</f>
        <v>0</v>
      </c>
      <c r="N82" s="126"/>
      <c r="AC82" s="1336" t="s">
        <v>1946</v>
      </c>
      <c r="AD82" s="1336" t="s">
        <v>1906</v>
      </c>
    </row>
    <row r="83" spans="1:30" ht="12.75" customHeight="1" x14ac:dyDescent="0.25">
      <c r="A83" s="585" t="s">
        <v>1627</v>
      </c>
      <c r="B83" s="73"/>
      <c r="C83" s="1356">
        <f>SUMIFS(Sheet1!S71_OriginalBudget,Sheet1!S71_SA34cCode,$AC:$AC,Sheet1!S71_RepMaintCode,$AD:$AD)</f>
        <v>0</v>
      </c>
      <c r="D83" s="1356">
        <f>SUMIFS(Sheet1!S71_SpecialAdjustedBudget,Sheet1!S71_SA34cCode,$AC:$AC,Sheet1!S71_RepMaintCode,$AD:$AD)</f>
        <v>0</v>
      </c>
      <c r="E83" s="1356"/>
      <c r="F83" s="1356"/>
      <c r="G83" s="1356"/>
      <c r="H83" s="1356"/>
      <c r="I83" s="1356">
        <f>SUMIFS(Sheet1!S71_AdjustmentAmount,Sheet1!S71_SA34cCode,$AC:$AC,Sheet1!S71_RepMaintCode,$AD:$AD)</f>
        <v>0</v>
      </c>
      <c r="J83" s="75">
        <f t="shared" si="17"/>
        <v>0</v>
      </c>
      <c r="K83" s="75">
        <f t="shared" si="15"/>
        <v>0</v>
      </c>
      <c r="L83" s="1356">
        <f>SUMIFS(Sheet1!S71_OY1AdjustedBudget,Sheet1!S71_SA34cCode,$AC:$AC,Sheet1!S71_RepMaintCode,$AD:$AD)</f>
        <v>0</v>
      </c>
      <c r="M83" s="1357">
        <f>SUMIFS(Sheet1!S71_OY2AdjustedBudget,Sheet1!S71_SA34cCode,$AC:$AC,Sheet1!S71_RepMaintCode,$AD:$AD)</f>
        <v>0</v>
      </c>
      <c r="N83" s="126"/>
      <c r="AC83" s="1336" t="s">
        <v>1947</v>
      </c>
      <c r="AD83" s="1336" t="s">
        <v>1906</v>
      </c>
    </row>
    <row r="84" spans="1:30" ht="12.75" customHeight="1" x14ac:dyDescent="0.25">
      <c r="A84" s="585" t="s">
        <v>1628</v>
      </c>
      <c r="B84" s="73"/>
      <c r="C84" s="1356">
        <f>SUMIFS(Sheet1!S71_OriginalBudget,Sheet1!S71_SA34cCode,$AC:$AC,Sheet1!S71_RepMaintCode,$AD:$AD)</f>
        <v>0</v>
      </c>
      <c r="D84" s="1356">
        <f>SUMIFS(Sheet1!S71_SpecialAdjustedBudget,Sheet1!S71_SA34cCode,$AC:$AC,Sheet1!S71_RepMaintCode,$AD:$AD)</f>
        <v>0</v>
      </c>
      <c r="E84" s="1356"/>
      <c r="F84" s="1356"/>
      <c r="G84" s="1356"/>
      <c r="H84" s="1356"/>
      <c r="I84" s="1356">
        <f>SUMIFS(Sheet1!S71_AdjustmentAmount,Sheet1!S71_SA34cCode,$AC:$AC,Sheet1!S71_RepMaintCode,$AD:$AD)</f>
        <v>0</v>
      </c>
      <c r="J84" s="75">
        <f t="shared" si="17"/>
        <v>0</v>
      </c>
      <c r="K84" s="75">
        <f t="shared" si="15"/>
        <v>0</v>
      </c>
      <c r="L84" s="1356">
        <f>SUMIFS(Sheet1!S71_OY1AdjustedBudget,Sheet1!S71_SA34cCode,$AC:$AC,Sheet1!S71_RepMaintCode,$AD:$AD)</f>
        <v>0</v>
      </c>
      <c r="M84" s="1357">
        <f>SUMIFS(Sheet1!S71_OY2AdjustedBudget,Sheet1!S71_SA34cCode,$AC:$AC,Sheet1!S71_RepMaintCode,$AD:$AD)</f>
        <v>0</v>
      </c>
      <c r="N84" s="126"/>
      <c r="AC84" s="1336" t="s">
        <v>1948</v>
      </c>
      <c r="AD84" s="1336" t="s">
        <v>1906</v>
      </c>
    </row>
    <row r="85" spans="1:30" ht="12.75" customHeight="1" x14ac:dyDescent="0.25">
      <c r="A85" s="585" t="s">
        <v>1629</v>
      </c>
      <c r="B85" s="73"/>
      <c r="C85" s="1356">
        <f>SUMIFS(Sheet1!S71_OriginalBudget,Sheet1!S71_SA34cCode,$AC:$AC,Sheet1!S71_RepMaintCode,$AD:$AD)</f>
        <v>0</v>
      </c>
      <c r="D85" s="1356">
        <f>SUMIFS(Sheet1!S71_SpecialAdjustedBudget,Sheet1!S71_SA34cCode,$AC:$AC,Sheet1!S71_RepMaintCode,$AD:$AD)</f>
        <v>0</v>
      </c>
      <c r="E85" s="1356"/>
      <c r="F85" s="1356"/>
      <c r="G85" s="1356"/>
      <c r="H85" s="1356"/>
      <c r="I85" s="1356">
        <f>SUMIFS(Sheet1!S71_AdjustmentAmount,Sheet1!S71_SA34cCode,$AC:$AC,Sheet1!S71_RepMaintCode,$AD:$AD)</f>
        <v>0</v>
      </c>
      <c r="J85" s="75">
        <f t="shared" si="17"/>
        <v>0</v>
      </c>
      <c r="K85" s="75">
        <f t="shared" si="15"/>
        <v>0</v>
      </c>
      <c r="L85" s="1356">
        <f>SUMIFS(Sheet1!S71_OY1AdjustedBudget,Sheet1!S71_SA34cCode,$AC:$AC,Sheet1!S71_RepMaintCode,$AD:$AD)</f>
        <v>0</v>
      </c>
      <c r="M85" s="1357">
        <f>SUMIFS(Sheet1!S71_OY2AdjustedBudget,Sheet1!S71_SA34cCode,$AC:$AC,Sheet1!S71_RepMaintCode,$AD:$AD)</f>
        <v>0</v>
      </c>
      <c r="N85" s="126"/>
      <c r="AC85" s="1336" t="s">
        <v>1949</v>
      </c>
      <c r="AD85" s="1336" t="s">
        <v>1906</v>
      </c>
    </row>
    <row r="86" spans="1:30" ht="12.75" customHeight="1" x14ac:dyDescent="0.25">
      <c r="A86" s="585" t="s">
        <v>1511</v>
      </c>
      <c r="B86" s="73"/>
      <c r="C86" s="1356">
        <f>SUMIFS(Sheet1!S71_OriginalBudget,Sheet1!S71_SA34cCode,$AC:$AC,Sheet1!S71_RepMaintCode,$AD:$AD)</f>
        <v>0</v>
      </c>
      <c r="D86" s="1356">
        <f>SUMIFS(Sheet1!S71_SpecialAdjustedBudget,Sheet1!S71_SA34cCode,$AC:$AC,Sheet1!S71_RepMaintCode,$AD:$AD)</f>
        <v>0</v>
      </c>
      <c r="E86" s="1356"/>
      <c r="F86" s="1356"/>
      <c r="G86" s="1356"/>
      <c r="H86" s="1356"/>
      <c r="I86" s="1356">
        <f>SUMIFS(Sheet1!S71_AdjustmentAmount,Sheet1!S71_SA34cCode,$AC:$AC,Sheet1!S71_RepMaintCode,$AD:$AD)</f>
        <v>0</v>
      </c>
      <c r="J86" s="75">
        <f t="shared" si="17"/>
        <v>0</v>
      </c>
      <c r="K86" s="75">
        <f t="shared" si="15"/>
        <v>0</v>
      </c>
      <c r="L86" s="1356">
        <f>SUMIFS(Sheet1!S71_OY1AdjustedBudget,Sheet1!S71_SA34cCode,$AC:$AC,Sheet1!S71_RepMaintCode,$AD:$AD)</f>
        <v>0</v>
      </c>
      <c r="M86" s="1357">
        <f>SUMIFS(Sheet1!S71_OY2AdjustedBudget,Sheet1!S71_SA34cCode,$AC:$AC,Sheet1!S71_RepMaintCode,$AD:$AD)</f>
        <v>0</v>
      </c>
      <c r="N86" s="126"/>
      <c r="AC86" s="1336" t="s">
        <v>1950</v>
      </c>
      <c r="AD86" s="1336" t="s">
        <v>1906</v>
      </c>
    </row>
    <row r="87" spans="1:30" ht="12.75" customHeight="1" x14ac:dyDescent="0.25">
      <c r="A87" s="585" t="s">
        <v>494</v>
      </c>
      <c r="B87" s="73"/>
      <c r="C87" s="1356">
        <f>SUMIFS(Sheet1!S71_OriginalBudget,Sheet1!S71_SA34cCode,$AC:$AC,Sheet1!S71_RepMaintCode,$AD:$AD)</f>
        <v>0</v>
      </c>
      <c r="D87" s="1356">
        <f>SUMIFS(Sheet1!S71_SpecialAdjustedBudget,Sheet1!S71_SA34cCode,$AC:$AC,Sheet1!S71_RepMaintCode,$AD:$AD)</f>
        <v>0</v>
      </c>
      <c r="E87" s="1356"/>
      <c r="F87" s="1356"/>
      <c r="G87" s="1356"/>
      <c r="H87" s="1356"/>
      <c r="I87" s="1356">
        <f>SUMIFS(Sheet1!S71_AdjustmentAmount,Sheet1!S71_SA34cCode,$AC:$AC,Sheet1!S71_RepMaintCode,$AD:$AD)</f>
        <v>0</v>
      </c>
      <c r="J87" s="75">
        <f t="shared" si="17"/>
        <v>0</v>
      </c>
      <c r="K87" s="75">
        <f t="shared" si="15"/>
        <v>0</v>
      </c>
      <c r="L87" s="1356">
        <f>SUMIFS(Sheet1!S71_OY1AdjustedBudget,Sheet1!S71_SA34cCode,$AC:$AC,Sheet1!S71_RepMaintCode,$AD:$AD)</f>
        <v>0</v>
      </c>
      <c r="M87" s="1357">
        <f>SUMIFS(Sheet1!S71_OY2AdjustedBudget,Sheet1!S71_SA34cCode,$AC:$AC,Sheet1!S71_RepMaintCode,$AD:$AD)</f>
        <v>0</v>
      </c>
      <c r="N87" s="126"/>
      <c r="AC87" s="1336" t="s">
        <v>1951</v>
      </c>
      <c r="AD87" s="1336" t="s">
        <v>1906</v>
      </c>
    </row>
    <row r="88" spans="1:30" ht="12.75" customHeight="1" x14ac:dyDescent="0.25">
      <c r="A88" s="585" t="s">
        <v>1630</v>
      </c>
      <c r="B88" s="73"/>
      <c r="C88" s="1356">
        <f>SUMIFS(Sheet1!S71_OriginalBudget,Sheet1!S71_SA34cCode,$AC:$AC,Sheet1!S71_RepMaintCode,$AD:$AD)</f>
        <v>0</v>
      </c>
      <c r="D88" s="1356">
        <f>SUMIFS(Sheet1!S71_SpecialAdjustedBudget,Sheet1!S71_SA34cCode,$AC:$AC,Sheet1!S71_RepMaintCode,$AD:$AD)</f>
        <v>0</v>
      </c>
      <c r="E88" s="1356"/>
      <c r="F88" s="1356"/>
      <c r="G88" s="1356"/>
      <c r="H88" s="1356"/>
      <c r="I88" s="1356">
        <f>SUMIFS(Sheet1!S71_AdjustmentAmount,Sheet1!S71_SA34cCode,$AC:$AC,Sheet1!S71_RepMaintCode,$AD:$AD)</f>
        <v>0</v>
      </c>
      <c r="J88" s="75">
        <f t="shared" si="17"/>
        <v>0</v>
      </c>
      <c r="K88" s="75">
        <f t="shared" si="15"/>
        <v>0</v>
      </c>
      <c r="L88" s="1356">
        <f>SUMIFS(Sheet1!S71_OY1AdjustedBudget,Sheet1!S71_SA34cCode,$AC:$AC,Sheet1!S71_RepMaintCode,$AD:$AD)</f>
        <v>0</v>
      </c>
      <c r="M88" s="1357">
        <f>SUMIFS(Sheet1!S71_OY2AdjustedBudget,Sheet1!S71_SA34cCode,$AC:$AC,Sheet1!S71_RepMaintCode,$AD:$AD)</f>
        <v>0</v>
      </c>
      <c r="N88" s="126"/>
      <c r="AC88" s="1336" t="s">
        <v>1952</v>
      </c>
      <c r="AD88" s="1336" t="s">
        <v>1906</v>
      </c>
    </row>
    <row r="89" spans="1:30" ht="12.75" customHeight="1" x14ac:dyDescent="0.25">
      <c r="A89" s="585" t="s">
        <v>1631</v>
      </c>
      <c r="B89" s="73"/>
      <c r="C89" s="1356">
        <f>SUMIFS(Sheet1!S71_OriginalBudget,Sheet1!S71_SA34cCode,$AC:$AC,Sheet1!S71_RepMaintCode,$AD:$AD)</f>
        <v>0</v>
      </c>
      <c r="D89" s="1356">
        <f>SUMIFS(Sheet1!S71_SpecialAdjustedBudget,Sheet1!S71_SA34cCode,$AC:$AC,Sheet1!S71_RepMaintCode,$AD:$AD)</f>
        <v>0</v>
      </c>
      <c r="E89" s="1356"/>
      <c r="F89" s="1356"/>
      <c r="G89" s="1356"/>
      <c r="H89" s="1356"/>
      <c r="I89" s="1356">
        <f>SUMIFS(Sheet1!S71_AdjustmentAmount,Sheet1!S71_SA34cCode,$AC:$AC,Sheet1!S71_RepMaintCode,$AD:$AD)</f>
        <v>0</v>
      </c>
      <c r="J89" s="75">
        <f t="shared" si="17"/>
        <v>0</v>
      </c>
      <c r="K89" s="75">
        <f t="shared" si="15"/>
        <v>0</v>
      </c>
      <c r="L89" s="1356">
        <f>SUMIFS(Sheet1!S71_OY1AdjustedBudget,Sheet1!S71_SA34cCode,$AC:$AC,Sheet1!S71_RepMaintCode,$AD:$AD)</f>
        <v>0</v>
      </c>
      <c r="M89" s="1357">
        <f>SUMIFS(Sheet1!S71_OY2AdjustedBudget,Sheet1!S71_SA34cCode,$AC:$AC,Sheet1!S71_RepMaintCode,$AD:$AD)</f>
        <v>0</v>
      </c>
      <c r="N89" s="126"/>
      <c r="AC89" s="1336" t="s">
        <v>1820</v>
      </c>
      <c r="AD89" s="1336" t="s">
        <v>1906</v>
      </c>
    </row>
    <row r="90" spans="1:30" ht="12.75" customHeight="1" x14ac:dyDescent="0.25">
      <c r="A90" s="585" t="s">
        <v>1632</v>
      </c>
      <c r="B90" s="73"/>
      <c r="C90" s="1356">
        <f>SUMIFS(Sheet1!S71_OriginalBudget,Sheet1!S71_SA34cCode,$AC:$AC,Sheet1!S71_RepMaintCode,$AD:$AD)</f>
        <v>0</v>
      </c>
      <c r="D90" s="1356">
        <f>SUMIFS(Sheet1!S71_SpecialAdjustedBudget,Sheet1!S71_SA34cCode,$AC:$AC,Sheet1!S71_RepMaintCode,$AD:$AD)</f>
        <v>0</v>
      </c>
      <c r="E90" s="1356"/>
      <c r="F90" s="1356"/>
      <c r="G90" s="1356"/>
      <c r="H90" s="1356"/>
      <c r="I90" s="1356">
        <f>SUMIFS(Sheet1!S71_AdjustmentAmount,Sheet1!S71_SA34cCode,$AC:$AC,Sheet1!S71_RepMaintCode,$AD:$AD)</f>
        <v>0</v>
      </c>
      <c r="J90" s="75">
        <f t="shared" si="17"/>
        <v>0</v>
      </c>
      <c r="K90" s="75">
        <f t="shared" si="15"/>
        <v>0</v>
      </c>
      <c r="L90" s="1356">
        <f>SUMIFS(Sheet1!S71_OY1AdjustedBudget,Sheet1!S71_SA34cCode,$AC:$AC,Sheet1!S71_RepMaintCode,$AD:$AD)</f>
        <v>0</v>
      </c>
      <c r="M90" s="1357">
        <f>SUMIFS(Sheet1!S71_OY2AdjustedBudget,Sheet1!S71_SA34cCode,$AC:$AC,Sheet1!S71_RepMaintCode,$AD:$AD)</f>
        <v>0</v>
      </c>
      <c r="N90" s="126"/>
      <c r="AC90" s="1336" t="s">
        <v>1953</v>
      </c>
      <c r="AD90" s="1336" t="s">
        <v>1906</v>
      </c>
    </row>
    <row r="91" spans="1:30" ht="12.75" customHeight="1" x14ac:dyDescent="0.25">
      <c r="A91" s="585" t="s">
        <v>1633</v>
      </c>
      <c r="B91" s="73"/>
      <c r="C91" s="1356">
        <f>SUMIFS(Sheet1!S71_OriginalBudget,Sheet1!S71_SA34cCode,$AC:$AC,Sheet1!S71_RepMaintCode,$AD:$AD)</f>
        <v>0</v>
      </c>
      <c r="D91" s="1356">
        <f>SUMIFS(Sheet1!S71_SpecialAdjustedBudget,Sheet1!S71_SA34cCode,$AC:$AC,Sheet1!S71_RepMaintCode,$AD:$AD)</f>
        <v>0</v>
      </c>
      <c r="E91" s="1356"/>
      <c r="F91" s="1356"/>
      <c r="G91" s="1356"/>
      <c r="H91" s="1356"/>
      <c r="I91" s="1356">
        <f>SUMIFS(Sheet1!S71_AdjustmentAmount,Sheet1!S71_SA34cCode,$AC:$AC,Sheet1!S71_RepMaintCode,$AD:$AD)</f>
        <v>0</v>
      </c>
      <c r="J91" s="75">
        <f t="shared" si="17"/>
        <v>0</v>
      </c>
      <c r="K91" s="75">
        <f t="shared" si="15"/>
        <v>0</v>
      </c>
      <c r="L91" s="1356">
        <f>SUMIFS(Sheet1!S71_OY1AdjustedBudget,Sheet1!S71_SA34cCode,$AC:$AC,Sheet1!S71_RepMaintCode,$AD:$AD)</f>
        <v>0</v>
      </c>
      <c r="M91" s="1357">
        <f>SUMIFS(Sheet1!S71_OY2AdjustedBudget,Sheet1!S71_SA34cCode,$AC:$AC,Sheet1!S71_RepMaintCode,$AD:$AD)</f>
        <v>0</v>
      </c>
      <c r="N91" s="126"/>
      <c r="AC91" s="1336" t="s">
        <v>1954</v>
      </c>
      <c r="AD91" s="1336" t="s">
        <v>1906</v>
      </c>
    </row>
    <row r="92" spans="1:30" ht="12.75" customHeight="1" x14ac:dyDescent="0.25">
      <c r="A92" s="585" t="s">
        <v>1634</v>
      </c>
      <c r="B92" s="73"/>
      <c r="C92" s="1356">
        <f>SUMIFS(Sheet1!S71_OriginalBudget,Sheet1!S71_SA34cCode,$AC:$AC,Sheet1!S71_RepMaintCode,$AD:$AD)</f>
        <v>0</v>
      </c>
      <c r="D92" s="1356">
        <f>SUMIFS(Sheet1!S71_SpecialAdjustedBudget,Sheet1!S71_SA34cCode,$AC:$AC,Sheet1!S71_RepMaintCode,$AD:$AD)</f>
        <v>0</v>
      </c>
      <c r="E92" s="1356"/>
      <c r="F92" s="1356"/>
      <c r="G92" s="1356"/>
      <c r="H92" s="1356"/>
      <c r="I92" s="1356">
        <f>SUMIFS(Sheet1!S71_AdjustmentAmount,Sheet1!S71_SA34cCode,$AC:$AC,Sheet1!S71_RepMaintCode,$AD:$AD)</f>
        <v>0</v>
      </c>
      <c r="J92" s="75">
        <f t="shared" si="17"/>
        <v>0</v>
      </c>
      <c r="K92" s="75">
        <f t="shared" si="15"/>
        <v>0</v>
      </c>
      <c r="L92" s="1356">
        <f>SUMIFS(Sheet1!S71_OY1AdjustedBudget,Sheet1!S71_SA34cCode,$AC:$AC,Sheet1!S71_RepMaintCode,$AD:$AD)</f>
        <v>0</v>
      </c>
      <c r="M92" s="1357">
        <f>SUMIFS(Sheet1!S71_OY2AdjustedBudget,Sheet1!S71_SA34cCode,$AC:$AC,Sheet1!S71_RepMaintCode,$AD:$AD)</f>
        <v>0</v>
      </c>
      <c r="N92" s="126"/>
      <c r="AC92" s="1336" t="s">
        <v>1955</v>
      </c>
      <c r="AD92" s="1336" t="s">
        <v>1906</v>
      </c>
    </row>
    <row r="93" spans="1:30" ht="12.75" customHeight="1" x14ac:dyDescent="0.25">
      <c r="A93" s="585" t="s">
        <v>1635</v>
      </c>
      <c r="B93" s="73"/>
      <c r="C93" s="1356">
        <f>SUMIFS(Sheet1!S71_OriginalBudget,Sheet1!S71_SA34cCode,$AC:$AC,Sheet1!S71_RepMaintCode,$AD:$AD)</f>
        <v>0</v>
      </c>
      <c r="D93" s="1356">
        <f>SUMIFS(Sheet1!S71_SpecialAdjustedBudget,Sheet1!S71_SA34cCode,$AC:$AC,Sheet1!S71_RepMaintCode,$AD:$AD)</f>
        <v>0</v>
      </c>
      <c r="E93" s="1356"/>
      <c r="F93" s="1356"/>
      <c r="G93" s="1356"/>
      <c r="H93" s="1356"/>
      <c r="I93" s="1356">
        <f>SUMIFS(Sheet1!S71_AdjustmentAmount,Sheet1!S71_SA34cCode,$AC:$AC,Sheet1!S71_RepMaintCode,$AD:$AD)</f>
        <v>0</v>
      </c>
      <c r="J93" s="75">
        <f t="shared" si="17"/>
        <v>0</v>
      </c>
      <c r="K93" s="75">
        <f t="shared" si="15"/>
        <v>0</v>
      </c>
      <c r="L93" s="1356">
        <f>SUMIFS(Sheet1!S71_OY1AdjustedBudget,Sheet1!S71_SA34cCode,$AC:$AC,Sheet1!S71_RepMaintCode,$AD:$AD)</f>
        <v>0</v>
      </c>
      <c r="M93" s="1357">
        <f>SUMIFS(Sheet1!S71_OY2AdjustedBudget,Sheet1!S71_SA34cCode,$AC:$AC,Sheet1!S71_RepMaintCode,$AD:$AD)</f>
        <v>0</v>
      </c>
      <c r="N93" s="126"/>
      <c r="AC93" s="1336" t="s">
        <v>1956</v>
      </c>
      <c r="AD93" s="1336" t="s">
        <v>1906</v>
      </c>
    </row>
    <row r="94" spans="1:30" ht="12.75" customHeight="1" x14ac:dyDescent="0.25">
      <c r="A94" s="585" t="s">
        <v>510</v>
      </c>
      <c r="B94" s="73"/>
      <c r="C94" s="1356">
        <f>SUMIFS(Sheet1!S71_OriginalBudget,Sheet1!S71_SA34cCode,$AC:$AC,Sheet1!S71_RepMaintCode,$AD:$AD)</f>
        <v>0</v>
      </c>
      <c r="D94" s="1356">
        <f>SUMIFS(Sheet1!S71_SpecialAdjustedBudget,Sheet1!S71_SA34cCode,$AC:$AC,Sheet1!S71_RepMaintCode,$AD:$AD)</f>
        <v>0</v>
      </c>
      <c r="E94" s="1356"/>
      <c r="F94" s="1356"/>
      <c r="G94" s="1356"/>
      <c r="H94" s="1356"/>
      <c r="I94" s="1356">
        <f>SUMIFS(Sheet1!S71_AdjustmentAmount,Sheet1!S71_SA34cCode,$AC:$AC,Sheet1!S71_RepMaintCode,$AD:$AD)</f>
        <v>0</v>
      </c>
      <c r="J94" s="75">
        <f t="shared" si="17"/>
        <v>0</v>
      </c>
      <c r="K94" s="75">
        <f t="shared" si="15"/>
        <v>0</v>
      </c>
      <c r="L94" s="1356">
        <f>SUMIFS(Sheet1!S71_OY1AdjustedBudget,Sheet1!S71_SA34cCode,$AC:$AC,Sheet1!S71_RepMaintCode,$AD:$AD)</f>
        <v>0</v>
      </c>
      <c r="M94" s="1357">
        <f>SUMIFS(Sheet1!S71_OY2AdjustedBudget,Sheet1!S71_SA34cCode,$AC:$AC,Sheet1!S71_RepMaintCode,$AD:$AD)</f>
        <v>0</v>
      </c>
      <c r="N94" s="126"/>
      <c r="AC94" s="1336" t="s">
        <v>1957</v>
      </c>
      <c r="AD94" s="1336" t="s">
        <v>1906</v>
      </c>
    </row>
    <row r="95" spans="1:30" ht="12.75" customHeight="1" x14ac:dyDescent="0.25">
      <c r="A95" s="585" t="s">
        <v>1636</v>
      </c>
      <c r="B95" s="73"/>
      <c r="C95" s="1356">
        <f>SUMIFS(Sheet1!S71_OriginalBudget,Sheet1!S71_SA34cCode,$AC:$AC,Sheet1!S71_RepMaintCode,$AD:$AD)</f>
        <v>0</v>
      </c>
      <c r="D95" s="1356">
        <f>SUMIFS(Sheet1!S71_SpecialAdjustedBudget,Sheet1!S71_SA34cCode,$AC:$AC,Sheet1!S71_RepMaintCode,$AD:$AD)</f>
        <v>0</v>
      </c>
      <c r="E95" s="1356"/>
      <c r="F95" s="1356"/>
      <c r="G95" s="1356"/>
      <c r="H95" s="1356"/>
      <c r="I95" s="1356">
        <f>SUMIFS(Sheet1!S71_AdjustmentAmount,Sheet1!S71_SA34cCode,$AC:$AC,Sheet1!S71_RepMaintCode,$AD:$AD)</f>
        <v>0</v>
      </c>
      <c r="J95" s="75">
        <f t="shared" si="17"/>
        <v>0</v>
      </c>
      <c r="K95" s="75">
        <f t="shared" si="15"/>
        <v>0</v>
      </c>
      <c r="L95" s="1356">
        <f>SUMIFS(Sheet1!S71_OY1AdjustedBudget,Sheet1!S71_SA34cCode,$AC:$AC,Sheet1!S71_RepMaintCode,$AD:$AD)</f>
        <v>0</v>
      </c>
      <c r="M95" s="1357">
        <f>SUMIFS(Sheet1!S71_OY2AdjustedBudget,Sheet1!S71_SA34cCode,$AC:$AC,Sheet1!S71_RepMaintCode,$AD:$AD)</f>
        <v>0</v>
      </c>
      <c r="N95" s="126"/>
      <c r="AC95" s="1336" t="s">
        <v>1958</v>
      </c>
      <c r="AD95" s="1336" t="s">
        <v>1906</v>
      </c>
    </row>
    <row r="96" spans="1:30" ht="12.75" customHeight="1" x14ac:dyDescent="0.25">
      <c r="A96" s="585" t="s">
        <v>509</v>
      </c>
      <c r="B96" s="73"/>
      <c r="C96" s="1356">
        <f>SUMIFS(Sheet1!S71_OriginalBudget,Sheet1!S71_SA34cCode,$AC:$AC,Sheet1!S71_RepMaintCode,$AD:$AD)</f>
        <v>0</v>
      </c>
      <c r="D96" s="1356">
        <f>SUMIFS(Sheet1!S71_SpecialAdjustedBudget,Sheet1!S71_SA34cCode,$AC:$AC,Sheet1!S71_RepMaintCode,$AD:$AD)</f>
        <v>0</v>
      </c>
      <c r="E96" s="1356"/>
      <c r="F96" s="1356"/>
      <c r="G96" s="1356"/>
      <c r="H96" s="1356"/>
      <c r="I96" s="1356">
        <f>SUMIFS(Sheet1!S71_AdjustmentAmount,Sheet1!S71_SA34cCode,$AC:$AC,Sheet1!S71_RepMaintCode,$AD:$AD)</f>
        <v>0</v>
      </c>
      <c r="J96" s="75">
        <f t="shared" si="17"/>
        <v>0</v>
      </c>
      <c r="K96" s="75">
        <f t="shared" si="15"/>
        <v>0</v>
      </c>
      <c r="L96" s="1356">
        <f>SUMIFS(Sheet1!S71_OY1AdjustedBudget,Sheet1!S71_SA34cCode,$AC:$AC,Sheet1!S71_RepMaintCode,$AD:$AD)</f>
        <v>0</v>
      </c>
      <c r="M96" s="1357">
        <f>SUMIFS(Sheet1!S71_OY2AdjustedBudget,Sheet1!S71_SA34cCode,$AC:$AC,Sheet1!S71_RepMaintCode,$AD:$AD)</f>
        <v>0</v>
      </c>
      <c r="N96" s="842"/>
      <c r="AC96" s="1336" t="s">
        <v>1959</v>
      </c>
      <c r="AD96" s="1336" t="s">
        <v>1906</v>
      </c>
    </row>
    <row r="97" spans="1:30" ht="12.75" customHeight="1" x14ac:dyDescent="0.25">
      <c r="A97" s="585" t="s">
        <v>1637</v>
      </c>
      <c r="B97" s="73"/>
      <c r="C97" s="1356">
        <f>SUMIFS(Sheet1!S71_OriginalBudget,Sheet1!S71_SA34cCode,$AC:$AC,Sheet1!S71_RepMaintCode,$AD:$AD)</f>
        <v>0</v>
      </c>
      <c r="D97" s="1356">
        <f>SUMIFS(Sheet1!S71_SpecialAdjustedBudget,Sheet1!S71_SA34cCode,$AC:$AC,Sheet1!S71_RepMaintCode,$AD:$AD)</f>
        <v>0</v>
      </c>
      <c r="E97" s="1356"/>
      <c r="F97" s="1356"/>
      <c r="G97" s="1356"/>
      <c r="H97" s="1356"/>
      <c r="I97" s="1356">
        <f>SUMIFS(Sheet1!S71_AdjustmentAmount,Sheet1!S71_SA34cCode,$AC:$AC,Sheet1!S71_RepMaintCode,$AD:$AD)</f>
        <v>0</v>
      </c>
      <c r="J97" s="75">
        <f t="shared" si="17"/>
        <v>0</v>
      </c>
      <c r="K97" s="75">
        <f t="shared" si="15"/>
        <v>0</v>
      </c>
      <c r="L97" s="1356">
        <f>SUMIFS(Sheet1!S71_OY1AdjustedBudget,Sheet1!S71_SA34cCode,$AC:$AC,Sheet1!S71_RepMaintCode,$AD:$AD)</f>
        <v>0</v>
      </c>
      <c r="M97" s="1357">
        <f>SUMIFS(Sheet1!S71_OY2AdjustedBudget,Sheet1!S71_SA34cCode,$AC:$AC,Sheet1!S71_RepMaintCode,$AD:$AD)</f>
        <v>0</v>
      </c>
      <c r="N97" s="126"/>
      <c r="AC97" s="1336" t="s">
        <v>1960</v>
      </c>
      <c r="AD97" s="1336" t="s">
        <v>1906</v>
      </c>
    </row>
    <row r="98" spans="1:30" ht="12.75" customHeight="1" x14ac:dyDescent="0.25">
      <c r="A98" s="585" t="s">
        <v>1638</v>
      </c>
      <c r="B98" s="73"/>
      <c r="C98" s="1356">
        <f>SUMIFS(Sheet1!S71_OriginalBudget,Sheet1!S71_SA34cCode,$AC:$AC,Sheet1!S71_RepMaintCode,$AD:$AD)</f>
        <v>0</v>
      </c>
      <c r="D98" s="1356">
        <f>SUMIFS(Sheet1!S71_SpecialAdjustedBudget,Sheet1!S71_SA34cCode,$AC:$AC,Sheet1!S71_RepMaintCode,$AD:$AD)</f>
        <v>0</v>
      </c>
      <c r="E98" s="1356"/>
      <c r="F98" s="1356"/>
      <c r="G98" s="1356"/>
      <c r="H98" s="1356"/>
      <c r="I98" s="1356">
        <f>SUMIFS(Sheet1!S71_AdjustmentAmount,Sheet1!S71_SA34cCode,$AC:$AC,Sheet1!S71_RepMaintCode,$AD:$AD)</f>
        <v>0</v>
      </c>
      <c r="J98" s="75">
        <f t="shared" si="17"/>
        <v>0</v>
      </c>
      <c r="K98" s="75">
        <f t="shared" si="15"/>
        <v>0</v>
      </c>
      <c r="L98" s="1356">
        <f>SUMIFS(Sheet1!S71_OY1AdjustedBudget,Sheet1!S71_SA34cCode,$AC:$AC,Sheet1!S71_RepMaintCode,$AD:$AD)</f>
        <v>0</v>
      </c>
      <c r="M98" s="1357">
        <f>SUMIFS(Sheet1!S71_OY2AdjustedBudget,Sheet1!S71_SA34cCode,$AC:$AC,Sheet1!S71_RepMaintCode,$AD:$AD)</f>
        <v>0</v>
      </c>
      <c r="N98" s="126"/>
      <c r="AC98" s="1336" t="s">
        <v>1961</v>
      </c>
      <c r="AD98" s="1336" t="s">
        <v>1906</v>
      </c>
    </row>
    <row r="99" spans="1:30" ht="12.75" customHeight="1" x14ac:dyDescent="0.25">
      <c r="A99" s="585" t="s">
        <v>1571</v>
      </c>
      <c r="B99" s="73"/>
      <c r="C99" s="1356">
        <f>SUMIFS(Sheet1!S71_OriginalBudget,Sheet1!S71_SA34cCode,$AC:$AC,Sheet1!S71_RepMaintCode,$AD:$AD)</f>
        <v>0</v>
      </c>
      <c r="D99" s="1356">
        <f>SUMIFS(Sheet1!S71_SpecialAdjustedBudget,Sheet1!S71_SA34cCode,$AC:$AC,Sheet1!S71_RepMaintCode,$AD:$AD)</f>
        <v>0</v>
      </c>
      <c r="E99" s="1356"/>
      <c r="F99" s="1356"/>
      <c r="G99" s="1356"/>
      <c r="H99" s="1356"/>
      <c r="I99" s="1356">
        <f>SUMIFS(Sheet1!S71_AdjustmentAmount,Sheet1!S71_SA34cCode,$AC:$AC,Sheet1!S71_RepMaintCode,$AD:$AD)</f>
        <v>0</v>
      </c>
      <c r="J99" s="75">
        <f t="shared" si="17"/>
        <v>0</v>
      </c>
      <c r="K99" s="75">
        <f t="shared" si="15"/>
        <v>0</v>
      </c>
      <c r="L99" s="1356">
        <f>SUMIFS(Sheet1!S71_OY1AdjustedBudget,Sheet1!S71_SA34cCode,$AC:$AC,Sheet1!S71_RepMaintCode,$AD:$AD)</f>
        <v>0</v>
      </c>
      <c r="M99" s="1357">
        <f>SUMIFS(Sheet1!S71_OY2AdjustedBudget,Sheet1!S71_SA34cCode,$AC:$AC,Sheet1!S71_RepMaintCode,$AD:$AD)</f>
        <v>0</v>
      </c>
      <c r="N99" s="126"/>
      <c r="AC99" s="1336" t="s">
        <v>1821</v>
      </c>
      <c r="AD99" s="1336" t="s">
        <v>1906</v>
      </c>
    </row>
    <row r="100" spans="1:30" ht="10.35" customHeight="1" x14ac:dyDescent="0.25">
      <c r="A100" s="584" t="s">
        <v>1639</v>
      </c>
      <c r="B100" s="73"/>
      <c r="C100" s="138">
        <f>SUM(C101:C103)</f>
        <v>1500000</v>
      </c>
      <c r="D100" s="139">
        <f t="shared" ref="D100:M100" si="19">SUM(D101:D103)</f>
        <v>1500000</v>
      </c>
      <c r="E100" s="139">
        <f t="shared" si="19"/>
        <v>0</v>
      </c>
      <c r="F100" s="139">
        <f t="shared" si="19"/>
        <v>0</v>
      </c>
      <c r="G100" s="139">
        <f t="shared" si="19"/>
        <v>0</v>
      </c>
      <c r="H100" s="139">
        <f t="shared" si="19"/>
        <v>0</v>
      </c>
      <c r="I100" s="139">
        <f t="shared" si="19"/>
        <v>0</v>
      </c>
      <c r="J100" s="139">
        <f t="shared" si="17"/>
        <v>0</v>
      </c>
      <c r="K100" s="139">
        <f t="shared" si="15"/>
        <v>1500000</v>
      </c>
      <c r="L100" s="139">
        <f t="shared" si="19"/>
        <v>1650000</v>
      </c>
      <c r="M100" s="140">
        <f t="shared" si="19"/>
        <v>1815000</v>
      </c>
      <c r="N100" s="126"/>
      <c r="AD100" s="1336" t="s">
        <v>1906</v>
      </c>
    </row>
    <row r="101" spans="1:30" ht="12.75" customHeight="1" x14ac:dyDescent="0.25">
      <c r="A101" s="585" t="s">
        <v>1640</v>
      </c>
      <c r="B101" s="73"/>
      <c r="C101" s="1356">
        <f>SUMIFS(Sheet1!S71_OriginalBudget,Sheet1!S71_SA34cCode,$AC:$AC,Sheet1!S71_RepMaintCode,$AD:$AD)</f>
        <v>0</v>
      </c>
      <c r="D101" s="1356">
        <f>SUMIFS(Sheet1!S71_SpecialAdjustedBudget,Sheet1!S71_SA34cCode,$AC:$AC,Sheet1!S71_RepMaintCode,$AD:$AD)</f>
        <v>0</v>
      </c>
      <c r="E101" s="1356"/>
      <c r="F101" s="1356"/>
      <c r="G101" s="1356"/>
      <c r="H101" s="1356"/>
      <c r="I101" s="1356">
        <f>SUMIFS(Sheet1!S71_AdjustmentAmount,Sheet1!S71_SA34cCode,$AC:$AC,Sheet1!S71_RepMaintCode,$AD:$AD)</f>
        <v>0</v>
      </c>
      <c r="J101" s="75">
        <f t="shared" si="17"/>
        <v>0</v>
      </c>
      <c r="K101" s="75">
        <f t="shared" si="15"/>
        <v>0</v>
      </c>
      <c r="L101" s="1356">
        <f>SUMIFS(Sheet1!S71_OY1AdjustedBudget,Sheet1!S71_SA34cCode,$AC:$AC,Sheet1!S71_RepMaintCode,$AD:$AD)</f>
        <v>0</v>
      </c>
      <c r="M101" s="1357">
        <f>SUMIFS(Sheet1!S71_OY2AdjustedBudget,Sheet1!S71_SA34cCode,$AC:$AC,Sheet1!S71_RepMaintCode,$AD:$AD)</f>
        <v>0</v>
      </c>
      <c r="N101" s="126"/>
      <c r="AC101" s="1336" t="s">
        <v>1962</v>
      </c>
      <c r="AD101" s="1336" t="s">
        <v>1906</v>
      </c>
    </row>
    <row r="102" spans="1:30" ht="12.75" customHeight="1" x14ac:dyDescent="0.25">
      <c r="A102" s="585" t="s">
        <v>1641</v>
      </c>
      <c r="B102" s="73"/>
      <c r="C102" s="1356">
        <f>SUMIFS(Sheet1!S71_OriginalBudget,Sheet1!S71_SA34cCode,$AC:$AC,Sheet1!S71_RepMaintCode,$AD:$AD)</f>
        <v>1500000</v>
      </c>
      <c r="D102" s="1356">
        <f>SUMIFS(Sheet1!S71_SpecialAdjustedBudget,Sheet1!S71_SA34cCode,$AC:$AC,Sheet1!S71_RepMaintCode,$AD:$AD)</f>
        <v>1500000</v>
      </c>
      <c r="E102" s="1356"/>
      <c r="F102" s="1356"/>
      <c r="G102" s="1356"/>
      <c r="H102" s="1356"/>
      <c r="I102" s="1356">
        <f>SUMIFS(Sheet1!S71_AdjustmentAmount,Sheet1!S71_SA34cCode,$AC:$AC,Sheet1!S71_RepMaintCode,$AD:$AD)</f>
        <v>0</v>
      </c>
      <c r="J102" s="75">
        <f t="shared" si="17"/>
        <v>0</v>
      </c>
      <c r="K102" s="75">
        <f t="shared" si="15"/>
        <v>1500000</v>
      </c>
      <c r="L102" s="1356">
        <f>SUMIFS(Sheet1!S71_OY1AdjustedBudget,Sheet1!S71_SA34cCode,$AC:$AC,Sheet1!S71_RepMaintCode,$AD:$AD)</f>
        <v>1650000</v>
      </c>
      <c r="M102" s="1357">
        <f>SUMIFS(Sheet1!S71_OY2AdjustedBudget,Sheet1!S71_SA34cCode,$AC:$AC,Sheet1!S71_RepMaintCode,$AD:$AD)</f>
        <v>1815000</v>
      </c>
      <c r="N102" s="126"/>
      <c r="AC102" s="1336" t="s">
        <v>1963</v>
      </c>
      <c r="AD102" s="1336" t="s">
        <v>1906</v>
      </c>
    </row>
    <row r="103" spans="1:30" ht="12.75" customHeight="1" x14ac:dyDescent="0.25">
      <c r="A103" s="585" t="s">
        <v>1571</v>
      </c>
      <c r="B103" s="73"/>
      <c r="C103" s="1356">
        <f>SUMIFS(Sheet1!S71_OriginalBudget,Sheet1!S71_SA34cCode,$AC:$AC,Sheet1!S71_RepMaintCode,$AD:$AD)</f>
        <v>0</v>
      </c>
      <c r="D103" s="1356">
        <f>SUMIFS(Sheet1!S71_SpecialAdjustedBudget,Sheet1!S71_SA34cCode,$AC:$AC,Sheet1!S71_RepMaintCode,$AD:$AD)</f>
        <v>0</v>
      </c>
      <c r="E103" s="1356"/>
      <c r="F103" s="1356"/>
      <c r="G103" s="1356"/>
      <c r="H103" s="1356"/>
      <c r="I103" s="1356">
        <f>SUMIFS(Sheet1!S71_AdjustmentAmount,Sheet1!S71_SA34cCode,$AC:$AC,Sheet1!S71_RepMaintCode,$AD:$AD)</f>
        <v>0</v>
      </c>
      <c r="J103" s="75">
        <f t="shared" si="17"/>
        <v>0</v>
      </c>
      <c r="K103" s="75">
        <f t="shared" si="15"/>
        <v>0</v>
      </c>
      <c r="L103" s="1356">
        <f>SUMIFS(Sheet1!S71_OY1AdjustedBudget,Sheet1!S71_SA34cCode,$AC:$AC,Sheet1!S71_RepMaintCode,$AD:$AD)</f>
        <v>0</v>
      </c>
      <c r="M103" s="1357">
        <f>SUMIFS(Sheet1!S71_OY2AdjustedBudget,Sheet1!S71_SA34cCode,$AC:$AC,Sheet1!S71_RepMaintCode,$AD:$AD)</f>
        <v>0</v>
      </c>
      <c r="N103" s="126"/>
      <c r="AC103" s="1336" t="s">
        <v>1964</v>
      </c>
      <c r="AD103" s="1336" t="s">
        <v>1906</v>
      </c>
    </row>
    <row r="104" spans="1:30" ht="5.0999999999999996" customHeight="1" x14ac:dyDescent="0.25">
      <c r="A104" s="134"/>
      <c r="B104" s="73"/>
      <c r="C104" s="125"/>
      <c r="D104" s="169"/>
      <c r="E104" s="169"/>
      <c r="F104" s="169"/>
      <c r="G104" s="169"/>
      <c r="H104" s="169"/>
      <c r="I104" s="169"/>
      <c r="J104" s="75"/>
      <c r="K104" s="75"/>
      <c r="L104" s="75"/>
      <c r="M104" s="76"/>
      <c r="N104" s="126"/>
      <c r="AD104" s="1336" t="s">
        <v>1906</v>
      </c>
    </row>
    <row r="105" spans="1:30" ht="12.75" customHeight="1" x14ac:dyDescent="0.25">
      <c r="A105" s="484" t="s">
        <v>767</v>
      </c>
      <c r="B105" s="73"/>
      <c r="C105" s="234">
        <f t="shared" ref="C105:M105" si="20">SUM(C106:C110)</f>
        <v>0</v>
      </c>
      <c r="D105" s="235">
        <f t="shared" si="20"/>
        <v>0</v>
      </c>
      <c r="E105" s="235">
        <f t="shared" si="20"/>
        <v>0</v>
      </c>
      <c r="F105" s="235">
        <f t="shared" si="20"/>
        <v>0</v>
      </c>
      <c r="G105" s="235">
        <f t="shared" si="20"/>
        <v>0</v>
      </c>
      <c r="H105" s="235">
        <f t="shared" si="20"/>
        <v>0</v>
      </c>
      <c r="I105" s="235">
        <f t="shared" si="20"/>
        <v>0</v>
      </c>
      <c r="J105" s="235">
        <f t="shared" ref="J105:J110" si="21">SUM(E105:I105)</f>
        <v>0</v>
      </c>
      <c r="K105" s="235">
        <f t="shared" si="15"/>
        <v>0</v>
      </c>
      <c r="L105" s="235">
        <f t="shared" si="20"/>
        <v>0</v>
      </c>
      <c r="M105" s="236">
        <f t="shared" si="20"/>
        <v>0</v>
      </c>
      <c r="N105" s="126"/>
      <c r="AD105" s="1336" t="s">
        <v>1906</v>
      </c>
    </row>
    <row r="106" spans="1:30" ht="12.75" customHeight="1" x14ac:dyDescent="0.25">
      <c r="A106" s="584" t="s">
        <v>1642</v>
      </c>
      <c r="B106" s="73"/>
      <c r="C106" s="1356">
        <f>SUMIFS(Sheet1!S71_OriginalBudget,Sheet1!S71_SA34cCode,$AC:$AC,Sheet1!S71_RepMaintCode,$AD:$AD)</f>
        <v>0</v>
      </c>
      <c r="D106" s="1356">
        <f>SUMIFS(Sheet1!S71_SpecialAdjustedBudget,Sheet1!S71_SA34cCode,$AC:$AC,Sheet1!S71_RepMaintCode,$AD:$AD)</f>
        <v>0</v>
      </c>
      <c r="E106" s="1356"/>
      <c r="F106" s="1356"/>
      <c r="G106" s="1356"/>
      <c r="H106" s="1356"/>
      <c r="I106" s="1356">
        <f>SUMIFS(Sheet1!S71_AdjustmentAmount,Sheet1!S71_SA34cCode,$AC:$AC,Sheet1!S71_RepMaintCode,$AD:$AD)</f>
        <v>0</v>
      </c>
      <c r="J106" s="75">
        <f t="shared" si="21"/>
        <v>0</v>
      </c>
      <c r="K106" s="75">
        <f t="shared" si="15"/>
        <v>0</v>
      </c>
      <c r="L106" s="1356">
        <f>SUMIFS(Sheet1!S71_OY1AdjustedBudget,Sheet1!S71_SA34cCode,$AC:$AC,Sheet1!S71_RepMaintCode,$AD:$AD)</f>
        <v>0</v>
      </c>
      <c r="M106" s="1357">
        <f>SUMIFS(Sheet1!S71_OY2AdjustedBudget,Sheet1!S71_SA34cCode,$AC:$AC,Sheet1!S71_RepMaintCode,$AD:$AD)</f>
        <v>0</v>
      </c>
      <c r="N106" s="126"/>
      <c r="AC106" s="1336" t="s">
        <v>1965</v>
      </c>
      <c r="AD106" s="1336" t="s">
        <v>1906</v>
      </c>
    </row>
    <row r="107" spans="1:30" ht="12.75" customHeight="1" x14ac:dyDescent="0.25">
      <c r="A107" s="586" t="s">
        <v>1643</v>
      </c>
      <c r="B107" s="73"/>
      <c r="C107" s="1356">
        <f>SUMIFS(Sheet1!S71_OriginalBudget,Sheet1!S71_SA34cCode,$AC:$AC,Sheet1!S71_RepMaintCode,$AD:$AD)</f>
        <v>0</v>
      </c>
      <c r="D107" s="1356">
        <f>SUMIFS(Sheet1!S71_SpecialAdjustedBudget,Sheet1!S71_SA34cCode,$AC:$AC,Sheet1!S71_RepMaintCode,$AD:$AD)</f>
        <v>0</v>
      </c>
      <c r="E107" s="1356"/>
      <c r="F107" s="1356"/>
      <c r="G107" s="1356"/>
      <c r="H107" s="1356"/>
      <c r="I107" s="1356">
        <f>SUMIFS(Sheet1!S71_AdjustmentAmount,Sheet1!S71_SA34cCode,$AC:$AC,Sheet1!S71_RepMaintCode,$AD:$AD)</f>
        <v>0</v>
      </c>
      <c r="J107" s="75">
        <f t="shared" si="21"/>
        <v>0</v>
      </c>
      <c r="K107" s="75">
        <f t="shared" si="15"/>
        <v>0</v>
      </c>
      <c r="L107" s="1356">
        <f>SUMIFS(Sheet1!S71_OY1AdjustedBudget,Sheet1!S71_SA34cCode,$AC:$AC,Sheet1!S71_RepMaintCode,$AD:$AD)</f>
        <v>0</v>
      </c>
      <c r="M107" s="1357">
        <f>SUMIFS(Sheet1!S71_OY2AdjustedBudget,Sheet1!S71_SA34cCode,$AC:$AC,Sheet1!S71_RepMaintCode,$AD:$AD)</f>
        <v>0</v>
      </c>
      <c r="N107" s="126"/>
      <c r="AC107" s="1336" t="s">
        <v>1966</v>
      </c>
      <c r="AD107" s="1336" t="s">
        <v>1906</v>
      </c>
    </row>
    <row r="108" spans="1:30" ht="12.75" customHeight="1" x14ac:dyDescent="0.25">
      <c r="A108" s="584" t="s">
        <v>1644</v>
      </c>
      <c r="B108" s="73"/>
      <c r="C108" s="1356">
        <f>SUMIFS(Sheet1!S71_OriginalBudget,Sheet1!S71_SA34cCode,$AC:$AC,Sheet1!S71_RepMaintCode,$AD:$AD)</f>
        <v>0</v>
      </c>
      <c r="D108" s="1356">
        <f>SUMIFS(Sheet1!S71_SpecialAdjustedBudget,Sheet1!S71_SA34cCode,$AC:$AC,Sheet1!S71_RepMaintCode,$AD:$AD)</f>
        <v>0</v>
      </c>
      <c r="E108" s="1356"/>
      <c r="F108" s="1356"/>
      <c r="G108" s="1356"/>
      <c r="H108" s="1356"/>
      <c r="I108" s="1356">
        <f>SUMIFS(Sheet1!S71_AdjustmentAmount,Sheet1!S71_SA34cCode,$AC:$AC,Sheet1!S71_RepMaintCode,$AD:$AD)</f>
        <v>0</v>
      </c>
      <c r="J108" s="75">
        <f t="shared" si="21"/>
        <v>0</v>
      </c>
      <c r="K108" s="75">
        <f t="shared" si="15"/>
        <v>0</v>
      </c>
      <c r="L108" s="1356">
        <f>SUMIFS(Sheet1!S71_OY1AdjustedBudget,Sheet1!S71_SA34cCode,$AC:$AC,Sheet1!S71_RepMaintCode,$AD:$AD)</f>
        <v>0</v>
      </c>
      <c r="M108" s="1357">
        <f>SUMIFS(Sheet1!S71_OY2AdjustedBudget,Sheet1!S71_SA34cCode,$AC:$AC,Sheet1!S71_RepMaintCode,$AD:$AD)</f>
        <v>0</v>
      </c>
      <c r="N108" s="126"/>
      <c r="AC108" s="1336" t="s">
        <v>1967</v>
      </c>
      <c r="AD108" s="1336" t="s">
        <v>1906</v>
      </c>
    </row>
    <row r="109" spans="1:30" ht="12.75" customHeight="1" x14ac:dyDescent="0.25">
      <c r="A109" s="584" t="s">
        <v>1645</v>
      </c>
      <c r="B109" s="73"/>
      <c r="C109" s="1356">
        <f>SUMIFS(Sheet1!S71_OriginalBudget,Sheet1!S71_SA34cCode,$AC:$AC,Sheet1!S71_RepMaintCode,$AD:$AD)</f>
        <v>0</v>
      </c>
      <c r="D109" s="1356">
        <f>SUMIFS(Sheet1!S71_SpecialAdjustedBudget,Sheet1!S71_SA34cCode,$AC:$AC,Sheet1!S71_RepMaintCode,$AD:$AD)</f>
        <v>0</v>
      </c>
      <c r="E109" s="1356"/>
      <c r="F109" s="1356"/>
      <c r="G109" s="1356"/>
      <c r="H109" s="1356"/>
      <c r="I109" s="1356">
        <f>SUMIFS(Sheet1!S71_AdjustmentAmount,Sheet1!S71_SA34cCode,$AC:$AC,Sheet1!S71_RepMaintCode,$AD:$AD)</f>
        <v>0</v>
      </c>
      <c r="J109" s="75">
        <f t="shared" si="21"/>
        <v>0</v>
      </c>
      <c r="K109" s="75">
        <f t="shared" si="15"/>
        <v>0</v>
      </c>
      <c r="L109" s="1356">
        <f>SUMIFS(Sheet1!S71_OY1AdjustedBudget,Sheet1!S71_SA34cCode,$AC:$AC,Sheet1!S71_RepMaintCode,$AD:$AD)</f>
        <v>0</v>
      </c>
      <c r="M109" s="1357">
        <f>SUMIFS(Sheet1!S71_OY2AdjustedBudget,Sheet1!S71_SA34cCode,$AC:$AC,Sheet1!S71_RepMaintCode,$AD:$AD)</f>
        <v>0</v>
      </c>
      <c r="N109" s="126"/>
      <c r="AC109" s="1336" t="s">
        <v>1968</v>
      </c>
      <c r="AD109" s="1336" t="s">
        <v>1906</v>
      </c>
    </row>
    <row r="110" spans="1:30" ht="12.75" customHeight="1" x14ac:dyDescent="0.25">
      <c r="A110" s="586" t="s">
        <v>1646</v>
      </c>
      <c r="B110" s="73"/>
      <c r="C110" s="1356">
        <f>SUMIFS(Sheet1!S71_OriginalBudget,Sheet1!S71_SA34cCode,$AC:$AC,Sheet1!S71_RepMaintCode,$AD:$AD)</f>
        <v>0</v>
      </c>
      <c r="D110" s="1356">
        <f>SUMIFS(Sheet1!S71_SpecialAdjustedBudget,Sheet1!S71_SA34cCode,$AC:$AC,Sheet1!S71_RepMaintCode,$AD:$AD)</f>
        <v>0</v>
      </c>
      <c r="E110" s="1356"/>
      <c r="F110" s="1356"/>
      <c r="G110" s="1356"/>
      <c r="H110" s="1356"/>
      <c r="I110" s="1356">
        <f>SUMIFS(Sheet1!S71_AdjustmentAmount,Sheet1!S71_SA34cCode,$AC:$AC,Sheet1!S71_RepMaintCode,$AD:$AD)</f>
        <v>0</v>
      </c>
      <c r="J110" s="75">
        <f t="shared" si="21"/>
        <v>0</v>
      </c>
      <c r="K110" s="75">
        <f t="shared" si="15"/>
        <v>0</v>
      </c>
      <c r="L110" s="1356">
        <f>SUMIFS(Sheet1!S71_OY1AdjustedBudget,Sheet1!S71_SA34cCode,$AC:$AC,Sheet1!S71_RepMaintCode,$AD:$AD)</f>
        <v>0</v>
      </c>
      <c r="M110" s="1357">
        <f>SUMIFS(Sheet1!S71_OY2AdjustedBudget,Sheet1!S71_SA34cCode,$AC:$AC,Sheet1!S71_RepMaintCode,$AD:$AD)</f>
        <v>0</v>
      </c>
      <c r="N110" s="126"/>
      <c r="AC110" s="1336" t="s">
        <v>1822</v>
      </c>
      <c r="AD110" s="1336" t="s">
        <v>1906</v>
      </c>
    </row>
    <row r="111" spans="1:30" ht="5.0999999999999996" customHeight="1" x14ac:dyDescent="0.25">
      <c r="A111" s="1211"/>
      <c r="B111" s="73"/>
      <c r="C111" s="74"/>
      <c r="D111" s="75"/>
      <c r="E111" s="75"/>
      <c r="F111" s="75"/>
      <c r="G111" s="75"/>
      <c r="H111" s="75"/>
      <c r="I111" s="75"/>
      <c r="J111" s="75"/>
      <c r="K111" s="75"/>
      <c r="L111" s="75"/>
      <c r="M111" s="76"/>
      <c r="N111" s="126"/>
      <c r="AD111" s="1336" t="s">
        <v>1906</v>
      </c>
    </row>
    <row r="112" spans="1:30" ht="12.75" customHeight="1" x14ac:dyDescent="0.25">
      <c r="A112" s="1212" t="s">
        <v>768</v>
      </c>
      <c r="B112" s="73"/>
      <c r="C112" s="234">
        <f>+C113+C116</f>
        <v>0</v>
      </c>
      <c r="D112" s="235">
        <f t="shared" ref="D112:I112" si="22">+D113+D116</f>
        <v>0</v>
      </c>
      <c r="E112" s="235">
        <f t="shared" si="22"/>
        <v>0</v>
      </c>
      <c r="F112" s="235">
        <f t="shared" si="22"/>
        <v>0</v>
      </c>
      <c r="G112" s="235">
        <f t="shared" si="22"/>
        <v>0</v>
      </c>
      <c r="H112" s="235">
        <f t="shared" si="22"/>
        <v>0</v>
      </c>
      <c r="I112" s="235">
        <f t="shared" si="22"/>
        <v>0</v>
      </c>
      <c r="J112" s="235">
        <f t="shared" ref="J112:J118" si="23">SUM(E112:I112)</f>
        <v>0</v>
      </c>
      <c r="K112" s="235">
        <f t="shared" si="15"/>
        <v>0</v>
      </c>
      <c r="L112" s="235">
        <f>+L113+L116</f>
        <v>0</v>
      </c>
      <c r="M112" s="236">
        <f>+M113+M116</f>
        <v>0</v>
      </c>
      <c r="N112" s="126"/>
      <c r="AD112" s="1336" t="s">
        <v>1906</v>
      </c>
    </row>
    <row r="113" spans="1:30" ht="10.35" customHeight="1" x14ac:dyDescent="0.25">
      <c r="A113" s="584" t="s">
        <v>1647</v>
      </c>
      <c r="B113" s="73"/>
      <c r="C113" s="138">
        <f>SUM(C114:C115)</f>
        <v>0</v>
      </c>
      <c r="D113" s="139">
        <f>SUM(D114:D115)</f>
        <v>0</v>
      </c>
      <c r="E113" s="139">
        <f t="shared" ref="E113:M113" si="24">SUM(E114:E115)</f>
        <v>0</v>
      </c>
      <c r="F113" s="139">
        <f t="shared" si="24"/>
        <v>0</v>
      </c>
      <c r="G113" s="139">
        <f t="shared" si="24"/>
        <v>0</v>
      </c>
      <c r="H113" s="139">
        <f t="shared" si="24"/>
        <v>0</v>
      </c>
      <c r="I113" s="139">
        <f t="shared" si="24"/>
        <v>0</v>
      </c>
      <c r="J113" s="139">
        <f t="shared" si="23"/>
        <v>0</v>
      </c>
      <c r="K113" s="139">
        <f t="shared" si="15"/>
        <v>0</v>
      </c>
      <c r="L113" s="139">
        <f t="shared" si="24"/>
        <v>0</v>
      </c>
      <c r="M113" s="140">
        <f t="shared" si="24"/>
        <v>0</v>
      </c>
      <c r="N113" s="126"/>
      <c r="AD113" s="1336" t="s">
        <v>1906</v>
      </c>
    </row>
    <row r="114" spans="1:30" ht="12.75" customHeight="1" x14ac:dyDescent="0.25">
      <c r="A114" s="585" t="s">
        <v>1648</v>
      </c>
      <c r="B114" s="73"/>
      <c r="C114" s="1356">
        <f>SUMIFS(Sheet1!S71_OriginalBudget,Sheet1!S71_SA34cCode,$AC:$AC,Sheet1!S71_RepMaintCode,$AD:$AD)</f>
        <v>0</v>
      </c>
      <c r="D114" s="1356">
        <f>SUMIFS(Sheet1!S71_SpecialAdjustedBudget,Sheet1!S71_SA34cCode,$AC:$AC,Sheet1!S71_RepMaintCode,$AD:$AD)</f>
        <v>0</v>
      </c>
      <c r="E114" s="1356"/>
      <c r="F114" s="1356"/>
      <c r="G114" s="1356"/>
      <c r="H114" s="1356"/>
      <c r="I114" s="1356">
        <f>SUMIFS(Sheet1!S71_AdjustmentAmount,Sheet1!S71_SA34cCode,$AC:$AC,Sheet1!S71_RepMaintCode,$AD:$AD)</f>
        <v>0</v>
      </c>
      <c r="J114" s="75">
        <f t="shared" si="23"/>
        <v>0</v>
      </c>
      <c r="K114" s="75">
        <f t="shared" si="15"/>
        <v>0</v>
      </c>
      <c r="L114" s="1356">
        <f>SUMIFS(Sheet1!S71_OY1AdjustedBudget,Sheet1!S71_SA34cCode,$AC:$AC,Sheet1!S71_RepMaintCode,$AD:$AD)</f>
        <v>0</v>
      </c>
      <c r="M114" s="1357">
        <f>SUMIFS(Sheet1!S71_OY2AdjustedBudget,Sheet1!S71_SA34cCode,$AC:$AC,Sheet1!S71_RepMaintCode,$AD:$AD)</f>
        <v>0</v>
      </c>
      <c r="N114" s="126"/>
      <c r="AC114" s="1336" t="s">
        <v>1969</v>
      </c>
      <c r="AD114" s="1336" t="s">
        <v>1906</v>
      </c>
    </row>
    <row r="115" spans="1:30" ht="12.75" customHeight="1" x14ac:dyDescent="0.25">
      <c r="A115" s="585" t="s">
        <v>1649</v>
      </c>
      <c r="B115" s="73"/>
      <c r="C115" s="1356">
        <f>SUMIFS(Sheet1!S71_OriginalBudget,Sheet1!S71_SA34cCode,$AC:$AC,Sheet1!S71_RepMaintCode,$AD:$AD)</f>
        <v>0</v>
      </c>
      <c r="D115" s="1356">
        <f>SUMIFS(Sheet1!S71_SpecialAdjustedBudget,Sheet1!S71_SA34cCode,$AC:$AC,Sheet1!S71_RepMaintCode,$AD:$AD)</f>
        <v>0</v>
      </c>
      <c r="E115" s="1356"/>
      <c r="F115" s="1356"/>
      <c r="G115" s="1356"/>
      <c r="H115" s="1356"/>
      <c r="I115" s="1356">
        <f>SUMIFS(Sheet1!S71_AdjustmentAmount,Sheet1!S71_SA34cCode,$AC:$AC,Sheet1!S71_RepMaintCode,$AD:$AD)</f>
        <v>0</v>
      </c>
      <c r="J115" s="75">
        <f t="shared" si="23"/>
        <v>0</v>
      </c>
      <c r="K115" s="75">
        <f t="shared" si="15"/>
        <v>0</v>
      </c>
      <c r="L115" s="1356">
        <f>SUMIFS(Sheet1!S71_OY1AdjustedBudget,Sheet1!S71_SA34cCode,$AC:$AC,Sheet1!S71_RepMaintCode,$AD:$AD)</f>
        <v>0</v>
      </c>
      <c r="M115" s="1357">
        <f>SUMIFS(Sheet1!S71_OY2AdjustedBudget,Sheet1!S71_SA34cCode,$AC:$AC,Sheet1!S71_RepMaintCode,$AD:$AD)</f>
        <v>0</v>
      </c>
      <c r="N115" s="126"/>
      <c r="AC115" s="1336" t="s">
        <v>1970</v>
      </c>
      <c r="AD115" s="1336" t="s">
        <v>1906</v>
      </c>
    </row>
    <row r="116" spans="1:30" ht="10.35" customHeight="1" x14ac:dyDescent="0.25">
      <c r="A116" s="584" t="s">
        <v>1650</v>
      </c>
      <c r="B116" s="73"/>
      <c r="C116" s="138">
        <f>SUM(C117:C118)</f>
        <v>0</v>
      </c>
      <c r="D116" s="139">
        <f>SUM(D117:D118)</f>
        <v>0</v>
      </c>
      <c r="E116" s="139">
        <f t="shared" ref="E116:M116" si="25">SUM(E117:E118)</f>
        <v>0</v>
      </c>
      <c r="F116" s="139">
        <f t="shared" si="25"/>
        <v>0</v>
      </c>
      <c r="G116" s="139">
        <f t="shared" si="25"/>
        <v>0</v>
      </c>
      <c r="H116" s="139">
        <f t="shared" si="25"/>
        <v>0</v>
      </c>
      <c r="I116" s="139">
        <f t="shared" si="25"/>
        <v>0</v>
      </c>
      <c r="J116" s="139">
        <f t="shared" si="23"/>
        <v>0</v>
      </c>
      <c r="K116" s="139">
        <f t="shared" si="15"/>
        <v>0</v>
      </c>
      <c r="L116" s="139">
        <f t="shared" si="25"/>
        <v>0</v>
      </c>
      <c r="M116" s="140">
        <f t="shared" si="25"/>
        <v>0</v>
      </c>
      <c r="N116" s="126"/>
      <c r="AD116" s="1336" t="s">
        <v>1906</v>
      </c>
    </row>
    <row r="117" spans="1:30" ht="12.75" customHeight="1" x14ac:dyDescent="0.25">
      <c r="A117" s="585" t="s">
        <v>1648</v>
      </c>
      <c r="B117" s="73"/>
      <c r="C117" s="1356">
        <f>SUMIFS(Sheet1!S71_OriginalBudget,Sheet1!S71_SA34cCode,$AC:$AC,Sheet1!S71_RepMaintCode,$AD:$AD)</f>
        <v>0</v>
      </c>
      <c r="D117" s="1356">
        <f>SUMIFS(Sheet1!S71_SpecialAdjustedBudget,Sheet1!S71_SA34cCode,$AC:$AC,Sheet1!S71_RepMaintCode,$AD:$AD)</f>
        <v>0</v>
      </c>
      <c r="E117" s="1356"/>
      <c r="F117" s="1356"/>
      <c r="G117" s="1356"/>
      <c r="H117" s="1356"/>
      <c r="I117" s="1356">
        <f>SUMIFS(Sheet1!S71_AdjustmentAmount,Sheet1!S71_SA34cCode,$AC:$AC,Sheet1!S71_RepMaintCode,$AD:$AD)</f>
        <v>0</v>
      </c>
      <c r="J117" s="75">
        <f t="shared" si="23"/>
        <v>0</v>
      </c>
      <c r="K117" s="75">
        <f t="shared" si="15"/>
        <v>0</v>
      </c>
      <c r="L117" s="1356">
        <f>SUMIFS(Sheet1!S71_OY1AdjustedBudget,Sheet1!S71_SA34cCode,$AC:$AC,Sheet1!S71_RepMaintCode,$AD:$AD)</f>
        <v>0</v>
      </c>
      <c r="M117" s="1357">
        <f>SUMIFS(Sheet1!S71_OY2AdjustedBudget,Sheet1!S71_SA34cCode,$AC:$AC,Sheet1!S71_RepMaintCode,$AD:$AD)</f>
        <v>0</v>
      </c>
      <c r="N117" s="126"/>
      <c r="AC117" s="1336" t="s">
        <v>1972</v>
      </c>
      <c r="AD117" s="1336" t="s">
        <v>1906</v>
      </c>
    </row>
    <row r="118" spans="1:30" ht="12.75" customHeight="1" x14ac:dyDescent="0.25">
      <c r="A118" s="585" t="s">
        <v>1649</v>
      </c>
      <c r="B118" s="73"/>
      <c r="C118" s="1356">
        <f>SUMIFS(Sheet1!S71_OriginalBudget,Sheet1!S71_SA34cCode,$AC:$AC,Sheet1!S71_RepMaintCode,$AD:$AD)</f>
        <v>0</v>
      </c>
      <c r="D118" s="1356">
        <f>SUMIFS(Sheet1!S71_SpecialAdjustedBudget,Sheet1!S71_SA34cCode,$AC:$AC,Sheet1!S71_RepMaintCode,$AD:$AD)</f>
        <v>0</v>
      </c>
      <c r="E118" s="1356"/>
      <c r="F118" s="1356"/>
      <c r="G118" s="1356"/>
      <c r="H118" s="1356"/>
      <c r="I118" s="1356">
        <f>SUMIFS(Sheet1!S71_AdjustmentAmount,Sheet1!S71_SA34cCode,$AC:$AC,Sheet1!S71_RepMaintCode,$AD:$AD)</f>
        <v>0</v>
      </c>
      <c r="J118" s="75">
        <f t="shared" si="23"/>
        <v>0</v>
      </c>
      <c r="K118" s="75">
        <f t="shared" si="15"/>
        <v>0</v>
      </c>
      <c r="L118" s="1356">
        <f>SUMIFS(Sheet1!S71_OY1AdjustedBudget,Sheet1!S71_SA34cCode,$AC:$AC,Sheet1!S71_RepMaintCode,$AD:$AD)</f>
        <v>0</v>
      </c>
      <c r="M118" s="1357">
        <f>SUMIFS(Sheet1!S71_OY2AdjustedBudget,Sheet1!S71_SA34cCode,$AC:$AC,Sheet1!S71_RepMaintCode,$AD:$AD)</f>
        <v>0</v>
      </c>
      <c r="N118" s="126"/>
      <c r="AC118" s="1336" t="s">
        <v>1973</v>
      </c>
      <c r="AD118" s="1336" t="s">
        <v>1906</v>
      </c>
    </row>
    <row r="119" spans="1:30" ht="5.0999999999999996" customHeight="1" x14ac:dyDescent="0.25">
      <c r="A119" s="134"/>
      <c r="B119" s="73"/>
      <c r="C119" s="74"/>
      <c r="D119" s="75"/>
      <c r="E119" s="75"/>
      <c r="F119" s="75"/>
      <c r="G119" s="75"/>
      <c r="H119" s="75"/>
      <c r="I119" s="75"/>
      <c r="J119" s="75"/>
      <c r="K119" s="75"/>
      <c r="L119" s="75"/>
      <c r="M119" s="76"/>
      <c r="N119" s="126"/>
      <c r="AD119" s="1336" t="s">
        <v>1906</v>
      </c>
    </row>
    <row r="120" spans="1:30" ht="12.75" customHeight="1" x14ac:dyDescent="0.25">
      <c r="A120" s="1212" t="s">
        <v>769</v>
      </c>
      <c r="B120" s="73"/>
      <c r="C120" s="234">
        <f>+C121+C133</f>
        <v>2000000</v>
      </c>
      <c r="D120" s="235">
        <f t="shared" ref="D120:I120" si="26">+D121+D133</f>
        <v>2000000</v>
      </c>
      <c r="E120" s="235">
        <f t="shared" si="26"/>
        <v>0</v>
      </c>
      <c r="F120" s="235">
        <f t="shared" si="26"/>
        <v>0</v>
      </c>
      <c r="G120" s="235">
        <f t="shared" si="26"/>
        <v>0</v>
      </c>
      <c r="H120" s="235">
        <f t="shared" si="26"/>
        <v>0</v>
      </c>
      <c r="I120" s="235">
        <f t="shared" si="26"/>
        <v>5819500</v>
      </c>
      <c r="J120" s="235">
        <f t="shared" ref="J120:J136" si="27">SUM(E120:I120)</f>
        <v>5819500</v>
      </c>
      <c r="K120" s="235">
        <f t="shared" si="15"/>
        <v>7819500</v>
      </c>
      <c r="L120" s="235">
        <f>+L121+L133</f>
        <v>2200000</v>
      </c>
      <c r="M120" s="236">
        <f>+M121+M133</f>
        <v>2420000</v>
      </c>
      <c r="N120" s="126"/>
      <c r="AD120" s="1336" t="s">
        <v>1906</v>
      </c>
    </row>
    <row r="121" spans="1:30" ht="10.35" customHeight="1" x14ac:dyDescent="0.25">
      <c r="A121" s="584" t="s">
        <v>1651</v>
      </c>
      <c r="B121" s="73"/>
      <c r="C121" s="138">
        <f>SUM(C122:C132)</f>
        <v>2000000</v>
      </c>
      <c r="D121" s="139">
        <f t="shared" ref="D121:I121" si="28">SUM(D122:D132)</f>
        <v>2000000</v>
      </c>
      <c r="E121" s="139">
        <f t="shared" si="28"/>
        <v>0</v>
      </c>
      <c r="F121" s="139">
        <f t="shared" si="28"/>
        <v>0</v>
      </c>
      <c r="G121" s="139">
        <f t="shared" si="28"/>
        <v>0</v>
      </c>
      <c r="H121" s="139">
        <f t="shared" si="28"/>
        <v>0</v>
      </c>
      <c r="I121" s="139">
        <f t="shared" si="28"/>
        <v>5819500</v>
      </c>
      <c r="J121" s="139">
        <f t="shared" si="27"/>
        <v>5819500</v>
      </c>
      <c r="K121" s="139">
        <f t="shared" si="15"/>
        <v>7819500</v>
      </c>
      <c r="L121" s="139">
        <f>SUM(L122:L132)</f>
        <v>2200000</v>
      </c>
      <c r="M121" s="140">
        <f>SUM(M122:M132)</f>
        <v>2420000</v>
      </c>
      <c r="N121" s="126"/>
      <c r="AD121" s="1336" t="s">
        <v>1906</v>
      </c>
    </row>
    <row r="122" spans="1:30" ht="12.75" customHeight="1" x14ac:dyDescent="0.25">
      <c r="A122" s="585" t="s">
        <v>1652</v>
      </c>
      <c r="B122" s="73"/>
      <c r="C122" s="1356">
        <f>SUMIFS(Sheet1!S71_OriginalBudget,Sheet1!S71_SA34cCode,$AC:$AC,Sheet1!S71_RepMaintCode,$AD:$AD)</f>
        <v>2000000</v>
      </c>
      <c r="D122" s="1356">
        <f>SUMIFS(Sheet1!S71_SpecialAdjustedBudget,Sheet1!S71_SA34cCode,$AC:$AC,Sheet1!S71_RepMaintCode,$AD:$AD)</f>
        <v>2000000</v>
      </c>
      <c r="E122" s="1356"/>
      <c r="F122" s="1356"/>
      <c r="G122" s="1356"/>
      <c r="H122" s="1356"/>
      <c r="I122" s="1356">
        <f>SUMIFS(Sheet1!S71_AdjustmentAmount,Sheet1!S71_SA34cCode,$AC:$AC,Sheet1!S71_RepMaintCode,$AD:$AD)</f>
        <v>5819500</v>
      </c>
      <c r="J122" s="75">
        <f t="shared" si="27"/>
        <v>5819500</v>
      </c>
      <c r="K122" s="75">
        <f t="shared" si="15"/>
        <v>7819500</v>
      </c>
      <c r="L122" s="1356">
        <f>SUMIFS(Sheet1!S71_OY1AdjustedBudget,Sheet1!S71_SA34cCode,$AC:$AC,Sheet1!S71_RepMaintCode,$AD:$AD)</f>
        <v>2200000</v>
      </c>
      <c r="M122" s="1357">
        <f>SUMIFS(Sheet1!S71_OY2AdjustedBudget,Sheet1!S71_SA34cCode,$AC:$AC,Sheet1!S71_RepMaintCode,$AD:$AD)</f>
        <v>2420000</v>
      </c>
      <c r="N122" s="126"/>
      <c r="AC122" s="1336" t="s">
        <v>1823</v>
      </c>
      <c r="AD122" s="1336" t="s">
        <v>1906</v>
      </c>
    </row>
    <row r="123" spans="1:30" ht="12.75" customHeight="1" x14ac:dyDescent="0.25">
      <c r="A123" s="585" t="s">
        <v>1653</v>
      </c>
      <c r="B123" s="135"/>
      <c r="C123" s="1356">
        <f>SUMIFS(Sheet1!S71_OriginalBudget,Sheet1!S71_SA34cCode,$AC:$AC,Sheet1!S71_RepMaintCode,$AD:$AD)</f>
        <v>0</v>
      </c>
      <c r="D123" s="1356">
        <f>SUMIFS(Sheet1!S71_SpecialAdjustedBudget,Sheet1!S71_SA34cCode,$AC:$AC,Sheet1!S71_RepMaintCode,$AD:$AD)</f>
        <v>0</v>
      </c>
      <c r="E123" s="1356"/>
      <c r="F123" s="1356"/>
      <c r="G123" s="1356"/>
      <c r="H123" s="1356"/>
      <c r="I123" s="1356">
        <f>SUMIFS(Sheet1!S71_AdjustmentAmount,Sheet1!S71_SA34cCode,$AC:$AC,Sheet1!S71_RepMaintCode,$AD:$AD)</f>
        <v>0</v>
      </c>
      <c r="J123" s="75">
        <f t="shared" si="27"/>
        <v>0</v>
      </c>
      <c r="K123" s="75">
        <f t="shared" si="15"/>
        <v>0</v>
      </c>
      <c r="L123" s="1356">
        <f>SUMIFS(Sheet1!S71_OY1AdjustedBudget,Sheet1!S71_SA34cCode,$AC:$AC,Sheet1!S71_RepMaintCode,$AD:$AD)</f>
        <v>0</v>
      </c>
      <c r="M123" s="1357">
        <f>SUMIFS(Sheet1!S71_OY2AdjustedBudget,Sheet1!S71_SA34cCode,$AC:$AC,Sheet1!S71_RepMaintCode,$AD:$AD)</f>
        <v>0</v>
      </c>
      <c r="N123" s="126"/>
      <c r="AC123" s="1336" t="s">
        <v>1974</v>
      </c>
      <c r="AD123" s="1336" t="s">
        <v>1906</v>
      </c>
    </row>
    <row r="124" spans="1:30" ht="12.75" customHeight="1" x14ac:dyDescent="0.25">
      <c r="A124" s="585" t="s">
        <v>1654</v>
      </c>
      <c r="B124" s="73"/>
      <c r="C124" s="1356">
        <f>SUMIFS(Sheet1!S71_OriginalBudget,Sheet1!S71_SA34cCode,$AC:$AC,Sheet1!S71_RepMaintCode,$AD:$AD)</f>
        <v>0</v>
      </c>
      <c r="D124" s="1356">
        <f>SUMIFS(Sheet1!S71_SpecialAdjustedBudget,Sheet1!S71_SA34cCode,$AC:$AC,Sheet1!S71_RepMaintCode,$AD:$AD)</f>
        <v>0</v>
      </c>
      <c r="E124" s="1356"/>
      <c r="F124" s="1356"/>
      <c r="G124" s="1356"/>
      <c r="H124" s="1356"/>
      <c r="I124" s="1356">
        <f>SUMIFS(Sheet1!S71_AdjustmentAmount,Sheet1!S71_SA34cCode,$AC:$AC,Sheet1!S71_RepMaintCode,$AD:$AD)</f>
        <v>0</v>
      </c>
      <c r="J124" s="75">
        <f t="shared" si="27"/>
        <v>0</v>
      </c>
      <c r="K124" s="75">
        <f t="shared" si="15"/>
        <v>0</v>
      </c>
      <c r="L124" s="1356">
        <f>SUMIFS(Sheet1!S71_OY1AdjustedBudget,Sheet1!S71_SA34cCode,$AC:$AC,Sheet1!S71_RepMaintCode,$AD:$AD)</f>
        <v>0</v>
      </c>
      <c r="M124" s="1357">
        <f>SUMIFS(Sheet1!S71_OY2AdjustedBudget,Sheet1!S71_SA34cCode,$AC:$AC,Sheet1!S71_RepMaintCode,$AD:$AD)</f>
        <v>0</v>
      </c>
      <c r="N124" s="126"/>
      <c r="AC124" s="1336" t="s">
        <v>1975</v>
      </c>
      <c r="AD124" s="1336" t="s">
        <v>1906</v>
      </c>
    </row>
    <row r="125" spans="1:30" ht="12.75" customHeight="1" x14ac:dyDescent="0.25">
      <c r="A125" s="585" t="s">
        <v>1655</v>
      </c>
      <c r="B125" s="73"/>
      <c r="C125" s="1356">
        <f>SUMIFS(Sheet1!S71_OriginalBudget,Sheet1!S71_SA34cCode,$AC:$AC,Sheet1!S71_RepMaintCode,$AD:$AD)</f>
        <v>0</v>
      </c>
      <c r="D125" s="1356">
        <f>SUMIFS(Sheet1!S71_SpecialAdjustedBudget,Sheet1!S71_SA34cCode,$AC:$AC,Sheet1!S71_RepMaintCode,$AD:$AD)</f>
        <v>0</v>
      </c>
      <c r="E125" s="1356"/>
      <c r="F125" s="1356"/>
      <c r="G125" s="1356"/>
      <c r="H125" s="1356"/>
      <c r="I125" s="1356">
        <f>SUMIFS(Sheet1!S71_AdjustmentAmount,Sheet1!S71_SA34cCode,$AC:$AC,Sheet1!S71_RepMaintCode,$AD:$AD)</f>
        <v>0</v>
      </c>
      <c r="J125" s="75">
        <f t="shared" si="27"/>
        <v>0</v>
      </c>
      <c r="K125" s="75">
        <f t="shared" si="15"/>
        <v>0</v>
      </c>
      <c r="L125" s="1356">
        <f>SUMIFS(Sheet1!S71_OY1AdjustedBudget,Sheet1!S71_SA34cCode,$AC:$AC,Sheet1!S71_RepMaintCode,$AD:$AD)</f>
        <v>0</v>
      </c>
      <c r="M125" s="1357">
        <f>SUMIFS(Sheet1!S71_OY2AdjustedBudget,Sheet1!S71_SA34cCode,$AC:$AC,Sheet1!S71_RepMaintCode,$AD:$AD)</f>
        <v>0</v>
      </c>
      <c r="N125" s="126"/>
      <c r="AC125" s="1336" t="s">
        <v>1976</v>
      </c>
      <c r="AD125" s="1336" t="s">
        <v>1906</v>
      </c>
    </row>
    <row r="126" spans="1:30" ht="12.75" customHeight="1" x14ac:dyDescent="0.25">
      <c r="A126" s="585" t="s">
        <v>1656</v>
      </c>
      <c r="B126" s="73"/>
      <c r="C126" s="1356">
        <f>SUMIFS(Sheet1!S71_OriginalBudget,Sheet1!S71_SA34cCode,$AC:$AC,Sheet1!S71_RepMaintCode,$AD:$AD)</f>
        <v>0</v>
      </c>
      <c r="D126" s="1356">
        <f>SUMIFS(Sheet1!S71_SpecialAdjustedBudget,Sheet1!S71_SA34cCode,$AC:$AC,Sheet1!S71_RepMaintCode,$AD:$AD)</f>
        <v>0</v>
      </c>
      <c r="E126" s="1356"/>
      <c r="F126" s="1356"/>
      <c r="G126" s="1356"/>
      <c r="H126" s="1356"/>
      <c r="I126" s="1356">
        <f>SUMIFS(Sheet1!S71_AdjustmentAmount,Sheet1!S71_SA34cCode,$AC:$AC,Sheet1!S71_RepMaintCode,$AD:$AD)</f>
        <v>0</v>
      </c>
      <c r="J126" s="75">
        <f t="shared" si="27"/>
        <v>0</v>
      </c>
      <c r="K126" s="75">
        <f t="shared" si="15"/>
        <v>0</v>
      </c>
      <c r="L126" s="1356">
        <f>SUMIFS(Sheet1!S71_OY1AdjustedBudget,Sheet1!S71_SA34cCode,$AC:$AC,Sheet1!S71_RepMaintCode,$AD:$AD)</f>
        <v>0</v>
      </c>
      <c r="M126" s="1357">
        <f>SUMIFS(Sheet1!S71_OY2AdjustedBudget,Sheet1!S71_SA34cCode,$AC:$AC,Sheet1!S71_RepMaintCode,$AD:$AD)</f>
        <v>0</v>
      </c>
      <c r="N126" s="126"/>
      <c r="AC126" s="1336" t="s">
        <v>1977</v>
      </c>
      <c r="AD126" s="1336" t="s">
        <v>1906</v>
      </c>
    </row>
    <row r="127" spans="1:30" ht="12.75" customHeight="1" x14ac:dyDescent="0.25">
      <c r="A127" s="585" t="s">
        <v>1657</v>
      </c>
      <c r="B127" s="73"/>
      <c r="C127" s="1356">
        <f>SUMIFS(Sheet1!S71_OriginalBudget,Sheet1!S71_SA34cCode,$AC:$AC,Sheet1!S71_RepMaintCode,$AD:$AD)</f>
        <v>0</v>
      </c>
      <c r="D127" s="1356">
        <f>SUMIFS(Sheet1!S71_SpecialAdjustedBudget,Sheet1!S71_SA34cCode,$AC:$AC,Sheet1!S71_RepMaintCode,$AD:$AD)</f>
        <v>0</v>
      </c>
      <c r="E127" s="1356"/>
      <c r="F127" s="1356"/>
      <c r="G127" s="1356"/>
      <c r="H127" s="1356"/>
      <c r="I127" s="1356">
        <f>SUMIFS(Sheet1!S71_AdjustmentAmount,Sheet1!S71_SA34cCode,$AC:$AC,Sheet1!S71_RepMaintCode,$AD:$AD)</f>
        <v>0</v>
      </c>
      <c r="J127" s="75">
        <f t="shared" si="27"/>
        <v>0</v>
      </c>
      <c r="K127" s="75">
        <f t="shared" si="15"/>
        <v>0</v>
      </c>
      <c r="L127" s="1356">
        <f>SUMIFS(Sheet1!S71_OY1AdjustedBudget,Sheet1!S71_SA34cCode,$AC:$AC,Sheet1!S71_RepMaintCode,$AD:$AD)</f>
        <v>0</v>
      </c>
      <c r="M127" s="1357">
        <f>SUMIFS(Sheet1!S71_OY2AdjustedBudget,Sheet1!S71_SA34cCode,$AC:$AC,Sheet1!S71_RepMaintCode,$AD:$AD)</f>
        <v>0</v>
      </c>
      <c r="N127" s="126"/>
      <c r="AC127" s="1336" t="s">
        <v>1978</v>
      </c>
      <c r="AD127" s="1336" t="s">
        <v>1906</v>
      </c>
    </row>
    <row r="128" spans="1:30" ht="12.75" customHeight="1" x14ac:dyDescent="0.25">
      <c r="A128" s="585" t="s">
        <v>1658</v>
      </c>
      <c r="B128" s="73"/>
      <c r="C128" s="1356">
        <f>SUMIFS(Sheet1!S71_OriginalBudget,Sheet1!S71_SA34cCode,$AC:$AC,Sheet1!S71_RepMaintCode,$AD:$AD)</f>
        <v>0</v>
      </c>
      <c r="D128" s="1356">
        <f>SUMIFS(Sheet1!S71_SpecialAdjustedBudget,Sheet1!S71_SA34cCode,$AC:$AC,Sheet1!S71_RepMaintCode,$AD:$AD)</f>
        <v>0</v>
      </c>
      <c r="E128" s="1356"/>
      <c r="F128" s="1356"/>
      <c r="G128" s="1356"/>
      <c r="H128" s="1356"/>
      <c r="I128" s="1356">
        <f>SUMIFS(Sheet1!S71_AdjustmentAmount,Sheet1!S71_SA34cCode,$AC:$AC,Sheet1!S71_RepMaintCode,$AD:$AD)</f>
        <v>0</v>
      </c>
      <c r="J128" s="75">
        <f t="shared" si="27"/>
        <v>0</v>
      </c>
      <c r="K128" s="75">
        <f t="shared" si="15"/>
        <v>0</v>
      </c>
      <c r="L128" s="1356">
        <f>SUMIFS(Sheet1!S71_OY1AdjustedBudget,Sheet1!S71_SA34cCode,$AC:$AC,Sheet1!S71_RepMaintCode,$AD:$AD)</f>
        <v>0</v>
      </c>
      <c r="M128" s="1357">
        <f>SUMIFS(Sheet1!S71_OY2AdjustedBudget,Sheet1!S71_SA34cCode,$AC:$AC,Sheet1!S71_RepMaintCode,$AD:$AD)</f>
        <v>0</v>
      </c>
      <c r="N128" s="126"/>
      <c r="AC128" s="1336" t="s">
        <v>1979</v>
      </c>
      <c r="AD128" s="1336" t="s">
        <v>1906</v>
      </c>
    </row>
    <row r="129" spans="1:30" ht="12.75" customHeight="1" x14ac:dyDescent="0.25">
      <c r="A129" s="585" t="s">
        <v>1659</v>
      </c>
      <c r="B129" s="135"/>
      <c r="C129" s="1356">
        <f>SUMIFS(Sheet1!S71_OriginalBudget,Sheet1!S71_SA34cCode,$AC:$AC,Sheet1!S71_RepMaintCode,$AD:$AD)</f>
        <v>0</v>
      </c>
      <c r="D129" s="1356">
        <f>SUMIFS(Sheet1!S71_SpecialAdjustedBudget,Sheet1!S71_SA34cCode,$AC:$AC,Sheet1!S71_RepMaintCode,$AD:$AD)</f>
        <v>0</v>
      </c>
      <c r="E129" s="1356"/>
      <c r="F129" s="1356"/>
      <c r="G129" s="1356"/>
      <c r="H129" s="1356"/>
      <c r="I129" s="1356">
        <f>SUMIFS(Sheet1!S71_AdjustmentAmount,Sheet1!S71_SA34cCode,$AC:$AC,Sheet1!S71_RepMaintCode,$AD:$AD)</f>
        <v>0</v>
      </c>
      <c r="J129" s="75">
        <f t="shared" si="27"/>
        <v>0</v>
      </c>
      <c r="K129" s="75">
        <f t="shared" si="15"/>
        <v>0</v>
      </c>
      <c r="L129" s="1356">
        <f>SUMIFS(Sheet1!S71_OY1AdjustedBudget,Sheet1!S71_SA34cCode,$AC:$AC,Sheet1!S71_RepMaintCode,$AD:$AD)</f>
        <v>0</v>
      </c>
      <c r="M129" s="1357">
        <f>SUMIFS(Sheet1!S71_OY2AdjustedBudget,Sheet1!S71_SA34cCode,$AC:$AC,Sheet1!S71_RepMaintCode,$AD:$AD)</f>
        <v>0</v>
      </c>
      <c r="N129" s="126"/>
      <c r="AC129" s="1336" t="s">
        <v>1980</v>
      </c>
      <c r="AD129" s="1336" t="s">
        <v>1906</v>
      </c>
    </row>
    <row r="130" spans="1:30" ht="12.75" customHeight="1" x14ac:dyDescent="0.25">
      <c r="A130" s="585" t="s">
        <v>1660</v>
      </c>
      <c r="B130" s="73"/>
      <c r="C130" s="1356">
        <f>SUMIFS(Sheet1!S71_OriginalBudget,Sheet1!S71_SA34cCode,$AC:$AC,Sheet1!S71_RepMaintCode,$AD:$AD)</f>
        <v>0</v>
      </c>
      <c r="D130" s="1356">
        <f>SUMIFS(Sheet1!S71_SpecialAdjustedBudget,Sheet1!S71_SA34cCode,$AC:$AC,Sheet1!S71_RepMaintCode,$AD:$AD)</f>
        <v>0</v>
      </c>
      <c r="E130" s="1356"/>
      <c r="F130" s="1356"/>
      <c r="G130" s="1356"/>
      <c r="H130" s="1356"/>
      <c r="I130" s="1356">
        <f>SUMIFS(Sheet1!S71_AdjustmentAmount,Sheet1!S71_SA34cCode,$AC:$AC,Sheet1!S71_RepMaintCode,$AD:$AD)</f>
        <v>0</v>
      </c>
      <c r="J130" s="75">
        <f t="shared" si="27"/>
        <v>0</v>
      </c>
      <c r="K130" s="75">
        <f t="shared" si="15"/>
        <v>0</v>
      </c>
      <c r="L130" s="1356">
        <f>SUMIFS(Sheet1!S71_OY1AdjustedBudget,Sheet1!S71_SA34cCode,$AC:$AC,Sheet1!S71_RepMaintCode,$AD:$AD)</f>
        <v>0</v>
      </c>
      <c r="M130" s="1357">
        <f>SUMIFS(Sheet1!S71_OY2AdjustedBudget,Sheet1!S71_SA34cCode,$AC:$AC,Sheet1!S71_RepMaintCode,$AD:$AD)</f>
        <v>0</v>
      </c>
      <c r="N130" s="126"/>
      <c r="AC130" s="1336" t="s">
        <v>1981</v>
      </c>
      <c r="AD130" s="1336" t="s">
        <v>1906</v>
      </c>
    </row>
    <row r="131" spans="1:30" ht="12.75" customHeight="1" x14ac:dyDescent="0.25">
      <c r="A131" s="585" t="s">
        <v>1661</v>
      </c>
      <c r="B131" s="73"/>
      <c r="C131" s="1356">
        <f>SUMIFS(Sheet1!S71_OriginalBudget,Sheet1!S71_SA34cCode,$AC:$AC,Sheet1!S71_RepMaintCode,$AD:$AD)</f>
        <v>0</v>
      </c>
      <c r="D131" s="1356">
        <f>SUMIFS(Sheet1!S71_SpecialAdjustedBudget,Sheet1!S71_SA34cCode,$AC:$AC,Sheet1!S71_RepMaintCode,$AD:$AD)</f>
        <v>0</v>
      </c>
      <c r="E131" s="1356"/>
      <c r="F131" s="1356"/>
      <c r="G131" s="1356"/>
      <c r="H131" s="1356"/>
      <c r="I131" s="1356">
        <f>SUMIFS(Sheet1!S71_AdjustmentAmount,Sheet1!S71_SA34cCode,$AC:$AC,Sheet1!S71_RepMaintCode,$AD:$AD)</f>
        <v>0</v>
      </c>
      <c r="J131" s="75">
        <f t="shared" si="27"/>
        <v>0</v>
      </c>
      <c r="K131" s="75">
        <f t="shared" si="15"/>
        <v>0</v>
      </c>
      <c r="L131" s="1356">
        <f>SUMIFS(Sheet1!S71_OY1AdjustedBudget,Sheet1!S71_SA34cCode,$AC:$AC,Sheet1!S71_RepMaintCode,$AD:$AD)</f>
        <v>0</v>
      </c>
      <c r="M131" s="1357">
        <f>SUMIFS(Sheet1!S71_OY2AdjustedBudget,Sheet1!S71_SA34cCode,$AC:$AC,Sheet1!S71_RepMaintCode,$AD:$AD)</f>
        <v>0</v>
      </c>
      <c r="N131" s="126"/>
      <c r="AC131" s="1336" t="s">
        <v>1982</v>
      </c>
      <c r="AD131" s="1336" t="s">
        <v>1906</v>
      </c>
    </row>
    <row r="132" spans="1:30" ht="12.75" customHeight="1" x14ac:dyDescent="0.25">
      <c r="A132" s="585" t="s">
        <v>1571</v>
      </c>
      <c r="B132" s="73"/>
      <c r="C132" s="1356">
        <f>SUMIFS(Sheet1!S71_OriginalBudget,Sheet1!S71_SA34cCode,$AC:$AC,Sheet1!S71_RepMaintCode,$AD:$AD)</f>
        <v>0</v>
      </c>
      <c r="D132" s="1356">
        <f>SUMIFS(Sheet1!S71_SpecialAdjustedBudget,Sheet1!S71_SA34cCode,$AC:$AC,Sheet1!S71_RepMaintCode,$AD:$AD)</f>
        <v>0</v>
      </c>
      <c r="E132" s="1356"/>
      <c r="F132" s="1356"/>
      <c r="G132" s="1356"/>
      <c r="H132" s="1356"/>
      <c r="I132" s="1356">
        <f>SUMIFS(Sheet1!S71_AdjustmentAmount,Sheet1!S71_SA34cCode,$AC:$AC,Sheet1!S71_RepMaintCode,$AD:$AD)</f>
        <v>0</v>
      </c>
      <c r="J132" s="75">
        <f t="shared" si="27"/>
        <v>0</v>
      </c>
      <c r="K132" s="75">
        <f t="shared" si="15"/>
        <v>0</v>
      </c>
      <c r="L132" s="1356">
        <f>SUMIFS(Sheet1!S71_OY1AdjustedBudget,Sheet1!S71_SA34cCode,$AC:$AC,Sheet1!S71_RepMaintCode,$AD:$AD)</f>
        <v>0</v>
      </c>
      <c r="M132" s="1357">
        <f>SUMIFS(Sheet1!S71_OY2AdjustedBudget,Sheet1!S71_SA34cCode,$AC:$AC,Sheet1!S71_RepMaintCode,$AD:$AD)</f>
        <v>0</v>
      </c>
      <c r="N132" s="126"/>
      <c r="AC132" s="1336" t="s">
        <v>1824</v>
      </c>
      <c r="AD132" s="1336" t="s">
        <v>1906</v>
      </c>
    </row>
    <row r="133" spans="1:30" ht="10.35" customHeight="1" x14ac:dyDescent="0.25">
      <c r="A133" s="584" t="s">
        <v>621</v>
      </c>
      <c r="B133" s="73"/>
      <c r="C133" s="138">
        <f>SUM(C134:C136)</f>
        <v>0</v>
      </c>
      <c r="D133" s="139">
        <f>SUM(D134:D136)</f>
        <v>0</v>
      </c>
      <c r="E133" s="139">
        <f t="shared" ref="E133:M133" si="29">SUM(E134:E136)</f>
        <v>0</v>
      </c>
      <c r="F133" s="139">
        <f t="shared" si="29"/>
        <v>0</v>
      </c>
      <c r="G133" s="139">
        <f t="shared" si="29"/>
        <v>0</v>
      </c>
      <c r="H133" s="139">
        <f t="shared" si="29"/>
        <v>0</v>
      </c>
      <c r="I133" s="139">
        <f t="shared" si="29"/>
        <v>0</v>
      </c>
      <c r="J133" s="139">
        <f t="shared" si="27"/>
        <v>0</v>
      </c>
      <c r="K133" s="139">
        <f t="shared" si="15"/>
        <v>0</v>
      </c>
      <c r="L133" s="139">
        <f t="shared" si="29"/>
        <v>0</v>
      </c>
      <c r="M133" s="140">
        <f t="shared" si="29"/>
        <v>0</v>
      </c>
      <c r="N133" s="126"/>
      <c r="AD133" s="1336" t="s">
        <v>1906</v>
      </c>
    </row>
    <row r="134" spans="1:30" s="1216" customFormat="1" ht="12.75" customHeight="1" x14ac:dyDescent="0.25">
      <c r="A134" s="585" t="s">
        <v>1662</v>
      </c>
      <c r="B134" s="1213"/>
      <c r="C134" s="1356">
        <f>SUMIFS(Sheet1!S71_OriginalBudget,Sheet1!S71_SA34cCode,$AC:$AC,Sheet1!S71_RepMaintCode,$AD:$AD)</f>
        <v>0</v>
      </c>
      <c r="D134" s="1356">
        <f>SUMIFS(Sheet1!S71_SpecialAdjustedBudget,Sheet1!S71_SA34cCode,$AC:$AC,Sheet1!S71_RepMaintCode,$AD:$AD)</f>
        <v>0</v>
      </c>
      <c r="E134" s="1356"/>
      <c r="F134" s="1356"/>
      <c r="G134" s="1356"/>
      <c r="H134" s="1356"/>
      <c r="I134" s="1356">
        <f>SUMIFS(Sheet1!S71_AdjustmentAmount,Sheet1!S71_SA34cCode,$AC:$AC,Sheet1!S71_RepMaintCode,$AD:$AD)</f>
        <v>0</v>
      </c>
      <c r="J134" s="1214">
        <f t="shared" si="27"/>
        <v>0</v>
      </c>
      <c r="K134" s="1214">
        <f t="shared" si="15"/>
        <v>0</v>
      </c>
      <c r="L134" s="1356">
        <f>SUMIFS(Sheet1!S71_OY1AdjustedBudget,Sheet1!S71_SA34cCode,$AC:$AC,Sheet1!S71_RepMaintCode,$AD:$AD)</f>
        <v>0</v>
      </c>
      <c r="M134" s="1357">
        <f>SUMIFS(Sheet1!S71_OY2AdjustedBudget,Sheet1!S71_SA34cCode,$AC:$AC,Sheet1!S71_RepMaintCode,$AD:$AD)</f>
        <v>0</v>
      </c>
      <c r="N134" s="1215"/>
      <c r="AC134" s="1336" t="s">
        <v>1983</v>
      </c>
      <c r="AD134" s="1336" t="s">
        <v>1906</v>
      </c>
    </row>
    <row r="135" spans="1:30" ht="12.75" customHeight="1" x14ac:dyDescent="0.25">
      <c r="A135" s="585" t="s">
        <v>1663</v>
      </c>
      <c r="B135" s="73"/>
      <c r="C135" s="1356">
        <f>SUMIFS(Sheet1!S71_OriginalBudget,Sheet1!S71_SA34cCode,$AC:$AC,Sheet1!S71_RepMaintCode,$AD:$AD)</f>
        <v>0</v>
      </c>
      <c r="D135" s="1356">
        <f>SUMIFS(Sheet1!S71_SpecialAdjustedBudget,Sheet1!S71_SA34cCode,$AC:$AC,Sheet1!S71_RepMaintCode,$AD:$AD)</f>
        <v>0</v>
      </c>
      <c r="E135" s="1356"/>
      <c r="F135" s="1356"/>
      <c r="G135" s="1356"/>
      <c r="H135" s="1356"/>
      <c r="I135" s="1356">
        <f>SUMIFS(Sheet1!S71_AdjustmentAmount,Sheet1!S71_SA34cCode,$AC:$AC,Sheet1!S71_RepMaintCode,$AD:$AD)</f>
        <v>0</v>
      </c>
      <c r="J135" s="75">
        <f t="shared" si="27"/>
        <v>0</v>
      </c>
      <c r="K135" s="75">
        <f t="shared" si="15"/>
        <v>0</v>
      </c>
      <c r="L135" s="1356">
        <f>SUMIFS(Sheet1!S71_OY1AdjustedBudget,Sheet1!S71_SA34cCode,$AC:$AC,Sheet1!S71_RepMaintCode,$AD:$AD)</f>
        <v>0</v>
      </c>
      <c r="M135" s="1357">
        <f>SUMIFS(Sheet1!S71_OY2AdjustedBudget,Sheet1!S71_SA34cCode,$AC:$AC,Sheet1!S71_RepMaintCode,$AD:$AD)</f>
        <v>0</v>
      </c>
      <c r="N135" s="126"/>
      <c r="AC135" s="1336" t="s">
        <v>1984</v>
      </c>
      <c r="AD135" s="1336" t="s">
        <v>1906</v>
      </c>
    </row>
    <row r="136" spans="1:30" ht="12.75" customHeight="1" x14ac:dyDescent="0.25">
      <c r="A136" s="585" t="s">
        <v>1571</v>
      </c>
      <c r="B136" s="73"/>
      <c r="C136" s="1356">
        <f>SUMIFS(Sheet1!S71_OriginalBudget,Sheet1!S71_SA34cCode,$AC:$AC,Sheet1!S71_RepMaintCode,$AD:$AD)</f>
        <v>0</v>
      </c>
      <c r="D136" s="1356">
        <f>SUMIFS(Sheet1!S71_SpecialAdjustedBudget,Sheet1!S71_SA34cCode,$AC:$AC,Sheet1!S71_RepMaintCode,$AD:$AD)</f>
        <v>0</v>
      </c>
      <c r="E136" s="1356"/>
      <c r="F136" s="1356"/>
      <c r="G136" s="1356"/>
      <c r="H136" s="1356"/>
      <c r="I136" s="1356">
        <f>SUMIFS(Sheet1!S71_AdjustmentAmount,Sheet1!S71_SA34cCode,$AC:$AC,Sheet1!S71_RepMaintCode,$AD:$AD)</f>
        <v>0</v>
      </c>
      <c r="J136" s="75">
        <f t="shared" si="27"/>
        <v>0</v>
      </c>
      <c r="K136" s="75">
        <f t="shared" si="15"/>
        <v>0</v>
      </c>
      <c r="L136" s="1356">
        <f>SUMIFS(Sheet1!S71_OY1AdjustedBudget,Sheet1!S71_SA34cCode,$AC:$AC,Sheet1!S71_RepMaintCode,$AD:$AD)</f>
        <v>0</v>
      </c>
      <c r="M136" s="1357">
        <f>SUMIFS(Sheet1!S71_OY2AdjustedBudget,Sheet1!S71_SA34cCode,$AC:$AC,Sheet1!S71_RepMaintCode,$AD:$AD)</f>
        <v>0</v>
      </c>
      <c r="N136" s="126"/>
      <c r="AC136" s="1337" t="s">
        <v>1985</v>
      </c>
      <c r="AD136" s="1337" t="s">
        <v>1906</v>
      </c>
    </row>
    <row r="137" spans="1:30" ht="5.0999999999999996" customHeight="1" x14ac:dyDescent="0.25">
      <c r="A137" s="134"/>
      <c r="B137" s="73"/>
      <c r="C137" s="74"/>
      <c r="D137" s="75"/>
      <c r="E137" s="75"/>
      <c r="F137" s="75"/>
      <c r="G137" s="75"/>
      <c r="H137" s="75"/>
      <c r="I137" s="75"/>
      <c r="J137" s="75"/>
      <c r="K137" s="75"/>
      <c r="L137" s="75"/>
      <c r="M137" s="76"/>
      <c r="N137" s="126"/>
      <c r="AD137" s="1336" t="s">
        <v>1906</v>
      </c>
    </row>
    <row r="138" spans="1:30" ht="12.75" customHeight="1" x14ac:dyDescent="0.25">
      <c r="A138" s="484" t="s">
        <v>1664</v>
      </c>
      <c r="B138" s="73"/>
      <c r="C138" s="234">
        <f t="shared" ref="C138:M138" si="30">SUM(C139:C139)</f>
        <v>0</v>
      </c>
      <c r="D138" s="235">
        <f t="shared" si="30"/>
        <v>0</v>
      </c>
      <c r="E138" s="235">
        <f t="shared" si="30"/>
        <v>0</v>
      </c>
      <c r="F138" s="235">
        <f t="shared" si="30"/>
        <v>0</v>
      </c>
      <c r="G138" s="235">
        <f t="shared" si="30"/>
        <v>0</v>
      </c>
      <c r="H138" s="235">
        <f t="shared" si="30"/>
        <v>0</v>
      </c>
      <c r="I138" s="235">
        <f t="shared" si="30"/>
        <v>0</v>
      </c>
      <c r="J138" s="235">
        <f>SUM(E138:I138)</f>
        <v>0</v>
      </c>
      <c r="K138" s="235">
        <f t="shared" ref="K138:K169" si="31">IF(D138=0,C138+J138,D138+J138)</f>
        <v>0</v>
      </c>
      <c r="L138" s="235">
        <f t="shared" si="30"/>
        <v>0</v>
      </c>
      <c r="M138" s="236">
        <f t="shared" si="30"/>
        <v>0</v>
      </c>
      <c r="N138" s="126"/>
      <c r="AD138" s="1336" t="s">
        <v>1906</v>
      </c>
    </row>
    <row r="139" spans="1:30" ht="12.75" customHeight="1" x14ac:dyDescent="0.25">
      <c r="A139" s="584" t="s">
        <v>1664</v>
      </c>
      <c r="B139" s="73"/>
      <c r="C139" s="1356">
        <f>SUMIFS(Sheet1!S71_OriginalBudget,Sheet1!S71_SA34cCode,$AC:$AC,Sheet1!S71_RepMaintCode,$AD:$AD)</f>
        <v>0</v>
      </c>
      <c r="D139" s="1356">
        <f>SUMIFS(Sheet1!S71_SpecialAdjustedBudget,Sheet1!S71_SA34cCode,$AC:$AC,Sheet1!S71_RepMaintCode,$AD:$AD)</f>
        <v>0</v>
      </c>
      <c r="E139" s="1356"/>
      <c r="F139" s="1356"/>
      <c r="G139" s="1356"/>
      <c r="H139" s="1356"/>
      <c r="I139" s="1356">
        <f>SUMIFS(Sheet1!S71_AdjustmentAmount,Sheet1!S71_SA34cCode,$AC:$AC,Sheet1!S71_RepMaintCode,$AD:$AD)</f>
        <v>0</v>
      </c>
      <c r="J139" s="75">
        <f>SUM(E139:I139)</f>
        <v>0</v>
      </c>
      <c r="K139" s="75">
        <f t="shared" si="31"/>
        <v>0</v>
      </c>
      <c r="L139" s="1356">
        <f>SUMIFS(Sheet1!S71_OY1AdjustedBudget,Sheet1!S71_SA34cCode,$AC:$AC,Sheet1!S71_RepMaintCode,$AD:$AD)</f>
        <v>0</v>
      </c>
      <c r="M139" s="1357">
        <f>SUMIFS(Sheet1!S71_OY2AdjustedBudget,Sheet1!S71_SA34cCode,$AC:$AC,Sheet1!S71_RepMaintCode,$AD:$AD)</f>
        <v>0</v>
      </c>
      <c r="N139" s="126"/>
      <c r="AC139" s="1336" t="s">
        <v>1986</v>
      </c>
      <c r="AD139" s="1336" t="s">
        <v>1906</v>
      </c>
    </row>
    <row r="140" spans="1:30" ht="5.0999999999999996" customHeight="1" x14ac:dyDescent="0.25">
      <c r="A140" s="1217"/>
      <c r="B140" s="73"/>
      <c r="C140" s="74"/>
      <c r="D140" s="75"/>
      <c r="E140" s="75"/>
      <c r="F140" s="75"/>
      <c r="G140" s="75"/>
      <c r="H140" s="75"/>
      <c r="I140" s="75"/>
      <c r="J140" s="75"/>
      <c r="K140" s="75"/>
      <c r="L140" s="75"/>
      <c r="M140" s="76"/>
      <c r="N140" s="126"/>
      <c r="AD140" s="1336" t="s">
        <v>1906</v>
      </c>
    </row>
    <row r="141" spans="1:30" ht="12.75" customHeight="1" x14ac:dyDescent="0.25">
      <c r="A141" s="484" t="s">
        <v>1665</v>
      </c>
      <c r="B141" s="73"/>
      <c r="C141" s="234">
        <f>SUM(C142:C143)</f>
        <v>0</v>
      </c>
      <c r="D141" s="235">
        <f>SUM(D142:D143)</f>
        <v>0</v>
      </c>
      <c r="E141" s="235">
        <f t="shared" ref="E141:M141" si="32">SUM(E142:E143)</f>
        <v>0</v>
      </c>
      <c r="F141" s="235">
        <f t="shared" si="32"/>
        <v>0</v>
      </c>
      <c r="G141" s="235">
        <f t="shared" si="32"/>
        <v>0</v>
      </c>
      <c r="H141" s="235">
        <f t="shared" si="32"/>
        <v>0</v>
      </c>
      <c r="I141" s="235">
        <f t="shared" si="32"/>
        <v>0</v>
      </c>
      <c r="J141" s="235">
        <f t="shared" ref="J141:J149" si="33">SUM(E141:I141)</f>
        <v>0</v>
      </c>
      <c r="K141" s="235">
        <f t="shared" si="31"/>
        <v>0</v>
      </c>
      <c r="L141" s="235">
        <f t="shared" si="32"/>
        <v>0</v>
      </c>
      <c r="M141" s="236">
        <f t="shared" si="32"/>
        <v>0</v>
      </c>
      <c r="N141" s="126"/>
      <c r="AD141" s="1336" t="s">
        <v>1906</v>
      </c>
    </row>
    <row r="142" spans="1:30" ht="12.75" customHeight="1" x14ac:dyDescent="0.25">
      <c r="A142" s="586" t="s">
        <v>1666</v>
      </c>
      <c r="B142" s="73"/>
      <c r="C142" s="1356">
        <f>SUMIFS(Sheet1!S71_OriginalBudget,Sheet1!S71_SA34cCode,$AC:$AC,Sheet1!S71_RepMaintCode,$AD:$AD)</f>
        <v>0</v>
      </c>
      <c r="D142" s="1356">
        <f>SUMIFS(Sheet1!S71_SpecialAdjustedBudget,Sheet1!S71_SA34cCode,$AC:$AC,Sheet1!S71_RepMaintCode,$AD:$AD)</f>
        <v>0</v>
      </c>
      <c r="E142" s="1356"/>
      <c r="F142" s="1356"/>
      <c r="G142" s="1356"/>
      <c r="H142" s="1356"/>
      <c r="I142" s="1356">
        <f>SUMIFS(Sheet1!S71_AdjustmentAmount,Sheet1!S71_SA34cCode,$AC:$AC,Sheet1!S71_RepMaintCode,$AD:$AD)</f>
        <v>0</v>
      </c>
      <c r="J142" s="75">
        <f t="shared" si="33"/>
        <v>0</v>
      </c>
      <c r="K142" s="75">
        <f t="shared" si="31"/>
        <v>0</v>
      </c>
      <c r="L142" s="1356">
        <f>SUMIFS(Sheet1!S71_OY1AdjustedBudget,Sheet1!S71_SA34cCode,$AC:$AC,Sheet1!S71_RepMaintCode,$AD:$AD)</f>
        <v>0</v>
      </c>
      <c r="M142" s="1357">
        <f>SUMIFS(Sheet1!S71_OY2AdjustedBudget,Sheet1!S71_SA34cCode,$AC:$AC,Sheet1!S71_RepMaintCode,$AD:$AD)</f>
        <v>0</v>
      </c>
      <c r="N142" s="126"/>
      <c r="AC142" s="1336" t="s">
        <v>1987</v>
      </c>
      <c r="AD142" s="1336" t="s">
        <v>1906</v>
      </c>
    </row>
    <row r="143" spans="1:30" ht="10.35" customHeight="1" x14ac:dyDescent="0.25">
      <c r="A143" s="586" t="s">
        <v>1667</v>
      </c>
      <c r="B143" s="73"/>
      <c r="C143" s="138">
        <f>SUM(C144:C149)</f>
        <v>0</v>
      </c>
      <c r="D143" s="139">
        <f>SUM(D144:D149)</f>
        <v>0</v>
      </c>
      <c r="E143" s="139">
        <f t="shared" ref="E143:M143" si="34">SUM(E144:E149)</f>
        <v>0</v>
      </c>
      <c r="F143" s="139">
        <f t="shared" si="34"/>
        <v>0</v>
      </c>
      <c r="G143" s="139">
        <f t="shared" si="34"/>
        <v>0</v>
      </c>
      <c r="H143" s="139">
        <f t="shared" si="34"/>
        <v>0</v>
      </c>
      <c r="I143" s="139">
        <f t="shared" si="34"/>
        <v>0</v>
      </c>
      <c r="J143" s="139">
        <f t="shared" si="33"/>
        <v>0</v>
      </c>
      <c r="K143" s="139">
        <f t="shared" si="31"/>
        <v>0</v>
      </c>
      <c r="L143" s="139">
        <f t="shared" si="34"/>
        <v>0</v>
      </c>
      <c r="M143" s="140">
        <f t="shared" si="34"/>
        <v>0</v>
      </c>
      <c r="N143" s="126"/>
      <c r="AD143" s="1336" t="s">
        <v>1906</v>
      </c>
    </row>
    <row r="144" spans="1:30" ht="12.75" customHeight="1" x14ac:dyDescent="0.25">
      <c r="A144" s="585" t="s">
        <v>1668</v>
      </c>
      <c r="B144" s="73"/>
      <c r="C144" s="1356">
        <f>SUMIFS(Sheet1!S71_OriginalBudget,Sheet1!S71_SA34cCode,$AC:$AC,Sheet1!S71_RepMaintCode,$AD:$AD)</f>
        <v>0</v>
      </c>
      <c r="D144" s="1356">
        <f>SUMIFS(Sheet1!S71_SpecialAdjustedBudget,Sheet1!S71_SA34cCode,$AC:$AC,Sheet1!S71_RepMaintCode,$AD:$AD)</f>
        <v>0</v>
      </c>
      <c r="E144" s="1356"/>
      <c r="F144" s="1356"/>
      <c r="G144" s="1356"/>
      <c r="H144" s="1356"/>
      <c r="I144" s="1356">
        <f>SUMIFS(Sheet1!S71_AdjustmentAmount,Sheet1!S71_SA34cCode,$AC:$AC,Sheet1!S71_RepMaintCode,$AD:$AD)</f>
        <v>0</v>
      </c>
      <c r="J144" s="75">
        <f t="shared" si="33"/>
        <v>0</v>
      </c>
      <c r="K144" s="75">
        <f t="shared" si="31"/>
        <v>0</v>
      </c>
      <c r="L144" s="1356">
        <f>SUMIFS(Sheet1!S71_OY1AdjustedBudget,Sheet1!S71_SA34cCode,$AC:$AC,Sheet1!S71_RepMaintCode,$AD:$AD)</f>
        <v>0</v>
      </c>
      <c r="M144" s="1357">
        <f>SUMIFS(Sheet1!S71_OY2AdjustedBudget,Sheet1!S71_SA34cCode,$AC:$AC,Sheet1!S71_RepMaintCode,$AD:$AD)</f>
        <v>0</v>
      </c>
      <c r="N144" s="126"/>
      <c r="AC144" s="1336" t="s">
        <v>1825</v>
      </c>
      <c r="AD144" s="1336" t="s">
        <v>1906</v>
      </c>
    </row>
    <row r="145" spans="1:30" ht="12.75" customHeight="1" x14ac:dyDescent="0.25">
      <c r="A145" s="585" t="s">
        <v>1669</v>
      </c>
      <c r="B145" s="135"/>
      <c r="C145" s="1356">
        <f>SUMIFS(Sheet1!S71_OriginalBudget,Sheet1!S71_SA34cCode,$AC:$AC,Sheet1!S71_RepMaintCode,$AD:$AD)</f>
        <v>0</v>
      </c>
      <c r="D145" s="1356">
        <f>SUMIFS(Sheet1!S71_SpecialAdjustedBudget,Sheet1!S71_SA34cCode,$AC:$AC,Sheet1!S71_RepMaintCode,$AD:$AD)</f>
        <v>0</v>
      </c>
      <c r="E145" s="1356"/>
      <c r="F145" s="1356"/>
      <c r="G145" s="1356"/>
      <c r="H145" s="1356"/>
      <c r="I145" s="1356">
        <f>SUMIFS(Sheet1!S71_AdjustmentAmount,Sheet1!S71_SA34cCode,$AC:$AC,Sheet1!S71_RepMaintCode,$AD:$AD)</f>
        <v>0</v>
      </c>
      <c r="J145" s="75">
        <f t="shared" si="33"/>
        <v>0</v>
      </c>
      <c r="K145" s="75">
        <f t="shared" si="31"/>
        <v>0</v>
      </c>
      <c r="L145" s="1356">
        <f>SUMIFS(Sheet1!S71_OY1AdjustedBudget,Sheet1!S71_SA34cCode,$AC:$AC,Sheet1!S71_RepMaintCode,$AD:$AD)</f>
        <v>0</v>
      </c>
      <c r="M145" s="1357">
        <f>SUMIFS(Sheet1!S71_OY2AdjustedBudget,Sheet1!S71_SA34cCode,$AC:$AC,Sheet1!S71_RepMaintCode,$AD:$AD)</f>
        <v>0</v>
      </c>
      <c r="N145" s="126"/>
      <c r="AC145" s="1336" t="s">
        <v>1988</v>
      </c>
      <c r="AD145" s="1336" t="s">
        <v>1906</v>
      </c>
    </row>
    <row r="146" spans="1:30" ht="12.75" customHeight="1" x14ac:dyDescent="0.25">
      <c r="A146" s="585" t="s">
        <v>1670</v>
      </c>
      <c r="B146" s="73"/>
      <c r="C146" s="1356">
        <f>SUMIFS(Sheet1!S71_OriginalBudget,Sheet1!S71_SA34cCode,$AC:$AC,Sheet1!S71_RepMaintCode,$AD:$AD)</f>
        <v>0</v>
      </c>
      <c r="D146" s="1356">
        <f>SUMIFS(Sheet1!S71_SpecialAdjustedBudget,Sheet1!S71_SA34cCode,$AC:$AC,Sheet1!S71_RepMaintCode,$AD:$AD)</f>
        <v>0</v>
      </c>
      <c r="E146" s="1356"/>
      <c r="F146" s="1356"/>
      <c r="G146" s="1356"/>
      <c r="H146" s="1356"/>
      <c r="I146" s="1356">
        <f>SUMIFS(Sheet1!S71_AdjustmentAmount,Sheet1!S71_SA34cCode,$AC:$AC,Sheet1!S71_RepMaintCode,$AD:$AD)</f>
        <v>0</v>
      </c>
      <c r="J146" s="75">
        <f t="shared" si="33"/>
        <v>0</v>
      </c>
      <c r="K146" s="75">
        <f t="shared" si="31"/>
        <v>0</v>
      </c>
      <c r="L146" s="1356">
        <f>SUMIFS(Sheet1!S71_OY1AdjustedBudget,Sheet1!S71_SA34cCode,$AC:$AC,Sheet1!S71_RepMaintCode,$AD:$AD)</f>
        <v>0</v>
      </c>
      <c r="M146" s="1357">
        <f>SUMIFS(Sheet1!S71_OY2AdjustedBudget,Sheet1!S71_SA34cCode,$AC:$AC,Sheet1!S71_RepMaintCode,$AD:$AD)</f>
        <v>0</v>
      </c>
      <c r="N146" s="126"/>
      <c r="AC146" s="1336" t="s">
        <v>1989</v>
      </c>
      <c r="AD146" s="1336" t="s">
        <v>1906</v>
      </c>
    </row>
    <row r="147" spans="1:30" ht="12.75" customHeight="1" x14ac:dyDescent="0.25">
      <c r="A147" s="585" t="s">
        <v>1671</v>
      </c>
      <c r="B147" s="73"/>
      <c r="C147" s="1356">
        <f>SUMIFS(Sheet1!S71_OriginalBudget,Sheet1!S71_SA34cCode,$AC:$AC,Sheet1!S71_RepMaintCode,$AD:$AD)</f>
        <v>0</v>
      </c>
      <c r="D147" s="1356">
        <f>SUMIFS(Sheet1!S71_SpecialAdjustedBudget,Sheet1!S71_SA34cCode,$AC:$AC,Sheet1!S71_RepMaintCode,$AD:$AD)</f>
        <v>0</v>
      </c>
      <c r="E147" s="1356"/>
      <c r="F147" s="1356"/>
      <c r="G147" s="1356"/>
      <c r="H147" s="1356"/>
      <c r="I147" s="1356">
        <f>SUMIFS(Sheet1!S71_AdjustmentAmount,Sheet1!S71_SA34cCode,$AC:$AC,Sheet1!S71_RepMaintCode,$AD:$AD)</f>
        <v>0</v>
      </c>
      <c r="J147" s="75">
        <f t="shared" si="33"/>
        <v>0</v>
      </c>
      <c r="K147" s="75">
        <f t="shared" si="31"/>
        <v>0</v>
      </c>
      <c r="L147" s="1356">
        <f>SUMIFS(Sheet1!S71_OY1AdjustedBudget,Sheet1!S71_SA34cCode,$AC:$AC,Sheet1!S71_RepMaintCode,$AD:$AD)</f>
        <v>0</v>
      </c>
      <c r="M147" s="1357">
        <f>SUMIFS(Sheet1!S71_OY2AdjustedBudget,Sheet1!S71_SA34cCode,$AC:$AC,Sheet1!S71_RepMaintCode,$AD:$AD)</f>
        <v>0</v>
      </c>
      <c r="N147" s="126"/>
      <c r="AC147" s="1336" t="s">
        <v>1990</v>
      </c>
      <c r="AD147" s="1336" t="s">
        <v>1906</v>
      </c>
    </row>
    <row r="148" spans="1:30" ht="12.75" customHeight="1" x14ac:dyDescent="0.25">
      <c r="A148" s="585" t="s">
        <v>1672</v>
      </c>
      <c r="B148" s="73"/>
      <c r="C148" s="1356">
        <f>SUMIFS(Sheet1!S71_OriginalBudget,Sheet1!S71_SA34cCode,$AC:$AC,Sheet1!S71_RepMaintCode,$AD:$AD)</f>
        <v>0</v>
      </c>
      <c r="D148" s="1356">
        <f>SUMIFS(Sheet1!S71_SpecialAdjustedBudget,Sheet1!S71_SA34cCode,$AC:$AC,Sheet1!S71_RepMaintCode,$AD:$AD)</f>
        <v>0</v>
      </c>
      <c r="E148" s="1356"/>
      <c r="F148" s="1356"/>
      <c r="G148" s="1356"/>
      <c r="H148" s="1356"/>
      <c r="I148" s="1356">
        <f>SUMIFS(Sheet1!S71_AdjustmentAmount,Sheet1!S71_SA34cCode,$AC:$AC,Sheet1!S71_RepMaintCode,$AD:$AD)</f>
        <v>0</v>
      </c>
      <c r="J148" s="75">
        <f t="shared" si="33"/>
        <v>0</v>
      </c>
      <c r="K148" s="75">
        <f t="shared" si="31"/>
        <v>0</v>
      </c>
      <c r="L148" s="1356">
        <f>SUMIFS(Sheet1!S71_OY1AdjustedBudget,Sheet1!S71_SA34cCode,$AC:$AC,Sheet1!S71_RepMaintCode,$AD:$AD)</f>
        <v>0</v>
      </c>
      <c r="M148" s="1357">
        <f>SUMIFS(Sheet1!S71_OY2AdjustedBudget,Sheet1!S71_SA34cCode,$AC:$AC,Sheet1!S71_RepMaintCode,$AD:$AD)</f>
        <v>0</v>
      </c>
      <c r="N148" s="126"/>
      <c r="AC148" s="1336" t="s">
        <v>1991</v>
      </c>
      <c r="AD148" s="1336" t="s">
        <v>1906</v>
      </c>
    </row>
    <row r="149" spans="1:30" ht="12.75" customHeight="1" x14ac:dyDescent="0.25">
      <c r="A149" s="585" t="s">
        <v>1673</v>
      </c>
      <c r="B149" s="73"/>
      <c r="C149" s="1356">
        <f>SUMIFS(Sheet1!S71_OriginalBudget,Sheet1!S71_SA34cCode,$AC:$AC,Sheet1!S71_RepMaintCode,$AD:$AD)</f>
        <v>0</v>
      </c>
      <c r="D149" s="1356">
        <f>SUMIFS(Sheet1!S71_SpecialAdjustedBudget,Sheet1!S71_SA34cCode,$AC:$AC,Sheet1!S71_RepMaintCode,$AD:$AD)</f>
        <v>0</v>
      </c>
      <c r="E149" s="1356"/>
      <c r="F149" s="1356"/>
      <c r="G149" s="1356"/>
      <c r="H149" s="1356"/>
      <c r="I149" s="1356">
        <f>SUMIFS(Sheet1!S71_AdjustmentAmount,Sheet1!S71_SA34cCode,$AC:$AC,Sheet1!S71_RepMaintCode,$AD:$AD)</f>
        <v>0</v>
      </c>
      <c r="J149" s="75">
        <f t="shared" si="33"/>
        <v>0</v>
      </c>
      <c r="K149" s="75">
        <f t="shared" si="31"/>
        <v>0</v>
      </c>
      <c r="L149" s="1356">
        <f>SUMIFS(Sheet1!S71_OY1AdjustedBudget,Sheet1!S71_SA34cCode,$AC:$AC,Sheet1!S71_RepMaintCode,$AD:$AD)</f>
        <v>0</v>
      </c>
      <c r="M149" s="1357">
        <f>SUMIFS(Sheet1!S71_OY2AdjustedBudget,Sheet1!S71_SA34cCode,$AC:$AC,Sheet1!S71_RepMaintCode,$AD:$AD)</f>
        <v>0</v>
      </c>
      <c r="N149" s="126"/>
      <c r="AC149" s="1336" t="s">
        <v>1992</v>
      </c>
      <c r="AD149" s="1336" t="s">
        <v>1906</v>
      </c>
    </row>
    <row r="150" spans="1:30" ht="5.0999999999999996" customHeight="1" x14ac:dyDescent="0.25">
      <c r="A150" s="1217"/>
      <c r="B150" s="73"/>
      <c r="C150" s="74"/>
      <c r="D150" s="75"/>
      <c r="E150" s="75"/>
      <c r="F150" s="75"/>
      <c r="G150" s="75"/>
      <c r="H150" s="75"/>
      <c r="I150" s="75"/>
      <c r="J150" s="75"/>
      <c r="K150" s="75"/>
      <c r="L150" s="75"/>
      <c r="M150" s="76"/>
      <c r="N150" s="126"/>
      <c r="AD150" s="1336" t="s">
        <v>1906</v>
      </c>
    </row>
    <row r="151" spans="1:30" ht="12.75" customHeight="1" x14ac:dyDescent="0.25">
      <c r="A151" s="484" t="s">
        <v>1674</v>
      </c>
      <c r="B151" s="73"/>
      <c r="C151" s="234">
        <f t="shared" ref="C151:M151" si="35">SUM(C152:C152)</f>
        <v>0</v>
      </c>
      <c r="D151" s="235">
        <f t="shared" si="35"/>
        <v>0</v>
      </c>
      <c r="E151" s="235">
        <f t="shared" si="35"/>
        <v>0</v>
      </c>
      <c r="F151" s="235">
        <f t="shared" si="35"/>
        <v>0</v>
      </c>
      <c r="G151" s="235">
        <f t="shared" si="35"/>
        <v>0</v>
      </c>
      <c r="H151" s="235">
        <f t="shared" si="35"/>
        <v>0</v>
      </c>
      <c r="I151" s="235">
        <f t="shared" si="35"/>
        <v>0</v>
      </c>
      <c r="J151" s="235">
        <f>SUM(E151:I151)</f>
        <v>0</v>
      </c>
      <c r="K151" s="235">
        <f t="shared" si="31"/>
        <v>0</v>
      </c>
      <c r="L151" s="235">
        <f t="shared" si="35"/>
        <v>0</v>
      </c>
      <c r="M151" s="236">
        <f t="shared" si="35"/>
        <v>0</v>
      </c>
      <c r="N151" s="126"/>
      <c r="AD151" s="1336" t="s">
        <v>1906</v>
      </c>
    </row>
    <row r="152" spans="1:30" ht="12.75" customHeight="1" x14ac:dyDescent="0.25">
      <c r="A152" s="584" t="s">
        <v>1674</v>
      </c>
      <c r="B152" s="73"/>
      <c r="C152" s="1356">
        <f>SUMIFS(Sheet1!S71_OriginalBudget,Sheet1!S71_SA34cCode,$AC:$AC,Sheet1!S71_RepMaintCode,$AD:$AD)</f>
        <v>0</v>
      </c>
      <c r="D152" s="1356">
        <f>SUMIFS(Sheet1!S71_SpecialAdjustedBudget,Sheet1!S71_SA34cCode,$AC:$AC,Sheet1!S71_RepMaintCode,$AD:$AD)</f>
        <v>0</v>
      </c>
      <c r="E152" s="1356"/>
      <c r="F152" s="1356"/>
      <c r="G152" s="1356"/>
      <c r="H152" s="1356"/>
      <c r="I152" s="1356">
        <f>SUMIFS(Sheet1!S71_AdjustmentAmount,Sheet1!S71_SA34cCode,$AC:$AC,Sheet1!S71_RepMaintCode,$AD:$AD)</f>
        <v>0</v>
      </c>
      <c r="J152" s="75">
        <f>SUM(E152:I152)</f>
        <v>0</v>
      </c>
      <c r="K152" s="75">
        <f t="shared" si="31"/>
        <v>0</v>
      </c>
      <c r="L152" s="1356">
        <f>SUMIFS(Sheet1!S71_OY1AdjustedBudget,Sheet1!S71_SA34cCode,$AC:$AC,Sheet1!S71_RepMaintCode,$AD:$AD)</f>
        <v>0</v>
      </c>
      <c r="M152" s="1357">
        <f>SUMIFS(Sheet1!S71_OY2AdjustedBudget,Sheet1!S71_SA34cCode,$AC:$AC,Sheet1!S71_RepMaintCode,$AD:$AD)</f>
        <v>0</v>
      </c>
      <c r="N152" s="126"/>
      <c r="AC152" s="1336" t="s">
        <v>1993</v>
      </c>
      <c r="AD152" s="1336" t="s">
        <v>1906</v>
      </c>
    </row>
    <row r="153" spans="1:30" ht="5.0999999999999996" customHeight="1" x14ac:dyDescent="0.25">
      <c r="A153" s="1217"/>
      <c r="B153" s="73"/>
      <c r="C153" s="74"/>
      <c r="D153" s="75"/>
      <c r="E153" s="75"/>
      <c r="F153" s="75"/>
      <c r="G153" s="75"/>
      <c r="H153" s="75"/>
      <c r="I153" s="75"/>
      <c r="J153" s="75"/>
      <c r="K153" s="75"/>
      <c r="L153" s="75"/>
      <c r="M153" s="76"/>
      <c r="N153" s="126"/>
      <c r="AD153" s="1336" t="s">
        <v>1906</v>
      </c>
    </row>
    <row r="154" spans="1:30" ht="12.75" customHeight="1" x14ac:dyDescent="0.25">
      <c r="A154" s="484" t="s">
        <v>1675</v>
      </c>
      <c r="B154" s="73"/>
      <c r="C154" s="234">
        <f t="shared" ref="C154:M154" si="36">SUM(C155:C155)</f>
        <v>0</v>
      </c>
      <c r="D154" s="235">
        <f t="shared" si="36"/>
        <v>0</v>
      </c>
      <c r="E154" s="235">
        <f t="shared" si="36"/>
        <v>0</v>
      </c>
      <c r="F154" s="235">
        <f t="shared" si="36"/>
        <v>0</v>
      </c>
      <c r="G154" s="235">
        <f t="shared" si="36"/>
        <v>0</v>
      </c>
      <c r="H154" s="235">
        <f t="shared" si="36"/>
        <v>0</v>
      </c>
      <c r="I154" s="235">
        <f t="shared" si="36"/>
        <v>0</v>
      </c>
      <c r="J154" s="235">
        <f>SUM(E154:I154)</f>
        <v>0</v>
      </c>
      <c r="K154" s="235">
        <f t="shared" si="31"/>
        <v>0</v>
      </c>
      <c r="L154" s="235">
        <f t="shared" si="36"/>
        <v>0</v>
      </c>
      <c r="M154" s="236">
        <f t="shared" si="36"/>
        <v>0</v>
      </c>
      <c r="N154" s="126"/>
      <c r="AD154" s="1336" t="s">
        <v>1906</v>
      </c>
    </row>
    <row r="155" spans="1:30" ht="12.75" customHeight="1" x14ac:dyDescent="0.25">
      <c r="A155" s="584" t="s">
        <v>1675</v>
      </c>
      <c r="B155" s="73"/>
      <c r="C155" s="1356">
        <f>SUMIFS(Sheet1!S71_OriginalBudget,Sheet1!S71_SA34cCode,$AC:$AC,Sheet1!S71_RepMaintCode,$AD:$AD)</f>
        <v>0</v>
      </c>
      <c r="D155" s="1356">
        <f>SUMIFS(Sheet1!S71_SpecialAdjustedBudget,Sheet1!S71_SA34cCode,$AC:$AC,Sheet1!S71_RepMaintCode,$AD:$AD)</f>
        <v>0</v>
      </c>
      <c r="E155" s="1356"/>
      <c r="F155" s="1356"/>
      <c r="G155" s="1356"/>
      <c r="H155" s="1356"/>
      <c r="I155" s="1356">
        <f>SUMIFS(Sheet1!S71_AdjustmentAmount,Sheet1!S71_SA34cCode,$AC:$AC,Sheet1!S71_RepMaintCode,$AD:$AD)</f>
        <v>0</v>
      </c>
      <c r="J155" s="75">
        <f>SUM(E155:I155)</f>
        <v>0</v>
      </c>
      <c r="K155" s="75">
        <f t="shared" si="31"/>
        <v>0</v>
      </c>
      <c r="L155" s="1356">
        <f>SUMIFS(Sheet1!S71_OY1AdjustedBudget,Sheet1!S71_SA34cCode,$AC:$AC,Sheet1!S71_RepMaintCode,$AD:$AD)</f>
        <v>0</v>
      </c>
      <c r="M155" s="1357">
        <f>SUMIFS(Sheet1!S71_OY2AdjustedBudget,Sheet1!S71_SA34cCode,$AC:$AC,Sheet1!S71_RepMaintCode,$AD:$AD)</f>
        <v>0</v>
      </c>
      <c r="N155" s="126"/>
      <c r="AC155" s="1336" t="s">
        <v>1994</v>
      </c>
      <c r="AD155" s="1336" t="s">
        <v>1906</v>
      </c>
    </row>
    <row r="156" spans="1:30" ht="5.0999999999999996" customHeight="1" x14ac:dyDescent="0.25">
      <c r="A156" s="1217"/>
      <c r="B156" s="73"/>
      <c r="C156" s="74"/>
      <c r="D156" s="75"/>
      <c r="E156" s="75"/>
      <c r="F156" s="75"/>
      <c r="G156" s="75"/>
      <c r="H156" s="75"/>
      <c r="I156" s="75"/>
      <c r="J156" s="75"/>
      <c r="K156" s="75"/>
      <c r="L156" s="75"/>
      <c r="M156" s="76"/>
      <c r="N156" s="126"/>
      <c r="AD156" s="1336" t="s">
        <v>1906</v>
      </c>
    </row>
    <row r="157" spans="1:30" ht="12.75" customHeight="1" x14ac:dyDescent="0.25">
      <c r="A157" s="484" t="s">
        <v>1676</v>
      </c>
      <c r="B157" s="73"/>
      <c r="C157" s="234">
        <f t="shared" ref="C157:M157" si="37">SUM(C158:C158)</f>
        <v>0</v>
      </c>
      <c r="D157" s="235">
        <f t="shared" si="37"/>
        <v>0</v>
      </c>
      <c r="E157" s="235">
        <f t="shared" si="37"/>
        <v>0</v>
      </c>
      <c r="F157" s="235">
        <f t="shared" si="37"/>
        <v>0</v>
      </c>
      <c r="G157" s="235">
        <f t="shared" si="37"/>
        <v>0</v>
      </c>
      <c r="H157" s="235">
        <f t="shared" si="37"/>
        <v>0</v>
      </c>
      <c r="I157" s="235">
        <f t="shared" si="37"/>
        <v>0</v>
      </c>
      <c r="J157" s="235">
        <f>SUM(E157:I157)</f>
        <v>0</v>
      </c>
      <c r="K157" s="235">
        <f t="shared" si="31"/>
        <v>0</v>
      </c>
      <c r="L157" s="235">
        <f t="shared" si="37"/>
        <v>0</v>
      </c>
      <c r="M157" s="236">
        <f t="shared" si="37"/>
        <v>0</v>
      </c>
      <c r="N157" s="126"/>
      <c r="AD157" s="1336" t="s">
        <v>1906</v>
      </c>
    </row>
    <row r="158" spans="1:30" ht="12.75" customHeight="1" x14ac:dyDescent="0.25">
      <c r="A158" s="584" t="s">
        <v>1676</v>
      </c>
      <c r="B158" s="73"/>
      <c r="C158" s="1356">
        <f>SUMIFS(Sheet1!S71_OriginalBudget,Sheet1!S71_SA34cCode,$AC:$AC,Sheet1!S71_RepMaintCode,$AD:$AD)</f>
        <v>0</v>
      </c>
      <c r="D158" s="1356">
        <f>SUMIFS(Sheet1!S71_SpecialAdjustedBudget,Sheet1!S71_SA34cCode,$AC:$AC,Sheet1!S71_RepMaintCode,$AD:$AD)</f>
        <v>0</v>
      </c>
      <c r="E158" s="1356"/>
      <c r="F158" s="1356"/>
      <c r="G158" s="1356"/>
      <c r="H158" s="1356"/>
      <c r="I158" s="1356">
        <f>SUMIFS(Sheet1!S71_AdjustmentAmount,Sheet1!S71_SA34cCode,$AC:$AC,Sheet1!S71_RepMaintCode,$AD:$AD)</f>
        <v>0</v>
      </c>
      <c r="J158" s="75">
        <f>SUM(E158:I158)</f>
        <v>0</v>
      </c>
      <c r="K158" s="75">
        <f t="shared" si="31"/>
        <v>0</v>
      </c>
      <c r="L158" s="1356">
        <f>SUMIFS(Sheet1!S71_OY1AdjustedBudget,Sheet1!S71_SA34cCode,$AC:$AC,Sheet1!S71_RepMaintCode,$AD:$AD)</f>
        <v>0</v>
      </c>
      <c r="M158" s="1357">
        <f>SUMIFS(Sheet1!S71_OY2AdjustedBudget,Sheet1!S71_SA34cCode,$AC:$AC,Sheet1!S71_RepMaintCode,$AD:$AD)</f>
        <v>0</v>
      </c>
      <c r="N158" s="126"/>
      <c r="AC158" s="1336" t="s">
        <v>1995</v>
      </c>
      <c r="AD158" s="1336" t="s">
        <v>1906</v>
      </c>
    </row>
    <row r="159" spans="1:30" ht="5.0999999999999996" customHeight="1" x14ac:dyDescent="0.25">
      <c r="A159" s="1217"/>
      <c r="B159" s="73"/>
      <c r="C159" s="74"/>
      <c r="D159" s="75"/>
      <c r="E159" s="75"/>
      <c r="F159" s="75"/>
      <c r="G159" s="75"/>
      <c r="H159" s="75"/>
      <c r="I159" s="75"/>
      <c r="J159" s="75"/>
      <c r="K159" s="75"/>
      <c r="L159" s="75"/>
      <c r="M159" s="76"/>
      <c r="N159" s="126"/>
      <c r="AD159" s="1336" t="s">
        <v>1906</v>
      </c>
    </row>
    <row r="160" spans="1:30" ht="12.75" customHeight="1" x14ac:dyDescent="0.25">
      <c r="A160" s="484" t="s">
        <v>1677</v>
      </c>
      <c r="B160" s="73"/>
      <c r="C160" s="234">
        <f t="shared" ref="C160:M160" si="38">SUM(C161:C161)</f>
        <v>380000</v>
      </c>
      <c r="D160" s="235">
        <f t="shared" si="38"/>
        <v>380000</v>
      </c>
      <c r="E160" s="235">
        <f t="shared" si="38"/>
        <v>0</v>
      </c>
      <c r="F160" s="235">
        <f t="shared" si="38"/>
        <v>0</v>
      </c>
      <c r="G160" s="235">
        <f t="shared" si="38"/>
        <v>0</v>
      </c>
      <c r="H160" s="235">
        <f t="shared" si="38"/>
        <v>0</v>
      </c>
      <c r="I160" s="235">
        <f t="shared" si="38"/>
        <v>600000</v>
      </c>
      <c r="J160" s="235">
        <f>SUM(E160:I160)</f>
        <v>600000</v>
      </c>
      <c r="K160" s="235">
        <f t="shared" si="31"/>
        <v>980000</v>
      </c>
      <c r="L160" s="235">
        <f t="shared" si="38"/>
        <v>402800</v>
      </c>
      <c r="M160" s="236">
        <f t="shared" si="38"/>
        <v>426968</v>
      </c>
      <c r="N160" s="126"/>
      <c r="AD160" s="1336" t="s">
        <v>1906</v>
      </c>
    </row>
    <row r="161" spans="1:30" ht="12.75" customHeight="1" x14ac:dyDescent="0.25">
      <c r="A161" s="584" t="s">
        <v>1677</v>
      </c>
      <c r="B161" s="73"/>
      <c r="C161" s="1356">
        <f>SUMIFS(Sheet1!S71_OriginalBudget,Sheet1!S71_SA34cCode,$AC:$AC,Sheet1!S71_RepMaintCode,$AD:$AD)</f>
        <v>380000</v>
      </c>
      <c r="D161" s="1356">
        <f>SUMIFS(Sheet1!S71_SpecialAdjustedBudget,Sheet1!S71_SA34cCode,$AC:$AC,Sheet1!S71_RepMaintCode,$AD:$AD)</f>
        <v>380000</v>
      </c>
      <c r="E161" s="1356"/>
      <c r="F161" s="1356"/>
      <c r="G161" s="1356"/>
      <c r="H161" s="1356"/>
      <c r="I161" s="1356">
        <f>SUMIFS(Sheet1!S71_AdjustmentAmount,Sheet1!S71_SA34cCode,$AC:$AC,Sheet1!S71_RepMaintCode,$AD:$AD)</f>
        <v>600000</v>
      </c>
      <c r="J161" s="75">
        <f>SUM(E161:I161)</f>
        <v>600000</v>
      </c>
      <c r="K161" s="75">
        <f t="shared" si="31"/>
        <v>980000</v>
      </c>
      <c r="L161" s="1356">
        <f>SUMIFS(Sheet1!S71_OY1AdjustedBudget,Sheet1!S71_SA34cCode,$AC:$AC,Sheet1!S71_RepMaintCode,$AD:$AD)</f>
        <v>402800</v>
      </c>
      <c r="M161" s="1357">
        <f>SUMIFS(Sheet1!S71_OY2AdjustedBudget,Sheet1!S71_SA34cCode,$AC:$AC,Sheet1!S71_RepMaintCode,$AD:$AD)</f>
        <v>426968</v>
      </c>
      <c r="N161" s="126"/>
      <c r="AC161" s="1336" t="s">
        <v>1996</v>
      </c>
      <c r="AD161" s="1336" t="s">
        <v>1906</v>
      </c>
    </row>
    <row r="162" spans="1:30" ht="5.0999999999999996" customHeight="1" x14ac:dyDescent="0.25">
      <c r="A162" s="1217"/>
      <c r="B162" s="73"/>
      <c r="C162" s="74"/>
      <c r="D162" s="75"/>
      <c r="E162" s="75"/>
      <c r="F162" s="75"/>
      <c r="G162" s="75"/>
      <c r="H162" s="75"/>
      <c r="I162" s="75"/>
      <c r="J162" s="75"/>
      <c r="K162" s="75"/>
      <c r="L162" s="75"/>
      <c r="M162" s="76"/>
      <c r="N162" s="126"/>
      <c r="AD162" s="1336" t="s">
        <v>1906</v>
      </c>
    </row>
    <row r="163" spans="1:30" ht="12.75" customHeight="1" x14ac:dyDescent="0.25">
      <c r="A163" s="484" t="s">
        <v>1734</v>
      </c>
      <c r="B163" s="73"/>
      <c r="C163" s="234">
        <f t="shared" ref="C163:M163" si="39">SUM(C164:C164)</f>
        <v>0</v>
      </c>
      <c r="D163" s="235">
        <f t="shared" si="39"/>
        <v>0</v>
      </c>
      <c r="E163" s="235">
        <f t="shared" si="39"/>
        <v>0</v>
      </c>
      <c r="F163" s="235">
        <f t="shared" si="39"/>
        <v>0</v>
      </c>
      <c r="G163" s="235">
        <f t="shared" si="39"/>
        <v>0</v>
      </c>
      <c r="H163" s="235">
        <f t="shared" si="39"/>
        <v>0</v>
      </c>
      <c r="I163" s="235">
        <f t="shared" si="39"/>
        <v>0</v>
      </c>
      <c r="J163" s="235">
        <f>SUM(E163:I163)</f>
        <v>0</v>
      </c>
      <c r="K163" s="235">
        <f t="shared" si="31"/>
        <v>0</v>
      </c>
      <c r="L163" s="235">
        <f t="shared" si="39"/>
        <v>0</v>
      </c>
      <c r="M163" s="236">
        <f t="shared" si="39"/>
        <v>0</v>
      </c>
      <c r="N163" s="126"/>
      <c r="AD163" s="1336" t="s">
        <v>1906</v>
      </c>
    </row>
    <row r="164" spans="1:30" ht="12.75" customHeight="1" x14ac:dyDescent="0.25">
      <c r="A164" s="584" t="s">
        <v>1734</v>
      </c>
      <c r="B164" s="73"/>
      <c r="C164" s="1356">
        <f>SUMIFS(Sheet1!S71_OriginalBudget,Sheet1!S71_SA34cCode,$AC:$AC,Sheet1!S71_RepMaintCode,$AD:$AD)</f>
        <v>0</v>
      </c>
      <c r="D164" s="1356">
        <f>SUMIFS(Sheet1!S71_SpecialAdjustedBudget,Sheet1!S71_SA34cCode,$AC:$AC,Sheet1!S71_RepMaintCode,$AD:$AD)</f>
        <v>0</v>
      </c>
      <c r="E164" s="1356"/>
      <c r="F164" s="1356"/>
      <c r="G164" s="1356"/>
      <c r="H164" s="1356"/>
      <c r="I164" s="1356">
        <f>SUMIFS(Sheet1!S71_AdjustmentAmount,Sheet1!S71_SA34cCode,$AC:$AC,Sheet1!S71_RepMaintCode,$AD:$AD)</f>
        <v>0</v>
      </c>
      <c r="J164" s="75">
        <f>SUM(E164:I164)</f>
        <v>0</v>
      </c>
      <c r="K164" s="75">
        <f t="shared" si="31"/>
        <v>0</v>
      </c>
      <c r="L164" s="1356">
        <f>SUMIFS(Sheet1!S71_OY1AdjustedBudget,Sheet1!S71_SA34cCode,$AC:$AC,Sheet1!S71_RepMaintCode,$AD:$AD)</f>
        <v>0</v>
      </c>
      <c r="M164" s="1357">
        <f>SUMIFS(Sheet1!S71_OY2AdjustedBudget,Sheet1!S71_SA34cCode,$AC:$AC,Sheet1!S71_RepMaintCode,$AD:$AD)</f>
        <v>0</v>
      </c>
      <c r="N164" s="126"/>
      <c r="AC164" s="1336" t="s">
        <v>1997</v>
      </c>
      <c r="AD164" s="1336" t="s">
        <v>1906</v>
      </c>
    </row>
    <row r="165" spans="1:30" ht="5.0999999999999996" customHeight="1" x14ac:dyDescent="0.25">
      <c r="A165" s="1217"/>
      <c r="B165" s="73"/>
      <c r="C165" s="74"/>
      <c r="D165" s="75"/>
      <c r="E165" s="75"/>
      <c r="F165" s="75"/>
      <c r="G165" s="75"/>
      <c r="H165" s="75"/>
      <c r="I165" s="75"/>
      <c r="J165" s="75"/>
      <c r="K165" s="75"/>
      <c r="L165" s="75"/>
      <c r="M165" s="76"/>
      <c r="N165" s="126"/>
      <c r="AD165" s="1336" t="s">
        <v>1906</v>
      </c>
    </row>
    <row r="166" spans="1:30" ht="12.75" customHeight="1" x14ac:dyDescent="0.25">
      <c r="A166" s="484" t="s">
        <v>1678</v>
      </c>
      <c r="B166" s="73"/>
      <c r="C166" s="234">
        <f t="shared" ref="C166:M166" si="40">SUM(C167:C167)</f>
        <v>0</v>
      </c>
      <c r="D166" s="235">
        <f t="shared" si="40"/>
        <v>0</v>
      </c>
      <c r="E166" s="235">
        <f t="shared" si="40"/>
        <v>0</v>
      </c>
      <c r="F166" s="235">
        <f t="shared" si="40"/>
        <v>0</v>
      </c>
      <c r="G166" s="235">
        <f t="shared" si="40"/>
        <v>0</v>
      </c>
      <c r="H166" s="235">
        <f t="shared" si="40"/>
        <v>0</v>
      </c>
      <c r="I166" s="235">
        <f t="shared" si="40"/>
        <v>0</v>
      </c>
      <c r="J166" s="235">
        <f>SUM(E166:I166)</f>
        <v>0</v>
      </c>
      <c r="K166" s="235">
        <f t="shared" si="31"/>
        <v>0</v>
      </c>
      <c r="L166" s="235">
        <f t="shared" si="40"/>
        <v>0</v>
      </c>
      <c r="M166" s="236">
        <f t="shared" si="40"/>
        <v>0</v>
      </c>
      <c r="N166" s="126"/>
      <c r="AD166" s="1336" t="s">
        <v>1906</v>
      </c>
    </row>
    <row r="167" spans="1:30" ht="12.75" customHeight="1" x14ac:dyDescent="0.25">
      <c r="A167" s="584" t="s">
        <v>1678</v>
      </c>
      <c r="B167" s="73"/>
      <c r="C167" s="1356">
        <f>SUMIFS(Sheet1!S71_OriginalBudget,Sheet1!S71_SA34cCode,$AC:$AC,Sheet1!S71_RepMaintCode,$AD:$AD)</f>
        <v>0</v>
      </c>
      <c r="D167" s="1356">
        <f>SUMIFS(Sheet1!S71_SpecialAdjustedBudget,Sheet1!S71_SA34cCode,$AC:$AC,Sheet1!S71_RepMaintCode,$AD:$AD)</f>
        <v>0</v>
      </c>
      <c r="E167" s="1356"/>
      <c r="F167" s="1356"/>
      <c r="G167" s="1356"/>
      <c r="H167" s="1356"/>
      <c r="I167" s="1356">
        <f>SUMIFS(Sheet1!S71_AdjustmentAmount,Sheet1!S71_SA34cCode,$AC:$AC,Sheet1!S71_RepMaintCode,$AD:$AD)</f>
        <v>0</v>
      </c>
      <c r="J167" s="75">
        <f>SUM(E167:I167)</f>
        <v>0</v>
      </c>
      <c r="K167" s="75">
        <f t="shared" si="31"/>
        <v>0</v>
      </c>
      <c r="L167" s="1356">
        <f>SUMIFS(Sheet1!S71_OY1AdjustedBudget,Sheet1!S71_SA34cCode,$AC:$AC,Sheet1!S71_RepMaintCode,$AD:$AD)</f>
        <v>0</v>
      </c>
      <c r="M167" s="1357">
        <f>SUMIFS(Sheet1!S71_OY2AdjustedBudget,Sheet1!S71_SA34cCode,$AC:$AC,Sheet1!S71_RepMaintCode,$AD:$AD)</f>
        <v>0</v>
      </c>
      <c r="N167" s="126"/>
      <c r="AC167" s="1336" t="s">
        <v>1998</v>
      </c>
      <c r="AD167" s="1336" t="s">
        <v>1906</v>
      </c>
    </row>
    <row r="168" spans="1:30" ht="5.0999999999999996" customHeight="1" x14ac:dyDescent="0.25">
      <c r="A168" s="134"/>
      <c r="B168" s="73"/>
      <c r="C168" s="74"/>
      <c r="D168" s="75"/>
      <c r="E168" s="75"/>
      <c r="F168" s="75"/>
      <c r="G168" s="75"/>
      <c r="H168" s="75"/>
      <c r="I168" s="75"/>
      <c r="J168" s="75"/>
      <c r="K168" s="75"/>
      <c r="L168" s="75"/>
      <c r="M168" s="76"/>
      <c r="N168" s="126"/>
      <c r="AD168" s="1336" t="s">
        <v>1906</v>
      </c>
    </row>
    <row r="169" spans="1:30" ht="12.75" customHeight="1" x14ac:dyDescent="0.25">
      <c r="A169" s="847" t="s">
        <v>1191</v>
      </c>
      <c r="B169" s="154">
        <v>1</v>
      </c>
      <c r="C169" s="155">
        <f>C8+C76+C105+C112+C120+C151+C138+C141+C154+C157+C160+C163+C166</f>
        <v>16880000</v>
      </c>
      <c r="D169" s="115">
        <f t="shared" ref="D169:M169" si="41">D8+D76+D105+D112+D120+D151+D138+D141+D154+D157+D160+D163+D166</f>
        <v>16880000</v>
      </c>
      <c r="E169" s="115">
        <f>E8+E76+E105+E112+E120+E151+E138+E141+E154+E157+E160+E163+E166</f>
        <v>0</v>
      </c>
      <c r="F169" s="115">
        <f t="shared" si="41"/>
        <v>0</v>
      </c>
      <c r="G169" s="115">
        <f t="shared" si="41"/>
        <v>0</v>
      </c>
      <c r="H169" s="115">
        <f t="shared" si="41"/>
        <v>0</v>
      </c>
      <c r="I169" s="115">
        <f t="shared" si="41"/>
        <v>13950520</v>
      </c>
      <c r="J169" s="115">
        <f>SUM(E169:I169)</f>
        <v>13950520</v>
      </c>
      <c r="K169" s="115">
        <f t="shared" si="31"/>
        <v>30830520</v>
      </c>
      <c r="L169" s="115">
        <f t="shared" si="41"/>
        <v>13592800</v>
      </c>
      <c r="M169" s="116">
        <f t="shared" si="41"/>
        <v>14485968</v>
      </c>
      <c r="N169" s="126"/>
    </row>
    <row r="170" spans="1:30" ht="12.75" customHeight="1" x14ac:dyDescent="0.25">
      <c r="A170" s="587" t="str">
        <f>head27a</f>
        <v>References</v>
      </c>
      <c r="B170" s="119"/>
      <c r="C170" s="53"/>
      <c r="D170" s="53"/>
      <c r="E170" s="53"/>
      <c r="F170" s="53"/>
      <c r="G170" s="53"/>
      <c r="H170" s="53"/>
      <c r="I170" s="53"/>
      <c r="J170" s="53"/>
      <c r="K170" s="53"/>
      <c r="L170" s="53"/>
      <c r="M170" s="53"/>
      <c r="N170" s="126"/>
    </row>
    <row r="171" spans="1:30" ht="12.75" customHeight="1" x14ac:dyDescent="0.25">
      <c r="A171" s="845" t="s">
        <v>1192</v>
      </c>
      <c r="B171" s="750"/>
      <c r="C171" s="753"/>
      <c r="D171" s="753"/>
      <c r="E171" s="754"/>
      <c r="F171" s="754"/>
      <c r="G171" s="754"/>
      <c r="H171" s="754"/>
      <c r="I171" s="754"/>
      <c r="J171" s="53"/>
      <c r="K171" s="53"/>
      <c r="L171" s="53"/>
      <c r="M171" s="53"/>
      <c r="N171" s="126"/>
    </row>
    <row r="172" spans="1:30" ht="12.75" customHeight="1" x14ac:dyDescent="0.25">
      <c r="A172" s="1422" t="s">
        <v>986</v>
      </c>
      <c r="B172" s="1422"/>
      <c r="C172" s="1422"/>
      <c r="D172" s="1422"/>
      <c r="E172" s="1422"/>
      <c r="F172" s="1422"/>
      <c r="G172" s="1422"/>
      <c r="H172" s="1422"/>
      <c r="I172" s="1422"/>
      <c r="J172" s="1422"/>
      <c r="K172" s="1422"/>
      <c r="L172" s="1422"/>
      <c r="M172" s="1422"/>
      <c r="N172" s="126"/>
    </row>
    <row r="173" spans="1:30" ht="12.75" customHeight="1" x14ac:dyDescent="0.25">
      <c r="A173" s="1422" t="s">
        <v>992</v>
      </c>
      <c r="B173" s="1422"/>
      <c r="C173" s="1422"/>
      <c r="D173" s="1422"/>
      <c r="E173" s="1422"/>
      <c r="F173" s="1422"/>
      <c r="G173" s="1422"/>
      <c r="H173" s="1422"/>
      <c r="I173" s="1422"/>
      <c r="J173" s="1422"/>
      <c r="K173" s="822"/>
      <c r="L173" s="822"/>
      <c r="M173" s="822"/>
      <c r="N173" s="126"/>
    </row>
    <row r="174" spans="1:30" ht="12.75" customHeight="1" x14ac:dyDescent="0.25">
      <c r="A174" s="1422" t="s">
        <v>993</v>
      </c>
      <c r="B174" s="1422"/>
      <c r="C174" s="1422"/>
      <c r="D174" s="1422"/>
      <c r="E174" s="1422"/>
      <c r="F174" s="1422"/>
      <c r="G174" s="1422"/>
      <c r="H174" s="1422"/>
      <c r="I174" s="1422"/>
      <c r="J174" s="1422"/>
      <c r="K174" s="822"/>
      <c r="L174" s="822"/>
      <c r="M174" s="822"/>
      <c r="N174" s="126"/>
    </row>
    <row r="175" spans="1:30" ht="12.75" customHeight="1" x14ac:dyDescent="0.25">
      <c r="A175" s="1422" t="s">
        <v>1016</v>
      </c>
      <c r="B175" s="1422"/>
      <c r="C175" s="1422"/>
      <c r="D175" s="1422"/>
      <c r="E175" s="1422"/>
      <c r="F175" s="1422"/>
      <c r="G175" s="1422"/>
      <c r="H175" s="1422"/>
      <c r="I175" s="1422"/>
      <c r="J175" s="1422"/>
      <c r="K175" s="1422"/>
      <c r="L175" s="1422"/>
      <c r="M175" s="1422"/>
      <c r="N175" s="126"/>
    </row>
    <row r="176" spans="1:30" ht="12.75" customHeight="1" x14ac:dyDescent="0.25">
      <c r="A176" s="157" t="s">
        <v>1017</v>
      </c>
      <c r="B176" s="158"/>
      <c r="C176" s="94"/>
      <c r="D176" s="94"/>
      <c r="E176" s="94"/>
      <c r="F176" s="94"/>
      <c r="G176" s="94"/>
      <c r="H176" s="94"/>
      <c r="I176" s="94"/>
      <c r="J176" s="94"/>
      <c r="K176" s="94"/>
      <c r="L176" s="94"/>
      <c r="M176" s="94"/>
      <c r="N176" s="126"/>
    </row>
    <row r="177" spans="1:14" ht="12.75" customHeight="1" x14ac:dyDescent="0.25">
      <c r="A177" s="1422" t="s">
        <v>1018</v>
      </c>
      <c r="B177" s="1422"/>
      <c r="C177" s="1422"/>
      <c r="D177" s="1422"/>
      <c r="E177" s="1422"/>
      <c r="F177" s="1422"/>
      <c r="G177" s="1422"/>
      <c r="H177" s="1422"/>
      <c r="I177" s="1422"/>
      <c r="J177" s="1422"/>
      <c r="K177" s="1422"/>
      <c r="L177" s="1422"/>
      <c r="M177" s="1422"/>
      <c r="N177" s="126"/>
    </row>
    <row r="178" spans="1:14" ht="12.75" customHeight="1" x14ac:dyDescent="0.25">
      <c r="A178" s="157" t="s">
        <v>1019</v>
      </c>
      <c r="B178" s="158"/>
      <c r="C178" s="94"/>
      <c r="D178" s="94"/>
      <c r="E178" s="94"/>
      <c r="F178" s="94"/>
      <c r="G178" s="94"/>
      <c r="H178" s="94"/>
      <c r="I178" s="94"/>
      <c r="J178" s="94"/>
      <c r="K178" s="94"/>
      <c r="L178" s="94"/>
      <c r="M178" s="94"/>
      <c r="N178" s="126"/>
    </row>
    <row r="179" spans="1:14" ht="12.75" customHeight="1" x14ac:dyDescent="0.25">
      <c r="A179" s="1422" t="s">
        <v>1020</v>
      </c>
      <c r="B179" s="1422"/>
      <c r="C179" s="1422"/>
      <c r="D179" s="1422"/>
      <c r="E179" s="1422"/>
      <c r="F179" s="1422"/>
      <c r="G179" s="1422"/>
      <c r="H179" s="1422"/>
      <c r="I179" s="1422"/>
      <c r="J179" s="1422"/>
      <c r="K179" s="1422"/>
      <c r="L179" s="1422"/>
      <c r="M179" s="1422"/>
      <c r="N179" s="126"/>
    </row>
    <row r="180" spans="1:14" ht="11.25" customHeight="1" x14ac:dyDescent="0.25">
      <c r="A180" s="336"/>
      <c r="B180" s="781"/>
      <c r="C180" s="543"/>
      <c r="D180" s="543"/>
      <c r="E180" s="543"/>
      <c r="F180" s="543"/>
      <c r="G180" s="543"/>
      <c r="H180" s="543"/>
      <c r="I180" s="543"/>
      <c r="J180" s="543"/>
      <c r="K180" s="543"/>
      <c r="L180" s="543"/>
      <c r="M180" s="543"/>
      <c r="N180" s="126"/>
    </row>
    <row r="181" spans="1:14" ht="11.25" customHeight="1" x14ac:dyDescent="0.25">
      <c r="A181" s="48"/>
      <c r="B181" s="119"/>
      <c r="C181" s="53"/>
      <c r="D181" s="53"/>
      <c r="E181" s="53"/>
      <c r="F181" s="53"/>
      <c r="G181" s="53"/>
      <c r="H181" s="53"/>
      <c r="I181" s="53"/>
      <c r="J181" s="53"/>
      <c r="K181" s="53"/>
      <c r="L181" s="53"/>
      <c r="M181" s="53"/>
      <c r="N181" s="126"/>
    </row>
    <row r="182" spans="1:14" ht="11.25" customHeight="1" x14ac:dyDescent="0.25">
      <c r="A182" s="782" t="s">
        <v>673</v>
      </c>
      <c r="B182" s="158"/>
      <c r="C182" s="783"/>
      <c r="D182" s="783"/>
      <c r="E182" s="783"/>
      <c r="F182" s="783"/>
      <c r="G182" s="783"/>
      <c r="H182" s="783"/>
      <c r="I182" s="783"/>
      <c r="J182" s="783"/>
      <c r="K182" s="783"/>
      <c r="L182" s="783"/>
      <c r="M182" s="783"/>
      <c r="N182" s="126"/>
    </row>
    <row r="183" spans="1:14" ht="11.25" customHeight="1" x14ac:dyDescent="0.25">
      <c r="N183" s="126"/>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4" type="noConversion"/>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indexed="42"/>
  </sheetPr>
  <dimension ref="A1:AD217"/>
  <sheetViews>
    <sheetView showGridLines="0" zoomScale="85" zoomScaleNormal="85" workbookViewId="0">
      <pane xSplit="2" ySplit="5" topLeftCell="C75" activePane="bottomRight" state="frozen"/>
      <selection activeCell="C6" sqref="C6"/>
      <selection pane="topRight" activeCell="C6" sqref="C6"/>
      <selection pane="bottomLeft" activeCell="C6" sqref="C6"/>
      <selection pane="bottomRight" activeCell="J8" sqref="J8:J169"/>
    </sheetView>
  </sheetViews>
  <sheetFormatPr defaultColWidth="9.140625" defaultRowHeight="12.75" x14ac:dyDescent="0.25"/>
  <cols>
    <col min="1" max="1" width="34.140625" style="5" bestFit="1" customWidth="1"/>
    <col min="2" max="2" width="3.140625" style="58" customWidth="1"/>
    <col min="3" max="13" width="9.140625" style="5"/>
    <col min="14" max="14" width="13.42578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27" width="9.140625" style="5" customWidth="1"/>
    <col min="28" max="28" width="9.140625" style="5"/>
    <col min="29" max="30" width="9.140625" style="1336"/>
    <col min="31" max="16384" width="9.140625" style="5"/>
  </cols>
  <sheetData>
    <row r="1" spans="1:30" ht="13.5" x14ac:dyDescent="0.25">
      <c r="A1" s="57" t="str">
        <f>muni&amp;" - "&amp;ADJB18d&amp;" - "&amp;Date</f>
        <v xml:space="preserve">KZN226 Mkhambathini - Supporting Table SB18d Adjustments Budget - depreciation by asset class - </v>
      </c>
      <c r="B1" s="5"/>
      <c r="C1" s="58"/>
    </row>
    <row r="2" spans="1:30" ht="25.5" x14ac:dyDescent="0.25">
      <c r="A2" s="1420" t="str">
        <f>desc</f>
        <v>Description</v>
      </c>
      <c r="B2" s="1420" t="str">
        <f>head27</f>
        <v>Ref</v>
      </c>
      <c r="C2" s="1417" t="str">
        <f>Head2</f>
        <v>Budget Year 2020/21</v>
      </c>
      <c r="D2" s="1418"/>
      <c r="E2" s="1418"/>
      <c r="F2" s="1418"/>
      <c r="G2" s="1418"/>
      <c r="H2" s="1418"/>
      <c r="I2" s="1418"/>
      <c r="J2" s="1418"/>
      <c r="K2" s="1419"/>
      <c r="L2" s="167" t="str">
        <f>Head10</f>
        <v>Budget Year +1 2021/22</v>
      </c>
      <c r="M2" s="168" t="str">
        <f>Head11</f>
        <v>Budget Year +2 2022/23</v>
      </c>
    </row>
    <row r="3" spans="1:30" ht="25.5" x14ac:dyDescent="0.25">
      <c r="A3" s="1421"/>
      <c r="B3" s="14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30" x14ac:dyDescent="0.25">
      <c r="A4" s="1421"/>
      <c r="B4" s="1421"/>
      <c r="C4" s="65"/>
      <c r="D4" s="15">
        <v>7</v>
      </c>
      <c r="E4" s="15">
        <v>8</v>
      </c>
      <c r="F4" s="15">
        <v>9</v>
      </c>
      <c r="G4" s="15">
        <v>10</v>
      </c>
      <c r="H4" s="15">
        <v>11</v>
      </c>
      <c r="I4" s="15">
        <v>12</v>
      </c>
      <c r="J4" s="15">
        <v>13</v>
      </c>
      <c r="K4" s="15">
        <v>14</v>
      </c>
      <c r="L4" s="15"/>
      <c r="M4" s="17"/>
    </row>
    <row r="5" spans="1:30" x14ac:dyDescent="0.25">
      <c r="A5" s="66" t="s">
        <v>605</v>
      </c>
      <c r="B5" s="104"/>
      <c r="C5" s="67" t="s">
        <v>549</v>
      </c>
      <c r="D5" s="68" t="s">
        <v>550</v>
      </c>
      <c r="E5" s="68" t="s">
        <v>551</v>
      </c>
      <c r="F5" s="69" t="s">
        <v>552</v>
      </c>
      <c r="G5" s="69" t="s">
        <v>553</v>
      </c>
      <c r="H5" s="69" t="s">
        <v>554</v>
      </c>
      <c r="I5" s="70" t="s">
        <v>555</v>
      </c>
      <c r="J5" s="70" t="s">
        <v>556</v>
      </c>
      <c r="K5" s="70" t="s">
        <v>557</v>
      </c>
      <c r="L5" s="70"/>
      <c r="M5" s="71"/>
    </row>
    <row r="6" spans="1:30" ht="12.75" customHeight="1" x14ac:dyDescent="0.25">
      <c r="A6" s="843" t="s">
        <v>1415</v>
      </c>
      <c r="B6" s="73"/>
      <c r="C6" s="74"/>
      <c r="D6" s="75"/>
      <c r="E6" s="75"/>
      <c r="F6" s="75"/>
      <c r="G6" s="75"/>
      <c r="H6" s="75"/>
      <c r="I6" s="75"/>
      <c r="J6" s="75"/>
      <c r="K6" s="75"/>
      <c r="L6" s="75"/>
      <c r="M6" s="76"/>
      <c r="N6" s="126"/>
    </row>
    <row r="7" spans="1:30" ht="5.0999999999999996" customHeight="1" x14ac:dyDescent="0.25">
      <c r="A7" s="124"/>
      <c r="B7" s="73"/>
      <c r="C7" s="74"/>
      <c r="D7" s="75"/>
      <c r="E7" s="75"/>
      <c r="F7" s="75"/>
      <c r="G7" s="75"/>
      <c r="H7" s="75"/>
      <c r="I7" s="75"/>
      <c r="J7" s="75"/>
      <c r="K7" s="75"/>
      <c r="L7" s="75"/>
      <c r="M7" s="76"/>
      <c r="N7" s="126"/>
    </row>
    <row r="8" spans="1:30" ht="12.75" customHeight="1" x14ac:dyDescent="0.25">
      <c r="A8" s="124" t="s">
        <v>766</v>
      </c>
      <c r="B8" s="73"/>
      <c r="C8" s="693">
        <f>C9+C14+C18+C28+C70+C39+C46+C54+C64</f>
        <v>3787600</v>
      </c>
      <c r="D8" s="693">
        <f t="shared" ref="D8:I8" si="0">D9+D14+D18+D28+D70+D39+D46+D54+D64</f>
        <v>3787600</v>
      </c>
      <c r="E8" s="693">
        <f t="shared" si="0"/>
        <v>0</v>
      </c>
      <c r="F8" s="693">
        <f t="shared" si="0"/>
        <v>0</v>
      </c>
      <c r="G8" s="693">
        <f t="shared" si="0"/>
        <v>0</v>
      </c>
      <c r="H8" s="693">
        <f t="shared" si="0"/>
        <v>0</v>
      </c>
      <c r="I8" s="693">
        <f t="shared" si="0"/>
        <v>0</v>
      </c>
      <c r="J8" s="694">
        <f t="shared" ref="J8:J39" si="1">SUM(E8:I8)</f>
        <v>0</v>
      </c>
      <c r="K8" s="694">
        <f>IF(D8=0,C8+J8,D8+J8)</f>
        <v>3787600</v>
      </c>
      <c r="L8" s="693">
        <f>L9+L14+L18+L28+L70+L39+L46+L54+L64</f>
        <v>4166360</v>
      </c>
      <c r="M8" s="695">
        <f>M9+M14+M18+M28+M70+M39+M46+M54+M64</f>
        <v>4582996</v>
      </c>
      <c r="N8" s="837"/>
    </row>
    <row r="9" spans="1:30" ht="12.75" customHeight="1" x14ac:dyDescent="0.25">
      <c r="A9" s="584" t="s">
        <v>1568</v>
      </c>
      <c r="B9" s="73"/>
      <c r="C9" s="263">
        <f>SUM(C10:C13)</f>
        <v>3787600</v>
      </c>
      <c r="D9" s="263">
        <f t="shared" ref="D9:M9" si="2">SUM(D10:D13)</f>
        <v>3787600</v>
      </c>
      <c r="E9" s="263">
        <f t="shared" si="2"/>
        <v>0</v>
      </c>
      <c r="F9" s="263">
        <f t="shared" si="2"/>
        <v>0</v>
      </c>
      <c r="G9" s="263">
        <f t="shared" si="2"/>
        <v>0</v>
      </c>
      <c r="H9" s="263">
        <f t="shared" si="2"/>
        <v>0</v>
      </c>
      <c r="I9" s="263">
        <f t="shared" si="2"/>
        <v>0</v>
      </c>
      <c r="J9" s="75">
        <f t="shared" si="1"/>
        <v>0</v>
      </c>
      <c r="K9" s="75">
        <f t="shared" ref="K9:K72" si="3">IF(D9=0,C9+J9,D9+J9)</f>
        <v>3787600</v>
      </c>
      <c r="L9" s="263">
        <f t="shared" si="2"/>
        <v>4166360</v>
      </c>
      <c r="M9" s="264">
        <f t="shared" si="2"/>
        <v>4582996</v>
      </c>
      <c r="N9" s="126"/>
    </row>
    <row r="10" spans="1:30" ht="12.75" customHeight="1" x14ac:dyDescent="0.25">
      <c r="A10" s="585" t="s">
        <v>1002</v>
      </c>
      <c r="B10" s="73"/>
      <c r="C10" s="1356">
        <f>SUMIFS(Sheet1!S71_OriginalBudget,Sheet1!S71_SA34dCode,$AC:$AC,Sheet1!S71_DepCode,$AD:$AD)</f>
        <v>3787600</v>
      </c>
      <c r="D10" s="1356">
        <f>SUMIFS(Sheet1!S71_SpecialAdjustedBudget,Sheet1!S71_SA34dCode,$AC:$AC,Sheet1!S71_DepCode,$AD:$AD)</f>
        <v>3787600</v>
      </c>
      <c r="E10" s="1356"/>
      <c r="F10" s="1356"/>
      <c r="G10" s="1356"/>
      <c r="H10" s="1356"/>
      <c r="I10" s="1356">
        <f>SUMIFS(Sheet1!S71_AdjustmentAmount,Sheet1!S71_SA34dCode,$AC:$AC,Sheet1!S71_DepCode,$AD:$AD)</f>
        <v>0</v>
      </c>
      <c r="J10" s="75">
        <f t="shared" si="1"/>
        <v>0</v>
      </c>
      <c r="K10" s="75">
        <f>IF(D10=0,C10+J10,D10+J10)</f>
        <v>3787600</v>
      </c>
      <c r="L10" s="1356">
        <f>SUMIFS(Sheet1!S71_OY1AdjustedBudget,Sheet1!S71_SA34dCode,$AC:$AC,Sheet1!S71_DepCode,$AD:$AD)</f>
        <v>4166360</v>
      </c>
      <c r="M10" s="1357">
        <f>SUMIFS(Sheet1!S71_OY2AdjustedBudget,Sheet1!S71_SA34dCode,$AC:$AC,Sheet1!S71_DepCode,$AD:$AD)</f>
        <v>4582996</v>
      </c>
      <c r="N10" s="837"/>
      <c r="AC10" s="1336" t="s">
        <v>1859</v>
      </c>
      <c r="AD10" s="1336" t="s">
        <v>1907</v>
      </c>
    </row>
    <row r="11" spans="1:30" ht="12.75" customHeight="1" x14ac:dyDescent="0.25">
      <c r="A11" s="585" t="s">
        <v>1569</v>
      </c>
      <c r="B11" s="73"/>
      <c r="C11" s="1356">
        <f>SUMIFS(Sheet1!S71_OriginalBudget,Sheet1!S71_SA34dCode,$AC:$AC,Sheet1!S71_DepCode,$AD:$AD)</f>
        <v>0</v>
      </c>
      <c r="D11" s="1356">
        <f>SUMIFS(Sheet1!S71_SpecialAdjustedBudget,Sheet1!S71_SA34dCode,$AC:$AC,Sheet1!S71_DepCode,$AD:$AD)</f>
        <v>0</v>
      </c>
      <c r="E11" s="1356"/>
      <c r="F11" s="1356"/>
      <c r="G11" s="1356"/>
      <c r="H11" s="1356"/>
      <c r="I11" s="1356">
        <f>SUMIFS(Sheet1!S71_AdjustmentAmount,Sheet1!S71_SA34dCode,$AC:$AC,Sheet1!S71_DepCode,$AD:$AD)</f>
        <v>0</v>
      </c>
      <c r="J11" s="75">
        <f t="shared" si="1"/>
        <v>0</v>
      </c>
      <c r="K11" s="75">
        <f t="shared" si="3"/>
        <v>0</v>
      </c>
      <c r="L11" s="1356">
        <f>SUMIFS(Sheet1!S71_OY1AdjustedBudget,Sheet1!S71_SA34dCode,$AC:$AC,Sheet1!S71_DepCode,$AD:$AD)</f>
        <v>0</v>
      </c>
      <c r="M11" s="1357">
        <f>SUMIFS(Sheet1!S71_OY2AdjustedBudget,Sheet1!S71_SA34dCode,$AC:$AC,Sheet1!S71_DepCode,$AD:$AD)</f>
        <v>0</v>
      </c>
      <c r="N11" s="842"/>
      <c r="AC11" s="1336" t="s">
        <v>1860</v>
      </c>
      <c r="AD11" s="1336" t="s">
        <v>1907</v>
      </c>
    </row>
    <row r="12" spans="1:30" ht="12.75" customHeight="1" x14ac:dyDescent="0.25">
      <c r="A12" s="585" t="s">
        <v>1570</v>
      </c>
      <c r="B12" s="73"/>
      <c r="C12" s="1356">
        <f>SUMIFS(Sheet1!S71_OriginalBudget,Sheet1!S71_SA34dCode,$AC:$AC,Sheet1!S71_DepCode,$AD:$AD)</f>
        <v>0</v>
      </c>
      <c r="D12" s="1356">
        <f>SUMIFS(Sheet1!S71_SpecialAdjustedBudget,Sheet1!S71_SA34dCode,$AC:$AC,Sheet1!S71_DepCode,$AD:$AD)</f>
        <v>0</v>
      </c>
      <c r="E12" s="1356"/>
      <c r="F12" s="1356"/>
      <c r="G12" s="1356"/>
      <c r="H12" s="1356"/>
      <c r="I12" s="1356">
        <f>SUMIFS(Sheet1!S71_AdjustmentAmount,Sheet1!S71_SA34dCode,$AC:$AC,Sheet1!S71_DepCode,$AD:$AD)</f>
        <v>0</v>
      </c>
      <c r="J12" s="75">
        <f t="shared" si="1"/>
        <v>0</v>
      </c>
      <c r="K12" s="75">
        <f t="shared" si="3"/>
        <v>0</v>
      </c>
      <c r="L12" s="1356">
        <f>SUMIFS(Sheet1!S71_OY1AdjustedBudget,Sheet1!S71_SA34dCode,$AC:$AC,Sheet1!S71_DepCode,$AD:$AD)</f>
        <v>0</v>
      </c>
      <c r="M12" s="1357">
        <f>SUMIFS(Sheet1!S71_OY2AdjustedBudget,Sheet1!S71_SA34dCode,$AC:$AC,Sheet1!S71_DepCode,$AD:$AD)</f>
        <v>0</v>
      </c>
      <c r="N12" s="837"/>
      <c r="AC12" s="1336" t="s">
        <v>1861</v>
      </c>
      <c r="AD12" s="1336" t="s">
        <v>1907</v>
      </c>
    </row>
    <row r="13" spans="1:30" ht="12.75" customHeight="1" x14ac:dyDescent="0.25">
      <c r="A13" s="585" t="s">
        <v>1571</v>
      </c>
      <c r="B13" s="73"/>
      <c r="C13" s="1356">
        <f>SUMIFS(Sheet1!S71_OriginalBudget,Sheet1!S71_SA34dCode,$AC:$AC,Sheet1!S71_DepCode,$AD:$AD)</f>
        <v>0</v>
      </c>
      <c r="D13" s="1356">
        <f>SUMIFS(Sheet1!S71_SpecialAdjustedBudget,Sheet1!S71_SA34dCode,$AC:$AC,Sheet1!S71_DepCode,$AD:$AD)</f>
        <v>0</v>
      </c>
      <c r="E13" s="1356"/>
      <c r="F13" s="1356"/>
      <c r="G13" s="1356"/>
      <c r="H13" s="1356"/>
      <c r="I13" s="1356">
        <f>SUMIFS(Sheet1!S71_AdjustmentAmount,Sheet1!S71_SA34dCode,$AC:$AC,Sheet1!S71_DepCode,$AD:$AD)</f>
        <v>0</v>
      </c>
      <c r="J13" s="75">
        <f t="shared" si="1"/>
        <v>0</v>
      </c>
      <c r="K13" s="75">
        <f t="shared" si="3"/>
        <v>0</v>
      </c>
      <c r="L13" s="1356">
        <f>SUMIFS(Sheet1!S71_OY1AdjustedBudget,Sheet1!S71_SA34dCode,$AC:$AC,Sheet1!S71_DepCode,$AD:$AD)</f>
        <v>0</v>
      </c>
      <c r="M13" s="1357">
        <f>SUMIFS(Sheet1!S71_OY2AdjustedBudget,Sheet1!S71_SA34dCode,$AC:$AC,Sheet1!S71_DepCode,$AD:$AD)</f>
        <v>0</v>
      </c>
      <c r="N13" s="842"/>
      <c r="AC13" s="1336" t="s">
        <v>1862</v>
      </c>
      <c r="AD13" s="1336" t="s">
        <v>1907</v>
      </c>
    </row>
    <row r="14" spans="1:30" ht="12.75" customHeight="1" x14ac:dyDescent="0.25">
      <c r="A14" s="584" t="s">
        <v>1572</v>
      </c>
      <c r="B14" s="73"/>
      <c r="C14" s="130">
        <f t="shared" ref="C14:I14" si="4">SUM(C15:C17)</f>
        <v>0</v>
      </c>
      <c r="D14" s="130">
        <f t="shared" si="4"/>
        <v>0</v>
      </c>
      <c r="E14" s="130">
        <f t="shared" si="4"/>
        <v>0</v>
      </c>
      <c r="F14" s="130">
        <f t="shared" si="4"/>
        <v>0</v>
      </c>
      <c r="G14" s="130">
        <f t="shared" si="4"/>
        <v>0</v>
      </c>
      <c r="H14" s="130">
        <f t="shared" si="4"/>
        <v>0</v>
      </c>
      <c r="I14" s="130">
        <f t="shared" si="4"/>
        <v>0</v>
      </c>
      <c r="J14" s="75">
        <f t="shared" si="1"/>
        <v>0</v>
      </c>
      <c r="K14" s="75">
        <f t="shared" si="3"/>
        <v>0</v>
      </c>
      <c r="L14" s="130">
        <f>SUM(L15:L17)</f>
        <v>0</v>
      </c>
      <c r="M14" s="131">
        <f>SUM(M15:M17)</f>
        <v>0</v>
      </c>
      <c r="N14" s="842"/>
      <c r="AD14" s="1336" t="s">
        <v>1907</v>
      </c>
    </row>
    <row r="15" spans="1:30" ht="12.75" customHeight="1" x14ac:dyDescent="0.25">
      <c r="A15" s="585" t="s">
        <v>1573</v>
      </c>
      <c r="B15" s="73"/>
      <c r="C15" s="1356">
        <f>SUMIFS(Sheet1!S71_OriginalBudget,Sheet1!S71_SA34dCode,$AC:$AC,Sheet1!S71_DepCode,$AD:$AD)</f>
        <v>0</v>
      </c>
      <c r="D15" s="1356">
        <f>SUMIFS(Sheet1!S71_SpecialAdjustedBudget,Sheet1!S71_SA34dCode,$AC:$AC,Sheet1!S71_DepCode,$AD:$AD)</f>
        <v>0</v>
      </c>
      <c r="E15" s="1356"/>
      <c r="F15" s="1356"/>
      <c r="G15" s="1356"/>
      <c r="H15" s="1356"/>
      <c r="I15" s="1356">
        <f>SUMIFS(Sheet1!S71_AdjustmentAmount,Sheet1!S71_SA34dCode,$AC:$AC,Sheet1!S71_DepCode,$AD:$AD)</f>
        <v>0</v>
      </c>
      <c r="J15" s="75">
        <f t="shared" si="1"/>
        <v>0</v>
      </c>
      <c r="K15" s="75">
        <f t="shared" si="3"/>
        <v>0</v>
      </c>
      <c r="L15" s="1356">
        <f>SUMIFS(Sheet1!S71_OY1AdjustedBudget,Sheet1!S71_SA34dCode,$AC:$AC,Sheet1!S71_DepCode,$AD:$AD)</f>
        <v>0</v>
      </c>
      <c r="M15" s="1357">
        <f>SUMIFS(Sheet1!S71_OY2AdjustedBudget,Sheet1!S71_SA34dCode,$AC:$AC,Sheet1!S71_DepCode,$AD:$AD)</f>
        <v>0</v>
      </c>
      <c r="N15" s="842"/>
      <c r="AC15" s="1336" t="s">
        <v>1908</v>
      </c>
      <c r="AD15" s="1336" t="s">
        <v>1907</v>
      </c>
    </row>
    <row r="16" spans="1:30" ht="12.75" customHeight="1" x14ac:dyDescent="0.25">
      <c r="A16" s="585" t="s">
        <v>1574</v>
      </c>
      <c r="B16" s="73"/>
      <c r="C16" s="1356">
        <f>SUMIFS(Sheet1!S71_OriginalBudget,Sheet1!S71_SA34dCode,$AC:$AC,Sheet1!S71_DepCode,$AD:$AD)</f>
        <v>0</v>
      </c>
      <c r="D16" s="1356">
        <f>SUMIFS(Sheet1!S71_SpecialAdjustedBudget,Sheet1!S71_SA34dCode,$AC:$AC,Sheet1!S71_DepCode,$AD:$AD)</f>
        <v>0</v>
      </c>
      <c r="E16" s="1356"/>
      <c r="F16" s="1356"/>
      <c r="G16" s="1356"/>
      <c r="H16" s="1356"/>
      <c r="I16" s="1356">
        <f>SUMIFS(Sheet1!S71_AdjustmentAmount,Sheet1!S71_SA34dCode,$AC:$AC,Sheet1!S71_DepCode,$AD:$AD)</f>
        <v>0</v>
      </c>
      <c r="J16" s="75">
        <f t="shared" si="1"/>
        <v>0</v>
      </c>
      <c r="K16" s="75">
        <f t="shared" si="3"/>
        <v>0</v>
      </c>
      <c r="L16" s="1356">
        <f>SUMIFS(Sheet1!S71_OY1AdjustedBudget,Sheet1!S71_SA34dCode,$AC:$AC,Sheet1!S71_DepCode,$AD:$AD)</f>
        <v>0</v>
      </c>
      <c r="M16" s="1357">
        <f>SUMIFS(Sheet1!S71_OY2AdjustedBudget,Sheet1!S71_SA34dCode,$AC:$AC,Sheet1!S71_DepCode,$AD:$AD)</f>
        <v>0</v>
      </c>
      <c r="N16" s="842"/>
      <c r="AC16" s="1336" t="s">
        <v>1864</v>
      </c>
      <c r="AD16" s="1336" t="s">
        <v>1907</v>
      </c>
    </row>
    <row r="17" spans="1:30" ht="12.75" customHeight="1" x14ac:dyDescent="0.25">
      <c r="A17" s="585" t="s">
        <v>1575</v>
      </c>
      <c r="B17" s="73"/>
      <c r="C17" s="1356">
        <f>SUMIFS(Sheet1!S71_OriginalBudget,Sheet1!S71_SA34dCode,$AC:$AC,Sheet1!S71_DepCode,$AD:$AD)</f>
        <v>0</v>
      </c>
      <c r="D17" s="1356">
        <f>SUMIFS(Sheet1!S71_SpecialAdjustedBudget,Sheet1!S71_SA34dCode,$AC:$AC,Sheet1!S71_DepCode,$AD:$AD)</f>
        <v>0</v>
      </c>
      <c r="E17" s="1356"/>
      <c r="F17" s="1356"/>
      <c r="G17" s="1356"/>
      <c r="H17" s="1356"/>
      <c r="I17" s="1356">
        <f>SUMIFS(Sheet1!S71_AdjustmentAmount,Sheet1!S71_SA34dCode,$AC:$AC,Sheet1!S71_DepCode,$AD:$AD)</f>
        <v>0</v>
      </c>
      <c r="J17" s="75">
        <f t="shared" si="1"/>
        <v>0</v>
      </c>
      <c r="K17" s="75">
        <f t="shared" si="3"/>
        <v>0</v>
      </c>
      <c r="L17" s="1356">
        <f>SUMIFS(Sheet1!S71_OY1AdjustedBudget,Sheet1!S71_SA34dCode,$AC:$AC,Sheet1!S71_DepCode,$AD:$AD)</f>
        <v>0</v>
      </c>
      <c r="M17" s="1357">
        <f>SUMIFS(Sheet1!S71_OY2AdjustedBudget,Sheet1!S71_SA34dCode,$AC:$AC,Sheet1!S71_DepCode,$AD:$AD)</f>
        <v>0</v>
      </c>
      <c r="N17" s="842"/>
      <c r="AC17" s="1336" t="s">
        <v>1909</v>
      </c>
      <c r="AD17" s="1336" t="s">
        <v>1907</v>
      </c>
    </row>
    <row r="18" spans="1:30" ht="12.75" customHeight="1" x14ac:dyDescent="0.25">
      <c r="A18" s="584" t="s">
        <v>1576</v>
      </c>
      <c r="B18" s="73"/>
      <c r="C18" s="130">
        <f t="shared" ref="C18:M18" si="5">SUM(C19:C27)</f>
        <v>0</v>
      </c>
      <c r="D18" s="130">
        <f t="shared" si="5"/>
        <v>0</v>
      </c>
      <c r="E18" s="130">
        <f t="shared" si="5"/>
        <v>0</v>
      </c>
      <c r="F18" s="130">
        <f t="shared" si="5"/>
        <v>0</v>
      </c>
      <c r="G18" s="130">
        <f t="shared" si="5"/>
        <v>0</v>
      </c>
      <c r="H18" s="130">
        <f t="shared" si="5"/>
        <v>0</v>
      </c>
      <c r="I18" s="130">
        <f t="shared" si="5"/>
        <v>0</v>
      </c>
      <c r="J18" s="75">
        <f t="shared" si="1"/>
        <v>0</v>
      </c>
      <c r="K18" s="75">
        <f t="shared" si="3"/>
        <v>0</v>
      </c>
      <c r="L18" s="130">
        <f t="shared" si="5"/>
        <v>0</v>
      </c>
      <c r="M18" s="131">
        <f t="shared" si="5"/>
        <v>0</v>
      </c>
      <c r="N18" s="842"/>
      <c r="AD18" s="1336" t="s">
        <v>1907</v>
      </c>
    </row>
    <row r="19" spans="1:30" ht="12.75" customHeight="1" x14ac:dyDescent="0.25">
      <c r="A19" s="585" t="s">
        <v>1577</v>
      </c>
      <c r="B19" s="73"/>
      <c r="C19" s="1356">
        <f>SUMIFS(Sheet1!S71_OriginalBudget,Sheet1!S71_SA34dCode,$AC:$AC,Sheet1!S71_DepCode,$AD:$AD)</f>
        <v>0</v>
      </c>
      <c r="D19" s="1356">
        <f>SUMIFS(Sheet1!S71_SpecialAdjustedBudget,Sheet1!S71_SA34dCode,$AC:$AC,Sheet1!S71_DepCode,$AD:$AD)</f>
        <v>0</v>
      </c>
      <c r="E19" s="1356"/>
      <c r="F19" s="1356"/>
      <c r="G19" s="1356"/>
      <c r="H19" s="1356"/>
      <c r="I19" s="1356">
        <f>SUMIFS(Sheet1!S71_AdjustmentAmount,Sheet1!S71_SA34dCode,$AC:$AC,Sheet1!S71_DepCode,$AD:$AD)</f>
        <v>0</v>
      </c>
      <c r="J19" s="75">
        <f t="shared" si="1"/>
        <v>0</v>
      </c>
      <c r="K19" s="75">
        <f t="shared" si="3"/>
        <v>0</v>
      </c>
      <c r="L19" s="1356">
        <f>SUMIFS(Sheet1!S71_OY1AdjustedBudget,Sheet1!S71_SA34dCode,$AC:$AC,Sheet1!S71_DepCode,$AD:$AD)</f>
        <v>0</v>
      </c>
      <c r="M19" s="1357">
        <f>SUMIFS(Sheet1!S71_OY2AdjustedBudget,Sheet1!S71_SA34dCode,$AC:$AC,Sheet1!S71_DepCode,$AD:$AD)</f>
        <v>0</v>
      </c>
      <c r="N19" s="842"/>
      <c r="AC19" s="1336" t="s">
        <v>1865</v>
      </c>
      <c r="AD19" s="1336" t="s">
        <v>1907</v>
      </c>
    </row>
    <row r="20" spans="1:30" ht="12.6" customHeight="1" x14ac:dyDescent="0.25">
      <c r="A20" s="585" t="s">
        <v>1578</v>
      </c>
      <c r="B20" s="73"/>
      <c r="C20" s="1356">
        <f>SUMIFS(Sheet1!S71_OriginalBudget,Sheet1!S71_SA34dCode,$AC:$AC,Sheet1!S71_DepCode,$AD:$AD)</f>
        <v>0</v>
      </c>
      <c r="D20" s="1356">
        <f>SUMIFS(Sheet1!S71_SpecialAdjustedBudget,Sheet1!S71_SA34dCode,$AC:$AC,Sheet1!S71_DepCode,$AD:$AD)</f>
        <v>0</v>
      </c>
      <c r="E20" s="1356"/>
      <c r="F20" s="1356"/>
      <c r="G20" s="1356"/>
      <c r="H20" s="1356"/>
      <c r="I20" s="1356">
        <f>SUMIFS(Sheet1!S71_AdjustmentAmount,Sheet1!S71_SA34dCode,$AC:$AC,Sheet1!S71_DepCode,$AD:$AD)</f>
        <v>0</v>
      </c>
      <c r="J20" s="75">
        <f t="shared" si="1"/>
        <v>0</v>
      </c>
      <c r="K20" s="75">
        <f t="shared" si="3"/>
        <v>0</v>
      </c>
      <c r="L20" s="1356">
        <f>SUMIFS(Sheet1!S71_OY1AdjustedBudget,Sheet1!S71_SA34dCode,$AC:$AC,Sheet1!S71_DepCode,$AD:$AD)</f>
        <v>0</v>
      </c>
      <c r="M20" s="1357">
        <f>SUMIFS(Sheet1!S71_OY2AdjustedBudget,Sheet1!S71_SA34dCode,$AC:$AC,Sheet1!S71_DepCode,$AD:$AD)</f>
        <v>0</v>
      </c>
      <c r="N20" s="842"/>
      <c r="AC20" s="1336" t="s">
        <v>1866</v>
      </c>
      <c r="AD20" s="1336" t="s">
        <v>1907</v>
      </c>
    </row>
    <row r="21" spans="1:30" ht="12.75" customHeight="1" x14ac:dyDescent="0.25">
      <c r="A21" s="585" t="s">
        <v>1579</v>
      </c>
      <c r="B21" s="73"/>
      <c r="C21" s="1356">
        <f>SUMIFS(Sheet1!S71_OriginalBudget,Sheet1!S71_SA34dCode,$AC:$AC,Sheet1!S71_DepCode,$AD:$AD)</f>
        <v>0</v>
      </c>
      <c r="D21" s="1356">
        <f>SUMIFS(Sheet1!S71_SpecialAdjustedBudget,Sheet1!S71_SA34dCode,$AC:$AC,Sheet1!S71_DepCode,$AD:$AD)</f>
        <v>0</v>
      </c>
      <c r="E21" s="1356"/>
      <c r="F21" s="1356"/>
      <c r="G21" s="1356"/>
      <c r="H21" s="1356"/>
      <c r="I21" s="1356">
        <f>SUMIFS(Sheet1!S71_AdjustmentAmount,Sheet1!S71_SA34dCode,$AC:$AC,Sheet1!S71_DepCode,$AD:$AD)</f>
        <v>0</v>
      </c>
      <c r="J21" s="75">
        <f t="shared" si="1"/>
        <v>0</v>
      </c>
      <c r="K21" s="75">
        <f t="shared" si="3"/>
        <v>0</v>
      </c>
      <c r="L21" s="1356">
        <f>SUMIFS(Sheet1!S71_OY1AdjustedBudget,Sheet1!S71_SA34dCode,$AC:$AC,Sheet1!S71_DepCode,$AD:$AD)</f>
        <v>0</v>
      </c>
      <c r="M21" s="1357">
        <f>SUMIFS(Sheet1!S71_OY2AdjustedBudget,Sheet1!S71_SA34dCode,$AC:$AC,Sheet1!S71_DepCode,$AD:$AD)</f>
        <v>0</v>
      </c>
      <c r="N21" s="842"/>
      <c r="AC21" s="1336" t="s">
        <v>1867</v>
      </c>
      <c r="AD21" s="1336" t="s">
        <v>1907</v>
      </c>
    </row>
    <row r="22" spans="1:30" ht="12.75" customHeight="1" x14ac:dyDescent="0.25">
      <c r="A22" s="585" t="s">
        <v>1580</v>
      </c>
      <c r="B22" s="73"/>
      <c r="C22" s="1356">
        <f>SUMIFS(Sheet1!S71_OriginalBudget,Sheet1!S71_SA34dCode,$AC:$AC,Sheet1!S71_DepCode,$AD:$AD)</f>
        <v>0</v>
      </c>
      <c r="D22" s="1356">
        <f>SUMIFS(Sheet1!S71_SpecialAdjustedBudget,Sheet1!S71_SA34dCode,$AC:$AC,Sheet1!S71_DepCode,$AD:$AD)</f>
        <v>0</v>
      </c>
      <c r="E22" s="1356"/>
      <c r="F22" s="1356"/>
      <c r="G22" s="1356"/>
      <c r="H22" s="1356"/>
      <c r="I22" s="1356">
        <f>SUMIFS(Sheet1!S71_AdjustmentAmount,Sheet1!S71_SA34dCode,$AC:$AC,Sheet1!S71_DepCode,$AD:$AD)</f>
        <v>0</v>
      </c>
      <c r="J22" s="75">
        <f t="shared" si="1"/>
        <v>0</v>
      </c>
      <c r="K22" s="75">
        <f t="shared" si="3"/>
        <v>0</v>
      </c>
      <c r="L22" s="1356">
        <f>SUMIFS(Sheet1!S71_OY1AdjustedBudget,Sheet1!S71_SA34dCode,$AC:$AC,Sheet1!S71_DepCode,$AD:$AD)</f>
        <v>0</v>
      </c>
      <c r="M22" s="1357">
        <f>SUMIFS(Sheet1!S71_OY2AdjustedBudget,Sheet1!S71_SA34dCode,$AC:$AC,Sheet1!S71_DepCode,$AD:$AD)</f>
        <v>0</v>
      </c>
      <c r="N22" s="837"/>
      <c r="AC22" s="1336" t="s">
        <v>1868</v>
      </c>
      <c r="AD22" s="1336" t="s">
        <v>1907</v>
      </c>
    </row>
    <row r="23" spans="1:30" ht="12.75" customHeight="1" x14ac:dyDescent="0.25">
      <c r="A23" s="585" t="s">
        <v>1581</v>
      </c>
      <c r="B23" s="73"/>
      <c r="C23" s="1356">
        <f>SUMIFS(Sheet1!S71_OriginalBudget,Sheet1!S71_SA34dCode,$AC:$AC,Sheet1!S71_DepCode,$AD:$AD)</f>
        <v>0</v>
      </c>
      <c r="D23" s="1356">
        <f>SUMIFS(Sheet1!S71_SpecialAdjustedBudget,Sheet1!S71_SA34dCode,$AC:$AC,Sheet1!S71_DepCode,$AD:$AD)</f>
        <v>0</v>
      </c>
      <c r="E23" s="1356"/>
      <c r="F23" s="1356"/>
      <c r="G23" s="1356"/>
      <c r="H23" s="1356"/>
      <c r="I23" s="1356">
        <f>SUMIFS(Sheet1!S71_AdjustmentAmount,Sheet1!S71_SA34dCode,$AC:$AC,Sheet1!S71_DepCode,$AD:$AD)</f>
        <v>0</v>
      </c>
      <c r="J23" s="75">
        <f t="shared" si="1"/>
        <v>0</v>
      </c>
      <c r="K23" s="75">
        <f t="shared" si="3"/>
        <v>0</v>
      </c>
      <c r="L23" s="1356">
        <f>SUMIFS(Sheet1!S71_OY1AdjustedBudget,Sheet1!S71_SA34dCode,$AC:$AC,Sheet1!S71_DepCode,$AD:$AD)</f>
        <v>0</v>
      </c>
      <c r="M23" s="1357">
        <f>SUMIFS(Sheet1!S71_OY2AdjustedBudget,Sheet1!S71_SA34dCode,$AC:$AC,Sheet1!S71_DepCode,$AD:$AD)</f>
        <v>0</v>
      </c>
      <c r="N23" s="842"/>
      <c r="AC23" s="1336" t="s">
        <v>1910</v>
      </c>
      <c r="AD23" s="1336" t="s">
        <v>1907</v>
      </c>
    </row>
    <row r="24" spans="1:30" ht="12.75" customHeight="1" x14ac:dyDescent="0.25">
      <c r="A24" s="585" t="s">
        <v>1582</v>
      </c>
      <c r="B24" s="73"/>
      <c r="C24" s="1356">
        <f>SUMIFS(Sheet1!S71_OriginalBudget,Sheet1!S71_SA34dCode,$AC:$AC,Sheet1!S71_DepCode,$AD:$AD)</f>
        <v>0</v>
      </c>
      <c r="D24" s="1356">
        <f>SUMIFS(Sheet1!S71_SpecialAdjustedBudget,Sheet1!S71_SA34dCode,$AC:$AC,Sheet1!S71_DepCode,$AD:$AD)</f>
        <v>0</v>
      </c>
      <c r="E24" s="1356"/>
      <c r="F24" s="1356"/>
      <c r="G24" s="1356"/>
      <c r="H24" s="1356"/>
      <c r="I24" s="1356">
        <f>SUMIFS(Sheet1!S71_AdjustmentAmount,Sheet1!S71_SA34dCode,$AC:$AC,Sheet1!S71_DepCode,$AD:$AD)</f>
        <v>0</v>
      </c>
      <c r="J24" s="75">
        <f t="shared" si="1"/>
        <v>0</v>
      </c>
      <c r="K24" s="75">
        <f t="shared" si="3"/>
        <v>0</v>
      </c>
      <c r="L24" s="1356">
        <f>SUMIFS(Sheet1!S71_OY1AdjustedBudget,Sheet1!S71_SA34dCode,$AC:$AC,Sheet1!S71_DepCode,$AD:$AD)</f>
        <v>0</v>
      </c>
      <c r="M24" s="1357">
        <f>SUMIFS(Sheet1!S71_OY2AdjustedBudget,Sheet1!S71_SA34dCode,$AC:$AC,Sheet1!S71_DepCode,$AD:$AD)</f>
        <v>0</v>
      </c>
      <c r="N24" s="837"/>
      <c r="AC24" s="1336" t="s">
        <v>1869</v>
      </c>
      <c r="AD24" s="1336" t="s">
        <v>1907</v>
      </c>
    </row>
    <row r="25" spans="1:30" ht="12.75" customHeight="1" x14ac:dyDescent="0.25">
      <c r="A25" s="585" t="s">
        <v>1583</v>
      </c>
      <c r="B25" s="73"/>
      <c r="C25" s="1356">
        <f>SUMIFS(Sheet1!S71_OriginalBudget,Sheet1!S71_SA34dCode,$AC:$AC,Sheet1!S71_DepCode,$AD:$AD)</f>
        <v>0</v>
      </c>
      <c r="D25" s="1356">
        <f>SUMIFS(Sheet1!S71_SpecialAdjustedBudget,Sheet1!S71_SA34dCode,$AC:$AC,Sheet1!S71_DepCode,$AD:$AD)</f>
        <v>0</v>
      </c>
      <c r="E25" s="1356"/>
      <c r="F25" s="1356"/>
      <c r="G25" s="1356"/>
      <c r="H25" s="1356"/>
      <c r="I25" s="1356">
        <f>SUMIFS(Sheet1!S71_AdjustmentAmount,Sheet1!S71_SA34dCode,$AC:$AC,Sheet1!S71_DepCode,$AD:$AD)</f>
        <v>0</v>
      </c>
      <c r="J25" s="75">
        <f t="shared" si="1"/>
        <v>0</v>
      </c>
      <c r="K25" s="75">
        <f t="shared" si="3"/>
        <v>0</v>
      </c>
      <c r="L25" s="1356">
        <f>SUMIFS(Sheet1!S71_OY1AdjustedBudget,Sheet1!S71_SA34dCode,$AC:$AC,Sheet1!S71_DepCode,$AD:$AD)</f>
        <v>0</v>
      </c>
      <c r="M25" s="1357">
        <f>SUMIFS(Sheet1!S71_OY2AdjustedBudget,Sheet1!S71_SA34dCode,$AC:$AC,Sheet1!S71_DepCode,$AD:$AD)</f>
        <v>0</v>
      </c>
      <c r="N25" s="842"/>
      <c r="AC25" s="1336" t="s">
        <v>1870</v>
      </c>
      <c r="AD25" s="1336" t="s">
        <v>1907</v>
      </c>
    </row>
    <row r="26" spans="1:30" ht="12.75" customHeight="1" x14ac:dyDescent="0.25">
      <c r="A26" s="585" t="s">
        <v>1584</v>
      </c>
      <c r="B26" s="73"/>
      <c r="C26" s="1356">
        <f>SUMIFS(Sheet1!S71_OriginalBudget,Sheet1!S71_SA34dCode,$AC:$AC,Sheet1!S71_DepCode,$AD:$AD)</f>
        <v>0</v>
      </c>
      <c r="D26" s="1356">
        <f>SUMIFS(Sheet1!S71_SpecialAdjustedBudget,Sheet1!S71_SA34dCode,$AC:$AC,Sheet1!S71_DepCode,$AD:$AD)</f>
        <v>0</v>
      </c>
      <c r="E26" s="1356"/>
      <c r="F26" s="1356"/>
      <c r="G26" s="1356"/>
      <c r="H26" s="1356"/>
      <c r="I26" s="1356">
        <f>SUMIFS(Sheet1!S71_AdjustmentAmount,Sheet1!S71_SA34dCode,$AC:$AC,Sheet1!S71_DepCode,$AD:$AD)</f>
        <v>0</v>
      </c>
      <c r="J26" s="75">
        <f t="shared" si="1"/>
        <v>0</v>
      </c>
      <c r="K26" s="75">
        <f t="shared" si="3"/>
        <v>0</v>
      </c>
      <c r="L26" s="1356">
        <f>SUMIFS(Sheet1!S71_OY1AdjustedBudget,Sheet1!S71_SA34dCode,$AC:$AC,Sheet1!S71_DepCode,$AD:$AD)</f>
        <v>0</v>
      </c>
      <c r="M26" s="1357">
        <f>SUMIFS(Sheet1!S71_OY2AdjustedBudget,Sheet1!S71_SA34dCode,$AC:$AC,Sheet1!S71_DepCode,$AD:$AD)</f>
        <v>0</v>
      </c>
      <c r="N26" s="837"/>
      <c r="AC26" s="1336" t="s">
        <v>1871</v>
      </c>
      <c r="AD26" s="1336" t="s">
        <v>1907</v>
      </c>
    </row>
    <row r="27" spans="1:30" ht="12.75" customHeight="1" x14ac:dyDescent="0.25">
      <c r="A27" s="585" t="s">
        <v>1571</v>
      </c>
      <c r="B27" s="73"/>
      <c r="C27" s="1356">
        <f>SUMIFS(Sheet1!S71_OriginalBudget,Sheet1!S71_SA34dCode,$AC:$AC,Sheet1!S71_DepCode,$AD:$AD)</f>
        <v>0</v>
      </c>
      <c r="D27" s="1356">
        <f>SUMIFS(Sheet1!S71_SpecialAdjustedBudget,Sheet1!S71_SA34dCode,$AC:$AC,Sheet1!S71_DepCode,$AD:$AD)</f>
        <v>0</v>
      </c>
      <c r="E27" s="1356"/>
      <c r="F27" s="1356"/>
      <c r="G27" s="1356"/>
      <c r="H27" s="1356"/>
      <c r="I27" s="1356">
        <f>SUMIFS(Sheet1!S71_AdjustmentAmount,Sheet1!S71_SA34dCode,$AC:$AC,Sheet1!S71_DepCode,$AD:$AD)</f>
        <v>0</v>
      </c>
      <c r="J27" s="75">
        <f t="shared" si="1"/>
        <v>0</v>
      </c>
      <c r="K27" s="75">
        <f t="shared" si="3"/>
        <v>0</v>
      </c>
      <c r="L27" s="1356">
        <f>SUMIFS(Sheet1!S71_OY1AdjustedBudget,Sheet1!S71_SA34dCode,$AC:$AC,Sheet1!S71_DepCode,$AD:$AD)</f>
        <v>0</v>
      </c>
      <c r="M27" s="1357">
        <f>SUMIFS(Sheet1!S71_OY2AdjustedBudget,Sheet1!S71_SA34dCode,$AC:$AC,Sheet1!S71_DepCode,$AD:$AD)</f>
        <v>0</v>
      </c>
      <c r="N27" s="842"/>
      <c r="AC27" s="1336" t="s">
        <v>1911</v>
      </c>
      <c r="AD27" s="1336" t="s">
        <v>1907</v>
      </c>
    </row>
    <row r="28" spans="1:30" ht="12.75" customHeight="1" x14ac:dyDescent="0.25">
      <c r="A28" s="586" t="s">
        <v>1585</v>
      </c>
      <c r="B28" s="73"/>
      <c r="C28" s="130">
        <f t="shared" ref="C28:M28" si="6">SUM(C29:C38)</f>
        <v>0</v>
      </c>
      <c r="D28" s="130">
        <f t="shared" si="6"/>
        <v>0</v>
      </c>
      <c r="E28" s="130">
        <f t="shared" si="6"/>
        <v>0</v>
      </c>
      <c r="F28" s="130">
        <f t="shared" si="6"/>
        <v>0</v>
      </c>
      <c r="G28" s="130">
        <f t="shared" si="6"/>
        <v>0</v>
      </c>
      <c r="H28" s="130">
        <f t="shared" si="6"/>
        <v>0</v>
      </c>
      <c r="I28" s="130">
        <f t="shared" si="6"/>
        <v>0</v>
      </c>
      <c r="J28" s="75">
        <f t="shared" si="1"/>
        <v>0</v>
      </c>
      <c r="K28" s="75">
        <f t="shared" si="3"/>
        <v>0</v>
      </c>
      <c r="L28" s="130">
        <f t="shared" si="6"/>
        <v>0</v>
      </c>
      <c r="M28" s="131">
        <f t="shared" si="6"/>
        <v>0</v>
      </c>
      <c r="N28" s="842"/>
      <c r="AD28" s="1336" t="s">
        <v>1907</v>
      </c>
    </row>
    <row r="29" spans="1:30" ht="12.75" customHeight="1" x14ac:dyDescent="0.25">
      <c r="A29" s="585" t="s">
        <v>1586</v>
      </c>
      <c r="B29" s="73"/>
      <c r="C29" s="1356">
        <f>SUMIFS(Sheet1!S71_OriginalBudget,Sheet1!S71_SA34dCode,$AC:$AC,Sheet1!S71_DepCode,$AD:$AD)</f>
        <v>0</v>
      </c>
      <c r="D29" s="1356">
        <f>SUMIFS(Sheet1!S71_SpecialAdjustedBudget,Sheet1!S71_SA34dCode,$AC:$AC,Sheet1!S71_DepCode,$AD:$AD)</f>
        <v>0</v>
      </c>
      <c r="E29" s="1356"/>
      <c r="F29" s="1356"/>
      <c r="G29" s="1356"/>
      <c r="H29" s="1356"/>
      <c r="I29" s="1356">
        <f>SUMIFS(Sheet1!S71_AdjustmentAmount,Sheet1!S71_SA34dCode,$AC:$AC,Sheet1!S71_DepCode,$AD:$AD)</f>
        <v>0</v>
      </c>
      <c r="J29" s="75">
        <f t="shared" si="1"/>
        <v>0</v>
      </c>
      <c r="K29" s="75">
        <f t="shared" si="3"/>
        <v>0</v>
      </c>
      <c r="L29" s="1356">
        <f>SUMIFS(Sheet1!S71_OY1AdjustedBudget,Sheet1!S71_SA34dCode,$AC:$AC,Sheet1!S71_DepCode,$AD:$AD)</f>
        <v>0</v>
      </c>
      <c r="M29" s="1357">
        <f>SUMIFS(Sheet1!S71_OY2AdjustedBudget,Sheet1!S71_SA34dCode,$AC:$AC,Sheet1!S71_DepCode,$AD:$AD)</f>
        <v>0</v>
      </c>
      <c r="N29" s="842"/>
      <c r="AC29" s="1336" t="s">
        <v>1912</v>
      </c>
      <c r="AD29" s="1336" t="s">
        <v>1907</v>
      </c>
    </row>
    <row r="30" spans="1:30" ht="12.6" customHeight="1" x14ac:dyDescent="0.25">
      <c r="A30" s="585" t="s">
        <v>1587</v>
      </c>
      <c r="B30" s="73"/>
      <c r="C30" s="1356">
        <f>SUMIFS(Sheet1!S71_OriginalBudget,Sheet1!S71_SA34dCode,$AC:$AC,Sheet1!S71_DepCode,$AD:$AD)</f>
        <v>0</v>
      </c>
      <c r="D30" s="1356">
        <f>SUMIFS(Sheet1!S71_SpecialAdjustedBudget,Sheet1!S71_SA34dCode,$AC:$AC,Sheet1!S71_DepCode,$AD:$AD)</f>
        <v>0</v>
      </c>
      <c r="E30" s="1356"/>
      <c r="F30" s="1356"/>
      <c r="G30" s="1356"/>
      <c r="H30" s="1356"/>
      <c r="I30" s="1356">
        <f>SUMIFS(Sheet1!S71_AdjustmentAmount,Sheet1!S71_SA34dCode,$AC:$AC,Sheet1!S71_DepCode,$AD:$AD)</f>
        <v>0</v>
      </c>
      <c r="J30" s="75">
        <f t="shared" si="1"/>
        <v>0</v>
      </c>
      <c r="K30" s="75">
        <f t="shared" si="3"/>
        <v>0</v>
      </c>
      <c r="L30" s="1356">
        <f>SUMIFS(Sheet1!S71_OY1AdjustedBudget,Sheet1!S71_SA34dCode,$AC:$AC,Sheet1!S71_DepCode,$AD:$AD)</f>
        <v>0</v>
      </c>
      <c r="M30" s="1357">
        <f>SUMIFS(Sheet1!S71_OY2AdjustedBudget,Sheet1!S71_SA34dCode,$AC:$AC,Sheet1!S71_DepCode,$AD:$AD)</f>
        <v>0</v>
      </c>
      <c r="N30" s="842"/>
      <c r="AC30" s="1336" t="s">
        <v>1913</v>
      </c>
      <c r="AD30" s="1336" t="s">
        <v>1907</v>
      </c>
    </row>
    <row r="31" spans="1:30" ht="12.75" customHeight="1" x14ac:dyDescent="0.25">
      <c r="A31" s="585" t="s">
        <v>1588</v>
      </c>
      <c r="B31" s="73"/>
      <c r="C31" s="1356">
        <f>SUMIFS(Sheet1!S71_OriginalBudget,Sheet1!S71_SA34dCode,$AC:$AC,Sheet1!S71_DepCode,$AD:$AD)</f>
        <v>0</v>
      </c>
      <c r="D31" s="1356">
        <f>SUMIFS(Sheet1!S71_SpecialAdjustedBudget,Sheet1!S71_SA34dCode,$AC:$AC,Sheet1!S71_DepCode,$AD:$AD)</f>
        <v>0</v>
      </c>
      <c r="E31" s="1356"/>
      <c r="F31" s="1356"/>
      <c r="G31" s="1356"/>
      <c r="H31" s="1356"/>
      <c r="I31" s="1356">
        <f>SUMIFS(Sheet1!S71_AdjustmentAmount,Sheet1!S71_SA34dCode,$AC:$AC,Sheet1!S71_DepCode,$AD:$AD)</f>
        <v>0</v>
      </c>
      <c r="J31" s="75">
        <f t="shared" si="1"/>
        <v>0</v>
      </c>
      <c r="K31" s="75">
        <f t="shared" si="3"/>
        <v>0</v>
      </c>
      <c r="L31" s="1356">
        <f>SUMIFS(Sheet1!S71_OY1AdjustedBudget,Sheet1!S71_SA34dCode,$AC:$AC,Sheet1!S71_DepCode,$AD:$AD)</f>
        <v>0</v>
      </c>
      <c r="M31" s="1357">
        <f>SUMIFS(Sheet1!S71_OY2AdjustedBudget,Sheet1!S71_SA34dCode,$AC:$AC,Sheet1!S71_DepCode,$AD:$AD)</f>
        <v>0</v>
      </c>
      <c r="N31" s="842"/>
      <c r="AC31" s="1336" t="s">
        <v>1872</v>
      </c>
      <c r="AD31" s="1336" t="s">
        <v>1907</v>
      </c>
    </row>
    <row r="32" spans="1:30" ht="12.75" customHeight="1" x14ac:dyDescent="0.25">
      <c r="A32" s="585" t="s">
        <v>1589</v>
      </c>
      <c r="B32" s="73"/>
      <c r="C32" s="1356">
        <f>SUMIFS(Sheet1!S71_OriginalBudget,Sheet1!S71_SA34dCode,$AC:$AC,Sheet1!S71_DepCode,$AD:$AD)</f>
        <v>0</v>
      </c>
      <c r="D32" s="1356">
        <f>SUMIFS(Sheet1!S71_SpecialAdjustedBudget,Sheet1!S71_SA34dCode,$AC:$AC,Sheet1!S71_DepCode,$AD:$AD)</f>
        <v>0</v>
      </c>
      <c r="E32" s="1356"/>
      <c r="F32" s="1356"/>
      <c r="G32" s="1356"/>
      <c r="H32" s="1356"/>
      <c r="I32" s="1356">
        <f>SUMIFS(Sheet1!S71_AdjustmentAmount,Sheet1!S71_SA34dCode,$AC:$AC,Sheet1!S71_DepCode,$AD:$AD)</f>
        <v>0</v>
      </c>
      <c r="J32" s="75">
        <f t="shared" si="1"/>
        <v>0</v>
      </c>
      <c r="K32" s="75">
        <f t="shared" si="3"/>
        <v>0</v>
      </c>
      <c r="L32" s="1356">
        <f>SUMIFS(Sheet1!S71_OY1AdjustedBudget,Sheet1!S71_SA34dCode,$AC:$AC,Sheet1!S71_DepCode,$AD:$AD)</f>
        <v>0</v>
      </c>
      <c r="M32" s="1357">
        <f>SUMIFS(Sheet1!S71_OY2AdjustedBudget,Sheet1!S71_SA34dCode,$AC:$AC,Sheet1!S71_DepCode,$AD:$AD)</f>
        <v>0</v>
      </c>
      <c r="N32" s="837"/>
      <c r="AC32" s="1336" t="s">
        <v>1873</v>
      </c>
      <c r="AD32" s="1336" t="s">
        <v>1907</v>
      </c>
    </row>
    <row r="33" spans="1:30" ht="12.75" customHeight="1" x14ac:dyDescent="0.25">
      <c r="A33" s="585" t="s">
        <v>1590</v>
      </c>
      <c r="B33" s="73"/>
      <c r="C33" s="1356">
        <f>SUMIFS(Sheet1!S71_OriginalBudget,Sheet1!S71_SA34dCode,$AC:$AC,Sheet1!S71_DepCode,$AD:$AD)</f>
        <v>0</v>
      </c>
      <c r="D33" s="1356">
        <f>SUMIFS(Sheet1!S71_SpecialAdjustedBudget,Sheet1!S71_SA34dCode,$AC:$AC,Sheet1!S71_DepCode,$AD:$AD)</f>
        <v>0</v>
      </c>
      <c r="E33" s="1356"/>
      <c r="F33" s="1356"/>
      <c r="G33" s="1356"/>
      <c r="H33" s="1356"/>
      <c r="I33" s="1356">
        <f>SUMIFS(Sheet1!S71_AdjustmentAmount,Sheet1!S71_SA34dCode,$AC:$AC,Sheet1!S71_DepCode,$AD:$AD)</f>
        <v>0</v>
      </c>
      <c r="J33" s="75">
        <f t="shared" si="1"/>
        <v>0</v>
      </c>
      <c r="K33" s="75">
        <f t="shared" si="3"/>
        <v>0</v>
      </c>
      <c r="L33" s="1356">
        <f>SUMIFS(Sheet1!S71_OY1AdjustedBudget,Sheet1!S71_SA34dCode,$AC:$AC,Sheet1!S71_DepCode,$AD:$AD)</f>
        <v>0</v>
      </c>
      <c r="M33" s="1357">
        <f>SUMIFS(Sheet1!S71_OY2AdjustedBudget,Sheet1!S71_SA34dCode,$AC:$AC,Sheet1!S71_DepCode,$AD:$AD)</f>
        <v>0</v>
      </c>
      <c r="N33" s="842"/>
      <c r="AC33" s="1336" t="s">
        <v>1874</v>
      </c>
      <c r="AD33" s="1336" t="s">
        <v>1907</v>
      </c>
    </row>
    <row r="34" spans="1:30" ht="12.75" customHeight="1" x14ac:dyDescent="0.25">
      <c r="A34" s="585" t="s">
        <v>1591</v>
      </c>
      <c r="B34" s="73"/>
      <c r="C34" s="1356">
        <f>SUMIFS(Sheet1!S71_OriginalBudget,Sheet1!S71_SA34dCode,$AC:$AC,Sheet1!S71_DepCode,$AD:$AD)</f>
        <v>0</v>
      </c>
      <c r="D34" s="1356">
        <f>SUMIFS(Sheet1!S71_SpecialAdjustedBudget,Sheet1!S71_SA34dCode,$AC:$AC,Sheet1!S71_DepCode,$AD:$AD)</f>
        <v>0</v>
      </c>
      <c r="E34" s="1356"/>
      <c r="F34" s="1356"/>
      <c r="G34" s="1356"/>
      <c r="H34" s="1356"/>
      <c r="I34" s="1356">
        <f>SUMIFS(Sheet1!S71_AdjustmentAmount,Sheet1!S71_SA34dCode,$AC:$AC,Sheet1!S71_DepCode,$AD:$AD)</f>
        <v>0</v>
      </c>
      <c r="J34" s="75">
        <f t="shared" si="1"/>
        <v>0</v>
      </c>
      <c r="K34" s="75">
        <f t="shared" si="3"/>
        <v>0</v>
      </c>
      <c r="L34" s="1356">
        <f>SUMIFS(Sheet1!S71_OY1AdjustedBudget,Sheet1!S71_SA34dCode,$AC:$AC,Sheet1!S71_DepCode,$AD:$AD)</f>
        <v>0</v>
      </c>
      <c r="M34" s="1357">
        <f>SUMIFS(Sheet1!S71_OY2AdjustedBudget,Sheet1!S71_SA34dCode,$AC:$AC,Sheet1!S71_DepCode,$AD:$AD)</f>
        <v>0</v>
      </c>
      <c r="N34" s="837"/>
      <c r="AC34" s="1336" t="s">
        <v>1875</v>
      </c>
      <c r="AD34" s="1336" t="s">
        <v>1907</v>
      </c>
    </row>
    <row r="35" spans="1:30" ht="12.75" customHeight="1" x14ac:dyDescent="0.25">
      <c r="A35" s="585" t="s">
        <v>1592</v>
      </c>
      <c r="B35" s="73"/>
      <c r="C35" s="1356">
        <f>SUMIFS(Sheet1!S71_OriginalBudget,Sheet1!S71_SA34dCode,$AC:$AC,Sheet1!S71_DepCode,$AD:$AD)</f>
        <v>0</v>
      </c>
      <c r="D35" s="1356">
        <f>SUMIFS(Sheet1!S71_SpecialAdjustedBudget,Sheet1!S71_SA34dCode,$AC:$AC,Sheet1!S71_DepCode,$AD:$AD)</f>
        <v>0</v>
      </c>
      <c r="E35" s="1356"/>
      <c r="F35" s="1356"/>
      <c r="G35" s="1356"/>
      <c r="H35" s="1356"/>
      <c r="I35" s="1356">
        <f>SUMIFS(Sheet1!S71_AdjustmentAmount,Sheet1!S71_SA34dCode,$AC:$AC,Sheet1!S71_DepCode,$AD:$AD)</f>
        <v>0</v>
      </c>
      <c r="J35" s="75">
        <f t="shared" si="1"/>
        <v>0</v>
      </c>
      <c r="K35" s="75">
        <f t="shared" si="3"/>
        <v>0</v>
      </c>
      <c r="L35" s="1356">
        <f>SUMIFS(Sheet1!S71_OY1AdjustedBudget,Sheet1!S71_SA34dCode,$AC:$AC,Sheet1!S71_DepCode,$AD:$AD)</f>
        <v>0</v>
      </c>
      <c r="M35" s="1357">
        <f>SUMIFS(Sheet1!S71_OY2AdjustedBudget,Sheet1!S71_SA34dCode,$AC:$AC,Sheet1!S71_DepCode,$AD:$AD)</f>
        <v>0</v>
      </c>
      <c r="N35" s="842"/>
      <c r="AC35" s="1336" t="s">
        <v>1876</v>
      </c>
      <c r="AD35" s="1336" t="s">
        <v>1907</v>
      </c>
    </row>
    <row r="36" spans="1:30" ht="12.75" customHeight="1" x14ac:dyDescent="0.25">
      <c r="A36" s="585" t="s">
        <v>1593</v>
      </c>
      <c r="B36" s="73"/>
      <c r="C36" s="1356">
        <f>SUMIFS(Sheet1!S71_OriginalBudget,Sheet1!S71_SA34dCode,$AC:$AC,Sheet1!S71_DepCode,$AD:$AD)</f>
        <v>0</v>
      </c>
      <c r="D36" s="1356">
        <f>SUMIFS(Sheet1!S71_SpecialAdjustedBudget,Sheet1!S71_SA34dCode,$AC:$AC,Sheet1!S71_DepCode,$AD:$AD)</f>
        <v>0</v>
      </c>
      <c r="E36" s="1356"/>
      <c r="F36" s="1356"/>
      <c r="G36" s="1356"/>
      <c r="H36" s="1356"/>
      <c r="I36" s="1356">
        <f>SUMIFS(Sheet1!S71_AdjustmentAmount,Sheet1!S71_SA34dCode,$AC:$AC,Sheet1!S71_DepCode,$AD:$AD)</f>
        <v>0</v>
      </c>
      <c r="J36" s="75">
        <f t="shared" si="1"/>
        <v>0</v>
      </c>
      <c r="K36" s="75">
        <f t="shared" si="3"/>
        <v>0</v>
      </c>
      <c r="L36" s="1356">
        <f>SUMIFS(Sheet1!S71_OY1AdjustedBudget,Sheet1!S71_SA34dCode,$AC:$AC,Sheet1!S71_DepCode,$AD:$AD)</f>
        <v>0</v>
      </c>
      <c r="M36" s="1357">
        <f>SUMIFS(Sheet1!S71_OY2AdjustedBudget,Sheet1!S71_SA34dCode,$AC:$AC,Sheet1!S71_DepCode,$AD:$AD)</f>
        <v>0</v>
      </c>
      <c r="N36" s="837"/>
      <c r="AC36" s="1336" t="s">
        <v>1914</v>
      </c>
      <c r="AD36" s="1336" t="s">
        <v>1907</v>
      </c>
    </row>
    <row r="37" spans="1:30" ht="12.75" customHeight="1" x14ac:dyDescent="0.25">
      <c r="A37" s="585" t="s">
        <v>1594</v>
      </c>
      <c r="B37" s="73"/>
      <c r="C37" s="1356">
        <f>SUMIFS(Sheet1!S71_OriginalBudget,Sheet1!S71_SA34dCode,$AC:$AC,Sheet1!S71_DepCode,$AD:$AD)</f>
        <v>0</v>
      </c>
      <c r="D37" s="1356">
        <f>SUMIFS(Sheet1!S71_SpecialAdjustedBudget,Sheet1!S71_SA34dCode,$AC:$AC,Sheet1!S71_DepCode,$AD:$AD)</f>
        <v>0</v>
      </c>
      <c r="E37" s="1356"/>
      <c r="F37" s="1356"/>
      <c r="G37" s="1356"/>
      <c r="H37" s="1356"/>
      <c r="I37" s="1356">
        <f>SUMIFS(Sheet1!S71_AdjustmentAmount,Sheet1!S71_SA34dCode,$AC:$AC,Sheet1!S71_DepCode,$AD:$AD)</f>
        <v>0</v>
      </c>
      <c r="J37" s="75">
        <f t="shared" si="1"/>
        <v>0</v>
      </c>
      <c r="K37" s="75">
        <f t="shared" si="3"/>
        <v>0</v>
      </c>
      <c r="L37" s="1356">
        <f>SUMIFS(Sheet1!S71_OY1AdjustedBudget,Sheet1!S71_SA34dCode,$AC:$AC,Sheet1!S71_DepCode,$AD:$AD)</f>
        <v>0</v>
      </c>
      <c r="M37" s="1357">
        <f>SUMIFS(Sheet1!S71_OY2AdjustedBudget,Sheet1!S71_SA34dCode,$AC:$AC,Sheet1!S71_DepCode,$AD:$AD)</f>
        <v>0</v>
      </c>
      <c r="N37" s="842"/>
      <c r="AC37" s="1336" t="s">
        <v>1915</v>
      </c>
      <c r="AD37" s="1336" t="s">
        <v>1907</v>
      </c>
    </row>
    <row r="38" spans="1:30" ht="12.75" customHeight="1" x14ac:dyDescent="0.25">
      <c r="A38" s="585" t="s">
        <v>1571</v>
      </c>
      <c r="B38" s="73"/>
      <c r="C38" s="1356">
        <f>SUMIFS(Sheet1!S71_OriginalBudget,Sheet1!S71_SA34dCode,$AC:$AC,Sheet1!S71_DepCode,$AD:$AD)</f>
        <v>0</v>
      </c>
      <c r="D38" s="1356">
        <f>SUMIFS(Sheet1!S71_SpecialAdjustedBudget,Sheet1!S71_SA34dCode,$AC:$AC,Sheet1!S71_DepCode,$AD:$AD)</f>
        <v>0</v>
      </c>
      <c r="E38" s="1356"/>
      <c r="F38" s="1356"/>
      <c r="G38" s="1356"/>
      <c r="H38" s="1356"/>
      <c r="I38" s="1356">
        <f>SUMIFS(Sheet1!S71_AdjustmentAmount,Sheet1!S71_SA34dCode,$AC:$AC,Sheet1!S71_DepCode,$AD:$AD)</f>
        <v>0</v>
      </c>
      <c r="J38" s="75">
        <f t="shared" si="1"/>
        <v>0</v>
      </c>
      <c r="K38" s="75">
        <f t="shared" si="3"/>
        <v>0</v>
      </c>
      <c r="L38" s="1356">
        <f>SUMIFS(Sheet1!S71_OY1AdjustedBudget,Sheet1!S71_SA34dCode,$AC:$AC,Sheet1!S71_DepCode,$AD:$AD)</f>
        <v>0</v>
      </c>
      <c r="M38" s="1357">
        <f>SUMIFS(Sheet1!S71_OY2AdjustedBudget,Sheet1!S71_SA34dCode,$AC:$AC,Sheet1!S71_DepCode,$AD:$AD)</f>
        <v>0</v>
      </c>
      <c r="N38" s="842"/>
      <c r="AC38" s="1336" t="s">
        <v>1816</v>
      </c>
      <c r="AD38" s="1336" t="s">
        <v>1907</v>
      </c>
    </row>
    <row r="39" spans="1:30" ht="12.75" customHeight="1" x14ac:dyDescent="0.25">
      <c r="A39" s="586" t="s">
        <v>1595</v>
      </c>
      <c r="B39" s="73"/>
      <c r="C39" s="1110">
        <f>SUM(C40:C45)</f>
        <v>0</v>
      </c>
      <c r="D39" s="130">
        <f t="shared" ref="D39:M39" si="7">SUM(D40:D45)</f>
        <v>0</v>
      </c>
      <c r="E39" s="130">
        <f t="shared" si="7"/>
        <v>0</v>
      </c>
      <c r="F39" s="130">
        <f t="shared" si="7"/>
        <v>0</v>
      </c>
      <c r="G39" s="130">
        <f t="shared" si="7"/>
        <v>0</v>
      </c>
      <c r="H39" s="130">
        <f t="shared" si="7"/>
        <v>0</v>
      </c>
      <c r="I39" s="130">
        <f t="shared" si="7"/>
        <v>0</v>
      </c>
      <c r="J39" s="75">
        <f t="shared" si="1"/>
        <v>0</v>
      </c>
      <c r="K39" s="75">
        <f t="shared" si="3"/>
        <v>0</v>
      </c>
      <c r="L39" s="130">
        <f t="shared" si="7"/>
        <v>0</v>
      </c>
      <c r="M39" s="131">
        <f t="shared" si="7"/>
        <v>0</v>
      </c>
      <c r="N39" s="126"/>
      <c r="AD39" s="1336" t="s">
        <v>1907</v>
      </c>
    </row>
    <row r="40" spans="1:30" ht="12.75" customHeight="1" x14ac:dyDescent="0.25">
      <c r="A40" s="585" t="s">
        <v>1596</v>
      </c>
      <c r="B40" s="73"/>
      <c r="C40" s="1356">
        <f>SUMIFS(Sheet1!S71_OriginalBudget,Sheet1!S71_SA34dCode,$AC:$AC,Sheet1!S71_DepCode,$AD:$AD)</f>
        <v>0</v>
      </c>
      <c r="D40" s="1356">
        <f>SUMIFS(Sheet1!S71_SpecialAdjustedBudget,Sheet1!S71_SA34dCode,$AC:$AC,Sheet1!S71_DepCode,$AD:$AD)</f>
        <v>0</v>
      </c>
      <c r="E40" s="1356"/>
      <c r="F40" s="1356"/>
      <c r="G40" s="1356"/>
      <c r="H40" s="1356"/>
      <c r="I40" s="1356">
        <f>SUMIFS(Sheet1!S71_AdjustmentAmount,Sheet1!S71_SA34dCode,$AC:$AC,Sheet1!S71_DepCode,$AD:$AD)</f>
        <v>0</v>
      </c>
      <c r="J40" s="75">
        <f t="shared" ref="J40:J71" si="8">SUM(E40:I40)</f>
        <v>0</v>
      </c>
      <c r="K40" s="75">
        <f t="shared" si="3"/>
        <v>0</v>
      </c>
      <c r="L40" s="1356">
        <f>SUMIFS(Sheet1!S71_OY1AdjustedBudget,Sheet1!S71_SA34dCode,$AC:$AC,Sheet1!S71_DepCode,$AD:$AD)</f>
        <v>0</v>
      </c>
      <c r="M40" s="1357">
        <f>SUMIFS(Sheet1!S71_OY2AdjustedBudget,Sheet1!S71_SA34dCode,$AC:$AC,Sheet1!S71_DepCode,$AD:$AD)</f>
        <v>0</v>
      </c>
      <c r="N40" s="837"/>
      <c r="AC40" s="1336" t="s">
        <v>1916</v>
      </c>
      <c r="AD40" s="1336" t="s">
        <v>1907</v>
      </c>
    </row>
    <row r="41" spans="1:30" ht="12.75" customHeight="1" x14ac:dyDescent="0.25">
      <c r="A41" s="585" t="s">
        <v>487</v>
      </c>
      <c r="B41" s="73"/>
      <c r="C41" s="1356">
        <f>SUMIFS(Sheet1!S71_OriginalBudget,Sheet1!S71_SA34dCode,$AC:$AC,Sheet1!S71_DepCode,$AD:$AD)</f>
        <v>0</v>
      </c>
      <c r="D41" s="1356">
        <f>SUMIFS(Sheet1!S71_SpecialAdjustedBudget,Sheet1!S71_SA34dCode,$AC:$AC,Sheet1!S71_DepCode,$AD:$AD)</f>
        <v>0</v>
      </c>
      <c r="E41" s="1356"/>
      <c r="F41" s="1356"/>
      <c r="G41" s="1356"/>
      <c r="H41" s="1356"/>
      <c r="I41" s="1356">
        <f>SUMIFS(Sheet1!S71_AdjustmentAmount,Sheet1!S71_SA34dCode,$AC:$AC,Sheet1!S71_DepCode,$AD:$AD)</f>
        <v>0</v>
      </c>
      <c r="J41" s="75">
        <f t="shared" si="8"/>
        <v>0</v>
      </c>
      <c r="K41" s="75">
        <f t="shared" si="3"/>
        <v>0</v>
      </c>
      <c r="L41" s="1356">
        <f>SUMIFS(Sheet1!S71_OY1AdjustedBudget,Sheet1!S71_SA34dCode,$AC:$AC,Sheet1!S71_DepCode,$AD:$AD)</f>
        <v>0</v>
      </c>
      <c r="M41" s="1357">
        <f>SUMIFS(Sheet1!S71_OY2AdjustedBudget,Sheet1!S71_SA34dCode,$AC:$AC,Sheet1!S71_DepCode,$AD:$AD)</f>
        <v>0</v>
      </c>
      <c r="N41" s="837"/>
      <c r="AC41" s="1336" t="s">
        <v>1917</v>
      </c>
      <c r="AD41" s="1336" t="s">
        <v>1907</v>
      </c>
    </row>
    <row r="42" spans="1:30" ht="12.75" customHeight="1" x14ac:dyDescent="0.25">
      <c r="A42" s="585" t="s">
        <v>1597</v>
      </c>
      <c r="B42" s="73"/>
      <c r="C42" s="1356">
        <f>SUMIFS(Sheet1!S71_OriginalBudget,Sheet1!S71_SA34dCode,$AC:$AC,Sheet1!S71_DepCode,$AD:$AD)</f>
        <v>0</v>
      </c>
      <c r="D42" s="1356">
        <f>SUMIFS(Sheet1!S71_SpecialAdjustedBudget,Sheet1!S71_SA34dCode,$AC:$AC,Sheet1!S71_DepCode,$AD:$AD)</f>
        <v>0</v>
      </c>
      <c r="E42" s="1356"/>
      <c r="F42" s="1356"/>
      <c r="G42" s="1356"/>
      <c r="H42" s="1356"/>
      <c r="I42" s="1356">
        <f>SUMIFS(Sheet1!S71_AdjustmentAmount,Sheet1!S71_SA34dCode,$AC:$AC,Sheet1!S71_DepCode,$AD:$AD)</f>
        <v>0</v>
      </c>
      <c r="J42" s="75">
        <f t="shared" si="8"/>
        <v>0</v>
      </c>
      <c r="K42" s="75">
        <f t="shared" si="3"/>
        <v>0</v>
      </c>
      <c r="L42" s="1356">
        <f>SUMIFS(Sheet1!S71_OY1AdjustedBudget,Sheet1!S71_SA34dCode,$AC:$AC,Sheet1!S71_DepCode,$AD:$AD)</f>
        <v>0</v>
      </c>
      <c r="M42" s="1357">
        <f>SUMIFS(Sheet1!S71_OY2AdjustedBudget,Sheet1!S71_SA34dCode,$AC:$AC,Sheet1!S71_DepCode,$AD:$AD)</f>
        <v>0</v>
      </c>
      <c r="N42" s="842"/>
      <c r="AC42" s="1336" t="s">
        <v>1918</v>
      </c>
      <c r="AD42" s="1336" t="s">
        <v>1907</v>
      </c>
    </row>
    <row r="43" spans="1:30" ht="12.75" customHeight="1" x14ac:dyDescent="0.25">
      <c r="A43" s="585" t="s">
        <v>1598</v>
      </c>
      <c r="B43" s="73"/>
      <c r="C43" s="1356">
        <f>SUMIFS(Sheet1!S71_OriginalBudget,Sheet1!S71_SA34dCode,$AC:$AC,Sheet1!S71_DepCode,$AD:$AD)</f>
        <v>0</v>
      </c>
      <c r="D43" s="1356">
        <f>SUMIFS(Sheet1!S71_SpecialAdjustedBudget,Sheet1!S71_SA34dCode,$AC:$AC,Sheet1!S71_DepCode,$AD:$AD)</f>
        <v>0</v>
      </c>
      <c r="E43" s="1356"/>
      <c r="F43" s="1356"/>
      <c r="G43" s="1356"/>
      <c r="H43" s="1356"/>
      <c r="I43" s="1356">
        <f>SUMIFS(Sheet1!S71_AdjustmentAmount,Sheet1!S71_SA34dCode,$AC:$AC,Sheet1!S71_DepCode,$AD:$AD)</f>
        <v>0</v>
      </c>
      <c r="J43" s="75">
        <f t="shared" si="8"/>
        <v>0</v>
      </c>
      <c r="K43" s="75">
        <f t="shared" si="3"/>
        <v>0</v>
      </c>
      <c r="L43" s="1356">
        <f>SUMIFS(Sheet1!S71_OY1AdjustedBudget,Sheet1!S71_SA34dCode,$AC:$AC,Sheet1!S71_DepCode,$AD:$AD)</f>
        <v>0</v>
      </c>
      <c r="M43" s="1357">
        <f>SUMIFS(Sheet1!S71_OY2AdjustedBudget,Sheet1!S71_SA34dCode,$AC:$AC,Sheet1!S71_DepCode,$AD:$AD)</f>
        <v>0</v>
      </c>
      <c r="N43" s="842"/>
      <c r="AC43" s="1336" t="s">
        <v>1919</v>
      </c>
      <c r="AD43" s="1336" t="s">
        <v>1907</v>
      </c>
    </row>
    <row r="44" spans="1:30" ht="12.75" customHeight="1" x14ac:dyDescent="0.25">
      <c r="A44" s="585" t="s">
        <v>1599</v>
      </c>
      <c r="B44" s="73"/>
      <c r="C44" s="1356">
        <f>SUMIFS(Sheet1!S71_OriginalBudget,Sheet1!S71_SA34dCode,$AC:$AC,Sheet1!S71_DepCode,$AD:$AD)</f>
        <v>0</v>
      </c>
      <c r="D44" s="1356">
        <f>SUMIFS(Sheet1!S71_SpecialAdjustedBudget,Sheet1!S71_SA34dCode,$AC:$AC,Sheet1!S71_DepCode,$AD:$AD)</f>
        <v>0</v>
      </c>
      <c r="E44" s="1356"/>
      <c r="F44" s="1356"/>
      <c r="G44" s="1356"/>
      <c r="H44" s="1356"/>
      <c r="I44" s="1356">
        <f>SUMIFS(Sheet1!S71_AdjustmentAmount,Sheet1!S71_SA34dCode,$AC:$AC,Sheet1!S71_DepCode,$AD:$AD)</f>
        <v>0</v>
      </c>
      <c r="J44" s="75">
        <f t="shared" si="8"/>
        <v>0</v>
      </c>
      <c r="K44" s="75">
        <f t="shared" si="3"/>
        <v>0</v>
      </c>
      <c r="L44" s="1356">
        <f>SUMIFS(Sheet1!S71_OY1AdjustedBudget,Sheet1!S71_SA34dCode,$AC:$AC,Sheet1!S71_DepCode,$AD:$AD)</f>
        <v>0</v>
      </c>
      <c r="M44" s="1357">
        <f>SUMIFS(Sheet1!S71_OY2AdjustedBudget,Sheet1!S71_SA34dCode,$AC:$AC,Sheet1!S71_DepCode,$AD:$AD)</f>
        <v>0</v>
      </c>
      <c r="N44" s="837"/>
      <c r="AC44" s="1336" t="s">
        <v>1878</v>
      </c>
      <c r="AD44" s="1336" t="s">
        <v>1907</v>
      </c>
    </row>
    <row r="45" spans="1:30" ht="12.75" customHeight="1" x14ac:dyDescent="0.25">
      <c r="A45" s="585" t="s">
        <v>1571</v>
      </c>
      <c r="B45" s="73"/>
      <c r="C45" s="1356">
        <f>SUMIFS(Sheet1!S71_OriginalBudget,Sheet1!S71_SA34dCode,$AC:$AC,Sheet1!S71_DepCode,$AD:$AD)</f>
        <v>0</v>
      </c>
      <c r="D45" s="1356">
        <f>SUMIFS(Sheet1!S71_SpecialAdjustedBudget,Sheet1!S71_SA34dCode,$AC:$AC,Sheet1!S71_DepCode,$AD:$AD)</f>
        <v>0</v>
      </c>
      <c r="E45" s="1356"/>
      <c r="F45" s="1356"/>
      <c r="G45" s="1356"/>
      <c r="H45" s="1356"/>
      <c r="I45" s="1356">
        <f>SUMIFS(Sheet1!S71_AdjustmentAmount,Sheet1!S71_SA34dCode,$AC:$AC,Sheet1!S71_DepCode,$AD:$AD)</f>
        <v>0</v>
      </c>
      <c r="J45" s="75">
        <f t="shared" si="8"/>
        <v>0</v>
      </c>
      <c r="K45" s="75">
        <f t="shared" si="3"/>
        <v>0</v>
      </c>
      <c r="L45" s="1356">
        <f>SUMIFS(Sheet1!S71_OY1AdjustedBudget,Sheet1!S71_SA34dCode,$AC:$AC,Sheet1!S71_DepCode,$AD:$AD)</f>
        <v>0</v>
      </c>
      <c r="M45" s="1357">
        <f>SUMIFS(Sheet1!S71_OY2AdjustedBudget,Sheet1!S71_SA34dCode,$AC:$AC,Sheet1!S71_DepCode,$AD:$AD)</f>
        <v>0</v>
      </c>
      <c r="N45" s="842"/>
      <c r="AC45" s="1336" t="s">
        <v>1879</v>
      </c>
      <c r="AD45" s="1336" t="s">
        <v>1907</v>
      </c>
    </row>
    <row r="46" spans="1:30" ht="12.75" customHeight="1" x14ac:dyDescent="0.25">
      <c r="A46" s="586" t="s">
        <v>1600</v>
      </c>
      <c r="B46" s="73"/>
      <c r="C46" s="1110">
        <f>SUM(C47:C53)</f>
        <v>0</v>
      </c>
      <c r="D46" s="130">
        <f t="shared" ref="D46:M46" si="9">SUM(D47:D53)</f>
        <v>0</v>
      </c>
      <c r="E46" s="130">
        <f t="shared" si="9"/>
        <v>0</v>
      </c>
      <c r="F46" s="130">
        <f t="shared" si="9"/>
        <v>0</v>
      </c>
      <c r="G46" s="130">
        <f t="shared" si="9"/>
        <v>0</v>
      </c>
      <c r="H46" s="130">
        <f t="shared" si="9"/>
        <v>0</v>
      </c>
      <c r="I46" s="130">
        <f t="shared" si="9"/>
        <v>0</v>
      </c>
      <c r="J46" s="75">
        <f t="shared" si="8"/>
        <v>0</v>
      </c>
      <c r="K46" s="75">
        <f t="shared" si="3"/>
        <v>0</v>
      </c>
      <c r="L46" s="130">
        <f t="shared" si="9"/>
        <v>0</v>
      </c>
      <c r="M46" s="131">
        <f t="shared" si="9"/>
        <v>0</v>
      </c>
      <c r="N46" s="126"/>
      <c r="AD46" s="1336" t="s">
        <v>1907</v>
      </c>
    </row>
    <row r="47" spans="1:30" ht="12.75" customHeight="1" x14ac:dyDescent="0.25">
      <c r="A47" s="585" t="s">
        <v>1601</v>
      </c>
      <c r="B47" s="73"/>
      <c r="C47" s="1356">
        <f>SUMIFS(Sheet1!S71_OriginalBudget,Sheet1!S71_SA34dCode,$AC:$AC,Sheet1!S71_DepCode,$AD:$AD)</f>
        <v>0</v>
      </c>
      <c r="D47" s="1356">
        <f>SUMIFS(Sheet1!S71_SpecialAdjustedBudget,Sheet1!S71_SA34dCode,$AC:$AC,Sheet1!S71_DepCode,$AD:$AD)</f>
        <v>0</v>
      </c>
      <c r="E47" s="1356"/>
      <c r="F47" s="1356"/>
      <c r="G47" s="1356"/>
      <c r="H47" s="1356"/>
      <c r="I47" s="1356">
        <f>SUMIFS(Sheet1!S71_AdjustmentAmount,Sheet1!S71_SA34dCode,$AC:$AC,Sheet1!S71_DepCode,$AD:$AD)</f>
        <v>0</v>
      </c>
      <c r="J47" s="75">
        <f t="shared" si="8"/>
        <v>0</v>
      </c>
      <c r="K47" s="75">
        <f t="shared" si="3"/>
        <v>0</v>
      </c>
      <c r="L47" s="1356">
        <f>SUMIFS(Sheet1!S71_OY1AdjustedBudget,Sheet1!S71_SA34dCode,$AC:$AC,Sheet1!S71_DepCode,$AD:$AD)</f>
        <v>0</v>
      </c>
      <c r="M47" s="1357">
        <f>SUMIFS(Sheet1!S71_OY2AdjustedBudget,Sheet1!S71_SA34dCode,$AC:$AC,Sheet1!S71_DepCode,$AD:$AD)</f>
        <v>0</v>
      </c>
      <c r="N47" s="837"/>
      <c r="AC47" s="1336" t="s">
        <v>1920</v>
      </c>
      <c r="AD47" s="1336" t="s">
        <v>1907</v>
      </c>
    </row>
    <row r="48" spans="1:30" ht="12.75" customHeight="1" x14ac:dyDescent="0.25">
      <c r="A48" s="585" t="s">
        <v>1602</v>
      </c>
      <c r="B48" s="73"/>
      <c r="C48" s="1356">
        <f>SUMIFS(Sheet1!S71_OriginalBudget,Sheet1!S71_SA34dCode,$AC:$AC,Sheet1!S71_DepCode,$AD:$AD)</f>
        <v>0</v>
      </c>
      <c r="D48" s="1356">
        <f>SUMIFS(Sheet1!S71_SpecialAdjustedBudget,Sheet1!S71_SA34dCode,$AC:$AC,Sheet1!S71_DepCode,$AD:$AD)</f>
        <v>0</v>
      </c>
      <c r="E48" s="1356"/>
      <c r="F48" s="1356"/>
      <c r="G48" s="1356"/>
      <c r="H48" s="1356"/>
      <c r="I48" s="1356">
        <f>SUMIFS(Sheet1!S71_AdjustmentAmount,Sheet1!S71_SA34dCode,$AC:$AC,Sheet1!S71_DepCode,$AD:$AD)</f>
        <v>0</v>
      </c>
      <c r="J48" s="75">
        <f t="shared" si="8"/>
        <v>0</v>
      </c>
      <c r="K48" s="75">
        <f t="shared" si="3"/>
        <v>0</v>
      </c>
      <c r="L48" s="1356">
        <f>SUMIFS(Sheet1!S71_OY1AdjustedBudget,Sheet1!S71_SA34dCode,$AC:$AC,Sheet1!S71_DepCode,$AD:$AD)</f>
        <v>0</v>
      </c>
      <c r="M48" s="1357">
        <f>SUMIFS(Sheet1!S71_OY2AdjustedBudget,Sheet1!S71_SA34dCode,$AC:$AC,Sheet1!S71_DepCode,$AD:$AD)</f>
        <v>0</v>
      </c>
      <c r="N48" s="837"/>
      <c r="AC48" s="1336" t="s">
        <v>1817</v>
      </c>
      <c r="AD48" s="1336" t="s">
        <v>1907</v>
      </c>
    </row>
    <row r="49" spans="1:30" ht="12.75" customHeight="1" x14ac:dyDescent="0.25">
      <c r="A49" s="585" t="s">
        <v>1603</v>
      </c>
      <c r="B49" s="73"/>
      <c r="C49" s="1356">
        <f>SUMIFS(Sheet1!S71_OriginalBudget,Sheet1!S71_SA34dCode,$AC:$AC,Sheet1!S71_DepCode,$AD:$AD)</f>
        <v>0</v>
      </c>
      <c r="D49" s="1356">
        <f>SUMIFS(Sheet1!S71_SpecialAdjustedBudget,Sheet1!S71_SA34dCode,$AC:$AC,Sheet1!S71_DepCode,$AD:$AD)</f>
        <v>0</v>
      </c>
      <c r="E49" s="1356"/>
      <c r="F49" s="1356"/>
      <c r="G49" s="1356"/>
      <c r="H49" s="1356"/>
      <c r="I49" s="1356">
        <f>SUMIFS(Sheet1!S71_AdjustmentAmount,Sheet1!S71_SA34dCode,$AC:$AC,Sheet1!S71_DepCode,$AD:$AD)</f>
        <v>0</v>
      </c>
      <c r="J49" s="75">
        <f t="shared" si="8"/>
        <v>0</v>
      </c>
      <c r="K49" s="75">
        <f t="shared" si="3"/>
        <v>0</v>
      </c>
      <c r="L49" s="1356">
        <f>SUMIFS(Sheet1!S71_OY1AdjustedBudget,Sheet1!S71_SA34dCode,$AC:$AC,Sheet1!S71_DepCode,$AD:$AD)</f>
        <v>0</v>
      </c>
      <c r="M49" s="1357">
        <f>SUMIFS(Sheet1!S71_OY2AdjustedBudget,Sheet1!S71_SA34dCode,$AC:$AC,Sheet1!S71_DepCode,$AD:$AD)</f>
        <v>0</v>
      </c>
      <c r="N49" s="842"/>
      <c r="AC49" s="1336" t="s">
        <v>1921</v>
      </c>
      <c r="AD49" s="1336" t="s">
        <v>1907</v>
      </c>
    </row>
    <row r="50" spans="1:30" ht="12.75" customHeight="1" x14ac:dyDescent="0.25">
      <c r="A50" s="585" t="s">
        <v>1604</v>
      </c>
      <c r="B50" s="73"/>
      <c r="C50" s="1356">
        <f>SUMIFS(Sheet1!S71_OriginalBudget,Sheet1!S71_SA34dCode,$AC:$AC,Sheet1!S71_DepCode,$AD:$AD)</f>
        <v>0</v>
      </c>
      <c r="D50" s="1356">
        <f>SUMIFS(Sheet1!S71_SpecialAdjustedBudget,Sheet1!S71_SA34dCode,$AC:$AC,Sheet1!S71_DepCode,$AD:$AD)</f>
        <v>0</v>
      </c>
      <c r="E50" s="1356"/>
      <c r="F50" s="1356"/>
      <c r="G50" s="1356"/>
      <c r="H50" s="1356"/>
      <c r="I50" s="1356">
        <f>SUMIFS(Sheet1!S71_AdjustmentAmount,Sheet1!S71_SA34dCode,$AC:$AC,Sheet1!S71_DepCode,$AD:$AD)</f>
        <v>0</v>
      </c>
      <c r="J50" s="75">
        <f t="shared" si="8"/>
        <v>0</v>
      </c>
      <c r="K50" s="75">
        <f t="shared" si="3"/>
        <v>0</v>
      </c>
      <c r="L50" s="1356">
        <f>SUMIFS(Sheet1!S71_OY1AdjustedBudget,Sheet1!S71_SA34dCode,$AC:$AC,Sheet1!S71_DepCode,$AD:$AD)</f>
        <v>0</v>
      </c>
      <c r="M50" s="1357">
        <f>SUMIFS(Sheet1!S71_OY2AdjustedBudget,Sheet1!S71_SA34dCode,$AC:$AC,Sheet1!S71_DepCode,$AD:$AD)</f>
        <v>0</v>
      </c>
      <c r="N50" s="842"/>
      <c r="AC50" s="1336" t="s">
        <v>1922</v>
      </c>
      <c r="AD50" s="1336" t="s">
        <v>1907</v>
      </c>
    </row>
    <row r="51" spans="1:30" ht="12.75" customHeight="1" x14ac:dyDescent="0.25">
      <c r="A51" s="585" t="s">
        <v>1605</v>
      </c>
      <c r="B51" s="73"/>
      <c r="C51" s="1356">
        <f>SUMIFS(Sheet1!S71_OriginalBudget,Sheet1!S71_SA34dCode,$AC:$AC,Sheet1!S71_DepCode,$AD:$AD)</f>
        <v>0</v>
      </c>
      <c r="D51" s="1356">
        <f>SUMIFS(Sheet1!S71_SpecialAdjustedBudget,Sheet1!S71_SA34dCode,$AC:$AC,Sheet1!S71_DepCode,$AD:$AD)</f>
        <v>0</v>
      </c>
      <c r="E51" s="1356"/>
      <c r="F51" s="1356"/>
      <c r="G51" s="1356"/>
      <c r="H51" s="1356"/>
      <c r="I51" s="1356">
        <f>SUMIFS(Sheet1!S71_AdjustmentAmount,Sheet1!S71_SA34dCode,$AC:$AC,Sheet1!S71_DepCode,$AD:$AD)</f>
        <v>0</v>
      </c>
      <c r="J51" s="75">
        <f t="shared" si="8"/>
        <v>0</v>
      </c>
      <c r="K51" s="75">
        <f t="shared" si="3"/>
        <v>0</v>
      </c>
      <c r="L51" s="1356">
        <f>SUMIFS(Sheet1!S71_OY1AdjustedBudget,Sheet1!S71_SA34dCode,$AC:$AC,Sheet1!S71_DepCode,$AD:$AD)</f>
        <v>0</v>
      </c>
      <c r="M51" s="1357">
        <f>SUMIFS(Sheet1!S71_OY2AdjustedBudget,Sheet1!S71_SA34dCode,$AC:$AC,Sheet1!S71_DepCode,$AD:$AD)</f>
        <v>0</v>
      </c>
      <c r="N51" s="842"/>
      <c r="AC51" s="1336" t="s">
        <v>1923</v>
      </c>
      <c r="AD51" s="1336" t="s">
        <v>1907</v>
      </c>
    </row>
    <row r="52" spans="1:30" ht="12.75" customHeight="1" x14ac:dyDescent="0.25">
      <c r="A52" s="585" t="s">
        <v>1606</v>
      </c>
      <c r="B52" s="73"/>
      <c r="C52" s="1356">
        <f>SUMIFS(Sheet1!S71_OriginalBudget,Sheet1!S71_SA34dCode,$AC:$AC,Sheet1!S71_DepCode,$AD:$AD)</f>
        <v>0</v>
      </c>
      <c r="D52" s="1356">
        <f>SUMIFS(Sheet1!S71_SpecialAdjustedBudget,Sheet1!S71_SA34dCode,$AC:$AC,Sheet1!S71_DepCode,$AD:$AD)</f>
        <v>0</v>
      </c>
      <c r="E52" s="1356"/>
      <c r="F52" s="1356"/>
      <c r="G52" s="1356"/>
      <c r="H52" s="1356"/>
      <c r="I52" s="1356">
        <f>SUMIFS(Sheet1!S71_AdjustmentAmount,Sheet1!S71_SA34dCode,$AC:$AC,Sheet1!S71_DepCode,$AD:$AD)</f>
        <v>0</v>
      </c>
      <c r="J52" s="75">
        <f t="shared" si="8"/>
        <v>0</v>
      </c>
      <c r="K52" s="75">
        <f t="shared" si="3"/>
        <v>0</v>
      </c>
      <c r="L52" s="1356">
        <f>SUMIFS(Sheet1!S71_OY1AdjustedBudget,Sheet1!S71_SA34dCode,$AC:$AC,Sheet1!S71_DepCode,$AD:$AD)</f>
        <v>0</v>
      </c>
      <c r="M52" s="1357">
        <f>SUMIFS(Sheet1!S71_OY2AdjustedBudget,Sheet1!S71_SA34dCode,$AC:$AC,Sheet1!S71_DepCode,$AD:$AD)</f>
        <v>0</v>
      </c>
      <c r="N52" s="837"/>
      <c r="AC52" s="1336" t="s">
        <v>1924</v>
      </c>
      <c r="AD52" s="1336" t="s">
        <v>1907</v>
      </c>
    </row>
    <row r="53" spans="1:30" ht="12.75" customHeight="1" x14ac:dyDescent="0.25">
      <c r="A53" s="585" t="s">
        <v>1571</v>
      </c>
      <c r="B53" s="73"/>
      <c r="C53" s="1356">
        <f>SUMIFS(Sheet1!S71_OriginalBudget,Sheet1!S71_SA34dCode,$AC:$AC,Sheet1!S71_DepCode,$AD:$AD)</f>
        <v>0</v>
      </c>
      <c r="D53" s="1356">
        <f>SUMIFS(Sheet1!S71_SpecialAdjustedBudget,Sheet1!S71_SA34dCode,$AC:$AC,Sheet1!S71_DepCode,$AD:$AD)</f>
        <v>0</v>
      </c>
      <c r="E53" s="1356"/>
      <c r="F53" s="1356"/>
      <c r="G53" s="1356"/>
      <c r="H53" s="1356"/>
      <c r="I53" s="1356">
        <f>SUMIFS(Sheet1!S71_AdjustmentAmount,Sheet1!S71_SA34dCode,$AC:$AC,Sheet1!S71_DepCode,$AD:$AD)</f>
        <v>0</v>
      </c>
      <c r="J53" s="75">
        <f t="shared" si="8"/>
        <v>0</v>
      </c>
      <c r="K53" s="75">
        <f t="shared" si="3"/>
        <v>0</v>
      </c>
      <c r="L53" s="1356">
        <f>SUMIFS(Sheet1!S71_OY1AdjustedBudget,Sheet1!S71_SA34dCode,$AC:$AC,Sheet1!S71_DepCode,$AD:$AD)</f>
        <v>0</v>
      </c>
      <c r="M53" s="1357">
        <f>SUMIFS(Sheet1!S71_OY2AdjustedBudget,Sheet1!S71_SA34dCode,$AC:$AC,Sheet1!S71_DepCode,$AD:$AD)</f>
        <v>0</v>
      </c>
      <c r="N53" s="842"/>
      <c r="AC53" s="1336" t="s">
        <v>1925</v>
      </c>
      <c r="AD53" s="1336" t="s">
        <v>1907</v>
      </c>
    </row>
    <row r="54" spans="1:30" ht="12.75" customHeight="1" x14ac:dyDescent="0.25">
      <c r="A54" s="584" t="s">
        <v>1607</v>
      </c>
      <c r="B54" s="73"/>
      <c r="C54" s="1110">
        <f>SUM(C55:C63)</f>
        <v>0</v>
      </c>
      <c r="D54" s="130">
        <f t="shared" ref="D54:M54" si="10">SUM(D55:D63)</f>
        <v>0</v>
      </c>
      <c r="E54" s="130">
        <f t="shared" si="10"/>
        <v>0</v>
      </c>
      <c r="F54" s="130">
        <f t="shared" si="10"/>
        <v>0</v>
      </c>
      <c r="G54" s="130">
        <f t="shared" si="10"/>
        <v>0</v>
      </c>
      <c r="H54" s="130">
        <f t="shared" si="10"/>
        <v>0</v>
      </c>
      <c r="I54" s="130">
        <f t="shared" si="10"/>
        <v>0</v>
      </c>
      <c r="J54" s="75">
        <f t="shared" si="8"/>
        <v>0</v>
      </c>
      <c r="K54" s="75">
        <f t="shared" si="3"/>
        <v>0</v>
      </c>
      <c r="L54" s="130">
        <f t="shared" si="10"/>
        <v>0</v>
      </c>
      <c r="M54" s="131">
        <f t="shared" si="10"/>
        <v>0</v>
      </c>
      <c r="N54" s="126"/>
      <c r="AD54" s="1336" t="s">
        <v>1907</v>
      </c>
    </row>
    <row r="55" spans="1:30" ht="12.75" customHeight="1" x14ac:dyDescent="0.25">
      <c r="A55" s="585" t="s">
        <v>1608</v>
      </c>
      <c r="B55" s="73"/>
      <c r="C55" s="1356">
        <f>SUMIFS(Sheet1!S71_OriginalBudget,Sheet1!S71_SA34dCode,$AC:$AC,Sheet1!S71_DepCode,$AD:$AD)</f>
        <v>0</v>
      </c>
      <c r="D55" s="1356">
        <f>SUMIFS(Sheet1!S71_SpecialAdjustedBudget,Sheet1!S71_SA34dCode,$AC:$AC,Sheet1!S71_DepCode,$AD:$AD)</f>
        <v>0</v>
      </c>
      <c r="E55" s="1356"/>
      <c r="F55" s="1356"/>
      <c r="G55" s="1356"/>
      <c r="H55" s="1356"/>
      <c r="I55" s="1356">
        <f>SUMIFS(Sheet1!S71_AdjustmentAmount,Sheet1!S71_SA34dCode,$AC:$AC,Sheet1!S71_DepCode,$AD:$AD)</f>
        <v>0</v>
      </c>
      <c r="J55" s="75">
        <f t="shared" si="8"/>
        <v>0</v>
      </c>
      <c r="K55" s="75">
        <f t="shared" si="3"/>
        <v>0</v>
      </c>
      <c r="L55" s="1356">
        <f>SUMIFS(Sheet1!S71_OY1AdjustedBudget,Sheet1!S71_SA34dCode,$AC:$AC,Sheet1!S71_DepCode,$AD:$AD)</f>
        <v>0</v>
      </c>
      <c r="M55" s="1357">
        <f>SUMIFS(Sheet1!S71_OY2AdjustedBudget,Sheet1!S71_SA34dCode,$AC:$AC,Sheet1!S71_DepCode,$AD:$AD)</f>
        <v>0</v>
      </c>
      <c r="N55" s="837"/>
      <c r="AC55" s="1336" t="s">
        <v>1926</v>
      </c>
      <c r="AD55" s="1336" t="s">
        <v>1907</v>
      </c>
    </row>
    <row r="56" spans="1:30" ht="12.75" customHeight="1" x14ac:dyDescent="0.25">
      <c r="A56" s="585" t="s">
        <v>1609</v>
      </c>
      <c r="B56" s="73"/>
      <c r="C56" s="1356">
        <f>SUMIFS(Sheet1!S71_OriginalBudget,Sheet1!S71_SA34dCode,$AC:$AC,Sheet1!S71_DepCode,$AD:$AD)</f>
        <v>0</v>
      </c>
      <c r="D56" s="1356">
        <f>SUMIFS(Sheet1!S71_SpecialAdjustedBudget,Sheet1!S71_SA34dCode,$AC:$AC,Sheet1!S71_DepCode,$AD:$AD)</f>
        <v>0</v>
      </c>
      <c r="E56" s="1356"/>
      <c r="F56" s="1356"/>
      <c r="G56" s="1356"/>
      <c r="H56" s="1356"/>
      <c r="I56" s="1356">
        <f>SUMIFS(Sheet1!S71_AdjustmentAmount,Sheet1!S71_SA34dCode,$AC:$AC,Sheet1!S71_DepCode,$AD:$AD)</f>
        <v>0</v>
      </c>
      <c r="J56" s="75">
        <f t="shared" si="8"/>
        <v>0</v>
      </c>
      <c r="K56" s="75">
        <f t="shared" si="3"/>
        <v>0</v>
      </c>
      <c r="L56" s="1356">
        <f>SUMIFS(Sheet1!S71_OY1AdjustedBudget,Sheet1!S71_SA34dCode,$AC:$AC,Sheet1!S71_DepCode,$AD:$AD)</f>
        <v>0</v>
      </c>
      <c r="M56" s="1357">
        <f>SUMIFS(Sheet1!S71_OY2AdjustedBudget,Sheet1!S71_SA34dCode,$AC:$AC,Sheet1!S71_DepCode,$AD:$AD)</f>
        <v>0</v>
      </c>
      <c r="N56" s="837"/>
      <c r="AC56" s="1336" t="s">
        <v>1927</v>
      </c>
      <c r="AD56" s="1336" t="s">
        <v>1907</v>
      </c>
    </row>
    <row r="57" spans="1:30" ht="12.75" customHeight="1" x14ac:dyDescent="0.25">
      <c r="A57" s="585" t="s">
        <v>1610</v>
      </c>
      <c r="B57" s="73"/>
      <c r="C57" s="1356">
        <f>SUMIFS(Sheet1!S71_OriginalBudget,Sheet1!S71_SA34dCode,$AC:$AC,Sheet1!S71_DepCode,$AD:$AD)</f>
        <v>0</v>
      </c>
      <c r="D57" s="1356">
        <f>SUMIFS(Sheet1!S71_SpecialAdjustedBudget,Sheet1!S71_SA34dCode,$AC:$AC,Sheet1!S71_DepCode,$AD:$AD)</f>
        <v>0</v>
      </c>
      <c r="E57" s="1356"/>
      <c r="F57" s="1356"/>
      <c r="G57" s="1356"/>
      <c r="H57" s="1356"/>
      <c r="I57" s="1356">
        <f>SUMIFS(Sheet1!S71_AdjustmentAmount,Sheet1!S71_SA34dCode,$AC:$AC,Sheet1!S71_DepCode,$AD:$AD)</f>
        <v>0</v>
      </c>
      <c r="J57" s="75">
        <f t="shared" si="8"/>
        <v>0</v>
      </c>
      <c r="K57" s="75">
        <f t="shared" si="3"/>
        <v>0</v>
      </c>
      <c r="L57" s="1356">
        <f>SUMIFS(Sheet1!S71_OY1AdjustedBudget,Sheet1!S71_SA34dCode,$AC:$AC,Sheet1!S71_DepCode,$AD:$AD)</f>
        <v>0</v>
      </c>
      <c r="M57" s="1357">
        <f>SUMIFS(Sheet1!S71_OY2AdjustedBudget,Sheet1!S71_SA34dCode,$AC:$AC,Sheet1!S71_DepCode,$AD:$AD)</f>
        <v>0</v>
      </c>
      <c r="N57" s="842"/>
      <c r="AC57" s="1336" t="s">
        <v>1928</v>
      </c>
      <c r="AD57" s="1336" t="s">
        <v>1907</v>
      </c>
    </row>
    <row r="58" spans="1:30" ht="12.75" customHeight="1" x14ac:dyDescent="0.25">
      <c r="A58" s="585" t="s">
        <v>1573</v>
      </c>
      <c r="B58" s="73"/>
      <c r="C58" s="1356">
        <f>SUMIFS(Sheet1!S71_OriginalBudget,Sheet1!S71_SA34dCode,$AC:$AC,Sheet1!S71_DepCode,$AD:$AD)</f>
        <v>0</v>
      </c>
      <c r="D58" s="1356">
        <f>SUMIFS(Sheet1!S71_SpecialAdjustedBudget,Sheet1!S71_SA34dCode,$AC:$AC,Sheet1!S71_DepCode,$AD:$AD)</f>
        <v>0</v>
      </c>
      <c r="E58" s="1356"/>
      <c r="F58" s="1356"/>
      <c r="G58" s="1356"/>
      <c r="H58" s="1356"/>
      <c r="I58" s="1356">
        <f>SUMIFS(Sheet1!S71_AdjustmentAmount,Sheet1!S71_SA34dCode,$AC:$AC,Sheet1!S71_DepCode,$AD:$AD)</f>
        <v>0</v>
      </c>
      <c r="J58" s="75">
        <f t="shared" si="8"/>
        <v>0</v>
      </c>
      <c r="K58" s="75">
        <f t="shared" si="3"/>
        <v>0</v>
      </c>
      <c r="L58" s="1356">
        <f>SUMIFS(Sheet1!S71_OY1AdjustedBudget,Sheet1!S71_SA34dCode,$AC:$AC,Sheet1!S71_DepCode,$AD:$AD)</f>
        <v>0</v>
      </c>
      <c r="M58" s="1357">
        <f>SUMIFS(Sheet1!S71_OY2AdjustedBudget,Sheet1!S71_SA34dCode,$AC:$AC,Sheet1!S71_DepCode,$AD:$AD)</f>
        <v>0</v>
      </c>
      <c r="N58" s="842"/>
      <c r="AC58" s="1336" t="s">
        <v>1818</v>
      </c>
      <c r="AD58" s="1336" t="s">
        <v>1907</v>
      </c>
    </row>
    <row r="59" spans="1:30" ht="12.75" customHeight="1" x14ac:dyDescent="0.25">
      <c r="A59" s="585" t="s">
        <v>1574</v>
      </c>
      <c r="B59" s="73"/>
      <c r="C59" s="1356">
        <f>SUMIFS(Sheet1!S71_OriginalBudget,Sheet1!S71_SA34dCode,$AC:$AC,Sheet1!S71_DepCode,$AD:$AD)</f>
        <v>0</v>
      </c>
      <c r="D59" s="1356">
        <f>SUMIFS(Sheet1!S71_SpecialAdjustedBudget,Sheet1!S71_SA34dCode,$AC:$AC,Sheet1!S71_DepCode,$AD:$AD)</f>
        <v>0</v>
      </c>
      <c r="E59" s="1356"/>
      <c r="F59" s="1356"/>
      <c r="G59" s="1356"/>
      <c r="H59" s="1356"/>
      <c r="I59" s="1356">
        <f>SUMIFS(Sheet1!S71_AdjustmentAmount,Sheet1!S71_SA34dCode,$AC:$AC,Sheet1!S71_DepCode,$AD:$AD)</f>
        <v>0</v>
      </c>
      <c r="J59" s="75">
        <f t="shared" si="8"/>
        <v>0</v>
      </c>
      <c r="K59" s="75">
        <f t="shared" si="3"/>
        <v>0</v>
      </c>
      <c r="L59" s="1356">
        <f>SUMIFS(Sheet1!S71_OY1AdjustedBudget,Sheet1!S71_SA34dCode,$AC:$AC,Sheet1!S71_DepCode,$AD:$AD)</f>
        <v>0</v>
      </c>
      <c r="M59" s="1357">
        <f>SUMIFS(Sheet1!S71_OY2AdjustedBudget,Sheet1!S71_SA34dCode,$AC:$AC,Sheet1!S71_DepCode,$AD:$AD)</f>
        <v>0</v>
      </c>
      <c r="N59" s="842"/>
      <c r="AC59" s="1336" t="s">
        <v>1929</v>
      </c>
      <c r="AD59" s="1336" t="s">
        <v>1907</v>
      </c>
    </row>
    <row r="60" spans="1:30" ht="12.75" customHeight="1" x14ac:dyDescent="0.25">
      <c r="A60" s="585" t="s">
        <v>1575</v>
      </c>
      <c r="B60" s="73"/>
      <c r="C60" s="1356">
        <f>SUMIFS(Sheet1!S71_OriginalBudget,Sheet1!S71_SA34dCode,$AC:$AC,Sheet1!S71_DepCode,$AD:$AD)</f>
        <v>0</v>
      </c>
      <c r="D60" s="1356">
        <f>SUMIFS(Sheet1!S71_SpecialAdjustedBudget,Sheet1!S71_SA34dCode,$AC:$AC,Sheet1!S71_DepCode,$AD:$AD)</f>
        <v>0</v>
      </c>
      <c r="E60" s="1356"/>
      <c r="F60" s="1356"/>
      <c r="G60" s="1356"/>
      <c r="H60" s="1356"/>
      <c r="I60" s="1356">
        <f>SUMIFS(Sheet1!S71_AdjustmentAmount,Sheet1!S71_SA34dCode,$AC:$AC,Sheet1!S71_DepCode,$AD:$AD)</f>
        <v>0</v>
      </c>
      <c r="J60" s="75">
        <f t="shared" si="8"/>
        <v>0</v>
      </c>
      <c r="K60" s="75">
        <f t="shared" si="3"/>
        <v>0</v>
      </c>
      <c r="L60" s="1356">
        <f>SUMIFS(Sheet1!S71_OY1AdjustedBudget,Sheet1!S71_SA34dCode,$AC:$AC,Sheet1!S71_DepCode,$AD:$AD)</f>
        <v>0</v>
      </c>
      <c r="M60" s="1357">
        <f>SUMIFS(Sheet1!S71_OY2AdjustedBudget,Sheet1!S71_SA34dCode,$AC:$AC,Sheet1!S71_DepCode,$AD:$AD)</f>
        <v>0</v>
      </c>
      <c r="N60" s="842"/>
      <c r="AC60" s="1336" t="s">
        <v>1930</v>
      </c>
      <c r="AD60" s="1336" t="s">
        <v>1907</v>
      </c>
    </row>
    <row r="61" spans="1:30" ht="12.75" customHeight="1" x14ac:dyDescent="0.25">
      <c r="A61" s="585" t="s">
        <v>1581</v>
      </c>
      <c r="B61" s="73"/>
      <c r="C61" s="1356">
        <f>SUMIFS(Sheet1!S71_OriginalBudget,Sheet1!S71_SA34dCode,$AC:$AC,Sheet1!S71_DepCode,$AD:$AD)</f>
        <v>0</v>
      </c>
      <c r="D61" s="1356">
        <f>SUMIFS(Sheet1!S71_SpecialAdjustedBudget,Sheet1!S71_SA34dCode,$AC:$AC,Sheet1!S71_DepCode,$AD:$AD)</f>
        <v>0</v>
      </c>
      <c r="E61" s="1356"/>
      <c r="F61" s="1356"/>
      <c r="G61" s="1356"/>
      <c r="H61" s="1356"/>
      <c r="I61" s="1356">
        <f>SUMIFS(Sheet1!S71_AdjustmentAmount,Sheet1!S71_SA34dCode,$AC:$AC,Sheet1!S71_DepCode,$AD:$AD)</f>
        <v>0</v>
      </c>
      <c r="J61" s="75">
        <f t="shared" si="8"/>
        <v>0</v>
      </c>
      <c r="K61" s="75">
        <f t="shared" si="3"/>
        <v>0</v>
      </c>
      <c r="L61" s="1356">
        <f>SUMIFS(Sheet1!S71_OY1AdjustedBudget,Sheet1!S71_SA34dCode,$AC:$AC,Sheet1!S71_DepCode,$AD:$AD)</f>
        <v>0</v>
      </c>
      <c r="M61" s="1357">
        <f>SUMIFS(Sheet1!S71_OY2AdjustedBudget,Sheet1!S71_SA34dCode,$AC:$AC,Sheet1!S71_DepCode,$AD:$AD)</f>
        <v>0</v>
      </c>
      <c r="N61" s="842"/>
      <c r="AC61" s="1336" t="s">
        <v>1931</v>
      </c>
      <c r="AD61" s="1336" t="s">
        <v>1907</v>
      </c>
    </row>
    <row r="62" spans="1:30" ht="12.75" customHeight="1" x14ac:dyDescent="0.25">
      <c r="A62" s="585" t="s">
        <v>1584</v>
      </c>
      <c r="B62" s="73"/>
      <c r="C62" s="1356">
        <f>SUMIFS(Sheet1!S71_OriginalBudget,Sheet1!S71_SA34dCode,$AC:$AC,Sheet1!S71_DepCode,$AD:$AD)</f>
        <v>0</v>
      </c>
      <c r="D62" s="1356">
        <f>SUMIFS(Sheet1!S71_SpecialAdjustedBudget,Sheet1!S71_SA34dCode,$AC:$AC,Sheet1!S71_DepCode,$AD:$AD)</f>
        <v>0</v>
      </c>
      <c r="E62" s="1356"/>
      <c r="F62" s="1356"/>
      <c r="G62" s="1356"/>
      <c r="H62" s="1356"/>
      <c r="I62" s="1356">
        <f>SUMIFS(Sheet1!S71_AdjustmentAmount,Sheet1!S71_SA34dCode,$AC:$AC,Sheet1!S71_DepCode,$AD:$AD)</f>
        <v>0</v>
      </c>
      <c r="J62" s="75">
        <f t="shared" si="8"/>
        <v>0</v>
      </c>
      <c r="K62" s="75">
        <f t="shared" si="3"/>
        <v>0</v>
      </c>
      <c r="L62" s="1356">
        <f>SUMIFS(Sheet1!S71_OY1AdjustedBudget,Sheet1!S71_SA34dCode,$AC:$AC,Sheet1!S71_DepCode,$AD:$AD)</f>
        <v>0</v>
      </c>
      <c r="M62" s="1357">
        <f>SUMIFS(Sheet1!S71_OY2AdjustedBudget,Sheet1!S71_SA34dCode,$AC:$AC,Sheet1!S71_DepCode,$AD:$AD)</f>
        <v>0</v>
      </c>
      <c r="N62" s="837"/>
      <c r="AC62" s="1336" t="s">
        <v>1932</v>
      </c>
      <c r="AD62" s="1336" t="s">
        <v>1907</v>
      </c>
    </row>
    <row r="63" spans="1:30" ht="12.75" customHeight="1" x14ac:dyDescent="0.25">
      <c r="A63" s="585" t="s">
        <v>1571</v>
      </c>
      <c r="B63" s="73"/>
      <c r="C63" s="1356">
        <f>SUMIFS(Sheet1!S71_OriginalBudget,Sheet1!S71_SA34dCode,$AC:$AC,Sheet1!S71_DepCode,$AD:$AD)</f>
        <v>0</v>
      </c>
      <c r="D63" s="1356">
        <f>SUMIFS(Sheet1!S71_SpecialAdjustedBudget,Sheet1!S71_SA34dCode,$AC:$AC,Sheet1!S71_DepCode,$AD:$AD)</f>
        <v>0</v>
      </c>
      <c r="E63" s="1356"/>
      <c r="F63" s="1356"/>
      <c r="G63" s="1356"/>
      <c r="H63" s="1356"/>
      <c r="I63" s="1356">
        <f>SUMIFS(Sheet1!S71_AdjustmentAmount,Sheet1!S71_SA34dCode,$AC:$AC,Sheet1!S71_DepCode,$AD:$AD)</f>
        <v>0</v>
      </c>
      <c r="J63" s="75">
        <f t="shared" si="8"/>
        <v>0</v>
      </c>
      <c r="K63" s="75">
        <f t="shared" si="3"/>
        <v>0</v>
      </c>
      <c r="L63" s="1356">
        <f>SUMIFS(Sheet1!S71_OY1AdjustedBudget,Sheet1!S71_SA34dCode,$AC:$AC,Sheet1!S71_DepCode,$AD:$AD)</f>
        <v>0</v>
      </c>
      <c r="M63" s="1357">
        <f>SUMIFS(Sheet1!S71_OY2AdjustedBudget,Sheet1!S71_SA34dCode,$AC:$AC,Sheet1!S71_DepCode,$AD:$AD)</f>
        <v>0</v>
      </c>
      <c r="N63" s="842"/>
      <c r="AC63" s="1336" t="s">
        <v>1933</v>
      </c>
      <c r="AD63" s="1336" t="s">
        <v>1907</v>
      </c>
    </row>
    <row r="64" spans="1:30" ht="12.75" customHeight="1" x14ac:dyDescent="0.25">
      <c r="A64" s="586" t="s">
        <v>1611</v>
      </c>
      <c r="B64" s="73"/>
      <c r="C64" s="1110">
        <f t="shared" ref="C64:M64" si="11">SUM(C65:C69)</f>
        <v>0</v>
      </c>
      <c r="D64" s="130">
        <f t="shared" si="11"/>
        <v>0</v>
      </c>
      <c r="E64" s="130">
        <f t="shared" si="11"/>
        <v>0</v>
      </c>
      <c r="F64" s="130">
        <f t="shared" si="11"/>
        <v>0</v>
      </c>
      <c r="G64" s="130">
        <f t="shared" si="11"/>
        <v>0</v>
      </c>
      <c r="H64" s="130">
        <f t="shared" si="11"/>
        <v>0</v>
      </c>
      <c r="I64" s="130">
        <f t="shared" si="11"/>
        <v>0</v>
      </c>
      <c r="J64" s="75">
        <f t="shared" si="8"/>
        <v>0</v>
      </c>
      <c r="K64" s="75">
        <f t="shared" si="3"/>
        <v>0</v>
      </c>
      <c r="L64" s="130">
        <f t="shared" si="11"/>
        <v>0</v>
      </c>
      <c r="M64" s="131">
        <f t="shared" si="11"/>
        <v>0</v>
      </c>
      <c r="N64" s="126"/>
      <c r="AD64" s="1336" t="s">
        <v>1907</v>
      </c>
    </row>
    <row r="65" spans="1:30" ht="12.75" customHeight="1" x14ac:dyDescent="0.25">
      <c r="A65" s="585" t="s">
        <v>1612</v>
      </c>
      <c r="B65" s="73"/>
      <c r="C65" s="1356">
        <f>SUMIFS(Sheet1!S71_OriginalBudget,Sheet1!S71_SA34dCode,$AC:$AC,Sheet1!S71_DepCode,$AD:$AD)</f>
        <v>0</v>
      </c>
      <c r="D65" s="1356">
        <f>SUMIFS(Sheet1!S71_SpecialAdjustedBudget,Sheet1!S71_SA34dCode,$AC:$AC,Sheet1!S71_DepCode,$AD:$AD)</f>
        <v>0</v>
      </c>
      <c r="E65" s="1356"/>
      <c r="F65" s="1356"/>
      <c r="G65" s="1356"/>
      <c r="H65" s="1356"/>
      <c r="I65" s="1356">
        <f>SUMIFS(Sheet1!S71_AdjustmentAmount,Sheet1!S71_SA34dCode,$AC:$AC,Sheet1!S71_DepCode,$AD:$AD)</f>
        <v>0</v>
      </c>
      <c r="J65" s="75">
        <f t="shared" si="8"/>
        <v>0</v>
      </c>
      <c r="K65" s="75">
        <f t="shared" si="3"/>
        <v>0</v>
      </c>
      <c r="L65" s="1356">
        <f>SUMIFS(Sheet1!S71_OY1AdjustedBudget,Sheet1!S71_SA34dCode,$AC:$AC,Sheet1!S71_DepCode,$AD:$AD)</f>
        <v>0</v>
      </c>
      <c r="M65" s="1357">
        <f>SUMIFS(Sheet1!S71_OY2AdjustedBudget,Sheet1!S71_SA34dCode,$AC:$AC,Sheet1!S71_DepCode,$AD:$AD)</f>
        <v>0</v>
      </c>
      <c r="N65" s="837"/>
      <c r="AC65" s="1336" t="s">
        <v>1934</v>
      </c>
      <c r="AD65" s="1336" t="s">
        <v>1907</v>
      </c>
    </row>
    <row r="66" spans="1:30" ht="12.75" customHeight="1" x14ac:dyDescent="0.25">
      <c r="A66" s="585" t="s">
        <v>1613</v>
      </c>
      <c r="B66" s="73"/>
      <c r="C66" s="1356">
        <f>SUMIFS(Sheet1!S71_OriginalBudget,Sheet1!S71_SA34dCode,$AC:$AC,Sheet1!S71_DepCode,$AD:$AD)</f>
        <v>0</v>
      </c>
      <c r="D66" s="1356">
        <f>SUMIFS(Sheet1!S71_SpecialAdjustedBudget,Sheet1!S71_SA34dCode,$AC:$AC,Sheet1!S71_DepCode,$AD:$AD)</f>
        <v>0</v>
      </c>
      <c r="E66" s="1356"/>
      <c r="F66" s="1356"/>
      <c r="G66" s="1356"/>
      <c r="H66" s="1356"/>
      <c r="I66" s="1356">
        <f>SUMIFS(Sheet1!S71_AdjustmentAmount,Sheet1!S71_SA34dCode,$AC:$AC,Sheet1!S71_DepCode,$AD:$AD)</f>
        <v>0</v>
      </c>
      <c r="J66" s="75">
        <f t="shared" si="8"/>
        <v>0</v>
      </c>
      <c r="K66" s="75">
        <f t="shared" si="3"/>
        <v>0</v>
      </c>
      <c r="L66" s="1356">
        <f>SUMIFS(Sheet1!S71_OY1AdjustedBudget,Sheet1!S71_SA34dCode,$AC:$AC,Sheet1!S71_DepCode,$AD:$AD)</f>
        <v>0</v>
      </c>
      <c r="M66" s="1357">
        <f>SUMIFS(Sheet1!S71_OY2AdjustedBudget,Sheet1!S71_SA34dCode,$AC:$AC,Sheet1!S71_DepCode,$AD:$AD)</f>
        <v>0</v>
      </c>
      <c r="N66" s="837"/>
      <c r="AC66" s="1336" t="s">
        <v>1935</v>
      </c>
      <c r="AD66" s="1336" t="s">
        <v>1907</v>
      </c>
    </row>
    <row r="67" spans="1:30" ht="12.75" customHeight="1" x14ac:dyDescent="0.25">
      <c r="A67" s="585" t="s">
        <v>1614</v>
      </c>
      <c r="B67" s="73"/>
      <c r="C67" s="1356">
        <f>SUMIFS(Sheet1!S71_OriginalBudget,Sheet1!S71_SA34dCode,$AC:$AC,Sheet1!S71_DepCode,$AD:$AD)</f>
        <v>0</v>
      </c>
      <c r="D67" s="1356">
        <f>SUMIFS(Sheet1!S71_SpecialAdjustedBudget,Sheet1!S71_SA34dCode,$AC:$AC,Sheet1!S71_DepCode,$AD:$AD)</f>
        <v>0</v>
      </c>
      <c r="E67" s="1356"/>
      <c r="F67" s="1356"/>
      <c r="G67" s="1356"/>
      <c r="H67" s="1356"/>
      <c r="I67" s="1356">
        <f>SUMIFS(Sheet1!S71_AdjustmentAmount,Sheet1!S71_SA34dCode,$AC:$AC,Sheet1!S71_DepCode,$AD:$AD)</f>
        <v>0</v>
      </c>
      <c r="J67" s="75">
        <f t="shared" si="8"/>
        <v>0</v>
      </c>
      <c r="K67" s="75">
        <f t="shared" si="3"/>
        <v>0</v>
      </c>
      <c r="L67" s="1356">
        <f>SUMIFS(Sheet1!S71_OY1AdjustedBudget,Sheet1!S71_SA34dCode,$AC:$AC,Sheet1!S71_DepCode,$AD:$AD)</f>
        <v>0</v>
      </c>
      <c r="M67" s="1357">
        <f>SUMIFS(Sheet1!S71_OY2AdjustedBudget,Sheet1!S71_SA34dCode,$AC:$AC,Sheet1!S71_DepCode,$AD:$AD)</f>
        <v>0</v>
      </c>
      <c r="N67" s="842"/>
      <c r="AC67" s="1336" t="s">
        <v>1936</v>
      </c>
      <c r="AD67" s="1336" t="s">
        <v>1907</v>
      </c>
    </row>
    <row r="68" spans="1:30" ht="12.75" customHeight="1" x14ac:dyDescent="0.25">
      <c r="A68" s="585" t="s">
        <v>1615</v>
      </c>
      <c r="B68" s="73"/>
      <c r="C68" s="1356">
        <f>SUMIFS(Sheet1!S71_OriginalBudget,Sheet1!S71_SA34dCode,$AC:$AC,Sheet1!S71_DepCode,$AD:$AD)</f>
        <v>0</v>
      </c>
      <c r="D68" s="1356">
        <f>SUMIFS(Sheet1!S71_SpecialAdjustedBudget,Sheet1!S71_SA34dCode,$AC:$AC,Sheet1!S71_DepCode,$AD:$AD)</f>
        <v>0</v>
      </c>
      <c r="E68" s="1356"/>
      <c r="F68" s="1356"/>
      <c r="G68" s="1356"/>
      <c r="H68" s="1356"/>
      <c r="I68" s="1356">
        <f>SUMIFS(Sheet1!S71_AdjustmentAmount,Sheet1!S71_SA34dCode,$AC:$AC,Sheet1!S71_DepCode,$AD:$AD)</f>
        <v>0</v>
      </c>
      <c r="J68" s="75">
        <f t="shared" si="8"/>
        <v>0</v>
      </c>
      <c r="K68" s="75">
        <f t="shared" si="3"/>
        <v>0</v>
      </c>
      <c r="L68" s="1356">
        <f>SUMIFS(Sheet1!S71_OY1AdjustedBudget,Sheet1!S71_SA34dCode,$AC:$AC,Sheet1!S71_DepCode,$AD:$AD)</f>
        <v>0</v>
      </c>
      <c r="M68" s="1357">
        <f>SUMIFS(Sheet1!S71_OY2AdjustedBudget,Sheet1!S71_SA34dCode,$AC:$AC,Sheet1!S71_DepCode,$AD:$AD)</f>
        <v>0</v>
      </c>
      <c r="N68" s="837"/>
      <c r="AC68" s="1336" t="s">
        <v>1937</v>
      </c>
      <c r="AD68" s="1336" t="s">
        <v>1907</v>
      </c>
    </row>
    <row r="69" spans="1:30" ht="12.75" customHeight="1" x14ac:dyDescent="0.25">
      <c r="A69" s="585" t="s">
        <v>1571</v>
      </c>
      <c r="B69" s="73"/>
      <c r="C69" s="1356">
        <f>SUMIFS(Sheet1!S71_OriginalBudget,Sheet1!S71_SA34dCode,$AC:$AC,Sheet1!S71_DepCode,$AD:$AD)</f>
        <v>0</v>
      </c>
      <c r="D69" s="1356">
        <f>SUMIFS(Sheet1!S71_SpecialAdjustedBudget,Sheet1!S71_SA34dCode,$AC:$AC,Sheet1!S71_DepCode,$AD:$AD)</f>
        <v>0</v>
      </c>
      <c r="E69" s="1356"/>
      <c r="F69" s="1356"/>
      <c r="G69" s="1356"/>
      <c r="H69" s="1356"/>
      <c r="I69" s="1356">
        <f>SUMIFS(Sheet1!S71_AdjustmentAmount,Sheet1!S71_SA34dCode,$AC:$AC,Sheet1!S71_DepCode,$AD:$AD)</f>
        <v>0</v>
      </c>
      <c r="J69" s="75">
        <f t="shared" si="8"/>
        <v>0</v>
      </c>
      <c r="K69" s="75">
        <f t="shared" si="3"/>
        <v>0</v>
      </c>
      <c r="L69" s="1356">
        <f>SUMIFS(Sheet1!S71_OY1AdjustedBudget,Sheet1!S71_SA34dCode,$AC:$AC,Sheet1!S71_DepCode,$AD:$AD)</f>
        <v>0</v>
      </c>
      <c r="M69" s="1357">
        <f>SUMIFS(Sheet1!S71_OY2AdjustedBudget,Sheet1!S71_SA34dCode,$AC:$AC,Sheet1!S71_DepCode,$AD:$AD)</f>
        <v>0</v>
      </c>
      <c r="N69" s="842"/>
      <c r="AC69" s="1336" t="s">
        <v>1938</v>
      </c>
      <c r="AD69" s="1336" t="s">
        <v>1907</v>
      </c>
    </row>
    <row r="70" spans="1:30" ht="12.75" customHeight="1" x14ac:dyDescent="0.25">
      <c r="A70" s="584" t="s">
        <v>1616</v>
      </c>
      <c r="B70" s="73"/>
      <c r="C70" s="1110">
        <f t="shared" ref="C70:M70" si="12">SUM(C71:C74)</f>
        <v>0</v>
      </c>
      <c r="D70" s="130">
        <f t="shared" si="12"/>
        <v>0</v>
      </c>
      <c r="E70" s="130">
        <f t="shared" si="12"/>
        <v>0</v>
      </c>
      <c r="F70" s="130">
        <f t="shared" si="12"/>
        <v>0</v>
      </c>
      <c r="G70" s="130">
        <f t="shared" si="12"/>
        <v>0</v>
      </c>
      <c r="H70" s="130">
        <f t="shared" si="12"/>
        <v>0</v>
      </c>
      <c r="I70" s="130">
        <f t="shared" si="12"/>
        <v>0</v>
      </c>
      <c r="J70" s="75">
        <f t="shared" si="8"/>
        <v>0</v>
      </c>
      <c r="K70" s="75">
        <f t="shared" si="3"/>
        <v>0</v>
      </c>
      <c r="L70" s="130">
        <f t="shared" si="12"/>
        <v>0</v>
      </c>
      <c r="M70" s="131">
        <f t="shared" si="12"/>
        <v>0</v>
      </c>
      <c r="N70" s="842"/>
      <c r="AD70" s="1336" t="s">
        <v>1907</v>
      </c>
    </row>
    <row r="71" spans="1:30" ht="12.75" customHeight="1" x14ac:dyDescent="0.25">
      <c r="A71" s="585" t="s">
        <v>1617</v>
      </c>
      <c r="B71" s="73"/>
      <c r="C71" s="1356">
        <f>SUMIFS(Sheet1!S71_OriginalBudget,Sheet1!S71_SA34dCode,$AC:$AC,Sheet1!S71_DepCode,$AD:$AD)</f>
        <v>0</v>
      </c>
      <c r="D71" s="1356">
        <f>SUMIFS(Sheet1!S71_SpecialAdjustedBudget,Sheet1!S71_SA34dCode,$AC:$AC,Sheet1!S71_DepCode,$AD:$AD)</f>
        <v>0</v>
      </c>
      <c r="E71" s="1356"/>
      <c r="F71" s="1356"/>
      <c r="G71" s="1356"/>
      <c r="H71" s="1356"/>
      <c r="I71" s="1356">
        <f>SUMIFS(Sheet1!S71_AdjustmentAmount,Sheet1!S71_SA34dCode,$AC:$AC,Sheet1!S71_DepCode,$AD:$AD)</f>
        <v>0</v>
      </c>
      <c r="J71" s="75">
        <f t="shared" si="8"/>
        <v>0</v>
      </c>
      <c r="K71" s="75">
        <f t="shared" si="3"/>
        <v>0</v>
      </c>
      <c r="L71" s="1356">
        <f>SUMIFS(Sheet1!S71_OY1AdjustedBudget,Sheet1!S71_SA34dCode,$AC:$AC,Sheet1!S71_DepCode,$AD:$AD)</f>
        <v>0</v>
      </c>
      <c r="M71" s="1357">
        <f>SUMIFS(Sheet1!S71_OY2AdjustedBudget,Sheet1!S71_SA34dCode,$AC:$AC,Sheet1!S71_DepCode,$AD:$AD)</f>
        <v>0</v>
      </c>
      <c r="N71" s="842"/>
      <c r="AC71" s="1336" t="s">
        <v>1939</v>
      </c>
      <c r="AD71" s="1336" t="s">
        <v>1907</v>
      </c>
    </row>
    <row r="72" spans="1:30" ht="12.75" customHeight="1" x14ac:dyDescent="0.25">
      <c r="A72" s="585" t="s">
        <v>1618</v>
      </c>
      <c r="B72" s="73"/>
      <c r="C72" s="1356">
        <f>SUMIFS(Sheet1!S71_OriginalBudget,Sheet1!S71_SA34dCode,$AC:$AC,Sheet1!S71_DepCode,$AD:$AD)</f>
        <v>0</v>
      </c>
      <c r="D72" s="1356">
        <f>SUMIFS(Sheet1!S71_SpecialAdjustedBudget,Sheet1!S71_SA34dCode,$AC:$AC,Sheet1!S71_DepCode,$AD:$AD)</f>
        <v>0</v>
      </c>
      <c r="E72" s="1356"/>
      <c r="F72" s="1356"/>
      <c r="G72" s="1356"/>
      <c r="H72" s="1356"/>
      <c r="I72" s="1356">
        <f>SUMIFS(Sheet1!S71_AdjustmentAmount,Sheet1!S71_SA34dCode,$AC:$AC,Sheet1!S71_DepCode,$AD:$AD)</f>
        <v>0</v>
      </c>
      <c r="J72" s="75">
        <f t="shared" ref="J72:J74" si="13">SUM(E72:I72)</f>
        <v>0</v>
      </c>
      <c r="K72" s="75">
        <f t="shared" si="3"/>
        <v>0</v>
      </c>
      <c r="L72" s="1356">
        <f>SUMIFS(Sheet1!S71_OY1AdjustedBudget,Sheet1!S71_SA34dCode,$AC:$AC,Sheet1!S71_DepCode,$AD:$AD)</f>
        <v>0</v>
      </c>
      <c r="M72" s="1357">
        <f>SUMIFS(Sheet1!S71_OY2AdjustedBudget,Sheet1!S71_SA34dCode,$AC:$AC,Sheet1!S71_DepCode,$AD:$AD)</f>
        <v>0</v>
      </c>
      <c r="N72" s="842"/>
      <c r="AC72" s="1336" t="s">
        <v>1940</v>
      </c>
      <c r="AD72" s="1336" t="s">
        <v>1907</v>
      </c>
    </row>
    <row r="73" spans="1:30" ht="12.75" customHeight="1" x14ac:dyDescent="0.25">
      <c r="A73" s="585" t="s">
        <v>1619</v>
      </c>
      <c r="B73" s="73"/>
      <c r="C73" s="1356">
        <f>SUMIFS(Sheet1!S71_OriginalBudget,Sheet1!S71_SA34dCode,$AC:$AC,Sheet1!S71_DepCode,$AD:$AD)</f>
        <v>0</v>
      </c>
      <c r="D73" s="1356">
        <f>SUMIFS(Sheet1!S71_SpecialAdjustedBudget,Sheet1!S71_SA34dCode,$AC:$AC,Sheet1!S71_DepCode,$AD:$AD)</f>
        <v>0</v>
      </c>
      <c r="E73" s="1356"/>
      <c r="F73" s="1356"/>
      <c r="G73" s="1356"/>
      <c r="H73" s="1356"/>
      <c r="I73" s="1356">
        <f>SUMIFS(Sheet1!S71_AdjustmentAmount,Sheet1!S71_SA34dCode,$AC:$AC,Sheet1!S71_DepCode,$AD:$AD)</f>
        <v>0</v>
      </c>
      <c r="J73" s="75">
        <f t="shared" si="13"/>
        <v>0</v>
      </c>
      <c r="K73" s="75">
        <f t="shared" ref="K73:K136" si="14">IF(D73=0,C73+J73,D73+J73)</f>
        <v>0</v>
      </c>
      <c r="L73" s="1356">
        <f>SUMIFS(Sheet1!S71_OY1AdjustedBudget,Sheet1!S71_SA34dCode,$AC:$AC,Sheet1!S71_DepCode,$AD:$AD)</f>
        <v>0</v>
      </c>
      <c r="M73" s="1357">
        <f>SUMIFS(Sheet1!S71_OY2AdjustedBudget,Sheet1!S71_SA34dCode,$AC:$AC,Sheet1!S71_DepCode,$AD:$AD)</f>
        <v>0</v>
      </c>
      <c r="N73" s="842"/>
      <c r="AC73" s="1336" t="s">
        <v>1941</v>
      </c>
      <c r="AD73" s="1336" t="s">
        <v>1907</v>
      </c>
    </row>
    <row r="74" spans="1:30" ht="12.75" customHeight="1" x14ac:dyDescent="0.25">
      <c r="A74" s="585" t="s">
        <v>1571</v>
      </c>
      <c r="B74" s="73"/>
      <c r="C74" s="1356">
        <f>SUMIFS(Sheet1!S71_OriginalBudget,Sheet1!S71_SA34dCode,$AC:$AC,Sheet1!S71_DepCode,$AD:$AD)</f>
        <v>0</v>
      </c>
      <c r="D74" s="1356">
        <f>SUMIFS(Sheet1!S71_SpecialAdjustedBudget,Sheet1!S71_SA34dCode,$AC:$AC,Sheet1!S71_DepCode,$AD:$AD)</f>
        <v>0</v>
      </c>
      <c r="E74" s="1356"/>
      <c r="F74" s="1356"/>
      <c r="G74" s="1356"/>
      <c r="H74" s="1356"/>
      <c r="I74" s="1356">
        <f>SUMIFS(Sheet1!S71_AdjustmentAmount,Sheet1!S71_SA34dCode,$AC:$AC,Sheet1!S71_DepCode,$AD:$AD)</f>
        <v>0</v>
      </c>
      <c r="J74" s="75">
        <f t="shared" si="13"/>
        <v>0</v>
      </c>
      <c r="K74" s="75">
        <f t="shared" si="14"/>
        <v>0</v>
      </c>
      <c r="L74" s="1356">
        <f>SUMIFS(Sheet1!S71_OY1AdjustedBudget,Sheet1!S71_SA34dCode,$AC:$AC,Sheet1!S71_DepCode,$AD:$AD)</f>
        <v>0</v>
      </c>
      <c r="M74" s="1357">
        <f>SUMIFS(Sheet1!S71_OY2AdjustedBudget,Sheet1!S71_SA34dCode,$AC:$AC,Sheet1!S71_DepCode,$AD:$AD)</f>
        <v>0</v>
      </c>
      <c r="N74" s="842"/>
      <c r="AC74" s="1336" t="s">
        <v>1942</v>
      </c>
      <c r="AD74" s="1336" t="s">
        <v>1907</v>
      </c>
    </row>
    <row r="75" spans="1:30" ht="5.0999999999999996" customHeight="1" x14ac:dyDescent="0.25">
      <c r="A75" s="134"/>
      <c r="B75" s="73"/>
      <c r="C75" s="74"/>
      <c r="D75" s="75"/>
      <c r="E75" s="75"/>
      <c r="F75" s="75"/>
      <c r="G75" s="75"/>
      <c r="H75" s="75"/>
      <c r="I75" s="75"/>
      <c r="J75" s="75"/>
      <c r="K75" s="75"/>
      <c r="L75" s="75"/>
      <c r="M75" s="76"/>
      <c r="N75" s="126"/>
      <c r="AD75" s="1336" t="s">
        <v>1907</v>
      </c>
    </row>
    <row r="76" spans="1:30" ht="12.75" customHeight="1" x14ac:dyDescent="0.25">
      <c r="A76" s="484" t="s">
        <v>1620</v>
      </c>
      <c r="B76" s="73"/>
      <c r="C76" s="234">
        <f>+C77+C100</f>
        <v>3787600</v>
      </c>
      <c r="D76" s="235">
        <f>+D77+D100</f>
        <v>3787600</v>
      </c>
      <c r="E76" s="235">
        <f t="shared" ref="E76:M76" si="15">+E77+E100</f>
        <v>0</v>
      </c>
      <c r="F76" s="235">
        <f t="shared" si="15"/>
        <v>0</v>
      </c>
      <c r="G76" s="235">
        <f t="shared" si="15"/>
        <v>0</v>
      </c>
      <c r="H76" s="235">
        <f t="shared" si="15"/>
        <v>0</v>
      </c>
      <c r="I76" s="235">
        <f t="shared" si="15"/>
        <v>0</v>
      </c>
      <c r="J76" s="143">
        <f t="shared" ref="J76:J103" si="16">SUM(E76:I76)</f>
        <v>0</v>
      </c>
      <c r="K76" s="143">
        <f t="shared" si="14"/>
        <v>3787600</v>
      </c>
      <c r="L76" s="235">
        <f t="shared" si="15"/>
        <v>4166360</v>
      </c>
      <c r="M76" s="236">
        <f t="shared" si="15"/>
        <v>4582996</v>
      </c>
      <c r="N76" s="126"/>
      <c r="AD76" s="1336" t="s">
        <v>1907</v>
      </c>
    </row>
    <row r="77" spans="1:30" ht="12.75" customHeight="1" x14ac:dyDescent="0.25">
      <c r="A77" s="584" t="s">
        <v>1621</v>
      </c>
      <c r="B77" s="73"/>
      <c r="C77" s="130">
        <f>SUM(C78:C99)</f>
        <v>3787600</v>
      </c>
      <c r="D77" s="130">
        <f>SUM(D78:D99)</f>
        <v>3787600</v>
      </c>
      <c r="E77" s="130">
        <f t="shared" ref="E77:M77" si="17">SUM(E78:E99)</f>
        <v>0</v>
      </c>
      <c r="F77" s="130">
        <f t="shared" si="17"/>
        <v>0</v>
      </c>
      <c r="G77" s="130">
        <f t="shared" si="17"/>
        <v>0</v>
      </c>
      <c r="H77" s="130">
        <f t="shared" si="17"/>
        <v>0</v>
      </c>
      <c r="I77" s="130">
        <f t="shared" si="17"/>
        <v>0</v>
      </c>
      <c r="J77" s="75">
        <f t="shared" si="16"/>
        <v>0</v>
      </c>
      <c r="K77" s="75">
        <f t="shared" si="14"/>
        <v>3787600</v>
      </c>
      <c r="L77" s="130">
        <f t="shared" si="17"/>
        <v>4166360</v>
      </c>
      <c r="M77" s="131">
        <f t="shared" si="17"/>
        <v>4582996</v>
      </c>
      <c r="N77" s="842"/>
      <c r="AD77" s="1336" t="s">
        <v>1907</v>
      </c>
    </row>
    <row r="78" spans="1:30" ht="12.75" customHeight="1" x14ac:dyDescent="0.25">
      <c r="A78" s="585" t="s">
        <v>1622</v>
      </c>
      <c r="B78" s="73"/>
      <c r="C78" s="1356">
        <f>SUMIFS(Sheet1!S71_OriginalBudget,Sheet1!S71_SA34dCode,$AC:$AC,Sheet1!S71_DepCode,$AD:$AD)</f>
        <v>3787600</v>
      </c>
      <c r="D78" s="1356">
        <f>SUMIFS(Sheet1!S71_SpecialAdjustedBudget,Sheet1!S71_SA34dCode,$AC:$AC,Sheet1!S71_DepCode,$AD:$AD)</f>
        <v>3787600</v>
      </c>
      <c r="E78" s="1356"/>
      <c r="F78" s="1356"/>
      <c r="G78" s="1356"/>
      <c r="H78" s="1356"/>
      <c r="I78" s="1356">
        <f>SUMIFS(Sheet1!S71_AdjustmentAmount,Sheet1!S71_SA34dCode,$AC:$AC,Sheet1!S71_DepCode,$AD:$AD)</f>
        <v>0</v>
      </c>
      <c r="J78" s="75">
        <f t="shared" si="16"/>
        <v>0</v>
      </c>
      <c r="K78" s="75">
        <f t="shared" si="14"/>
        <v>3787600</v>
      </c>
      <c r="L78" s="1356">
        <f>SUMIFS(Sheet1!S71_OY1AdjustedBudget,Sheet1!S71_SA34dCode,$AC:$AC,Sheet1!S71_DepCode,$AD:$AD)</f>
        <v>4166360</v>
      </c>
      <c r="M78" s="1357">
        <f>SUMIFS(Sheet1!S71_OY2AdjustedBudget,Sheet1!S71_SA34dCode,$AC:$AC,Sheet1!S71_DepCode,$AD:$AD)</f>
        <v>4582996</v>
      </c>
      <c r="N78" s="126"/>
      <c r="AC78" s="1336" t="s">
        <v>1943</v>
      </c>
      <c r="AD78" s="1336" t="s">
        <v>1907</v>
      </c>
    </row>
    <row r="79" spans="1:30" ht="12.75" customHeight="1" x14ac:dyDescent="0.25">
      <c r="A79" s="585" t="s">
        <v>1623</v>
      </c>
      <c r="B79" s="73"/>
      <c r="C79" s="1356">
        <f>SUMIFS(Sheet1!S71_OriginalBudget,Sheet1!S71_SA34dCode,$AC:$AC,Sheet1!S71_DepCode,$AD:$AD)</f>
        <v>0</v>
      </c>
      <c r="D79" s="1356">
        <f>SUMIFS(Sheet1!S71_SpecialAdjustedBudget,Sheet1!S71_SA34dCode,$AC:$AC,Sheet1!S71_DepCode,$AD:$AD)</f>
        <v>0</v>
      </c>
      <c r="E79" s="1356"/>
      <c r="F79" s="1356"/>
      <c r="G79" s="1356"/>
      <c r="H79" s="1356"/>
      <c r="I79" s="1356">
        <f>SUMIFS(Sheet1!S71_AdjustmentAmount,Sheet1!S71_SA34dCode,$AC:$AC,Sheet1!S71_DepCode,$AD:$AD)</f>
        <v>0</v>
      </c>
      <c r="J79" s="75">
        <f t="shared" si="16"/>
        <v>0</v>
      </c>
      <c r="K79" s="75">
        <f t="shared" si="14"/>
        <v>0</v>
      </c>
      <c r="L79" s="1356">
        <f>SUMIFS(Sheet1!S71_OY1AdjustedBudget,Sheet1!S71_SA34dCode,$AC:$AC,Sheet1!S71_DepCode,$AD:$AD)</f>
        <v>0</v>
      </c>
      <c r="M79" s="1357">
        <f>SUMIFS(Sheet1!S71_OY2AdjustedBudget,Sheet1!S71_SA34dCode,$AC:$AC,Sheet1!S71_DepCode,$AD:$AD)</f>
        <v>0</v>
      </c>
      <c r="N79" s="126"/>
      <c r="AC79" s="1336" t="s">
        <v>1819</v>
      </c>
      <c r="AD79" s="1336" t="s">
        <v>1907</v>
      </c>
    </row>
    <row r="80" spans="1:30" ht="12.75" customHeight="1" x14ac:dyDescent="0.25">
      <c r="A80" s="585" t="s">
        <v>1624</v>
      </c>
      <c r="B80" s="73"/>
      <c r="C80" s="1356">
        <f>SUMIFS(Sheet1!S71_OriginalBudget,Sheet1!S71_SA34dCode,$AC:$AC,Sheet1!S71_DepCode,$AD:$AD)</f>
        <v>0</v>
      </c>
      <c r="D80" s="1356">
        <f>SUMIFS(Sheet1!S71_SpecialAdjustedBudget,Sheet1!S71_SA34dCode,$AC:$AC,Sheet1!S71_DepCode,$AD:$AD)</f>
        <v>0</v>
      </c>
      <c r="E80" s="1356"/>
      <c r="F80" s="1356"/>
      <c r="G80" s="1356"/>
      <c r="H80" s="1356"/>
      <c r="I80" s="1356">
        <f>SUMIFS(Sheet1!S71_AdjustmentAmount,Sheet1!S71_SA34dCode,$AC:$AC,Sheet1!S71_DepCode,$AD:$AD)</f>
        <v>0</v>
      </c>
      <c r="J80" s="75">
        <f t="shared" si="16"/>
        <v>0</v>
      </c>
      <c r="K80" s="75">
        <f t="shared" si="14"/>
        <v>0</v>
      </c>
      <c r="L80" s="1356">
        <f>SUMIFS(Sheet1!S71_OY1AdjustedBudget,Sheet1!S71_SA34dCode,$AC:$AC,Sheet1!S71_DepCode,$AD:$AD)</f>
        <v>0</v>
      </c>
      <c r="M80" s="1357">
        <f>SUMIFS(Sheet1!S71_OY2AdjustedBudget,Sheet1!S71_SA34dCode,$AC:$AC,Sheet1!S71_DepCode,$AD:$AD)</f>
        <v>0</v>
      </c>
      <c r="N80" s="126"/>
      <c r="AC80" s="1336" t="s">
        <v>1944</v>
      </c>
      <c r="AD80" s="1336" t="s">
        <v>1907</v>
      </c>
    </row>
    <row r="81" spans="1:30" ht="12.75" customHeight="1" x14ac:dyDescent="0.25">
      <c r="A81" s="585" t="s">
        <v>1625</v>
      </c>
      <c r="B81" s="73"/>
      <c r="C81" s="1356">
        <f>SUMIFS(Sheet1!S71_OriginalBudget,Sheet1!S71_SA34dCode,$AC:$AC,Sheet1!S71_DepCode,$AD:$AD)</f>
        <v>0</v>
      </c>
      <c r="D81" s="1356">
        <f>SUMIFS(Sheet1!S71_SpecialAdjustedBudget,Sheet1!S71_SA34dCode,$AC:$AC,Sheet1!S71_DepCode,$AD:$AD)</f>
        <v>0</v>
      </c>
      <c r="E81" s="1356"/>
      <c r="F81" s="1356"/>
      <c r="G81" s="1356"/>
      <c r="H81" s="1356"/>
      <c r="I81" s="1356">
        <f>SUMIFS(Sheet1!S71_AdjustmentAmount,Sheet1!S71_SA34dCode,$AC:$AC,Sheet1!S71_DepCode,$AD:$AD)</f>
        <v>0</v>
      </c>
      <c r="J81" s="75">
        <f t="shared" si="16"/>
        <v>0</v>
      </c>
      <c r="K81" s="75">
        <f t="shared" si="14"/>
        <v>0</v>
      </c>
      <c r="L81" s="1356">
        <f>SUMIFS(Sheet1!S71_OY1AdjustedBudget,Sheet1!S71_SA34dCode,$AC:$AC,Sheet1!S71_DepCode,$AD:$AD)</f>
        <v>0</v>
      </c>
      <c r="M81" s="1357">
        <f>SUMIFS(Sheet1!S71_OY2AdjustedBudget,Sheet1!S71_SA34dCode,$AC:$AC,Sheet1!S71_DepCode,$AD:$AD)</f>
        <v>0</v>
      </c>
      <c r="N81" s="126"/>
      <c r="AC81" s="1336" t="s">
        <v>1945</v>
      </c>
      <c r="AD81" s="1336" t="s">
        <v>1907</v>
      </c>
    </row>
    <row r="82" spans="1:30" ht="12.75" customHeight="1" x14ac:dyDescent="0.25">
      <c r="A82" s="585" t="s">
        <v>1626</v>
      </c>
      <c r="B82" s="73"/>
      <c r="C82" s="1356">
        <f>SUMIFS(Sheet1!S71_OriginalBudget,Sheet1!S71_SA34dCode,$AC:$AC,Sheet1!S71_DepCode,$AD:$AD)</f>
        <v>0</v>
      </c>
      <c r="D82" s="1356">
        <f>SUMIFS(Sheet1!S71_SpecialAdjustedBudget,Sheet1!S71_SA34dCode,$AC:$AC,Sheet1!S71_DepCode,$AD:$AD)</f>
        <v>0</v>
      </c>
      <c r="E82" s="1356"/>
      <c r="F82" s="1356"/>
      <c r="G82" s="1356"/>
      <c r="H82" s="1356"/>
      <c r="I82" s="1356">
        <f>SUMIFS(Sheet1!S71_AdjustmentAmount,Sheet1!S71_SA34dCode,$AC:$AC,Sheet1!S71_DepCode,$AD:$AD)</f>
        <v>0</v>
      </c>
      <c r="J82" s="75">
        <f t="shared" si="16"/>
        <v>0</v>
      </c>
      <c r="K82" s="75">
        <f t="shared" si="14"/>
        <v>0</v>
      </c>
      <c r="L82" s="1356">
        <f>SUMIFS(Sheet1!S71_OY1AdjustedBudget,Sheet1!S71_SA34dCode,$AC:$AC,Sheet1!S71_DepCode,$AD:$AD)</f>
        <v>0</v>
      </c>
      <c r="M82" s="1357">
        <f>SUMIFS(Sheet1!S71_OY2AdjustedBudget,Sheet1!S71_SA34dCode,$AC:$AC,Sheet1!S71_DepCode,$AD:$AD)</f>
        <v>0</v>
      </c>
      <c r="N82" s="126"/>
      <c r="AC82" s="1336" t="s">
        <v>1946</v>
      </c>
      <c r="AD82" s="1336" t="s">
        <v>1907</v>
      </c>
    </row>
    <row r="83" spans="1:30" ht="12.75" customHeight="1" x14ac:dyDescent="0.25">
      <c r="A83" s="585" t="s">
        <v>1627</v>
      </c>
      <c r="B83" s="73"/>
      <c r="C83" s="1356">
        <f>SUMIFS(Sheet1!S71_OriginalBudget,Sheet1!S71_SA34dCode,$AC:$AC,Sheet1!S71_DepCode,$AD:$AD)</f>
        <v>0</v>
      </c>
      <c r="D83" s="1356">
        <f>SUMIFS(Sheet1!S71_SpecialAdjustedBudget,Sheet1!S71_SA34dCode,$AC:$AC,Sheet1!S71_DepCode,$AD:$AD)</f>
        <v>0</v>
      </c>
      <c r="E83" s="1356"/>
      <c r="F83" s="1356"/>
      <c r="G83" s="1356"/>
      <c r="H83" s="1356"/>
      <c r="I83" s="1356">
        <f>SUMIFS(Sheet1!S71_AdjustmentAmount,Sheet1!S71_SA34dCode,$AC:$AC,Sheet1!S71_DepCode,$AD:$AD)</f>
        <v>0</v>
      </c>
      <c r="J83" s="75">
        <f t="shared" si="16"/>
        <v>0</v>
      </c>
      <c r="K83" s="75">
        <f t="shared" si="14"/>
        <v>0</v>
      </c>
      <c r="L83" s="1356">
        <f>SUMIFS(Sheet1!S71_OY1AdjustedBudget,Sheet1!S71_SA34dCode,$AC:$AC,Sheet1!S71_DepCode,$AD:$AD)</f>
        <v>0</v>
      </c>
      <c r="M83" s="1357">
        <f>SUMIFS(Sheet1!S71_OY2AdjustedBudget,Sheet1!S71_SA34dCode,$AC:$AC,Sheet1!S71_DepCode,$AD:$AD)</f>
        <v>0</v>
      </c>
      <c r="N83" s="126"/>
      <c r="AC83" s="1336" t="s">
        <v>1947</v>
      </c>
      <c r="AD83" s="1336" t="s">
        <v>1907</v>
      </c>
    </row>
    <row r="84" spans="1:30" ht="12.75" customHeight="1" x14ac:dyDescent="0.25">
      <c r="A84" s="585" t="s">
        <v>1628</v>
      </c>
      <c r="B84" s="73"/>
      <c r="C84" s="1356">
        <f>SUMIFS(Sheet1!S71_OriginalBudget,Sheet1!S71_SA34dCode,$AC:$AC,Sheet1!S71_DepCode,$AD:$AD)</f>
        <v>0</v>
      </c>
      <c r="D84" s="1356">
        <f>SUMIFS(Sheet1!S71_SpecialAdjustedBudget,Sheet1!S71_SA34dCode,$AC:$AC,Sheet1!S71_DepCode,$AD:$AD)</f>
        <v>0</v>
      </c>
      <c r="E84" s="1356"/>
      <c r="F84" s="1356"/>
      <c r="G84" s="1356"/>
      <c r="H84" s="1356"/>
      <c r="I84" s="1356">
        <f>SUMIFS(Sheet1!S71_AdjustmentAmount,Sheet1!S71_SA34dCode,$AC:$AC,Sheet1!S71_DepCode,$AD:$AD)</f>
        <v>0</v>
      </c>
      <c r="J84" s="75">
        <f t="shared" si="16"/>
        <v>0</v>
      </c>
      <c r="K84" s="75">
        <f t="shared" si="14"/>
        <v>0</v>
      </c>
      <c r="L84" s="1356">
        <f>SUMIFS(Sheet1!S71_OY1AdjustedBudget,Sheet1!S71_SA34dCode,$AC:$AC,Sheet1!S71_DepCode,$AD:$AD)</f>
        <v>0</v>
      </c>
      <c r="M84" s="1357">
        <f>SUMIFS(Sheet1!S71_OY2AdjustedBudget,Sheet1!S71_SA34dCode,$AC:$AC,Sheet1!S71_DepCode,$AD:$AD)</f>
        <v>0</v>
      </c>
      <c r="N84" s="126"/>
      <c r="AC84" s="1336" t="s">
        <v>1948</v>
      </c>
      <c r="AD84" s="1336" t="s">
        <v>1907</v>
      </c>
    </row>
    <row r="85" spans="1:30" ht="12.75" customHeight="1" x14ac:dyDescent="0.25">
      <c r="A85" s="585" t="s">
        <v>1629</v>
      </c>
      <c r="B85" s="73"/>
      <c r="C85" s="1356">
        <f>SUMIFS(Sheet1!S71_OriginalBudget,Sheet1!S71_SA34dCode,$AC:$AC,Sheet1!S71_DepCode,$AD:$AD)</f>
        <v>0</v>
      </c>
      <c r="D85" s="1356">
        <f>SUMIFS(Sheet1!S71_SpecialAdjustedBudget,Sheet1!S71_SA34dCode,$AC:$AC,Sheet1!S71_DepCode,$AD:$AD)</f>
        <v>0</v>
      </c>
      <c r="E85" s="1356"/>
      <c r="F85" s="1356"/>
      <c r="G85" s="1356"/>
      <c r="H85" s="1356"/>
      <c r="I85" s="1356">
        <f>SUMIFS(Sheet1!S71_AdjustmentAmount,Sheet1!S71_SA34dCode,$AC:$AC,Sheet1!S71_DepCode,$AD:$AD)</f>
        <v>0</v>
      </c>
      <c r="J85" s="75">
        <f t="shared" si="16"/>
        <v>0</v>
      </c>
      <c r="K85" s="75">
        <f t="shared" si="14"/>
        <v>0</v>
      </c>
      <c r="L85" s="1356">
        <f>SUMIFS(Sheet1!S71_OY1AdjustedBudget,Sheet1!S71_SA34dCode,$AC:$AC,Sheet1!S71_DepCode,$AD:$AD)</f>
        <v>0</v>
      </c>
      <c r="M85" s="1357">
        <f>SUMIFS(Sheet1!S71_OY2AdjustedBudget,Sheet1!S71_SA34dCode,$AC:$AC,Sheet1!S71_DepCode,$AD:$AD)</f>
        <v>0</v>
      </c>
      <c r="N85" s="126"/>
      <c r="AC85" s="1336" t="s">
        <v>1949</v>
      </c>
      <c r="AD85" s="1336" t="s">
        <v>1907</v>
      </c>
    </row>
    <row r="86" spans="1:30" ht="12.75" customHeight="1" x14ac:dyDescent="0.25">
      <c r="A86" s="585" t="s">
        <v>1511</v>
      </c>
      <c r="B86" s="73"/>
      <c r="C86" s="1356">
        <f>SUMIFS(Sheet1!S71_OriginalBudget,Sheet1!S71_SA34dCode,$AC:$AC,Sheet1!S71_DepCode,$AD:$AD)</f>
        <v>0</v>
      </c>
      <c r="D86" s="1356">
        <f>SUMIFS(Sheet1!S71_SpecialAdjustedBudget,Sheet1!S71_SA34dCode,$AC:$AC,Sheet1!S71_DepCode,$AD:$AD)</f>
        <v>0</v>
      </c>
      <c r="E86" s="1356"/>
      <c r="F86" s="1356"/>
      <c r="G86" s="1356"/>
      <c r="H86" s="1356"/>
      <c r="I86" s="1356">
        <f>SUMIFS(Sheet1!S71_AdjustmentAmount,Sheet1!S71_SA34dCode,$AC:$AC,Sheet1!S71_DepCode,$AD:$AD)</f>
        <v>0</v>
      </c>
      <c r="J86" s="75">
        <f t="shared" si="16"/>
        <v>0</v>
      </c>
      <c r="K86" s="75">
        <f t="shared" si="14"/>
        <v>0</v>
      </c>
      <c r="L86" s="1356">
        <f>SUMIFS(Sheet1!S71_OY1AdjustedBudget,Sheet1!S71_SA34dCode,$AC:$AC,Sheet1!S71_DepCode,$AD:$AD)</f>
        <v>0</v>
      </c>
      <c r="M86" s="1357">
        <f>SUMIFS(Sheet1!S71_OY2AdjustedBudget,Sheet1!S71_SA34dCode,$AC:$AC,Sheet1!S71_DepCode,$AD:$AD)</f>
        <v>0</v>
      </c>
      <c r="N86" s="126"/>
      <c r="AC86" s="1336" t="s">
        <v>1950</v>
      </c>
      <c r="AD86" s="1336" t="s">
        <v>1907</v>
      </c>
    </row>
    <row r="87" spans="1:30" ht="12.75" customHeight="1" x14ac:dyDescent="0.25">
      <c r="A87" s="585" t="s">
        <v>494</v>
      </c>
      <c r="B87" s="73"/>
      <c r="C87" s="1356">
        <f>SUMIFS(Sheet1!S71_OriginalBudget,Sheet1!S71_SA34dCode,$AC:$AC,Sheet1!S71_DepCode,$AD:$AD)</f>
        <v>0</v>
      </c>
      <c r="D87" s="1356">
        <f>SUMIFS(Sheet1!S71_SpecialAdjustedBudget,Sheet1!S71_SA34dCode,$AC:$AC,Sheet1!S71_DepCode,$AD:$AD)</f>
        <v>0</v>
      </c>
      <c r="E87" s="1356"/>
      <c r="F87" s="1356"/>
      <c r="G87" s="1356"/>
      <c r="H87" s="1356"/>
      <c r="I87" s="1356">
        <f>SUMIFS(Sheet1!S71_AdjustmentAmount,Sheet1!S71_SA34dCode,$AC:$AC,Sheet1!S71_DepCode,$AD:$AD)</f>
        <v>0</v>
      </c>
      <c r="J87" s="75">
        <f t="shared" si="16"/>
        <v>0</v>
      </c>
      <c r="K87" s="75">
        <f t="shared" si="14"/>
        <v>0</v>
      </c>
      <c r="L87" s="1356">
        <f>SUMIFS(Sheet1!S71_OY1AdjustedBudget,Sheet1!S71_SA34dCode,$AC:$AC,Sheet1!S71_DepCode,$AD:$AD)</f>
        <v>0</v>
      </c>
      <c r="M87" s="1357">
        <f>SUMIFS(Sheet1!S71_OY2AdjustedBudget,Sheet1!S71_SA34dCode,$AC:$AC,Sheet1!S71_DepCode,$AD:$AD)</f>
        <v>0</v>
      </c>
      <c r="N87" s="126"/>
      <c r="AC87" s="1336" t="s">
        <v>1951</v>
      </c>
      <c r="AD87" s="1336" t="s">
        <v>1907</v>
      </c>
    </row>
    <row r="88" spans="1:30" ht="12.75" customHeight="1" x14ac:dyDescent="0.25">
      <c r="A88" s="585" t="s">
        <v>1630</v>
      </c>
      <c r="B88" s="73"/>
      <c r="C88" s="1356">
        <f>SUMIFS(Sheet1!S71_OriginalBudget,Sheet1!S71_SA34dCode,$AC:$AC,Sheet1!S71_DepCode,$AD:$AD)</f>
        <v>0</v>
      </c>
      <c r="D88" s="1356">
        <f>SUMIFS(Sheet1!S71_SpecialAdjustedBudget,Sheet1!S71_SA34dCode,$AC:$AC,Sheet1!S71_DepCode,$AD:$AD)</f>
        <v>0</v>
      </c>
      <c r="E88" s="1356"/>
      <c r="F88" s="1356"/>
      <c r="G88" s="1356"/>
      <c r="H88" s="1356"/>
      <c r="I88" s="1356">
        <f>SUMIFS(Sheet1!S71_AdjustmentAmount,Sheet1!S71_SA34dCode,$AC:$AC,Sheet1!S71_DepCode,$AD:$AD)</f>
        <v>0</v>
      </c>
      <c r="J88" s="75">
        <f t="shared" si="16"/>
        <v>0</v>
      </c>
      <c r="K88" s="75">
        <f t="shared" si="14"/>
        <v>0</v>
      </c>
      <c r="L88" s="1356">
        <f>SUMIFS(Sheet1!S71_OY1AdjustedBudget,Sheet1!S71_SA34dCode,$AC:$AC,Sheet1!S71_DepCode,$AD:$AD)</f>
        <v>0</v>
      </c>
      <c r="M88" s="1357">
        <f>SUMIFS(Sheet1!S71_OY2AdjustedBudget,Sheet1!S71_SA34dCode,$AC:$AC,Sheet1!S71_DepCode,$AD:$AD)</f>
        <v>0</v>
      </c>
      <c r="N88" s="126"/>
      <c r="AC88" s="1336" t="s">
        <v>1952</v>
      </c>
      <c r="AD88" s="1336" t="s">
        <v>1907</v>
      </c>
    </row>
    <row r="89" spans="1:30" ht="12.75" customHeight="1" x14ac:dyDescent="0.25">
      <c r="A89" s="585" t="s">
        <v>1631</v>
      </c>
      <c r="B89" s="73"/>
      <c r="C89" s="1356">
        <f>SUMIFS(Sheet1!S71_OriginalBudget,Sheet1!S71_SA34dCode,$AC:$AC,Sheet1!S71_DepCode,$AD:$AD)</f>
        <v>0</v>
      </c>
      <c r="D89" s="1356">
        <f>SUMIFS(Sheet1!S71_SpecialAdjustedBudget,Sheet1!S71_SA34dCode,$AC:$AC,Sheet1!S71_DepCode,$AD:$AD)</f>
        <v>0</v>
      </c>
      <c r="E89" s="1356"/>
      <c r="F89" s="1356"/>
      <c r="G89" s="1356"/>
      <c r="H89" s="1356"/>
      <c r="I89" s="1356">
        <f>SUMIFS(Sheet1!S71_AdjustmentAmount,Sheet1!S71_SA34dCode,$AC:$AC,Sheet1!S71_DepCode,$AD:$AD)</f>
        <v>0</v>
      </c>
      <c r="J89" s="75">
        <f t="shared" si="16"/>
        <v>0</v>
      </c>
      <c r="K89" s="75">
        <f t="shared" si="14"/>
        <v>0</v>
      </c>
      <c r="L89" s="1356">
        <f>SUMIFS(Sheet1!S71_OY1AdjustedBudget,Sheet1!S71_SA34dCode,$AC:$AC,Sheet1!S71_DepCode,$AD:$AD)</f>
        <v>0</v>
      </c>
      <c r="M89" s="1357">
        <f>SUMIFS(Sheet1!S71_OY2AdjustedBudget,Sheet1!S71_SA34dCode,$AC:$AC,Sheet1!S71_DepCode,$AD:$AD)</f>
        <v>0</v>
      </c>
      <c r="N89" s="126"/>
      <c r="AC89" s="1336" t="s">
        <v>1820</v>
      </c>
      <c r="AD89" s="1336" t="s">
        <v>1907</v>
      </c>
    </row>
    <row r="90" spans="1:30" ht="12.75" customHeight="1" x14ac:dyDescent="0.25">
      <c r="A90" s="585" t="s">
        <v>1632</v>
      </c>
      <c r="B90" s="73"/>
      <c r="C90" s="1356">
        <f>SUMIFS(Sheet1!S71_OriginalBudget,Sheet1!S71_SA34dCode,$AC:$AC,Sheet1!S71_DepCode,$AD:$AD)</f>
        <v>0</v>
      </c>
      <c r="D90" s="1356">
        <f>SUMIFS(Sheet1!S71_SpecialAdjustedBudget,Sheet1!S71_SA34dCode,$AC:$AC,Sheet1!S71_DepCode,$AD:$AD)</f>
        <v>0</v>
      </c>
      <c r="E90" s="1356"/>
      <c r="F90" s="1356"/>
      <c r="G90" s="1356"/>
      <c r="H90" s="1356"/>
      <c r="I90" s="1356">
        <f>SUMIFS(Sheet1!S71_AdjustmentAmount,Sheet1!S71_SA34dCode,$AC:$AC,Sheet1!S71_DepCode,$AD:$AD)</f>
        <v>0</v>
      </c>
      <c r="J90" s="75">
        <f t="shared" si="16"/>
        <v>0</v>
      </c>
      <c r="K90" s="75">
        <f t="shared" si="14"/>
        <v>0</v>
      </c>
      <c r="L90" s="1356">
        <f>SUMIFS(Sheet1!S71_OY1AdjustedBudget,Sheet1!S71_SA34dCode,$AC:$AC,Sheet1!S71_DepCode,$AD:$AD)</f>
        <v>0</v>
      </c>
      <c r="M90" s="1357">
        <f>SUMIFS(Sheet1!S71_OY2AdjustedBudget,Sheet1!S71_SA34dCode,$AC:$AC,Sheet1!S71_DepCode,$AD:$AD)</f>
        <v>0</v>
      </c>
      <c r="N90" s="126"/>
      <c r="AC90" s="1336" t="s">
        <v>1953</v>
      </c>
      <c r="AD90" s="1336" t="s">
        <v>1907</v>
      </c>
    </row>
    <row r="91" spans="1:30" ht="12.75" customHeight="1" x14ac:dyDescent="0.25">
      <c r="A91" s="585" t="s">
        <v>1633</v>
      </c>
      <c r="B91" s="73"/>
      <c r="C91" s="1356">
        <f>SUMIFS(Sheet1!S71_OriginalBudget,Sheet1!S71_SA34dCode,$AC:$AC,Sheet1!S71_DepCode,$AD:$AD)</f>
        <v>0</v>
      </c>
      <c r="D91" s="1356">
        <f>SUMIFS(Sheet1!S71_SpecialAdjustedBudget,Sheet1!S71_SA34dCode,$AC:$AC,Sheet1!S71_DepCode,$AD:$AD)</f>
        <v>0</v>
      </c>
      <c r="E91" s="1356"/>
      <c r="F91" s="1356"/>
      <c r="G91" s="1356"/>
      <c r="H91" s="1356"/>
      <c r="I91" s="1356">
        <f>SUMIFS(Sheet1!S71_AdjustmentAmount,Sheet1!S71_SA34dCode,$AC:$AC,Sheet1!S71_DepCode,$AD:$AD)</f>
        <v>0</v>
      </c>
      <c r="J91" s="75">
        <f t="shared" si="16"/>
        <v>0</v>
      </c>
      <c r="K91" s="75">
        <f t="shared" si="14"/>
        <v>0</v>
      </c>
      <c r="L91" s="1356">
        <f>SUMIFS(Sheet1!S71_OY1AdjustedBudget,Sheet1!S71_SA34dCode,$AC:$AC,Sheet1!S71_DepCode,$AD:$AD)</f>
        <v>0</v>
      </c>
      <c r="M91" s="1357">
        <f>SUMIFS(Sheet1!S71_OY2AdjustedBudget,Sheet1!S71_SA34dCode,$AC:$AC,Sheet1!S71_DepCode,$AD:$AD)</f>
        <v>0</v>
      </c>
      <c r="N91" s="126"/>
      <c r="AC91" s="1336" t="s">
        <v>1954</v>
      </c>
      <c r="AD91" s="1336" t="s">
        <v>1907</v>
      </c>
    </row>
    <row r="92" spans="1:30" ht="12.75" customHeight="1" x14ac:dyDescent="0.25">
      <c r="A92" s="585" t="s">
        <v>1634</v>
      </c>
      <c r="B92" s="73"/>
      <c r="C92" s="1356">
        <f>SUMIFS(Sheet1!S71_OriginalBudget,Sheet1!S71_SA34dCode,$AC:$AC,Sheet1!S71_DepCode,$AD:$AD)</f>
        <v>0</v>
      </c>
      <c r="D92" s="1356">
        <f>SUMIFS(Sheet1!S71_SpecialAdjustedBudget,Sheet1!S71_SA34dCode,$AC:$AC,Sheet1!S71_DepCode,$AD:$AD)</f>
        <v>0</v>
      </c>
      <c r="E92" s="1356"/>
      <c r="F92" s="1356"/>
      <c r="G92" s="1356"/>
      <c r="H92" s="1356"/>
      <c r="I92" s="1356">
        <f>SUMIFS(Sheet1!S71_AdjustmentAmount,Sheet1!S71_SA34dCode,$AC:$AC,Sheet1!S71_DepCode,$AD:$AD)</f>
        <v>0</v>
      </c>
      <c r="J92" s="75">
        <f t="shared" si="16"/>
        <v>0</v>
      </c>
      <c r="K92" s="75">
        <f t="shared" si="14"/>
        <v>0</v>
      </c>
      <c r="L92" s="1356">
        <f>SUMIFS(Sheet1!S71_OY1AdjustedBudget,Sheet1!S71_SA34dCode,$AC:$AC,Sheet1!S71_DepCode,$AD:$AD)</f>
        <v>0</v>
      </c>
      <c r="M92" s="1357">
        <f>SUMIFS(Sheet1!S71_OY2AdjustedBudget,Sheet1!S71_SA34dCode,$AC:$AC,Sheet1!S71_DepCode,$AD:$AD)</f>
        <v>0</v>
      </c>
      <c r="N92" s="126"/>
      <c r="AC92" s="1336" t="s">
        <v>1955</v>
      </c>
      <c r="AD92" s="1336" t="s">
        <v>1907</v>
      </c>
    </row>
    <row r="93" spans="1:30" ht="12.75" customHeight="1" x14ac:dyDescent="0.25">
      <c r="A93" s="585" t="s">
        <v>1635</v>
      </c>
      <c r="B93" s="73"/>
      <c r="C93" s="1356">
        <f>SUMIFS(Sheet1!S71_OriginalBudget,Sheet1!S71_SA34dCode,$AC:$AC,Sheet1!S71_DepCode,$AD:$AD)</f>
        <v>0</v>
      </c>
      <c r="D93" s="1356">
        <f>SUMIFS(Sheet1!S71_SpecialAdjustedBudget,Sheet1!S71_SA34dCode,$AC:$AC,Sheet1!S71_DepCode,$AD:$AD)</f>
        <v>0</v>
      </c>
      <c r="E93" s="1356"/>
      <c r="F93" s="1356"/>
      <c r="G93" s="1356"/>
      <c r="H93" s="1356"/>
      <c r="I93" s="1356">
        <f>SUMIFS(Sheet1!S71_AdjustmentAmount,Sheet1!S71_SA34dCode,$AC:$AC,Sheet1!S71_DepCode,$AD:$AD)</f>
        <v>0</v>
      </c>
      <c r="J93" s="75">
        <f t="shared" si="16"/>
        <v>0</v>
      </c>
      <c r="K93" s="75">
        <f t="shared" si="14"/>
        <v>0</v>
      </c>
      <c r="L93" s="1356">
        <f>SUMIFS(Sheet1!S71_OY1AdjustedBudget,Sheet1!S71_SA34dCode,$AC:$AC,Sheet1!S71_DepCode,$AD:$AD)</f>
        <v>0</v>
      </c>
      <c r="M93" s="1357">
        <f>SUMIFS(Sheet1!S71_OY2AdjustedBudget,Sheet1!S71_SA34dCode,$AC:$AC,Sheet1!S71_DepCode,$AD:$AD)</f>
        <v>0</v>
      </c>
      <c r="N93" s="126"/>
      <c r="AC93" s="1336" t="s">
        <v>1956</v>
      </c>
      <c r="AD93" s="1336" t="s">
        <v>1907</v>
      </c>
    </row>
    <row r="94" spans="1:30" ht="12.75" customHeight="1" x14ac:dyDescent="0.25">
      <c r="A94" s="585" t="s">
        <v>510</v>
      </c>
      <c r="B94" s="73"/>
      <c r="C94" s="1356">
        <f>SUMIFS(Sheet1!S71_OriginalBudget,Sheet1!S71_SA34dCode,$AC:$AC,Sheet1!S71_DepCode,$AD:$AD)</f>
        <v>0</v>
      </c>
      <c r="D94" s="1356">
        <f>SUMIFS(Sheet1!S71_SpecialAdjustedBudget,Sheet1!S71_SA34dCode,$AC:$AC,Sheet1!S71_DepCode,$AD:$AD)</f>
        <v>0</v>
      </c>
      <c r="E94" s="1356"/>
      <c r="F94" s="1356"/>
      <c r="G94" s="1356"/>
      <c r="H94" s="1356"/>
      <c r="I94" s="1356">
        <f>SUMIFS(Sheet1!S71_AdjustmentAmount,Sheet1!S71_SA34dCode,$AC:$AC,Sheet1!S71_DepCode,$AD:$AD)</f>
        <v>0</v>
      </c>
      <c r="J94" s="75">
        <f t="shared" si="16"/>
        <v>0</v>
      </c>
      <c r="K94" s="75">
        <f t="shared" si="14"/>
        <v>0</v>
      </c>
      <c r="L94" s="1356">
        <f>SUMIFS(Sheet1!S71_OY1AdjustedBudget,Sheet1!S71_SA34dCode,$AC:$AC,Sheet1!S71_DepCode,$AD:$AD)</f>
        <v>0</v>
      </c>
      <c r="M94" s="1357">
        <f>SUMIFS(Sheet1!S71_OY2AdjustedBudget,Sheet1!S71_SA34dCode,$AC:$AC,Sheet1!S71_DepCode,$AD:$AD)</f>
        <v>0</v>
      </c>
      <c r="N94" s="126"/>
      <c r="AC94" s="1336" t="s">
        <v>1957</v>
      </c>
      <c r="AD94" s="1336" t="s">
        <v>1907</v>
      </c>
    </row>
    <row r="95" spans="1:30" ht="12.75" customHeight="1" x14ac:dyDescent="0.25">
      <c r="A95" s="585" t="s">
        <v>1636</v>
      </c>
      <c r="B95" s="73"/>
      <c r="C95" s="1356">
        <f>SUMIFS(Sheet1!S71_OriginalBudget,Sheet1!S71_SA34dCode,$AC:$AC,Sheet1!S71_DepCode,$AD:$AD)</f>
        <v>0</v>
      </c>
      <c r="D95" s="1356">
        <f>SUMIFS(Sheet1!S71_SpecialAdjustedBudget,Sheet1!S71_SA34dCode,$AC:$AC,Sheet1!S71_DepCode,$AD:$AD)</f>
        <v>0</v>
      </c>
      <c r="E95" s="1356"/>
      <c r="F95" s="1356"/>
      <c r="G95" s="1356"/>
      <c r="H95" s="1356"/>
      <c r="I95" s="1356">
        <f>SUMIFS(Sheet1!S71_AdjustmentAmount,Sheet1!S71_SA34dCode,$AC:$AC,Sheet1!S71_DepCode,$AD:$AD)</f>
        <v>0</v>
      </c>
      <c r="J95" s="75">
        <f t="shared" si="16"/>
        <v>0</v>
      </c>
      <c r="K95" s="75">
        <f t="shared" si="14"/>
        <v>0</v>
      </c>
      <c r="L95" s="1356">
        <f>SUMIFS(Sheet1!S71_OY1AdjustedBudget,Sheet1!S71_SA34dCode,$AC:$AC,Sheet1!S71_DepCode,$AD:$AD)</f>
        <v>0</v>
      </c>
      <c r="M95" s="1357">
        <f>SUMIFS(Sheet1!S71_OY2AdjustedBudget,Sheet1!S71_SA34dCode,$AC:$AC,Sheet1!S71_DepCode,$AD:$AD)</f>
        <v>0</v>
      </c>
      <c r="N95" s="126"/>
      <c r="AC95" s="1336" t="s">
        <v>1958</v>
      </c>
      <c r="AD95" s="1336" t="s">
        <v>1907</v>
      </c>
    </row>
    <row r="96" spans="1:30" ht="12.75" customHeight="1" x14ac:dyDescent="0.25">
      <c r="A96" s="585" t="s">
        <v>509</v>
      </c>
      <c r="B96" s="73"/>
      <c r="C96" s="1356">
        <f>SUMIFS(Sheet1!S71_OriginalBudget,Sheet1!S71_SA34dCode,$AC:$AC,Sheet1!S71_DepCode,$AD:$AD)</f>
        <v>0</v>
      </c>
      <c r="D96" s="1356">
        <f>SUMIFS(Sheet1!S71_SpecialAdjustedBudget,Sheet1!S71_SA34dCode,$AC:$AC,Sheet1!S71_DepCode,$AD:$AD)</f>
        <v>0</v>
      </c>
      <c r="E96" s="1356"/>
      <c r="F96" s="1356"/>
      <c r="G96" s="1356"/>
      <c r="H96" s="1356"/>
      <c r="I96" s="1356">
        <f>SUMIFS(Sheet1!S71_AdjustmentAmount,Sheet1!S71_SA34dCode,$AC:$AC,Sheet1!S71_DepCode,$AD:$AD)</f>
        <v>0</v>
      </c>
      <c r="J96" s="75">
        <f t="shared" si="16"/>
        <v>0</v>
      </c>
      <c r="K96" s="75">
        <f t="shared" si="14"/>
        <v>0</v>
      </c>
      <c r="L96" s="1356">
        <f>SUMIFS(Sheet1!S71_OY1AdjustedBudget,Sheet1!S71_SA34dCode,$AC:$AC,Sheet1!S71_DepCode,$AD:$AD)</f>
        <v>0</v>
      </c>
      <c r="M96" s="1357">
        <f>SUMIFS(Sheet1!S71_OY2AdjustedBudget,Sheet1!S71_SA34dCode,$AC:$AC,Sheet1!S71_DepCode,$AD:$AD)</f>
        <v>0</v>
      </c>
      <c r="N96" s="842"/>
      <c r="AC96" s="1336" t="s">
        <v>1959</v>
      </c>
      <c r="AD96" s="1336" t="s">
        <v>1907</v>
      </c>
    </row>
    <row r="97" spans="1:30" ht="12.75" customHeight="1" x14ac:dyDescent="0.25">
      <c r="A97" s="585" t="s">
        <v>1637</v>
      </c>
      <c r="B97" s="73"/>
      <c r="C97" s="1356">
        <f>SUMIFS(Sheet1!S71_OriginalBudget,Sheet1!S71_SA34dCode,$AC:$AC,Sheet1!S71_DepCode,$AD:$AD)</f>
        <v>0</v>
      </c>
      <c r="D97" s="1356">
        <f>SUMIFS(Sheet1!S71_SpecialAdjustedBudget,Sheet1!S71_SA34dCode,$AC:$AC,Sheet1!S71_DepCode,$AD:$AD)</f>
        <v>0</v>
      </c>
      <c r="E97" s="1356"/>
      <c r="F97" s="1356"/>
      <c r="G97" s="1356"/>
      <c r="H97" s="1356"/>
      <c r="I97" s="1356">
        <f>SUMIFS(Sheet1!S71_AdjustmentAmount,Sheet1!S71_SA34dCode,$AC:$AC,Sheet1!S71_DepCode,$AD:$AD)</f>
        <v>0</v>
      </c>
      <c r="J97" s="75">
        <f t="shared" si="16"/>
        <v>0</v>
      </c>
      <c r="K97" s="75">
        <f t="shared" si="14"/>
        <v>0</v>
      </c>
      <c r="L97" s="1356">
        <f>SUMIFS(Sheet1!S71_OY1AdjustedBudget,Sheet1!S71_SA34dCode,$AC:$AC,Sheet1!S71_DepCode,$AD:$AD)</f>
        <v>0</v>
      </c>
      <c r="M97" s="1357">
        <f>SUMIFS(Sheet1!S71_OY2AdjustedBudget,Sheet1!S71_SA34dCode,$AC:$AC,Sheet1!S71_DepCode,$AD:$AD)</f>
        <v>0</v>
      </c>
      <c r="N97" s="126"/>
      <c r="AC97" s="1336" t="s">
        <v>1960</v>
      </c>
      <c r="AD97" s="1336" t="s">
        <v>1907</v>
      </c>
    </row>
    <row r="98" spans="1:30" ht="12.75" customHeight="1" x14ac:dyDescent="0.25">
      <c r="A98" s="585" t="s">
        <v>1638</v>
      </c>
      <c r="B98" s="73"/>
      <c r="C98" s="1356">
        <f>SUMIFS(Sheet1!S71_OriginalBudget,Sheet1!S71_SA34dCode,$AC:$AC,Sheet1!S71_DepCode,$AD:$AD)</f>
        <v>0</v>
      </c>
      <c r="D98" s="1356">
        <f>SUMIFS(Sheet1!S71_SpecialAdjustedBudget,Sheet1!S71_SA34dCode,$AC:$AC,Sheet1!S71_DepCode,$AD:$AD)</f>
        <v>0</v>
      </c>
      <c r="E98" s="1356"/>
      <c r="F98" s="1356"/>
      <c r="G98" s="1356"/>
      <c r="H98" s="1356"/>
      <c r="I98" s="1356">
        <f>SUMIFS(Sheet1!S71_AdjustmentAmount,Sheet1!S71_SA34dCode,$AC:$AC,Sheet1!S71_DepCode,$AD:$AD)</f>
        <v>0</v>
      </c>
      <c r="J98" s="75">
        <f t="shared" si="16"/>
        <v>0</v>
      </c>
      <c r="K98" s="75">
        <f t="shared" si="14"/>
        <v>0</v>
      </c>
      <c r="L98" s="1356">
        <f>SUMIFS(Sheet1!S71_OY1AdjustedBudget,Sheet1!S71_SA34dCode,$AC:$AC,Sheet1!S71_DepCode,$AD:$AD)</f>
        <v>0</v>
      </c>
      <c r="M98" s="1357">
        <f>SUMIFS(Sheet1!S71_OY2AdjustedBudget,Sheet1!S71_SA34dCode,$AC:$AC,Sheet1!S71_DepCode,$AD:$AD)</f>
        <v>0</v>
      </c>
      <c r="N98" s="126"/>
      <c r="AC98" s="1336" t="s">
        <v>1961</v>
      </c>
      <c r="AD98" s="1336" t="s">
        <v>1907</v>
      </c>
    </row>
    <row r="99" spans="1:30" ht="12.75" customHeight="1" x14ac:dyDescent="0.25">
      <c r="A99" s="585" t="s">
        <v>1571</v>
      </c>
      <c r="B99" s="73"/>
      <c r="C99" s="1356">
        <f>SUMIFS(Sheet1!S71_OriginalBudget,Sheet1!S71_SA34dCode,$AC:$AC,Sheet1!S71_DepCode,$AD:$AD)</f>
        <v>0</v>
      </c>
      <c r="D99" s="1356">
        <f>SUMIFS(Sheet1!S71_SpecialAdjustedBudget,Sheet1!S71_SA34dCode,$AC:$AC,Sheet1!S71_DepCode,$AD:$AD)</f>
        <v>0</v>
      </c>
      <c r="E99" s="1356"/>
      <c r="F99" s="1356"/>
      <c r="G99" s="1356"/>
      <c r="H99" s="1356"/>
      <c r="I99" s="1356">
        <f>SUMIFS(Sheet1!S71_AdjustmentAmount,Sheet1!S71_SA34dCode,$AC:$AC,Sheet1!S71_DepCode,$AD:$AD)</f>
        <v>0</v>
      </c>
      <c r="J99" s="75">
        <f t="shared" si="16"/>
        <v>0</v>
      </c>
      <c r="K99" s="75">
        <f t="shared" si="14"/>
        <v>0</v>
      </c>
      <c r="L99" s="1356">
        <f>SUMIFS(Sheet1!S71_OY1AdjustedBudget,Sheet1!S71_SA34dCode,$AC:$AC,Sheet1!S71_DepCode,$AD:$AD)</f>
        <v>0</v>
      </c>
      <c r="M99" s="1357">
        <f>SUMIFS(Sheet1!S71_OY2AdjustedBudget,Sheet1!S71_SA34dCode,$AC:$AC,Sheet1!S71_DepCode,$AD:$AD)</f>
        <v>0</v>
      </c>
      <c r="N99" s="126"/>
      <c r="AC99" s="1336" t="s">
        <v>1821</v>
      </c>
      <c r="AD99" s="1336" t="s">
        <v>1907</v>
      </c>
    </row>
    <row r="100" spans="1:30" ht="10.35" customHeight="1" x14ac:dyDescent="0.25">
      <c r="A100" s="584" t="s">
        <v>1639</v>
      </c>
      <c r="B100" s="73"/>
      <c r="C100" s="138">
        <f>SUM(C101:C103)</f>
        <v>0</v>
      </c>
      <c r="D100" s="139">
        <f t="shared" ref="D100:M100" si="18">SUM(D101:D103)</f>
        <v>0</v>
      </c>
      <c r="E100" s="139">
        <f t="shared" si="18"/>
        <v>0</v>
      </c>
      <c r="F100" s="139">
        <f t="shared" si="18"/>
        <v>0</v>
      </c>
      <c r="G100" s="139">
        <f t="shared" si="18"/>
        <v>0</v>
      </c>
      <c r="H100" s="139">
        <f t="shared" si="18"/>
        <v>0</v>
      </c>
      <c r="I100" s="139">
        <f t="shared" si="18"/>
        <v>0</v>
      </c>
      <c r="J100" s="139">
        <f t="shared" si="16"/>
        <v>0</v>
      </c>
      <c r="K100" s="139">
        <f t="shared" si="14"/>
        <v>0</v>
      </c>
      <c r="L100" s="139">
        <f t="shared" si="18"/>
        <v>0</v>
      </c>
      <c r="M100" s="140">
        <f t="shared" si="18"/>
        <v>0</v>
      </c>
      <c r="N100" s="126"/>
      <c r="AD100" s="1336" t="s">
        <v>1907</v>
      </c>
    </row>
    <row r="101" spans="1:30" ht="12.75" customHeight="1" x14ac:dyDescent="0.25">
      <c r="A101" s="585" t="s">
        <v>1640</v>
      </c>
      <c r="B101" s="73"/>
      <c r="C101" s="1356">
        <f>SUMIFS(Sheet1!S71_OriginalBudget,Sheet1!S71_SA34dCode,$AC:$AC,Sheet1!S71_DepCode,$AD:$AD)</f>
        <v>0</v>
      </c>
      <c r="D101" s="1356">
        <f>SUMIFS(Sheet1!S71_SpecialAdjustedBudget,Sheet1!S71_SA34dCode,$AC:$AC,Sheet1!S71_DepCode,$AD:$AD)</f>
        <v>0</v>
      </c>
      <c r="E101" s="1356"/>
      <c r="F101" s="1356"/>
      <c r="G101" s="1356"/>
      <c r="H101" s="1356"/>
      <c r="I101" s="1356">
        <f>SUMIFS(Sheet1!S71_AdjustmentAmount,Sheet1!S71_SA34dCode,$AC:$AC,Sheet1!S71_DepCode,$AD:$AD)</f>
        <v>0</v>
      </c>
      <c r="J101" s="75">
        <f t="shared" si="16"/>
        <v>0</v>
      </c>
      <c r="K101" s="75">
        <f t="shared" si="14"/>
        <v>0</v>
      </c>
      <c r="L101" s="1356">
        <f>SUMIFS(Sheet1!S71_OY1AdjustedBudget,Sheet1!S71_SA34dCode,$AC:$AC,Sheet1!S71_DepCode,$AD:$AD)</f>
        <v>0</v>
      </c>
      <c r="M101" s="1357">
        <f>SUMIFS(Sheet1!S71_OY2AdjustedBudget,Sheet1!S71_SA34dCode,$AC:$AC,Sheet1!S71_DepCode,$AD:$AD)</f>
        <v>0</v>
      </c>
      <c r="N101" s="126"/>
      <c r="AC101" s="1336" t="s">
        <v>1962</v>
      </c>
      <c r="AD101" s="1336" t="s">
        <v>1907</v>
      </c>
    </row>
    <row r="102" spans="1:30" ht="12.75" customHeight="1" x14ac:dyDescent="0.25">
      <c r="A102" s="585" t="s">
        <v>1641</v>
      </c>
      <c r="B102" s="73"/>
      <c r="C102" s="1356">
        <f>SUMIFS(Sheet1!S71_OriginalBudget,Sheet1!S71_SA34dCode,$AC:$AC,Sheet1!S71_DepCode,$AD:$AD)</f>
        <v>0</v>
      </c>
      <c r="D102" s="1356">
        <f>SUMIFS(Sheet1!S71_SpecialAdjustedBudget,Sheet1!S71_SA34dCode,$AC:$AC,Sheet1!S71_DepCode,$AD:$AD)</f>
        <v>0</v>
      </c>
      <c r="E102" s="1356"/>
      <c r="F102" s="1356"/>
      <c r="G102" s="1356"/>
      <c r="H102" s="1356"/>
      <c r="I102" s="1356">
        <f>SUMIFS(Sheet1!S71_AdjustmentAmount,Sheet1!S71_SA34dCode,$AC:$AC,Sheet1!S71_DepCode,$AD:$AD)</f>
        <v>0</v>
      </c>
      <c r="J102" s="75">
        <f t="shared" si="16"/>
        <v>0</v>
      </c>
      <c r="K102" s="75">
        <f t="shared" si="14"/>
        <v>0</v>
      </c>
      <c r="L102" s="1356">
        <f>SUMIFS(Sheet1!S71_OY1AdjustedBudget,Sheet1!S71_SA34dCode,$AC:$AC,Sheet1!S71_DepCode,$AD:$AD)</f>
        <v>0</v>
      </c>
      <c r="M102" s="1357">
        <f>SUMIFS(Sheet1!S71_OY2AdjustedBudget,Sheet1!S71_SA34dCode,$AC:$AC,Sheet1!S71_DepCode,$AD:$AD)</f>
        <v>0</v>
      </c>
      <c r="N102" s="126"/>
      <c r="AC102" s="1336" t="s">
        <v>1963</v>
      </c>
      <c r="AD102" s="1336" t="s">
        <v>1907</v>
      </c>
    </row>
    <row r="103" spans="1:30" ht="12.75" customHeight="1" x14ac:dyDescent="0.25">
      <c r="A103" s="585" t="s">
        <v>1571</v>
      </c>
      <c r="B103" s="73"/>
      <c r="C103" s="1356">
        <f>SUMIFS(Sheet1!S71_OriginalBudget,Sheet1!S71_SA34dCode,$AC:$AC,Sheet1!S71_DepCode,$AD:$AD)</f>
        <v>0</v>
      </c>
      <c r="D103" s="1356">
        <f>SUMIFS(Sheet1!S71_SpecialAdjustedBudget,Sheet1!S71_SA34dCode,$AC:$AC,Sheet1!S71_DepCode,$AD:$AD)</f>
        <v>0</v>
      </c>
      <c r="E103" s="1356"/>
      <c r="F103" s="1356"/>
      <c r="G103" s="1356"/>
      <c r="H103" s="1356"/>
      <c r="I103" s="1356">
        <f>SUMIFS(Sheet1!S71_AdjustmentAmount,Sheet1!S71_SA34dCode,$AC:$AC,Sheet1!S71_DepCode,$AD:$AD)</f>
        <v>0</v>
      </c>
      <c r="J103" s="75">
        <f t="shared" si="16"/>
        <v>0</v>
      </c>
      <c r="K103" s="75">
        <f t="shared" si="14"/>
        <v>0</v>
      </c>
      <c r="L103" s="1356">
        <f>SUMIFS(Sheet1!S71_OY1AdjustedBudget,Sheet1!S71_SA34dCode,$AC:$AC,Sheet1!S71_DepCode,$AD:$AD)</f>
        <v>0</v>
      </c>
      <c r="M103" s="1357">
        <f>SUMIFS(Sheet1!S71_OY2AdjustedBudget,Sheet1!S71_SA34dCode,$AC:$AC,Sheet1!S71_DepCode,$AD:$AD)</f>
        <v>0</v>
      </c>
      <c r="N103" s="126"/>
      <c r="AC103" s="1336" t="s">
        <v>1964</v>
      </c>
      <c r="AD103" s="1336" t="s">
        <v>1907</v>
      </c>
    </row>
    <row r="104" spans="1:30" ht="5.0999999999999996" customHeight="1" x14ac:dyDescent="0.25">
      <c r="A104" s="134"/>
      <c r="B104" s="73"/>
      <c r="C104" s="125"/>
      <c r="D104" s="169"/>
      <c r="E104" s="169"/>
      <c r="F104" s="169"/>
      <c r="G104" s="169"/>
      <c r="H104" s="169"/>
      <c r="I104" s="169"/>
      <c r="J104" s="75"/>
      <c r="K104" s="75"/>
      <c r="L104" s="75"/>
      <c r="M104" s="76"/>
      <c r="N104" s="126"/>
      <c r="AD104" s="1336" t="s">
        <v>1907</v>
      </c>
    </row>
    <row r="105" spans="1:30" ht="12.75" customHeight="1" x14ac:dyDescent="0.25">
      <c r="A105" s="484" t="s">
        <v>767</v>
      </c>
      <c r="B105" s="73"/>
      <c r="C105" s="138">
        <f t="shared" ref="C105:M105" si="19">SUM(C106:C110)</f>
        <v>0</v>
      </c>
      <c r="D105" s="139">
        <f t="shared" si="19"/>
        <v>0</v>
      </c>
      <c r="E105" s="235">
        <f t="shared" si="19"/>
        <v>0</v>
      </c>
      <c r="F105" s="235">
        <f t="shared" si="19"/>
        <v>0</v>
      </c>
      <c r="G105" s="235">
        <f t="shared" si="19"/>
        <v>0</v>
      </c>
      <c r="H105" s="235">
        <f t="shared" si="19"/>
        <v>0</v>
      </c>
      <c r="I105" s="235">
        <f t="shared" si="19"/>
        <v>0</v>
      </c>
      <c r="J105" s="235">
        <f t="shared" ref="J105:J110" si="20">SUM(E105:I105)</f>
        <v>0</v>
      </c>
      <c r="K105" s="235">
        <f t="shared" si="14"/>
        <v>0</v>
      </c>
      <c r="L105" s="235">
        <f t="shared" si="19"/>
        <v>0</v>
      </c>
      <c r="M105" s="236">
        <f t="shared" si="19"/>
        <v>0</v>
      </c>
      <c r="N105" s="126"/>
      <c r="AD105" s="1336" t="s">
        <v>1907</v>
      </c>
    </row>
    <row r="106" spans="1:30" ht="12.75" customHeight="1" x14ac:dyDescent="0.25">
      <c r="A106" s="584" t="s">
        <v>1642</v>
      </c>
      <c r="B106" s="73"/>
      <c r="C106" s="1356">
        <f>SUMIFS(Sheet1!S71_OriginalBudget,Sheet1!S71_SA34dCode,$AC:$AC,Sheet1!S71_DepCode,$AD:$AD)</f>
        <v>0</v>
      </c>
      <c r="D106" s="1356">
        <f>SUMIFS(Sheet1!S71_SpecialAdjustedBudget,Sheet1!S71_SA34dCode,$AC:$AC,Sheet1!S71_DepCode,$AD:$AD)</f>
        <v>0</v>
      </c>
      <c r="E106" s="1356"/>
      <c r="F106" s="1356"/>
      <c r="G106" s="1356"/>
      <c r="H106" s="1356"/>
      <c r="I106" s="1356">
        <f>SUMIFS(Sheet1!S71_AdjustmentAmount,Sheet1!S71_SA34dCode,$AC:$AC,Sheet1!S71_DepCode,$AD:$AD)</f>
        <v>0</v>
      </c>
      <c r="J106" s="75">
        <f t="shared" si="20"/>
        <v>0</v>
      </c>
      <c r="K106" s="75">
        <f t="shared" si="14"/>
        <v>0</v>
      </c>
      <c r="L106" s="1356">
        <f>SUMIFS(Sheet1!S71_OY1AdjustedBudget,Sheet1!S71_SA34dCode,$AC:$AC,Sheet1!S71_DepCode,$AD:$AD)</f>
        <v>0</v>
      </c>
      <c r="M106" s="1357">
        <f>SUMIFS(Sheet1!S71_OY2AdjustedBudget,Sheet1!S71_SA34dCode,$AC:$AC,Sheet1!S71_DepCode,$AD:$AD)</f>
        <v>0</v>
      </c>
      <c r="N106" s="126"/>
      <c r="AC106" s="1336" t="s">
        <v>1965</v>
      </c>
      <c r="AD106" s="1336" t="s">
        <v>1907</v>
      </c>
    </row>
    <row r="107" spans="1:30" ht="12.75" customHeight="1" x14ac:dyDescent="0.25">
      <c r="A107" s="586" t="s">
        <v>1643</v>
      </c>
      <c r="B107" s="73"/>
      <c r="C107" s="1356">
        <f>SUMIFS(Sheet1!S71_OriginalBudget,Sheet1!S71_SA34dCode,$AC:$AC,Sheet1!S71_DepCode,$AD:$AD)</f>
        <v>0</v>
      </c>
      <c r="D107" s="1356">
        <f>SUMIFS(Sheet1!S71_SpecialAdjustedBudget,Sheet1!S71_SA34dCode,$AC:$AC,Sheet1!S71_DepCode,$AD:$AD)</f>
        <v>0</v>
      </c>
      <c r="E107" s="1356"/>
      <c r="F107" s="1356"/>
      <c r="G107" s="1356"/>
      <c r="H107" s="1356"/>
      <c r="I107" s="1356">
        <f>SUMIFS(Sheet1!S71_AdjustmentAmount,Sheet1!S71_SA34dCode,$AC:$AC,Sheet1!S71_DepCode,$AD:$AD)</f>
        <v>0</v>
      </c>
      <c r="J107" s="75">
        <f t="shared" si="20"/>
        <v>0</v>
      </c>
      <c r="K107" s="75">
        <f t="shared" si="14"/>
        <v>0</v>
      </c>
      <c r="L107" s="1356">
        <f>SUMIFS(Sheet1!S71_OY1AdjustedBudget,Sheet1!S71_SA34dCode,$AC:$AC,Sheet1!S71_DepCode,$AD:$AD)</f>
        <v>0</v>
      </c>
      <c r="M107" s="1357">
        <f>SUMIFS(Sheet1!S71_OY2AdjustedBudget,Sheet1!S71_SA34dCode,$AC:$AC,Sheet1!S71_DepCode,$AD:$AD)</f>
        <v>0</v>
      </c>
      <c r="N107" s="126"/>
      <c r="AC107" s="1336" t="s">
        <v>1966</v>
      </c>
      <c r="AD107" s="1336" t="s">
        <v>1907</v>
      </c>
    </row>
    <row r="108" spans="1:30" ht="12.75" customHeight="1" x14ac:dyDescent="0.25">
      <c r="A108" s="584" t="s">
        <v>1644</v>
      </c>
      <c r="B108" s="73"/>
      <c r="C108" s="1356">
        <f>SUMIFS(Sheet1!S71_OriginalBudget,Sheet1!S71_SA34dCode,$AC:$AC,Sheet1!S71_DepCode,$AD:$AD)</f>
        <v>0</v>
      </c>
      <c r="D108" s="1356">
        <f>SUMIFS(Sheet1!S71_SpecialAdjustedBudget,Sheet1!S71_SA34dCode,$AC:$AC,Sheet1!S71_DepCode,$AD:$AD)</f>
        <v>0</v>
      </c>
      <c r="E108" s="1356"/>
      <c r="F108" s="1356"/>
      <c r="G108" s="1356"/>
      <c r="H108" s="1356"/>
      <c r="I108" s="1356">
        <f>SUMIFS(Sheet1!S71_AdjustmentAmount,Sheet1!S71_SA34dCode,$AC:$AC,Sheet1!S71_DepCode,$AD:$AD)</f>
        <v>0</v>
      </c>
      <c r="J108" s="75">
        <f t="shared" si="20"/>
        <v>0</v>
      </c>
      <c r="K108" s="75">
        <f t="shared" si="14"/>
        <v>0</v>
      </c>
      <c r="L108" s="1356">
        <f>SUMIFS(Sheet1!S71_OY1AdjustedBudget,Sheet1!S71_SA34dCode,$AC:$AC,Sheet1!S71_DepCode,$AD:$AD)</f>
        <v>0</v>
      </c>
      <c r="M108" s="1357">
        <f>SUMIFS(Sheet1!S71_OY2AdjustedBudget,Sheet1!S71_SA34dCode,$AC:$AC,Sheet1!S71_DepCode,$AD:$AD)</f>
        <v>0</v>
      </c>
      <c r="N108" s="126"/>
      <c r="AC108" s="1336" t="s">
        <v>1967</v>
      </c>
      <c r="AD108" s="1336" t="s">
        <v>1907</v>
      </c>
    </row>
    <row r="109" spans="1:30" ht="12.75" customHeight="1" x14ac:dyDescent="0.25">
      <c r="A109" s="584" t="s">
        <v>1645</v>
      </c>
      <c r="B109" s="73"/>
      <c r="C109" s="1356">
        <f>SUMIFS(Sheet1!S71_OriginalBudget,Sheet1!S71_SA34dCode,$AC:$AC,Sheet1!S71_DepCode,$AD:$AD)</f>
        <v>0</v>
      </c>
      <c r="D109" s="1356">
        <f>SUMIFS(Sheet1!S71_SpecialAdjustedBudget,Sheet1!S71_SA34dCode,$AC:$AC,Sheet1!S71_DepCode,$AD:$AD)</f>
        <v>0</v>
      </c>
      <c r="E109" s="1356"/>
      <c r="F109" s="1356"/>
      <c r="G109" s="1356"/>
      <c r="H109" s="1356"/>
      <c r="I109" s="1356">
        <f>SUMIFS(Sheet1!S71_AdjustmentAmount,Sheet1!S71_SA34dCode,$AC:$AC,Sheet1!S71_DepCode,$AD:$AD)</f>
        <v>0</v>
      </c>
      <c r="J109" s="75">
        <f t="shared" si="20"/>
        <v>0</v>
      </c>
      <c r="K109" s="75">
        <f t="shared" si="14"/>
        <v>0</v>
      </c>
      <c r="L109" s="1356">
        <f>SUMIFS(Sheet1!S71_OY1AdjustedBudget,Sheet1!S71_SA34dCode,$AC:$AC,Sheet1!S71_DepCode,$AD:$AD)</f>
        <v>0</v>
      </c>
      <c r="M109" s="1357">
        <f>SUMIFS(Sheet1!S71_OY2AdjustedBudget,Sheet1!S71_SA34dCode,$AC:$AC,Sheet1!S71_DepCode,$AD:$AD)</f>
        <v>0</v>
      </c>
      <c r="N109" s="126"/>
      <c r="AC109" s="1336" t="s">
        <v>1968</v>
      </c>
      <c r="AD109" s="1336" t="s">
        <v>1907</v>
      </c>
    </row>
    <row r="110" spans="1:30" ht="12.75" customHeight="1" x14ac:dyDescent="0.25">
      <c r="A110" s="586" t="s">
        <v>1646</v>
      </c>
      <c r="B110" s="73"/>
      <c r="C110" s="1356">
        <f>SUMIFS(Sheet1!S71_OriginalBudget,Sheet1!S71_SA34dCode,$AC:$AC,Sheet1!S71_DepCode,$AD:$AD)</f>
        <v>0</v>
      </c>
      <c r="D110" s="1356">
        <f>SUMIFS(Sheet1!S71_SpecialAdjustedBudget,Sheet1!S71_SA34dCode,$AC:$AC,Sheet1!S71_DepCode,$AD:$AD)</f>
        <v>0</v>
      </c>
      <c r="E110" s="1356"/>
      <c r="F110" s="1356"/>
      <c r="G110" s="1356"/>
      <c r="H110" s="1356"/>
      <c r="I110" s="1356">
        <f>SUMIFS(Sheet1!S71_AdjustmentAmount,Sheet1!S71_SA34dCode,$AC:$AC,Sheet1!S71_DepCode,$AD:$AD)</f>
        <v>0</v>
      </c>
      <c r="J110" s="75">
        <f t="shared" si="20"/>
        <v>0</v>
      </c>
      <c r="K110" s="75">
        <f t="shared" si="14"/>
        <v>0</v>
      </c>
      <c r="L110" s="1356">
        <f>SUMIFS(Sheet1!S71_OY1AdjustedBudget,Sheet1!S71_SA34dCode,$AC:$AC,Sheet1!S71_DepCode,$AD:$AD)</f>
        <v>0</v>
      </c>
      <c r="M110" s="1357">
        <f>SUMIFS(Sheet1!S71_OY2AdjustedBudget,Sheet1!S71_SA34dCode,$AC:$AC,Sheet1!S71_DepCode,$AD:$AD)</f>
        <v>0</v>
      </c>
      <c r="N110" s="126"/>
      <c r="AC110" s="1336" t="s">
        <v>1822</v>
      </c>
      <c r="AD110" s="1336" t="s">
        <v>1907</v>
      </c>
    </row>
    <row r="111" spans="1:30" ht="5.0999999999999996" customHeight="1" x14ac:dyDescent="0.25">
      <c r="A111" s="1211"/>
      <c r="B111" s="73"/>
      <c r="C111" s="74"/>
      <c r="D111" s="75"/>
      <c r="E111" s="75"/>
      <c r="F111" s="75"/>
      <c r="G111" s="75"/>
      <c r="H111" s="75"/>
      <c r="I111" s="75"/>
      <c r="J111" s="75"/>
      <c r="K111" s="75"/>
      <c r="L111" s="75"/>
      <c r="M111" s="76"/>
      <c r="N111" s="126"/>
      <c r="AD111" s="1336" t="s">
        <v>1907</v>
      </c>
    </row>
    <row r="112" spans="1:30" ht="12.75" customHeight="1" x14ac:dyDescent="0.25">
      <c r="A112" s="1212" t="s">
        <v>768</v>
      </c>
      <c r="B112" s="73"/>
      <c r="C112" s="138">
        <f>+C113+C116</f>
        <v>0</v>
      </c>
      <c r="D112" s="139">
        <f t="shared" ref="D112:I112" si="21">+D113+D116</f>
        <v>0</v>
      </c>
      <c r="E112" s="235">
        <f t="shared" si="21"/>
        <v>0</v>
      </c>
      <c r="F112" s="235">
        <f t="shared" si="21"/>
        <v>0</v>
      </c>
      <c r="G112" s="235">
        <f t="shared" si="21"/>
        <v>0</v>
      </c>
      <c r="H112" s="235">
        <f t="shared" si="21"/>
        <v>0</v>
      </c>
      <c r="I112" s="235">
        <f t="shared" si="21"/>
        <v>0</v>
      </c>
      <c r="J112" s="235">
        <f t="shared" ref="J112:J118" si="22">SUM(E112:I112)</f>
        <v>0</v>
      </c>
      <c r="K112" s="235">
        <f t="shared" si="14"/>
        <v>0</v>
      </c>
      <c r="L112" s="235">
        <f>+L113+L116</f>
        <v>0</v>
      </c>
      <c r="M112" s="236">
        <f>+M113+M116</f>
        <v>0</v>
      </c>
      <c r="N112" s="126"/>
      <c r="AD112" s="1336" t="s">
        <v>1907</v>
      </c>
    </row>
    <row r="113" spans="1:30" ht="10.35" customHeight="1" x14ac:dyDescent="0.25">
      <c r="A113" s="584" t="s">
        <v>1647</v>
      </c>
      <c r="B113" s="73"/>
      <c r="C113" s="138">
        <f>SUM(C114:C115)</f>
        <v>0</v>
      </c>
      <c r="D113" s="139">
        <f t="shared" ref="D113:I113" si="23">SUM(D114:D115)</f>
        <v>0</v>
      </c>
      <c r="E113" s="139">
        <f t="shared" si="23"/>
        <v>0</v>
      </c>
      <c r="F113" s="139">
        <f t="shared" si="23"/>
        <v>0</v>
      </c>
      <c r="G113" s="139">
        <f t="shared" si="23"/>
        <v>0</v>
      </c>
      <c r="H113" s="139">
        <f t="shared" si="23"/>
        <v>0</v>
      </c>
      <c r="I113" s="139">
        <f t="shared" si="23"/>
        <v>0</v>
      </c>
      <c r="J113" s="139">
        <f t="shared" si="22"/>
        <v>0</v>
      </c>
      <c r="K113" s="139">
        <f t="shared" si="14"/>
        <v>0</v>
      </c>
      <c r="L113" s="139">
        <f>SUM(L114:L115)</f>
        <v>0</v>
      </c>
      <c r="M113" s="140">
        <f>SUM(M114:M115)</f>
        <v>0</v>
      </c>
      <c r="N113" s="126"/>
      <c r="AD113" s="1336" t="s">
        <v>1907</v>
      </c>
    </row>
    <row r="114" spans="1:30" ht="12.75" customHeight="1" x14ac:dyDescent="0.25">
      <c r="A114" s="585" t="s">
        <v>1648</v>
      </c>
      <c r="B114" s="73"/>
      <c r="C114" s="1356">
        <f>SUMIFS(Sheet1!S71_OriginalBudget,Sheet1!S71_SA34dCode,$AC:$AC,Sheet1!S71_DepCode,$AD:$AD)</f>
        <v>0</v>
      </c>
      <c r="D114" s="1356">
        <f>SUMIFS(Sheet1!S71_SpecialAdjustedBudget,Sheet1!S71_SA34dCode,$AC:$AC,Sheet1!S71_DepCode,$AD:$AD)</f>
        <v>0</v>
      </c>
      <c r="E114" s="1356"/>
      <c r="F114" s="1356"/>
      <c r="G114" s="1356"/>
      <c r="H114" s="1356"/>
      <c r="I114" s="1356">
        <f>SUMIFS(Sheet1!S71_AdjustmentAmount,Sheet1!S71_SA34dCode,$AC:$AC,Sheet1!S71_DepCode,$AD:$AD)</f>
        <v>0</v>
      </c>
      <c r="J114" s="75">
        <f t="shared" si="22"/>
        <v>0</v>
      </c>
      <c r="K114" s="75">
        <f t="shared" si="14"/>
        <v>0</v>
      </c>
      <c r="L114" s="1356">
        <f>SUMIFS(Sheet1!S71_OY1AdjustedBudget,Sheet1!S71_SA34dCode,$AC:$AC,Sheet1!S71_DepCode,$AD:$AD)</f>
        <v>0</v>
      </c>
      <c r="M114" s="1357">
        <f>SUMIFS(Sheet1!S71_OY2AdjustedBudget,Sheet1!S71_SA34dCode,$AC:$AC,Sheet1!S71_DepCode,$AD:$AD)</f>
        <v>0</v>
      </c>
      <c r="N114" s="126"/>
      <c r="AC114" s="1336" t="s">
        <v>1969</v>
      </c>
      <c r="AD114" s="1336" t="s">
        <v>1907</v>
      </c>
    </row>
    <row r="115" spans="1:30" ht="12.75" customHeight="1" x14ac:dyDescent="0.25">
      <c r="A115" s="585" t="s">
        <v>1649</v>
      </c>
      <c r="B115" s="73"/>
      <c r="C115" s="1356">
        <f>SUMIFS(Sheet1!S71_OriginalBudget,Sheet1!S71_SA34dCode,$AC:$AC,Sheet1!S71_DepCode,$AD:$AD)</f>
        <v>0</v>
      </c>
      <c r="D115" s="1356">
        <f>SUMIFS(Sheet1!S71_SpecialAdjustedBudget,Sheet1!S71_SA34dCode,$AC:$AC,Sheet1!S71_DepCode,$AD:$AD)</f>
        <v>0</v>
      </c>
      <c r="E115" s="1356"/>
      <c r="F115" s="1356"/>
      <c r="G115" s="1356"/>
      <c r="H115" s="1356"/>
      <c r="I115" s="1356">
        <f>SUMIFS(Sheet1!S71_AdjustmentAmount,Sheet1!S71_SA34dCode,$AC:$AC,Sheet1!S71_DepCode,$AD:$AD)</f>
        <v>0</v>
      </c>
      <c r="J115" s="75">
        <f t="shared" si="22"/>
        <v>0</v>
      </c>
      <c r="K115" s="75">
        <f t="shared" si="14"/>
        <v>0</v>
      </c>
      <c r="L115" s="1356">
        <f>SUMIFS(Sheet1!S71_OY1AdjustedBudget,Sheet1!S71_SA34dCode,$AC:$AC,Sheet1!S71_DepCode,$AD:$AD)</f>
        <v>0</v>
      </c>
      <c r="M115" s="1357">
        <f>SUMIFS(Sheet1!S71_OY2AdjustedBudget,Sheet1!S71_SA34dCode,$AC:$AC,Sheet1!S71_DepCode,$AD:$AD)</f>
        <v>0</v>
      </c>
      <c r="N115" s="126"/>
      <c r="AC115" s="1336" t="s">
        <v>1970</v>
      </c>
      <c r="AD115" s="1336" t="s">
        <v>1907</v>
      </c>
    </row>
    <row r="116" spans="1:30" ht="10.35" customHeight="1" x14ac:dyDescent="0.25">
      <c r="A116" s="584" t="s">
        <v>1650</v>
      </c>
      <c r="B116" s="73"/>
      <c r="C116" s="138">
        <f>SUM(C117:C118)</f>
        <v>0</v>
      </c>
      <c r="D116" s="139">
        <f>SUM(D117:D118)</f>
        <v>0</v>
      </c>
      <c r="E116" s="139">
        <f t="shared" ref="E116:M116" si="24">SUM(E117:E118)</f>
        <v>0</v>
      </c>
      <c r="F116" s="139">
        <f t="shared" si="24"/>
        <v>0</v>
      </c>
      <c r="G116" s="139">
        <f t="shared" si="24"/>
        <v>0</v>
      </c>
      <c r="H116" s="139">
        <f t="shared" si="24"/>
        <v>0</v>
      </c>
      <c r="I116" s="139">
        <f t="shared" si="24"/>
        <v>0</v>
      </c>
      <c r="J116" s="139">
        <f t="shared" si="22"/>
        <v>0</v>
      </c>
      <c r="K116" s="139">
        <f t="shared" si="14"/>
        <v>0</v>
      </c>
      <c r="L116" s="139">
        <f t="shared" si="24"/>
        <v>0</v>
      </c>
      <c r="M116" s="140">
        <f t="shared" si="24"/>
        <v>0</v>
      </c>
      <c r="N116" s="126"/>
      <c r="AD116" s="1336" t="s">
        <v>1907</v>
      </c>
    </row>
    <row r="117" spans="1:30" ht="12.75" customHeight="1" x14ac:dyDescent="0.25">
      <c r="A117" s="585" t="s">
        <v>1648</v>
      </c>
      <c r="B117" s="73"/>
      <c r="C117" s="1356">
        <f>SUMIFS(Sheet1!S71_OriginalBudget,Sheet1!S71_SA34dCode,$AC:$AC,Sheet1!S71_DepCode,$AD:$AD)</f>
        <v>0</v>
      </c>
      <c r="D117" s="1356">
        <f>SUMIFS(Sheet1!S71_SpecialAdjustedBudget,Sheet1!S71_SA34dCode,$AC:$AC,Sheet1!S71_DepCode,$AD:$AD)</f>
        <v>0</v>
      </c>
      <c r="E117" s="1356"/>
      <c r="F117" s="1356"/>
      <c r="G117" s="1356"/>
      <c r="H117" s="1356"/>
      <c r="I117" s="1356">
        <f>SUMIFS(Sheet1!S71_AdjustmentAmount,Sheet1!S71_SA34dCode,$AC:$AC,Sheet1!S71_DepCode,$AD:$AD)</f>
        <v>0</v>
      </c>
      <c r="J117" s="75">
        <f t="shared" si="22"/>
        <v>0</v>
      </c>
      <c r="K117" s="75">
        <f t="shared" si="14"/>
        <v>0</v>
      </c>
      <c r="L117" s="1356">
        <f>SUMIFS(Sheet1!S71_OY1AdjustedBudget,Sheet1!S71_SA34dCode,$AC:$AC,Sheet1!S71_DepCode,$AD:$AD)</f>
        <v>0</v>
      </c>
      <c r="M117" s="1357">
        <f>SUMIFS(Sheet1!S71_OY2AdjustedBudget,Sheet1!S71_SA34dCode,$AC:$AC,Sheet1!S71_DepCode,$AD:$AD)</f>
        <v>0</v>
      </c>
      <c r="N117" s="126"/>
      <c r="AC117" s="1336" t="s">
        <v>1972</v>
      </c>
      <c r="AD117" s="1336" t="s">
        <v>1907</v>
      </c>
    </row>
    <row r="118" spans="1:30" ht="12.75" customHeight="1" x14ac:dyDescent="0.25">
      <c r="A118" s="585" t="s">
        <v>1649</v>
      </c>
      <c r="B118" s="73"/>
      <c r="C118" s="1356">
        <f>SUMIFS(Sheet1!S71_OriginalBudget,Sheet1!S71_SA34dCode,$AC:$AC,Sheet1!S71_DepCode,$AD:$AD)</f>
        <v>0</v>
      </c>
      <c r="D118" s="1356">
        <f>SUMIFS(Sheet1!S71_SpecialAdjustedBudget,Sheet1!S71_SA34dCode,$AC:$AC,Sheet1!S71_DepCode,$AD:$AD)</f>
        <v>0</v>
      </c>
      <c r="E118" s="1356"/>
      <c r="F118" s="1356"/>
      <c r="G118" s="1356"/>
      <c r="H118" s="1356"/>
      <c r="I118" s="1356">
        <f>SUMIFS(Sheet1!S71_AdjustmentAmount,Sheet1!S71_SA34dCode,$AC:$AC,Sheet1!S71_DepCode,$AD:$AD)</f>
        <v>0</v>
      </c>
      <c r="J118" s="75">
        <f t="shared" si="22"/>
        <v>0</v>
      </c>
      <c r="K118" s="75">
        <f t="shared" si="14"/>
        <v>0</v>
      </c>
      <c r="L118" s="1356">
        <f>SUMIFS(Sheet1!S71_OY1AdjustedBudget,Sheet1!S71_SA34dCode,$AC:$AC,Sheet1!S71_DepCode,$AD:$AD)</f>
        <v>0</v>
      </c>
      <c r="M118" s="1357">
        <f>SUMIFS(Sheet1!S71_OY2AdjustedBudget,Sheet1!S71_SA34dCode,$AC:$AC,Sheet1!S71_DepCode,$AD:$AD)</f>
        <v>0</v>
      </c>
      <c r="N118" s="126"/>
      <c r="AC118" s="1336" t="s">
        <v>1973</v>
      </c>
      <c r="AD118" s="1336" t="s">
        <v>1907</v>
      </c>
    </row>
    <row r="119" spans="1:30" ht="5.0999999999999996" customHeight="1" x14ac:dyDescent="0.25">
      <c r="A119" s="134"/>
      <c r="B119" s="73"/>
      <c r="C119" s="74"/>
      <c r="D119" s="75"/>
      <c r="E119" s="75"/>
      <c r="F119" s="75"/>
      <c r="G119" s="75"/>
      <c r="H119" s="75"/>
      <c r="I119" s="75"/>
      <c r="J119" s="75"/>
      <c r="K119" s="75"/>
      <c r="L119" s="75"/>
      <c r="M119" s="76"/>
      <c r="N119" s="126"/>
      <c r="AD119" s="1336" t="s">
        <v>1907</v>
      </c>
    </row>
    <row r="120" spans="1:30" ht="12.75" customHeight="1" x14ac:dyDescent="0.25">
      <c r="A120" s="1212" t="s">
        <v>769</v>
      </c>
      <c r="B120" s="73"/>
      <c r="C120" s="138">
        <f>+C121+C133</f>
        <v>545746</v>
      </c>
      <c r="D120" s="139">
        <f t="shared" ref="D120:I120" si="25">+D121+D133</f>
        <v>545746</v>
      </c>
      <c r="E120" s="235">
        <f t="shared" si="25"/>
        <v>0</v>
      </c>
      <c r="F120" s="235">
        <f t="shared" si="25"/>
        <v>0</v>
      </c>
      <c r="G120" s="235">
        <f t="shared" si="25"/>
        <v>0</v>
      </c>
      <c r="H120" s="235">
        <f t="shared" si="25"/>
        <v>0</v>
      </c>
      <c r="I120" s="235">
        <f t="shared" si="25"/>
        <v>0</v>
      </c>
      <c r="J120" s="235">
        <f t="shared" ref="J120:J136" si="26">SUM(E120:I120)</f>
        <v>0</v>
      </c>
      <c r="K120" s="235">
        <f t="shared" si="14"/>
        <v>545746</v>
      </c>
      <c r="L120" s="235">
        <f>+L121+L133</f>
        <v>600321</v>
      </c>
      <c r="M120" s="236">
        <f>+M121+M133</f>
        <v>660353</v>
      </c>
      <c r="N120" s="126"/>
      <c r="AD120" s="1336" t="s">
        <v>1907</v>
      </c>
    </row>
    <row r="121" spans="1:30" ht="10.35" customHeight="1" x14ac:dyDescent="0.25">
      <c r="A121" s="584" t="s">
        <v>1651</v>
      </c>
      <c r="B121" s="73"/>
      <c r="C121" s="138">
        <f>SUM(C122:C132)</f>
        <v>545746</v>
      </c>
      <c r="D121" s="139">
        <f>SUM(D122:D132)</f>
        <v>545746</v>
      </c>
      <c r="E121" s="139">
        <f t="shared" ref="E121:M121" si="27">SUM(E122:E132)</f>
        <v>0</v>
      </c>
      <c r="F121" s="139">
        <f t="shared" si="27"/>
        <v>0</v>
      </c>
      <c r="G121" s="139">
        <f t="shared" si="27"/>
        <v>0</v>
      </c>
      <c r="H121" s="139">
        <f t="shared" si="27"/>
        <v>0</v>
      </c>
      <c r="I121" s="139">
        <f t="shared" si="27"/>
        <v>0</v>
      </c>
      <c r="J121" s="139">
        <f t="shared" si="26"/>
        <v>0</v>
      </c>
      <c r="K121" s="139">
        <f t="shared" si="14"/>
        <v>545746</v>
      </c>
      <c r="L121" s="139">
        <f t="shared" si="27"/>
        <v>600321</v>
      </c>
      <c r="M121" s="140">
        <f t="shared" si="27"/>
        <v>660353</v>
      </c>
      <c r="N121" s="126"/>
      <c r="AD121" s="1336" t="s">
        <v>1907</v>
      </c>
    </row>
    <row r="122" spans="1:30" ht="12.75" customHeight="1" x14ac:dyDescent="0.25">
      <c r="A122" s="585" t="s">
        <v>1652</v>
      </c>
      <c r="B122" s="73"/>
      <c r="C122" s="1356">
        <f>SUMIFS(Sheet1!S71_OriginalBudget,Sheet1!S71_SA34dCode,$AC:$AC,Sheet1!S71_DepCode,$AD:$AD)</f>
        <v>545746</v>
      </c>
      <c r="D122" s="1356">
        <f>SUMIFS(Sheet1!S71_SpecialAdjustedBudget,Sheet1!S71_SA34dCode,$AC:$AC,Sheet1!S71_DepCode,$AD:$AD)</f>
        <v>545746</v>
      </c>
      <c r="E122" s="1356"/>
      <c r="F122" s="1356"/>
      <c r="G122" s="1356"/>
      <c r="H122" s="1356"/>
      <c r="I122" s="1356">
        <f>SUMIFS(Sheet1!S71_AdjustmentAmount,Sheet1!S71_SA34dCode,$AC:$AC,Sheet1!S71_DepCode,$AD:$AD)</f>
        <v>0</v>
      </c>
      <c r="J122" s="75">
        <f t="shared" si="26"/>
        <v>0</v>
      </c>
      <c r="K122" s="75">
        <f t="shared" si="14"/>
        <v>545746</v>
      </c>
      <c r="L122" s="1356">
        <f>SUMIFS(Sheet1!S71_OY1AdjustedBudget,Sheet1!S71_SA34dCode,$AC:$AC,Sheet1!S71_DepCode,$AD:$AD)</f>
        <v>600321</v>
      </c>
      <c r="M122" s="1357">
        <f>SUMIFS(Sheet1!S71_OY2AdjustedBudget,Sheet1!S71_SA34dCode,$AC:$AC,Sheet1!S71_DepCode,$AD:$AD)</f>
        <v>660353</v>
      </c>
      <c r="N122" s="126"/>
      <c r="AC122" s="1336" t="s">
        <v>1823</v>
      </c>
      <c r="AD122" s="1336" t="s">
        <v>1907</v>
      </c>
    </row>
    <row r="123" spans="1:30" ht="12.75" customHeight="1" x14ac:dyDescent="0.25">
      <c r="A123" s="585" t="s">
        <v>1653</v>
      </c>
      <c r="B123" s="135"/>
      <c r="C123" s="1356">
        <f>SUMIFS(Sheet1!S71_OriginalBudget,Sheet1!S71_SA34dCode,$AC:$AC,Sheet1!S71_DepCode,$AD:$AD)</f>
        <v>0</v>
      </c>
      <c r="D123" s="1356">
        <f>SUMIFS(Sheet1!S71_SpecialAdjustedBudget,Sheet1!S71_SA34dCode,$AC:$AC,Sheet1!S71_DepCode,$AD:$AD)</f>
        <v>0</v>
      </c>
      <c r="E123" s="1356"/>
      <c r="F123" s="1356"/>
      <c r="G123" s="1356"/>
      <c r="H123" s="1356"/>
      <c r="I123" s="1356">
        <f>SUMIFS(Sheet1!S71_AdjustmentAmount,Sheet1!S71_SA34dCode,$AC:$AC,Sheet1!S71_DepCode,$AD:$AD)</f>
        <v>0</v>
      </c>
      <c r="J123" s="75">
        <f t="shared" si="26"/>
        <v>0</v>
      </c>
      <c r="K123" s="75">
        <f t="shared" si="14"/>
        <v>0</v>
      </c>
      <c r="L123" s="1356">
        <f>SUMIFS(Sheet1!S71_OY1AdjustedBudget,Sheet1!S71_SA34dCode,$AC:$AC,Sheet1!S71_DepCode,$AD:$AD)</f>
        <v>0</v>
      </c>
      <c r="M123" s="1357">
        <f>SUMIFS(Sheet1!S71_OY2AdjustedBudget,Sheet1!S71_SA34dCode,$AC:$AC,Sheet1!S71_DepCode,$AD:$AD)</f>
        <v>0</v>
      </c>
      <c r="N123" s="126"/>
      <c r="AC123" s="1336" t="s">
        <v>1974</v>
      </c>
      <c r="AD123" s="1336" t="s">
        <v>1907</v>
      </c>
    </row>
    <row r="124" spans="1:30" ht="12.75" customHeight="1" x14ac:dyDescent="0.25">
      <c r="A124" s="585" t="s">
        <v>1654</v>
      </c>
      <c r="B124" s="73"/>
      <c r="C124" s="1356">
        <f>SUMIFS(Sheet1!S71_OriginalBudget,Sheet1!S71_SA34dCode,$AC:$AC,Sheet1!S71_DepCode,$AD:$AD)</f>
        <v>0</v>
      </c>
      <c r="D124" s="1356">
        <f>SUMIFS(Sheet1!S71_SpecialAdjustedBudget,Sheet1!S71_SA34dCode,$AC:$AC,Sheet1!S71_DepCode,$AD:$AD)</f>
        <v>0</v>
      </c>
      <c r="E124" s="1356"/>
      <c r="F124" s="1356"/>
      <c r="G124" s="1356"/>
      <c r="H124" s="1356"/>
      <c r="I124" s="1356">
        <f>SUMIFS(Sheet1!S71_AdjustmentAmount,Sheet1!S71_SA34dCode,$AC:$AC,Sheet1!S71_DepCode,$AD:$AD)</f>
        <v>0</v>
      </c>
      <c r="J124" s="75">
        <f t="shared" si="26"/>
        <v>0</v>
      </c>
      <c r="K124" s="75">
        <f t="shared" si="14"/>
        <v>0</v>
      </c>
      <c r="L124" s="1356">
        <f>SUMIFS(Sheet1!S71_OY1AdjustedBudget,Sheet1!S71_SA34dCode,$AC:$AC,Sheet1!S71_DepCode,$AD:$AD)</f>
        <v>0</v>
      </c>
      <c r="M124" s="1357">
        <f>SUMIFS(Sheet1!S71_OY2AdjustedBudget,Sheet1!S71_SA34dCode,$AC:$AC,Sheet1!S71_DepCode,$AD:$AD)</f>
        <v>0</v>
      </c>
      <c r="N124" s="126"/>
      <c r="AC124" s="1336" t="s">
        <v>1975</v>
      </c>
      <c r="AD124" s="1336" t="s">
        <v>1907</v>
      </c>
    </row>
    <row r="125" spans="1:30" ht="12.75" customHeight="1" x14ac:dyDescent="0.25">
      <c r="A125" s="585" t="s">
        <v>1655</v>
      </c>
      <c r="B125" s="73"/>
      <c r="C125" s="1356">
        <f>SUMIFS(Sheet1!S71_OriginalBudget,Sheet1!S71_SA34dCode,$AC:$AC,Sheet1!S71_DepCode,$AD:$AD)</f>
        <v>0</v>
      </c>
      <c r="D125" s="1356">
        <f>SUMIFS(Sheet1!S71_SpecialAdjustedBudget,Sheet1!S71_SA34dCode,$AC:$AC,Sheet1!S71_DepCode,$AD:$AD)</f>
        <v>0</v>
      </c>
      <c r="E125" s="1356"/>
      <c r="F125" s="1356"/>
      <c r="G125" s="1356"/>
      <c r="H125" s="1356"/>
      <c r="I125" s="1356">
        <f>SUMIFS(Sheet1!S71_AdjustmentAmount,Sheet1!S71_SA34dCode,$AC:$AC,Sheet1!S71_DepCode,$AD:$AD)</f>
        <v>0</v>
      </c>
      <c r="J125" s="75">
        <f t="shared" si="26"/>
        <v>0</v>
      </c>
      <c r="K125" s="75">
        <f t="shared" si="14"/>
        <v>0</v>
      </c>
      <c r="L125" s="1356">
        <f>SUMIFS(Sheet1!S71_OY1AdjustedBudget,Sheet1!S71_SA34dCode,$AC:$AC,Sheet1!S71_DepCode,$AD:$AD)</f>
        <v>0</v>
      </c>
      <c r="M125" s="1357">
        <f>SUMIFS(Sheet1!S71_OY2AdjustedBudget,Sheet1!S71_SA34dCode,$AC:$AC,Sheet1!S71_DepCode,$AD:$AD)</f>
        <v>0</v>
      </c>
      <c r="N125" s="126"/>
      <c r="AC125" s="1336" t="s">
        <v>1976</v>
      </c>
      <c r="AD125" s="1336" t="s">
        <v>1907</v>
      </c>
    </row>
    <row r="126" spans="1:30" ht="12.75" customHeight="1" x14ac:dyDescent="0.25">
      <c r="A126" s="585" t="s">
        <v>1656</v>
      </c>
      <c r="B126" s="73"/>
      <c r="C126" s="1356">
        <f>SUMIFS(Sheet1!S71_OriginalBudget,Sheet1!S71_SA34dCode,$AC:$AC,Sheet1!S71_DepCode,$AD:$AD)</f>
        <v>0</v>
      </c>
      <c r="D126" s="1356">
        <f>SUMIFS(Sheet1!S71_SpecialAdjustedBudget,Sheet1!S71_SA34dCode,$AC:$AC,Sheet1!S71_DepCode,$AD:$AD)</f>
        <v>0</v>
      </c>
      <c r="E126" s="1356"/>
      <c r="F126" s="1356"/>
      <c r="G126" s="1356"/>
      <c r="H126" s="1356"/>
      <c r="I126" s="1356">
        <f>SUMIFS(Sheet1!S71_AdjustmentAmount,Sheet1!S71_SA34dCode,$AC:$AC,Sheet1!S71_DepCode,$AD:$AD)</f>
        <v>0</v>
      </c>
      <c r="J126" s="75">
        <f t="shared" si="26"/>
        <v>0</v>
      </c>
      <c r="K126" s="75">
        <f t="shared" si="14"/>
        <v>0</v>
      </c>
      <c r="L126" s="1356">
        <f>SUMIFS(Sheet1!S71_OY1AdjustedBudget,Sheet1!S71_SA34dCode,$AC:$AC,Sheet1!S71_DepCode,$AD:$AD)</f>
        <v>0</v>
      </c>
      <c r="M126" s="1357">
        <f>SUMIFS(Sheet1!S71_OY2AdjustedBudget,Sheet1!S71_SA34dCode,$AC:$AC,Sheet1!S71_DepCode,$AD:$AD)</f>
        <v>0</v>
      </c>
      <c r="N126" s="126"/>
      <c r="AC126" s="1336" t="s">
        <v>1977</v>
      </c>
      <c r="AD126" s="1336" t="s">
        <v>1907</v>
      </c>
    </row>
    <row r="127" spans="1:30" ht="12.75" customHeight="1" x14ac:dyDescent="0.25">
      <c r="A127" s="585" t="s">
        <v>1657</v>
      </c>
      <c r="B127" s="73"/>
      <c r="C127" s="1356">
        <f>SUMIFS(Sheet1!S71_OriginalBudget,Sheet1!S71_SA34dCode,$AC:$AC,Sheet1!S71_DepCode,$AD:$AD)</f>
        <v>0</v>
      </c>
      <c r="D127" s="1356">
        <f>SUMIFS(Sheet1!S71_SpecialAdjustedBudget,Sheet1!S71_SA34dCode,$AC:$AC,Sheet1!S71_DepCode,$AD:$AD)</f>
        <v>0</v>
      </c>
      <c r="E127" s="1356"/>
      <c r="F127" s="1356"/>
      <c r="G127" s="1356"/>
      <c r="H127" s="1356"/>
      <c r="I127" s="1356">
        <f>SUMIFS(Sheet1!S71_AdjustmentAmount,Sheet1!S71_SA34dCode,$AC:$AC,Sheet1!S71_DepCode,$AD:$AD)</f>
        <v>0</v>
      </c>
      <c r="J127" s="75">
        <f t="shared" si="26"/>
        <v>0</v>
      </c>
      <c r="K127" s="75">
        <f t="shared" si="14"/>
        <v>0</v>
      </c>
      <c r="L127" s="1356">
        <f>SUMIFS(Sheet1!S71_OY1AdjustedBudget,Sheet1!S71_SA34dCode,$AC:$AC,Sheet1!S71_DepCode,$AD:$AD)</f>
        <v>0</v>
      </c>
      <c r="M127" s="1357">
        <f>SUMIFS(Sheet1!S71_OY2AdjustedBudget,Sheet1!S71_SA34dCode,$AC:$AC,Sheet1!S71_DepCode,$AD:$AD)</f>
        <v>0</v>
      </c>
      <c r="N127" s="126"/>
      <c r="AC127" s="1336" t="s">
        <v>1978</v>
      </c>
      <c r="AD127" s="1336" t="s">
        <v>1907</v>
      </c>
    </row>
    <row r="128" spans="1:30" ht="12.75" customHeight="1" x14ac:dyDescent="0.25">
      <c r="A128" s="585" t="s">
        <v>1658</v>
      </c>
      <c r="B128" s="73"/>
      <c r="C128" s="1356">
        <f>SUMIFS(Sheet1!S71_OriginalBudget,Sheet1!S71_SA34dCode,$AC:$AC,Sheet1!S71_DepCode,$AD:$AD)</f>
        <v>0</v>
      </c>
      <c r="D128" s="1356">
        <f>SUMIFS(Sheet1!S71_SpecialAdjustedBudget,Sheet1!S71_SA34dCode,$AC:$AC,Sheet1!S71_DepCode,$AD:$AD)</f>
        <v>0</v>
      </c>
      <c r="E128" s="1356"/>
      <c r="F128" s="1356"/>
      <c r="G128" s="1356"/>
      <c r="H128" s="1356"/>
      <c r="I128" s="1356">
        <f>SUMIFS(Sheet1!S71_AdjustmentAmount,Sheet1!S71_SA34dCode,$AC:$AC,Sheet1!S71_DepCode,$AD:$AD)</f>
        <v>0</v>
      </c>
      <c r="J128" s="75">
        <f t="shared" si="26"/>
        <v>0</v>
      </c>
      <c r="K128" s="75">
        <f t="shared" si="14"/>
        <v>0</v>
      </c>
      <c r="L128" s="1356">
        <f>SUMIFS(Sheet1!S71_OY1AdjustedBudget,Sheet1!S71_SA34dCode,$AC:$AC,Sheet1!S71_DepCode,$AD:$AD)</f>
        <v>0</v>
      </c>
      <c r="M128" s="1357">
        <f>SUMIFS(Sheet1!S71_OY2AdjustedBudget,Sheet1!S71_SA34dCode,$AC:$AC,Sheet1!S71_DepCode,$AD:$AD)</f>
        <v>0</v>
      </c>
      <c r="N128" s="126"/>
      <c r="AC128" s="1336" t="s">
        <v>1979</v>
      </c>
      <c r="AD128" s="1336" t="s">
        <v>1907</v>
      </c>
    </row>
    <row r="129" spans="1:30" ht="12.75" customHeight="1" x14ac:dyDescent="0.25">
      <c r="A129" s="585" t="s">
        <v>1659</v>
      </c>
      <c r="B129" s="135"/>
      <c r="C129" s="1356">
        <f>SUMIFS(Sheet1!S71_OriginalBudget,Sheet1!S71_SA34dCode,$AC:$AC,Sheet1!S71_DepCode,$AD:$AD)</f>
        <v>0</v>
      </c>
      <c r="D129" s="1356">
        <f>SUMIFS(Sheet1!S71_SpecialAdjustedBudget,Sheet1!S71_SA34dCode,$AC:$AC,Sheet1!S71_DepCode,$AD:$AD)</f>
        <v>0</v>
      </c>
      <c r="E129" s="1356"/>
      <c r="F129" s="1356"/>
      <c r="G129" s="1356"/>
      <c r="H129" s="1356"/>
      <c r="I129" s="1356">
        <f>SUMIFS(Sheet1!S71_AdjustmentAmount,Sheet1!S71_SA34dCode,$AC:$AC,Sheet1!S71_DepCode,$AD:$AD)</f>
        <v>0</v>
      </c>
      <c r="J129" s="75">
        <f t="shared" si="26"/>
        <v>0</v>
      </c>
      <c r="K129" s="75">
        <f t="shared" si="14"/>
        <v>0</v>
      </c>
      <c r="L129" s="1356">
        <f>SUMIFS(Sheet1!S71_OY1AdjustedBudget,Sheet1!S71_SA34dCode,$AC:$AC,Sheet1!S71_DepCode,$AD:$AD)</f>
        <v>0</v>
      </c>
      <c r="M129" s="1357">
        <f>SUMIFS(Sheet1!S71_OY2AdjustedBudget,Sheet1!S71_SA34dCode,$AC:$AC,Sheet1!S71_DepCode,$AD:$AD)</f>
        <v>0</v>
      </c>
      <c r="N129" s="126"/>
      <c r="AC129" s="1336" t="s">
        <v>1980</v>
      </c>
      <c r="AD129" s="1336" t="s">
        <v>1907</v>
      </c>
    </row>
    <row r="130" spans="1:30" ht="12.75" customHeight="1" x14ac:dyDescent="0.25">
      <c r="A130" s="585" t="s">
        <v>1660</v>
      </c>
      <c r="B130" s="73"/>
      <c r="C130" s="1356">
        <f>SUMIFS(Sheet1!S71_OriginalBudget,Sheet1!S71_SA34dCode,$AC:$AC,Sheet1!S71_DepCode,$AD:$AD)</f>
        <v>0</v>
      </c>
      <c r="D130" s="1356">
        <f>SUMIFS(Sheet1!S71_SpecialAdjustedBudget,Sheet1!S71_SA34dCode,$AC:$AC,Sheet1!S71_DepCode,$AD:$AD)</f>
        <v>0</v>
      </c>
      <c r="E130" s="1356"/>
      <c r="F130" s="1356"/>
      <c r="G130" s="1356"/>
      <c r="H130" s="1356"/>
      <c r="I130" s="1356">
        <f>SUMIFS(Sheet1!S71_AdjustmentAmount,Sheet1!S71_SA34dCode,$AC:$AC,Sheet1!S71_DepCode,$AD:$AD)</f>
        <v>0</v>
      </c>
      <c r="J130" s="75">
        <f t="shared" si="26"/>
        <v>0</v>
      </c>
      <c r="K130" s="75">
        <f t="shared" si="14"/>
        <v>0</v>
      </c>
      <c r="L130" s="1356">
        <f>SUMIFS(Sheet1!S71_OY1AdjustedBudget,Sheet1!S71_SA34dCode,$AC:$AC,Sheet1!S71_DepCode,$AD:$AD)</f>
        <v>0</v>
      </c>
      <c r="M130" s="1357">
        <f>SUMIFS(Sheet1!S71_OY2AdjustedBudget,Sheet1!S71_SA34dCode,$AC:$AC,Sheet1!S71_DepCode,$AD:$AD)</f>
        <v>0</v>
      </c>
      <c r="N130" s="126"/>
      <c r="AC130" s="1336" t="s">
        <v>1981</v>
      </c>
      <c r="AD130" s="1336" t="s">
        <v>1907</v>
      </c>
    </row>
    <row r="131" spans="1:30" ht="12.75" customHeight="1" x14ac:dyDescent="0.25">
      <c r="A131" s="585" t="s">
        <v>1661</v>
      </c>
      <c r="B131" s="73"/>
      <c r="C131" s="1356">
        <f>SUMIFS(Sheet1!S71_OriginalBudget,Sheet1!S71_SA34dCode,$AC:$AC,Sheet1!S71_DepCode,$AD:$AD)</f>
        <v>0</v>
      </c>
      <c r="D131" s="1356">
        <f>SUMIFS(Sheet1!S71_SpecialAdjustedBudget,Sheet1!S71_SA34dCode,$AC:$AC,Sheet1!S71_DepCode,$AD:$AD)</f>
        <v>0</v>
      </c>
      <c r="E131" s="1356"/>
      <c r="F131" s="1356"/>
      <c r="G131" s="1356"/>
      <c r="H131" s="1356"/>
      <c r="I131" s="1356">
        <f>SUMIFS(Sheet1!S71_AdjustmentAmount,Sheet1!S71_SA34dCode,$AC:$AC,Sheet1!S71_DepCode,$AD:$AD)</f>
        <v>0</v>
      </c>
      <c r="J131" s="75">
        <f t="shared" si="26"/>
        <v>0</v>
      </c>
      <c r="K131" s="75">
        <f t="shared" si="14"/>
        <v>0</v>
      </c>
      <c r="L131" s="1356">
        <f>SUMIFS(Sheet1!S71_OY1AdjustedBudget,Sheet1!S71_SA34dCode,$AC:$AC,Sheet1!S71_DepCode,$AD:$AD)</f>
        <v>0</v>
      </c>
      <c r="M131" s="1357">
        <f>SUMIFS(Sheet1!S71_OY2AdjustedBudget,Sheet1!S71_SA34dCode,$AC:$AC,Sheet1!S71_DepCode,$AD:$AD)</f>
        <v>0</v>
      </c>
      <c r="N131" s="126"/>
      <c r="AC131" s="1336" t="s">
        <v>1982</v>
      </c>
      <c r="AD131" s="1336" t="s">
        <v>1907</v>
      </c>
    </row>
    <row r="132" spans="1:30" ht="12.75" customHeight="1" x14ac:dyDescent="0.25">
      <c r="A132" s="585" t="s">
        <v>1571</v>
      </c>
      <c r="B132" s="73"/>
      <c r="C132" s="1356">
        <f>SUMIFS(Sheet1!S71_OriginalBudget,Sheet1!S71_SA34dCode,$AC:$AC,Sheet1!S71_DepCode,$AD:$AD)</f>
        <v>0</v>
      </c>
      <c r="D132" s="1356">
        <f>SUMIFS(Sheet1!S71_SpecialAdjustedBudget,Sheet1!S71_SA34dCode,$AC:$AC,Sheet1!S71_DepCode,$AD:$AD)</f>
        <v>0</v>
      </c>
      <c r="E132" s="1356"/>
      <c r="F132" s="1356"/>
      <c r="G132" s="1356"/>
      <c r="H132" s="1356"/>
      <c r="I132" s="1356">
        <f>SUMIFS(Sheet1!S71_AdjustmentAmount,Sheet1!S71_SA34dCode,$AC:$AC,Sheet1!S71_DepCode,$AD:$AD)</f>
        <v>0</v>
      </c>
      <c r="J132" s="75">
        <f t="shared" si="26"/>
        <v>0</v>
      </c>
      <c r="K132" s="75">
        <f t="shared" si="14"/>
        <v>0</v>
      </c>
      <c r="L132" s="1356">
        <f>SUMIFS(Sheet1!S71_OY1AdjustedBudget,Sheet1!S71_SA34dCode,$AC:$AC,Sheet1!S71_DepCode,$AD:$AD)</f>
        <v>0</v>
      </c>
      <c r="M132" s="1357">
        <f>SUMIFS(Sheet1!S71_OY2AdjustedBudget,Sheet1!S71_SA34dCode,$AC:$AC,Sheet1!S71_DepCode,$AD:$AD)</f>
        <v>0</v>
      </c>
      <c r="N132" s="126"/>
      <c r="AC132" s="1336" t="s">
        <v>1824</v>
      </c>
      <c r="AD132" s="1336" t="s">
        <v>1907</v>
      </c>
    </row>
    <row r="133" spans="1:30" ht="10.35" customHeight="1" x14ac:dyDescent="0.25">
      <c r="A133" s="584" t="s">
        <v>621</v>
      </c>
      <c r="B133" s="73"/>
      <c r="C133" s="138">
        <f>SUM(C134:C136)</f>
        <v>0</v>
      </c>
      <c r="D133" s="139">
        <f>SUM(D134:D136)</f>
        <v>0</v>
      </c>
      <c r="E133" s="139">
        <f t="shared" ref="E133:M133" si="28">SUM(E134:E136)</f>
        <v>0</v>
      </c>
      <c r="F133" s="139">
        <f t="shared" si="28"/>
        <v>0</v>
      </c>
      <c r="G133" s="139">
        <f t="shared" si="28"/>
        <v>0</v>
      </c>
      <c r="H133" s="139">
        <f t="shared" si="28"/>
        <v>0</v>
      </c>
      <c r="I133" s="139">
        <f t="shared" si="28"/>
        <v>0</v>
      </c>
      <c r="J133" s="139">
        <f t="shared" si="26"/>
        <v>0</v>
      </c>
      <c r="K133" s="139">
        <f t="shared" si="14"/>
        <v>0</v>
      </c>
      <c r="L133" s="139">
        <f t="shared" si="28"/>
        <v>0</v>
      </c>
      <c r="M133" s="140">
        <f t="shared" si="28"/>
        <v>0</v>
      </c>
      <c r="N133" s="126"/>
      <c r="AD133" s="1336" t="s">
        <v>1907</v>
      </c>
    </row>
    <row r="134" spans="1:30" s="1216" customFormat="1" ht="12.75" customHeight="1" x14ac:dyDescent="0.25">
      <c r="A134" s="585" t="s">
        <v>1662</v>
      </c>
      <c r="B134" s="1213"/>
      <c r="C134" s="1356">
        <f>SUMIFS(Sheet1!S71_OriginalBudget,Sheet1!S71_SA34dCode,$AC:$AC,Sheet1!S71_DepCode,$AD:$AD)</f>
        <v>0</v>
      </c>
      <c r="D134" s="1356">
        <f>SUMIFS(Sheet1!S71_SpecialAdjustedBudget,Sheet1!S71_SA34dCode,$AC:$AC,Sheet1!S71_DepCode,$AD:$AD)</f>
        <v>0</v>
      </c>
      <c r="E134" s="1356"/>
      <c r="F134" s="1356"/>
      <c r="G134" s="1356"/>
      <c r="H134" s="1356"/>
      <c r="I134" s="1356">
        <f>SUMIFS(Sheet1!S71_AdjustmentAmount,Sheet1!S71_SA34dCode,$AC:$AC,Sheet1!S71_DepCode,$AD:$AD)</f>
        <v>0</v>
      </c>
      <c r="J134" s="1214">
        <f t="shared" si="26"/>
        <v>0</v>
      </c>
      <c r="K134" s="1214">
        <f t="shared" si="14"/>
        <v>0</v>
      </c>
      <c r="L134" s="1356">
        <f>SUMIFS(Sheet1!S71_OY1AdjustedBudget,Sheet1!S71_SA34dCode,$AC:$AC,Sheet1!S71_DepCode,$AD:$AD)</f>
        <v>0</v>
      </c>
      <c r="M134" s="1357">
        <f>SUMIFS(Sheet1!S71_OY2AdjustedBudget,Sheet1!S71_SA34dCode,$AC:$AC,Sheet1!S71_DepCode,$AD:$AD)</f>
        <v>0</v>
      </c>
      <c r="N134" s="1215"/>
      <c r="AC134" s="1336" t="s">
        <v>1983</v>
      </c>
      <c r="AD134" s="1336" t="s">
        <v>1907</v>
      </c>
    </row>
    <row r="135" spans="1:30" ht="12.75" customHeight="1" x14ac:dyDescent="0.25">
      <c r="A135" s="585" t="s">
        <v>1663</v>
      </c>
      <c r="B135" s="73"/>
      <c r="C135" s="1356">
        <f>SUMIFS(Sheet1!S71_OriginalBudget,Sheet1!S71_SA34dCode,$AC:$AC,Sheet1!S71_DepCode,$AD:$AD)</f>
        <v>0</v>
      </c>
      <c r="D135" s="1356">
        <f>SUMIFS(Sheet1!S71_SpecialAdjustedBudget,Sheet1!S71_SA34dCode,$AC:$AC,Sheet1!S71_DepCode,$AD:$AD)</f>
        <v>0</v>
      </c>
      <c r="E135" s="1356"/>
      <c r="F135" s="1356"/>
      <c r="G135" s="1356"/>
      <c r="H135" s="1356"/>
      <c r="I135" s="1356">
        <f>SUMIFS(Sheet1!S71_AdjustmentAmount,Sheet1!S71_SA34dCode,$AC:$AC,Sheet1!S71_DepCode,$AD:$AD)</f>
        <v>0</v>
      </c>
      <c r="J135" s="75">
        <f t="shared" si="26"/>
        <v>0</v>
      </c>
      <c r="K135" s="75">
        <f t="shared" si="14"/>
        <v>0</v>
      </c>
      <c r="L135" s="1356">
        <f>SUMIFS(Sheet1!S71_OY1AdjustedBudget,Sheet1!S71_SA34dCode,$AC:$AC,Sheet1!S71_DepCode,$AD:$AD)</f>
        <v>0</v>
      </c>
      <c r="M135" s="1357">
        <f>SUMIFS(Sheet1!S71_OY2AdjustedBudget,Sheet1!S71_SA34dCode,$AC:$AC,Sheet1!S71_DepCode,$AD:$AD)</f>
        <v>0</v>
      </c>
      <c r="N135" s="126"/>
      <c r="AC135" s="1336" t="s">
        <v>1984</v>
      </c>
      <c r="AD135" s="1336" t="s">
        <v>1907</v>
      </c>
    </row>
    <row r="136" spans="1:30" ht="12.75" customHeight="1" x14ac:dyDescent="0.25">
      <c r="A136" s="585" t="s">
        <v>1571</v>
      </c>
      <c r="B136" s="73"/>
      <c r="C136" s="1356">
        <f>SUMIFS(Sheet1!S71_OriginalBudget,Sheet1!S71_SA34dCode,$AC:$AC,Sheet1!S71_DepCode,$AD:$AD)</f>
        <v>0</v>
      </c>
      <c r="D136" s="1356">
        <f>SUMIFS(Sheet1!S71_SpecialAdjustedBudget,Sheet1!S71_SA34dCode,$AC:$AC,Sheet1!S71_DepCode,$AD:$AD)</f>
        <v>0</v>
      </c>
      <c r="E136" s="1356"/>
      <c r="F136" s="1356"/>
      <c r="G136" s="1356"/>
      <c r="H136" s="1356"/>
      <c r="I136" s="1356">
        <f>SUMIFS(Sheet1!S71_AdjustmentAmount,Sheet1!S71_SA34dCode,$AC:$AC,Sheet1!S71_DepCode,$AD:$AD)</f>
        <v>0</v>
      </c>
      <c r="J136" s="75">
        <f t="shared" si="26"/>
        <v>0</v>
      </c>
      <c r="K136" s="75">
        <f t="shared" si="14"/>
        <v>0</v>
      </c>
      <c r="L136" s="1356">
        <f>SUMIFS(Sheet1!S71_OY1AdjustedBudget,Sheet1!S71_SA34dCode,$AC:$AC,Sheet1!S71_DepCode,$AD:$AD)</f>
        <v>0</v>
      </c>
      <c r="M136" s="1357">
        <f>SUMIFS(Sheet1!S71_OY2AdjustedBudget,Sheet1!S71_SA34dCode,$AC:$AC,Sheet1!S71_DepCode,$AD:$AD)</f>
        <v>0</v>
      </c>
      <c r="N136" s="126"/>
      <c r="AC136" s="1337" t="s">
        <v>1985</v>
      </c>
      <c r="AD136" s="1337" t="s">
        <v>1907</v>
      </c>
    </row>
    <row r="137" spans="1:30" ht="5.0999999999999996" customHeight="1" x14ac:dyDescent="0.25">
      <c r="A137" s="134"/>
      <c r="B137" s="73"/>
      <c r="C137" s="74"/>
      <c r="D137" s="75"/>
      <c r="E137" s="75"/>
      <c r="F137" s="75"/>
      <c r="G137" s="75"/>
      <c r="H137" s="75"/>
      <c r="I137" s="75"/>
      <c r="J137" s="75"/>
      <c r="K137" s="75"/>
      <c r="L137" s="75"/>
      <c r="M137" s="76"/>
      <c r="N137" s="126"/>
      <c r="AD137" s="1336" t="s">
        <v>1907</v>
      </c>
    </row>
    <row r="138" spans="1:30" ht="12.75" customHeight="1" x14ac:dyDescent="0.25">
      <c r="A138" s="484" t="s">
        <v>1664</v>
      </c>
      <c r="B138" s="73"/>
      <c r="C138" s="138">
        <f t="shared" ref="C138:M138" si="29">SUM(C139:C139)</f>
        <v>0</v>
      </c>
      <c r="D138" s="139">
        <f t="shared" si="29"/>
        <v>0</v>
      </c>
      <c r="E138" s="235">
        <f t="shared" si="29"/>
        <v>0</v>
      </c>
      <c r="F138" s="235">
        <f t="shared" si="29"/>
        <v>0</v>
      </c>
      <c r="G138" s="235">
        <f t="shared" si="29"/>
        <v>0</v>
      </c>
      <c r="H138" s="235">
        <f t="shared" si="29"/>
        <v>0</v>
      </c>
      <c r="I138" s="235">
        <f t="shared" si="29"/>
        <v>0</v>
      </c>
      <c r="J138" s="235">
        <f>SUM(E138:I138)</f>
        <v>0</v>
      </c>
      <c r="K138" s="235">
        <f t="shared" ref="K138:K169" si="30">IF(D138=0,C138+J138,D138+J138)</f>
        <v>0</v>
      </c>
      <c r="L138" s="235">
        <f t="shared" si="29"/>
        <v>0</v>
      </c>
      <c r="M138" s="236">
        <f t="shared" si="29"/>
        <v>0</v>
      </c>
      <c r="N138" s="126"/>
      <c r="AD138" s="1336" t="s">
        <v>1907</v>
      </c>
    </row>
    <row r="139" spans="1:30" ht="12.75" customHeight="1" x14ac:dyDescent="0.25">
      <c r="A139" s="584" t="s">
        <v>1664</v>
      </c>
      <c r="B139" s="73"/>
      <c r="C139" s="1356">
        <f>SUMIFS(Sheet1!S71_OriginalBudget,Sheet1!S71_SA34dCode,$AC:$AC,Sheet1!S71_DepCode,$AD:$AD)</f>
        <v>0</v>
      </c>
      <c r="D139" s="1356">
        <f>SUMIFS(Sheet1!S71_SpecialAdjustedBudget,Sheet1!S71_SA34dCode,$AC:$AC,Sheet1!S71_DepCode,$AD:$AD)</f>
        <v>0</v>
      </c>
      <c r="E139" s="1356"/>
      <c r="F139" s="1356"/>
      <c r="G139" s="1356"/>
      <c r="H139" s="1356"/>
      <c r="I139" s="1356">
        <f>SUMIFS(Sheet1!S71_AdjustmentAmount,Sheet1!S71_SA34dCode,$AC:$AC,Sheet1!S71_DepCode,$AD:$AD)</f>
        <v>0</v>
      </c>
      <c r="J139" s="75">
        <f>SUM(E139:I139)</f>
        <v>0</v>
      </c>
      <c r="K139" s="75">
        <f t="shared" si="30"/>
        <v>0</v>
      </c>
      <c r="L139" s="1356">
        <f>SUMIFS(Sheet1!S71_OY1AdjustedBudget,Sheet1!S71_SA34dCode,$AC:$AC,Sheet1!S71_DepCode,$AD:$AD)</f>
        <v>0</v>
      </c>
      <c r="M139" s="1357">
        <f>SUMIFS(Sheet1!S71_OY2AdjustedBudget,Sheet1!S71_SA34dCode,$AC:$AC,Sheet1!S71_DepCode,$AD:$AD)</f>
        <v>0</v>
      </c>
      <c r="N139" s="126"/>
      <c r="AC139" s="1336" t="s">
        <v>1986</v>
      </c>
      <c r="AD139" s="1336" t="s">
        <v>1907</v>
      </c>
    </row>
    <row r="140" spans="1:30" ht="5.0999999999999996" customHeight="1" x14ac:dyDescent="0.25">
      <c r="A140" s="1217"/>
      <c r="B140" s="73"/>
      <c r="C140" s="74"/>
      <c r="D140" s="75"/>
      <c r="E140" s="75"/>
      <c r="F140" s="75"/>
      <c r="G140" s="75"/>
      <c r="H140" s="75"/>
      <c r="I140" s="75"/>
      <c r="J140" s="75"/>
      <c r="K140" s="75"/>
      <c r="L140" s="75"/>
      <c r="M140" s="76"/>
      <c r="N140" s="126"/>
      <c r="AD140" s="1336" t="s">
        <v>1907</v>
      </c>
    </row>
    <row r="141" spans="1:30" ht="12.75" customHeight="1" x14ac:dyDescent="0.25">
      <c r="A141" s="484" t="s">
        <v>1665</v>
      </c>
      <c r="B141" s="73"/>
      <c r="C141" s="138">
        <f>SUM(C142:C143)</f>
        <v>234628</v>
      </c>
      <c r="D141" s="139">
        <f>SUM(D142:D143)</f>
        <v>234628</v>
      </c>
      <c r="E141" s="235">
        <f t="shared" ref="E141:M141" si="31">SUM(E142:E143)</f>
        <v>0</v>
      </c>
      <c r="F141" s="235">
        <f t="shared" si="31"/>
        <v>0</v>
      </c>
      <c r="G141" s="235">
        <f t="shared" si="31"/>
        <v>0</v>
      </c>
      <c r="H141" s="235">
        <f t="shared" si="31"/>
        <v>0</v>
      </c>
      <c r="I141" s="235">
        <f t="shared" si="31"/>
        <v>0</v>
      </c>
      <c r="J141" s="235">
        <f t="shared" ref="J141:J149" si="32">SUM(E141:I141)</f>
        <v>0</v>
      </c>
      <c r="K141" s="235">
        <f t="shared" si="30"/>
        <v>234628</v>
      </c>
      <c r="L141" s="235">
        <f t="shared" si="31"/>
        <v>258091</v>
      </c>
      <c r="M141" s="236">
        <f t="shared" si="31"/>
        <v>283900</v>
      </c>
      <c r="N141" s="126"/>
      <c r="AD141" s="1336" t="s">
        <v>1907</v>
      </c>
    </row>
    <row r="142" spans="1:30" ht="12.75" customHeight="1" x14ac:dyDescent="0.25">
      <c r="A142" s="586" t="s">
        <v>1666</v>
      </c>
      <c r="B142" s="73"/>
      <c r="C142" s="1356">
        <f>SUMIFS(Sheet1!S71_OriginalBudget,Sheet1!S71_SA34dCode,$AC:$AC,Sheet1!S71_DepCode,$AD:$AD)</f>
        <v>0</v>
      </c>
      <c r="D142" s="1356">
        <f>SUMIFS(Sheet1!S71_SpecialAdjustedBudget,Sheet1!S71_SA34dCode,$AC:$AC,Sheet1!S71_DepCode,$AD:$AD)</f>
        <v>0</v>
      </c>
      <c r="E142" s="1356"/>
      <c r="F142" s="1356"/>
      <c r="G142" s="1356"/>
      <c r="H142" s="1356"/>
      <c r="I142" s="1356">
        <f>SUMIFS(Sheet1!S71_AdjustmentAmount,Sheet1!S71_SA34dCode,$AC:$AC,Sheet1!S71_DepCode,$AD:$AD)</f>
        <v>0</v>
      </c>
      <c r="J142" s="75">
        <f t="shared" si="32"/>
        <v>0</v>
      </c>
      <c r="K142" s="75">
        <f t="shared" si="30"/>
        <v>0</v>
      </c>
      <c r="L142" s="1356">
        <f>SUMIFS(Sheet1!S71_OY1AdjustedBudget,Sheet1!S71_SA34dCode,$AC:$AC,Sheet1!S71_DepCode,$AD:$AD)</f>
        <v>0</v>
      </c>
      <c r="M142" s="1357">
        <f>SUMIFS(Sheet1!S71_OY2AdjustedBudget,Sheet1!S71_SA34dCode,$AC:$AC,Sheet1!S71_DepCode,$AD:$AD)</f>
        <v>0</v>
      </c>
      <c r="N142" s="126"/>
      <c r="AC142" s="1336" t="s">
        <v>1987</v>
      </c>
      <c r="AD142" s="1336" t="s">
        <v>1907</v>
      </c>
    </row>
    <row r="143" spans="1:30" ht="10.35" customHeight="1" x14ac:dyDescent="0.25">
      <c r="A143" s="586" t="s">
        <v>1667</v>
      </c>
      <c r="B143" s="73"/>
      <c r="C143" s="138">
        <f>SUM(C144:C149)</f>
        <v>234628</v>
      </c>
      <c r="D143" s="139">
        <f>SUM(D144:D149)</f>
        <v>234628</v>
      </c>
      <c r="E143" s="139">
        <f t="shared" ref="E143:M143" si="33">SUM(E144:E149)</f>
        <v>0</v>
      </c>
      <c r="F143" s="139">
        <f t="shared" si="33"/>
        <v>0</v>
      </c>
      <c r="G143" s="139">
        <f t="shared" si="33"/>
        <v>0</v>
      </c>
      <c r="H143" s="139">
        <f t="shared" si="33"/>
        <v>0</v>
      </c>
      <c r="I143" s="139">
        <f t="shared" si="33"/>
        <v>0</v>
      </c>
      <c r="J143" s="139">
        <f t="shared" si="32"/>
        <v>0</v>
      </c>
      <c r="K143" s="139">
        <f t="shared" si="30"/>
        <v>234628</v>
      </c>
      <c r="L143" s="139">
        <f t="shared" si="33"/>
        <v>258091</v>
      </c>
      <c r="M143" s="140">
        <f t="shared" si="33"/>
        <v>283900</v>
      </c>
      <c r="N143" s="126"/>
      <c r="AD143" s="1336" t="s">
        <v>1907</v>
      </c>
    </row>
    <row r="144" spans="1:30" ht="12.75" customHeight="1" x14ac:dyDescent="0.25">
      <c r="A144" s="585" t="s">
        <v>1668</v>
      </c>
      <c r="B144" s="73"/>
      <c r="C144" s="1356">
        <f>SUMIFS(Sheet1!S71_OriginalBudget,Sheet1!S71_SA34dCode,$AC:$AC,Sheet1!S71_DepCode,$AD:$AD)</f>
        <v>0</v>
      </c>
      <c r="D144" s="1356">
        <f>SUMIFS(Sheet1!S71_SpecialAdjustedBudget,Sheet1!S71_SA34dCode,$AC:$AC,Sheet1!S71_DepCode,$AD:$AD)</f>
        <v>0</v>
      </c>
      <c r="E144" s="1356"/>
      <c r="F144" s="1356"/>
      <c r="G144" s="1356"/>
      <c r="H144" s="1356"/>
      <c r="I144" s="1356">
        <f>SUMIFS(Sheet1!S71_AdjustmentAmount,Sheet1!S71_SA34dCode,$AC:$AC,Sheet1!S71_DepCode,$AD:$AD)</f>
        <v>0</v>
      </c>
      <c r="J144" s="75">
        <f t="shared" si="32"/>
        <v>0</v>
      </c>
      <c r="K144" s="75">
        <f t="shared" si="30"/>
        <v>0</v>
      </c>
      <c r="L144" s="1356">
        <f>SUMIFS(Sheet1!S71_OY1AdjustedBudget,Sheet1!S71_SA34dCode,$AC:$AC,Sheet1!S71_DepCode,$AD:$AD)</f>
        <v>0</v>
      </c>
      <c r="M144" s="1357">
        <f>SUMIFS(Sheet1!S71_OY2AdjustedBudget,Sheet1!S71_SA34dCode,$AC:$AC,Sheet1!S71_DepCode,$AD:$AD)</f>
        <v>0</v>
      </c>
      <c r="N144" s="126"/>
      <c r="AC144" s="1336" t="s">
        <v>1825</v>
      </c>
      <c r="AD144" s="1336" t="s">
        <v>1907</v>
      </c>
    </row>
    <row r="145" spans="1:30" ht="12.75" customHeight="1" x14ac:dyDescent="0.25">
      <c r="A145" s="585" t="s">
        <v>1669</v>
      </c>
      <c r="B145" s="135"/>
      <c r="C145" s="1356">
        <f>SUMIFS(Sheet1!S71_OriginalBudget,Sheet1!S71_SA34dCode,$AC:$AC,Sheet1!S71_DepCode,$AD:$AD)</f>
        <v>0</v>
      </c>
      <c r="D145" s="1356">
        <f>SUMIFS(Sheet1!S71_SpecialAdjustedBudget,Sheet1!S71_SA34dCode,$AC:$AC,Sheet1!S71_DepCode,$AD:$AD)</f>
        <v>0</v>
      </c>
      <c r="E145" s="1356"/>
      <c r="F145" s="1356"/>
      <c r="G145" s="1356"/>
      <c r="H145" s="1356"/>
      <c r="I145" s="1356">
        <f>SUMIFS(Sheet1!S71_AdjustmentAmount,Sheet1!S71_SA34dCode,$AC:$AC,Sheet1!S71_DepCode,$AD:$AD)</f>
        <v>0</v>
      </c>
      <c r="J145" s="75">
        <f t="shared" si="32"/>
        <v>0</v>
      </c>
      <c r="K145" s="75">
        <f t="shared" si="30"/>
        <v>0</v>
      </c>
      <c r="L145" s="1356">
        <f>SUMIFS(Sheet1!S71_OY1AdjustedBudget,Sheet1!S71_SA34dCode,$AC:$AC,Sheet1!S71_DepCode,$AD:$AD)</f>
        <v>0</v>
      </c>
      <c r="M145" s="1357">
        <f>SUMIFS(Sheet1!S71_OY2AdjustedBudget,Sheet1!S71_SA34dCode,$AC:$AC,Sheet1!S71_DepCode,$AD:$AD)</f>
        <v>0</v>
      </c>
      <c r="N145" s="126"/>
      <c r="AC145" s="1336" t="s">
        <v>1988</v>
      </c>
      <c r="AD145" s="1336" t="s">
        <v>1907</v>
      </c>
    </row>
    <row r="146" spans="1:30" ht="12.75" customHeight="1" x14ac:dyDescent="0.25">
      <c r="A146" s="585" t="s">
        <v>1670</v>
      </c>
      <c r="B146" s="73"/>
      <c r="C146" s="1356">
        <f>SUMIFS(Sheet1!S71_OriginalBudget,Sheet1!S71_SA34dCode,$AC:$AC,Sheet1!S71_DepCode,$AD:$AD)</f>
        <v>0</v>
      </c>
      <c r="D146" s="1356">
        <f>SUMIFS(Sheet1!S71_SpecialAdjustedBudget,Sheet1!S71_SA34dCode,$AC:$AC,Sheet1!S71_DepCode,$AD:$AD)</f>
        <v>0</v>
      </c>
      <c r="E146" s="1356"/>
      <c r="F146" s="1356"/>
      <c r="G146" s="1356"/>
      <c r="H146" s="1356"/>
      <c r="I146" s="1356">
        <f>SUMIFS(Sheet1!S71_AdjustmentAmount,Sheet1!S71_SA34dCode,$AC:$AC,Sheet1!S71_DepCode,$AD:$AD)</f>
        <v>0</v>
      </c>
      <c r="J146" s="75">
        <f t="shared" si="32"/>
        <v>0</v>
      </c>
      <c r="K146" s="75">
        <f t="shared" si="30"/>
        <v>0</v>
      </c>
      <c r="L146" s="1356">
        <f>SUMIFS(Sheet1!S71_OY1AdjustedBudget,Sheet1!S71_SA34dCode,$AC:$AC,Sheet1!S71_DepCode,$AD:$AD)</f>
        <v>0</v>
      </c>
      <c r="M146" s="1357">
        <f>SUMIFS(Sheet1!S71_OY2AdjustedBudget,Sheet1!S71_SA34dCode,$AC:$AC,Sheet1!S71_DepCode,$AD:$AD)</f>
        <v>0</v>
      </c>
      <c r="N146" s="126"/>
      <c r="AC146" s="1336" t="s">
        <v>1989</v>
      </c>
      <c r="AD146" s="1336" t="s">
        <v>1907</v>
      </c>
    </row>
    <row r="147" spans="1:30" ht="12.75" customHeight="1" x14ac:dyDescent="0.25">
      <c r="A147" s="585" t="s">
        <v>1671</v>
      </c>
      <c r="B147" s="73"/>
      <c r="C147" s="1356">
        <f>SUMIFS(Sheet1!S71_OriginalBudget,Sheet1!S71_SA34dCode,$AC:$AC,Sheet1!S71_DepCode,$AD:$AD)</f>
        <v>234628</v>
      </c>
      <c r="D147" s="1356">
        <f>SUMIFS(Sheet1!S71_SpecialAdjustedBudget,Sheet1!S71_SA34dCode,$AC:$AC,Sheet1!S71_DepCode,$AD:$AD)</f>
        <v>234628</v>
      </c>
      <c r="E147" s="1356"/>
      <c r="F147" s="1356"/>
      <c r="G147" s="1356"/>
      <c r="H147" s="1356"/>
      <c r="I147" s="1356">
        <f>SUMIFS(Sheet1!S71_AdjustmentAmount,Sheet1!S71_SA34dCode,$AC:$AC,Sheet1!S71_DepCode,$AD:$AD)</f>
        <v>0</v>
      </c>
      <c r="J147" s="75">
        <f t="shared" si="32"/>
        <v>0</v>
      </c>
      <c r="K147" s="75">
        <f t="shared" si="30"/>
        <v>234628</v>
      </c>
      <c r="L147" s="1356">
        <f>SUMIFS(Sheet1!S71_OY1AdjustedBudget,Sheet1!S71_SA34dCode,$AC:$AC,Sheet1!S71_DepCode,$AD:$AD)</f>
        <v>258091</v>
      </c>
      <c r="M147" s="1357">
        <f>SUMIFS(Sheet1!S71_OY2AdjustedBudget,Sheet1!S71_SA34dCode,$AC:$AC,Sheet1!S71_DepCode,$AD:$AD)</f>
        <v>283900</v>
      </c>
      <c r="N147" s="126"/>
      <c r="AC147" s="1336" t="s">
        <v>1990</v>
      </c>
      <c r="AD147" s="1336" t="s">
        <v>1907</v>
      </c>
    </row>
    <row r="148" spans="1:30" ht="12.75" customHeight="1" x14ac:dyDescent="0.25">
      <c r="A148" s="585" t="s">
        <v>1672</v>
      </c>
      <c r="B148" s="73"/>
      <c r="C148" s="1356">
        <f>SUMIFS(Sheet1!S71_OriginalBudget,Sheet1!S71_SA34dCode,$AC:$AC,Sheet1!S71_DepCode,$AD:$AD)</f>
        <v>0</v>
      </c>
      <c r="D148" s="1356">
        <f>SUMIFS(Sheet1!S71_SpecialAdjustedBudget,Sheet1!S71_SA34dCode,$AC:$AC,Sheet1!S71_DepCode,$AD:$AD)</f>
        <v>0</v>
      </c>
      <c r="E148" s="1356"/>
      <c r="F148" s="1356"/>
      <c r="G148" s="1356"/>
      <c r="H148" s="1356"/>
      <c r="I148" s="1356">
        <f>SUMIFS(Sheet1!S71_AdjustmentAmount,Sheet1!S71_SA34dCode,$AC:$AC,Sheet1!S71_DepCode,$AD:$AD)</f>
        <v>0</v>
      </c>
      <c r="J148" s="75">
        <f t="shared" si="32"/>
        <v>0</v>
      </c>
      <c r="K148" s="75">
        <f t="shared" si="30"/>
        <v>0</v>
      </c>
      <c r="L148" s="1356">
        <f>SUMIFS(Sheet1!S71_OY1AdjustedBudget,Sheet1!S71_SA34dCode,$AC:$AC,Sheet1!S71_DepCode,$AD:$AD)</f>
        <v>0</v>
      </c>
      <c r="M148" s="1357">
        <f>SUMIFS(Sheet1!S71_OY2AdjustedBudget,Sheet1!S71_SA34dCode,$AC:$AC,Sheet1!S71_DepCode,$AD:$AD)</f>
        <v>0</v>
      </c>
      <c r="N148" s="126"/>
      <c r="AC148" s="1336" t="s">
        <v>1991</v>
      </c>
      <c r="AD148" s="1336" t="s">
        <v>1907</v>
      </c>
    </row>
    <row r="149" spans="1:30" ht="12.75" customHeight="1" x14ac:dyDescent="0.25">
      <c r="A149" s="585" t="s">
        <v>1673</v>
      </c>
      <c r="B149" s="73"/>
      <c r="C149" s="1356">
        <f>SUMIFS(Sheet1!S71_OriginalBudget,Sheet1!S71_SA34dCode,$AC:$AC,Sheet1!S71_DepCode,$AD:$AD)</f>
        <v>0</v>
      </c>
      <c r="D149" s="1356">
        <f>SUMIFS(Sheet1!S71_SpecialAdjustedBudget,Sheet1!S71_SA34dCode,$AC:$AC,Sheet1!S71_DepCode,$AD:$AD)</f>
        <v>0</v>
      </c>
      <c r="E149" s="1356"/>
      <c r="F149" s="1356"/>
      <c r="G149" s="1356"/>
      <c r="H149" s="1356"/>
      <c r="I149" s="1356">
        <f>SUMIFS(Sheet1!S71_AdjustmentAmount,Sheet1!S71_SA34dCode,$AC:$AC,Sheet1!S71_DepCode,$AD:$AD)</f>
        <v>0</v>
      </c>
      <c r="J149" s="75">
        <f t="shared" si="32"/>
        <v>0</v>
      </c>
      <c r="K149" s="75">
        <f t="shared" si="30"/>
        <v>0</v>
      </c>
      <c r="L149" s="1356">
        <f>SUMIFS(Sheet1!S71_OY1AdjustedBudget,Sheet1!S71_SA34dCode,$AC:$AC,Sheet1!S71_DepCode,$AD:$AD)</f>
        <v>0</v>
      </c>
      <c r="M149" s="1357">
        <f>SUMIFS(Sheet1!S71_OY2AdjustedBudget,Sheet1!S71_SA34dCode,$AC:$AC,Sheet1!S71_DepCode,$AD:$AD)</f>
        <v>0</v>
      </c>
      <c r="N149" s="126"/>
      <c r="AC149" s="1336" t="s">
        <v>1992</v>
      </c>
      <c r="AD149" s="1336" t="s">
        <v>1907</v>
      </c>
    </row>
    <row r="150" spans="1:30" ht="5.0999999999999996" customHeight="1" x14ac:dyDescent="0.25">
      <c r="A150" s="1217"/>
      <c r="B150" s="73"/>
      <c r="C150" s="74"/>
      <c r="D150" s="75"/>
      <c r="E150" s="75"/>
      <c r="F150" s="75"/>
      <c r="G150" s="75"/>
      <c r="H150" s="75"/>
      <c r="I150" s="75"/>
      <c r="J150" s="75"/>
      <c r="K150" s="75"/>
      <c r="L150" s="75"/>
      <c r="M150" s="76"/>
      <c r="N150" s="126"/>
      <c r="AD150" s="1336" t="s">
        <v>1907</v>
      </c>
    </row>
    <row r="151" spans="1:30" ht="12.75" customHeight="1" x14ac:dyDescent="0.25">
      <c r="A151" s="484" t="s">
        <v>1674</v>
      </c>
      <c r="B151" s="73"/>
      <c r="C151" s="138">
        <f t="shared" ref="C151:M151" si="34">SUM(C152:C152)</f>
        <v>712510</v>
      </c>
      <c r="D151" s="139">
        <f t="shared" si="34"/>
        <v>712510</v>
      </c>
      <c r="E151" s="235">
        <f t="shared" si="34"/>
        <v>0</v>
      </c>
      <c r="F151" s="235">
        <f t="shared" si="34"/>
        <v>0</v>
      </c>
      <c r="G151" s="235">
        <f t="shared" si="34"/>
        <v>0</v>
      </c>
      <c r="H151" s="235">
        <f t="shared" si="34"/>
        <v>0</v>
      </c>
      <c r="I151" s="235">
        <f t="shared" si="34"/>
        <v>0</v>
      </c>
      <c r="J151" s="235">
        <f>SUM(E151:I151)</f>
        <v>0</v>
      </c>
      <c r="K151" s="235">
        <f t="shared" si="30"/>
        <v>712510</v>
      </c>
      <c r="L151" s="235">
        <f t="shared" si="34"/>
        <v>783761</v>
      </c>
      <c r="M151" s="236">
        <f t="shared" si="34"/>
        <v>862137</v>
      </c>
      <c r="N151" s="126"/>
      <c r="AD151" s="1336" t="s">
        <v>1907</v>
      </c>
    </row>
    <row r="152" spans="1:30" ht="12.75" customHeight="1" x14ac:dyDescent="0.25">
      <c r="A152" s="584" t="s">
        <v>1674</v>
      </c>
      <c r="B152" s="73"/>
      <c r="C152" s="1356">
        <f>SUMIFS(Sheet1!S71_OriginalBudget,Sheet1!S71_SA34dCode,$AC:$AC,Sheet1!S71_DepCode,$AD:$AD)</f>
        <v>712510</v>
      </c>
      <c r="D152" s="1356">
        <f>SUMIFS(Sheet1!S71_SpecialAdjustedBudget,Sheet1!S71_SA34dCode,$AC:$AC,Sheet1!S71_DepCode,$AD:$AD)</f>
        <v>712510</v>
      </c>
      <c r="E152" s="1356"/>
      <c r="F152" s="1356"/>
      <c r="G152" s="1356"/>
      <c r="H152" s="1356"/>
      <c r="I152" s="1356">
        <f>SUMIFS(Sheet1!S71_AdjustmentAmount,Sheet1!S71_SA34dCode,$AC:$AC,Sheet1!S71_DepCode,$AD:$AD)</f>
        <v>0</v>
      </c>
      <c r="J152" s="75">
        <f>SUM(E152:I152)</f>
        <v>0</v>
      </c>
      <c r="K152" s="75">
        <f t="shared" si="30"/>
        <v>712510</v>
      </c>
      <c r="L152" s="1356">
        <f>SUMIFS(Sheet1!S71_OY1AdjustedBudget,Sheet1!S71_SA34dCode,$AC:$AC,Sheet1!S71_DepCode,$AD:$AD)</f>
        <v>783761</v>
      </c>
      <c r="M152" s="1357">
        <f>SUMIFS(Sheet1!S71_OY2AdjustedBudget,Sheet1!S71_SA34dCode,$AC:$AC,Sheet1!S71_DepCode,$AD:$AD)</f>
        <v>862137</v>
      </c>
      <c r="N152" s="126"/>
      <c r="AC152" s="1336" t="s">
        <v>1993</v>
      </c>
      <c r="AD152" s="1336" t="s">
        <v>1907</v>
      </c>
    </row>
    <row r="153" spans="1:30" ht="5.0999999999999996" customHeight="1" x14ac:dyDescent="0.25">
      <c r="A153" s="1217"/>
      <c r="B153" s="73"/>
      <c r="C153" s="74"/>
      <c r="D153" s="75"/>
      <c r="E153" s="75"/>
      <c r="F153" s="75"/>
      <c r="G153" s="75"/>
      <c r="H153" s="75"/>
      <c r="I153" s="75"/>
      <c r="J153" s="75"/>
      <c r="K153" s="75"/>
      <c r="L153" s="75"/>
      <c r="M153" s="76"/>
      <c r="N153" s="126"/>
      <c r="AD153" s="1336" t="s">
        <v>1907</v>
      </c>
    </row>
    <row r="154" spans="1:30" ht="12.75" customHeight="1" x14ac:dyDescent="0.25">
      <c r="A154" s="484" t="s">
        <v>1675</v>
      </c>
      <c r="B154" s="73"/>
      <c r="C154" s="138">
        <f t="shared" ref="C154:M154" si="35">SUM(C155:C155)</f>
        <v>1002993</v>
      </c>
      <c r="D154" s="139">
        <f t="shared" si="35"/>
        <v>1002993</v>
      </c>
      <c r="E154" s="235">
        <f t="shared" si="35"/>
        <v>0</v>
      </c>
      <c r="F154" s="235">
        <f t="shared" si="35"/>
        <v>0</v>
      </c>
      <c r="G154" s="235">
        <f t="shared" si="35"/>
        <v>0</v>
      </c>
      <c r="H154" s="235">
        <f t="shared" si="35"/>
        <v>0</v>
      </c>
      <c r="I154" s="235">
        <f t="shared" si="35"/>
        <v>0</v>
      </c>
      <c r="J154" s="235">
        <f>SUM(E154:I154)</f>
        <v>0</v>
      </c>
      <c r="K154" s="235">
        <f t="shared" si="30"/>
        <v>1002993</v>
      </c>
      <c r="L154" s="235">
        <f t="shared" si="35"/>
        <v>1103293</v>
      </c>
      <c r="M154" s="236">
        <f t="shared" si="35"/>
        <v>1213622</v>
      </c>
      <c r="N154" s="126"/>
      <c r="AD154" s="1336" t="s">
        <v>1907</v>
      </c>
    </row>
    <row r="155" spans="1:30" ht="12.75" customHeight="1" x14ac:dyDescent="0.25">
      <c r="A155" s="584" t="s">
        <v>1675</v>
      </c>
      <c r="B155" s="73"/>
      <c r="C155" s="1356">
        <f>SUMIFS(Sheet1!S71_OriginalBudget,Sheet1!S71_SA34dCode,$AC:$AC,Sheet1!S71_DepCode,$AD:$AD)</f>
        <v>1002993</v>
      </c>
      <c r="D155" s="1356">
        <f>SUMIFS(Sheet1!S71_SpecialAdjustedBudget,Sheet1!S71_SA34dCode,$AC:$AC,Sheet1!S71_DepCode,$AD:$AD)</f>
        <v>1002993</v>
      </c>
      <c r="E155" s="1356"/>
      <c r="F155" s="1356"/>
      <c r="G155" s="1356"/>
      <c r="H155" s="1356"/>
      <c r="I155" s="1356">
        <f>SUMIFS(Sheet1!S71_AdjustmentAmount,Sheet1!S71_SA34dCode,$AC:$AC,Sheet1!S71_DepCode,$AD:$AD)</f>
        <v>0</v>
      </c>
      <c r="J155" s="75">
        <f>SUM(E155:I155)</f>
        <v>0</v>
      </c>
      <c r="K155" s="75">
        <f t="shared" si="30"/>
        <v>1002993</v>
      </c>
      <c r="L155" s="1356">
        <f>SUMIFS(Sheet1!S71_OY1AdjustedBudget,Sheet1!S71_SA34dCode,$AC:$AC,Sheet1!S71_DepCode,$AD:$AD)</f>
        <v>1103293</v>
      </c>
      <c r="M155" s="1357">
        <f>SUMIFS(Sheet1!S71_OY2AdjustedBudget,Sheet1!S71_SA34dCode,$AC:$AC,Sheet1!S71_DepCode,$AD:$AD)</f>
        <v>1213622</v>
      </c>
      <c r="N155" s="126"/>
      <c r="AC155" s="1336" t="s">
        <v>1994</v>
      </c>
      <c r="AD155" s="1336" t="s">
        <v>1907</v>
      </c>
    </row>
    <row r="156" spans="1:30" ht="5.0999999999999996" customHeight="1" x14ac:dyDescent="0.25">
      <c r="A156" s="1217"/>
      <c r="B156" s="73"/>
      <c r="C156" s="74"/>
      <c r="D156" s="75"/>
      <c r="E156" s="75"/>
      <c r="F156" s="75"/>
      <c r="G156" s="75"/>
      <c r="H156" s="75"/>
      <c r="I156" s="75"/>
      <c r="J156" s="75"/>
      <c r="K156" s="75"/>
      <c r="L156" s="75"/>
      <c r="M156" s="76"/>
      <c r="N156" s="126"/>
      <c r="AD156" s="1336" t="s">
        <v>1907</v>
      </c>
    </row>
    <row r="157" spans="1:30" ht="12.75" customHeight="1" x14ac:dyDescent="0.25">
      <c r="A157" s="484" t="s">
        <v>1676</v>
      </c>
      <c r="B157" s="73"/>
      <c r="C157" s="138">
        <f t="shared" ref="C157:M157" si="36">SUM(C158:C158)</f>
        <v>175336</v>
      </c>
      <c r="D157" s="139">
        <f t="shared" si="36"/>
        <v>175336</v>
      </c>
      <c r="E157" s="235">
        <f t="shared" si="36"/>
        <v>0</v>
      </c>
      <c r="F157" s="235">
        <f t="shared" si="36"/>
        <v>0</v>
      </c>
      <c r="G157" s="235">
        <f t="shared" si="36"/>
        <v>0</v>
      </c>
      <c r="H157" s="235">
        <f t="shared" si="36"/>
        <v>0</v>
      </c>
      <c r="I157" s="235">
        <f t="shared" si="36"/>
        <v>0</v>
      </c>
      <c r="J157" s="235">
        <f>SUM(E157:I157)</f>
        <v>0</v>
      </c>
      <c r="K157" s="235">
        <f t="shared" si="30"/>
        <v>175336</v>
      </c>
      <c r="L157" s="235">
        <f t="shared" si="36"/>
        <v>192869</v>
      </c>
      <c r="M157" s="236">
        <f t="shared" si="36"/>
        <v>212156</v>
      </c>
      <c r="N157" s="126"/>
      <c r="AD157" s="1336" t="s">
        <v>1907</v>
      </c>
    </row>
    <row r="158" spans="1:30" ht="12.75" customHeight="1" x14ac:dyDescent="0.25">
      <c r="A158" s="584" t="s">
        <v>1676</v>
      </c>
      <c r="B158" s="73"/>
      <c r="C158" s="1356">
        <f>SUMIFS(Sheet1!S71_OriginalBudget,Sheet1!S71_SA34dCode,$AC:$AC,Sheet1!S71_DepCode,$AD:$AD)</f>
        <v>175336</v>
      </c>
      <c r="D158" s="1356">
        <f>SUMIFS(Sheet1!S71_SpecialAdjustedBudget,Sheet1!S71_SA34dCode,$AC:$AC,Sheet1!S71_DepCode,$AD:$AD)</f>
        <v>175336</v>
      </c>
      <c r="E158" s="1356"/>
      <c r="F158" s="1356"/>
      <c r="G158" s="1356"/>
      <c r="H158" s="1356"/>
      <c r="I158" s="1356">
        <f>SUMIFS(Sheet1!S71_AdjustmentAmount,Sheet1!S71_SA34dCode,$AC:$AC,Sheet1!S71_DepCode,$AD:$AD)</f>
        <v>0</v>
      </c>
      <c r="J158" s="75">
        <f>SUM(E158:I158)</f>
        <v>0</v>
      </c>
      <c r="K158" s="75">
        <f t="shared" si="30"/>
        <v>175336</v>
      </c>
      <c r="L158" s="1356">
        <f>SUMIFS(Sheet1!S71_OY1AdjustedBudget,Sheet1!S71_SA34dCode,$AC:$AC,Sheet1!S71_DepCode,$AD:$AD)</f>
        <v>192869</v>
      </c>
      <c r="M158" s="1357">
        <f>SUMIFS(Sheet1!S71_OY2AdjustedBudget,Sheet1!S71_SA34dCode,$AC:$AC,Sheet1!S71_DepCode,$AD:$AD)</f>
        <v>212156</v>
      </c>
      <c r="N158" s="126"/>
      <c r="AC158" s="1336" t="s">
        <v>1995</v>
      </c>
      <c r="AD158" s="1336" t="s">
        <v>1907</v>
      </c>
    </row>
    <row r="159" spans="1:30" ht="5.0999999999999996" customHeight="1" x14ac:dyDescent="0.25">
      <c r="A159" s="1217"/>
      <c r="B159" s="73"/>
      <c r="C159" s="74"/>
      <c r="D159" s="75"/>
      <c r="E159" s="75"/>
      <c r="F159" s="75"/>
      <c r="G159" s="75"/>
      <c r="H159" s="75"/>
      <c r="I159" s="75"/>
      <c r="J159" s="75"/>
      <c r="K159" s="75"/>
      <c r="L159" s="75"/>
      <c r="M159" s="76"/>
      <c r="N159" s="126"/>
      <c r="AD159" s="1336" t="s">
        <v>1907</v>
      </c>
    </row>
    <row r="160" spans="1:30" ht="12.75" customHeight="1" x14ac:dyDescent="0.25">
      <c r="A160" s="484" t="s">
        <v>1677</v>
      </c>
      <c r="B160" s="73"/>
      <c r="C160" s="138">
        <f t="shared" ref="C160:M160" si="37">SUM(C161:C161)</f>
        <v>926926</v>
      </c>
      <c r="D160" s="139">
        <f t="shared" si="37"/>
        <v>926926</v>
      </c>
      <c r="E160" s="235">
        <f t="shared" si="37"/>
        <v>0</v>
      </c>
      <c r="F160" s="235">
        <f t="shared" si="37"/>
        <v>0</v>
      </c>
      <c r="G160" s="235">
        <f t="shared" si="37"/>
        <v>0</v>
      </c>
      <c r="H160" s="235">
        <f t="shared" si="37"/>
        <v>0</v>
      </c>
      <c r="I160" s="235">
        <f t="shared" si="37"/>
        <v>0</v>
      </c>
      <c r="J160" s="235">
        <f>SUM(E160:I160)</f>
        <v>0</v>
      </c>
      <c r="K160" s="235">
        <f t="shared" si="30"/>
        <v>926926</v>
      </c>
      <c r="L160" s="235">
        <f t="shared" si="37"/>
        <v>1019619</v>
      </c>
      <c r="M160" s="236">
        <f t="shared" si="37"/>
        <v>1121580</v>
      </c>
      <c r="N160" s="126"/>
      <c r="AD160" s="1336" t="s">
        <v>1907</v>
      </c>
    </row>
    <row r="161" spans="1:30" ht="12.75" customHeight="1" x14ac:dyDescent="0.25">
      <c r="A161" s="584" t="s">
        <v>1677</v>
      </c>
      <c r="B161" s="73"/>
      <c r="C161" s="1356">
        <f>SUMIFS(Sheet1!S71_OriginalBudget,Sheet1!S71_SA34dCode,$AC:$AC,Sheet1!S71_DepCode,$AD:$AD)</f>
        <v>926926</v>
      </c>
      <c r="D161" s="1356">
        <f>SUMIFS(Sheet1!S71_SpecialAdjustedBudget,Sheet1!S71_SA34dCode,$AC:$AC,Sheet1!S71_DepCode,$AD:$AD)</f>
        <v>926926</v>
      </c>
      <c r="E161" s="1356"/>
      <c r="F161" s="1356"/>
      <c r="G161" s="1356"/>
      <c r="H161" s="1356"/>
      <c r="I161" s="1356">
        <f>SUMIFS(Sheet1!S71_AdjustmentAmount,Sheet1!S71_SA34dCode,$AC:$AC,Sheet1!S71_DepCode,$AD:$AD)</f>
        <v>0</v>
      </c>
      <c r="J161" s="75">
        <f>SUM(E161:I161)</f>
        <v>0</v>
      </c>
      <c r="K161" s="75">
        <f t="shared" si="30"/>
        <v>926926</v>
      </c>
      <c r="L161" s="1356">
        <f>SUMIFS(Sheet1!S71_OY1AdjustedBudget,Sheet1!S71_SA34dCode,$AC:$AC,Sheet1!S71_DepCode,$AD:$AD)</f>
        <v>1019619</v>
      </c>
      <c r="M161" s="1357">
        <f>SUMIFS(Sheet1!S71_OY2AdjustedBudget,Sheet1!S71_SA34dCode,$AC:$AC,Sheet1!S71_DepCode,$AD:$AD)</f>
        <v>1121580</v>
      </c>
      <c r="N161" s="126"/>
      <c r="AC161" s="1336" t="s">
        <v>1996</v>
      </c>
      <c r="AD161" s="1336" t="s">
        <v>1907</v>
      </c>
    </row>
    <row r="162" spans="1:30" ht="5.0999999999999996" customHeight="1" x14ac:dyDescent="0.25">
      <c r="A162" s="1217"/>
      <c r="B162" s="73"/>
      <c r="C162" s="74"/>
      <c r="D162" s="75"/>
      <c r="E162" s="75"/>
      <c r="F162" s="75"/>
      <c r="G162" s="75"/>
      <c r="H162" s="75"/>
      <c r="I162" s="75"/>
      <c r="J162" s="75"/>
      <c r="K162" s="75"/>
      <c r="L162" s="75"/>
      <c r="M162" s="76"/>
      <c r="N162" s="126"/>
      <c r="AD162" s="1336" t="s">
        <v>1907</v>
      </c>
    </row>
    <row r="163" spans="1:30" ht="12.75" customHeight="1" x14ac:dyDescent="0.25">
      <c r="A163" s="484" t="s">
        <v>1734</v>
      </c>
      <c r="B163" s="73"/>
      <c r="C163" s="138">
        <f t="shared" ref="C163:M163" si="38">SUM(C164:C164)</f>
        <v>0</v>
      </c>
      <c r="D163" s="139">
        <f t="shared" si="38"/>
        <v>0</v>
      </c>
      <c r="E163" s="235">
        <f t="shared" si="38"/>
        <v>0</v>
      </c>
      <c r="F163" s="235">
        <f t="shared" si="38"/>
        <v>0</v>
      </c>
      <c r="G163" s="235">
        <f t="shared" si="38"/>
        <v>0</v>
      </c>
      <c r="H163" s="235">
        <f t="shared" si="38"/>
        <v>0</v>
      </c>
      <c r="I163" s="235">
        <f t="shared" si="38"/>
        <v>0</v>
      </c>
      <c r="J163" s="235">
        <f>SUM(E163:I163)</f>
        <v>0</v>
      </c>
      <c r="K163" s="235">
        <f t="shared" si="30"/>
        <v>0</v>
      </c>
      <c r="L163" s="235">
        <f t="shared" si="38"/>
        <v>0</v>
      </c>
      <c r="M163" s="236">
        <f t="shared" si="38"/>
        <v>0</v>
      </c>
      <c r="N163" s="126"/>
      <c r="AD163" s="1336" t="s">
        <v>1907</v>
      </c>
    </row>
    <row r="164" spans="1:30" ht="12.75" customHeight="1" x14ac:dyDescent="0.25">
      <c r="A164" s="584" t="s">
        <v>1734</v>
      </c>
      <c r="B164" s="73"/>
      <c r="C164" s="1356">
        <f>SUMIFS(Sheet1!S71_OriginalBudget,Sheet1!S71_SA34dCode,$AC:$AC,Sheet1!S71_DepCode,$AD:$AD)</f>
        <v>0</v>
      </c>
      <c r="D164" s="1356">
        <f>SUMIFS(Sheet1!S71_SpecialAdjustedBudget,Sheet1!S71_SA34dCode,$AC:$AC,Sheet1!S71_DepCode,$AD:$AD)</f>
        <v>0</v>
      </c>
      <c r="E164" s="1356"/>
      <c r="F164" s="1356"/>
      <c r="G164" s="1356"/>
      <c r="H164" s="1356"/>
      <c r="I164" s="1356">
        <f>SUMIFS(Sheet1!S71_AdjustmentAmount,Sheet1!S71_SA34dCode,$AC:$AC,Sheet1!S71_DepCode,$AD:$AD)</f>
        <v>0</v>
      </c>
      <c r="J164" s="75">
        <f>SUM(E164:I164)</f>
        <v>0</v>
      </c>
      <c r="K164" s="75">
        <f t="shared" si="30"/>
        <v>0</v>
      </c>
      <c r="L164" s="1356">
        <f>SUMIFS(Sheet1!S71_OY1AdjustedBudget,Sheet1!S71_SA34dCode,$AC:$AC,Sheet1!S71_DepCode,$AD:$AD)</f>
        <v>0</v>
      </c>
      <c r="M164" s="1357">
        <f>SUMIFS(Sheet1!S71_OY2AdjustedBudget,Sheet1!S71_SA34dCode,$AC:$AC,Sheet1!S71_DepCode,$AD:$AD)</f>
        <v>0</v>
      </c>
      <c r="N164" s="126"/>
      <c r="AC164" s="1336" t="s">
        <v>1997</v>
      </c>
      <c r="AD164" s="1336" t="s">
        <v>1907</v>
      </c>
    </row>
    <row r="165" spans="1:30" ht="5.0999999999999996" customHeight="1" x14ac:dyDescent="0.25">
      <c r="A165" s="1217"/>
      <c r="B165" s="73"/>
      <c r="C165" s="74"/>
      <c r="D165" s="75"/>
      <c r="E165" s="75"/>
      <c r="F165" s="75"/>
      <c r="G165" s="75"/>
      <c r="H165" s="75"/>
      <c r="I165" s="75"/>
      <c r="J165" s="75"/>
      <c r="K165" s="75"/>
      <c r="L165" s="75"/>
      <c r="M165" s="76"/>
      <c r="N165" s="126"/>
      <c r="AD165" s="1336" t="s">
        <v>1907</v>
      </c>
    </row>
    <row r="166" spans="1:30" ht="12.75" customHeight="1" x14ac:dyDescent="0.25">
      <c r="A166" s="484" t="s">
        <v>1678</v>
      </c>
      <c r="B166" s="73"/>
      <c r="C166" s="138">
        <f t="shared" ref="C166:M166" si="39">SUM(C167:C167)</f>
        <v>0</v>
      </c>
      <c r="D166" s="139">
        <f t="shared" si="39"/>
        <v>0</v>
      </c>
      <c r="E166" s="235">
        <f t="shared" si="39"/>
        <v>0</v>
      </c>
      <c r="F166" s="235">
        <f t="shared" si="39"/>
        <v>0</v>
      </c>
      <c r="G166" s="235">
        <f t="shared" si="39"/>
        <v>0</v>
      </c>
      <c r="H166" s="235">
        <f t="shared" si="39"/>
        <v>0</v>
      </c>
      <c r="I166" s="235">
        <f t="shared" si="39"/>
        <v>0</v>
      </c>
      <c r="J166" s="235">
        <f>SUM(E166:I166)</f>
        <v>0</v>
      </c>
      <c r="K166" s="235">
        <f t="shared" si="30"/>
        <v>0</v>
      </c>
      <c r="L166" s="235">
        <f t="shared" si="39"/>
        <v>0</v>
      </c>
      <c r="M166" s="236">
        <f t="shared" si="39"/>
        <v>0</v>
      </c>
      <c r="N166" s="126"/>
      <c r="AD166" s="1336" t="s">
        <v>1907</v>
      </c>
    </row>
    <row r="167" spans="1:30" ht="12.75" customHeight="1" x14ac:dyDescent="0.25">
      <c r="A167" s="584" t="s">
        <v>1678</v>
      </c>
      <c r="B167" s="73"/>
      <c r="C167" s="1356">
        <f>SUMIFS(Sheet1!S71_OriginalBudget,Sheet1!S71_SA34dCode,$AC:$AC,Sheet1!S71_DepCode,$AD:$AD)</f>
        <v>0</v>
      </c>
      <c r="D167" s="1356">
        <f>SUMIFS(Sheet1!S71_SpecialAdjustedBudget,Sheet1!S71_SA34dCode,$AC:$AC,Sheet1!S71_DepCode,$AD:$AD)</f>
        <v>0</v>
      </c>
      <c r="E167" s="1356"/>
      <c r="F167" s="1356"/>
      <c r="G167" s="1356"/>
      <c r="H167" s="1356"/>
      <c r="I167" s="1356">
        <f>SUMIFS(Sheet1!S71_AdjustmentAmount,Sheet1!S71_SA34dCode,$AC:$AC,Sheet1!S71_DepCode,$AD:$AD)</f>
        <v>0</v>
      </c>
      <c r="J167" s="75">
        <f>SUM(E167:I167)</f>
        <v>0</v>
      </c>
      <c r="K167" s="75">
        <f t="shared" si="30"/>
        <v>0</v>
      </c>
      <c r="L167" s="1356">
        <f>SUMIFS(Sheet1!S71_OY1AdjustedBudget,Sheet1!S71_SA34dCode,$AC:$AC,Sheet1!S71_DepCode,$AD:$AD)</f>
        <v>0</v>
      </c>
      <c r="M167" s="1357">
        <f>SUMIFS(Sheet1!S71_OY2AdjustedBudget,Sheet1!S71_SA34dCode,$AC:$AC,Sheet1!S71_DepCode,$AD:$AD)</f>
        <v>0</v>
      </c>
      <c r="N167" s="126"/>
      <c r="AC167" s="1336" t="s">
        <v>1998</v>
      </c>
      <c r="AD167" s="1336" t="s">
        <v>1907</v>
      </c>
    </row>
    <row r="168" spans="1:30" ht="5.0999999999999996" customHeight="1" x14ac:dyDescent="0.25">
      <c r="A168" s="134"/>
      <c r="B168" s="73"/>
      <c r="C168" s="74"/>
      <c r="D168" s="75"/>
      <c r="E168" s="75"/>
      <c r="F168" s="75"/>
      <c r="G168" s="75"/>
      <c r="H168" s="75"/>
      <c r="I168" s="75"/>
      <c r="J168" s="75"/>
      <c r="K168" s="75"/>
      <c r="L168" s="75"/>
      <c r="M168" s="76"/>
      <c r="N168" s="126"/>
    </row>
    <row r="169" spans="1:30" ht="12.75" customHeight="1" x14ac:dyDescent="0.25">
      <c r="A169" s="847" t="s">
        <v>1416</v>
      </c>
      <c r="B169" s="154">
        <v>1</v>
      </c>
      <c r="C169" s="155">
        <f>C8+C76+C105+C112+C120+C151+C138+C141+C154+C157+C160+C163+C166</f>
        <v>11173339</v>
      </c>
      <c r="D169" s="115">
        <f t="shared" ref="D169:M169" si="40">D8+D76+D105+D112+D120+D151+D138+D141+D154+D157+D160+D163+D166</f>
        <v>11173339</v>
      </c>
      <c r="E169" s="115">
        <f t="shared" si="40"/>
        <v>0</v>
      </c>
      <c r="F169" s="115">
        <f t="shared" si="40"/>
        <v>0</v>
      </c>
      <c r="G169" s="115">
        <f t="shared" si="40"/>
        <v>0</v>
      </c>
      <c r="H169" s="115">
        <f t="shared" si="40"/>
        <v>0</v>
      </c>
      <c r="I169" s="115">
        <f t="shared" si="40"/>
        <v>0</v>
      </c>
      <c r="J169" s="115">
        <f>SUM(E169:I169)</f>
        <v>0</v>
      </c>
      <c r="K169" s="115">
        <f t="shared" si="30"/>
        <v>11173339</v>
      </c>
      <c r="L169" s="115">
        <f t="shared" si="40"/>
        <v>12290674</v>
      </c>
      <c r="M169" s="116">
        <f t="shared" si="40"/>
        <v>13519740</v>
      </c>
      <c r="N169" s="126"/>
    </row>
    <row r="170" spans="1:30" ht="12.75" customHeight="1" x14ac:dyDescent="0.25">
      <c r="A170" s="587" t="str">
        <f>head27a</f>
        <v>References</v>
      </c>
      <c r="B170" s="119"/>
      <c r="C170" s="53"/>
      <c r="D170" s="53"/>
      <c r="E170" s="53"/>
      <c r="F170" s="53"/>
      <c r="G170" s="53"/>
      <c r="H170" s="53"/>
      <c r="I170" s="53"/>
      <c r="J170" s="53"/>
      <c r="K170" s="53"/>
      <c r="L170" s="53"/>
      <c r="M170" s="53"/>
      <c r="N170" s="126"/>
    </row>
    <row r="171" spans="1:30" ht="12.75" customHeight="1" x14ac:dyDescent="0.25">
      <c r="A171" s="845" t="s">
        <v>1192</v>
      </c>
      <c r="B171" s="750"/>
      <c r="C171" s="753"/>
      <c r="D171" s="753"/>
      <c r="E171" s="754"/>
      <c r="F171" s="754"/>
      <c r="G171" s="754"/>
      <c r="H171" s="754"/>
      <c r="I171" s="754"/>
      <c r="J171" s="53"/>
      <c r="K171" s="53"/>
      <c r="L171" s="53"/>
      <c r="M171" s="53"/>
      <c r="N171" s="126"/>
    </row>
    <row r="172" spans="1:30" ht="12.75" customHeight="1" x14ac:dyDescent="0.25">
      <c r="A172" s="1422" t="s">
        <v>986</v>
      </c>
      <c r="B172" s="1422"/>
      <c r="C172" s="1422"/>
      <c r="D172" s="1422"/>
      <c r="E172" s="1422"/>
      <c r="F172" s="1422"/>
      <c r="G172" s="1422"/>
      <c r="H172" s="1422"/>
      <c r="I172" s="1422"/>
      <c r="J172" s="1422"/>
      <c r="K172" s="1422"/>
      <c r="L172" s="1422"/>
      <c r="M172" s="1422"/>
      <c r="N172" s="126"/>
    </row>
    <row r="173" spans="1:30" ht="12.75" customHeight="1" x14ac:dyDescent="0.25">
      <c r="A173" s="1422" t="s">
        <v>992</v>
      </c>
      <c r="B173" s="1422"/>
      <c r="C173" s="1422"/>
      <c r="D173" s="1422"/>
      <c r="E173" s="1422"/>
      <c r="F173" s="1422"/>
      <c r="G173" s="1422"/>
      <c r="H173" s="1422"/>
      <c r="I173" s="1422"/>
      <c r="J173" s="1422"/>
      <c r="K173" s="822"/>
      <c r="L173" s="822"/>
      <c r="M173" s="822"/>
      <c r="N173" s="126"/>
    </row>
    <row r="174" spans="1:30" ht="12.75" customHeight="1" x14ac:dyDescent="0.25">
      <c r="A174" s="1422" t="s">
        <v>993</v>
      </c>
      <c r="B174" s="1422"/>
      <c r="C174" s="1422"/>
      <c r="D174" s="1422"/>
      <c r="E174" s="1422"/>
      <c r="F174" s="1422"/>
      <c r="G174" s="1422"/>
      <c r="H174" s="1422"/>
      <c r="I174" s="1422"/>
      <c r="J174" s="1422"/>
      <c r="K174" s="822"/>
      <c r="L174" s="822"/>
      <c r="M174" s="822"/>
      <c r="N174" s="126"/>
    </row>
    <row r="175" spans="1:30" ht="12.75" customHeight="1" x14ac:dyDescent="0.25">
      <c r="A175" s="1422" t="s">
        <v>1016</v>
      </c>
      <c r="B175" s="1422"/>
      <c r="C175" s="1422"/>
      <c r="D175" s="1422"/>
      <c r="E175" s="1422"/>
      <c r="F175" s="1422"/>
      <c r="G175" s="1422"/>
      <c r="H175" s="1422"/>
      <c r="I175" s="1422"/>
      <c r="J175" s="1422"/>
      <c r="K175" s="1422"/>
      <c r="L175" s="1422"/>
      <c r="M175" s="1422"/>
      <c r="N175" s="126"/>
    </row>
    <row r="176" spans="1:30" ht="12.75" customHeight="1" x14ac:dyDescent="0.25">
      <c r="A176" s="157" t="s">
        <v>1017</v>
      </c>
      <c r="B176" s="158"/>
      <c r="C176" s="94"/>
      <c r="D176" s="94"/>
      <c r="E176" s="94"/>
      <c r="F176" s="94"/>
      <c r="G176" s="94"/>
      <c r="H176" s="94"/>
      <c r="I176" s="94"/>
      <c r="J176" s="94"/>
      <c r="K176" s="94"/>
      <c r="L176" s="94"/>
      <c r="M176" s="94"/>
      <c r="N176" s="126"/>
    </row>
    <row r="177" spans="1:14" ht="12.75" customHeight="1" x14ac:dyDescent="0.25">
      <c r="A177" s="1422" t="s">
        <v>1018</v>
      </c>
      <c r="B177" s="1422"/>
      <c r="C177" s="1422"/>
      <c r="D177" s="1422"/>
      <c r="E177" s="1422"/>
      <c r="F177" s="1422"/>
      <c r="G177" s="1422"/>
      <c r="H177" s="1422"/>
      <c r="I177" s="1422"/>
      <c r="J177" s="1422"/>
      <c r="K177" s="1422"/>
      <c r="L177" s="1422"/>
      <c r="M177" s="1422"/>
      <c r="N177" s="126"/>
    </row>
    <row r="178" spans="1:14" ht="12.75" customHeight="1" x14ac:dyDescent="0.25">
      <c r="A178" s="157" t="s">
        <v>1019</v>
      </c>
      <c r="B178" s="158"/>
      <c r="C178" s="94"/>
      <c r="D178" s="94"/>
      <c r="E178" s="94"/>
      <c r="F178" s="94"/>
      <c r="G178" s="94"/>
      <c r="H178" s="94"/>
      <c r="I178" s="94"/>
      <c r="J178" s="94"/>
      <c r="K178" s="94"/>
      <c r="L178" s="94"/>
      <c r="M178" s="94"/>
      <c r="N178" s="126"/>
    </row>
    <row r="179" spans="1:14" ht="12.75" customHeight="1" x14ac:dyDescent="0.25">
      <c r="A179" s="1422" t="s">
        <v>1020</v>
      </c>
      <c r="B179" s="1422"/>
      <c r="C179" s="1422"/>
      <c r="D179" s="1422"/>
      <c r="E179" s="1422"/>
      <c r="F179" s="1422"/>
      <c r="G179" s="1422"/>
      <c r="H179" s="1422"/>
      <c r="I179" s="1422"/>
      <c r="J179" s="1422"/>
      <c r="K179" s="1422"/>
      <c r="L179" s="1422"/>
      <c r="M179" s="1422"/>
      <c r="N179" s="126"/>
    </row>
    <row r="180" spans="1:14" ht="11.25" customHeight="1" x14ac:dyDescent="0.25">
      <c r="A180" s="336"/>
      <c r="B180" s="781"/>
      <c r="C180" s="543"/>
      <c r="D180" s="543"/>
      <c r="E180" s="543"/>
      <c r="F180" s="543"/>
      <c r="G180" s="543"/>
      <c r="H180" s="543"/>
      <c r="I180" s="543"/>
      <c r="J180" s="543"/>
      <c r="K180" s="543"/>
      <c r="L180" s="543"/>
      <c r="M180" s="543"/>
      <c r="N180" s="126"/>
    </row>
    <row r="181" spans="1:14" ht="11.25" customHeight="1" x14ac:dyDescent="0.25">
      <c r="A181" s="48"/>
      <c r="B181" s="119"/>
      <c r="C181" s="53"/>
      <c r="D181" s="53"/>
      <c r="E181" s="53"/>
      <c r="F181" s="53"/>
      <c r="G181" s="53"/>
      <c r="H181" s="53"/>
      <c r="I181" s="53"/>
      <c r="J181" s="53"/>
      <c r="K181" s="53"/>
      <c r="L181" s="53"/>
      <c r="M181" s="53"/>
      <c r="N181" s="126"/>
    </row>
    <row r="182" spans="1:14" ht="11.25" customHeight="1" x14ac:dyDescent="0.25">
      <c r="A182" s="782" t="s">
        <v>673</v>
      </c>
      <c r="B182" s="158"/>
      <c r="C182" s="783">
        <f>C169-'B4-FinPerf RE'!C29</f>
        <v>0</v>
      </c>
      <c r="D182" s="783"/>
      <c r="E182" s="783"/>
      <c r="F182" s="783"/>
      <c r="G182" s="783"/>
      <c r="H182" s="783"/>
      <c r="I182" s="783"/>
      <c r="J182" s="783"/>
      <c r="K182" s="783"/>
      <c r="L182" s="783">
        <f>L169-'B4-FinPerf RE'!L29</f>
        <v>0</v>
      </c>
      <c r="M182" s="783">
        <f>M169-'B4-FinPerf RE'!M29</f>
        <v>0</v>
      </c>
      <c r="N182" s="126"/>
    </row>
    <row r="183" spans="1:14" ht="11.25" customHeight="1" x14ac:dyDescent="0.25">
      <c r="N183" s="126"/>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4">
    <tabColor indexed="42"/>
  </sheetPr>
  <dimension ref="A1:AD218"/>
  <sheetViews>
    <sheetView showGridLines="0" topLeftCell="A103" zoomScaleNormal="100" workbookViewId="0">
      <selection activeCell="J8" sqref="J8:J169"/>
    </sheetView>
  </sheetViews>
  <sheetFormatPr defaultColWidth="9.140625" defaultRowHeight="12.75" x14ac:dyDescent="0.25"/>
  <cols>
    <col min="1" max="1" width="42.85546875" style="5" customWidth="1"/>
    <col min="2" max="2" width="3.140625" style="58" customWidth="1"/>
    <col min="3" max="13" width="9.140625" style="5"/>
    <col min="14" max="14" width="13.425781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27" width="9.140625" style="5" customWidth="1"/>
    <col min="28" max="28" width="9.140625" style="5"/>
    <col min="29" max="30" width="9.140625" style="1336"/>
    <col min="31" max="16384" width="9.140625" style="5"/>
  </cols>
  <sheetData>
    <row r="1" spans="1:30" ht="13.5" x14ac:dyDescent="0.25">
      <c r="A1" s="57" t="str">
        <f>muni&amp;" - "&amp;ADJB18e&amp;" - "&amp;Date</f>
        <v xml:space="preserve">KZN226 Mkhambathini - Adjustments Budget - capital expenditure on upgrading of existing assets by asset class - </v>
      </c>
      <c r="B1" s="5"/>
      <c r="C1" s="58"/>
    </row>
    <row r="2" spans="1:30" ht="25.5" x14ac:dyDescent="0.25">
      <c r="A2" s="1420" t="str">
        <f>desc</f>
        <v>Description</v>
      </c>
      <c r="B2" s="1420" t="str">
        <f>head27</f>
        <v>Ref</v>
      </c>
      <c r="C2" s="1417" t="str">
        <f>Head2</f>
        <v>Budget Year 2020/21</v>
      </c>
      <c r="D2" s="1418"/>
      <c r="E2" s="1418"/>
      <c r="F2" s="1418"/>
      <c r="G2" s="1418"/>
      <c r="H2" s="1418"/>
      <c r="I2" s="1418"/>
      <c r="J2" s="1418"/>
      <c r="K2" s="1419"/>
      <c r="L2" s="167" t="str">
        <f>Head10</f>
        <v>Budget Year +1 2021/22</v>
      </c>
      <c r="M2" s="168" t="str">
        <f>Head11</f>
        <v>Budget Year +2 2022/23</v>
      </c>
    </row>
    <row r="3" spans="1:30" ht="25.5" x14ac:dyDescent="0.25">
      <c r="A3" s="1421"/>
      <c r="B3" s="14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30" x14ac:dyDescent="0.25">
      <c r="A4" s="1421"/>
      <c r="B4" s="1421"/>
      <c r="C4" s="65"/>
      <c r="D4" s="15">
        <v>7</v>
      </c>
      <c r="E4" s="15">
        <v>8</v>
      </c>
      <c r="F4" s="15">
        <v>9</v>
      </c>
      <c r="G4" s="15">
        <v>10</v>
      </c>
      <c r="H4" s="15">
        <v>11</v>
      </c>
      <c r="I4" s="15">
        <v>12</v>
      </c>
      <c r="J4" s="15">
        <v>13</v>
      </c>
      <c r="K4" s="15">
        <v>14</v>
      </c>
      <c r="L4" s="15"/>
      <c r="M4" s="17"/>
    </row>
    <row r="5" spans="1:30" x14ac:dyDescent="0.25">
      <c r="A5" s="66" t="s">
        <v>605</v>
      </c>
      <c r="B5" s="104"/>
      <c r="C5" s="67" t="s">
        <v>549</v>
      </c>
      <c r="D5" s="68" t="s">
        <v>550</v>
      </c>
      <c r="E5" s="68" t="s">
        <v>551</v>
      </c>
      <c r="F5" s="69" t="s">
        <v>552</v>
      </c>
      <c r="G5" s="69" t="s">
        <v>553</v>
      </c>
      <c r="H5" s="69" t="s">
        <v>554</v>
      </c>
      <c r="I5" s="70" t="s">
        <v>555</v>
      </c>
      <c r="J5" s="70" t="s">
        <v>556</v>
      </c>
      <c r="K5" s="70" t="s">
        <v>557</v>
      </c>
      <c r="L5" s="70"/>
      <c r="M5" s="71"/>
    </row>
    <row r="6" spans="1:30" ht="12.75" customHeight="1" x14ac:dyDescent="0.25">
      <c r="A6" s="843" t="s">
        <v>1679</v>
      </c>
      <c r="B6" s="73"/>
      <c r="C6" s="74"/>
      <c r="D6" s="75"/>
      <c r="E6" s="75"/>
      <c r="F6" s="75"/>
      <c r="G6" s="75"/>
      <c r="H6" s="75"/>
      <c r="I6" s="75"/>
      <c r="J6" s="75"/>
      <c r="K6" s="75"/>
      <c r="L6" s="75"/>
      <c r="M6" s="76"/>
      <c r="N6" s="126"/>
    </row>
    <row r="7" spans="1:30" ht="5.0999999999999996" customHeight="1" x14ac:dyDescent="0.25">
      <c r="A7" s="124"/>
      <c r="B7" s="73"/>
      <c r="C7" s="74"/>
      <c r="D7" s="75"/>
      <c r="E7" s="75"/>
      <c r="F7" s="75"/>
      <c r="G7" s="75"/>
      <c r="H7" s="75"/>
      <c r="I7" s="75"/>
      <c r="J7" s="75"/>
      <c r="K7" s="75"/>
      <c r="L7" s="75"/>
      <c r="M7" s="76"/>
      <c r="N7" s="126"/>
    </row>
    <row r="8" spans="1:30" ht="12.75" customHeight="1" x14ac:dyDescent="0.25">
      <c r="A8" s="124" t="s">
        <v>766</v>
      </c>
      <c r="B8" s="73"/>
      <c r="C8" s="693">
        <f>C9+C14+C18+C28+C70+C39+C46+C54+C64</f>
        <v>0</v>
      </c>
      <c r="D8" s="693">
        <f t="shared" ref="D8:I8" si="0">D9+D14+D18+D28+D70+D39+D46+D54+D64</f>
        <v>0</v>
      </c>
      <c r="E8" s="693">
        <f t="shared" si="0"/>
        <v>0</v>
      </c>
      <c r="F8" s="693">
        <f t="shared" si="0"/>
        <v>0</v>
      </c>
      <c r="G8" s="693">
        <f t="shared" si="0"/>
        <v>0</v>
      </c>
      <c r="H8" s="693">
        <f t="shared" si="0"/>
        <v>0</v>
      </c>
      <c r="I8" s="693">
        <f t="shared" si="0"/>
        <v>0</v>
      </c>
      <c r="J8" s="694">
        <f t="shared" ref="J8:J39" si="1">SUM(E8:I8)</f>
        <v>0</v>
      </c>
      <c r="K8" s="694">
        <f>IF(D8=0,C8+J8,D8+J8)</f>
        <v>0</v>
      </c>
      <c r="L8" s="693">
        <f>L9+L14+L18+L28+L70+L39+L46+L54+L64</f>
        <v>0</v>
      </c>
      <c r="M8" s="695">
        <f>M9+M14+M18+M28+M70+M39+M46+M54+M64</f>
        <v>0</v>
      </c>
      <c r="N8" s="837"/>
    </row>
    <row r="9" spans="1:30" ht="12.75" customHeight="1" x14ac:dyDescent="0.25">
      <c r="A9" s="584" t="s">
        <v>1568</v>
      </c>
      <c r="B9" s="73"/>
      <c r="C9" s="263">
        <f>SUM(C10:C13)</f>
        <v>0</v>
      </c>
      <c r="D9" s="263">
        <f t="shared" ref="D9:M9" si="2">SUM(D10:D13)</f>
        <v>0</v>
      </c>
      <c r="E9" s="263">
        <f t="shared" si="2"/>
        <v>0</v>
      </c>
      <c r="F9" s="263">
        <f t="shared" si="2"/>
        <v>0</v>
      </c>
      <c r="G9" s="263">
        <f t="shared" si="2"/>
        <v>0</v>
      </c>
      <c r="H9" s="263">
        <f t="shared" si="2"/>
        <v>0</v>
      </c>
      <c r="I9" s="263">
        <f t="shared" si="2"/>
        <v>0</v>
      </c>
      <c r="J9" s="75">
        <f t="shared" si="1"/>
        <v>0</v>
      </c>
      <c r="K9" s="75">
        <f t="shared" ref="K9:K72" si="3">IF(D9=0,C9+J9,D9+J9)</f>
        <v>0</v>
      </c>
      <c r="L9" s="263">
        <f t="shared" si="2"/>
        <v>0</v>
      </c>
      <c r="M9" s="264">
        <f t="shared" si="2"/>
        <v>0</v>
      </c>
      <c r="N9" s="126"/>
    </row>
    <row r="10" spans="1:30" ht="12.75" customHeight="1" x14ac:dyDescent="0.25">
      <c r="A10" s="585" t="s">
        <v>1002</v>
      </c>
      <c r="B10" s="73"/>
      <c r="C10" s="1356">
        <f>SUMIFS(Sheet1!S71_OriginalBudget,Sheet1!S71_SA34eCode,$AC:$AC,Sheet1!S71_A5CapexCode,$AD:$AD)</f>
        <v>0</v>
      </c>
      <c r="D10" s="1356">
        <f>SUMIFS(Sheet1!S71_SpecialAdjustedBudget,Sheet1!S71_SA34eCode,$AC:$AC,Sheet1!S71_A5CapexCode,$AD:$AD)</f>
        <v>0</v>
      </c>
      <c r="E10" s="1356"/>
      <c r="F10" s="1356"/>
      <c r="G10" s="1356"/>
      <c r="H10" s="1356"/>
      <c r="I10" s="1356">
        <f>SUMIFS(Sheet1!S71_AdjustmentAmount,Sheet1!S71_SA34eCode,$AC:$AC,Sheet1!S71_A5CapexCode,$AD:$AD)</f>
        <v>0</v>
      </c>
      <c r="J10" s="75">
        <f t="shared" si="1"/>
        <v>0</v>
      </c>
      <c r="K10" s="75">
        <f t="shared" si="3"/>
        <v>0</v>
      </c>
      <c r="L10" s="1356">
        <f>SUMIFS(Sheet1!S71_OY1AdjustedBudget,Sheet1!S71_SA34eCode,$AC:$AC,Sheet1!S71_A5CapexCode,$AD:$AD)</f>
        <v>0</v>
      </c>
      <c r="M10" s="1357">
        <f>SUMIFS(Sheet1!S71_OY2AdjustedBudget,Sheet1!S71_SA34eCode,$AC:$AC,Sheet1!S71_A5CapexCode,$AD:$AD)</f>
        <v>0</v>
      </c>
      <c r="N10" s="837"/>
      <c r="AC10" s="1336" t="s">
        <v>1859</v>
      </c>
      <c r="AD10" s="1336" t="s">
        <v>1846</v>
      </c>
    </row>
    <row r="11" spans="1:30" ht="12.75" customHeight="1" x14ac:dyDescent="0.25">
      <c r="A11" s="585" t="s">
        <v>1569</v>
      </c>
      <c r="B11" s="73"/>
      <c r="C11" s="1356">
        <f>SUMIFS(Sheet1!S71_OriginalBudget,Sheet1!S71_SA34eCode,$AC:$AC,Sheet1!S71_A5CapexCode,$AD:$AD)</f>
        <v>0</v>
      </c>
      <c r="D11" s="1356">
        <f>SUMIFS(Sheet1!S71_SpecialAdjustedBudget,Sheet1!S71_SA34eCode,$AC:$AC,Sheet1!S71_A5CapexCode,$AD:$AD)</f>
        <v>0</v>
      </c>
      <c r="E11" s="1356"/>
      <c r="F11" s="1356"/>
      <c r="G11" s="1356"/>
      <c r="H11" s="1356"/>
      <c r="I11" s="1356">
        <f>SUMIFS(Sheet1!S71_AdjustmentAmount,Sheet1!S71_SA34eCode,$AC:$AC,Sheet1!S71_A5CapexCode,$AD:$AD)</f>
        <v>0</v>
      </c>
      <c r="J11" s="75">
        <f t="shared" si="1"/>
        <v>0</v>
      </c>
      <c r="K11" s="75">
        <f t="shared" si="3"/>
        <v>0</v>
      </c>
      <c r="L11" s="1356">
        <f>SUMIFS(Sheet1!S71_OY1AdjustedBudget,Sheet1!S71_SA34eCode,$AC:$AC,Sheet1!S71_A5CapexCode,$AD:$AD)</f>
        <v>0</v>
      </c>
      <c r="M11" s="1357">
        <f>SUMIFS(Sheet1!S71_OY2AdjustedBudget,Sheet1!S71_SA34eCode,$AC:$AC,Sheet1!S71_A5CapexCode,$AD:$AD)</f>
        <v>0</v>
      </c>
      <c r="N11" s="842"/>
      <c r="AC11" s="1336" t="s">
        <v>1860</v>
      </c>
      <c r="AD11" s="1336" t="s">
        <v>1846</v>
      </c>
    </row>
    <row r="12" spans="1:30" ht="12.75" customHeight="1" x14ac:dyDescent="0.25">
      <c r="A12" s="585" t="s">
        <v>1570</v>
      </c>
      <c r="B12" s="73"/>
      <c r="C12" s="1356">
        <f>SUMIFS(Sheet1!S71_OriginalBudget,Sheet1!S71_SA34eCode,$AC:$AC,Sheet1!S71_A5CapexCode,$AD:$AD)</f>
        <v>0</v>
      </c>
      <c r="D12" s="1356">
        <f>SUMIFS(Sheet1!S71_SpecialAdjustedBudget,Sheet1!S71_SA34eCode,$AC:$AC,Sheet1!S71_A5CapexCode,$AD:$AD)</f>
        <v>0</v>
      </c>
      <c r="E12" s="1356"/>
      <c r="F12" s="1356"/>
      <c r="G12" s="1356"/>
      <c r="H12" s="1356"/>
      <c r="I12" s="1356">
        <f>SUMIFS(Sheet1!S71_AdjustmentAmount,Sheet1!S71_SA34eCode,$AC:$AC,Sheet1!S71_A5CapexCode,$AD:$AD)</f>
        <v>0</v>
      </c>
      <c r="J12" s="75">
        <f t="shared" si="1"/>
        <v>0</v>
      </c>
      <c r="K12" s="75">
        <f t="shared" si="3"/>
        <v>0</v>
      </c>
      <c r="L12" s="1356">
        <f>SUMIFS(Sheet1!S71_OY1AdjustedBudget,Sheet1!S71_SA34eCode,$AC:$AC,Sheet1!S71_A5CapexCode,$AD:$AD)</f>
        <v>0</v>
      </c>
      <c r="M12" s="1357">
        <f>SUMIFS(Sheet1!S71_OY2AdjustedBudget,Sheet1!S71_SA34eCode,$AC:$AC,Sheet1!S71_A5CapexCode,$AD:$AD)</f>
        <v>0</v>
      </c>
      <c r="N12" s="837"/>
      <c r="AC12" s="1336" t="s">
        <v>1861</v>
      </c>
      <c r="AD12" s="1336" t="s">
        <v>1846</v>
      </c>
    </row>
    <row r="13" spans="1:30" ht="12.75" customHeight="1" x14ac:dyDescent="0.25">
      <c r="A13" s="585" t="s">
        <v>1571</v>
      </c>
      <c r="B13" s="73"/>
      <c r="C13" s="1356">
        <f>SUMIFS(Sheet1!S71_OriginalBudget,Sheet1!S71_SA34eCode,$AC:$AC,Sheet1!S71_A5CapexCode,$AD:$AD)</f>
        <v>0</v>
      </c>
      <c r="D13" s="1356">
        <f>SUMIFS(Sheet1!S71_SpecialAdjustedBudget,Sheet1!S71_SA34eCode,$AC:$AC,Sheet1!S71_A5CapexCode,$AD:$AD)</f>
        <v>0</v>
      </c>
      <c r="E13" s="1356"/>
      <c r="F13" s="1356"/>
      <c r="G13" s="1356"/>
      <c r="H13" s="1356"/>
      <c r="I13" s="1356">
        <f>SUMIFS(Sheet1!S71_AdjustmentAmount,Sheet1!S71_SA34eCode,$AC:$AC,Sheet1!S71_A5CapexCode,$AD:$AD)</f>
        <v>0</v>
      </c>
      <c r="J13" s="75">
        <f t="shared" si="1"/>
        <v>0</v>
      </c>
      <c r="K13" s="75">
        <f t="shared" si="3"/>
        <v>0</v>
      </c>
      <c r="L13" s="1356">
        <f>SUMIFS(Sheet1!S71_OY1AdjustedBudget,Sheet1!S71_SA34eCode,$AC:$AC,Sheet1!S71_A5CapexCode,$AD:$AD)</f>
        <v>0</v>
      </c>
      <c r="M13" s="1357">
        <f>SUMIFS(Sheet1!S71_OY2AdjustedBudget,Sheet1!S71_SA34eCode,$AC:$AC,Sheet1!S71_A5CapexCode,$AD:$AD)</f>
        <v>0</v>
      </c>
      <c r="N13" s="842"/>
      <c r="AC13" s="1336" t="s">
        <v>1862</v>
      </c>
      <c r="AD13" s="1336" t="s">
        <v>1846</v>
      </c>
    </row>
    <row r="14" spans="1:30" ht="12.75" customHeight="1" x14ac:dyDescent="0.25">
      <c r="A14" s="584" t="s">
        <v>1572</v>
      </c>
      <c r="B14" s="73"/>
      <c r="C14" s="1110">
        <f t="shared" ref="C14:I14" si="4">SUM(C15:C17)</f>
        <v>0</v>
      </c>
      <c r="D14" s="130">
        <f t="shared" si="4"/>
        <v>0</v>
      </c>
      <c r="E14" s="130">
        <f t="shared" si="4"/>
        <v>0</v>
      </c>
      <c r="F14" s="130">
        <f t="shared" si="4"/>
        <v>0</v>
      </c>
      <c r="G14" s="130">
        <f t="shared" si="4"/>
        <v>0</v>
      </c>
      <c r="H14" s="130">
        <f t="shared" si="4"/>
        <v>0</v>
      </c>
      <c r="I14" s="130">
        <f t="shared" si="4"/>
        <v>0</v>
      </c>
      <c r="J14" s="75">
        <f t="shared" si="1"/>
        <v>0</v>
      </c>
      <c r="K14" s="75">
        <f t="shared" si="3"/>
        <v>0</v>
      </c>
      <c r="L14" s="130">
        <f>SUM(L15:L17)</f>
        <v>0</v>
      </c>
      <c r="M14" s="131">
        <f>SUM(M15:M17)</f>
        <v>0</v>
      </c>
      <c r="N14" s="842"/>
    </row>
    <row r="15" spans="1:30" ht="12.75" customHeight="1" x14ac:dyDescent="0.25">
      <c r="A15" s="585" t="s">
        <v>1573</v>
      </c>
      <c r="B15" s="73"/>
      <c r="C15" s="1356">
        <f>SUMIFS(Sheet1!S71_OriginalBudget,Sheet1!S71_SA34eCode,$AC:$AC,Sheet1!S71_A5CapexCode,$AD:$AD)</f>
        <v>0</v>
      </c>
      <c r="D15" s="1356">
        <f>SUMIFS(Sheet1!S71_SpecialAdjustedBudget,Sheet1!S71_SA34eCode,$AC:$AC,Sheet1!S71_A5CapexCode,$AD:$AD)</f>
        <v>0</v>
      </c>
      <c r="E15" s="1356"/>
      <c r="F15" s="1356"/>
      <c r="G15" s="1356"/>
      <c r="H15" s="1356"/>
      <c r="I15" s="1356">
        <f>SUMIFS(Sheet1!S71_AdjustmentAmount,Sheet1!S71_SA34eCode,$AC:$AC,Sheet1!S71_A5CapexCode,$AD:$AD)</f>
        <v>0</v>
      </c>
      <c r="J15" s="75">
        <f t="shared" si="1"/>
        <v>0</v>
      </c>
      <c r="K15" s="75">
        <f t="shared" si="3"/>
        <v>0</v>
      </c>
      <c r="L15" s="1356">
        <f>SUMIFS(Sheet1!S71_OY1AdjustedBudget,Sheet1!S71_SA34eCode,$AC:$AC,Sheet1!S71_A5CapexCode,$AD:$AD)</f>
        <v>0</v>
      </c>
      <c r="M15" s="1357">
        <f>SUMIFS(Sheet1!S71_OY2AdjustedBudget,Sheet1!S71_SA34eCode,$AC:$AC,Sheet1!S71_A5CapexCode,$AD:$AD)</f>
        <v>0</v>
      </c>
      <c r="N15" s="842"/>
      <c r="AC15" s="1336" t="s">
        <v>1864</v>
      </c>
      <c r="AD15" s="1336" t="s">
        <v>1846</v>
      </c>
    </row>
    <row r="16" spans="1:30" ht="12.75" customHeight="1" x14ac:dyDescent="0.25">
      <c r="A16" s="585" t="s">
        <v>1574</v>
      </c>
      <c r="B16" s="73"/>
      <c r="C16" s="1356">
        <f>SUMIFS(Sheet1!S71_OriginalBudget,Sheet1!S71_SA34eCode,$AC:$AC,Sheet1!S71_A5CapexCode,$AD:$AD)</f>
        <v>0</v>
      </c>
      <c r="D16" s="1356">
        <f>SUMIFS(Sheet1!S71_SpecialAdjustedBudget,Sheet1!S71_SA34eCode,$AC:$AC,Sheet1!S71_A5CapexCode,$AD:$AD)</f>
        <v>0</v>
      </c>
      <c r="E16" s="1356"/>
      <c r="F16" s="1356"/>
      <c r="G16" s="1356"/>
      <c r="H16" s="1356"/>
      <c r="I16" s="1356">
        <f>SUMIFS(Sheet1!S71_AdjustmentAmount,Sheet1!S71_SA34eCode,$AC:$AC,Sheet1!S71_A5CapexCode,$AD:$AD)</f>
        <v>0</v>
      </c>
      <c r="J16" s="75">
        <f t="shared" si="1"/>
        <v>0</v>
      </c>
      <c r="K16" s="75">
        <f t="shared" si="3"/>
        <v>0</v>
      </c>
      <c r="L16" s="1356">
        <f>SUMIFS(Sheet1!S71_OY1AdjustedBudget,Sheet1!S71_SA34eCode,$AC:$AC,Sheet1!S71_A5CapexCode,$AD:$AD)</f>
        <v>0</v>
      </c>
      <c r="M16" s="1357">
        <f>SUMIFS(Sheet1!S71_OY2AdjustedBudget,Sheet1!S71_SA34eCode,$AC:$AC,Sheet1!S71_A5CapexCode,$AD:$AD)</f>
        <v>0</v>
      </c>
      <c r="N16" s="842"/>
      <c r="AC16" s="1336" t="s">
        <v>1908</v>
      </c>
      <c r="AD16" s="1336" t="s">
        <v>1846</v>
      </c>
    </row>
    <row r="17" spans="1:30" ht="12.75" customHeight="1" x14ac:dyDescent="0.25">
      <c r="A17" s="585" t="s">
        <v>1575</v>
      </c>
      <c r="B17" s="73"/>
      <c r="C17" s="1356">
        <f>SUMIFS(Sheet1!S71_OriginalBudget,Sheet1!S71_SA34eCode,$AC:$AC,Sheet1!S71_A5CapexCode,$AD:$AD)</f>
        <v>0</v>
      </c>
      <c r="D17" s="1356">
        <f>SUMIFS(Sheet1!S71_SpecialAdjustedBudget,Sheet1!S71_SA34eCode,$AC:$AC,Sheet1!S71_A5CapexCode,$AD:$AD)</f>
        <v>0</v>
      </c>
      <c r="E17" s="1356"/>
      <c r="F17" s="1356"/>
      <c r="G17" s="1356"/>
      <c r="H17" s="1356"/>
      <c r="I17" s="1356">
        <f>SUMIFS(Sheet1!S71_AdjustmentAmount,Sheet1!S71_SA34eCode,$AC:$AC,Sheet1!S71_A5CapexCode,$AD:$AD)</f>
        <v>0</v>
      </c>
      <c r="J17" s="75">
        <f t="shared" si="1"/>
        <v>0</v>
      </c>
      <c r="K17" s="75">
        <f t="shared" si="3"/>
        <v>0</v>
      </c>
      <c r="L17" s="1356">
        <f>SUMIFS(Sheet1!S71_OY1AdjustedBudget,Sheet1!S71_SA34eCode,$AC:$AC,Sheet1!S71_A5CapexCode,$AD:$AD)</f>
        <v>0</v>
      </c>
      <c r="M17" s="1357">
        <f>SUMIFS(Sheet1!S71_OY2AdjustedBudget,Sheet1!S71_SA34eCode,$AC:$AC,Sheet1!S71_A5CapexCode,$AD:$AD)</f>
        <v>0</v>
      </c>
      <c r="N17" s="842"/>
      <c r="AC17" s="1336" t="s">
        <v>1909</v>
      </c>
      <c r="AD17" s="1336" t="s">
        <v>1846</v>
      </c>
    </row>
    <row r="18" spans="1:30" ht="12.75" customHeight="1" x14ac:dyDescent="0.25">
      <c r="A18" s="584" t="s">
        <v>1576</v>
      </c>
      <c r="B18" s="73"/>
      <c r="C18" s="1110">
        <f t="shared" ref="C18:M18" si="5">SUM(C19:C27)</f>
        <v>0</v>
      </c>
      <c r="D18" s="130">
        <f t="shared" si="5"/>
        <v>0</v>
      </c>
      <c r="E18" s="130">
        <f t="shared" si="5"/>
        <v>0</v>
      </c>
      <c r="F18" s="130">
        <f t="shared" si="5"/>
        <v>0</v>
      </c>
      <c r="G18" s="130">
        <f t="shared" si="5"/>
        <v>0</v>
      </c>
      <c r="H18" s="130">
        <f t="shared" si="5"/>
        <v>0</v>
      </c>
      <c r="I18" s="130">
        <f t="shared" si="5"/>
        <v>0</v>
      </c>
      <c r="J18" s="75">
        <f t="shared" si="1"/>
        <v>0</v>
      </c>
      <c r="K18" s="75">
        <f t="shared" si="3"/>
        <v>0</v>
      </c>
      <c r="L18" s="130">
        <f t="shared" si="5"/>
        <v>0</v>
      </c>
      <c r="M18" s="131">
        <f t="shared" si="5"/>
        <v>0</v>
      </c>
      <c r="N18" s="842"/>
    </row>
    <row r="19" spans="1:30" ht="12.75" customHeight="1" x14ac:dyDescent="0.25">
      <c r="A19" s="585" t="s">
        <v>1577</v>
      </c>
      <c r="B19" s="73"/>
      <c r="C19" s="1356">
        <f>SUMIFS(Sheet1!S71_OriginalBudget,Sheet1!S71_SA34eCode,$AC:$AC,Sheet1!S71_A5CapexCode,$AD:$AD)</f>
        <v>0</v>
      </c>
      <c r="D19" s="1356">
        <f>SUMIFS(Sheet1!S71_SpecialAdjustedBudget,Sheet1!S71_SA34eCode,$AC:$AC,Sheet1!S71_A5CapexCode,$AD:$AD)</f>
        <v>0</v>
      </c>
      <c r="E19" s="1356"/>
      <c r="F19" s="1356"/>
      <c r="G19" s="1356"/>
      <c r="H19" s="1356"/>
      <c r="I19" s="1356">
        <f>SUMIFS(Sheet1!S71_AdjustmentAmount,Sheet1!S71_SA34eCode,$AC:$AC,Sheet1!S71_A5CapexCode,$AD:$AD)</f>
        <v>0</v>
      </c>
      <c r="J19" s="75">
        <f t="shared" si="1"/>
        <v>0</v>
      </c>
      <c r="K19" s="75">
        <f t="shared" si="3"/>
        <v>0</v>
      </c>
      <c r="L19" s="1356">
        <f>SUMIFS(Sheet1!S71_OY1AdjustedBudget,Sheet1!S71_SA34eCode,$AC:$AC,Sheet1!S71_A5CapexCode,$AD:$AD)</f>
        <v>0</v>
      </c>
      <c r="M19" s="1357">
        <f>SUMIFS(Sheet1!S71_OY2AdjustedBudget,Sheet1!S71_SA34eCode,$AC:$AC,Sheet1!S71_A5CapexCode,$AD:$AD)</f>
        <v>0</v>
      </c>
      <c r="N19" s="842"/>
      <c r="AC19" s="1336" t="s">
        <v>1865</v>
      </c>
      <c r="AD19" s="1336" t="s">
        <v>1846</v>
      </c>
    </row>
    <row r="20" spans="1:30" ht="12.6" customHeight="1" x14ac:dyDescent="0.25">
      <c r="A20" s="585" t="s">
        <v>1578</v>
      </c>
      <c r="B20" s="73"/>
      <c r="C20" s="1356">
        <f>SUMIFS(Sheet1!S71_OriginalBudget,Sheet1!S71_SA34eCode,$AC:$AC,Sheet1!S71_A5CapexCode,$AD:$AD)</f>
        <v>0</v>
      </c>
      <c r="D20" s="1356">
        <f>SUMIFS(Sheet1!S71_SpecialAdjustedBudget,Sheet1!S71_SA34eCode,$AC:$AC,Sheet1!S71_A5CapexCode,$AD:$AD)</f>
        <v>0</v>
      </c>
      <c r="E20" s="1356"/>
      <c r="F20" s="1356"/>
      <c r="G20" s="1356"/>
      <c r="H20" s="1356"/>
      <c r="I20" s="1356">
        <f>SUMIFS(Sheet1!S71_AdjustmentAmount,Sheet1!S71_SA34eCode,$AC:$AC,Sheet1!S71_A5CapexCode,$AD:$AD)</f>
        <v>0</v>
      </c>
      <c r="J20" s="75">
        <f t="shared" si="1"/>
        <v>0</v>
      </c>
      <c r="K20" s="75">
        <f t="shared" si="3"/>
        <v>0</v>
      </c>
      <c r="L20" s="1356">
        <f>SUMIFS(Sheet1!S71_OY1AdjustedBudget,Sheet1!S71_SA34eCode,$AC:$AC,Sheet1!S71_A5CapexCode,$AD:$AD)</f>
        <v>0</v>
      </c>
      <c r="M20" s="1357">
        <f>SUMIFS(Sheet1!S71_OY2AdjustedBudget,Sheet1!S71_SA34eCode,$AC:$AC,Sheet1!S71_A5CapexCode,$AD:$AD)</f>
        <v>0</v>
      </c>
      <c r="N20" s="842"/>
      <c r="AC20" s="1336" t="s">
        <v>1866</v>
      </c>
      <c r="AD20" s="1336" t="s">
        <v>1846</v>
      </c>
    </row>
    <row r="21" spans="1:30" ht="12.75" customHeight="1" x14ac:dyDescent="0.25">
      <c r="A21" s="585" t="s">
        <v>1579</v>
      </c>
      <c r="B21" s="73"/>
      <c r="C21" s="1356">
        <f>SUMIFS(Sheet1!S71_OriginalBudget,Sheet1!S71_SA34eCode,$AC:$AC,Sheet1!S71_A5CapexCode,$AD:$AD)</f>
        <v>0</v>
      </c>
      <c r="D21" s="1356">
        <f>SUMIFS(Sheet1!S71_SpecialAdjustedBudget,Sheet1!S71_SA34eCode,$AC:$AC,Sheet1!S71_A5CapexCode,$AD:$AD)</f>
        <v>0</v>
      </c>
      <c r="E21" s="1356"/>
      <c r="F21" s="1356"/>
      <c r="G21" s="1356"/>
      <c r="H21" s="1356"/>
      <c r="I21" s="1356">
        <f>SUMIFS(Sheet1!S71_AdjustmentAmount,Sheet1!S71_SA34eCode,$AC:$AC,Sheet1!S71_A5CapexCode,$AD:$AD)</f>
        <v>0</v>
      </c>
      <c r="J21" s="75">
        <f t="shared" si="1"/>
        <v>0</v>
      </c>
      <c r="K21" s="75">
        <f t="shared" si="3"/>
        <v>0</v>
      </c>
      <c r="L21" s="1356">
        <f>SUMIFS(Sheet1!S71_OY1AdjustedBudget,Sheet1!S71_SA34eCode,$AC:$AC,Sheet1!S71_A5CapexCode,$AD:$AD)</f>
        <v>0</v>
      </c>
      <c r="M21" s="1357">
        <f>SUMIFS(Sheet1!S71_OY2AdjustedBudget,Sheet1!S71_SA34eCode,$AC:$AC,Sheet1!S71_A5CapexCode,$AD:$AD)</f>
        <v>0</v>
      </c>
      <c r="N21" s="842"/>
      <c r="AC21" s="1336" t="s">
        <v>1867</v>
      </c>
      <c r="AD21" s="1336" t="s">
        <v>1846</v>
      </c>
    </row>
    <row r="22" spans="1:30" ht="12.75" customHeight="1" x14ac:dyDescent="0.25">
      <c r="A22" s="585" t="s">
        <v>1580</v>
      </c>
      <c r="B22" s="73"/>
      <c r="C22" s="1356">
        <f>SUMIFS(Sheet1!S71_OriginalBudget,Sheet1!S71_SA34eCode,$AC:$AC,Sheet1!S71_A5CapexCode,$AD:$AD)</f>
        <v>0</v>
      </c>
      <c r="D22" s="1356">
        <f>SUMIFS(Sheet1!S71_SpecialAdjustedBudget,Sheet1!S71_SA34eCode,$AC:$AC,Sheet1!S71_A5CapexCode,$AD:$AD)</f>
        <v>0</v>
      </c>
      <c r="E22" s="1356"/>
      <c r="F22" s="1356"/>
      <c r="G22" s="1356"/>
      <c r="H22" s="1356"/>
      <c r="I22" s="1356">
        <f>SUMIFS(Sheet1!S71_AdjustmentAmount,Sheet1!S71_SA34eCode,$AC:$AC,Sheet1!S71_A5CapexCode,$AD:$AD)</f>
        <v>0</v>
      </c>
      <c r="J22" s="75">
        <f t="shared" si="1"/>
        <v>0</v>
      </c>
      <c r="K22" s="75">
        <f t="shared" si="3"/>
        <v>0</v>
      </c>
      <c r="L22" s="1356">
        <f>SUMIFS(Sheet1!S71_OY1AdjustedBudget,Sheet1!S71_SA34eCode,$AC:$AC,Sheet1!S71_A5CapexCode,$AD:$AD)</f>
        <v>0</v>
      </c>
      <c r="M22" s="1357">
        <f>SUMIFS(Sheet1!S71_OY2AdjustedBudget,Sheet1!S71_SA34eCode,$AC:$AC,Sheet1!S71_A5CapexCode,$AD:$AD)</f>
        <v>0</v>
      </c>
      <c r="N22" s="837"/>
      <c r="AC22" s="1336" t="s">
        <v>1868</v>
      </c>
      <c r="AD22" s="1336" t="s">
        <v>1846</v>
      </c>
    </row>
    <row r="23" spans="1:30" ht="12.75" customHeight="1" x14ac:dyDescent="0.25">
      <c r="A23" s="585" t="s">
        <v>1581</v>
      </c>
      <c r="B23" s="73"/>
      <c r="C23" s="1356">
        <f>SUMIFS(Sheet1!S71_OriginalBudget,Sheet1!S71_SA34eCode,$AC:$AC,Sheet1!S71_A5CapexCode,$AD:$AD)</f>
        <v>0</v>
      </c>
      <c r="D23" s="1356">
        <f>SUMIFS(Sheet1!S71_SpecialAdjustedBudget,Sheet1!S71_SA34eCode,$AC:$AC,Sheet1!S71_A5CapexCode,$AD:$AD)</f>
        <v>0</v>
      </c>
      <c r="E23" s="1356"/>
      <c r="F23" s="1356"/>
      <c r="G23" s="1356"/>
      <c r="H23" s="1356"/>
      <c r="I23" s="1356">
        <f>SUMIFS(Sheet1!S71_AdjustmentAmount,Sheet1!S71_SA34eCode,$AC:$AC,Sheet1!S71_A5CapexCode,$AD:$AD)</f>
        <v>0</v>
      </c>
      <c r="J23" s="75">
        <f t="shared" si="1"/>
        <v>0</v>
      </c>
      <c r="K23" s="75">
        <f t="shared" si="3"/>
        <v>0</v>
      </c>
      <c r="L23" s="1356">
        <f>SUMIFS(Sheet1!S71_OY1AdjustedBudget,Sheet1!S71_SA34eCode,$AC:$AC,Sheet1!S71_A5CapexCode,$AD:$AD)</f>
        <v>0</v>
      </c>
      <c r="M23" s="1357">
        <f>SUMIFS(Sheet1!S71_OY2AdjustedBudget,Sheet1!S71_SA34eCode,$AC:$AC,Sheet1!S71_A5CapexCode,$AD:$AD)</f>
        <v>0</v>
      </c>
      <c r="N23" s="842"/>
      <c r="AC23" s="1336" t="s">
        <v>1910</v>
      </c>
      <c r="AD23" s="1336" t="s">
        <v>1846</v>
      </c>
    </row>
    <row r="24" spans="1:30" ht="12.75" customHeight="1" x14ac:dyDescent="0.25">
      <c r="A24" s="585" t="s">
        <v>1582</v>
      </c>
      <c r="B24" s="73"/>
      <c r="C24" s="1356">
        <f>SUMIFS(Sheet1!S71_OriginalBudget,Sheet1!S71_SA34eCode,$AC:$AC,Sheet1!S71_A5CapexCode,$AD:$AD)</f>
        <v>0</v>
      </c>
      <c r="D24" s="1356">
        <f>SUMIFS(Sheet1!S71_SpecialAdjustedBudget,Sheet1!S71_SA34eCode,$AC:$AC,Sheet1!S71_A5CapexCode,$AD:$AD)</f>
        <v>0</v>
      </c>
      <c r="E24" s="1356"/>
      <c r="F24" s="1356"/>
      <c r="G24" s="1356"/>
      <c r="H24" s="1356"/>
      <c r="I24" s="1356">
        <f>SUMIFS(Sheet1!S71_AdjustmentAmount,Sheet1!S71_SA34eCode,$AC:$AC,Sheet1!S71_A5CapexCode,$AD:$AD)</f>
        <v>0</v>
      </c>
      <c r="J24" s="75">
        <f t="shared" si="1"/>
        <v>0</v>
      </c>
      <c r="K24" s="75">
        <f t="shared" si="3"/>
        <v>0</v>
      </c>
      <c r="L24" s="1356">
        <f>SUMIFS(Sheet1!S71_OY1AdjustedBudget,Sheet1!S71_SA34eCode,$AC:$AC,Sheet1!S71_A5CapexCode,$AD:$AD)</f>
        <v>0</v>
      </c>
      <c r="M24" s="1357">
        <f>SUMIFS(Sheet1!S71_OY2AdjustedBudget,Sheet1!S71_SA34eCode,$AC:$AC,Sheet1!S71_A5CapexCode,$AD:$AD)</f>
        <v>0</v>
      </c>
      <c r="N24" s="837"/>
      <c r="AC24" s="1336" t="s">
        <v>1869</v>
      </c>
      <c r="AD24" s="1336" t="s">
        <v>1846</v>
      </c>
    </row>
    <row r="25" spans="1:30" ht="12.75" customHeight="1" x14ac:dyDescent="0.25">
      <c r="A25" s="585" t="s">
        <v>1583</v>
      </c>
      <c r="B25" s="73"/>
      <c r="C25" s="1356">
        <f>SUMIFS(Sheet1!S71_OriginalBudget,Sheet1!S71_SA34eCode,$AC:$AC,Sheet1!S71_A5CapexCode,$AD:$AD)</f>
        <v>0</v>
      </c>
      <c r="D25" s="1356">
        <f>SUMIFS(Sheet1!S71_SpecialAdjustedBudget,Sheet1!S71_SA34eCode,$AC:$AC,Sheet1!S71_A5CapexCode,$AD:$AD)</f>
        <v>0</v>
      </c>
      <c r="E25" s="1356"/>
      <c r="F25" s="1356"/>
      <c r="G25" s="1356"/>
      <c r="H25" s="1356"/>
      <c r="I25" s="1356">
        <f>SUMIFS(Sheet1!S71_AdjustmentAmount,Sheet1!S71_SA34eCode,$AC:$AC,Sheet1!S71_A5CapexCode,$AD:$AD)</f>
        <v>0</v>
      </c>
      <c r="J25" s="75">
        <f t="shared" si="1"/>
        <v>0</v>
      </c>
      <c r="K25" s="75">
        <f t="shared" si="3"/>
        <v>0</v>
      </c>
      <c r="L25" s="1356">
        <f>SUMIFS(Sheet1!S71_OY1AdjustedBudget,Sheet1!S71_SA34eCode,$AC:$AC,Sheet1!S71_A5CapexCode,$AD:$AD)</f>
        <v>0</v>
      </c>
      <c r="M25" s="1357">
        <f>SUMIFS(Sheet1!S71_OY2AdjustedBudget,Sheet1!S71_SA34eCode,$AC:$AC,Sheet1!S71_A5CapexCode,$AD:$AD)</f>
        <v>0</v>
      </c>
      <c r="N25" s="842"/>
      <c r="AC25" s="1336" t="s">
        <v>1870</v>
      </c>
      <c r="AD25" s="1336" t="s">
        <v>1846</v>
      </c>
    </row>
    <row r="26" spans="1:30" ht="12.75" customHeight="1" x14ac:dyDescent="0.25">
      <c r="A26" s="585" t="s">
        <v>1584</v>
      </c>
      <c r="B26" s="73"/>
      <c r="C26" s="1356">
        <f>SUMIFS(Sheet1!S71_OriginalBudget,Sheet1!S71_SA34eCode,$AC:$AC,Sheet1!S71_A5CapexCode,$AD:$AD)</f>
        <v>0</v>
      </c>
      <c r="D26" s="1356">
        <f>SUMIFS(Sheet1!S71_SpecialAdjustedBudget,Sheet1!S71_SA34eCode,$AC:$AC,Sheet1!S71_A5CapexCode,$AD:$AD)</f>
        <v>0</v>
      </c>
      <c r="E26" s="1356"/>
      <c r="F26" s="1356"/>
      <c r="G26" s="1356"/>
      <c r="H26" s="1356"/>
      <c r="I26" s="1356">
        <f>SUMIFS(Sheet1!S71_AdjustmentAmount,Sheet1!S71_SA34eCode,$AC:$AC,Sheet1!S71_A5CapexCode,$AD:$AD)</f>
        <v>0</v>
      </c>
      <c r="J26" s="75">
        <f t="shared" si="1"/>
        <v>0</v>
      </c>
      <c r="K26" s="75">
        <f t="shared" si="3"/>
        <v>0</v>
      </c>
      <c r="L26" s="1356">
        <f>SUMIFS(Sheet1!S71_OY1AdjustedBudget,Sheet1!S71_SA34eCode,$AC:$AC,Sheet1!S71_A5CapexCode,$AD:$AD)</f>
        <v>0</v>
      </c>
      <c r="M26" s="1357">
        <f>SUMIFS(Sheet1!S71_OY2AdjustedBudget,Sheet1!S71_SA34eCode,$AC:$AC,Sheet1!S71_A5CapexCode,$AD:$AD)</f>
        <v>0</v>
      </c>
      <c r="N26" s="837"/>
      <c r="AC26" s="1336" t="s">
        <v>1871</v>
      </c>
      <c r="AD26" s="1336" t="s">
        <v>1846</v>
      </c>
    </row>
    <row r="27" spans="1:30" ht="12.75" customHeight="1" x14ac:dyDescent="0.25">
      <c r="A27" s="585" t="s">
        <v>1571</v>
      </c>
      <c r="B27" s="73"/>
      <c r="C27" s="1356">
        <f>SUMIFS(Sheet1!S71_OriginalBudget,Sheet1!S71_SA34eCode,$AC:$AC,Sheet1!S71_A5CapexCode,$AD:$AD)</f>
        <v>0</v>
      </c>
      <c r="D27" s="1356">
        <f>SUMIFS(Sheet1!S71_SpecialAdjustedBudget,Sheet1!S71_SA34eCode,$AC:$AC,Sheet1!S71_A5CapexCode,$AD:$AD)</f>
        <v>0</v>
      </c>
      <c r="E27" s="1356"/>
      <c r="F27" s="1356"/>
      <c r="G27" s="1356"/>
      <c r="H27" s="1356"/>
      <c r="I27" s="1356">
        <f>SUMIFS(Sheet1!S71_AdjustmentAmount,Sheet1!S71_SA34eCode,$AC:$AC,Sheet1!S71_A5CapexCode,$AD:$AD)</f>
        <v>0</v>
      </c>
      <c r="J27" s="75">
        <f t="shared" si="1"/>
        <v>0</v>
      </c>
      <c r="K27" s="75">
        <f t="shared" si="3"/>
        <v>0</v>
      </c>
      <c r="L27" s="1356">
        <f>SUMIFS(Sheet1!S71_OY1AdjustedBudget,Sheet1!S71_SA34eCode,$AC:$AC,Sheet1!S71_A5CapexCode,$AD:$AD)</f>
        <v>0</v>
      </c>
      <c r="M27" s="1357">
        <f>SUMIFS(Sheet1!S71_OY2AdjustedBudget,Sheet1!S71_SA34eCode,$AC:$AC,Sheet1!S71_A5CapexCode,$AD:$AD)</f>
        <v>0</v>
      </c>
      <c r="N27" s="842"/>
      <c r="AC27" s="1336" t="s">
        <v>1911</v>
      </c>
      <c r="AD27" s="1336" t="s">
        <v>1846</v>
      </c>
    </row>
    <row r="28" spans="1:30" ht="12.75" customHeight="1" x14ac:dyDescent="0.25">
      <c r="A28" s="586" t="s">
        <v>1585</v>
      </c>
      <c r="B28" s="73"/>
      <c r="C28" s="1110">
        <f t="shared" ref="C28:M28" si="6">SUM(C29:C38)</f>
        <v>0</v>
      </c>
      <c r="D28" s="130">
        <f t="shared" si="6"/>
        <v>0</v>
      </c>
      <c r="E28" s="130">
        <f t="shared" si="6"/>
        <v>0</v>
      </c>
      <c r="F28" s="130">
        <f t="shared" si="6"/>
        <v>0</v>
      </c>
      <c r="G28" s="130">
        <f t="shared" si="6"/>
        <v>0</v>
      </c>
      <c r="H28" s="130">
        <f t="shared" si="6"/>
        <v>0</v>
      </c>
      <c r="I28" s="130">
        <f t="shared" si="6"/>
        <v>0</v>
      </c>
      <c r="J28" s="75">
        <f t="shared" si="1"/>
        <v>0</v>
      </c>
      <c r="K28" s="75">
        <f t="shared" si="3"/>
        <v>0</v>
      </c>
      <c r="L28" s="130">
        <f t="shared" si="6"/>
        <v>0</v>
      </c>
      <c r="M28" s="131">
        <f t="shared" si="6"/>
        <v>0</v>
      </c>
      <c r="N28" s="842"/>
    </row>
    <row r="29" spans="1:30" ht="12.75" customHeight="1" x14ac:dyDescent="0.25">
      <c r="A29" s="585" t="s">
        <v>1586</v>
      </c>
      <c r="B29" s="73"/>
      <c r="C29" s="1356">
        <f>SUMIFS(Sheet1!S71_OriginalBudget,Sheet1!S71_SA34eCode,$AC:$AC,Sheet1!S71_A5CapexCode,$AD:$AD)</f>
        <v>0</v>
      </c>
      <c r="D29" s="1356">
        <f>SUMIFS(Sheet1!S71_SpecialAdjustedBudget,Sheet1!S71_SA34eCode,$AC:$AC,Sheet1!S71_A5CapexCode,$AD:$AD)</f>
        <v>0</v>
      </c>
      <c r="E29" s="1356"/>
      <c r="F29" s="1356"/>
      <c r="G29" s="1356"/>
      <c r="H29" s="1356"/>
      <c r="I29" s="1356">
        <f>SUMIFS(Sheet1!S71_AdjustmentAmount,Sheet1!S71_SA34eCode,$AC:$AC,Sheet1!S71_A5CapexCode,$AD:$AD)</f>
        <v>0</v>
      </c>
      <c r="J29" s="75">
        <f t="shared" si="1"/>
        <v>0</v>
      </c>
      <c r="K29" s="75">
        <f t="shared" si="3"/>
        <v>0</v>
      </c>
      <c r="L29" s="1356">
        <f>SUMIFS(Sheet1!S71_OY1AdjustedBudget,Sheet1!S71_SA34eCode,$AC:$AC,Sheet1!S71_A5CapexCode,$AD:$AD)</f>
        <v>0</v>
      </c>
      <c r="M29" s="1357">
        <f>SUMIFS(Sheet1!S71_OY2AdjustedBudget,Sheet1!S71_SA34eCode,$AC:$AC,Sheet1!S71_A5CapexCode,$AD:$AD)</f>
        <v>0</v>
      </c>
      <c r="N29" s="842"/>
      <c r="AC29" s="1336" t="s">
        <v>1912</v>
      </c>
      <c r="AD29" s="1336" t="s">
        <v>1846</v>
      </c>
    </row>
    <row r="30" spans="1:30" ht="12.6" customHeight="1" x14ac:dyDescent="0.25">
      <c r="A30" s="585" t="s">
        <v>1587</v>
      </c>
      <c r="B30" s="73"/>
      <c r="C30" s="1356">
        <f>SUMIFS(Sheet1!S71_OriginalBudget,Sheet1!S71_SA34eCode,$AC:$AC,Sheet1!S71_A5CapexCode,$AD:$AD)</f>
        <v>0</v>
      </c>
      <c r="D30" s="1356">
        <f>SUMIFS(Sheet1!S71_SpecialAdjustedBudget,Sheet1!S71_SA34eCode,$AC:$AC,Sheet1!S71_A5CapexCode,$AD:$AD)</f>
        <v>0</v>
      </c>
      <c r="E30" s="1356"/>
      <c r="F30" s="1356"/>
      <c r="G30" s="1356"/>
      <c r="H30" s="1356"/>
      <c r="I30" s="1356">
        <f>SUMIFS(Sheet1!S71_AdjustmentAmount,Sheet1!S71_SA34eCode,$AC:$AC,Sheet1!S71_A5CapexCode,$AD:$AD)</f>
        <v>0</v>
      </c>
      <c r="J30" s="75">
        <f t="shared" si="1"/>
        <v>0</v>
      </c>
      <c r="K30" s="75">
        <f t="shared" si="3"/>
        <v>0</v>
      </c>
      <c r="L30" s="1356">
        <f>SUMIFS(Sheet1!S71_OY1AdjustedBudget,Sheet1!S71_SA34eCode,$AC:$AC,Sheet1!S71_A5CapexCode,$AD:$AD)</f>
        <v>0</v>
      </c>
      <c r="M30" s="1357">
        <f>SUMIFS(Sheet1!S71_OY2AdjustedBudget,Sheet1!S71_SA34eCode,$AC:$AC,Sheet1!S71_A5CapexCode,$AD:$AD)</f>
        <v>0</v>
      </c>
      <c r="N30" s="842"/>
      <c r="AC30" s="1336" t="s">
        <v>1913</v>
      </c>
      <c r="AD30" s="1336" t="s">
        <v>1846</v>
      </c>
    </row>
    <row r="31" spans="1:30" ht="12.75" customHeight="1" x14ac:dyDescent="0.25">
      <c r="A31" s="585" t="s">
        <v>1588</v>
      </c>
      <c r="B31" s="73"/>
      <c r="C31" s="1356">
        <f>SUMIFS(Sheet1!S71_OriginalBudget,Sheet1!S71_SA34eCode,$AC:$AC,Sheet1!S71_A5CapexCode,$AD:$AD)</f>
        <v>0</v>
      </c>
      <c r="D31" s="1356">
        <f>SUMIFS(Sheet1!S71_SpecialAdjustedBudget,Sheet1!S71_SA34eCode,$AC:$AC,Sheet1!S71_A5CapexCode,$AD:$AD)</f>
        <v>0</v>
      </c>
      <c r="E31" s="1356"/>
      <c r="F31" s="1356"/>
      <c r="G31" s="1356"/>
      <c r="H31" s="1356"/>
      <c r="I31" s="1356">
        <f>SUMIFS(Sheet1!S71_AdjustmentAmount,Sheet1!S71_SA34eCode,$AC:$AC,Sheet1!S71_A5CapexCode,$AD:$AD)</f>
        <v>0</v>
      </c>
      <c r="J31" s="75">
        <f t="shared" si="1"/>
        <v>0</v>
      </c>
      <c r="K31" s="75">
        <f t="shared" si="3"/>
        <v>0</v>
      </c>
      <c r="L31" s="1356">
        <f>SUMIFS(Sheet1!S71_OY1AdjustedBudget,Sheet1!S71_SA34eCode,$AC:$AC,Sheet1!S71_A5CapexCode,$AD:$AD)</f>
        <v>0</v>
      </c>
      <c r="M31" s="1357">
        <f>SUMIFS(Sheet1!S71_OY2AdjustedBudget,Sheet1!S71_SA34eCode,$AC:$AC,Sheet1!S71_A5CapexCode,$AD:$AD)</f>
        <v>0</v>
      </c>
      <c r="N31" s="842"/>
      <c r="AC31" s="1336" t="s">
        <v>1872</v>
      </c>
      <c r="AD31" s="1336" t="s">
        <v>1846</v>
      </c>
    </row>
    <row r="32" spans="1:30" ht="12.75" customHeight="1" x14ac:dyDescent="0.25">
      <c r="A32" s="585" t="s">
        <v>1589</v>
      </c>
      <c r="B32" s="73"/>
      <c r="C32" s="1356">
        <f>SUMIFS(Sheet1!S71_OriginalBudget,Sheet1!S71_SA34eCode,$AC:$AC,Sheet1!S71_A5CapexCode,$AD:$AD)</f>
        <v>0</v>
      </c>
      <c r="D32" s="1356">
        <f>SUMIFS(Sheet1!S71_SpecialAdjustedBudget,Sheet1!S71_SA34eCode,$AC:$AC,Sheet1!S71_A5CapexCode,$AD:$AD)</f>
        <v>0</v>
      </c>
      <c r="E32" s="1356"/>
      <c r="F32" s="1356"/>
      <c r="G32" s="1356"/>
      <c r="H32" s="1356"/>
      <c r="I32" s="1356">
        <f>SUMIFS(Sheet1!S71_AdjustmentAmount,Sheet1!S71_SA34eCode,$AC:$AC,Sheet1!S71_A5CapexCode,$AD:$AD)</f>
        <v>0</v>
      </c>
      <c r="J32" s="75">
        <f t="shared" si="1"/>
        <v>0</v>
      </c>
      <c r="K32" s="75">
        <f t="shared" si="3"/>
        <v>0</v>
      </c>
      <c r="L32" s="1356">
        <f>SUMIFS(Sheet1!S71_OY1AdjustedBudget,Sheet1!S71_SA34eCode,$AC:$AC,Sheet1!S71_A5CapexCode,$AD:$AD)</f>
        <v>0</v>
      </c>
      <c r="M32" s="1357">
        <f>SUMIFS(Sheet1!S71_OY2AdjustedBudget,Sheet1!S71_SA34eCode,$AC:$AC,Sheet1!S71_A5CapexCode,$AD:$AD)</f>
        <v>0</v>
      </c>
      <c r="N32" s="837"/>
      <c r="AC32" s="1336" t="s">
        <v>1873</v>
      </c>
      <c r="AD32" s="1336" t="s">
        <v>1846</v>
      </c>
    </row>
    <row r="33" spans="1:30" ht="12.75" customHeight="1" x14ac:dyDescent="0.25">
      <c r="A33" s="585" t="s">
        <v>1590</v>
      </c>
      <c r="B33" s="73"/>
      <c r="C33" s="1356">
        <f>SUMIFS(Sheet1!S71_OriginalBudget,Sheet1!S71_SA34eCode,$AC:$AC,Sheet1!S71_A5CapexCode,$AD:$AD)</f>
        <v>0</v>
      </c>
      <c r="D33" s="1356">
        <f>SUMIFS(Sheet1!S71_SpecialAdjustedBudget,Sheet1!S71_SA34eCode,$AC:$AC,Sheet1!S71_A5CapexCode,$AD:$AD)</f>
        <v>0</v>
      </c>
      <c r="E33" s="1356"/>
      <c r="F33" s="1356"/>
      <c r="G33" s="1356"/>
      <c r="H33" s="1356"/>
      <c r="I33" s="1356">
        <f>SUMIFS(Sheet1!S71_AdjustmentAmount,Sheet1!S71_SA34eCode,$AC:$AC,Sheet1!S71_A5CapexCode,$AD:$AD)</f>
        <v>0</v>
      </c>
      <c r="J33" s="75">
        <f t="shared" si="1"/>
        <v>0</v>
      </c>
      <c r="K33" s="75">
        <f t="shared" si="3"/>
        <v>0</v>
      </c>
      <c r="L33" s="1356">
        <f>SUMIFS(Sheet1!S71_OY1AdjustedBudget,Sheet1!S71_SA34eCode,$AC:$AC,Sheet1!S71_A5CapexCode,$AD:$AD)</f>
        <v>0</v>
      </c>
      <c r="M33" s="1357">
        <f>SUMIFS(Sheet1!S71_OY2AdjustedBudget,Sheet1!S71_SA34eCode,$AC:$AC,Sheet1!S71_A5CapexCode,$AD:$AD)</f>
        <v>0</v>
      </c>
      <c r="N33" s="842"/>
      <c r="AC33" s="1336" t="s">
        <v>1874</v>
      </c>
      <c r="AD33" s="1336" t="s">
        <v>1846</v>
      </c>
    </row>
    <row r="34" spans="1:30" ht="12.75" customHeight="1" x14ac:dyDescent="0.25">
      <c r="A34" s="585" t="s">
        <v>1591</v>
      </c>
      <c r="B34" s="73"/>
      <c r="C34" s="1356">
        <f>SUMIFS(Sheet1!S71_OriginalBudget,Sheet1!S71_SA34eCode,$AC:$AC,Sheet1!S71_A5CapexCode,$AD:$AD)</f>
        <v>0</v>
      </c>
      <c r="D34" s="1356">
        <f>SUMIFS(Sheet1!S71_SpecialAdjustedBudget,Sheet1!S71_SA34eCode,$AC:$AC,Sheet1!S71_A5CapexCode,$AD:$AD)</f>
        <v>0</v>
      </c>
      <c r="E34" s="1356"/>
      <c r="F34" s="1356"/>
      <c r="G34" s="1356"/>
      <c r="H34" s="1356"/>
      <c r="I34" s="1356">
        <f>SUMIFS(Sheet1!S71_AdjustmentAmount,Sheet1!S71_SA34eCode,$AC:$AC,Sheet1!S71_A5CapexCode,$AD:$AD)</f>
        <v>0</v>
      </c>
      <c r="J34" s="75">
        <f t="shared" si="1"/>
        <v>0</v>
      </c>
      <c r="K34" s="75">
        <f t="shared" si="3"/>
        <v>0</v>
      </c>
      <c r="L34" s="1356">
        <f>SUMIFS(Sheet1!S71_OY1AdjustedBudget,Sheet1!S71_SA34eCode,$AC:$AC,Sheet1!S71_A5CapexCode,$AD:$AD)</f>
        <v>0</v>
      </c>
      <c r="M34" s="1357">
        <f>SUMIFS(Sheet1!S71_OY2AdjustedBudget,Sheet1!S71_SA34eCode,$AC:$AC,Sheet1!S71_A5CapexCode,$AD:$AD)</f>
        <v>0</v>
      </c>
      <c r="N34" s="837"/>
      <c r="AC34" s="1336" t="s">
        <v>1875</v>
      </c>
      <c r="AD34" s="1336" t="s">
        <v>1846</v>
      </c>
    </row>
    <row r="35" spans="1:30" ht="12.75" customHeight="1" x14ac:dyDescent="0.25">
      <c r="A35" s="585" t="s">
        <v>1592</v>
      </c>
      <c r="B35" s="73"/>
      <c r="C35" s="1356">
        <f>SUMIFS(Sheet1!S71_OriginalBudget,Sheet1!S71_SA34eCode,$AC:$AC,Sheet1!S71_A5CapexCode,$AD:$AD)</f>
        <v>0</v>
      </c>
      <c r="D35" s="1356">
        <f>SUMIFS(Sheet1!S71_SpecialAdjustedBudget,Sheet1!S71_SA34eCode,$AC:$AC,Sheet1!S71_A5CapexCode,$AD:$AD)</f>
        <v>0</v>
      </c>
      <c r="E35" s="1356"/>
      <c r="F35" s="1356"/>
      <c r="G35" s="1356"/>
      <c r="H35" s="1356"/>
      <c r="I35" s="1356">
        <f>SUMIFS(Sheet1!S71_AdjustmentAmount,Sheet1!S71_SA34eCode,$AC:$AC,Sheet1!S71_A5CapexCode,$AD:$AD)</f>
        <v>0</v>
      </c>
      <c r="J35" s="75">
        <f t="shared" si="1"/>
        <v>0</v>
      </c>
      <c r="K35" s="75">
        <f t="shared" si="3"/>
        <v>0</v>
      </c>
      <c r="L35" s="1356">
        <f>SUMIFS(Sheet1!S71_OY1AdjustedBudget,Sheet1!S71_SA34eCode,$AC:$AC,Sheet1!S71_A5CapexCode,$AD:$AD)</f>
        <v>0</v>
      </c>
      <c r="M35" s="1357">
        <f>SUMIFS(Sheet1!S71_OY2AdjustedBudget,Sheet1!S71_SA34eCode,$AC:$AC,Sheet1!S71_A5CapexCode,$AD:$AD)</f>
        <v>0</v>
      </c>
      <c r="N35" s="842"/>
      <c r="AC35" s="1336" t="s">
        <v>1876</v>
      </c>
      <c r="AD35" s="1336" t="s">
        <v>1846</v>
      </c>
    </row>
    <row r="36" spans="1:30" ht="12.75" customHeight="1" x14ac:dyDescent="0.25">
      <c r="A36" s="585" t="s">
        <v>1593</v>
      </c>
      <c r="B36" s="73"/>
      <c r="C36" s="1356">
        <f>SUMIFS(Sheet1!S71_OriginalBudget,Sheet1!S71_SA34eCode,$AC:$AC,Sheet1!S71_A5CapexCode,$AD:$AD)</f>
        <v>0</v>
      </c>
      <c r="D36" s="1356">
        <f>SUMIFS(Sheet1!S71_SpecialAdjustedBudget,Sheet1!S71_SA34eCode,$AC:$AC,Sheet1!S71_A5CapexCode,$AD:$AD)</f>
        <v>0</v>
      </c>
      <c r="E36" s="1356"/>
      <c r="F36" s="1356"/>
      <c r="G36" s="1356"/>
      <c r="H36" s="1356"/>
      <c r="I36" s="1356">
        <f>SUMIFS(Sheet1!S71_AdjustmentAmount,Sheet1!S71_SA34eCode,$AC:$AC,Sheet1!S71_A5CapexCode,$AD:$AD)</f>
        <v>0</v>
      </c>
      <c r="J36" s="75">
        <f t="shared" si="1"/>
        <v>0</v>
      </c>
      <c r="K36" s="75">
        <f t="shared" si="3"/>
        <v>0</v>
      </c>
      <c r="L36" s="1356">
        <f>SUMIFS(Sheet1!S71_OY1AdjustedBudget,Sheet1!S71_SA34eCode,$AC:$AC,Sheet1!S71_A5CapexCode,$AD:$AD)</f>
        <v>0</v>
      </c>
      <c r="M36" s="1357">
        <f>SUMIFS(Sheet1!S71_OY2AdjustedBudget,Sheet1!S71_SA34eCode,$AC:$AC,Sheet1!S71_A5CapexCode,$AD:$AD)</f>
        <v>0</v>
      </c>
      <c r="N36" s="837"/>
      <c r="AC36" s="1336" t="s">
        <v>1914</v>
      </c>
      <c r="AD36" s="1336" t="s">
        <v>1846</v>
      </c>
    </row>
    <row r="37" spans="1:30" ht="12.75" customHeight="1" x14ac:dyDescent="0.25">
      <c r="A37" s="585" t="s">
        <v>1594</v>
      </c>
      <c r="B37" s="73"/>
      <c r="C37" s="1356">
        <f>SUMIFS(Sheet1!S71_OriginalBudget,Sheet1!S71_SA34eCode,$AC:$AC,Sheet1!S71_A5CapexCode,$AD:$AD)</f>
        <v>0</v>
      </c>
      <c r="D37" s="1356">
        <f>SUMIFS(Sheet1!S71_SpecialAdjustedBudget,Sheet1!S71_SA34eCode,$AC:$AC,Sheet1!S71_A5CapexCode,$AD:$AD)</f>
        <v>0</v>
      </c>
      <c r="E37" s="1356"/>
      <c r="F37" s="1356"/>
      <c r="G37" s="1356"/>
      <c r="H37" s="1356"/>
      <c r="I37" s="1356">
        <f>SUMIFS(Sheet1!S71_AdjustmentAmount,Sheet1!S71_SA34eCode,$AC:$AC,Sheet1!S71_A5CapexCode,$AD:$AD)</f>
        <v>0</v>
      </c>
      <c r="J37" s="75">
        <f t="shared" si="1"/>
        <v>0</v>
      </c>
      <c r="K37" s="75">
        <f t="shared" si="3"/>
        <v>0</v>
      </c>
      <c r="L37" s="1356">
        <f>SUMIFS(Sheet1!S71_OY1AdjustedBudget,Sheet1!S71_SA34eCode,$AC:$AC,Sheet1!S71_A5CapexCode,$AD:$AD)</f>
        <v>0</v>
      </c>
      <c r="M37" s="1357">
        <f>SUMIFS(Sheet1!S71_OY2AdjustedBudget,Sheet1!S71_SA34eCode,$AC:$AC,Sheet1!S71_A5CapexCode,$AD:$AD)</f>
        <v>0</v>
      </c>
      <c r="N37" s="842"/>
      <c r="AC37" s="1336" t="s">
        <v>1915</v>
      </c>
      <c r="AD37" s="1336" t="s">
        <v>1846</v>
      </c>
    </row>
    <row r="38" spans="1:30" ht="12.75" customHeight="1" x14ac:dyDescent="0.25">
      <c r="A38" s="585" t="s">
        <v>1571</v>
      </c>
      <c r="B38" s="73"/>
      <c r="C38" s="1356">
        <f>SUMIFS(Sheet1!S71_OriginalBudget,Sheet1!S71_SA34eCode,$AC:$AC,Sheet1!S71_A5CapexCode,$AD:$AD)</f>
        <v>0</v>
      </c>
      <c r="D38" s="1356">
        <f>SUMIFS(Sheet1!S71_SpecialAdjustedBudget,Sheet1!S71_SA34eCode,$AC:$AC,Sheet1!S71_A5CapexCode,$AD:$AD)</f>
        <v>0</v>
      </c>
      <c r="E38" s="1356"/>
      <c r="F38" s="1356"/>
      <c r="G38" s="1356"/>
      <c r="H38" s="1356"/>
      <c r="I38" s="1356">
        <f>SUMIFS(Sheet1!S71_AdjustmentAmount,Sheet1!S71_SA34eCode,$AC:$AC,Sheet1!S71_A5CapexCode,$AD:$AD)</f>
        <v>0</v>
      </c>
      <c r="J38" s="75">
        <f t="shared" si="1"/>
        <v>0</v>
      </c>
      <c r="K38" s="75">
        <f t="shared" si="3"/>
        <v>0</v>
      </c>
      <c r="L38" s="1356">
        <f>SUMIFS(Sheet1!S71_OY1AdjustedBudget,Sheet1!S71_SA34eCode,$AC:$AC,Sheet1!S71_A5CapexCode,$AD:$AD)</f>
        <v>0</v>
      </c>
      <c r="M38" s="1357">
        <f>SUMIFS(Sheet1!S71_OY2AdjustedBudget,Sheet1!S71_SA34eCode,$AC:$AC,Sheet1!S71_A5CapexCode,$AD:$AD)</f>
        <v>0</v>
      </c>
      <c r="N38" s="842"/>
      <c r="AC38" s="1336" t="s">
        <v>1816</v>
      </c>
      <c r="AD38" s="1336" t="s">
        <v>1846</v>
      </c>
    </row>
    <row r="39" spans="1:30" ht="12.75" customHeight="1" x14ac:dyDescent="0.25">
      <c r="A39" s="586" t="s">
        <v>1595</v>
      </c>
      <c r="B39" s="73"/>
      <c r="C39" s="1110">
        <f>SUM(C40:C45)</f>
        <v>0</v>
      </c>
      <c r="D39" s="130">
        <f t="shared" ref="D39:M39" si="7">SUM(D40:D45)</f>
        <v>0</v>
      </c>
      <c r="E39" s="130">
        <f t="shared" si="7"/>
        <v>0</v>
      </c>
      <c r="F39" s="130">
        <f t="shared" si="7"/>
        <v>0</v>
      </c>
      <c r="G39" s="130">
        <f t="shared" si="7"/>
        <v>0</v>
      </c>
      <c r="H39" s="130">
        <f t="shared" si="7"/>
        <v>0</v>
      </c>
      <c r="I39" s="130">
        <f t="shared" si="7"/>
        <v>0</v>
      </c>
      <c r="J39" s="75">
        <f t="shared" si="1"/>
        <v>0</v>
      </c>
      <c r="K39" s="75">
        <f t="shared" si="3"/>
        <v>0</v>
      </c>
      <c r="L39" s="130">
        <f t="shared" si="7"/>
        <v>0</v>
      </c>
      <c r="M39" s="131">
        <f t="shared" si="7"/>
        <v>0</v>
      </c>
      <c r="N39" s="126"/>
    </row>
    <row r="40" spans="1:30" ht="12.75" customHeight="1" x14ac:dyDescent="0.25">
      <c r="A40" s="585" t="s">
        <v>1596</v>
      </c>
      <c r="B40" s="73"/>
      <c r="C40" s="1356">
        <f>SUMIFS(Sheet1!S71_OriginalBudget,Sheet1!S71_SA34eCode,$AC:$AC,Sheet1!S71_A5CapexCode,$AD:$AD)</f>
        <v>0</v>
      </c>
      <c r="D40" s="1356">
        <f>SUMIFS(Sheet1!S71_SpecialAdjustedBudget,Sheet1!S71_SA34eCode,$AC:$AC,Sheet1!S71_A5CapexCode,$AD:$AD)</f>
        <v>0</v>
      </c>
      <c r="E40" s="1356"/>
      <c r="F40" s="1356"/>
      <c r="G40" s="1356"/>
      <c r="H40" s="1356"/>
      <c r="I40" s="1356">
        <f>SUMIFS(Sheet1!S71_AdjustmentAmount,Sheet1!S71_SA34eCode,$AC:$AC,Sheet1!S71_A5CapexCode,$AD:$AD)</f>
        <v>0</v>
      </c>
      <c r="J40" s="75">
        <f t="shared" ref="J40:J71" si="8">SUM(E40:I40)</f>
        <v>0</v>
      </c>
      <c r="K40" s="75">
        <f t="shared" si="3"/>
        <v>0</v>
      </c>
      <c r="L40" s="1356">
        <f>SUMIFS(Sheet1!S71_OY1AdjustedBudget,Sheet1!S71_SA34eCode,$AC:$AC,Sheet1!S71_A5CapexCode,$AD:$AD)</f>
        <v>0</v>
      </c>
      <c r="M40" s="1357">
        <f>SUMIFS(Sheet1!S71_OY2AdjustedBudget,Sheet1!S71_SA34eCode,$AC:$AC,Sheet1!S71_A5CapexCode,$AD:$AD)</f>
        <v>0</v>
      </c>
      <c r="N40" s="837"/>
      <c r="AC40" s="1336" t="s">
        <v>1916</v>
      </c>
      <c r="AD40" s="1336" t="s">
        <v>1846</v>
      </c>
    </row>
    <row r="41" spans="1:30" ht="12.75" customHeight="1" x14ac:dyDescent="0.25">
      <c r="A41" s="585" t="s">
        <v>487</v>
      </c>
      <c r="B41" s="73"/>
      <c r="C41" s="1356">
        <f>SUMIFS(Sheet1!S71_OriginalBudget,Sheet1!S71_SA34eCode,$AC:$AC,Sheet1!S71_A5CapexCode,$AD:$AD)</f>
        <v>0</v>
      </c>
      <c r="D41" s="1356">
        <f>SUMIFS(Sheet1!S71_SpecialAdjustedBudget,Sheet1!S71_SA34eCode,$AC:$AC,Sheet1!S71_A5CapexCode,$AD:$AD)</f>
        <v>0</v>
      </c>
      <c r="E41" s="1356"/>
      <c r="F41" s="1356"/>
      <c r="G41" s="1356"/>
      <c r="H41" s="1356"/>
      <c r="I41" s="1356">
        <f>SUMIFS(Sheet1!S71_AdjustmentAmount,Sheet1!S71_SA34eCode,$AC:$AC,Sheet1!S71_A5CapexCode,$AD:$AD)</f>
        <v>0</v>
      </c>
      <c r="J41" s="75">
        <f t="shared" si="8"/>
        <v>0</v>
      </c>
      <c r="K41" s="75">
        <f t="shared" si="3"/>
        <v>0</v>
      </c>
      <c r="L41" s="1356">
        <f>SUMIFS(Sheet1!S71_OY1AdjustedBudget,Sheet1!S71_SA34eCode,$AC:$AC,Sheet1!S71_A5CapexCode,$AD:$AD)</f>
        <v>0</v>
      </c>
      <c r="M41" s="1357">
        <f>SUMIFS(Sheet1!S71_OY2AdjustedBudget,Sheet1!S71_SA34eCode,$AC:$AC,Sheet1!S71_A5CapexCode,$AD:$AD)</f>
        <v>0</v>
      </c>
      <c r="N41" s="837"/>
      <c r="AC41" s="1336" t="s">
        <v>1917</v>
      </c>
      <c r="AD41" s="1336" t="s">
        <v>1846</v>
      </c>
    </row>
    <row r="42" spans="1:30" ht="12.75" customHeight="1" x14ac:dyDescent="0.25">
      <c r="A42" s="585" t="s">
        <v>1597</v>
      </c>
      <c r="B42" s="73"/>
      <c r="C42" s="1356">
        <f>SUMIFS(Sheet1!S71_OriginalBudget,Sheet1!S71_SA34eCode,$AC:$AC,Sheet1!S71_A5CapexCode,$AD:$AD)</f>
        <v>0</v>
      </c>
      <c r="D42" s="1356">
        <f>SUMIFS(Sheet1!S71_SpecialAdjustedBudget,Sheet1!S71_SA34eCode,$AC:$AC,Sheet1!S71_A5CapexCode,$AD:$AD)</f>
        <v>0</v>
      </c>
      <c r="E42" s="1356"/>
      <c r="F42" s="1356"/>
      <c r="G42" s="1356"/>
      <c r="H42" s="1356"/>
      <c r="I42" s="1356">
        <f>SUMIFS(Sheet1!S71_AdjustmentAmount,Sheet1!S71_SA34eCode,$AC:$AC,Sheet1!S71_A5CapexCode,$AD:$AD)</f>
        <v>0</v>
      </c>
      <c r="J42" s="75">
        <f t="shared" si="8"/>
        <v>0</v>
      </c>
      <c r="K42" s="75">
        <f t="shared" si="3"/>
        <v>0</v>
      </c>
      <c r="L42" s="1356">
        <f>SUMIFS(Sheet1!S71_OY1AdjustedBudget,Sheet1!S71_SA34eCode,$AC:$AC,Sheet1!S71_A5CapexCode,$AD:$AD)</f>
        <v>0</v>
      </c>
      <c r="M42" s="1357">
        <f>SUMIFS(Sheet1!S71_OY2AdjustedBudget,Sheet1!S71_SA34eCode,$AC:$AC,Sheet1!S71_A5CapexCode,$AD:$AD)</f>
        <v>0</v>
      </c>
      <c r="N42" s="842"/>
      <c r="AC42" s="1336" t="s">
        <v>1918</v>
      </c>
      <c r="AD42" s="1336" t="s">
        <v>1846</v>
      </c>
    </row>
    <row r="43" spans="1:30" ht="12.75" customHeight="1" x14ac:dyDescent="0.25">
      <c r="A43" s="585" t="s">
        <v>1598</v>
      </c>
      <c r="B43" s="73"/>
      <c r="C43" s="1356">
        <f>SUMIFS(Sheet1!S71_OriginalBudget,Sheet1!S71_SA34eCode,$AC:$AC,Sheet1!S71_A5CapexCode,$AD:$AD)</f>
        <v>0</v>
      </c>
      <c r="D43" s="1356">
        <f>SUMIFS(Sheet1!S71_SpecialAdjustedBudget,Sheet1!S71_SA34eCode,$AC:$AC,Sheet1!S71_A5CapexCode,$AD:$AD)</f>
        <v>0</v>
      </c>
      <c r="E43" s="1356"/>
      <c r="F43" s="1356"/>
      <c r="G43" s="1356"/>
      <c r="H43" s="1356"/>
      <c r="I43" s="1356">
        <f>SUMIFS(Sheet1!S71_AdjustmentAmount,Sheet1!S71_SA34eCode,$AC:$AC,Sheet1!S71_A5CapexCode,$AD:$AD)</f>
        <v>0</v>
      </c>
      <c r="J43" s="75">
        <f t="shared" si="8"/>
        <v>0</v>
      </c>
      <c r="K43" s="75">
        <f t="shared" si="3"/>
        <v>0</v>
      </c>
      <c r="L43" s="1356">
        <f>SUMIFS(Sheet1!S71_OY1AdjustedBudget,Sheet1!S71_SA34eCode,$AC:$AC,Sheet1!S71_A5CapexCode,$AD:$AD)</f>
        <v>0</v>
      </c>
      <c r="M43" s="1357">
        <f>SUMIFS(Sheet1!S71_OY2AdjustedBudget,Sheet1!S71_SA34eCode,$AC:$AC,Sheet1!S71_A5CapexCode,$AD:$AD)</f>
        <v>0</v>
      </c>
      <c r="N43" s="842"/>
      <c r="AC43" s="1336" t="s">
        <v>1919</v>
      </c>
      <c r="AD43" s="1336" t="s">
        <v>1846</v>
      </c>
    </row>
    <row r="44" spans="1:30" ht="12.75" customHeight="1" x14ac:dyDescent="0.25">
      <c r="A44" s="585" t="s">
        <v>1599</v>
      </c>
      <c r="B44" s="73"/>
      <c r="C44" s="1356">
        <f>SUMIFS(Sheet1!S71_OriginalBudget,Sheet1!S71_SA34eCode,$AC:$AC,Sheet1!S71_A5CapexCode,$AD:$AD)</f>
        <v>0</v>
      </c>
      <c r="D44" s="1356">
        <f>SUMIFS(Sheet1!S71_SpecialAdjustedBudget,Sheet1!S71_SA34eCode,$AC:$AC,Sheet1!S71_A5CapexCode,$AD:$AD)</f>
        <v>0</v>
      </c>
      <c r="E44" s="1356"/>
      <c r="F44" s="1356"/>
      <c r="G44" s="1356"/>
      <c r="H44" s="1356"/>
      <c r="I44" s="1356">
        <f>SUMIFS(Sheet1!S71_AdjustmentAmount,Sheet1!S71_SA34eCode,$AC:$AC,Sheet1!S71_A5CapexCode,$AD:$AD)</f>
        <v>0</v>
      </c>
      <c r="J44" s="75">
        <f t="shared" si="8"/>
        <v>0</v>
      </c>
      <c r="K44" s="75">
        <f t="shared" si="3"/>
        <v>0</v>
      </c>
      <c r="L44" s="1356">
        <f>SUMIFS(Sheet1!S71_OY1AdjustedBudget,Sheet1!S71_SA34eCode,$AC:$AC,Sheet1!S71_A5CapexCode,$AD:$AD)</f>
        <v>0</v>
      </c>
      <c r="M44" s="1357">
        <f>SUMIFS(Sheet1!S71_OY2AdjustedBudget,Sheet1!S71_SA34eCode,$AC:$AC,Sheet1!S71_A5CapexCode,$AD:$AD)</f>
        <v>0</v>
      </c>
      <c r="N44" s="837"/>
      <c r="AC44" s="1336" t="s">
        <v>1878</v>
      </c>
      <c r="AD44" s="1336" t="s">
        <v>1846</v>
      </c>
    </row>
    <row r="45" spans="1:30" ht="12.75" customHeight="1" x14ac:dyDescent="0.25">
      <c r="A45" s="585" t="s">
        <v>1571</v>
      </c>
      <c r="B45" s="73"/>
      <c r="C45" s="1356">
        <f>SUMIFS(Sheet1!S71_OriginalBudget,Sheet1!S71_SA34eCode,$AC:$AC,Sheet1!S71_A5CapexCode,$AD:$AD)</f>
        <v>0</v>
      </c>
      <c r="D45" s="1356">
        <f>SUMIFS(Sheet1!S71_SpecialAdjustedBudget,Sheet1!S71_SA34eCode,$AC:$AC,Sheet1!S71_A5CapexCode,$AD:$AD)</f>
        <v>0</v>
      </c>
      <c r="E45" s="1356"/>
      <c r="F45" s="1356"/>
      <c r="G45" s="1356"/>
      <c r="H45" s="1356"/>
      <c r="I45" s="1356">
        <f>SUMIFS(Sheet1!S71_AdjustmentAmount,Sheet1!S71_SA34eCode,$AC:$AC,Sheet1!S71_A5CapexCode,$AD:$AD)</f>
        <v>0</v>
      </c>
      <c r="J45" s="75">
        <f t="shared" si="8"/>
        <v>0</v>
      </c>
      <c r="K45" s="75">
        <f t="shared" si="3"/>
        <v>0</v>
      </c>
      <c r="L45" s="1356">
        <f>SUMIFS(Sheet1!S71_OY1AdjustedBudget,Sheet1!S71_SA34eCode,$AC:$AC,Sheet1!S71_A5CapexCode,$AD:$AD)</f>
        <v>0</v>
      </c>
      <c r="M45" s="1357">
        <f>SUMIFS(Sheet1!S71_OY2AdjustedBudget,Sheet1!S71_SA34eCode,$AC:$AC,Sheet1!S71_A5CapexCode,$AD:$AD)</f>
        <v>0</v>
      </c>
      <c r="N45" s="842"/>
      <c r="AC45" s="1336" t="s">
        <v>1879</v>
      </c>
      <c r="AD45" s="1336" t="s">
        <v>1846</v>
      </c>
    </row>
    <row r="46" spans="1:30" ht="12.75" customHeight="1" x14ac:dyDescent="0.25">
      <c r="A46" s="586" t="s">
        <v>1600</v>
      </c>
      <c r="B46" s="73"/>
      <c r="C46" s="1110">
        <f>SUM(C47:C53)</f>
        <v>0</v>
      </c>
      <c r="D46" s="130">
        <f t="shared" ref="D46:M46" si="9">SUM(D47:D53)</f>
        <v>0</v>
      </c>
      <c r="E46" s="130">
        <f t="shared" si="9"/>
        <v>0</v>
      </c>
      <c r="F46" s="130">
        <f t="shared" si="9"/>
        <v>0</v>
      </c>
      <c r="G46" s="130">
        <f t="shared" si="9"/>
        <v>0</v>
      </c>
      <c r="H46" s="130">
        <f t="shared" si="9"/>
        <v>0</v>
      </c>
      <c r="I46" s="130">
        <f t="shared" si="9"/>
        <v>0</v>
      </c>
      <c r="J46" s="75">
        <f t="shared" si="8"/>
        <v>0</v>
      </c>
      <c r="K46" s="75">
        <f t="shared" si="3"/>
        <v>0</v>
      </c>
      <c r="L46" s="130">
        <f t="shared" si="9"/>
        <v>0</v>
      </c>
      <c r="M46" s="131">
        <f t="shared" si="9"/>
        <v>0</v>
      </c>
      <c r="N46" s="126"/>
    </row>
    <row r="47" spans="1:30" ht="12.75" customHeight="1" x14ac:dyDescent="0.25">
      <c r="A47" s="585" t="s">
        <v>1601</v>
      </c>
      <c r="B47" s="73"/>
      <c r="C47" s="1356">
        <f>SUMIFS(Sheet1!S71_OriginalBudget,Sheet1!S71_SA34eCode,$AC:$AC,Sheet1!S71_A5CapexCode,$AD:$AD)</f>
        <v>0</v>
      </c>
      <c r="D47" s="1356">
        <f>SUMIFS(Sheet1!S71_SpecialAdjustedBudget,Sheet1!S71_SA34eCode,$AC:$AC,Sheet1!S71_A5CapexCode,$AD:$AD)</f>
        <v>0</v>
      </c>
      <c r="E47" s="1356"/>
      <c r="F47" s="1356"/>
      <c r="G47" s="1356"/>
      <c r="H47" s="1356"/>
      <c r="I47" s="1356">
        <f>SUMIFS(Sheet1!S71_AdjustmentAmount,Sheet1!S71_SA34eCode,$AC:$AC,Sheet1!S71_A5CapexCode,$AD:$AD)</f>
        <v>0</v>
      </c>
      <c r="J47" s="75">
        <f t="shared" si="8"/>
        <v>0</v>
      </c>
      <c r="K47" s="75">
        <f t="shared" si="3"/>
        <v>0</v>
      </c>
      <c r="L47" s="1356">
        <f>SUMIFS(Sheet1!S71_OY1AdjustedBudget,Sheet1!S71_SA34eCode,$AC:$AC,Sheet1!S71_A5CapexCode,$AD:$AD)</f>
        <v>0</v>
      </c>
      <c r="M47" s="1357">
        <f>SUMIFS(Sheet1!S71_OY2AdjustedBudget,Sheet1!S71_SA34eCode,$AC:$AC,Sheet1!S71_A5CapexCode,$AD:$AD)</f>
        <v>0</v>
      </c>
      <c r="N47" s="837"/>
      <c r="AC47" s="1336" t="s">
        <v>1920</v>
      </c>
      <c r="AD47" s="1336" t="s">
        <v>1846</v>
      </c>
    </row>
    <row r="48" spans="1:30" ht="12.75" customHeight="1" x14ac:dyDescent="0.25">
      <c r="A48" s="585" t="s">
        <v>1602</v>
      </c>
      <c r="B48" s="73"/>
      <c r="C48" s="1356">
        <f>SUMIFS(Sheet1!S71_OriginalBudget,Sheet1!S71_SA34eCode,$AC:$AC,Sheet1!S71_A5CapexCode,$AD:$AD)</f>
        <v>0</v>
      </c>
      <c r="D48" s="1356">
        <f>SUMIFS(Sheet1!S71_SpecialAdjustedBudget,Sheet1!S71_SA34eCode,$AC:$AC,Sheet1!S71_A5CapexCode,$AD:$AD)</f>
        <v>0</v>
      </c>
      <c r="E48" s="1356"/>
      <c r="F48" s="1356"/>
      <c r="G48" s="1356"/>
      <c r="H48" s="1356"/>
      <c r="I48" s="1356">
        <f>SUMIFS(Sheet1!S71_AdjustmentAmount,Sheet1!S71_SA34eCode,$AC:$AC,Sheet1!S71_A5CapexCode,$AD:$AD)</f>
        <v>0</v>
      </c>
      <c r="J48" s="75">
        <f t="shared" si="8"/>
        <v>0</v>
      </c>
      <c r="K48" s="75">
        <f t="shared" si="3"/>
        <v>0</v>
      </c>
      <c r="L48" s="1356">
        <f>SUMIFS(Sheet1!S71_OY1AdjustedBudget,Sheet1!S71_SA34eCode,$AC:$AC,Sheet1!S71_A5CapexCode,$AD:$AD)</f>
        <v>0</v>
      </c>
      <c r="M48" s="1357">
        <f>SUMIFS(Sheet1!S71_OY2AdjustedBudget,Sheet1!S71_SA34eCode,$AC:$AC,Sheet1!S71_A5CapexCode,$AD:$AD)</f>
        <v>0</v>
      </c>
      <c r="N48" s="837"/>
      <c r="AC48" s="1336" t="s">
        <v>1817</v>
      </c>
      <c r="AD48" s="1336" t="s">
        <v>1846</v>
      </c>
    </row>
    <row r="49" spans="1:30" ht="12.75" customHeight="1" x14ac:dyDescent="0.25">
      <c r="A49" s="585" t="s">
        <v>1603</v>
      </c>
      <c r="B49" s="73"/>
      <c r="C49" s="1356">
        <f>SUMIFS(Sheet1!S71_OriginalBudget,Sheet1!S71_SA34eCode,$AC:$AC,Sheet1!S71_A5CapexCode,$AD:$AD)</f>
        <v>0</v>
      </c>
      <c r="D49" s="1356">
        <f>SUMIFS(Sheet1!S71_SpecialAdjustedBudget,Sheet1!S71_SA34eCode,$AC:$AC,Sheet1!S71_A5CapexCode,$AD:$AD)</f>
        <v>0</v>
      </c>
      <c r="E49" s="1356"/>
      <c r="F49" s="1356"/>
      <c r="G49" s="1356"/>
      <c r="H49" s="1356"/>
      <c r="I49" s="1356">
        <f>SUMIFS(Sheet1!S71_AdjustmentAmount,Sheet1!S71_SA34eCode,$AC:$AC,Sheet1!S71_A5CapexCode,$AD:$AD)</f>
        <v>0</v>
      </c>
      <c r="J49" s="75">
        <f t="shared" si="8"/>
        <v>0</v>
      </c>
      <c r="K49" s="75">
        <f t="shared" si="3"/>
        <v>0</v>
      </c>
      <c r="L49" s="1356">
        <f>SUMIFS(Sheet1!S71_OY1AdjustedBudget,Sheet1!S71_SA34eCode,$AC:$AC,Sheet1!S71_A5CapexCode,$AD:$AD)</f>
        <v>0</v>
      </c>
      <c r="M49" s="1357">
        <f>SUMIFS(Sheet1!S71_OY2AdjustedBudget,Sheet1!S71_SA34eCode,$AC:$AC,Sheet1!S71_A5CapexCode,$AD:$AD)</f>
        <v>0</v>
      </c>
      <c r="N49" s="842"/>
      <c r="AC49" s="1336" t="s">
        <v>1921</v>
      </c>
      <c r="AD49" s="1336" t="s">
        <v>1846</v>
      </c>
    </row>
    <row r="50" spans="1:30" ht="12.75" customHeight="1" x14ac:dyDescent="0.25">
      <c r="A50" s="585" t="s">
        <v>1604</v>
      </c>
      <c r="B50" s="73"/>
      <c r="C50" s="1356">
        <f>SUMIFS(Sheet1!S71_OriginalBudget,Sheet1!S71_SA34eCode,$AC:$AC,Sheet1!S71_A5CapexCode,$AD:$AD)</f>
        <v>0</v>
      </c>
      <c r="D50" s="1356">
        <f>SUMIFS(Sheet1!S71_SpecialAdjustedBudget,Sheet1!S71_SA34eCode,$AC:$AC,Sheet1!S71_A5CapexCode,$AD:$AD)</f>
        <v>0</v>
      </c>
      <c r="E50" s="1356"/>
      <c r="F50" s="1356"/>
      <c r="G50" s="1356"/>
      <c r="H50" s="1356"/>
      <c r="I50" s="1356">
        <f>SUMIFS(Sheet1!S71_AdjustmentAmount,Sheet1!S71_SA34eCode,$AC:$AC,Sheet1!S71_A5CapexCode,$AD:$AD)</f>
        <v>0</v>
      </c>
      <c r="J50" s="75">
        <f t="shared" si="8"/>
        <v>0</v>
      </c>
      <c r="K50" s="75">
        <f t="shared" si="3"/>
        <v>0</v>
      </c>
      <c r="L50" s="1356">
        <f>SUMIFS(Sheet1!S71_OY1AdjustedBudget,Sheet1!S71_SA34eCode,$AC:$AC,Sheet1!S71_A5CapexCode,$AD:$AD)</f>
        <v>0</v>
      </c>
      <c r="M50" s="1357">
        <f>SUMIFS(Sheet1!S71_OY2AdjustedBudget,Sheet1!S71_SA34eCode,$AC:$AC,Sheet1!S71_A5CapexCode,$AD:$AD)</f>
        <v>0</v>
      </c>
      <c r="N50" s="842"/>
      <c r="AC50" s="1336" t="s">
        <v>1922</v>
      </c>
      <c r="AD50" s="1336" t="s">
        <v>1846</v>
      </c>
    </row>
    <row r="51" spans="1:30" ht="12.75" customHeight="1" x14ac:dyDescent="0.25">
      <c r="A51" s="585" t="s">
        <v>1605</v>
      </c>
      <c r="B51" s="73"/>
      <c r="C51" s="1356">
        <f>SUMIFS(Sheet1!S71_OriginalBudget,Sheet1!S71_SA34eCode,$AC:$AC,Sheet1!S71_A5CapexCode,$AD:$AD)</f>
        <v>0</v>
      </c>
      <c r="D51" s="1356">
        <f>SUMIFS(Sheet1!S71_SpecialAdjustedBudget,Sheet1!S71_SA34eCode,$AC:$AC,Sheet1!S71_A5CapexCode,$AD:$AD)</f>
        <v>0</v>
      </c>
      <c r="E51" s="1356"/>
      <c r="F51" s="1356"/>
      <c r="G51" s="1356"/>
      <c r="H51" s="1356"/>
      <c r="I51" s="1356">
        <f>SUMIFS(Sheet1!S71_AdjustmentAmount,Sheet1!S71_SA34eCode,$AC:$AC,Sheet1!S71_A5CapexCode,$AD:$AD)</f>
        <v>0</v>
      </c>
      <c r="J51" s="75">
        <f t="shared" si="8"/>
        <v>0</v>
      </c>
      <c r="K51" s="75">
        <f t="shared" si="3"/>
        <v>0</v>
      </c>
      <c r="L51" s="1356">
        <f>SUMIFS(Sheet1!S71_OY1AdjustedBudget,Sheet1!S71_SA34eCode,$AC:$AC,Sheet1!S71_A5CapexCode,$AD:$AD)</f>
        <v>0</v>
      </c>
      <c r="M51" s="1357">
        <f>SUMIFS(Sheet1!S71_OY2AdjustedBudget,Sheet1!S71_SA34eCode,$AC:$AC,Sheet1!S71_A5CapexCode,$AD:$AD)</f>
        <v>0</v>
      </c>
      <c r="N51" s="842"/>
      <c r="AC51" s="1336" t="s">
        <v>1923</v>
      </c>
      <c r="AD51" s="1336" t="s">
        <v>1846</v>
      </c>
    </row>
    <row r="52" spans="1:30" ht="12.75" customHeight="1" x14ac:dyDescent="0.25">
      <c r="A52" s="585" t="s">
        <v>1606</v>
      </c>
      <c r="B52" s="73"/>
      <c r="C52" s="1356">
        <f>SUMIFS(Sheet1!S71_OriginalBudget,Sheet1!S71_SA34eCode,$AC:$AC,Sheet1!S71_A5CapexCode,$AD:$AD)</f>
        <v>0</v>
      </c>
      <c r="D52" s="1356">
        <f>SUMIFS(Sheet1!S71_SpecialAdjustedBudget,Sheet1!S71_SA34eCode,$AC:$AC,Sheet1!S71_A5CapexCode,$AD:$AD)</f>
        <v>0</v>
      </c>
      <c r="E52" s="1356"/>
      <c r="F52" s="1356"/>
      <c r="G52" s="1356"/>
      <c r="H52" s="1356"/>
      <c r="I52" s="1356">
        <f>SUMIFS(Sheet1!S71_AdjustmentAmount,Sheet1!S71_SA34eCode,$AC:$AC,Sheet1!S71_A5CapexCode,$AD:$AD)</f>
        <v>0</v>
      </c>
      <c r="J52" s="75">
        <f t="shared" si="8"/>
        <v>0</v>
      </c>
      <c r="K52" s="75">
        <f t="shared" si="3"/>
        <v>0</v>
      </c>
      <c r="L52" s="1356">
        <f>SUMIFS(Sheet1!S71_OY1AdjustedBudget,Sheet1!S71_SA34eCode,$AC:$AC,Sheet1!S71_A5CapexCode,$AD:$AD)</f>
        <v>0</v>
      </c>
      <c r="M52" s="1357">
        <f>SUMIFS(Sheet1!S71_OY2AdjustedBudget,Sheet1!S71_SA34eCode,$AC:$AC,Sheet1!S71_A5CapexCode,$AD:$AD)</f>
        <v>0</v>
      </c>
      <c r="N52" s="837"/>
      <c r="AC52" s="1336" t="s">
        <v>1924</v>
      </c>
      <c r="AD52" s="1336" t="s">
        <v>1846</v>
      </c>
    </row>
    <row r="53" spans="1:30" ht="12.75" customHeight="1" x14ac:dyDescent="0.25">
      <c r="A53" s="585" t="s">
        <v>1571</v>
      </c>
      <c r="B53" s="73"/>
      <c r="C53" s="1356">
        <f>SUMIFS(Sheet1!S71_OriginalBudget,Sheet1!S71_SA34eCode,$AC:$AC,Sheet1!S71_A5CapexCode,$AD:$AD)</f>
        <v>0</v>
      </c>
      <c r="D53" s="1356">
        <f>SUMIFS(Sheet1!S71_SpecialAdjustedBudget,Sheet1!S71_SA34eCode,$AC:$AC,Sheet1!S71_A5CapexCode,$AD:$AD)</f>
        <v>0</v>
      </c>
      <c r="E53" s="1356"/>
      <c r="F53" s="1356"/>
      <c r="G53" s="1356"/>
      <c r="H53" s="1356"/>
      <c r="I53" s="1356">
        <f>SUMIFS(Sheet1!S71_AdjustmentAmount,Sheet1!S71_SA34eCode,$AC:$AC,Sheet1!S71_A5CapexCode,$AD:$AD)</f>
        <v>0</v>
      </c>
      <c r="J53" s="75">
        <f t="shared" si="8"/>
        <v>0</v>
      </c>
      <c r="K53" s="75">
        <f t="shared" si="3"/>
        <v>0</v>
      </c>
      <c r="L53" s="1356">
        <f>SUMIFS(Sheet1!S71_OY1AdjustedBudget,Sheet1!S71_SA34eCode,$AC:$AC,Sheet1!S71_A5CapexCode,$AD:$AD)</f>
        <v>0</v>
      </c>
      <c r="M53" s="1357">
        <f>SUMIFS(Sheet1!S71_OY2AdjustedBudget,Sheet1!S71_SA34eCode,$AC:$AC,Sheet1!S71_A5CapexCode,$AD:$AD)</f>
        <v>0</v>
      </c>
      <c r="N53" s="842"/>
      <c r="AC53" s="1336" t="s">
        <v>1925</v>
      </c>
      <c r="AD53" s="1336" t="s">
        <v>1846</v>
      </c>
    </row>
    <row r="54" spans="1:30" ht="12.75" customHeight="1" x14ac:dyDescent="0.25">
      <c r="A54" s="584" t="s">
        <v>1607</v>
      </c>
      <c r="B54" s="73"/>
      <c r="C54" s="1110">
        <f>SUM(C55:C63)</f>
        <v>0</v>
      </c>
      <c r="D54" s="130">
        <f t="shared" ref="D54:M54" si="10">SUM(D55:D63)</f>
        <v>0</v>
      </c>
      <c r="E54" s="130">
        <f t="shared" si="10"/>
        <v>0</v>
      </c>
      <c r="F54" s="130">
        <f t="shared" si="10"/>
        <v>0</v>
      </c>
      <c r="G54" s="130">
        <f t="shared" si="10"/>
        <v>0</v>
      </c>
      <c r="H54" s="130">
        <f t="shared" si="10"/>
        <v>0</v>
      </c>
      <c r="I54" s="130">
        <f t="shared" si="10"/>
        <v>0</v>
      </c>
      <c r="J54" s="75">
        <f t="shared" si="8"/>
        <v>0</v>
      </c>
      <c r="K54" s="75">
        <f t="shared" si="3"/>
        <v>0</v>
      </c>
      <c r="L54" s="130">
        <f t="shared" si="10"/>
        <v>0</v>
      </c>
      <c r="M54" s="131">
        <f t="shared" si="10"/>
        <v>0</v>
      </c>
      <c r="N54" s="126"/>
    </row>
    <row r="55" spans="1:30" ht="12.75" customHeight="1" x14ac:dyDescent="0.25">
      <c r="A55" s="585" t="s">
        <v>1608</v>
      </c>
      <c r="B55" s="73"/>
      <c r="C55" s="1356">
        <f>SUMIFS(Sheet1!S71_OriginalBudget,Sheet1!S71_SA34eCode,$AC:$AC,Sheet1!S71_A5CapexCode,$AD:$AD)</f>
        <v>0</v>
      </c>
      <c r="D55" s="1356">
        <f>SUMIFS(Sheet1!S71_SpecialAdjustedBudget,Sheet1!S71_SA34eCode,$AC:$AC,Sheet1!S71_A5CapexCode,$AD:$AD)</f>
        <v>0</v>
      </c>
      <c r="E55" s="1356"/>
      <c r="F55" s="1356"/>
      <c r="G55" s="1356"/>
      <c r="H55" s="1356"/>
      <c r="I55" s="1356">
        <f>SUMIFS(Sheet1!S71_AdjustmentAmount,Sheet1!S71_SA34eCode,$AC:$AC,Sheet1!S71_A5CapexCode,$AD:$AD)</f>
        <v>0</v>
      </c>
      <c r="J55" s="75">
        <f t="shared" si="8"/>
        <v>0</v>
      </c>
      <c r="K55" s="75">
        <f t="shared" si="3"/>
        <v>0</v>
      </c>
      <c r="L55" s="1356">
        <f>SUMIFS(Sheet1!S71_OY1AdjustedBudget,Sheet1!S71_SA34eCode,$AC:$AC,Sheet1!S71_A5CapexCode,$AD:$AD)</f>
        <v>0</v>
      </c>
      <c r="M55" s="1357">
        <f>SUMIFS(Sheet1!S71_OY2AdjustedBudget,Sheet1!S71_SA34eCode,$AC:$AC,Sheet1!S71_A5CapexCode,$AD:$AD)</f>
        <v>0</v>
      </c>
      <c r="N55" s="837"/>
      <c r="AC55" s="1336" t="s">
        <v>1926</v>
      </c>
      <c r="AD55" s="1336" t="s">
        <v>1846</v>
      </c>
    </row>
    <row r="56" spans="1:30" ht="12.75" customHeight="1" x14ac:dyDescent="0.25">
      <c r="A56" s="585" t="s">
        <v>1609</v>
      </c>
      <c r="B56" s="73"/>
      <c r="C56" s="1356">
        <f>SUMIFS(Sheet1!S71_OriginalBudget,Sheet1!S71_SA34eCode,$AC:$AC,Sheet1!S71_A5CapexCode,$AD:$AD)</f>
        <v>0</v>
      </c>
      <c r="D56" s="1356">
        <f>SUMIFS(Sheet1!S71_SpecialAdjustedBudget,Sheet1!S71_SA34eCode,$AC:$AC,Sheet1!S71_A5CapexCode,$AD:$AD)</f>
        <v>0</v>
      </c>
      <c r="E56" s="1356"/>
      <c r="F56" s="1356"/>
      <c r="G56" s="1356"/>
      <c r="H56" s="1356"/>
      <c r="I56" s="1356">
        <f>SUMIFS(Sheet1!S71_AdjustmentAmount,Sheet1!S71_SA34eCode,$AC:$AC,Sheet1!S71_A5CapexCode,$AD:$AD)</f>
        <v>0</v>
      </c>
      <c r="J56" s="75">
        <f t="shared" si="8"/>
        <v>0</v>
      </c>
      <c r="K56" s="75">
        <f t="shared" si="3"/>
        <v>0</v>
      </c>
      <c r="L56" s="1356">
        <f>SUMIFS(Sheet1!S71_OY1AdjustedBudget,Sheet1!S71_SA34eCode,$AC:$AC,Sheet1!S71_A5CapexCode,$AD:$AD)</f>
        <v>0</v>
      </c>
      <c r="M56" s="1357">
        <f>SUMIFS(Sheet1!S71_OY2AdjustedBudget,Sheet1!S71_SA34eCode,$AC:$AC,Sheet1!S71_A5CapexCode,$AD:$AD)</f>
        <v>0</v>
      </c>
      <c r="N56" s="837"/>
      <c r="AC56" s="1336" t="s">
        <v>1927</v>
      </c>
      <c r="AD56" s="1336" t="s">
        <v>1846</v>
      </c>
    </row>
    <row r="57" spans="1:30" ht="12.75" customHeight="1" x14ac:dyDescent="0.25">
      <c r="A57" s="585" t="s">
        <v>1610</v>
      </c>
      <c r="B57" s="73"/>
      <c r="C57" s="1356">
        <f>SUMIFS(Sheet1!S71_OriginalBudget,Sheet1!S71_SA34eCode,$AC:$AC,Sheet1!S71_A5CapexCode,$AD:$AD)</f>
        <v>0</v>
      </c>
      <c r="D57" s="1356">
        <f>SUMIFS(Sheet1!S71_SpecialAdjustedBudget,Sheet1!S71_SA34eCode,$AC:$AC,Sheet1!S71_A5CapexCode,$AD:$AD)</f>
        <v>0</v>
      </c>
      <c r="E57" s="1356"/>
      <c r="F57" s="1356"/>
      <c r="G57" s="1356"/>
      <c r="H57" s="1356"/>
      <c r="I57" s="1356">
        <f>SUMIFS(Sheet1!S71_AdjustmentAmount,Sheet1!S71_SA34eCode,$AC:$AC,Sheet1!S71_A5CapexCode,$AD:$AD)</f>
        <v>0</v>
      </c>
      <c r="J57" s="75">
        <f t="shared" si="8"/>
        <v>0</v>
      </c>
      <c r="K57" s="75">
        <f t="shared" si="3"/>
        <v>0</v>
      </c>
      <c r="L57" s="1356">
        <f>SUMIFS(Sheet1!S71_OY1AdjustedBudget,Sheet1!S71_SA34eCode,$AC:$AC,Sheet1!S71_A5CapexCode,$AD:$AD)</f>
        <v>0</v>
      </c>
      <c r="M57" s="1357">
        <f>SUMIFS(Sheet1!S71_OY2AdjustedBudget,Sheet1!S71_SA34eCode,$AC:$AC,Sheet1!S71_A5CapexCode,$AD:$AD)</f>
        <v>0</v>
      </c>
      <c r="N57" s="842"/>
      <c r="AC57" s="1336" t="s">
        <v>1928</v>
      </c>
      <c r="AD57" s="1336" t="s">
        <v>1846</v>
      </c>
    </row>
    <row r="58" spans="1:30" ht="12.75" customHeight="1" x14ac:dyDescent="0.25">
      <c r="A58" s="585" t="s">
        <v>1573</v>
      </c>
      <c r="B58" s="73"/>
      <c r="C58" s="1356">
        <f>SUMIFS(Sheet1!S71_OriginalBudget,Sheet1!S71_SA34eCode,$AC:$AC,Sheet1!S71_A5CapexCode,$AD:$AD)</f>
        <v>0</v>
      </c>
      <c r="D58" s="1356">
        <f>SUMIFS(Sheet1!S71_SpecialAdjustedBudget,Sheet1!S71_SA34eCode,$AC:$AC,Sheet1!S71_A5CapexCode,$AD:$AD)</f>
        <v>0</v>
      </c>
      <c r="E58" s="1356"/>
      <c r="F58" s="1356"/>
      <c r="G58" s="1356"/>
      <c r="H58" s="1356"/>
      <c r="I58" s="1356">
        <f>SUMIFS(Sheet1!S71_AdjustmentAmount,Sheet1!S71_SA34eCode,$AC:$AC,Sheet1!S71_A5CapexCode,$AD:$AD)</f>
        <v>0</v>
      </c>
      <c r="J58" s="75">
        <f t="shared" si="8"/>
        <v>0</v>
      </c>
      <c r="K58" s="75">
        <f t="shared" si="3"/>
        <v>0</v>
      </c>
      <c r="L58" s="1356">
        <f>SUMIFS(Sheet1!S71_OY1AdjustedBudget,Sheet1!S71_SA34eCode,$AC:$AC,Sheet1!S71_A5CapexCode,$AD:$AD)</f>
        <v>0</v>
      </c>
      <c r="M58" s="1357">
        <f>SUMIFS(Sheet1!S71_OY2AdjustedBudget,Sheet1!S71_SA34eCode,$AC:$AC,Sheet1!S71_A5CapexCode,$AD:$AD)</f>
        <v>0</v>
      </c>
      <c r="N58" s="842"/>
      <c r="AC58" s="1336" t="s">
        <v>1818</v>
      </c>
      <c r="AD58" s="1336" t="s">
        <v>1846</v>
      </c>
    </row>
    <row r="59" spans="1:30" ht="12.75" customHeight="1" x14ac:dyDescent="0.25">
      <c r="A59" s="585" t="s">
        <v>1574</v>
      </c>
      <c r="B59" s="73"/>
      <c r="C59" s="1356">
        <f>SUMIFS(Sheet1!S71_OriginalBudget,Sheet1!S71_SA34eCode,$AC:$AC,Sheet1!S71_A5CapexCode,$AD:$AD)</f>
        <v>0</v>
      </c>
      <c r="D59" s="1356">
        <f>SUMIFS(Sheet1!S71_SpecialAdjustedBudget,Sheet1!S71_SA34eCode,$AC:$AC,Sheet1!S71_A5CapexCode,$AD:$AD)</f>
        <v>0</v>
      </c>
      <c r="E59" s="1356"/>
      <c r="F59" s="1356"/>
      <c r="G59" s="1356"/>
      <c r="H59" s="1356"/>
      <c r="I59" s="1356">
        <f>SUMIFS(Sheet1!S71_AdjustmentAmount,Sheet1!S71_SA34eCode,$AC:$AC,Sheet1!S71_A5CapexCode,$AD:$AD)</f>
        <v>0</v>
      </c>
      <c r="J59" s="75">
        <f t="shared" si="8"/>
        <v>0</v>
      </c>
      <c r="K59" s="75">
        <f t="shared" si="3"/>
        <v>0</v>
      </c>
      <c r="L59" s="1356">
        <f>SUMIFS(Sheet1!S71_OY1AdjustedBudget,Sheet1!S71_SA34eCode,$AC:$AC,Sheet1!S71_A5CapexCode,$AD:$AD)</f>
        <v>0</v>
      </c>
      <c r="M59" s="1357">
        <f>SUMIFS(Sheet1!S71_OY2AdjustedBudget,Sheet1!S71_SA34eCode,$AC:$AC,Sheet1!S71_A5CapexCode,$AD:$AD)</f>
        <v>0</v>
      </c>
      <c r="N59" s="842"/>
      <c r="AC59" s="1336" t="s">
        <v>1929</v>
      </c>
      <c r="AD59" s="1336" t="s">
        <v>1846</v>
      </c>
    </row>
    <row r="60" spans="1:30" ht="12.75" customHeight="1" x14ac:dyDescent="0.25">
      <c r="A60" s="585" t="s">
        <v>1575</v>
      </c>
      <c r="B60" s="73"/>
      <c r="C60" s="1356">
        <f>SUMIFS(Sheet1!S71_OriginalBudget,Sheet1!S71_SA34eCode,$AC:$AC,Sheet1!S71_A5CapexCode,$AD:$AD)</f>
        <v>0</v>
      </c>
      <c r="D60" s="1356">
        <f>SUMIFS(Sheet1!S71_SpecialAdjustedBudget,Sheet1!S71_SA34eCode,$AC:$AC,Sheet1!S71_A5CapexCode,$AD:$AD)</f>
        <v>0</v>
      </c>
      <c r="E60" s="1356"/>
      <c r="F60" s="1356"/>
      <c r="G60" s="1356"/>
      <c r="H60" s="1356"/>
      <c r="I60" s="1356">
        <f>SUMIFS(Sheet1!S71_AdjustmentAmount,Sheet1!S71_SA34eCode,$AC:$AC,Sheet1!S71_A5CapexCode,$AD:$AD)</f>
        <v>0</v>
      </c>
      <c r="J60" s="75">
        <f t="shared" si="8"/>
        <v>0</v>
      </c>
      <c r="K60" s="75">
        <f t="shared" si="3"/>
        <v>0</v>
      </c>
      <c r="L60" s="1356">
        <f>SUMIFS(Sheet1!S71_OY1AdjustedBudget,Sheet1!S71_SA34eCode,$AC:$AC,Sheet1!S71_A5CapexCode,$AD:$AD)</f>
        <v>0</v>
      </c>
      <c r="M60" s="1357">
        <f>SUMIFS(Sheet1!S71_OY2AdjustedBudget,Sheet1!S71_SA34eCode,$AC:$AC,Sheet1!S71_A5CapexCode,$AD:$AD)</f>
        <v>0</v>
      </c>
      <c r="N60" s="842"/>
      <c r="AC60" s="1336" t="s">
        <v>1930</v>
      </c>
      <c r="AD60" s="1336" t="s">
        <v>1846</v>
      </c>
    </row>
    <row r="61" spans="1:30" ht="12.75" customHeight="1" x14ac:dyDescent="0.25">
      <c r="A61" s="585" t="s">
        <v>1581</v>
      </c>
      <c r="B61" s="73"/>
      <c r="C61" s="1356">
        <f>SUMIFS(Sheet1!S71_OriginalBudget,Sheet1!S71_SA34eCode,$AC:$AC,Sheet1!S71_A5CapexCode,$AD:$AD)</f>
        <v>0</v>
      </c>
      <c r="D61" s="1356">
        <f>SUMIFS(Sheet1!S71_SpecialAdjustedBudget,Sheet1!S71_SA34eCode,$AC:$AC,Sheet1!S71_A5CapexCode,$AD:$AD)</f>
        <v>0</v>
      </c>
      <c r="E61" s="1356"/>
      <c r="F61" s="1356"/>
      <c r="G61" s="1356"/>
      <c r="H61" s="1356"/>
      <c r="I61" s="1356">
        <f>SUMIFS(Sheet1!S71_AdjustmentAmount,Sheet1!S71_SA34eCode,$AC:$AC,Sheet1!S71_A5CapexCode,$AD:$AD)</f>
        <v>0</v>
      </c>
      <c r="J61" s="75">
        <f t="shared" si="8"/>
        <v>0</v>
      </c>
      <c r="K61" s="75">
        <f t="shared" si="3"/>
        <v>0</v>
      </c>
      <c r="L61" s="1356">
        <f>SUMIFS(Sheet1!S71_OY1AdjustedBudget,Sheet1!S71_SA34eCode,$AC:$AC,Sheet1!S71_A5CapexCode,$AD:$AD)</f>
        <v>0</v>
      </c>
      <c r="M61" s="1357">
        <f>SUMIFS(Sheet1!S71_OY2AdjustedBudget,Sheet1!S71_SA34eCode,$AC:$AC,Sheet1!S71_A5CapexCode,$AD:$AD)</f>
        <v>0</v>
      </c>
      <c r="N61" s="842"/>
      <c r="AC61" s="1336" t="s">
        <v>1931</v>
      </c>
      <c r="AD61" s="1336" t="s">
        <v>1846</v>
      </c>
    </row>
    <row r="62" spans="1:30" ht="12.75" customHeight="1" x14ac:dyDescent="0.25">
      <c r="A62" s="585" t="s">
        <v>1584</v>
      </c>
      <c r="B62" s="73"/>
      <c r="C62" s="1356">
        <f>SUMIFS(Sheet1!S71_OriginalBudget,Sheet1!S71_SA34eCode,$AC:$AC,Sheet1!S71_A5CapexCode,$AD:$AD)</f>
        <v>0</v>
      </c>
      <c r="D62" s="1356">
        <f>SUMIFS(Sheet1!S71_SpecialAdjustedBudget,Sheet1!S71_SA34eCode,$AC:$AC,Sheet1!S71_A5CapexCode,$AD:$AD)</f>
        <v>0</v>
      </c>
      <c r="E62" s="1356"/>
      <c r="F62" s="1356"/>
      <c r="G62" s="1356"/>
      <c r="H62" s="1356"/>
      <c r="I62" s="1356">
        <f>SUMIFS(Sheet1!S71_AdjustmentAmount,Sheet1!S71_SA34eCode,$AC:$AC,Sheet1!S71_A5CapexCode,$AD:$AD)</f>
        <v>0</v>
      </c>
      <c r="J62" s="75">
        <f t="shared" si="8"/>
        <v>0</v>
      </c>
      <c r="K62" s="75">
        <f t="shared" si="3"/>
        <v>0</v>
      </c>
      <c r="L62" s="1356">
        <f>SUMIFS(Sheet1!S71_OY1AdjustedBudget,Sheet1!S71_SA34eCode,$AC:$AC,Sheet1!S71_A5CapexCode,$AD:$AD)</f>
        <v>0</v>
      </c>
      <c r="M62" s="1357">
        <f>SUMIFS(Sheet1!S71_OY2AdjustedBudget,Sheet1!S71_SA34eCode,$AC:$AC,Sheet1!S71_A5CapexCode,$AD:$AD)</f>
        <v>0</v>
      </c>
      <c r="N62" s="837"/>
      <c r="AC62" s="1336" t="s">
        <v>1932</v>
      </c>
      <c r="AD62" s="1336" t="s">
        <v>1846</v>
      </c>
    </row>
    <row r="63" spans="1:30" ht="12.75" customHeight="1" x14ac:dyDescent="0.25">
      <c r="A63" s="585" t="s">
        <v>1571</v>
      </c>
      <c r="B63" s="73"/>
      <c r="C63" s="1356">
        <f>SUMIFS(Sheet1!S71_OriginalBudget,Sheet1!S71_SA34eCode,$AC:$AC,Sheet1!S71_A5CapexCode,$AD:$AD)</f>
        <v>0</v>
      </c>
      <c r="D63" s="1356">
        <f>SUMIFS(Sheet1!S71_SpecialAdjustedBudget,Sheet1!S71_SA34eCode,$AC:$AC,Sheet1!S71_A5CapexCode,$AD:$AD)</f>
        <v>0</v>
      </c>
      <c r="E63" s="1356"/>
      <c r="F63" s="1356"/>
      <c r="G63" s="1356"/>
      <c r="H63" s="1356"/>
      <c r="I63" s="1356">
        <f>SUMIFS(Sheet1!S71_AdjustmentAmount,Sheet1!S71_SA34eCode,$AC:$AC,Sheet1!S71_A5CapexCode,$AD:$AD)</f>
        <v>0</v>
      </c>
      <c r="J63" s="75">
        <f t="shared" si="8"/>
        <v>0</v>
      </c>
      <c r="K63" s="75">
        <f t="shared" si="3"/>
        <v>0</v>
      </c>
      <c r="L63" s="1356">
        <f>SUMIFS(Sheet1!S71_OY1AdjustedBudget,Sheet1!S71_SA34eCode,$AC:$AC,Sheet1!S71_A5CapexCode,$AD:$AD)</f>
        <v>0</v>
      </c>
      <c r="M63" s="1357">
        <f>SUMIFS(Sheet1!S71_OY2AdjustedBudget,Sheet1!S71_SA34eCode,$AC:$AC,Sheet1!S71_A5CapexCode,$AD:$AD)</f>
        <v>0</v>
      </c>
      <c r="N63" s="842"/>
      <c r="AC63" s="1336" t="s">
        <v>1933</v>
      </c>
      <c r="AD63" s="1336" t="s">
        <v>1846</v>
      </c>
    </row>
    <row r="64" spans="1:30" ht="12.75" customHeight="1" x14ac:dyDescent="0.25">
      <c r="A64" s="586" t="s">
        <v>1611</v>
      </c>
      <c r="B64" s="73"/>
      <c r="C64" s="1110">
        <f t="shared" ref="C64:M64" si="11">SUM(C65:C69)</f>
        <v>0</v>
      </c>
      <c r="D64" s="130">
        <f t="shared" si="11"/>
        <v>0</v>
      </c>
      <c r="E64" s="130">
        <f t="shared" si="11"/>
        <v>0</v>
      </c>
      <c r="F64" s="130">
        <f t="shared" si="11"/>
        <v>0</v>
      </c>
      <c r="G64" s="130">
        <f t="shared" si="11"/>
        <v>0</v>
      </c>
      <c r="H64" s="130">
        <f t="shared" si="11"/>
        <v>0</v>
      </c>
      <c r="I64" s="130">
        <f t="shared" si="11"/>
        <v>0</v>
      </c>
      <c r="J64" s="75">
        <f t="shared" si="8"/>
        <v>0</v>
      </c>
      <c r="K64" s="75">
        <f t="shared" si="3"/>
        <v>0</v>
      </c>
      <c r="L64" s="130">
        <f t="shared" si="11"/>
        <v>0</v>
      </c>
      <c r="M64" s="131">
        <f t="shared" si="11"/>
        <v>0</v>
      </c>
      <c r="N64" s="126"/>
    </row>
    <row r="65" spans="1:30" ht="12.75" customHeight="1" x14ac:dyDescent="0.25">
      <c r="A65" s="585" t="s">
        <v>1612</v>
      </c>
      <c r="B65" s="73"/>
      <c r="C65" s="1356">
        <f>SUMIFS(Sheet1!S71_OriginalBudget,Sheet1!S71_SA34eCode,$AC:$AC,Sheet1!S71_A5CapexCode,$AD:$AD)</f>
        <v>0</v>
      </c>
      <c r="D65" s="1356">
        <f>SUMIFS(Sheet1!S71_SpecialAdjustedBudget,Sheet1!S71_SA34eCode,$AC:$AC,Sheet1!S71_A5CapexCode,$AD:$AD)</f>
        <v>0</v>
      </c>
      <c r="E65" s="1356"/>
      <c r="F65" s="1356"/>
      <c r="G65" s="1356"/>
      <c r="H65" s="1356"/>
      <c r="I65" s="1356">
        <f>SUMIFS(Sheet1!S71_AdjustmentAmount,Sheet1!S71_SA34eCode,$AC:$AC,Sheet1!S71_A5CapexCode,$AD:$AD)</f>
        <v>0</v>
      </c>
      <c r="J65" s="75">
        <f t="shared" si="8"/>
        <v>0</v>
      </c>
      <c r="K65" s="75">
        <f t="shared" si="3"/>
        <v>0</v>
      </c>
      <c r="L65" s="1356">
        <f>SUMIFS(Sheet1!S71_OY1AdjustedBudget,Sheet1!S71_SA34eCode,$AC:$AC,Sheet1!S71_A5CapexCode,$AD:$AD)</f>
        <v>0</v>
      </c>
      <c r="M65" s="1357">
        <f>SUMIFS(Sheet1!S71_OY2AdjustedBudget,Sheet1!S71_SA34eCode,$AC:$AC,Sheet1!S71_A5CapexCode,$AD:$AD)</f>
        <v>0</v>
      </c>
      <c r="N65" s="837"/>
      <c r="AC65" s="1336" t="s">
        <v>1934</v>
      </c>
      <c r="AD65" s="1336" t="s">
        <v>1846</v>
      </c>
    </row>
    <row r="66" spans="1:30" ht="12.75" customHeight="1" x14ac:dyDescent="0.25">
      <c r="A66" s="585" t="s">
        <v>1613</v>
      </c>
      <c r="B66" s="73"/>
      <c r="C66" s="1356">
        <f>SUMIFS(Sheet1!S71_OriginalBudget,Sheet1!S71_SA34eCode,$AC:$AC,Sheet1!S71_A5CapexCode,$AD:$AD)</f>
        <v>0</v>
      </c>
      <c r="D66" s="1356">
        <f>SUMIFS(Sheet1!S71_SpecialAdjustedBudget,Sheet1!S71_SA34eCode,$AC:$AC,Sheet1!S71_A5CapexCode,$AD:$AD)</f>
        <v>0</v>
      </c>
      <c r="E66" s="1356"/>
      <c r="F66" s="1356"/>
      <c r="G66" s="1356"/>
      <c r="H66" s="1356"/>
      <c r="I66" s="1356">
        <f>SUMIFS(Sheet1!S71_AdjustmentAmount,Sheet1!S71_SA34eCode,$AC:$AC,Sheet1!S71_A5CapexCode,$AD:$AD)</f>
        <v>0</v>
      </c>
      <c r="J66" s="75">
        <f t="shared" si="8"/>
        <v>0</v>
      </c>
      <c r="K66" s="75">
        <f t="shared" si="3"/>
        <v>0</v>
      </c>
      <c r="L66" s="1356">
        <f>SUMIFS(Sheet1!S71_OY1AdjustedBudget,Sheet1!S71_SA34eCode,$AC:$AC,Sheet1!S71_A5CapexCode,$AD:$AD)</f>
        <v>0</v>
      </c>
      <c r="M66" s="1357">
        <f>SUMIFS(Sheet1!S71_OY2AdjustedBudget,Sheet1!S71_SA34eCode,$AC:$AC,Sheet1!S71_A5CapexCode,$AD:$AD)</f>
        <v>0</v>
      </c>
      <c r="N66" s="837"/>
      <c r="AC66" s="1336" t="s">
        <v>1935</v>
      </c>
      <c r="AD66" s="1336" t="s">
        <v>1846</v>
      </c>
    </row>
    <row r="67" spans="1:30" ht="12.75" customHeight="1" x14ac:dyDescent="0.25">
      <c r="A67" s="585" t="s">
        <v>1614</v>
      </c>
      <c r="B67" s="73"/>
      <c r="C67" s="1356">
        <f>SUMIFS(Sheet1!S71_OriginalBudget,Sheet1!S71_SA34eCode,$AC:$AC,Sheet1!S71_A5CapexCode,$AD:$AD)</f>
        <v>0</v>
      </c>
      <c r="D67" s="1356">
        <f>SUMIFS(Sheet1!S71_SpecialAdjustedBudget,Sheet1!S71_SA34eCode,$AC:$AC,Sheet1!S71_A5CapexCode,$AD:$AD)</f>
        <v>0</v>
      </c>
      <c r="E67" s="1356"/>
      <c r="F67" s="1356"/>
      <c r="G67" s="1356"/>
      <c r="H67" s="1356"/>
      <c r="I67" s="1356">
        <f>SUMIFS(Sheet1!S71_AdjustmentAmount,Sheet1!S71_SA34eCode,$AC:$AC,Sheet1!S71_A5CapexCode,$AD:$AD)</f>
        <v>0</v>
      </c>
      <c r="J67" s="75">
        <f t="shared" si="8"/>
        <v>0</v>
      </c>
      <c r="K67" s="75">
        <f t="shared" si="3"/>
        <v>0</v>
      </c>
      <c r="L67" s="1356">
        <f>SUMIFS(Sheet1!S71_OY1AdjustedBudget,Sheet1!S71_SA34eCode,$AC:$AC,Sheet1!S71_A5CapexCode,$AD:$AD)</f>
        <v>0</v>
      </c>
      <c r="M67" s="1357">
        <f>SUMIFS(Sheet1!S71_OY2AdjustedBudget,Sheet1!S71_SA34eCode,$AC:$AC,Sheet1!S71_A5CapexCode,$AD:$AD)</f>
        <v>0</v>
      </c>
      <c r="N67" s="842"/>
      <c r="AC67" s="1336" t="s">
        <v>1936</v>
      </c>
      <c r="AD67" s="1336" t="s">
        <v>1846</v>
      </c>
    </row>
    <row r="68" spans="1:30" ht="12.75" customHeight="1" x14ac:dyDescent="0.25">
      <c r="A68" s="585" t="s">
        <v>1615</v>
      </c>
      <c r="B68" s="73"/>
      <c r="C68" s="1356">
        <f>SUMIFS(Sheet1!S71_OriginalBudget,Sheet1!S71_SA34eCode,$AC:$AC,Sheet1!S71_A5CapexCode,$AD:$AD)</f>
        <v>0</v>
      </c>
      <c r="D68" s="1356">
        <f>SUMIFS(Sheet1!S71_SpecialAdjustedBudget,Sheet1!S71_SA34eCode,$AC:$AC,Sheet1!S71_A5CapexCode,$AD:$AD)</f>
        <v>0</v>
      </c>
      <c r="E68" s="1356"/>
      <c r="F68" s="1356"/>
      <c r="G68" s="1356"/>
      <c r="H68" s="1356"/>
      <c r="I68" s="1356">
        <f>SUMIFS(Sheet1!S71_AdjustmentAmount,Sheet1!S71_SA34eCode,$AC:$AC,Sheet1!S71_A5CapexCode,$AD:$AD)</f>
        <v>0</v>
      </c>
      <c r="J68" s="75">
        <f t="shared" si="8"/>
        <v>0</v>
      </c>
      <c r="K68" s="75">
        <f t="shared" si="3"/>
        <v>0</v>
      </c>
      <c r="L68" s="1356">
        <f>SUMIFS(Sheet1!S71_OY1AdjustedBudget,Sheet1!S71_SA34eCode,$AC:$AC,Sheet1!S71_A5CapexCode,$AD:$AD)</f>
        <v>0</v>
      </c>
      <c r="M68" s="1357">
        <f>SUMIFS(Sheet1!S71_OY2AdjustedBudget,Sheet1!S71_SA34eCode,$AC:$AC,Sheet1!S71_A5CapexCode,$AD:$AD)</f>
        <v>0</v>
      </c>
      <c r="N68" s="837"/>
      <c r="AC68" s="1336" t="s">
        <v>1937</v>
      </c>
      <c r="AD68" s="1336" t="s">
        <v>1846</v>
      </c>
    </row>
    <row r="69" spans="1:30" ht="12.75" customHeight="1" x14ac:dyDescent="0.25">
      <c r="A69" s="585" t="s">
        <v>1571</v>
      </c>
      <c r="B69" s="73"/>
      <c r="C69" s="1356">
        <f>SUMIFS(Sheet1!S71_OriginalBudget,Sheet1!S71_SA34eCode,$AC:$AC,Sheet1!S71_A5CapexCode,$AD:$AD)</f>
        <v>0</v>
      </c>
      <c r="D69" s="1356">
        <f>SUMIFS(Sheet1!S71_SpecialAdjustedBudget,Sheet1!S71_SA34eCode,$AC:$AC,Sheet1!S71_A5CapexCode,$AD:$AD)</f>
        <v>0</v>
      </c>
      <c r="E69" s="1356"/>
      <c r="F69" s="1356"/>
      <c r="G69" s="1356"/>
      <c r="H69" s="1356"/>
      <c r="I69" s="1356">
        <f>SUMIFS(Sheet1!S71_AdjustmentAmount,Sheet1!S71_SA34eCode,$AC:$AC,Sheet1!S71_A5CapexCode,$AD:$AD)</f>
        <v>0</v>
      </c>
      <c r="J69" s="75">
        <f t="shared" si="8"/>
        <v>0</v>
      </c>
      <c r="K69" s="75">
        <f t="shared" si="3"/>
        <v>0</v>
      </c>
      <c r="L69" s="1356">
        <f>SUMIFS(Sheet1!S71_OY1AdjustedBudget,Sheet1!S71_SA34eCode,$AC:$AC,Sheet1!S71_A5CapexCode,$AD:$AD)</f>
        <v>0</v>
      </c>
      <c r="M69" s="1357">
        <f>SUMIFS(Sheet1!S71_OY2AdjustedBudget,Sheet1!S71_SA34eCode,$AC:$AC,Sheet1!S71_A5CapexCode,$AD:$AD)</f>
        <v>0</v>
      </c>
      <c r="N69" s="842"/>
      <c r="AC69" s="1336" t="s">
        <v>1938</v>
      </c>
      <c r="AD69" s="1336" t="s">
        <v>1846</v>
      </c>
    </row>
    <row r="70" spans="1:30" ht="12.75" customHeight="1" x14ac:dyDescent="0.25">
      <c r="A70" s="584" t="s">
        <v>1616</v>
      </c>
      <c r="B70" s="73"/>
      <c r="C70" s="1110">
        <f t="shared" ref="C70:M70" si="12">SUM(C71:C74)</f>
        <v>0</v>
      </c>
      <c r="D70" s="130">
        <f t="shared" si="12"/>
        <v>0</v>
      </c>
      <c r="E70" s="130">
        <f t="shared" si="12"/>
        <v>0</v>
      </c>
      <c r="F70" s="130">
        <f t="shared" si="12"/>
        <v>0</v>
      </c>
      <c r="G70" s="130">
        <f t="shared" si="12"/>
        <v>0</v>
      </c>
      <c r="H70" s="130">
        <f t="shared" si="12"/>
        <v>0</v>
      </c>
      <c r="I70" s="130">
        <f t="shared" si="12"/>
        <v>0</v>
      </c>
      <c r="J70" s="75">
        <f t="shared" si="8"/>
        <v>0</v>
      </c>
      <c r="K70" s="75">
        <f t="shared" si="3"/>
        <v>0</v>
      </c>
      <c r="L70" s="130">
        <f t="shared" si="12"/>
        <v>0</v>
      </c>
      <c r="M70" s="131">
        <f t="shared" si="12"/>
        <v>0</v>
      </c>
      <c r="N70" s="842"/>
    </row>
    <row r="71" spans="1:30" ht="12.75" customHeight="1" x14ac:dyDescent="0.25">
      <c r="A71" s="585" t="s">
        <v>1617</v>
      </c>
      <c r="B71" s="73"/>
      <c r="C71" s="1356">
        <f>SUMIFS(Sheet1!S71_OriginalBudget,Sheet1!S71_SA34eCode,$AC:$AC,Sheet1!S71_A5CapexCode,$AD:$AD)</f>
        <v>0</v>
      </c>
      <c r="D71" s="1356">
        <f>SUMIFS(Sheet1!S71_SpecialAdjustedBudget,Sheet1!S71_SA34eCode,$AC:$AC,Sheet1!S71_A5CapexCode,$AD:$AD)</f>
        <v>0</v>
      </c>
      <c r="E71" s="1356"/>
      <c r="F71" s="1356"/>
      <c r="G71" s="1356"/>
      <c r="H71" s="1356"/>
      <c r="I71" s="1356">
        <f>SUMIFS(Sheet1!S71_AdjustmentAmount,Sheet1!S71_SA34eCode,$AC:$AC,Sheet1!S71_A5CapexCode,$AD:$AD)</f>
        <v>0</v>
      </c>
      <c r="J71" s="75">
        <f t="shared" si="8"/>
        <v>0</v>
      </c>
      <c r="K71" s="75">
        <f t="shared" si="3"/>
        <v>0</v>
      </c>
      <c r="L71" s="1356">
        <f>SUMIFS(Sheet1!S71_OY1AdjustedBudget,Sheet1!S71_SA34eCode,$AC:$AC,Sheet1!S71_A5CapexCode,$AD:$AD)</f>
        <v>0</v>
      </c>
      <c r="M71" s="1357">
        <f>SUMIFS(Sheet1!S71_OY2AdjustedBudget,Sheet1!S71_SA34eCode,$AC:$AC,Sheet1!S71_A5CapexCode,$AD:$AD)</f>
        <v>0</v>
      </c>
      <c r="N71" s="842"/>
      <c r="AC71" s="1336" t="s">
        <v>1939</v>
      </c>
      <c r="AD71" s="1336" t="s">
        <v>1846</v>
      </c>
    </row>
    <row r="72" spans="1:30" ht="12.75" customHeight="1" x14ac:dyDescent="0.25">
      <c r="A72" s="585" t="s">
        <v>1618</v>
      </c>
      <c r="B72" s="73"/>
      <c r="C72" s="1356">
        <f>SUMIFS(Sheet1!S71_OriginalBudget,Sheet1!S71_SA34eCode,$AC:$AC,Sheet1!S71_A5CapexCode,$AD:$AD)</f>
        <v>0</v>
      </c>
      <c r="D72" s="1356">
        <f>SUMIFS(Sheet1!S71_SpecialAdjustedBudget,Sheet1!S71_SA34eCode,$AC:$AC,Sheet1!S71_A5CapexCode,$AD:$AD)</f>
        <v>0</v>
      </c>
      <c r="E72" s="1356"/>
      <c r="F72" s="1356"/>
      <c r="G72" s="1356"/>
      <c r="H72" s="1356"/>
      <c r="I72" s="1356">
        <f>SUMIFS(Sheet1!S71_AdjustmentAmount,Sheet1!S71_SA34eCode,$AC:$AC,Sheet1!S71_A5CapexCode,$AD:$AD)</f>
        <v>0</v>
      </c>
      <c r="J72" s="75">
        <f t="shared" ref="J72:J74" si="13">SUM(E72:I72)</f>
        <v>0</v>
      </c>
      <c r="K72" s="75">
        <f t="shared" si="3"/>
        <v>0</v>
      </c>
      <c r="L72" s="1356">
        <f>SUMIFS(Sheet1!S71_OY1AdjustedBudget,Sheet1!S71_SA34eCode,$AC:$AC,Sheet1!S71_A5CapexCode,$AD:$AD)</f>
        <v>0</v>
      </c>
      <c r="M72" s="1357">
        <f>SUMIFS(Sheet1!S71_OY2AdjustedBudget,Sheet1!S71_SA34eCode,$AC:$AC,Sheet1!S71_A5CapexCode,$AD:$AD)</f>
        <v>0</v>
      </c>
      <c r="N72" s="842"/>
      <c r="AC72" s="1336" t="s">
        <v>1940</v>
      </c>
      <c r="AD72" s="1336" t="s">
        <v>1846</v>
      </c>
    </row>
    <row r="73" spans="1:30" ht="12.75" customHeight="1" x14ac:dyDescent="0.25">
      <c r="A73" s="585" t="s">
        <v>1619</v>
      </c>
      <c r="B73" s="73"/>
      <c r="C73" s="1356">
        <f>SUMIFS(Sheet1!S71_OriginalBudget,Sheet1!S71_SA34eCode,$AC:$AC,Sheet1!S71_A5CapexCode,$AD:$AD)</f>
        <v>0</v>
      </c>
      <c r="D73" s="1356">
        <f>SUMIFS(Sheet1!S71_SpecialAdjustedBudget,Sheet1!S71_SA34eCode,$AC:$AC,Sheet1!S71_A5CapexCode,$AD:$AD)</f>
        <v>0</v>
      </c>
      <c r="E73" s="1356"/>
      <c r="F73" s="1356"/>
      <c r="G73" s="1356"/>
      <c r="H73" s="1356"/>
      <c r="I73" s="1356">
        <f>SUMIFS(Sheet1!S71_AdjustmentAmount,Sheet1!S71_SA34eCode,$AC:$AC,Sheet1!S71_A5CapexCode,$AD:$AD)</f>
        <v>0</v>
      </c>
      <c r="J73" s="75">
        <f t="shared" si="13"/>
        <v>0</v>
      </c>
      <c r="K73" s="75">
        <f t="shared" ref="K73:K136" si="14">IF(D73=0,C73+J73,D73+J73)</f>
        <v>0</v>
      </c>
      <c r="L73" s="1356">
        <f>SUMIFS(Sheet1!S71_OY1AdjustedBudget,Sheet1!S71_SA34eCode,$AC:$AC,Sheet1!S71_A5CapexCode,$AD:$AD)</f>
        <v>0</v>
      </c>
      <c r="M73" s="1357">
        <f>SUMIFS(Sheet1!S71_OY2AdjustedBudget,Sheet1!S71_SA34eCode,$AC:$AC,Sheet1!S71_A5CapexCode,$AD:$AD)</f>
        <v>0</v>
      </c>
      <c r="N73" s="842"/>
      <c r="AC73" s="1336" t="s">
        <v>1941</v>
      </c>
      <c r="AD73" s="1336" t="s">
        <v>1846</v>
      </c>
    </row>
    <row r="74" spans="1:30" ht="12.75" customHeight="1" x14ac:dyDescent="0.25">
      <c r="A74" s="585" t="s">
        <v>1571</v>
      </c>
      <c r="B74" s="73"/>
      <c r="C74" s="1356">
        <f>SUMIFS(Sheet1!S71_OriginalBudget,Sheet1!S71_SA34eCode,$AC:$AC,Sheet1!S71_A5CapexCode,$AD:$AD)</f>
        <v>0</v>
      </c>
      <c r="D74" s="1356">
        <f>SUMIFS(Sheet1!S71_SpecialAdjustedBudget,Sheet1!S71_SA34eCode,$AC:$AC,Sheet1!S71_A5CapexCode,$AD:$AD)</f>
        <v>0</v>
      </c>
      <c r="E74" s="1356"/>
      <c r="F74" s="1356"/>
      <c r="G74" s="1356"/>
      <c r="H74" s="1356"/>
      <c r="I74" s="1356">
        <f>SUMIFS(Sheet1!S71_AdjustmentAmount,Sheet1!S71_SA34eCode,$AC:$AC,Sheet1!S71_A5CapexCode,$AD:$AD)</f>
        <v>0</v>
      </c>
      <c r="J74" s="75">
        <f t="shared" si="13"/>
        <v>0</v>
      </c>
      <c r="K74" s="75">
        <f t="shared" si="14"/>
        <v>0</v>
      </c>
      <c r="L74" s="1356">
        <f>SUMIFS(Sheet1!S71_OY1AdjustedBudget,Sheet1!S71_SA34eCode,$AC:$AC,Sheet1!S71_A5CapexCode,$AD:$AD)</f>
        <v>0</v>
      </c>
      <c r="M74" s="1357">
        <f>SUMIFS(Sheet1!S71_OY2AdjustedBudget,Sheet1!S71_SA34eCode,$AC:$AC,Sheet1!S71_A5CapexCode,$AD:$AD)</f>
        <v>0</v>
      </c>
      <c r="N74" s="842"/>
      <c r="AC74" s="1336" t="s">
        <v>1942</v>
      </c>
      <c r="AD74" s="1336" t="s">
        <v>1846</v>
      </c>
    </row>
    <row r="75" spans="1:30" ht="5.0999999999999996" customHeight="1" x14ac:dyDescent="0.25">
      <c r="A75" s="134"/>
      <c r="B75" s="73"/>
      <c r="C75" s="74"/>
      <c r="D75" s="75"/>
      <c r="E75" s="75"/>
      <c r="F75" s="75"/>
      <c r="G75" s="75"/>
      <c r="H75" s="75"/>
      <c r="I75" s="75"/>
      <c r="J75" s="75"/>
      <c r="K75" s="75"/>
      <c r="L75" s="75"/>
      <c r="M75" s="76"/>
      <c r="N75" s="126"/>
    </row>
    <row r="76" spans="1:30" ht="12.75" customHeight="1" x14ac:dyDescent="0.25">
      <c r="A76" s="484" t="s">
        <v>1620</v>
      </c>
      <c r="B76" s="73"/>
      <c r="C76" s="234">
        <f>+C77+C100</f>
        <v>0</v>
      </c>
      <c r="D76" s="235">
        <f>+D77+D100</f>
        <v>0</v>
      </c>
      <c r="E76" s="235">
        <f t="shared" ref="E76:M76" si="15">+E77+E100</f>
        <v>0</v>
      </c>
      <c r="F76" s="235">
        <f t="shared" si="15"/>
        <v>0</v>
      </c>
      <c r="G76" s="235">
        <f t="shared" si="15"/>
        <v>0</v>
      </c>
      <c r="H76" s="235">
        <f t="shared" si="15"/>
        <v>0</v>
      </c>
      <c r="I76" s="235">
        <f t="shared" si="15"/>
        <v>0</v>
      </c>
      <c r="J76" s="143">
        <f t="shared" ref="J76:J103" si="16">SUM(E76:I76)</f>
        <v>0</v>
      </c>
      <c r="K76" s="143">
        <f t="shared" si="14"/>
        <v>0</v>
      </c>
      <c r="L76" s="235">
        <f t="shared" si="15"/>
        <v>0</v>
      </c>
      <c r="M76" s="236">
        <f t="shared" si="15"/>
        <v>0</v>
      </c>
      <c r="N76" s="126"/>
    </row>
    <row r="77" spans="1:30" ht="12.75" customHeight="1" x14ac:dyDescent="0.25">
      <c r="A77" s="584" t="s">
        <v>1621</v>
      </c>
      <c r="B77" s="73"/>
      <c r="C77" s="130">
        <f>SUM(C78:C99)</f>
        <v>0</v>
      </c>
      <c r="D77" s="130">
        <f>SUM(D78:D99)</f>
        <v>0</v>
      </c>
      <c r="E77" s="130">
        <f t="shared" ref="E77:M77" si="17">SUM(E78:E99)</f>
        <v>0</v>
      </c>
      <c r="F77" s="130">
        <f t="shared" si="17"/>
        <v>0</v>
      </c>
      <c r="G77" s="130">
        <f t="shared" si="17"/>
        <v>0</v>
      </c>
      <c r="H77" s="130">
        <f t="shared" si="17"/>
        <v>0</v>
      </c>
      <c r="I77" s="130">
        <f t="shared" si="17"/>
        <v>0</v>
      </c>
      <c r="J77" s="75">
        <f t="shared" si="16"/>
        <v>0</v>
      </c>
      <c r="K77" s="75">
        <f t="shared" si="14"/>
        <v>0</v>
      </c>
      <c r="L77" s="130">
        <f t="shared" si="17"/>
        <v>0</v>
      </c>
      <c r="M77" s="131">
        <f t="shared" si="17"/>
        <v>0</v>
      </c>
      <c r="N77" s="842"/>
    </row>
    <row r="78" spans="1:30" ht="12.75" customHeight="1" x14ac:dyDescent="0.25">
      <c r="A78" s="585" t="s">
        <v>1622</v>
      </c>
      <c r="B78" s="73"/>
      <c r="C78" s="1356">
        <f>SUMIFS(Sheet1!S71_OriginalBudget,Sheet1!S71_SA34eCode,$AC:$AC,Sheet1!S71_A5CapexCode,$AD:$AD)</f>
        <v>0</v>
      </c>
      <c r="D78" s="1356">
        <f>SUMIFS(Sheet1!S71_SpecialAdjustedBudget,Sheet1!S71_SA34eCode,$AC:$AC,Sheet1!S71_A5CapexCode,$AD:$AD)</f>
        <v>0</v>
      </c>
      <c r="E78" s="1356"/>
      <c r="F78" s="1356"/>
      <c r="G78" s="1356"/>
      <c r="H78" s="1356"/>
      <c r="I78" s="1356">
        <f>SUMIFS(Sheet1!S71_AdjustmentAmount,Sheet1!S71_SA34eCode,$AC:$AC,Sheet1!S71_A5CapexCode,$AD:$AD)</f>
        <v>0</v>
      </c>
      <c r="J78" s="75">
        <f t="shared" si="16"/>
        <v>0</v>
      </c>
      <c r="K78" s="75">
        <f t="shared" si="14"/>
        <v>0</v>
      </c>
      <c r="L78" s="1356">
        <f>SUMIFS(Sheet1!S71_OY1AdjustedBudget,Sheet1!S71_SA34eCode,$AC:$AC,Sheet1!S71_A5CapexCode,$AD:$AD)</f>
        <v>0</v>
      </c>
      <c r="M78" s="1357">
        <f>SUMIFS(Sheet1!S71_OY2AdjustedBudget,Sheet1!S71_SA34eCode,$AC:$AC,Sheet1!S71_A5CapexCode,$AD:$AD)</f>
        <v>0</v>
      </c>
      <c r="N78" s="126"/>
      <c r="AC78" s="1336" t="s">
        <v>1943</v>
      </c>
      <c r="AD78" s="1336" t="s">
        <v>1846</v>
      </c>
    </row>
    <row r="79" spans="1:30" ht="12.75" customHeight="1" x14ac:dyDescent="0.25">
      <c r="A79" s="585" t="s">
        <v>1623</v>
      </c>
      <c r="B79" s="73"/>
      <c r="C79" s="1356">
        <f>SUMIFS(Sheet1!S71_OriginalBudget,Sheet1!S71_SA34eCode,$AC:$AC,Sheet1!S71_A5CapexCode,$AD:$AD)</f>
        <v>0</v>
      </c>
      <c r="D79" s="1356">
        <f>SUMIFS(Sheet1!S71_SpecialAdjustedBudget,Sheet1!S71_SA34eCode,$AC:$AC,Sheet1!S71_A5CapexCode,$AD:$AD)</f>
        <v>0</v>
      </c>
      <c r="E79" s="1356"/>
      <c r="F79" s="1356"/>
      <c r="G79" s="1356"/>
      <c r="H79" s="1356"/>
      <c r="I79" s="1356">
        <f>SUMIFS(Sheet1!S71_AdjustmentAmount,Sheet1!S71_SA34eCode,$AC:$AC,Sheet1!S71_A5CapexCode,$AD:$AD)</f>
        <v>0</v>
      </c>
      <c r="J79" s="75">
        <f t="shared" si="16"/>
        <v>0</v>
      </c>
      <c r="K79" s="75">
        <f t="shared" si="14"/>
        <v>0</v>
      </c>
      <c r="L79" s="1356">
        <f>SUMIFS(Sheet1!S71_OY1AdjustedBudget,Sheet1!S71_SA34eCode,$AC:$AC,Sheet1!S71_A5CapexCode,$AD:$AD)</f>
        <v>0</v>
      </c>
      <c r="M79" s="1357">
        <f>SUMIFS(Sheet1!S71_OY2AdjustedBudget,Sheet1!S71_SA34eCode,$AC:$AC,Sheet1!S71_A5CapexCode,$AD:$AD)</f>
        <v>0</v>
      </c>
      <c r="N79" s="126"/>
      <c r="AC79" s="1336" t="s">
        <v>1819</v>
      </c>
      <c r="AD79" s="1336" t="s">
        <v>1846</v>
      </c>
    </row>
    <row r="80" spans="1:30" ht="12.75" customHeight="1" x14ac:dyDescent="0.25">
      <c r="A80" s="585" t="s">
        <v>1624</v>
      </c>
      <c r="B80" s="73"/>
      <c r="C80" s="1356">
        <f>SUMIFS(Sheet1!S71_OriginalBudget,Sheet1!S71_SA34eCode,$AC:$AC,Sheet1!S71_A5CapexCode,$AD:$AD)</f>
        <v>0</v>
      </c>
      <c r="D80" s="1356">
        <f>SUMIFS(Sheet1!S71_SpecialAdjustedBudget,Sheet1!S71_SA34eCode,$AC:$AC,Sheet1!S71_A5CapexCode,$AD:$AD)</f>
        <v>0</v>
      </c>
      <c r="E80" s="1356"/>
      <c r="F80" s="1356"/>
      <c r="G80" s="1356"/>
      <c r="H80" s="1356"/>
      <c r="I80" s="1356">
        <f>SUMIFS(Sheet1!S71_AdjustmentAmount,Sheet1!S71_SA34eCode,$AC:$AC,Sheet1!S71_A5CapexCode,$AD:$AD)</f>
        <v>0</v>
      </c>
      <c r="J80" s="75">
        <f t="shared" si="16"/>
        <v>0</v>
      </c>
      <c r="K80" s="75">
        <f t="shared" si="14"/>
        <v>0</v>
      </c>
      <c r="L80" s="1356">
        <f>SUMIFS(Sheet1!S71_OY1AdjustedBudget,Sheet1!S71_SA34eCode,$AC:$AC,Sheet1!S71_A5CapexCode,$AD:$AD)</f>
        <v>0</v>
      </c>
      <c r="M80" s="1357">
        <f>SUMIFS(Sheet1!S71_OY2AdjustedBudget,Sheet1!S71_SA34eCode,$AC:$AC,Sheet1!S71_A5CapexCode,$AD:$AD)</f>
        <v>0</v>
      </c>
      <c r="N80" s="126"/>
      <c r="AC80" s="1336" t="s">
        <v>1944</v>
      </c>
      <c r="AD80" s="1336" t="s">
        <v>1846</v>
      </c>
    </row>
    <row r="81" spans="1:30" ht="12.75" customHeight="1" x14ac:dyDescent="0.25">
      <c r="A81" s="585" t="s">
        <v>1625</v>
      </c>
      <c r="B81" s="73"/>
      <c r="C81" s="1356">
        <f>SUMIFS(Sheet1!S71_OriginalBudget,Sheet1!S71_SA34eCode,$AC:$AC,Sheet1!S71_A5CapexCode,$AD:$AD)</f>
        <v>0</v>
      </c>
      <c r="D81" s="1356">
        <f>SUMIFS(Sheet1!S71_SpecialAdjustedBudget,Sheet1!S71_SA34eCode,$AC:$AC,Sheet1!S71_A5CapexCode,$AD:$AD)</f>
        <v>0</v>
      </c>
      <c r="E81" s="1356"/>
      <c r="F81" s="1356"/>
      <c r="G81" s="1356"/>
      <c r="H81" s="1356"/>
      <c r="I81" s="1356">
        <f>SUMIFS(Sheet1!S71_AdjustmentAmount,Sheet1!S71_SA34eCode,$AC:$AC,Sheet1!S71_A5CapexCode,$AD:$AD)</f>
        <v>0</v>
      </c>
      <c r="J81" s="75">
        <f t="shared" si="16"/>
        <v>0</v>
      </c>
      <c r="K81" s="75">
        <f t="shared" si="14"/>
        <v>0</v>
      </c>
      <c r="L81" s="1356">
        <f>SUMIFS(Sheet1!S71_OY1AdjustedBudget,Sheet1!S71_SA34eCode,$AC:$AC,Sheet1!S71_A5CapexCode,$AD:$AD)</f>
        <v>0</v>
      </c>
      <c r="M81" s="1357">
        <f>SUMIFS(Sheet1!S71_OY2AdjustedBudget,Sheet1!S71_SA34eCode,$AC:$AC,Sheet1!S71_A5CapexCode,$AD:$AD)</f>
        <v>0</v>
      </c>
      <c r="N81" s="126"/>
      <c r="AC81" s="1336" t="s">
        <v>1945</v>
      </c>
      <c r="AD81" s="1336" t="s">
        <v>1846</v>
      </c>
    </row>
    <row r="82" spans="1:30" ht="12.75" customHeight="1" x14ac:dyDescent="0.25">
      <c r="A82" s="585" t="s">
        <v>1626</v>
      </c>
      <c r="B82" s="73"/>
      <c r="C82" s="1356">
        <f>SUMIFS(Sheet1!S71_OriginalBudget,Sheet1!S71_SA34eCode,$AC:$AC,Sheet1!S71_A5CapexCode,$AD:$AD)</f>
        <v>0</v>
      </c>
      <c r="D82" s="1356">
        <f>SUMIFS(Sheet1!S71_SpecialAdjustedBudget,Sheet1!S71_SA34eCode,$AC:$AC,Sheet1!S71_A5CapexCode,$AD:$AD)</f>
        <v>0</v>
      </c>
      <c r="E82" s="1356"/>
      <c r="F82" s="1356"/>
      <c r="G82" s="1356"/>
      <c r="H82" s="1356"/>
      <c r="I82" s="1356">
        <f>SUMIFS(Sheet1!S71_AdjustmentAmount,Sheet1!S71_SA34eCode,$AC:$AC,Sheet1!S71_A5CapexCode,$AD:$AD)</f>
        <v>0</v>
      </c>
      <c r="J82" s="75">
        <f t="shared" si="16"/>
        <v>0</v>
      </c>
      <c r="K82" s="75">
        <f t="shared" si="14"/>
        <v>0</v>
      </c>
      <c r="L82" s="1356">
        <f>SUMIFS(Sheet1!S71_OY1AdjustedBudget,Sheet1!S71_SA34eCode,$AC:$AC,Sheet1!S71_A5CapexCode,$AD:$AD)</f>
        <v>0</v>
      </c>
      <c r="M82" s="1357">
        <f>SUMIFS(Sheet1!S71_OY2AdjustedBudget,Sheet1!S71_SA34eCode,$AC:$AC,Sheet1!S71_A5CapexCode,$AD:$AD)</f>
        <v>0</v>
      </c>
      <c r="N82" s="126"/>
      <c r="AC82" s="1336" t="s">
        <v>1946</v>
      </c>
      <c r="AD82" s="1336" t="s">
        <v>1846</v>
      </c>
    </row>
    <row r="83" spans="1:30" ht="12.75" customHeight="1" x14ac:dyDescent="0.25">
      <c r="A83" s="585" t="s">
        <v>1627</v>
      </c>
      <c r="B83" s="73"/>
      <c r="C83" s="1356">
        <f>SUMIFS(Sheet1!S71_OriginalBudget,Sheet1!S71_SA34eCode,$AC:$AC,Sheet1!S71_A5CapexCode,$AD:$AD)</f>
        <v>0</v>
      </c>
      <c r="D83" s="1356">
        <f>SUMIFS(Sheet1!S71_SpecialAdjustedBudget,Sheet1!S71_SA34eCode,$AC:$AC,Sheet1!S71_A5CapexCode,$AD:$AD)</f>
        <v>0</v>
      </c>
      <c r="E83" s="1356"/>
      <c r="F83" s="1356"/>
      <c r="G83" s="1356"/>
      <c r="H83" s="1356"/>
      <c r="I83" s="1356">
        <f>SUMIFS(Sheet1!S71_AdjustmentAmount,Sheet1!S71_SA34eCode,$AC:$AC,Sheet1!S71_A5CapexCode,$AD:$AD)</f>
        <v>0</v>
      </c>
      <c r="J83" s="75">
        <f t="shared" si="16"/>
        <v>0</v>
      </c>
      <c r="K83" s="75">
        <f t="shared" si="14"/>
        <v>0</v>
      </c>
      <c r="L83" s="1356">
        <f>SUMIFS(Sheet1!S71_OY1AdjustedBudget,Sheet1!S71_SA34eCode,$AC:$AC,Sheet1!S71_A5CapexCode,$AD:$AD)</f>
        <v>0</v>
      </c>
      <c r="M83" s="1357">
        <f>SUMIFS(Sheet1!S71_OY2AdjustedBudget,Sheet1!S71_SA34eCode,$AC:$AC,Sheet1!S71_A5CapexCode,$AD:$AD)</f>
        <v>0</v>
      </c>
      <c r="N83" s="126"/>
      <c r="AC83" s="1336" t="s">
        <v>1947</v>
      </c>
      <c r="AD83" s="1336" t="s">
        <v>1846</v>
      </c>
    </row>
    <row r="84" spans="1:30" ht="12.75" customHeight="1" x14ac:dyDescent="0.25">
      <c r="A84" s="585" t="s">
        <v>1628</v>
      </c>
      <c r="B84" s="73"/>
      <c r="C84" s="1356">
        <f>SUMIFS(Sheet1!S71_OriginalBudget,Sheet1!S71_SA34eCode,$AC:$AC,Sheet1!S71_A5CapexCode,$AD:$AD)</f>
        <v>0</v>
      </c>
      <c r="D84" s="1356">
        <f>SUMIFS(Sheet1!S71_SpecialAdjustedBudget,Sheet1!S71_SA34eCode,$AC:$AC,Sheet1!S71_A5CapexCode,$AD:$AD)</f>
        <v>0</v>
      </c>
      <c r="E84" s="1356"/>
      <c r="F84" s="1356"/>
      <c r="G84" s="1356"/>
      <c r="H84" s="1356"/>
      <c r="I84" s="1356">
        <f>SUMIFS(Sheet1!S71_AdjustmentAmount,Sheet1!S71_SA34eCode,$AC:$AC,Sheet1!S71_A5CapexCode,$AD:$AD)</f>
        <v>0</v>
      </c>
      <c r="J84" s="75">
        <f t="shared" si="16"/>
        <v>0</v>
      </c>
      <c r="K84" s="75">
        <f t="shared" si="14"/>
        <v>0</v>
      </c>
      <c r="L84" s="1356">
        <f>SUMIFS(Sheet1!S71_OY1AdjustedBudget,Sheet1!S71_SA34eCode,$AC:$AC,Sheet1!S71_A5CapexCode,$AD:$AD)</f>
        <v>0</v>
      </c>
      <c r="M84" s="1357">
        <f>SUMIFS(Sheet1!S71_OY2AdjustedBudget,Sheet1!S71_SA34eCode,$AC:$AC,Sheet1!S71_A5CapexCode,$AD:$AD)</f>
        <v>0</v>
      </c>
      <c r="N84" s="126"/>
      <c r="AC84" s="1336" t="s">
        <v>1948</v>
      </c>
      <c r="AD84" s="1336" t="s">
        <v>1846</v>
      </c>
    </row>
    <row r="85" spans="1:30" ht="12.75" customHeight="1" x14ac:dyDescent="0.25">
      <c r="A85" s="585" t="s">
        <v>1629</v>
      </c>
      <c r="B85" s="73"/>
      <c r="C85" s="1356">
        <f>SUMIFS(Sheet1!S71_OriginalBudget,Sheet1!S71_SA34eCode,$AC:$AC,Sheet1!S71_A5CapexCode,$AD:$AD)</f>
        <v>0</v>
      </c>
      <c r="D85" s="1356">
        <f>SUMIFS(Sheet1!S71_SpecialAdjustedBudget,Sheet1!S71_SA34eCode,$AC:$AC,Sheet1!S71_A5CapexCode,$AD:$AD)</f>
        <v>0</v>
      </c>
      <c r="E85" s="1356"/>
      <c r="F85" s="1356"/>
      <c r="G85" s="1356"/>
      <c r="H85" s="1356"/>
      <c r="I85" s="1356">
        <f>SUMIFS(Sheet1!S71_AdjustmentAmount,Sheet1!S71_SA34eCode,$AC:$AC,Sheet1!S71_A5CapexCode,$AD:$AD)</f>
        <v>0</v>
      </c>
      <c r="J85" s="75">
        <f t="shared" si="16"/>
        <v>0</v>
      </c>
      <c r="K85" s="75">
        <f t="shared" si="14"/>
        <v>0</v>
      </c>
      <c r="L85" s="1356">
        <f>SUMIFS(Sheet1!S71_OY1AdjustedBudget,Sheet1!S71_SA34eCode,$AC:$AC,Sheet1!S71_A5CapexCode,$AD:$AD)</f>
        <v>0</v>
      </c>
      <c r="M85" s="1357">
        <f>SUMIFS(Sheet1!S71_OY2AdjustedBudget,Sheet1!S71_SA34eCode,$AC:$AC,Sheet1!S71_A5CapexCode,$AD:$AD)</f>
        <v>0</v>
      </c>
      <c r="N85" s="126"/>
      <c r="AC85" s="1336" t="s">
        <v>1949</v>
      </c>
      <c r="AD85" s="1336" t="s">
        <v>1846</v>
      </c>
    </row>
    <row r="86" spans="1:30" ht="12.75" customHeight="1" x14ac:dyDescent="0.25">
      <c r="A86" s="585" t="s">
        <v>1511</v>
      </c>
      <c r="B86" s="73"/>
      <c r="C86" s="1356">
        <f>SUMIFS(Sheet1!S71_OriginalBudget,Sheet1!S71_SA34eCode,$AC:$AC,Sheet1!S71_A5CapexCode,$AD:$AD)</f>
        <v>0</v>
      </c>
      <c r="D86" s="1356">
        <f>SUMIFS(Sheet1!S71_SpecialAdjustedBudget,Sheet1!S71_SA34eCode,$AC:$AC,Sheet1!S71_A5CapexCode,$AD:$AD)</f>
        <v>0</v>
      </c>
      <c r="E86" s="1356"/>
      <c r="F86" s="1356"/>
      <c r="G86" s="1356"/>
      <c r="H86" s="1356"/>
      <c r="I86" s="1356">
        <f>SUMIFS(Sheet1!S71_AdjustmentAmount,Sheet1!S71_SA34eCode,$AC:$AC,Sheet1!S71_A5CapexCode,$AD:$AD)</f>
        <v>0</v>
      </c>
      <c r="J86" s="75">
        <f t="shared" si="16"/>
        <v>0</v>
      </c>
      <c r="K86" s="75">
        <f t="shared" si="14"/>
        <v>0</v>
      </c>
      <c r="L86" s="1356">
        <f>SUMIFS(Sheet1!S71_OY1AdjustedBudget,Sheet1!S71_SA34eCode,$AC:$AC,Sheet1!S71_A5CapexCode,$AD:$AD)</f>
        <v>0</v>
      </c>
      <c r="M86" s="1357">
        <f>SUMIFS(Sheet1!S71_OY2AdjustedBudget,Sheet1!S71_SA34eCode,$AC:$AC,Sheet1!S71_A5CapexCode,$AD:$AD)</f>
        <v>0</v>
      </c>
      <c r="N86" s="126"/>
      <c r="AC86" s="1336" t="s">
        <v>1950</v>
      </c>
      <c r="AD86" s="1336" t="s">
        <v>1846</v>
      </c>
    </row>
    <row r="87" spans="1:30" ht="12.75" customHeight="1" x14ac:dyDescent="0.25">
      <c r="A87" s="585" t="s">
        <v>494</v>
      </c>
      <c r="B87" s="73"/>
      <c r="C87" s="1356">
        <f>SUMIFS(Sheet1!S71_OriginalBudget,Sheet1!S71_SA34eCode,$AC:$AC,Sheet1!S71_A5CapexCode,$AD:$AD)</f>
        <v>0</v>
      </c>
      <c r="D87" s="1356">
        <f>SUMIFS(Sheet1!S71_SpecialAdjustedBudget,Sheet1!S71_SA34eCode,$AC:$AC,Sheet1!S71_A5CapexCode,$AD:$AD)</f>
        <v>0</v>
      </c>
      <c r="E87" s="1356"/>
      <c r="F87" s="1356"/>
      <c r="G87" s="1356"/>
      <c r="H87" s="1356"/>
      <c r="I87" s="1356">
        <f>SUMIFS(Sheet1!S71_AdjustmentAmount,Sheet1!S71_SA34eCode,$AC:$AC,Sheet1!S71_A5CapexCode,$AD:$AD)</f>
        <v>0</v>
      </c>
      <c r="J87" s="75">
        <f t="shared" si="16"/>
        <v>0</v>
      </c>
      <c r="K87" s="75">
        <f t="shared" si="14"/>
        <v>0</v>
      </c>
      <c r="L87" s="1356">
        <f>SUMIFS(Sheet1!S71_OY1AdjustedBudget,Sheet1!S71_SA34eCode,$AC:$AC,Sheet1!S71_A5CapexCode,$AD:$AD)</f>
        <v>0</v>
      </c>
      <c r="M87" s="1357">
        <f>SUMIFS(Sheet1!S71_OY2AdjustedBudget,Sheet1!S71_SA34eCode,$AC:$AC,Sheet1!S71_A5CapexCode,$AD:$AD)</f>
        <v>0</v>
      </c>
      <c r="N87" s="126"/>
      <c r="AC87" s="1336" t="s">
        <v>1951</v>
      </c>
      <c r="AD87" s="1336" t="s">
        <v>1846</v>
      </c>
    </row>
    <row r="88" spans="1:30" ht="12.75" customHeight="1" x14ac:dyDescent="0.25">
      <c r="A88" s="585" t="s">
        <v>1630</v>
      </c>
      <c r="B88" s="73"/>
      <c r="C88" s="1356">
        <f>SUMIFS(Sheet1!S71_OriginalBudget,Sheet1!S71_SA34eCode,$AC:$AC,Sheet1!S71_A5CapexCode,$AD:$AD)</f>
        <v>0</v>
      </c>
      <c r="D88" s="1356">
        <f>SUMIFS(Sheet1!S71_SpecialAdjustedBudget,Sheet1!S71_SA34eCode,$AC:$AC,Sheet1!S71_A5CapexCode,$AD:$AD)</f>
        <v>0</v>
      </c>
      <c r="E88" s="1356"/>
      <c r="F88" s="1356"/>
      <c r="G88" s="1356"/>
      <c r="H88" s="1356"/>
      <c r="I88" s="1356">
        <f>SUMIFS(Sheet1!S71_AdjustmentAmount,Sheet1!S71_SA34eCode,$AC:$AC,Sheet1!S71_A5CapexCode,$AD:$AD)</f>
        <v>0</v>
      </c>
      <c r="J88" s="75">
        <f t="shared" si="16"/>
        <v>0</v>
      </c>
      <c r="K88" s="75">
        <f t="shared" si="14"/>
        <v>0</v>
      </c>
      <c r="L88" s="1356">
        <f>SUMIFS(Sheet1!S71_OY1AdjustedBudget,Sheet1!S71_SA34eCode,$AC:$AC,Sheet1!S71_A5CapexCode,$AD:$AD)</f>
        <v>0</v>
      </c>
      <c r="M88" s="1357">
        <f>SUMIFS(Sheet1!S71_OY2AdjustedBudget,Sheet1!S71_SA34eCode,$AC:$AC,Sheet1!S71_A5CapexCode,$AD:$AD)</f>
        <v>0</v>
      </c>
      <c r="N88" s="126"/>
      <c r="AC88" s="1336" t="s">
        <v>1952</v>
      </c>
      <c r="AD88" s="1336" t="s">
        <v>1846</v>
      </c>
    </row>
    <row r="89" spans="1:30" ht="12.75" customHeight="1" x14ac:dyDescent="0.25">
      <c r="A89" s="585" t="s">
        <v>1631</v>
      </c>
      <c r="B89" s="73"/>
      <c r="C89" s="1356">
        <f>SUMIFS(Sheet1!S71_OriginalBudget,Sheet1!S71_SA34eCode,$AC:$AC,Sheet1!S71_A5CapexCode,$AD:$AD)</f>
        <v>0</v>
      </c>
      <c r="D89" s="1356">
        <f>SUMIFS(Sheet1!S71_SpecialAdjustedBudget,Sheet1!S71_SA34eCode,$AC:$AC,Sheet1!S71_A5CapexCode,$AD:$AD)</f>
        <v>0</v>
      </c>
      <c r="E89" s="1356"/>
      <c r="F89" s="1356"/>
      <c r="G89" s="1356"/>
      <c r="H89" s="1356"/>
      <c r="I89" s="1356">
        <f>SUMIFS(Sheet1!S71_AdjustmentAmount,Sheet1!S71_SA34eCode,$AC:$AC,Sheet1!S71_A5CapexCode,$AD:$AD)</f>
        <v>0</v>
      </c>
      <c r="J89" s="75">
        <f t="shared" si="16"/>
        <v>0</v>
      </c>
      <c r="K89" s="75">
        <f t="shared" si="14"/>
        <v>0</v>
      </c>
      <c r="L89" s="1356">
        <f>SUMIFS(Sheet1!S71_OY1AdjustedBudget,Sheet1!S71_SA34eCode,$AC:$AC,Sheet1!S71_A5CapexCode,$AD:$AD)</f>
        <v>0</v>
      </c>
      <c r="M89" s="1357">
        <f>SUMIFS(Sheet1!S71_OY2AdjustedBudget,Sheet1!S71_SA34eCode,$AC:$AC,Sheet1!S71_A5CapexCode,$AD:$AD)</f>
        <v>0</v>
      </c>
      <c r="N89" s="126"/>
      <c r="AC89" s="1336" t="s">
        <v>1820</v>
      </c>
      <c r="AD89" s="1336" t="s">
        <v>1846</v>
      </c>
    </row>
    <row r="90" spans="1:30" ht="12.75" customHeight="1" x14ac:dyDescent="0.25">
      <c r="A90" s="585" t="s">
        <v>1632</v>
      </c>
      <c r="B90" s="73"/>
      <c r="C90" s="1356">
        <f>SUMIFS(Sheet1!S71_OriginalBudget,Sheet1!S71_SA34eCode,$AC:$AC,Sheet1!S71_A5CapexCode,$AD:$AD)</f>
        <v>0</v>
      </c>
      <c r="D90" s="1356">
        <f>SUMIFS(Sheet1!S71_SpecialAdjustedBudget,Sheet1!S71_SA34eCode,$AC:$AC,Sheet1!S71_A5CapexCode,$AD:$AD)</f>
        <v>0</v>
      </c>
      <c r="E90" s="1356"/>
      <c r="F90" s="1356"/>
      <c r="G90" s="1356"/>
      <c r="H90" s="1356"/>
      <c r="I90" s="1356">
        <f>SUMIFS(Sheet1!S71_AdjustmentAmount,Sheet1!S71_SA34eCode,$AC:$AC,Sheet1!S71_A5CapexCode,$AD:$AD)</f>
        <v>0</v>
      </c>
      <c r="J90" s="75">
        <f t="shared" si="16"/>
        <v>0</v>
      </c>
      <c r="K90" s="75">
        <f t="shared" si="14"/>
        <v>0</v>
      </c>
      <c r="L90" s="1356">
        <f>SUMIFS(Sheet1!S71_OY1AdjustedBudget,Sheet1!S71_SA34eCode,$AC:$AC,Sheet1!S71_A5CapexCode,$AD:$AD)</f>
        <v>0</v>
      </c>
      <c r="M90" s="1357">
        <f>SUMIFS(Sheet1!S71_OY2AdjustedBudget,Sheet1!S71_SA34eCode,$AC:$AC,Sheet1!S71_A5CapexCode,$AD:$AD)</f>
        <v>0</v>
      </c>
      <c r="N90" s="126"/>
      <c r="AC90" s="1336" t="s">
        <v>1953</v>
      </c>
      <c r="AD90" s="1336" t="s">
        <v>1846</v>
      </c>
    </row>
    <row r="91" spans="1:30" ht="12.75" customHeight="1" x14ac:dyDescent="0.25">
      <c r="A91" s="585" t="s">
        <v>1633</v>
      </c>
      <c r="B91" s="73"/>
      <c r="C91" s="1356">
        <f>SUMIFS(Sheet1!S71_OriginalBudget,Sheet1!S71_SA34eCode,$AC:$AC,Sheet1!S71_A5CapexCode,$AD:$AD)</f>
        <v>0</v>
      </c>
      <c r="D91" s="1356">
        <f>SUMIFS(Sheet1!S71_SpecialAdjustedBudget,Sheet1!S71_SA34eCode,$AC:$AC,Sheet1!S71_A5CapexCode,$AD:$AD)</f>
        <v>0</v>
      </c>
      <c r="E91" s="1356"/>
      <c r="F91" s="1356"/>
      <c r="G91" s="1356"/>
      <c r="H91" s="1356"/>
      <c r="I91" s="1356">
        <f>SUMIFS(Sheet1!S71_AdjustmentAmount,Sheet1!S71_SA34eCode,$AC:$AC,Sheet1!S71_A5CapexCode,$AD:$AD)</f>
        <v>0</v>
      </c>
      <c r="J91" s="75">
        <f t="shared" si="16"/>
        <v>0</v>
      </c>
      <c r="K91" s="75">
        <f t="shared" si="14"/>
        <v>0</v>
      </c>
      <c r="L91" s="1356">
        <f>SUMIFS(Sheet1!S71_OY1AdjustedBudget,Sheet1!S71_SA34eCode,$AC:$AC,Sheet1!S71_A5CapexCode,$AD:$AD)</f>
        <v>0</v>
      </c>
      <c r="M91" s="1357">
        <f>SUMIFS(Sheet1!S71_OY2AdjustedBudget,Sheet1!S71_SA34eCode,$AC:$AC,Sheet1!S71_A5CapexCode,$AD:$AD)</f>
        <v>0</v>
      </c>
      <c r="N91" s="126"/>
      <c r="AC91" s="1336" t="s">
        <v>1954</v>
      </c>
      <c r="AD91" s="1336" t="s">
        <v>1846</v>
      </c>
    </row>
    <row r="92" spans="1:30" ht="12.75" customHeight="1" x14ac:dyDescent="0.25">
      <c r="A92" s="585" t="s">
        <v>1634</v>
      </c>
      <c r="B92" s="73"/>
      <c r="C92" s="1356">
        <f>SUMIFS(Sheet1!S71_OriginalBudget,Sheet1!S71_SA34eCode,$AC:$AC,Sheet1!S71_A5CapexCode,$AD:$AD)</f>
        <v>0</v>
      </c>
      <c r="D92" s="1356">
        <f>SUMIFS(Sheet1!S71_SpecialAdjustedBudget,Sheet1!S71_SA34eCode,$AC:$AC,Sheet1!S71_A5CapexCode,$AD:$AD)</f>
        <v>0</v>
      </c>
      <c r="E92" s="1356"/>
      <c r="F92" s="1356"/>
      <c r="G92" s="1356"/>
      <c r="H92" s="1356"/>
      <c r="I92" s="1356">
        <f>SUMIFS(Sheet1!S71_AdjustmentAmount,Sheet1!S71_SA34eCode,$AC:$AC,Sheet1!S71_A5CapexCode,$AD:$AD)</f>
        <v>0</v>
      </c>
      <c r="J92" s="75">
        <f t="shared" si="16"/>
        <v>0</v>
      </c>
      <c r="K92" s="75">
        <f t="shared" si="14"/>
        <v>0</v>
      </c>
      <c r="L92" s="1356">
        <f>SUMIFS(Sheet1!S71_OY1AdjustedBudget,Sheet1!S71_SA34eCode,$AC:$AC,Sheet1!S71_A5CapexCode,$AD:$AD)</f>
        <v>0</v>
      </c>
      <c r="M92" s="1357">
        <f>SUMIFS(Sheet1!S71_OY2AdjustedBudget,Sheet1!S71_SA34eCode,$AC:$AC,Sheet1!S71_A5CapexCode,$AD:$AD)</f>
        <v>0</v>
      </c>
      <c r="N92" s="126"/>
      <c r="AC92" s="1336" t="s">
        <v>1955</v>
      </c>
      <c r="AD92" s="1336" t="s">
        <v>1846</v>
      </c>
    </row>
    <row r="93" spans="1:30" ht="12.75" customHeight="1" x14ac:dyDescent="0.25">
      <c r="A93" s="585" t="s">
        <v>1635</v>
      </c>
      <c r="B93" s="73"/>
      <c r="C93" s="1356">
        <f>SUMIFS(Sheet1!S71_OriginalBudget,Sheet1!S71_SA34eCode,$AC:$AC,Sheet1!S71_A5CapexCode,$AD:$AD)</f>
        <v>0</v>
      </c>
      <c r="D93" s="1356">
        <f>SUMIFS(Sheet1!S71_SpecialAdjustedBudget,Sheet1!S71_SA34eCode,$AC:$AC,Sheet1!S71_A5CapexCode,$AD:$AD)</f>
        <v>0</v>
      </c>
      <c r="E93" s="1356"/>
      <c r="F93" s="1356"/>
      <c r="G93" s="1356"/>
      <c r="H93" s="1356"/>
      <c r="I93" s="1356">
        <f>SUMIFS(Sheet1!S71_AdjustmentAmount,Sheet1!S71_SA34eCode,$AC:$AC,Sheet1!S71_A5CapexCode,$AD:$AD)</f>
        <v>0</v>
      </c>
      <c r="J93" s="75">
        <f t="shared" si="16"/>
        <v>0</v>
      </c>
      <c r="K93" s="75">
        <f t="shared" si="14"/>
        <v>0</v>
      </c>
      <c r="L93" s="1356">
        <f>SUMIFS(Sheet1!S71_OY1AdjustedBudget,Sheet1!S71_SA34eCode,$AC:$AC,Sheet1!S71_A5CapexCode,$AD:$AD)</f>
        <v>0</v>
      </c>
      <c r="M93" s="1357">
        <f>SUMIFS(Sheet1!S71_OY2AdjustedBudget,Sheet1!S71_SA34eCode,$AC:$AC,Sheet1!S71_A5CapexCode,$AD:$AD)</f>
        <v>0</v>
      </c>
      <c r="N93" s="126"/>
      <c r="AC93" s="1336" t="s">
        <v>1956</v>
      </c>
      <c r="AD93" s="1336" t="s">
        <v>1846</v>
      </c>
    </row>
    <row r="94" spans="1:30" ht="12.75" customHeight="1" x14ac:dyDescent="0.25">
      <c r="A94" s="585" t="s">
        <v>510</v>
      </c>
      <c r="B94" s="73"/>
      <c r="C94" s="1356">
        <f>SUMIFS(Sheet1!S71_OriginalBudget,Sheet1!S71_SA34eCode,$AC:$AC,Sheet1!S71_A5CapexCode,$AD:$AD)</f>
        <v>0</v>
      </c>
      <c r="D94" s="1356">
        <f>SUMIFS(Sheet1!S71_SpecialAdjustedBudget,Sheet1!S71_SA34eCode,$AC:$AC,Sheet1!S71_A5CapexCode,$AD:$AD)</f>
        <v>0</v>
      </c>
      <c r="E94" s="1356"/>
      <c r="F94" s="1356"/>
      <c r="G94" s="1356"/>
      <c r="H94" s="1356"/>
      <c r="I94" s="1356">
        <f>SUMIFS(Sheet1!S71_AdjustmentAmount,Sheet1!S71_SA34eCode,$AC:$AC,Sheet1!S71_A5CapexCode,$AD:$AD)</f>
        <v>0</v>
      </c>
      <c r="J94" s="75">
        <f t="shared" si="16"/>
        <v>0</v>
      </c>
      <c r="K94" s="75">
        <f t="shared" si="14"/>
        <v>0</v>
      </c>
      <c r="L94" s="1356">
        <f>SUMIFS(Sheet1!S71_OY1AdjustedBudget,Sheet1!S71_SA34eCode,$AC:$AC,Sheet1!S71_A5CapexCode,$AD:$AD)</f>
        <v>0</v>
      </c>
      <c r="M94" s="1357">
        <f>SUMIFS(Sheet1!S71_OY2AdjustedBudget,Sheet1!S71_SA34eCode,$AC:$AC,Sheet1!S71_A5CapexCode,$AD:$AD)</f>
        <v>0</v>
      </c>
      <c r="N94" s="126"/>
      <c r="AC94" s="1336" t="s">
        <v>1957</v>
      </c>
      <c r="AD94" s="1336" t="s">
        <v>1846</v>
      </c>
    </row>
    <row r="95" spans="1:30" ht="12.75" customHeight="1" x14ac:dyDescent="0.25">
      <c r="A95" s="585" t="s">
        <v>1636</v>
      </c>
      <c r="B95" s="73"/>
      <c r="C95" s="1356">
        <f>SUMIFS(Sheet1!S71_OriginalBudget,Sheet1!S71_SA34eCode,$AC:$AC,Sheet1!S71_A5CapexCode,$AD:$AD)</f>
        <v>0</v>
      </c>
      <c r="D95" s="1356">
        <f>SUMIFS(Sheet1!S71_SpecialAdjustedBudget,Sheet1!S71_SA34eCode,$AC:$AC,Sheet1!S71_A5CapexCode,$AD:$AD)</f>
        <v>0</v>
      </c>
      <c r="E95" s="1356"/>
      <c r="F95" s="1356"/>
      <c r="G95" s="1356"/>
      <c r="H95" s="1356"/>
      <c r="I95" s="1356">
        <f>SUMIFS(Sheet1!S71_AdjustmentAmount,Sheet1!S71_SA34eCode,$AC:$AC,Sheet1!S71_A5CapexCode,$AD:$AD)</f>
        <v>0</v>
      </c>
      <c r="J95" s="75">
        <f t="shared" si="16"/>
        <v>0</v>
      </c>
      <c r="K95" s="75">
        <f t="shared" si="14"/>
        <v>0</v>
      </c>
      <c r="L95" s="1356">
        <f>SUMIFS(Sheet1!S71_OY1AdjustedBudget,Sheet1!S71_SA34eCode,$AC:$AC,Sheet1!S71_A5CapexCode,$AD:$AD)</f>
        <v>0</v>
      </c>
      <c r="M95" s="1357">
        <f>SUMIFS(Sheet1!S71_OY2AdjustedBudget,Sheet1!S71_SA34eCode,$AC:$AC,Sheet1!S71_A5CapexCode,$AD:$AD)</f>
        <v>0</v>
      </c>
      <c r="N95" s="126"/>
      <c r="AC95" s="1336" t="s">
        <v>1958</v>
      </c>
      <c r="AD95" s="1336" t="s">
        <v>1846</v>
      </c>
    </row>
    <row r="96" spans="1:30" ht="12.75" customHeight="1" x14ac:dyDescent="0.25">
      <c r="A96" s="585" t="s">
        <v>509</v>
      </c>
      <c r="B96" s="73"/>
      <c r="C96" s="1356">
        <f>SUMIFS(Sheet1!S71_OriginalBudget,Sheet1!S71_SA34eCode,$AC:$AC,Sheet1!S71_A5CapexCode,$AD:$AD)</f>
        <v>0</v>
      </c>
      <c r="D96" s="1356">
        <f>SUMIFS(Sheet1!S71_SpecialAdjustedBudget,Sheet1!S71_SA34eCode,$AC:$AC,Sheet1!S71_A5CapexCode,$AD:$AD)</f>
        <v>0</v>
      </c>
      <c r="E96" s="1356"/>
      <c r="F96" s="1356"/>
      <c r="G96" s="1356"/>
      <c r="H96" s="1356"/>
      <c r="I96" s="1356">
        <f>SUMIFS(Sheet1!S71_AdjustmentAmount,Sheet1!S71_SA34eCode,$AC:$AC,Sheet1!S71_A5CapexCode,$AD:$AD)</f>
        <v>0</v>
      </c>
      <c r="J96" s="75">
        <f t="shared" si="16"/>
        <v>0</v>
      </c>
      <c r="K96" s="75">
        <f t="shared" si="14"/>
        <v>0</v>
      </c>
      <c r="L96" s="1356">
        <f>SUMIFS(Sheet1!S71_OY1AdjustedBudget,Sheet1!S71_SA34eCode,$AC:$AC,Sheet1!S71_A5CapexCode,$AD:$AD)</f>
        <v>0</v>
      </c>
      <c r="M96" s="1357">
        <f>SUMIFS(Sheet1!S71_OY2AdjustedBudget,Sheet1!S71_SA34eCode,$AC:$AC,Sheet1!S71_A5CapexCode,$AD:$AD)</f>
        <v>0</v>
      </c>
      <c r="N96" s="842"/>
      <c r="AC96" s="1336" t="s">
        <v>1959</v>
      </c>
      <c r="AD96" s="1336" t="s">
        <v>1846</v>
      </c>
    </row>
    <row r="97" spans="1:30" ht="12.75" customHeight="1" x14ac:dyDescent="0.25">
      <c r="A97" s="585" t="s">
        <v>1637</v>
      </c>
      <c r="B97" s="73"/>
      <c r="C97" s="1356">
        <f>SUMIFS(Sheet1!S71_OriginalBudget,Sheet1!S71_SA34eCode,$AC:$AC,Sheet1!S71_A5CapexCode,$AD:$AD)</f>
        <v>0</v>
      </c>
      <c r="D97" s="1356">
        <f>SUMIFS(Sheet1!S71_SpecialAdjustedBudget,Sheet1!S71_SA34eCode,$AC:$AC,Sheet1!S71_A5CapexCode,$AD:$AD)</f>
        <v>0</v>
      </c>
      <c r="E97" s="1356"/>
      <c r="F97" s="1356"/>
      <c r="G97" s="1356"/>
      <c r="H97" s="1356"/>
      <c r="I97" s="1356">
        <f>SUMIFS(Sheet1!S71_AdjustmentAmount,Sheet1!S71_SA34eCode,$AC:$AC,Sheet1!S71_A5CapexCode,$AD:$AD)</f>
        <v>0</v>
      </c>
      <c r="J97" s="75">
        <f t="shared" si="16"/>
        <v>0</v>
      </c>
      <c r="K97" s="75">
        <f t="shared" si="14"/>
        <v>0</v>
      </c>
      <c r="L97" s="1356">
        <f>SUMIFS(Sheet1!S71_OY1AdjustedBudget,Sheet1!S71_SA34eCode,$AC:$AC,Sheet1!S71_A5CapexCode,$AD:$AD)</f>
        <v>0</v>
      </c>
      <c r="M97" s="1357">
        <f>SUMIFS(Sheet1!S71_OY2AdjustedBudget,Sheet1!S71_SA34eCode,$AC:$AC,Sheet1!S71_A5CapexCode,$AD:$AD)</f>
        <v>0</v>
      </c>
      <c r="N97" s="126"/>
      <c r="AC97" s="1336" t="s">
        <v>1960</v>
      </c>
      <c r="AD97" s="1336" t="s">
        <v>1846</v>
      </c>
    </row>
    <row r="98" spans="1:30" ht="12.75" customHeight="1" x14ac:dyDescent="0.25">
      <c r="A98" s="585" t="s">
        <v>1638</v>
      </c>
      <c r="B98" s="73"/>
      <c r="C98" s="1356">
        <f>SUMIFS(Sheet1!S71_OriginalBudget,Sheet1!S71_SA34eCode,$AC:$AC,Sheet1!S71_A5CapexCode,$AD:$AD)</f>
        <v>0</v>
      </c>
      <c r="D98" s="1356">
        <f>SUMIFS(Sheet1!S71_SpecialAdjustedBudget,Sheet1!S71_SA34eCode,$AC:$AC,Sheet1!S71_A5CapexCode,$AD:$AD)</f>
        <v>0</v>
      </c>
      <c r="E98" s="1356"/>
      <c r="F98" s="1356"/>
      <c r="G98" s="1356"/>
      <c r="H98" s="1356"/>
      <c r="I98" s="1356">
        <f>SUMIFS(Sheet1!S71_AdjustmentAmount,Sheet1!S71_SA34eCode,$AC:$AC,Sheet1!S71_A5CapexCode,$AD:$AD)</f>
        <v>0</v>
      </c>
      <c r="J98" s="75">
        <f t="shared" si="16"/>
        <v>0</v>
      </c>
      <c r="K98" s="75">
        <f t="shared" si="14"/>
        <v>0</v>
      </c>
      <c r="L98" s="1356">
        <f>SUMIFS(Sheet1!S71_OY1AdjustedBudget,Sheet1!S71_SA34eCode,$AC:$AC,Sheet1!S71_A5CapexCode,$AD:$AD)</f>
        <v>0</v>
      </c>
      <c r="M98" s="1357">
        <f>SUMIFS(Sheet1!S71_OY2AdjustedBudget,Sheet1!S71_SA34eCode,$AC:$AC,Sheet1!S71_A5CapexCode,$AD:$AD)</f>
        <v>0</v>
      </c>
      <c r="N98" s="126"/>
      <c r="AC98" s="1336" t="s">
        <v>1961</v>
      </c>
      <c r="AD98" s="1336" t="s">
        <v>1846</v>
      </c>
    </row>
    <row r="99" spans="1:30" ht="12.75" customHeight="1" x14ac:dyDescent="0.25">
      <c r="A99" s="585" t="s">
        <v>1571</v>
      </c>
      <c r="B99" s="73"/>
      <c r="C99" s="1356">
        <f>SUMIFS(Sheet1!S71_OriginalBudget,Sheet1!S71_SA34eCode,$AC:$AC,Sheet1!S71_A5CapexCode,$AD:$AD)</f>
        <v>0</v>
      </c>
      <c r="D99" s="1356">
        <f>SUMIFS(Sheet1!S71_SpecialAdjustedBudget,Sheet1!S71_SA34eCode,$AC:$AC,Sheet1!S71_A5CapexCode,$AD:$AD)</f>
        <v>0</v>
      </c>
      <c r="E99" s="1356"/>
      <c r="F99" s="1356"/>
      <c r="G99" s="1356"/>
      <c r="H99" s="1356"/>
      <c r="I99" s="1356">
        <f>SUMIFS(Sheet1!S71_AdjustmentAmount,Sheet1!S71_SA34eCode,$AC:$AC,Sheet1!S71_A5CapexCode,$AD:$AD)</f>
        <v>0</v>
      </c>
      <c r="J99" s="75">
        <f t="shared" si="16"/>
        <v>0</v>
      </c>
      <c r="K99" s="75">
        <f t="shared" si="14"/>
        <v>0</v>
      </c>
      <c r="L99" s="1356">
        <f>SUMIFS(Sheet1!S71_OY1AdjustedBudget,Sheet1!S71_SA34eCode,$AC:$AC,Sheet1!S71_A5CapexCode,$AD:$AD)</f>
        <v>0</v>
      </c>
      <c r="M99" s="1357">
        <f>SUMIFS(Sheet1!S71_OY2AdjustedBudget,Sheet1!S71_SA34eCode,$AC:$AC,Sheet1!S71_A5CapexCode,$AD:$AD)</f>
        <v>0</v>
      </c>
      <c r="N99" s="126"/>
      <c r="AC99" s="1336" t="s">
        <v>1821</v>
      </c>
      <c r="AD99" s="1336" t="s">
        <v>1846</v>
      </c>
    </row>
    <row r="100" spans="1:30" ht="10.35" customHeight="1" x14ac:dyDescent="0.25">
      <c r="A100" s="584" t="s">
        <v>1639</v>
      </c>
      <c r="B100" s="73"/>
      <c r="C100" s="138">
        <f>SUM(C101:C103)</f>
        <v>0</v>
      </c>
      <c r="D100" s="139">
        <f t="shared" ref="D100:M100" si="18">SUM(D101:D103)</f>
        <v>0</v>
      </c>
      <c r="E100" s="139">
        <f t="shared" si="18"/>
        <v>0</v>
      </c>
      <c r="F100" s="139">
        <f t="shared" si="18"/>
        <v>0</v>
      </c>
      <c r="G100" s="139">
        <f t="shared" si="18"/>
        <v>0</v>
      </c>
      <c r="H100" s="139">
        <f t="shared" si="18"/>
        <v>0</v>
      </c>
      <c r="I100" s="139">
        <f t="shared" si="18"/>
        <v>0</v>
      </c>
      <c r="J100" s="139">
        <f t="shared" si="16"/>
        <v>0</v>
      </c>
      <c r="K100" s="139">
        <f t="shared" si="14"/>
        <v>0</v>
      </c>
      <c r="L100" s="139">
        <f t="shared" si="18"/>
        <v>0</v>
      </c>
      <c r="M100" s="140">
        <f t="shared" si="18"/>
        <v>0</v>
      </c>
      <c r="N100" s="126"/>
    </row>
    <row r="101" spans="1:30" ht="12.75" customHeight="1" x14ac:dyDescent="0.25">
      <c r="A101" s="585" t="s">
        <v>1640</v>
      </c>
      <c r="B101" s="73"/>
      <c r="C101" s="1356">
        <f>SUMIFS(Sheet1!S71_OriginalBudget,Sheet1!S71_SA34eCode,$AC:$AC,Sheet1!S71_A5CapexCode,$AD:$AD)</f>
        <v>0</v>
      </c>
      <c r="D101" s="1356">
        <f>SUMIFS(Sheet1!S71_SpecialAdjustedBudget,Sheet1!S71_SA34eCode,$AC:$AC,Sheet1!S71_A5CapexCode,$AD:$AD)</f>
        <v>0</v>
      </c>
      <c r="E101" s="1356"/>
      <c r="F101" s="1356"/>
      <c r="G101" s="1356"/>
      <c r="H101" s="1356"/>
      <c r="I101" s="1356">
        <f>SUMIFS(Sheet1!S71_AdjustmentAmount,Sheet1!S71_SA34eCode,$AC:$AC,Sheet1!S71_A5CapexCode,$AD:$AD)</f>
        <v>0</v>
      </c>
      <c r="J101" s="75">
        <f t="shared" si="16"/>
        <v>0</v>
      </c>
      <c r="K101" s="75">
        <f t="shared" si="14"/>
        <v>0</v>
      </c>
      <c r="L101" s="1356">
        <f>SUMIFS(Sheet1!S71_OY1AdjustedBudget,Sheet1!S71_SA34eCode,$AC:$AC,Sheet1!S71_A5CapexCode,$AD:$AD)</f>
        <v>0</v>
      </c>
      <c r="M101" s="1357">
        <f>SUMIFS(Sheet1!S71_OY2AdjustedBudget,Sheet1!S71_SA34eCode,$AC:$AC,Sheet1!S71_A5CapexCode,$AD:$AD)</f>
        <v>0</v>
      </c>
      <c r="N101" s="126"/>
      <c r="AC101" s="1336" t="s">
        <v>1962</v>
      </c>
      <c r="AD101" s="1336" t="s">
        <v>1846</v>
      </c>
    </row>
    <row r="102" spans="1:30" ht="12.75" customHeight="1" x14ac:dyDescent="0.25">
      <c r="A102" s="585" t="s">
        <v>1641</v>
      </c>
      <c r="B102" s="73"/>
      <c r="C102" s="1356">
        <f>SUMIFS(Sheet1!S71_OriginalBudget,Sheet1!S71_SA34eCode,$AC:$AC,Sheet1!S71_A5CapexCode,$AD:$AD)</f>
        <v>0</v>
      </c>
      <c r="D102" s="1356">
        <f>SUMIFS(Sheet1!S71_SpecialAdjustedBudget,Sheet1!S71_SA34eCode,$AC:$AC,Sheet1!S71_A5CapexCode,$AD:$AD)</f>
        <v>0</v>
      </c>
      <c r="E102" s="1356"/>
      <c r="F102" s="1356"/>
      <c r="G102" s="1356"/>
      <c r="H102" s="1356"/>
      <c r="I102" s="1356">
        <f>SUMIFS(Sheet1!S71_AdjustmentAmount,Sheet1!S71_SA34eCode,$AC:$AC,Sheet1!S71_A5CapexCode,$AD:$AD)</f>
        <v>0</v>
      </c>
      <c r="J102" s="75">
        <f t="shared" si="16"/>
        <v>0</v>
      </c>
      <c r="K102" s="75">
        <f t="shared" si="14"/>
        <v>0</v>
      </c>
      <c r="L102" s="1356">
        <f>SUMIFS(Sheet1!S71_OY1AdjustedBudget,Sheet1!S71_SA34eCode,$AC:$AC,Sheet1!S71_A5CapexCode,$AD:$AD)</f>
        <v>0</v>
      </c>
      <c r="M102" s="1357">
        <f>SUMIFS(Sheet1!S71_OY2AdjustedBudget,Sheet1!S71_SA34eCode,$AC:$AC,Sheet1!S71_A5CapexCode,$AD:$AD)</f>
        <v>0</v>
      </c>
      <c r="N102" s="126"/>
      <c r="AC102" s="1336" t="s">
        <v>1963</v>
      </c>
      <c r="AD102" s="1336" t="s">
        <v>1846</v>
      </c>
    </row>
    <row r="103" spans="1:30" ht="12.75" customHeight="1" x14ac:dyDescent="0.25">
      <c r="A103" s="585" t="s">
        <v>1571</v>
      </c>
      <c r="B103" s="73"/>
      <c r="C103" s="1356">
        <f>SUMIFS(Sheet1!S71_OriginalBudget,Sheet1!S71_SA34eCode,$AC:$AC,Sheet1!S71_A5CapexCode,$AD:$AD)</f>
        <v>0</v>
      </c>
      <c r="D103" s="1356">
        <f>SUMIFS(Sheet1!S71_SpecialAdjustedBudget,Sheet1!S71_SA34eCode,$AC:$AC,Sheet1!S71_A5CapexCode,$AD:$AD)</f>
        <v>0</v>
      </c>
      <c r="E103" s="1356"/>
      <c r="F103" s="1356"/>
      <c r="G103" s="1356"/>
      <c r="H103" s="1356"/>
      <c r="I103" s="1356">
        <f>SUMIFS(Sheet1!S71_AdjustmentAmount,Sheet1!S71_SA34eCode,$AC:$AC,Sheet1!S71_A5CapexCode,$AD:$AD)</f>
        <v>0</v>
      </c>
      <c r="J103" s="75">
        <f t="shared" si="16"/>
        <v>0</v>
      </c>
      <c r="K103" s="75">
        <f t="shared" si="14"/>
        <v>0</v>
      </c>
      <c r="L103" s="1356">
        <f>SUMIFS(Sheet1!S71_OY1AdjustedBudget,Sheet1!S71_SA34eCode,$AC:$AC,Sheet1!S71_A5CapexCode,$AD:$AD)</f>
        <v>0</v>
      </c>
      <c r="M103" s="1357">
        <f>SUMIFS(Sheet1!S71_OY2AdjustedBudget,Sheet1!S71_SA34eCode,$AC:$AC,Sheet1!S71_A5CapexCode,$AD:$AD)</f>
        <v>0</v>
      </c>
      <c r="N103" s="126"/>
      <c r="AC103" s="1336" t="s">
        <v>1964</v>
      </c>
      <c r="AD103" s="1336" t="s">
        <v>1846</v>
      </c>
    </row>
    <row r="104" spans="1:30" ht="5.0999999999999996" customHeight="1" x14ac:dyDescent="0.25">
      <c r="A104" s="134"/>
      <c r="B104" s="73"/>
      <c r="C104" s="125"/>
      <c r="D104" s="169"/>
      <c r="E104" s="169"/>
      <c r="F104" s="169"/>
      <c r="G104" s="169"/>
      <c r="H104" s="169"/>
      <c r="I104" s="169"/>
      <c r="J104" s="75"/>
      <c r="K104" s="75"/>
      <c r="L104" s="75"/>
      <c r="M104" s="76"/>
      <c r="N104" s="126"/>
    </row>
    <row r="105" spans="1:30" ht="12.75" customHeight="1" x14ac:dyDescent="0.25">
      <c r="A105" s="484" t="s">
        <v>767</v>
      </c>
      <c r="B105" s="73"/>
      <c r="C105" s="234">
        <f t="shared" ref="C105:M105" si="19">SUM(C106:C110)</f>
        <v>0</v>
      </c>
      <c r="D105" s="235">
        <f t="shared" si="19"/>
        <v>0</v>
      </c>
      <c r="E105" s="235">
        <f t="shared" si="19"/>
        <v>0</v>
      </c>
      <c r="F105" s="235">
        <f t="shared" si="19"/>
        <v>0</v>
      </c>
      <c r="G105" s="235">
        <f t="shared" si="19"/>
        <v>0</v>
      </c>
      <c r="H105" s="235">
        <f t="shared" si="19"/>
        <v>0</v>
      </c>
      <c r="I105" s="235">
        <f t="shared" si="19"/>
        <v>0</v>
      </c>
      <c r="J105" s="235">
        <f t="shared" ref="J105:J110" si="20">SUM(E105:I105)</f>
        <v>0</v>
      </c>
      <c r="K105" s="235">
        <f t="shared" si="14"/>
        <v>0</v>
      </c>
      <c r="L105" s="235">
        <f t="shared" si="19"/>
        <v>0</v>
      </c>
      <c r="M105" s="236">
        <f t="shared" si="19"/>
        <v>0</v>
      </c>
      <c r="N105" s="126"/>
    </row>
    <row r="106" spans="1:30" ht="12.75" customHeight="1" x14ac:dyDescent="0.25">
      <c r="A106" s="584" t="s">
        <v>1642</v>
      </c>
      <c r="B106" s="73"/>
      <c r="C106" s="1356">
        <f>SUMIFS(Sheet1!S71_OriginalBudget,Sheet1!S71_SA34eCode,$AC:$AC,Sheet1!S71_A5CapexCode,$AD:$AD)</f>
        <v>0</v>
      </c>
      <c r="D106" s="1356">
        <f>SUMIFS(Sheet1!S71_SpecialAdjustedBudget,Sheet1!S71_SA34eCode,$AC:$AC,Sheet1!S71_A5CapexCode,$AD:$AD)</f>
        <v>0</v>
      </c>
      <c r="E106" s="1356"/>
      <c r="F106" s="1356"/>
      <c r="G106" s="1356"/>
      <c r="H106" s="1356"/>
      <c r="I106" s="1356">
        <f>SUMIFS(Sheet1!S71_AdjustmentAmount,Sheet1!S71_SA34eCode,$AC:$AC,Sheet1!S71_A5CapexCode,$AD:$AD)</f>
        <v>0</v>
      </c>
      <c r="J106" s="75">
        <f t="shared" si="20"/>
        <v>0</v>
      </c>
      <c r="K106" s="75">
        <f t="shared" si="14"/>
        <v>0</v>
      </c>
      <c r="L106" s="1356">
        <f>SUMIFS(Sheet1!S71_OY1AdjustedBudget,Sheet1!S71_SA34eCode,$AC:$AC,Sheet1!S71_A5CapexCode,$AD:$AD)</f>
        <v>0</v>
      </c>
      <c r="M106" s="1357">
        <f>SUMIFS(Sheet1!S71_OY2AdjustedBudget,Sheet1!S71_SA34eCode,$AC:$AC,Sheet1!S71_A5CapexCode,$AD:$AD)</f>
        <v>0</v>
      </c>
      <c r="N106" s="126"/>
      <c r="AC106" s="1336" t="s">
        <v>1965</v>
      </c>
      <c r="AD106" s="1336" t="s">
        <v>1846</v>
      </c>
    </row>
    <row r="107" spans="1:30" ht="12.75" customHeight="1" x14ac:dyDescent="0.25">
      <c r="A107" s="586" t="s">
        <v>1643</v>
      </c>
      <c r="B107" s="73"/>
      <c r="C107" s="1356">
        <f>SUMIFS(Sheet1!S71_OriginalBudget,Sheet1!S71_SA34eCode,$AC:$AC,Sheet1!S71_A5CapexCode,$AD:$AD)</f>
        <v>0</v>
      </c>
      <c r="D107" s="1356">
        <f>SUMIFS(Sheet1!S71_SpecialAdjustedBudget,Sheet1!S71_SA34eCode,$AC:$AC,Sheet1!S71_A5CapexCode,$AD:$AD)</f>
        <v>0</v>
      </c>
      <c r="E107" s="1356"/>
      <c r="F107" s="1356"/>
      <c r="G107" s="1356"/>
      <c r="H107" s="1356"/>
      <c r="I107" s="1356">
        <f>SUMIFS(Sheet1!S71_AdjustmentAmount,Sheet1!S71_SA34eCode,$AC:$AC,Sheet1!S71_A5CapexCode,$AD:$AD)</f>
        <v>0</v>
      </c>
      <c r="J107" s="75">
        <f t="shared" si="20"/>
        <v>0</v>
      </c>
      <c r="K107" s="75">
        <f t="shared" si="14"/>
        <v>0</v>
      </c>
      <c r="L107" s="1356">
        <f>SUMIFS(Sheet1!S71_OY1AdjustedBudget,Sheet1!S71_SA34eCode,$AC:$AC,Sheet1!S71_A5CapexCode,$AD:$AD)</f>
        <v>0</v>
      </c>
      <c r="M107" s="1357">
        <f>SUMIFS(Sheet1!S71_OY2AdjustedBudget,Sheet1!S71_SA34eCode,$AC:$AC,Sheet1!S71_A5CapexCode,$AD:$AD)</f>
        <v>0</v>
      </c>
      <c r="N107" s="126"/>
      <c r="AC107" s="1336" t="s">
        <v>1966</v>
      </c>
      <c r="AD107" s="1336" t="s">
        <v>1846</v>
      </c>
    </row>
    <row r="108" spans="1:30" ht="12.75" customHeight="1" x14ac:dyDescent="0.25">
      <c r="A108" s="584" t="s">
        <v>1644</v>
      </c>
      <c r="B108" s="73"/>
      <c r="C108" s="1356">
        <f>SUMIFS(Sheet1!S71_OriginalBudget,Sheet1!S71_SA34eCode,$AC:$AC,Sheet1!S71_A5CapexCode,$AD:$AD)</f>
        <v>0</v>
      </c>
      <c r="D108" s="1356">
        <f>SUMIFS(Sheet1!S71_SpecialAdjustedBudget,Sheet1!S71_SA34eCode,$AC:$AC,Sheet1!S71_A5CapexCode,$AD:$AD)</f>
        <v>0</v>
      </c>
      <c r="E108" s="1356"/>
      <c r="F108" s="1356"/>
      <c r="G108" s="1356"/>
      <c r="H108" s="1356"/>
      <c r="I108" s="1356">
        <f>SUMIFS(Sheet1!S71_AdjustmentAmount,Sheet1!S71_SA34eCode,$AC:$AC,Sheet1!S71_A5CapexCode,$AD:$AD)</f>
        <v>0</v>
      </c>
      <c r="J108" s="75">
        <f t="shared" si="20"/>
        <v>0</v>
      </c>
      <c r="K108" s="75">
        <f t="shared" si="14"/>
        <v>0</v>
      </c>
      <c r="L108" s="1356">
        <f>SUMIFS(Sheet1!S71_OY1AdjustedBudget,Sheet1!S71_SA34eCode,$AC:$AC,Sheet1!S71_A5CapexCode,$AD:$AD)</f>
        <v>0</v>
      </c>
      <c r="M108" s="1357">
        <f>SUMIFS(Sheet1!S71_OY2AdjustedBudget,Sheet1!S71_SA34eCode,$AC:$AC,Sheet1!S71_A5CapexCode,$AD:$AD)</f>
        <v>0</v>
      </c>
      <c r="N108" s="126"/>
      <c r="AC108" s="1336" t="s">
        <v>1967</v>
      </c>
      <c r="AD108" s="1336" t="s">
        <v>1846</v>
      </c>
    </row>
    <row r="109" spans="1:30" ht="12.75" customHeight="1" x14ac:dyDescent="0.25">
      <c r="A109" s="584" t="s">
        <v>1645</v>
      </c>
      <c r="B109" s="73"/>
      <c r="C109" s="1356">
        <f>SUMIFS(Sheet1!S71_OriginalBudget,Sheet1!S71_SA34eCode,$AC:$AC,Sheet1!S71_A5CapexCode,$AD:$AD)</f>
        <v>0</v>
      </c>
      <c r="D109" s="1356">
        <f>SUMIFS(Sheet1!S71_SpecialAdjustedBudget,Sheet1!S71_SA34eCode,$AC:$AC,Sheet1!S71_A5CapexCode,$AD:$AD)</f>
        <v>0</v>
      </c>
      <c r="E109" s="1356"/>
      <c r="F109" s="1356"/>
      <c r="G109" s="1356"/>
      <c r="H109" s="1356"/>
      <c r="I109" s="1356">
        <f>SUMIFS(Sheet1!S71_AdjustmentAmount,Sheet1!S71_SA34eCode,$AC:$AC,Sheet1!S71_A5CapexCode,$AD:$AD)</f>
        <v>0</v>
      </c>
      <c r="J109" s="75">
        <f t="shared" si="20"/>
        <v>0</v>
      </c>
      <c r="K109" s="75">
        <f t="shared" si="14"/>
        <v>0</v>
      </c>
      <c r="L109" s="1356">
        <f>SUMIFS(Sheet1!S71_OY1AdjustedBudget,Sheet1!S71_SA34eCode,$AC:$AC,Sheet1!S71_A5CapexCode,$AD:$AD)</f>
        <v>0</v>
      </c>
      <c r="M109" s="1357">
        <f>SUMIFS(Sheet1!S71_OY2AdjustedBudget,Sheet1!S71_SA34eCode,$AC:$AC,Sheet1!S71_A5CapexCode,$AD:$AD)</f>
        <v>0</v>
      </c>
      <c r="N109" s="126"/>
      <c r="AC109" s="1336" t="s">
        <v>1968</v>
      </c>
      <c r="AD109" s="1336" t="s">
        <v>1846</v>
      </c>
    </row>
    <row r="110" spans="1:30" ht="12.75" customHeight="1" x14ac:dyDescent="0.25">
      <c r="A110" s="586" t="s">
        <v>1646</v>
      </c>
      <c r="B110" s="73"/>
      <c r="C110" s="1356">
        <f>SUMIFS(Sheet1!S71_OriginalBudget,Sheet1!S71_SA34eCode,$AC:$AC,Sheet1!S71_A5CapexCode,$AD:$AD)</f>
        <v>0</v>
      </c>
      <c r="D110" s="1356">
        <f>SUMIFS(Sheet1!S71_SpecialAdjustedBudget,Sheet1!S71_SA34eCode,$AC:$AC,Sheet1!S71_A5CapexCode,$AD:$AD)</f>
        <v>0</v>
      </c>
      <c r="E110" s="1356"/>
      <c r="F110" s="1356"/>
      <c r="G110" s="1356"/>
      <c r="H110" s="1356"/>
      <c r="I110" s="1356">
        <f>SUMIFS(Sheet1!S71_AdjustmentAmount,Sheet1!S71_SA34eCode,$AC:$AC,Sheet1!S71_A5CapexCode,$AD:$AD)</f>
        <v>0</v>
      </c>
      <c r="J110" s="75">
        <f t="shared" si="20"/>
        <v>0</v>
      </c>
      <c r="K110" s="75">
        <f t="shared" si="14"/>
        <v>0</v>
      </c>
      <c r="L110" s="1356">
        <f>SUMIFS(Sheet1!S71_OY1AdjustedBudget,Sheet1!S71_SA34eCode,$AC:$AC,Sheet1!S71_A5CapexCode,$AD:$AD)</f>
        <v>0</v>
      </c>
      <c r="M110" s="1357">
        <f>SUMIFS(Sheet1!S71_OY2AdjustedBudget,Sheet1!S71_SA34eCode,$AC:$AC,Sheet1!S71_A5CapexCode,$AD:$AD)</f>
        <v>0</v>
      </c>
      <c r="N110" s="126"/>
      <c r="AC110" s="1336" t="s">
        <v>1822</v>
      </c>
      <c r="AD110" s="1336" t="s">
        <v>1846</v>
      </c>
    </row>
    <row r="111" spans="1:30" ht="5.0999999999999996" customHeight="1" x14ac:dyDescent="0.25">
      <c r="A111" s="1211"/>
      <c r="B111" s="73"/>
      <c r="C111" s="74"/>
      <c r="D111" s="75"/>
      <c r="E111" s="75"/>
      <c r="F111" s="75"/>
      <c r="G111" s="75"/>
      <c r="H111" s="75"/>
      <c r="I111" s="75"/>
      <c r="J111" s="75"/>
      <c r="K111" s="75"/>
      <c r="L111" s="75"/>
      <c r="M111" s="76"/>
      <c r="N111" s="126"/>
    </row>
    <row r="112" spans="1:30" ht="12.75" customHeight="1" x14ac:dyDescent="0.25">
      <c r="A112" s="1212" t="s">
        <v>768</v>
      </c>
      <c r="B112" s="73"/>
      <c r="C112" s="234">
        <f>+C113+C116</f>
        <v>0</v>
      </c>
      <c r="D112" s="235">
        <f t="shared" ref="D112:I112" si="21">+D113+D116</f>
        <v>0</v>
      </c>
      <c r="E112" s="235">
        <f t="shared" si="21"/>
        <v>0</v>
      </c>
      <c r="F112" s="235">
        <f t="shared" si="21"/>
        <v>0</v>
      </c>
      <c r="G112" s="235">
        <f t="shared" si="21"/>
        <v>0</v>
      </c>
      <c r="H112" s="235">
        <f t="shared" si="21"/>
        <v>0</v>
      </c>
      <c r="I112" s="235">
        <f t="shared" si="21"/>
        <v>0</v>
      </c>
      <c r="J112" s="235">
        <f t="shared" ref="J112:J118" si="22">SUM(E112:I112)</f>
        <v>0</v>
      </c>
      <c r="K112" s="235">
        <f t="shared" si="14"/>
        <v>0</v>
      </c>
      <c r="L112" s="235">
        <f>+L113+L116</f>
        <v>0</v>
      </c>
      <c r="M112" s="236">
        <f>+M113+M116</f>
        <v>0</v>
      </c>
      <c r="N112" s="126"/>
    </row>
    <row r="113" spans="1:30" ht="10.35" customHeight="1" x14ac:dyDescent="0.25">
      <c r="A113" s="584" t="s">
        <v>1647</v>
      </c>
      <c r="B113" s="73"/>
      <c r="C113" s="138">
        <f>SUM(C114:C115)</f>
        <v>0</v>
      </c>
      <c r="D113" s="139">
        <f>SUM(D114:D115)</f>
        <v>0</v>
      </c>
      <c r="E113" s="139">
        <f t="shared" ref="E113:M113" si="23">SUM(E114:E115)</f>
        <v>0</v>
      </c>
      <c r="F113" s="139">
        <f t="shared" si="23"/>
        <v>0</v>
      </c>
      <c r="G113" s="139">
        <f t="shared" si="23"/>
        <v>0</v>
      </c>
      <c r="H113" s="139">
        <f t="shared" si="23"/>
        <v>0</v>
      </c>
      <c r="I113" s="139">
        <f t="shared" si="23"/>
        <v>0</v>
      </c>
      <c r="J113" s="139">
        <f t="shared" si="22"/>
        <v>0</v>
      </c>
      <c r="K113" s="139">
        <f t="shared" si="14"/>
        <v>0</v>
      </c>
      <c r="L113" s="139">
        <f t="shared" si="23"/>
        <v>0</v>
      </c>
      <c r="M113" s="140">
        <f t="shared" si="23"/>
        <v>0</v>
      </c>
      <c r="N113" s="126"/>
    </row>
    <row r="114" spans="1:30" ht="12.75" customHeight="1" x14ac:dyDescent="0.25">
      <c r="A114" s="585" t="s">
        <v>1648</v>
      </c>
      <c r="B114" s="73"/>
      <c r="C114" s="1356">
        <f>SUMIFS(Sheet1!S71_OriginalBudget,Sheet1!S71_SA34eCode,$AC:$AC,Sheet1!S71_A5CapexCode,$AD:$AD)</f>
        <v>0</v>
      </c>
      <c r="D114" s="1356">
        <f>SUMIFS(Sheet1!S71_SpecialAdjustedBudget,Sheet1!S71_SA34eCode,$AC:$AC,Sheet1!S71_A5CapexCode,$AD:$AD)</f>
        <v>0</v>
      </c>
      <c r="E114" s="1356"/>
      <c r="F114" s="1356"/>
      <c r="G114" s="1356"/>
      <c r="H114" s="1356"/>
      <c r="I114" s="1356">
        <f>SUMIFS(Sheet1!S71_AdjustmentAmount,Sheet1!S71_SA34eCode,$AC:$AC,Sheet1!S71_A5CapexCode,$AD:$AD)</f>
        <v>0</v>
      </c>
      <c r="J114" s="75">
        <f t="shared" si="22"/>
        <v>0</v>
      </c>
      <c r="K114" s="75">
        <f t="shared" si="14"/>
        <v>0</v>
      </c>
      <c r="L114" s="1356">
        <f>SUMIFS(Sheet1!S71_OY1AdjustedBudget,Sheet1!S71_SA34eCode,$AC:$AC,Sheet1!S71_A5CapexCode,$AD:$AD)</f>
        <v>0</v>
      </c>
      <c r="M114" s="1357">
        <f>SUMIFS(Sheet1!S71_OY2AdjustedBudget,Sheet1!S71_SA34eCode,$AC:$AC,Sheet1!S71_A5CapexCode,$AD:$AD)</f>
        <v>0</v>
      </c>
      <c r="N114" s="126"/>
      <c r="AC114" s="1336" t="s">
        <v>1969</v>
      </c>
      <c r="AD114" s="1336" t="s">
        <v>1846</v>
      </c>
    </row>
    <row r="115" spans="1:30" ht="12.75" customHeight="1" x14ac:dyDescent="0.25">
      <c r="A115" s="585" t="s">
        <v>1649</v>
      </c>
      <c r="B115" s="73"/>
      <c r="C115" s="1356">
        <f>SUMIFS(Sheet1!S71_OriginalBudget,Sheet1!S71_SA34eCode,$AC:$AC,Sheet1!S71_A5CapexCode,$AD:$AD)</f>
        <v>0</v>
      </c>
      <c r="D115" s="1356">
        <f>SUMIFS(Sheet1!S71_SpecialAdjustedBudget,Sheet1!S71_SA34eCode,$AC:$AC,Sheet1!S71_A5CapexCode,$AD:$AD)</f>
        <v>0</v>
      </c>
      <c r="E115" s="1356"/>
      <c r="F115" s="1356"/>
      <c r="G115" s="1356"/>
      <c r="H115" s="1356"/>
      <c r="I115" s="1356">
        <f>SUMIFS(Sheet1!S71_AdjustmentAmount,Sheet1!S71_SA34eCode,$AC:$AC,Sheet1!S71_A5CapexCode,$AD:$AD)</f>
        <v>0</v>
      </c>
      <c r="J115" s="75">
        <f t="shared" si="22"/>
        <v>0</v>
      </c>
      <c r="K115" s="75">
        <f t="shared" si="14"/>
        <v>0</v>
      </c>
      <c r="L115" s="1356">
        <f>SUMIFS(Sheet1!S71_OY1AdjustedBudget,Sheet1!S71_SA34eCode,$AC:$AC,Sheet1!S71_A5CapexCode,$AD:$AD)</f>
        <v>0</v>
      </c>
      <c r="M115" s="1357">
        <f>SUMIFS(Sheet1!S71_OY2AdjustedBudget,Sheet1!S71_SA34eCode,$AC:$AC,Sheet1!S71_A5CapexCode,$AD:$AD)</f>
        <v>0</v>
      </c>
      <c r="N115" s="126"/>
      <c r="AC115" s="1336" t="s">
        <v>1970</v>
      </c>
      <c r="AD115" s="1336" t="s">
        <v>1846</v>
      </c>
    </row>
    <row r="116" spans="1:30" ht="10.35" customHeight="1" x14ac:dyDescent="0.25">
      <c r="A116" s="584" t="s">
        <v>1650</v>
      </c>
      <c r="B116" s="73"/>
      <c r="C116" s="138">
        <f>SUM(C117:C118)</f>
        <v>0</v>
      </c>
      <c r="D116" s="139">
        <f>SUM(D117:D118)</f>
        <v>0</v>
      </c>
      <c r="E116" s="139">
        <f t="shared" ref="E116:M116" si="24">SUM(E117:E118)</f>
        <v>0</v>
      </c>
      <c r="F116" s="139">
        <f t="shared" si="24"/>
        <v>0</v>
      </c>
      <c r="G116" s="139">
        <f t="shared" si="24"/>
        <v>0</v>
      </c>
      <c r="H116" s="139">
        <f t="shared" si="24"/>
        <v>0</v>
      </c>
      <c r="I116" s="139">
        <f t="shared" si="24"/>
        <v>0</v>
      </c>
      <c r="J116" s="139">
        <f t="shared" si="22"/>
        <v>0</v>
      </c>
      <c r="K116" s="139">
        <f t="shared" si="14"/>
        <v>0</v>
      </c>
      <c r="L116" s="139">
        <f t="shared" si="24"/>
        <v>0</v>
      </c>
      <c r="M116" s="140">
        <f t="shared" si="24"/>
        <v>0</v>
      </c>
      <c r="N116" s="126"/>
      <c r="AD116" s="1336" t="s">
        <v>1846</v>
      </c>
    </row>
    <row r="117" spans="1:30" ht="12.75" customHeight="1" x14ac:dyDescent="0.25">
      <c r="A117" s="585" t="s">
        <v>1648</v>
      </c>
      <c r="B117" s="73"/>
      <c r="C117" s="1356">
        <f>SUMIFS(Sheet1!S71_OriginalBudget,Sheet1!S71_SA34eCode,$AC:$AC,Sheet1!S71_A5CapexCode,$AD:$AD)</f>
        <v>0</v>
      </c>
      <c r="D117" s="1356">
        <f>SUMIFS(Sheet1!S71_SpecialAdjustedBudget,Sheet1!S71_SA34eCode,$AC:$AC,Sheet1!S71_A5CapexCode,$AD:$AD)</f>
        <v>0</v>
      </c>
      <c r="E117" s="1356"/>
      <c r="F117" s="1356"/>
      <c r="G117" s="1356"/>
      <c r="H117" s="1356"/>
      <c r="I117" s="1356">
        <f>SUMIFS(Sheet1!S71_AdjustmentAmount,Sheet1!S71_SA34eCode,$AC:$AC,Sheet1!S71_A5CapexCode,$AD:$AD)</f>
        <v>0</v>
      </c>
      <c r="J117" s="75">
        <f t="shared" si="22"/>
        <v>0</v>
      </c>
      <c r="K117" s="75">
        <f t="shared" si="14"/>
        <v>0</v>
      </c>
      <c r="L117" s="1356">
        <f>SUMIFS(Sheet1!S71_OY1AdjustedBudget,Sheet1!S71_SA34eCode,$AC:$AC,Sheet1!S71_A5CapexCode,$AD:$AD)</f>
        <v>0</v>
      </c>
      <c r="M117" s="1357">
        <f>SUMIFS(Sheet1!S71_OY2AdjustedBudget,Sheet1!S71_SA34eCode,$AC:$AC,Sheet1!S71_A5CapexCode,$AD:$AD)</f>
        <v>0</v>
      </c>
      <c r="N117" s="126"/>
      <c r="AC117" s="1336" t="s">
        <v>1972</v>
      </c>
      <c r="AD117" s="1336" t="s">
        <v>1846</v>
      </c>
    </row>
    <row r="118" spans="1:30" ht="12.75" customHeight="1" x14ac:dyDescent="0.25">
      <c r="A118" s="585" t="s">
        <v>1649</v>
      </c>
      <c r="B118" s="73"/>
      <c r="C118" s="1356">
        <f>SUMIFS(Sheet1!S71_OriginalBudget,Sheet1!S71_SA34eCode,$AC:$AC,Sheet1!S71_A5CapexCode,$AD:$AD)</f>
        <v>0</v>
      </c>
      <c r="D118" s="1356">
        <f>SUMIFS(Sheet1!S71_SpecialAdjustedBudget,Sheet1!S71_SA34eCode,$AC:$AC,Sheet1!S71_A5CapexCode,$AD:$AD)</f>
        <v>0</v>
      </c>
      <c r="E118" s="1356"/>
      <c r="F118" s="1356"/>
      <c r="G118" s="1356"/>
      <c r="H118" s="1356"/>
      <c r="I118" s="1356">
        <f>SUMIFS(Sheet1!S71_AdjustmentAmount,Sheet1!S71_SA34eCode,$AC:$AC,Sheet1!S71_A5CapexCode,$AD:$AD)</f>
        <v>0</v>
      </c>
      <c r="J118" s="75">
        <f t="shared" si="22"/>
        <v>0</v>
      </c>
      <c r="K118" s="75">
        <f t="shared" si="14"/>
        <v>0</v>
      </c>
      <c r="L118" s="1356">
        <f>SUMIFS(Sheet1!S71_OY1AdjustedBudget,Sheet1!S71_SA34eCode,$AC:$AC,Sheet1!S71_A5CapexCode,$AD:$AD)</f>
        <v>0</v>
      </c>
      <c r="M118" s="1357">
        <f>SUMIFS(Sheet1!S71_OY2AdjustedBudget,Sheet1!S71_SA34eCode,$AC:$AC,Sheet1!S71_A5CapexCode,$AD:$AD)</f>
        <v>0</v>
      </c>
      <c r="N118" s="126"/>
      <c r="AC118" s="1336" t="s">
        <v>1973</v>
      </c>
      <c r="AD118" s="1336" t="s">
        <v>1846</v>
      </c>
    </row>
    <row r="119" spans="1:30" ht="5.0999999999999996" customHeight="1" x14ac:dyDescent="0.25">
      <c r="A119" s="134"/>
      <c r="B119" s="73"/>
      <c r="C119" s="74"/>
      <c r="D119" s="75"/>
      <c r="E119" s="75"/>
      <c r="F119" s="75"/>
      <c r="G119" s="75"/>
      <c r="H119" s="75"/>
      <c r="I119" s="75"/>
      <c r="J119" s="75"/>
      <c r="K119" s="75"/>
      <c r="L119" s="75"/>
      <c r="M119" s="76"/>
      <c r="N119" s="126"/>
    </row>
    <row r="120" spans="1:30" ht="12.75" customHeight="1" x14ac:dyDescent="0.25">
      <c r="A120" s="1212" t="s">
        <v>769</v>
      </c>
      <c r="B120" s="73"/>
      <c r="C120" s="234">
        <f>+C121+C133</f>
        <v>1000000</v>
      </c>
      <c r="D120" s="235">
        <f t="shared" ref="D120:I120" si="25">+D121+D133</f>
        <v>1000000</v>
      </c>
      <c r="E120" s="235">
        <f t="shared" si="25"/>
        <v>0</v>
      </c>
      <c r="F120" s="235">
        <f t="shared" si="25"/>
        <v>0</v>
      </c>
      <c r="G120" s="235">
        <f t="shared" si="25"/>
        <v>0</v>
      </c>
      <c r="H120" s="235">
        <f t="shared" si="25"/>
        <v>0</v>
      </c>
      <c r="I120" s="235">
        <f t="shared" si="25"/>
        <v>0</v>
      </c>
      <c r="J120" s="235">
        <f t="shared" ref="J120:J136" si="26">SUM(E120:I120)</f>
        <v>0</v>
      </c>
      <c r="K120" s="235">
        <f t="shared" si="14"/>
        <v>1000000</v>
      </c>
      <c r="L120" s="235">
        <f>+L121+L133</f>
        <v>0</v>
      </c>
      <c r="M120" s="236">
        <f>+M121+M133</f>
        <v>0</v>
      </c>
      <c r="N120" s="126"/>
    </row>
    <row r="121" spans="1:30" ht="10.35" customHeight="1" x14ac:dyDescent="0.25">
      <c r="A121" s="584" t="s">
        <v>1651</v>
      </c>
      <c r="B121" s="73"/>
      <c r="C121" s="138">
        <f>SUM(C122:C132)</f>
        <v>1000000</v>
      </c>
      <c r="D121" s="139">
        <f t="shared" ref="D121:I121" si="27">SUM(D122:D132)</f>
        <v>1000000</v>
      </c>
      <c r="E121" s="139">
        <f t="shared" si="27"/>
        <v>0</v>
      </c>
      <c r="F121" s="139">
        <f t="shared" si="27"/>
        <v>0</v>
      </c>
      <c r="G121" s="139">
        <f t="shared" si="27"/>
        <v>0</v>
      </c>
      <c r="H121" s="139">
        <f t="shared" si="27"/>
        <v>0</v>
      </c>
      <c r="I121" s="139">
        <f t="shared" si="27"/>
        <v>0</v>
      </c>
      <c r="J121" s="139">
        <f t="shared" si="26"/>
        <v>0</v>
      </c>
      <c r="K121" s="139">
        <f t="shared" si="14"/>
        <v>1000000</v>
      </c>
      <c r="L121" s="139">
        <f>SUM(L122:L132)</f>
        <v>0</v>
      </c>
      <c r="M121" s="140">
        <f>SUM(M122:M132)</f>
        <v>0</v>
      </c>
      <c r="N121" s="126"/>
    </row>
    <row r="122" spans="1:30" ht="12.75" customHeight="1" x14ac:dyDescent="0.25">
      <c r="A122" s="585" t="s">
        <v>1652</v>
      </c>
      <c r="B122" s="73"/>
      <c r="C122" s="1356">
        <f>SUMIFS(Sheet1!S71_OriginalBudget,Sheet1!S71_SA34eCode,$AC:$AC,Sheet1!S71_A5CapexCode,$AD:$AD)</f>
        <v>1000000</v>
      </c>
      <c r="D122" s="1356">
        <f>SUMIFS(Sheet1!S71_SpecialAdjustedBudget,Sheet1!S71_SA34eCode,$AC:$AC,Sheet1!S71_A5CapexCode,$AD:$AD)</f>
        <v>1000000</v>
      </c>
      <c r="E122" s="1356"/>
      <c r="F122" s="1356"/>
      <c r="G122" s="1356"/>
      <c r="H122" s="1356"/>
      <c r="I122" s="1356">
        <f>SUMIFS(Sheet1!S71_AdjustmentAmount,Sheet1!S71_SA34eCode,$AC:$AC,Sheet1!S71_A5CapexCode,$AD:$AD)</f>
        <v>0</v>
      </c>
      <c r="J122" s="75">
        <f t="shared" si="26"/>
        <v>0</v>
      </c>
      <c r="K122" s="75">
        <f t="shared" si="14"/>
        <v>1000000</v>
      </c>
      <c r="L122" s="1356">
        <f>SUMIFS(Sheet1!S71_OY1AdjustedBudget,Sheet1!S71_SA34eCode,$AC:$AC,Sheet1!S71_A5CapexCode,$AD:$AD)</f>
        <v>0</v>
      </c>
      <c r="M122" s="1357">
        <f>SUMIFS(Sheet1!S71_OY2AdjustedBudget,Sheet1!S71_SA34eCode,$AC:$AC,Sheet1!S71_A5CapexCode,$AD:$AD)</f>
        <v>0</v>
      </c>
      <c r="N122" s="126"/>
      <c r="AC122" s="1336" t="s">
        <v>1823</v>
      </c>
      <c r="AD122" s="1336" t="s">
        <v>1846</v>
      </c>
    </row>
    <row r="123" spans="1:30" ht="12.75" customHeight="1" x14ac:dyDescent="0.25">
      <c r="A123" s="585" t="s">
        <v>1653</v>
      </c>
      <c r="B123" s="135"/>
      <c r="C123" s="1356">
        <f>SUMIFS(Sheet1!S71_OriginalBudget,Sheet1!S71_SA34eCode,$AC:$AC,Sheet1!S71_A5CapexCode,$AD:$AD)</f>
        <v>0</v>
      </c>
      <c r="D123" s="1356">
        <f>SUMIFS(Sheet1!S71_SpecialAdjustedBudget,Sheet1!S71_SA34eCode,$AC:$AC,Sheet1!S71_A5CapexCode,$AD:$AD)</f>
        <v>0</v>
      </c>
      <c r="E123" s="1356"/>
      <c r="F123" s="1356"/>
      <c r="G123" s="1356"/>
      <c r="H123" s="1356"/>
      <c r="I123" s="1356">
        <f>SUMIFS(Sheet1!S71_AdjustmentAmount,Sheet1!S71_SA34eCode,$AC:$AC,Sheet1!S71_A5CapexCode,$AD:$AD)</f>
        <v>0</v>
      </c>
      <c r="J123" s="75">
        <f t="shared" si="26"/>
        <v>0</v>
      </c>
      <c r="K123" s="75">
        <f t="shared" si="14"/>
        <v>0</v>
      </c>
      <c r="L123" s="1356">
        <f>SUMIFS(Sheet1!S71_OY1AdjustedBudget,Sheet1!S71_SA34eCode,$AC:$AC,Sheet1!S71_A5CapexCode,$AD:$AD)</f>
        <v>0</v>
      </c>
      <c r="M123" s="1357">
        <f>SUMIFS(Sheet1!S71_OY2AdjustedBudget,Sheet1!S71_SA34eCode,$AC:$AC,Sheet1!S71_A5CapexCode,$AD:$AD)</f>
        <v>0</v>
      </c>
      <c r="N123" s="126"/>
      <c r="AC123" s="1336" t="s">
        <v>1974</v>
      </c>
      <c r="AD123" s="1336" t="s">
        <v>1846</v>
      </c>
    </row>
    <row r="124" spans="1:30" ht="12.75" customHeight="1" x14ac:dyDescent="0.25">
      <c r="A124" s="585" t="s">
        <v>1654</v>
      </c>
      <c r="B124" s="73"/>
      <c r="C124" s="1356">
        <f>SUMIFS(Sheet1!S71_OriginalBudget,Sheet1!S71_SA34eCode,$AC:$AC,Sheet1!S71_A5CapexCode,$AD:$AD)</f>
        <v>0</v>
      </c>
      <c r="D124" s="1356">
        <f>SUMIFS(Sheet1!S71_SpecialAdjustedBudget,Sheet1!S71_SA34eCode,$AC:$AC,Sheet1!S71_A5CapexCode,$AD:$AD)</f>
        <v>0</v>
      </c>
      <c r="E124" s="1356"/>
      <c r="F124" s="1356"/>
      <c r="G124" s="1356"/>
      <c r="H124" s="1356"/>
      <c r="I124" s="1356">
        <f>SUMIFS(Sheet1!S71_AdjustmentAmount,Sheet1!S71_SA34eCode,$AC:$AC,Sheet1!S71_A5CapexCode,$AD:$AD)</f>
        <v>0</v>
      </c>
      <c r="J124" s="75">
        <f t="shared" si="26"/>
        <v>0</v>
      </c>
      <c r="K124" s="75">
        <f t="shared" si="14"/>
        <v>0</v>
      </c>
      <c r="L124" s="1356">
        <f>SUMIFS(Sheet1!S71_OY1AdjustedBudget,Sheet1!S71_SA34eCode,$AC:$AC,Sheet1!S71_A5CapexCode,$AD:$AD)</f>
        <v>0</v>
      </c>
      <c r="M124" s="1357">
        <f>SUMIFS(Sheet1!S71_OY2AdjustedBudget,Sheet1!S71_SA34eCode,$AC:$AC,Sheet1!S71_A5CapexCode,$AD:$AD)</f>
        <v>0</v>
      </c>
      <c r="N124" s="126"/>
      <c r="AC124" s="1336" t="s">
        <v>1975</v>
      </c>
      <c r="AD124" s="1336" t="s">
        <v>1846</v>
      </c>
    </row>
    <row r="125" spans="1:30" ht="12.75" customHeight="1" x14ac:dyDescent="0.25">
      <c r="A125" s="585" t="s">
        <v>1655</v>
      </c>
      <c r="B125" s="73"/>
      <c r="C125" s="1356">
        <f>SUMIFS(Sheet1!S71_OriginalBudget,Sheet1!S71_SA34eCode,$AC:$AC,Sheet1!S71_A5CapexCode,$AD:$AD)</f>
        <v>0</v>
      </c>
      <c r="D125" s="1356">
        <f>SUMIFS(Sheet1!S71_SpecialAdjustedBudget,Sheet1!S71_SA34eCode,$AC:$AC,Sheet1!S71_A5CapexCode,$AD:$AD)</f>
        <v>0</v>
      </c>
      <c r="E125" s="1356"/>
      <c r="F125" s="1356"/>
      <c r="G125" s="1356"/>
      <c r="H125" s="1356"/>
      <c r="I125" s="1356">
        <f>SUMIFS(Sheet1!S71_AdjustmentAmount,Sheet1!S71_SA34eCode,$AC:$AC,Sheet1!S71_A5CapexCode,$AD:$AD)</f>
        <v>0</v>
      </c>
      <c r="J125" s="75">
        <f t="shared" si="26"/>
        <v>0</v>
      </c>
      <c r="K125" s="75">
        <f t="shared" si="14"/>
        <v>0</v>
      </c>
      <c r="L125" s="1356">
        <f>SUMIFS(Sheet1!S71_OY1AdjustedBudget,Sheet1!S71_SA34eCode,$AC:$AC,Sheet1!S71_A5CapexCode,$AD:$AD)</f>
        <v>0</v>
      </c>
      <c r="M125" s="1357">
        <f>SUMIFS(Sheet1!S71_OY2AdjustedBudget,Sheet1!S71_SA34eCode,$AC:$AC,Sheet1!S71_A5CapexCode,$AD:$AD)</f>
        <v>0</v>
      </c>
      <c r="N125" s="126"/>
      <c r="AC125" s="1336" t="s">
        <v>1976</v>
      </c>
      <c r="AD125" s="1336" t="s">
        <v>1846</v>
      </c>
    </row>
    <row r="126" spans="1:30" ht="12.75" customHeight="1" x14ac:dyDescent="0.25">
      <c r="A126" s="585" t="s">
        <v>1656</v>
      </c>
      <c r="B126" s="73"/>
      <c r="C126" s="1356">
        <f>SUMIFS(Sheet1!S71_OriginalBudget,Sheet1!S71_SA34eCode,$AC:$AC,Sheet1!S71_A5CapexCode,$AD:$AD)</f>
        <v>0</v>
      </c>
      <c r="D126" s="1356">
        <f>SUMIFS(Sheet1!S71_SpecialAdjustedBudget,Sheet1!S71_SA34eCode,$AC:$AC,Sheet1!S71_A5CapexCode,$AD:$AD)</f>
        <v>0</v>
      </c>
      <c r="E126" s="1356"/>
      <c r="F126" s="1356"/>
      <c r="G126" s="1356"/>
      <c r="H126" s="1356"/>
      <c r="I126" s="1356">
        <f>SUMIFS(Sheet1!S71_AdjustmentAmount,Sheet1!S71_SA34eCode,$AC:$AC,Sheet1!S71_A5CapexCode,$AD:$AD)</f>
        <v>0</v>
      </c>
      <c r="J126" s="75">
        <f t="shared" si="26"/>
        <v>0</v>
      </c>
      <c r="K126" s="75">
        <f t="shared" si="14"/>
        <v>0</v>
      </c>
      <c r="L126" s="1356">
        <f>SUMIFS(Sheet1!S71_OY1AdjustedBudget,Sheet1!S71_SA34eCode,$AC:$AC,Sheet1!S71_A5CapexCode,$AD:$AD)</f>
        <v>0</v>
      </c>
      <c r="M126" s="1357">
        <f>SUMIFS(Sheet1!S71_OY2AdjustedBudget,Sheet1!S71_SA34eCode,$AC:$AC,Sheet1!S71_A5CapexCode,$AD:$AD)</f>
        <v>0</v>
      </c>
      <c r="N126" s="126"/>
      <c r="AC126" s="1336" t="s">
        <v>1977</v>
      </c>
      <c r="AD126" s="1336" t="s">
        <v>1846</v>
      </c>
    </row>
    <row r="127" spans="1:30" ht="12.75" customHeight="1" x14ac:dyDescent="0.25">
      <c r="A127" s="585" t="s">
        <v>1657</v>
      </c>
      <c r="B127" s="73"/>
      <c r="C127" s="1356">
        <f>SUMIFS(Sheet1!S71_OriginalBudget,Sheet1!S71_SA34eCode,$AC:$AC,Sheet1!S71_A5CapexCode,$AD:$AD)</f>
        <v>0</v>
      </c>
      <c r="D127" s="1356">
        <f>SUMIFS(Sheet1!S71_SpecialAdjustedBudget,Sheet1!S71_SA34eCode,$AC:$AC,Sheet1!S71_A5CapexCode,$AD:$AD)</f>
        <v>0</v>
      </c>
      <c r="E127" s="1356"/>
      <c r="F127" s="1356"/>
      <c r="G127" s="1356"/>
      <c r="H127" s="1356"/>
      <c r="I127" s="1356">
        <f>SUMIFS(Sheet1!S71_AdjustmentAmount,Sheet1!S71_SA34eCode,$AC:$AC,Sheet1!S71_A5CapexCode,$AD:$AD)</f>
        <v>0</v>
      </c>
      <c r="J127" s="75">
        <f t="shared" si="26"/>
        <v>0</v>
      </c>
      <c r="K127" s="75">
        <f t="shared" si="14"/>
        <v>0</v>
      </c>
      <c r="L127" s="1356">
        <f>SUMIFS(Sheet1!S71_OY1AdjustedBudget,Sheet1!S71_SA34eCode,$AC:$AC,Sheet1!S71_A5CapexCode,$AD:$AD)</f>
        <v>0</v>
      </c>
      <c r="M127" s="1357">
        <f>SUMIFS(Sheet1!S71_OY2AdjustedBudget,Sheet1!S71_SA34eCode,$AC:$AC,Sheet1!S71_A5CapexCode,$AD:$AD)</f>
        <v>0</v>
      </c>
      <c r="N127" s="126"/>
      <c r="AC127" s="1336" t="s">
        <v>1978</v>
      </c>
      <c r="AD127" s="1336" t="s">
        <v>1846</v>
      </c>
    </row>
    <row r="128" spans="1:30" ht="12.75" customHeight="1" x14ac:dyDescent="0.25">
      <c r="A128" s="585" t="s">
        <v>1658</v>
      </c>
      <c r="B128" s="73"/>
      <c r="C128" s="1356">
        <f>SUMIFS(Sheet1!S71_OriginalBudget,Sheet1!S71_SA34eCode,$AC:$AC,Sheet1!S71_A5CapexCode,$AD:$AD)</f>
        <v>0</v>
      </c>
      <c r="D128" s="1356">
        <f>SUMIFS(Sheet1!S71_SpecialAdjustedBudget,Sheet1!S71_SA34eCode,$AC:$AC,Sheet1!S71_A5CapexCode,$AD:$AD)</f>
        <v>0</v>
      </c>
      <c r="E128" s="1356"/>
      <c r="F128" s="1356"/>
      <c r="G128" s="1356"/>
      <c r="H128" s="1356"/>
      <c r="I128" s="1356">
        <f>SUMIFS(Sheet1!S71_AdjustmentAmount,Sheet1!S71_SA34eCode,$AC:$AC,Sheet1!S71_A5CapexCode,$AD:$AD)</f>
        <v>0</v>
      </c>
      <c r="J128" s="75">
        <f t="shared" si="26"/>
        <v>0</v>
      </c>
      <c r="K128" s="75">
        <f t="shared" si="14"/>
        <v>0</v>
      </c>
      <c r="L128" s="1356">
        <f>SUMIFS(Sheet1!S71_OY1AdjustedBudget,Sheet1!S71_SA34eCode,$AC:$AC,Sheet1!S71_A5CapexCode,$AD:$AD)</f>
        <v>0</v>
      </c>
      <c r="M128" s="1357">
        <f>SUMIFS(Sheet1!S71_OY2AdjustedBudget,Sheet1!S71_SA34eCode,$AC:$AC,Sheet1!S71_A5CapexCode,$AD:$AD)</f>
        <v>0</v>
      </c>
      <c r="N128" s="126"/>
      <c r="AC128" s="1336" t="s">
        <v>1979</v>
      </c>
      <c r="AD128" s="1336" t="s">
        <v>1846</v>
      </c>
    </row>
    <row r="129" spans="1:30" ht="12.75" customHeight="1" x14ac:dyDescent="0.25">
      <c r="A129" s="585" t="s">
        <v>1659</v>
      </c>
      <c r="B129" s="135"/>
      <c r="C129" s="1356">
        <f>SUMIFS(Sheet1!S71_OriginalBudget,Sheet1!S71_SA34eCode,$AC:$AC,Sheet1!S71_A5CapexCode,$AD:$AD)</f>
        <v>0</v>
      </c>
      <c r="D129" s="1356">
        <f>SUMIFS(Sheet1!S71_SpecialAdjustedBudget,Sheet1!S71_SA34eCode,$AC:$AC,Sheet1!S71_A5CapexCode,$AD:$AD)</f>
        <v>0</v>
      </c>
      <c r="E129" s="1356"/>
      <c r="F129" s="1356"/>
      <c r="G129" s="1356"/>
      <c r="H129" s="1356"/>
      <c r="I129" s="1356">
        <f>SUMIFS(Sheet1!S71_AdjustmentAmount,Sheet1!S71_SA34eCode,$AC:$AC,Sheet1!S71_A5CapexCode,$AD:$AD)</f>
        <v>0</v>
      </c>
      <c r="J129" s="75">
        <f t="shared" si="26"/>
        <v>0</v>
      </c>
      <c r="K129" s="75">
        <f t="shared" si="14"/>
        <v>0</v>
      </c>
      <c r="L129" s="1356">
        <f>SUMIFS(Sheet1!S71_OY1AdjustedBudget,Sheet1!S71_SA34eCode,$AC:$AC,Sheet1!S71_A5CapexCode,$AD:$AD)</f>
        <v>0</v>
      </c>
      <c r="M129" s="1357">
        <f>SUMIFS(Sheet1!S71_OY2AdjustedBudget,Sheet1!S71_SA34eCode,$AC:$AC,Sheet1!S71_A5CapexCode,$AD:$AD)</f>
        <v>0</v>
      </c>
      <c r="N129" s="126"/>
      <c r="AC129" s="1336" t="s">
        <v>1980</v>
      </c>
      <c r="AD129" s="1336" t="s">
        <v>1846</v>
      </c>
    </row>
    <row r="130" spans="1:30" ht="12.75" customHeight="1" x14ac:dyDescent="0.25">
      <c r="A130" s="585" t="s">
        <v>1660</v>
      </c>
      <c r="B130" s="73"/>
      <c r="C130" s="1356">
        <f>SUMIFS(Sheet1!S71_OriginalBudget,Sheet1!S71_SA34eCode,$AC:$AC,Sheet1!S71_A5CapexCode,$AD:$AD)</f>
        <v>0</v>
      </c>
      <c r="D130" s="1356">
        <f>SUMIFS(Sheet1!S71_SpecialAdjustedBudget,Sheet1!S71_SA34eCode,$AC:$AC,Sheet1!S71_A5CapexCode,$AD:$AD)</f>
        <v>0</v>
      </c>
      <c r="E130" s="1356"/>
      <c r="F130" s="1356"/>
      <c r="G130" s="1356"/>
      <c r="H130" s="1356"/>
      <c r="I130" s="1356">
        <f>SUMIFS(Sheet1!S71_AdjustmentAmount,Sheet1!S71_SA34eCode,$AC:$AC,Sheet1!S71_A5CapexCode,$AD:$AD)</f>
        <v>0</v>
      </c>
      <c r="J130" s="75">
        <f t="shared" si="26"/>
        <v>0</v>
      </c>
      <c r="K130" s="75">
        <f t="shared" si="14"/>
        <v>0</v>
      </c>
      <c r="L130" s="1356">
        <f>SUMIFS(Sheet1!S71_OY1AdjustedBudget,Sheet1!S71_SA34eCode,$AC:$AC,Sheet1!S71_A5CapexCode,$AD:$AD)</f>
        <v>0</v>
      </c>
      <c r="M130" s="1357">
        <f>SUMIFS(Sheet1!S71_OY2AdjustedBudget,Sheet1!S71_SA34eCode,$AC:$AC,Sheet1!S71_A5CapexCode,$AD:$AD)</f>
        <v>0</v>
      </c>
      <c r="N130" s="126"/>
      <c r="AC130" s="1336" t="s">
        <v>1981</v>
      </c>
      <c r="AD130" s="1336" t="s">
        <v>1846</v>
      </c>
    </row>
    <row r="131" spans="1:30" ht="12.75" customHeight="1" x14ac:dyDescent="0.25">
      <c r="A131" s="585" t="s">
        <v>1661</v>
      </c>
      <c r="B131" s="73"/>
      <c r="C131" s="1356">
        <f>SUMIFS(Sheet1!S71_OriginalBudget,Sheet1!S71_SA34eCode,$AC:$AC,Sheet1!S71_A5CapexCode,$AD:$AD)</f>
        <v>0</v>
      </c>
      <c r="D131" s="1356">
        <f>SUMIFS(Sheet1!S71_SpecialAdjustedBudget,Sheet1!S71_SA34eCode,$AC:$AC,Sheet1!S71_A5CapexCode,$AD:$AD)</f>
        <v>0</v>
      </c>
      <c r="E131" s="1356"/>
      <c r="F131" s="1356"/>
      <c r="G131" s="1356"/>
      <c r="H131" s="1356"/>
      <c r="I131" s="1356">
        <f>SUMIFS(Sheet1!S71_AdjustmentAmount,Sheet1!S71_SA34eCode,$AC:$AC,Sheet1!S71_A5CapexCode,$AD:$AD)</f>
        <v>0</v>
      </c>
      <c r="J131" s="75">
        <f t="shared" si="26"/>
        <v>0</v>
      </c>
      <c r="K131" s="75">
        <f t="shared" si="14"/>
        <v>0</v>
      </c>
      <c r="L131" s="1356">
        <f>SUMIFS(Sheet1!S71_OY1AdjustedBudget,Sheet1!S71_SA34eCode,$AC:$AC,Sheet1!S71_A5CapexCode,$AD:$AD)</f>
        <v>0</v>
      </c>
      <c r="M131" s="1357">
        <f>SUMIFS(Sheet1!S71_OY2AdjustedBudget,Sheet1!S71_SA34eCode,$AC:$AC,Sheet1!S71_A5CapexCode,$AD:$AD)</f>
        <v>0</v>
      </c>
      <c r="N131" s="126"/>
      <c r="AC131" s="1336" t="s">
        <v>1982</v>
      </c>
      <c r="AD131" s="1336" t="s">
        <v>1846</v>
      </c>
    </row>
    <row r="132" spans="1:30" ht="12.75" customHeight="1" x14ac:dyDescent="0.25">
      <c r="A132" s="585" t="s">
        <v>1571</v>
      </c>
      <c r="B132" s="73"/>
      <c r="C132" s="1356">
        <f>SUMIFS(Sheet1!S71_OriginalBudget,Sheet1!S71_SA34eCode,$AC:$AC,Sheet1!S71_A5CapexCode,$AD:$AD)</f>
        <v>0</v>
      </c>
      <c r="D132" s="1356">
        <f>SUMIFS(Sheet1!S71_SpecialAdjustedBudget,Sheet1!S71_SA34eCode,$AC:$AC,Sheet1!S71_A5CapexCode,$AD:$AD)</f>
        <v>0</v>
      </c>
      <c r="E132" s="1356"/>
      <c r="F132" s="1356"/>
      <c r="G132" s="1356"/>
      <c r="H132" s="1356"/>
      <c r="I132" s="1356">
        <f>SUMIFS(Sheet1!S71_AdjustmentAmount,Sheet1!S71_SA34eCode,$AC:$AC,Sheet1!S71_A5CapexCode,$AD:$AD)</f>
        <v>0</v>
      </c>
      <c r="J132" s="75">
        <f t="shared" si="26"/>
        <v>0</v>
      </c>
      <c r="K132" s="75">
        <f t="shared" si="14"/>
        <v>0</v>
      </c>
      <c r="L132" s="1356">
        <f>SUMIFS(Sheet1!S71_OY1AdjustedBudget,Sheet1!S71_SA34eCode,$AC:$AC,Sheet1!S71_A5CapexCode,$AD:$AD)</f>
        <v>0</v>
      </c>
      <c r="M132" s="1357">
        <f>SUMIFS(Sheet1!S71_OY2AdjustedBudget,Sheet1!S71_SA34eCode,$AC:$AC,Sheet1!S71_A5CapexCode,$AD:$AD)</f>
        <v>0</v>
      </c>
      <c r="N132" s="126"/>
      <c r="AC132" s="1336" t="s">
        <v>1824</v>
      </c>
      <c r="AD132" s="1336" t="s">
        <v>1846</v>
      </c>
    </row>
    <row r="133" spans="1:30" ht="10.35" customHeight="1" x14ac:dyDescent="0.25">
      <c r="A133" s="584" t="s">
        <v>621</v>
      </c>
      <c r="B133" s="73"/>
      <c r="C133" s="138">
        <f>SUM(C134:C136)</f>
        <v>0</v>
      </c>
      <c r="D133" s="139">
        <f>SUM(D134:D136)</f>
        <v>0</v>
      </c>
      <c r="E133" s="139">
        <f t="shared" ref="E133:M133" si="28">SUM(E134:E136)</f>
        <v>0</v>
      </c>
      <c r="F133" s="139">
        <f t="shared" si="28"/>
        <v>0</v>
      </c>
      <c r="G133" s="139">
        <f t="shared" si="28"/>
        <v>0</v>
      </c>
      <c r="H133" s="139">
        <f t="shared" si="28"/>
        <v>0</v>
      </c>
      <c r="I133" s="139">
        <f t="shared" si="28"/>
        <v>0</v>
      </c>
      <c r="J133" s="139">
        <f t="shared" si="26"/>
        <v>0</v>
      </c>
      <c r="K133" s="139">
        <f t="shared" si="14"/>
        <v>0</v>
      </c>
      <c r="L133" s="139">
        <f t="shared" si="28"/>
        <v>0</v>
      </c>
      <c r="M133" s="140">
        <f t="shared" si="28"/>
        <v>0</v>
      </c>
      <c r="N133" s="126"/>
    </row>
    <row r="134" spans="1:30" s="1216" customFormat="1" ht="12.75" customHeight="1" x14ac:dyDescent="0.25">
      <c r="A134" s="585" t="s">
        <v>1662</v>
      </c>
      <c r="B134" s="1213"/>
      <c r="C134" s="1356">
        <f>SUMIFS(Sheet1!S71_OriginalBudget,Sheet1!S71_SA34eCode,$AC:$AC,Sheet1!S71_A5CapexCode,$AD:$AD)</f>
        <v>0</v>
      </c>
      <c r="D134" s="1356">
        <f>SUMIFS(Sheet1!S71_SpecialAdjustedBudget,Sheet1!S71_SA34eCode,$AC:$AC,Sheet1!S71_A5CapexCode,$AD:$AD)</f>
        <v>0</v>
      </c>
      <c r="E134" s="1356"/>
      <c r="F134" s="1356"/>
      <c r="G134" s="1356"/>
      <c r="H134" s="1356"/>
      <c r="I134" s="1356">
        <f>SUMIFS(Sheet1!S71_AdjustmentAmount,Sheet1!S71_SA34eCode,$AC:$AC,Sheet1!S71_A5CapexCode,$AD:$AD)</f>
        <v>0</v>
      </c>
      <c r="J134" s="1214">
        <f t="shared" si="26"/>
        <v>0</v>
      </c>
      <c r="K134" s="1214">
        <f t="shared" si="14"/>
        <v>0</v>
      </c>
      <c r="L134" s="1356">
        <f>SUMIFS(Sheet1!S71_OY1AdjustedBudget,Sheet1!S71_SA34eCode,$AC:$AC,Sheet1!S71_A5CapexCode,$AD:$AD)</f>
        <v>0</v>
      </c>
      <c r="M134" s="1357">
        <f>SUMIFS(Sheet1!S71_OY2AdjustedBudget,Sheet1!S71_SA34eCode,$AC:$AC,Sheet1!S71_A5CapexCode,$AD:$AD)</f>
        <v>0</v>
      </c>
      <c r="N134" s="1215"/>
      <c r="AC134" s="1336" t="s">
        <v>1983</v>
      </c>
      <c r="AD134" s="1336" t="s">
        <v>1846</v>
      </c>
    </row>
    <row r="135" spans="1:30" ht="12.75" customHeight="1" x14ac:dyDescent="0.25">
      <c r="A135" s="585" t="s">
        <v>1663</v>
      </c>
      <c r="B135" s="73"/>
      <c r="C135" s="1356">
        <f>SUMIFS(Sheet1!S71_OriginalBudget,Sheet1!S71_SA34eCode,$AC:$AC,Sheet1!S71_A5CapexCode,$AD:$AD)</f>
        <v>0</v>
      </c>
      <c r="D135" s="1356">
        <f>SUMIFS(Sheet1!S71_SpecialAdjustedBudget,Sheet1!S71_SA34eCode,$AC:$AC,Sheet1!S71_A5CapexCode,$AD:$AD)</f>
        <v>0</v>
      </c>
      <c r="E135" s="1356"/>
      <c r="F135" s="1356"/>
      <c r="G135" s="1356"/>
      <c r="H135" s="1356"/>
      <c r="I135" s="1356">
        <f>SUMIFS(Sheet1!S71_AdjustmentAmount,Sheet1!S71_SA34eCode,$AC:$AC,Sheet1!S71_A5CapexCode,$AD:$AD)</f>
        <v>0</v>
      </c>
      <c r="J135" s="75">
        <f t="shared" si="26"/>
        <v>0</v>
      </c>
      <c r="K135" s="75">
        <f t="shared" si="14"/>
        <v>0</v>
      </c>
      <c r="L135" s="1356">
        <f>SUMIFS(Sheet1!S71_OY1AdjustedBudget,Sheet1!S71_SA34eCode,$AC:$AC,Sheet1!S71_A5CapexCode,$AD:$AD)</f>
        <v>0</v>
      </c>
      <c r="M135" s="1357">
        <f>SUMIFS(Sheet1!S71_OY2AdjustedBudget,Sheet1!S71_SA34eCode,$AC:$AC,Sheet1!S71_A5CapexCode,$AD:$AD)</f>
        <v>0</v>
      </c>
      <c r="N135" s="126"/>
      <c r="AC135" s="1336" t="s">
        <v>1984</v>
      </c>
      <c r="AD135" s="1336" t="s">
        <v>1846</v>
      </c>
    </row>
    <row r="136" spans="1:30" ht="12.75" customHeight="1" x14ac:dyDescent="0.25">
      <c r="A136" s="585" t="s">
        <v>1571</v>
      </c>
      <c r="B136" s="73"/>
      <c r="C136" s="1356">
        <f>SUMIFS(Sheet1!S71_OriginalBudget,Sheet1!S71_SA34eCode,$AC:$AC,Sheet1!S71_A5CapexCode,$AD:$AD)</f>
        <v>0</v>
      </c>
      <c r="D136" s="1356">
        <f>SUMIFS(Sheet1!S71_SpecialAdjustedBudget,Sheet1!S71_SA34eCode,$AC:$AC,Sheet1!S71_A5CapexCode,$AD:$AD)</f>
        <v>0</v>
      </c>
      <c r="E136" s="1356"/>
      <c r="F136" s="1356"/>
      <c r="G136" s="1356"/>
      <c r="H136" s="1356"/>
      <c r="I136" s="1356">
        <f>SUMIFS(Sheet1!S71_AdjustmentAmount,Sheet1!S71_SA34eCode,$AC:$AC,Sheet1!S71_A5CapexCode,$AD:$AD)</f>
        <v>0</v>
      </c>
      <c r="J136" s="75">
        <f t="shared" si="26"/>
        <v>0</v>
      </c>
      <c r="K136" s="75">
        <f t="shared" si="14"/>
        <v>0</v>
      </c>
      <c r="L136" s="1356">
        <f>SUMIFS(Sheet1!S71_OY1AdjustedBudget,Sheet1!S71_SA34eCode,$AC:$AC,Sheet1!S71_A5CapexCode,$AD:$AD)</f>
        <v>0</v>
      </c>
      <c r="M136" s="1357">
        <f>SUMIFS(Sheet1!S71_OY2AdjustedBudget,Sheet1!S71_SA34eCode,$AC:$AC,Sheet1!S71_A5CapexCode,$AD:$AD)</f>
        <v>0</v>
      </c>
      <c r="N136" s="126"/>
      <c r="AC136" s="1337" t="s">
        <v>1985</v>
      </c>
      <c r="AD136" s="1337" t="s">
        <v>1846</v>
      </c>
    </row>
    <row r="137" spans="1:30" ht="5.0999999999999996" customHeight="1" x14ac:dyDescent="0.25">
      <c r="A137" s="134"/>
      <c r="B137" s="73"/>
      <c r="C137" s="74"/>
      <c r="D137" s="75"/>
      <c r="E137" s="75"/>
      <c r="F137" s="75"/>
      <c r="G137" s="75"/>
      <c r="H137" s="75"/>
      <c r="I137" s="75"/>
      <c r="J137" s="75"/>
      <c r="K137" s="75"/>
      <c r="L137" s="75"/>
      <c r="M137" s="76"/>
      <c r="N137" s="126"/>
    </row>
    <row r="138" spans="1:30" ht="12.75" customHeight="1" x14ac:dyDescent="0.25">
      <c r="A138" s="484" t="s">
        <v>1664</v>
      </c>
      <c r="B138" s="73"/>
      <c r="C138" s="234">
        <f t="shared" ref="C138:M138" si="29">SUM(C139:C139)</f>
        <v>0</v>
      </c>
      <c r="D138" s="235">
        <f t="shared" si="29"/>
        <v>0</v>
      </c>
      <c r="E138" s="235">
        <f t="shared" si="29"/>
        <v>0</v>
      </c>
      <c r="F138" s="235">
        <f t="shared" si="29"/>
        <v>0</v>
      </c>
      <c r="G138" s="235">
        <f t="shared" si="29"/>
        <v>0</v>
      </c>
      <c r="H138" s="235">
        <f t="shared" si="29"/>
        <v>0</v>
      </c>
      <c r="I138" s="235">
        <f t="shared" si="29"/>
        <v>0</v>
      </c>
      <c r="J138" s="235">
        <f>SUM(E138:I138)</f>
        <v>0</v>
      </c>
      <c r="K138" s="235">
        <f t="shared" ref="K138:K169" si="30">IF(D138=0,C138+J138,D138+J138)</f>
        <v>0</v>
      </c>
      <c r="L138" s="235">
        <f t="shared" si="29"/>
        <v>0</v>
      </c>
      <c r="M138" s="236">
        <f t="shared" si="29"/>
        <v>0</v>
      </c>
      <c r="N138" s="126"/>
    </row>
    <row r="139" spans="1:30" ht="12.75" customHeight="1" x14ac:dyDescent="0.25">
      <c r="A139" s="584" t="s">
        <v>1664</v>
      </c>
      <c r="B139" s="73"/>
      <c r="C139" s="1356">
        <f>SUMIFS(Sheet1!S71_OriginalBudget,Sheet1!S71_SA34eCode,$AC:$AC,Sheet1!S71_A5CapexCode,$AD:$AD)</f>
        <v>0</v>
      </c>
      <c r="D139" s="1356">
        <f>SUMIFS(Sheet1!S71_SpecialAdjustedBudget,Sheet1!S71_SA34eCode,$AC:$AC,Sheet1!S71_A5CapexCode,$AD:$AD)</f>
        <v>0</v>
      </c>
      <c r="E139" s="1356"/>
      <c r="F139" s="1356"/>
      <c r="G139" s="1356"/>
      <c r="H139" s="1356"/>
      <c r="I139" s="1356">
        <f>SUMIFS(Sheet1!S71_AdjustmentAmount,Sheet1!S71_SA34eCode,$AC:$AC,Sheet1!S71_A5CapexCode,$AD:$AD)</f>
        <v>0</v>
      </c>
      <c r="J139" s="75">
        <f>SUM(E139:I139)</f>
        <v>0</v>
      </c>
      <c r="K139" s="75">
        <f t="shared" si="30"/>
        <v>0</v>
      </c>
      <c r="L139" s="1356">
        <f>SUMIFS(Sheet1!S71_OY1AdjustedBudget,Sheet1!S71_SA34eCode,$AC:$AC,Sheet1!S71_A5CapexCode,$AD:$AD)</f>
        <v>0</v>
      </c>
      <c r="M139" s="1357">
        <f>SUMIFS(Sheet1!S71_OY2AdjustedBudget,Sheet1!S71_SA34eCode,$AC:$AC,Sheet1!S71_A5CapexCode,$AD:$AD)</f>
        <v>0</v>
      </c>
      <c r="N139" s="126"/>
      <c r="AC139" s="1336" t="s">
        <v>1986</v>
      </c>
      <c r="AD139" s="1336" t="s">
        <v>1846</v>
      </c>
    </row>
    <row r="140" spans="1:30" ht="5.0999999999999996" customHeight="1" x14ac:dyDescent="0.25">
      <c r="A140" s="1217"/>
      <c r="B140" s="73"/>
      <c r="C140" s="74"/>
      <c r="D140" s="75"/>
      <c r="E140" s="75"/>
      <c r="F140" s="75"/>
      <c r="G140" s="75"/>
      <c r="H140" s="75"/>
      <c r="I140" s="75"/>
      <c r="J140" s="75"/>
      <c r="K140" s="75"/>
      <c r="L140" s="75"/>
      <c r="M140" s="76"/>
      <c r="N140" s="126"/>
    </row>
    <row r="141" spans="1:30" ht="12.75" customHeight="1" x14ac:dyDescent="0.25">
      <c r="A141" s="484" t="s">
        <v>1665</v>
      </c>
      <c r="B141" s="73"/>
      <c r="C141" s="234">
        <f>SUM(C142:C143)</f>
        <v>0</v>
      </c>
      <c r="D141" s="235">
        <f>SUM(D142:D143)</f>
        <v>0</v>
      </c>
      <c r="E141" s="235">
        <f t="shared" ref="E141:M141" si="31">SUM(E142:E143)</f>
        <v>0</v>
      </c>
      <c r="F141" s="235">
        <f t="shared" si="31"/>
        <v>0</v>
      </c>
      <c r="G141" s="235">
        <f t="shared" si="31"/>
        <v>0</v>
      </c>
      <c r="H141" s="235">
        <f t="shared" si="31"/>
        <v>0</v>
      </c>
      <c r="I141" s="235">
        <f t="shared" si="31"/>
        <v>0</v>
      </c>
      <c r="J141" s="235">
        <f t="shared" ref="J141:J149" si="32">SUM(E141:I141)</f>
        <v>0</v>
      </c>
      <c r="K141" s="235">
        <f t="shared" si="30"/>
        <v>0</v>
      </c>
      <c r="L141" s="235">
        <f t="shared" si="31"/>
        <v>0</v>
      </c>
      <c r="M141" s="236">
        <f t="shared" si="31"/>
        <v>0</v>
      </c>
      <c r="N141" s="126"/>
    </row>
    <row r="142" spans="1:30" ht="12.75" customHeight="1" x14ac:dyDescent="0.25">
      <c r="A142" s="586" t="s">
        <v>1666</v>
      </c>
      <c r="B142" s="73"/>
      <c r="C142" s="1356">
        <f>SUMIFS(Sheet1!S71_OriginalBudget,Sheet1!S71_SA34eCode,$AC:$AC,Sheet1!S71_A5CapexCode,$AD:$AD)</f>
        <v>0</v>
      </c>
      <c r="D142" s="1356">
        <f>SUMIFS(Sheet1!S71_SpecialAdjustedBudget,Sheet1!S71_SA34eCode,$AC:$AC,Sheet1!S71_A5CapexCode,$AD:$AD)</f>
        <v>0</v>
      </c>
      <c r="E142" s="1356"/>
      <c r="F142" s="1356"/>
      <c r="G142" s="1356"/>
      <c r="H142" s="1356"/>
      <c r="I142" s="1356">
        <f>SUMIFS(Sheet1!S71_AdjustmentAmount,Sheet1!S71_SA34eCode,$AC:$AC,Sheet1!S71_A5CapexCode,$AD:$AD)</f>
        <v>0</v>
      </c>
      <c r="J142" s="75">
        <f t="shared" si="32"/>
        <v>0</v>
      </c>
      <c r="K142" s="75">
        <f t="shared" si="30"/>
        <v>0</v>
      </c>
      <c r="L142" s="1356">
        <f>SUMIFS(Sheet1!S71_OY1AdjustedBudget,Sheet1!S71_SA34eCode,$AC:$AC,Sheet1!S71_A5CapexCode,$AD:$AD)</f>
        <v>0</v>
      </c>
      <c r="M142" s="1357">
        <f>SUMIFS(Sheet1!S71_OY2AdjustedBudget,Sheet1!S71_SA34eCode,$AC:$AC,Sheet1!S71_A5CapexCode,$AD:$AD)</f>
        <v>0</v>
      </c>
      <c r="N142" s="126"/>
      <c r="AC142" s="1336" t="s">
        <v>1987</v>
      </c>
      <c r="AD142" s="1336" t="s">
        <v>1846</v>
      </c>
    </row>
    <row r="143" spans="1:30" ht="10.35" customHeight="1" x14ac:dyDescent="0.25">
      <c r="A143" s="586" t="s">
        <v>1667</v>
      </c>
      <c r="B143" s="73"/>
      <c r="C143" s="138">
        <f>SUM(C144:C149)</f>
        <v>0</v>
      </c>
      <c r="D143" s="139">
        <f>SUM(D144:D149)</f>
        <v>0</v>
      </c>
      <c r="E143" s="139">
        <f t="shared" ref="E143:M143" si="33">SUM(E144:E149)</f>
        <v>0</v>
      </c>
      <c r="F143" s="139">
        <f t="shared" si="33"/>
        <v>0</v>
      </c>
      <c r="G143" s="139">
        <f t="shared" si="33"/>
        <v>0</v>
      </c>
      <c r="H143" s="139">
        <f t="shared" si="33"/>
        <v>0</v>
      </c>
      <c r="I143" s="139">
        <f t="shared" si="33"/>
        <v>0</v>
      </c>
      <c r="J143" s="139">
        <f t="shared" si="32"/>
        <v>0</v>
      </c>
      <c r="K143" s="139">
        <f t="shared" si="30"/>
        <v>0</v>
      </c>
      <c r="L143" s="139">
        <f t="shared" si="33"/>
        <v>0</v>
      </c>
      <c r="M143" s="140">
        <f t="shared" si="33"/>
        <v>0</v>
      </c>
      <c r="N143" s="126"/>
    </row>
    <row r="144" spans="1:30" ht="12.75" customHeight="1" x14ac:dyDescent="0.25">
      <c r="A144" s="585" t="s">
        <v>1668</v>
      </c>
      <c r="B144" s="73"/>
      <c r="C144" s="1356">
        <f>SUMIFS(Sheet1!S71_OriginalBudget,Sheet1!S71_SA34eCode,$AC:$AC,Sheet1!S71_A5CapexCode,$AD:$AD)</f>
        <v>0</v>
      </c>
      <c r="D144" s="1356">
        <f>SUMIFS(Sheet1!S71_SpecialAdjustedBudget,Sheet1!S71_SA34eCode,$AC:$AC,Sheet1!S71_A5CapexCode,$AD:$AD)</f>
        <v>0</v>
      </c>
      <c r="E144" s="1356"/>
      <c r="F144" s="1356"/>
      <c r="G144" s="1356"/>
      <c r="H144" s="1356"/>
      <c r="I144" s="1356">
        <f>SUMIFS(Sheet1!S71_AdjustmentAmount,Sheet1!S71_SA34eCode,$AC:$AC,Sheet1!S71_A5CapexCode,$AD:$AD)</f>
        <v>0</v>
      </c>
      <c r="J144" s="75">
        <f t="shared" si="32"/>
        <v>0</v>
      </c>
      <c r="K144" s="75">
        <f t="shared" si="30"/>
        <v>0</v>
      </c>
      <c r="L144" s="1356">
        <f>SUMIFS(Sheet1!S71_OY1AdjustedBudget,Sheet1!S71_SA34eCode,$AC:$AC,Sheet1!S71_A5CapexCode,$AD:$AD)</f>
        <v>0</v>
      </c>
      <c r="M144" s="1357">
        <f>SUMIFS(Sheet1!S71_OY2AdjustedBudget,Sheet1!S71_SA34eCode,$AC:$AC,Sheet1!S71_A5CapexCode,$AD:$AD)</f>
        <v>0</v>
      </c>
      <c r="N144" s="126"/>
      <c r="AC144" s="1336" t="s">
        <v>1825</v>
      </c>
      <c r="AD144" s="1336" t="s">
        <v>1846</v>
      </c>
    </row>
    <row r="145" spans="1:30" ht="12.75" customHeight="1" x14ac:dyDescent="0.25">
      <c r="A145" s="585" t="s">
        <v>1669</v>
      </c>
      <c r="B145" s="135"/>
      <c r="C145" s="1356">
        <f>SUMIFS(Sheet1!S71_OriginalBudget,Sheet1!S71_SA34eCode,$AC:$AC,Sheet1!S71_A5CapexCode,$AD:$AD)</f>
        <v>0</v>
      </c>
      <c r="D145" s="1356">
        <f>SUMIFS(Sheet1!S71_SpecialAdjustedBudget,Sheet1!S71_SA34eCode,$AC:$AC,Sheet1!S71_A5CapexCode,$AD:$AD)</f>
        <v>0</v>
      </c>
      <c r="E145" s="1356"/>
      <c r="F145" s="1356"/>
      <c r="G145" s="1356"/>
      <c r="H145" s="1356"/>
      <c r="I145" s="1356">
        <f>SUMIFS(Sheet1!S71_AdjustmentAmount,Sheet1!S71_SA34eCode,$AC:$AC,Sheet1!S71_A5CapexCode,$AD:$AD)</f>
        <v>0</v>
      </c>
      <c r="J145" s="75">
        <f t="shared" si="32"/>
        <v>0</v>
      </c>
      <c r="K145" s="75">
        <f t="shared" si="30"/>
        <v>0</v>
      </c>
      <c r="L145" s="1356">
        <f>SUMIFS(Sheet1!S71_OY1AdjustedBudget,Sheet1!S71_SA34eCode,$AC:$AC,Sheet1!S71_A5CapexCode,$AD:$AD)</f>
        <v>0</v>
      </c>
      <c r="M145" s="1357">
        <f>SUMIFS(Sheet1!S71_OY2AdjustedBudget,Sheet1!S71_SA34eCode,$AC:$AC,Sheet1!S71_A5CapexCode,$AD:$AD)</f>
        <v>0</v>
      </c>
      <c r="N145" s="126"/>
      <c r="AC145" s="1336" t="s">
        <v>1988</v>
      </c>
      <c r="AD145" s="1336" t="s">
        <v>1846</v>
      </c>
    </row>
    <row r="146" spans="1:30" ht="12.75" customHeight="1" x14ac:dyDescent="0.25">
      <c r="A146" s="585" t="s">
        <v>1670</v>
      </c>
      <c r="B146" s="73"/>
      <c r="C146" s="1356">
        <f>SUMIFS(Sheet1!S71_OriginalBudget,Sheet1!S71_SA34eCode,$AC:$AC,Sheet1!S71_A5CapexCode,$AD:$AD)</f>
        <v>0</v>
      </c>
      <c r="D146" s="1356">
        <f>SUMIFS(Sheet1!S71_SpecialAdjustedBudget,Sheet1!S71_SA34eCode,$AC:$AC,Sheet1!S71_A5CapexCode,$AD:$AD)</f>
        <v>0</v>
      </c>
      <c r="E146" s="1356"/>
      <c r="F146" s="1356"/>
      <c r="G146" s="1356"/>
      <c r="H146" s="1356"/>
      <c r="I146" s="1356">
        <f>SUMIFS(Sheet1!S71_AdjustmentAmount,Sheet1!S71_SA34eCode,$AC:$AC,Sheet1!S71_A5CapexCode,$AD:$AD)</f>
        <v>0</v>
      </c>
      <c r="J146" s="75">
        <f t="shared" si="32"/>
        <v>0</v>
      </c>
      <c r="K146" s="75">
        <f t="shared" si="30"/>
        <v>0</v>
      </c>
      <c r="L146" s="1356">
        <f>SUMIFS(Sheet1!S71_OY1AdjustedBudget,Sheet1!S71_SA34eCode,$AC:$AC,Sheet1!S71_A5CapexCode,$AD:$AD)</f>
        <v>0</v>
      </c>
      <c r="M146" s="1357">
        <f>SUMIFS(Sheet1!S71_OY2AdjustedBudget,Sheet1!S71_SA34eCode,$AC:$AC,Sheet1!S71_A5CapexCode,$AD:$AD)</f>
        <v>0</v>
      </c>
      <c r="N146" s="126"/>
      <c r="AC146" s="1336" t="s">
        <v>1989</v>
      </c>
      <c r="AD146" s="1336" t="s">
        <v>1846</v>
      </c>
    </row>
    <row r="147" spans="1:30" ht="12.75" customHeight="1" x14ac:dyDescent="0.25">
      <c r="A147" s="585" t="s">
        <v>1671</v>
      </c>
      <c r="B147" s="73"/>
      <c r="C147" s="1356">
        <f>SUMIFS(Sheet1!S71_OriginalBudget,Sheet1!S71_SA34eCode,$AC:$AC,Sheet1!S71_A5CapexCode,$AD:$AD)</f>
        <v>0</v>
      </c>
      <c r="D147" s="1356">
        <f>SUMIFS(Sheet1!S71_SpecialAdjustedBudget,Sheet1!S71_SA34eCode,$AC:$AC,Sheet1!S71_A5CapexCode,$AD:$AD)</f>
        <v>0</v>
      </c>
      <c r="E147" s="1356"/>
      <c r="F147" s="1356"/>
      <c r="G147" s="1356"/>
      <c r="H147" s="1356"/>
      <c r="I147" s="1356">
        <f>SUMIFS(Sheet1!S71_AdjustmentAmount,Sheet1!S71_SA34eCode,$AC:$AC,Sheet1!S71_A5CapexCode,$AD:$AD)</f>
        <v>0</v>
      </c>
      <c r="J147" s="75">
        <f t="shared" si="32"/>
        <v>0</v>
      </c>
      <c r="K147" s="75">
        <f t="shared" si="30"/>
        <v>0</v>
      </c>
      <c r="L147" s="1356">
        <f>SUMIFS(Sheet1!S71_OY1AdjustedBudget,Sheet1!S71_SA34eCode,$AC:$AC,Sheet1!S71_A5CapexCode,$AD:$AD)</f>
        <v>0</v>
      </c>
      <c r="M147" s="1357">
        <f>SUMIFS(Sheet1!S71_OY2AdjustedBudget,Sheet1!S71_SA34eCode,$AC:$AC,Sheet1!S71_A5CapexCode,$AD:$AD)</f>
        <v>0</v>
      </c>
      <c r="N147" s="126"/>
      <c r="AC147" s="1336" t="s">
        <v>1990</v>
      </c>
      <c r="AD147" s="1336" t="s">
        <v>1846</v>
      </c>
    </row>
    <row r="148" spans="1:30" ht="12.75" customHeight="1" x14ac:dyDescent="0.25">
      <c r="A148" s="585" t="s">
        <v>1672</v>
      </c>
      <c r="B148" s="73"/>
      <c r="C148" s="1356">
        <f>SUMIFS(Sheet1!S71_OriginalBudget,Sheet1!S71_SA34eCode,$AC:$AC,Sheet1!S71_A5CapexCode,$AD:$AD)</f>
        <v>0</v>
      </c>
      <c r="D148" s="1356">
        <f>SUMIFS(Sheet1!S71_SpecialAdjustedBudget,Sheet1!S71_SA34eCode,$AC:$AC,Sheet1!S71_A5CapexCode,$AD:$AD)</f>
        <v>0</v>
      </c>
      <c r="E148" s="1356"/>
      <c r="F148" s="1356"/>
      <c r="G148" s="1356"/>
      <c r="H148" s="1356"/>
      <c r="I148" s="1356">
        <f>SUMIFS(Sheet1!S71_AdjustmentAmount,Sheet1!S71_SA34eCode,$AC:$AC,Sheet1!S71_A5CapexCode,$AD:$AD)</f>
        <v>0</v>
      </c>
      <c r="J148" s="75">
        <f t="shared" si="32"/>
        <v>0</v>
      </c>
      <c r="K148" s="75">
        <f t="shared" si="30"/>
        <v>0</v>
      </c>
      <c r="L148" s="1356">
        <f>SUMIFS(Sheet1!S71_OY1AdjustedBudget,Sheet1!S71_SA34eCode,$AC:$AC,Sheet1!S71_A5CapexCode,$AD:$AD)</f>
        <v>0</v>
      </c>
      <c r="M148" s="1357">
        <f>SUMIFS(Sheet1!S71_OY2AdjustedBudget,Sheet1!S71_SA34eCode,$AC:$AC,Sheet1!S71_A5CapexCode,$AD:$AD)</f>
        <v>0</v>
      </c>
      <c r="N148" s="126"/>
      <c r="AC148" s="1336" t="s">
        <v>1991</v>
      </c>
      <c r="AD148" s="1336" t="s">
        <v>1846</v>
      </c>
    </row>
    <row r="149" spans="1:30" ht="12.75" customHeight="1" x14ac:dyDescent="0.25">
      <c r="A149" s="585" t="s">
        <v>1673</v>
      </c>
      <c r="B149" s="73"/>
      <c r="C149" s="1356">
        <f>SUMIFS(Sheet1!S71_OriginalBudget,Sheet1!S71_SA34eCode,$AC:$AC,Sheet1!S71_A5CapexCode,$AD:$AD)</f>
        <v>0</v>
      </c>
      <c r="D149" s="1356">
        <f>SUMIFS(Sheet1!S71_SpecialAdjustedBudget,Sheet1!S71_SA34eCode,$AC:$AC,Sheet1!S71_A5CapexCode,$AD:$AD)</f>
        <v>0</v>
      </c>
      <c r="E149" s="1356"/>
      <c r="F149" s="1356"/>
      <c r="G149" s="1356"/>
      <c r="H149" s="1356"/>
      <c r="I149" s="1356">
        <f>SUMIFS(Sheet1!S71_AdjustmentAmount,Sheet1!S71_SA34eCode,$AC:$AC,Sheet1!S71_A5CapexCode,$AD:$AD)</f>
        <v>0</v>
      </c>
      <c r="J149" s="75">
        <f t="shared" si="32"/>
        <v>0</v>
      </c>
      <c r="K149" s="75">
        <f t="shared" si="30"/>
        <v>0</v>
      </c>
      <c r="L149" s="1356">
        <f>SUMIFS(Sheet1!S71_OY1AdjustedBudget,Sheet1!S71_SA34eCode,$AC:$AC,Sheet1!S71_A5CapexCode,$AD:$AD)</f>
        <v>0</v>
      </c>
      <c r="M149" s="1357">
        <f>SUMIFS(Sheet1!S71_OY2AdjustedBudget,Sheet1!S71_SA34eCode,$AC:$AC,Sheet1!S71_A5CapexCode,$AD:$AD)</f>
        <v>0</v>
      </c>
      <c r="N149" s="126"/>
      <c r="AC149" s="1336" t="s">
        <v>1992</v>
      </c>
      <c r="AD149" s="1336" t="s">
        <v>1846</v>
      </c>
    </row>
    <row r="150" spans="1:30" ht="5.0999999999999996" customHeight="1" x14ac:dyDescent="0.25">
      <c r="A150" s="1217"/>
      <c r="B150" s="73"/>
      <c r="C150" s="74"/>
      <c r="D150" s="75"/>
      <c r="E150" s="75"/>
      <c r="F150" s="75"/>
      <c r="G150" s="75"/>
      <c r="H150" s="75"/>
      <c r="I150" s="75"/>
      <c r="J150" s="75"/>
      <c r="K150" s="75"/>
      <c r="L150" s="75"/>
      <c r="M150" s="76"/>
      <c r="N150" s="126"/>
    </row>
    <row r="151" spans="1:30" ht="12.75" customHeight="1" x14ac:dyDescent="0.25">
      <c r="A151" s="484" t="s">
        <v>1674</v>
      </c>
      <c r="B151" s="73"/>
      <c r="C151" s="234">
        <f t="shared" ref="C151:M151" si="34">SUM(C152:C152)</f>
        <v>0</v>
      </c>
      <c r="D151" s="235">
        <f t="shared" si="34"/>
        <v>0</v>
      </c>
      <c r="E151" s="235">
        <f t="shared" si="34"/>
        <v>0</v>
      </c>
      <c r="F151" s="235">
        <f t="shared" si="34"/>
        <v>0</v>
      </c>
      <c r="G151" s="235">
        <f t="shared" si="34"/>
        <v>0</v>
      </c>
      <c r="H151" s="235">
        <f t="shared" si="34"/>
        <v>0</v>
      </c>
      <c r="I151" s="235">
        <f t="shared" si="34"/>
        <v>0</v>
      </c>
      <c r="J151" s="235">
        <f>SUM(E151:I151)</f>
        <v>0</v>
      </c>
      <c r="K151" s="235">
        <f t="shared" si="30"/>
        <v>0</v>
      </c>
      <c r="L151" s="235">
        <f t="shared" si="34"/>
        <v>0</v>
      </c>
      <c r="M151" s="236">
        <f t="shared" si="34"/>
        <v>0</v>
      </c>
      <c r="N151" s="126"/>
    </row>
    <row r="152" spans="1:30" ht="12.75" customHeight="1" x14ac:dyDescent="0.25">
      <c r="A152" s="584" t="s">
        <v>1674</v>
      </c>
      <c r="B152" s="73"/>
      <c r="C152" s="1356">
        <f>SUMIFS(Sheet1!S71_OriginalBudget,Sheet1!S71_SA34eCode,$AC:$AC,Sheet1!S71_A5CapexCode,$AD:$AD)</f>
        <v>0</v>
      </c>
      <c r="D152" s="1356">
        <f>SUMIFS(Sheet1!S71_SpecialAdjustedBudget,Sheet1!S71_SA34eCode,$AC:$AC,Sheet1!S71_A5CapexCode,$AD:$AD)</f>
        <v>0</v>
      </c>
      <c r="E152" s="1356"/>
      <c r="F152" s="1356"/>
      <c r="G152" s="1356"/>
      <c r="H152" s="1356"/>
      <c r="I152" s="1356">
        <f>SUMIFS(Sheet1!S71_AdjustmentAmount,Sheet1!S71_SA34eCode,$AC:$AC,Sheet1!S71_A5CapexCode,$AD:$AD)</f>
        <v>0</v>
      </c>
      <c r="J152" s="75">
        <f>SUM(E152:I152)</f>
        <v>0</v>
      </c>
      <c r="K152" s="75">
        <f t="shared" si="30"/>
        <v>0</v>
      </c>
      <c r="L152" s="1356">
        <f>SUMIFS(Sheet1!S71_OY1AdjustedBudget,Sheet1!S71_SA34eCode,$AC:$AC,Sheet1!S71_A5CapexCode,$AD:$AD)</f>
        <v>0</v>
      </c>
      <c r="M152" s="1357">
        <f>SUMIFS(Sheet1!S71_OY2AdjustedBudget,Sheet1!S71_SA34eCode,$AC:$AC,Sheet1!S71_A5CapexCode,$AD:$AD)</f>
        <v>0</v>
      </c>
      <c r="N152" s="126"/>
      <c r="AC152" s="1336" t="s">
        <v>1993</v>
      </c>
      <c r="AD152" s="1336" t="s">
        <v>1846</v>
      </c>
    </row>
    <row r="153" spans="1:30" ht="5.0999999999999996" customHeight="1" x14ac:dyDescent="0.25">
      <c r="A153" s="1217"/>
      <c r="B153" s="73"/>
      <c r="C153" s="74"/>
      <c r="D153" s="75"/>
      <c r="E153" s="75"/>
      <c r="F153" s="75"/>
      <c r="G153" s="75"/>
      <c r="H153" s="75"/>
      <c r="I153" s="75"/>
      <c r="J153" s="75"/>
      <c r="K153" s="75"/>
      <c r="L153" s="75"/>
      <c r="M153" s="76"/>
      <c r="N153" s="126"/>
    </row>
    <row r="154" spans="1:30" ht="12.75" customHeight="1" x14ac:dyDescent="0.25">
      <c r="A154" s="484" t="s">
        <v>1675</v>
      </c>
      <c r="B154" s="73"/>
      <c r="C154" s="234">
        <f t="shared" ref="C154:M154" si="35">SUM(C155:C155)</f>
        <v>0</v>
      </c>
      <c r="D154" s="235">
        <f t="shared" si="35"/>
        <v>0</v>
      </c>
      <c r="E154" s="235">
        <f t="shared" si="35"/>
        <v>0</v>
      </c>
      <c r="F154" s="235">
        <f t="shared" si="35"/>
        <v>0</v>
      </c>
      <c r="G154" s="235">
        <f t="shared" si="35"/>
        <v>0</v>
      </c>
      <c r="H154" s="235">
        <f t="shared" si="35"/>
        <v>0</v>
      </c>
      <c r="I154" s="235">
        <f t="shared" si="35"/>
        <v>0</v>
      </c>
      <c r="J154" s="235">
        <f>SUM(E154:I154)</f>
        <v>0</v>
      </c>
      <c r="K154" s="235">
        <f t="shared" si="30"/>
        <v>0</v>
      </c>
      <c r="L154" s="235">
        <f t="shared" si="35"/>
        <v>0</v>
      </c>
      <c r="M154" s="236">
        <f t="shared" si="35"/>
        <v>0</v>
      </c>
      <c r="N154" s="126"/>
    </row>
    <row r="155" spans="1:30" ht="12.75" customHeight="1" x14ac:dyDescent="0.25">
      <c r="A155" s="584" t="s">
        <v>1675</v>
      </c>
      <c r="B155" s="73"/>
      <c r="C155" s="1356">
        <f>SUMIFS(Sheet1!S71_OriginalBudget,Sheet1!S71_SA34eCode,$AC:$AC,Sheet1!S71_A5CapexCode,$AD:$AD)</f>
        <v>0</v>
      </c>
      <c r="D155" s="1356">
        <f>SUMIFS(Sheet1!S71_SpecialAdjustedBudget,Sheet1!S71_SA34eCode,$AC:$AC,Sheet1!S71_A5CapexCode,$AD:$AD)</f>
        <v>0</v>
      </c>
      <c r="E155" s="1356"/>
      <c r="F155" s="1356"/>
      <c r="G155" s="1356"/>
      <c r="H155" s="1356"/>
      <c r="I155" s="1356">
        <f>SUMIFS(Sheet1!S71_AdjustmentAmount,Sheet1!S71_SA34eCode,$AC:$AC,Sheet1!S71_A5CapexCode,$AD:$AD)</f>
        <v>0</v>
      </c>
      <c r="J155" s="75">
        <f>SUM(E155:I155)</f>
        <v>0</v>
      </c>
      <c r="K155" s="75">
        <f t="shared" si="30"/>
        <v>0</v>
      </c>
      <c r="L155" s="1356">
        <f>SUMIFS(Sheet1!S71_OY1AdjustedBudget,Sheet1!S71_SA34eCode,$AC:$AC,Sheet1!S71_A5CapexCode,$AD:$AD)</f>
        <v>0</v>
      </c>
      <c r="M155" s="1357">
        <f>SUMIFS(Sheet1!S71_OY2AdjustedBudget,Sheet1!S71_SA34eCode,$AC:$AC,Sheet1!S71_A5CapexCode,$AD:$AD)</f>
        <v>0</v>
      </c>
      <c r="N155" s="126"/>
      <c r="AC155" s="1336" t="s">
        <v>1994</v>
      </c>
      <c r="AD155" s="1336" t="s">
        <v>1846</v>
      </c>
    </row>
    <row r="156" spans="1:30" ht="5.0999999999999996" customHeight="1" x14ac:dyDescent="0.25">
      <c r="A156" s="1217"/>
      <c r="B156" s="73"/>
      <c r="C156" s="74"/>
      <c r="D156" s="75"/>
      <c r="E156" s="75"/>
      <c r="F156" s="75"/>
      <c r="G156" s="75"/>
      <c r="H156" s="75"/>
      <c r="I156" s="75"/>
      <c r="J156" s="75"/>
      <c r="K156" s="75"/>
      <c r="L156" s="75"/>
      <c r="M156" s="76"/>
      <c r="N156" s="126"/>
    </row>
    <row r="157" spans="1:30" ht="12.75" customHeight="1" x14ac:dyDescent="0.25">
      <c r="A157" s="484" t="s">
        <v>1676</v>
      </c>
      <c r="B157" s="73"/>
      <c r="C157" s="234">
        <f t="shared" ref="C157:M157" si="36">SUM(C158:C158)</f>
        <v>0</v>
      </c>
      <c r="D157" s="235">
        <f t="shared" si="36"/>
        <v>0</v>
      </c>
      <c r="E157" s="235">
        <f t="shared" si="36"/>
        <v>0</v>
      </c>
      <c r="F157" s="235">
        <f t="shared" si="36"/>
        <v>0</v>
      </c>
      <c r="G157" s="235">
        <f t="shared" si="36"/>
        <v>0</v>
      </c>
      <c r="H157" s="235">
        <f t="shared" si="36"/>
        <v>0</v>
      </c>
      <c r="I157" s="235">
        <f t="shared" si="36"/>
        <v>0</v>
      </c>
      <c r="J157" s="235">
        <f>SUM(E157:I157)</f>
        <v>0</v>
      </c>
      <c r="K157" s="235">
        <f t="shared" si="30"/>
        <v>0</v>
      </c>
      <c r="L157" s="235">
        <f t="shared" si="36"/>
        <v>0</v>
      </c>
      <c r="M157" s="236">
        <f t="shared" si="36"/>
        <v>0</v>
      </c>
      <c r="N157" s="126"/>
    </row>
    <row r="158" spans="1:30" ht="12.75" customHeight="1" x14ac:dyDescent="0.25">
      <c r="A158" s="584" t="s">
        <v>1676</v>
      </c>
      <c r="B158" s="73"/>
      <c r="C158" s="1356">
        <f>SUMIFS(Sheet1!S71_OriginalBudget,Sheet1!S71_SA34eCode,$AC:$AC,Sheet1!S71_A5CapexCode,$AD:$AD)</f>
        <v>0</v>
      </c>
      <c r="D158" s="1356">
        <f>SUMIFS(Sheet1!S71_SpecialAdjustedBudget,Sheet1!S71_SA34eCode,$AC:$AC,Sheet1!S71_A5CapexCode,$AD:$AD)</f>
        <v>0</v>
      </c>
      <c r="E158" s="1356"/>
      <c r="F158" s="1356"/>
      <c r="G158" s="1356"/>
      <c r="H158" s="1356"/>
      <c r="I158" s="1356">
        <f>SUMIFS(Sheet1!S71_AdjustmentAmount,Sheet1!S71_SA34eCode,$AC:$AC,Sheet1!S71_A5CapexCode,$AD:$AD)</f>
        <v>0</v>
      </c>
      <c r="J158" s="75">
        <f>SUM(E158:I158)</f>
        <v>0</v>
      </c>
      <c r="K158" s="75">
        <f t="shared" si="30"/>
        <v>0</v>
      </c>
      <c r="L158" s="1356">
        <f>SUMIFS(Sheet1!S71_OY1AdjustedBudget,Sheet1!S71_SA34eCode,$AC:$AC,Sheet1!S71_A5CapexCode,$AD:$AD)</f>
        <v>0</v>
      </c>
      <c r="M158" s="1357">
        <f>SUMIFS(Sheet1!S71_OY2AdjustedBudget,Sheet1!S71_SA34eCode,$AC:$AC,Sheet1!S71_A5CapexCode,$AD:$AD)</f>
        <v>0</v>
      </c>
      <c r="N158" s="126"/>
      <c r="AC158" s="1336" t="s">
        <v>1995</v>
      </c>
      <c r="AD158" s="1336" t="s">
        <v>1846</v>
      </c>
    </row>
    <row r="159" spans="1:30" ht="5.0999999999999996" customHeight="1" x14ac:dyDescent="0.25">
      <c r="A159" s="1217"/>
      <c r="B159" s="73"/>
      <c r="C159" s="74"/>
      <c r="D159" s="75"/>
      <c r="E159" s="75"/>
      <c r="F159" s="75"/>
      <c r="G159" s="75"/>
      <c r="H159" s="75"/>
      <c r="I159" s="75"/>
      <c r="J159" s="75"/>
      <c r="K159" s="75"/>
      <c r="L159" s="75"/>
      <c r="M159" s="76"/>
      <c r="N159" s="126"/>
    </row>
    <row r="160" spans="1:30" ht="12.75" customHeight="1" x14ac:dyDescent="0.25">
      <c r="A160" s="484" t="s">
        <v>1677</v>
      </c>
      <c r="B160" s="73"/>
      <c r="C160" s="234">
        <f t="shared" ref="C160:M160" si="37">SUM(C161:C161)</f>
        <v>0</v>
      </c>
      <c r="D160" s="235">
        <f t="shared" si="37"/>
        <v>0</v>
      </c>
      <c r="E160" s="235">
        <f t="shared" si="37"/>
        <v>0</v>
      </c>
      <c r="F160" s="235">
        <f t="shared" si="37"/>
        <v>0</v>
      </c>
      <c r="G160" s="235">
        <f t="shared" si="37"/>
        <v>0</v>
      </c>
      <c r="H160" s="235">
        <f t="shared" si="37"/>
        <v>0</v>
      </c>
      <c r="I160" s="235">
        <f t="shared" si="37"/>
        <v>0</v>
      </c>
      <c r="J160" s="235">
        <f>SUM(E160:I160)</f>
        <v>0</v>
      </c>
      <c r="K160" s="235">
        <f t="shared" si="30"/>
        <v>0</v>
      </c>
      <c r="L160" s="235">
        <f t="shared" si="37"/>
        <v>0</v>
      </c>
      <c r="M160" s="236">
        <f t="shared" si="37"/>
        <v>0</v>
      </c>
      <c r="N160" s="126"/>
    </row>
    <row r="161" spans="1:30" ht="12.75" customHeight="1" x14ac:dyDescent="0.25">
      <c r="A161" s="584" t="s">
        <v>1677</v>
      </c>
      <c r="B161" s="73"/>
      <c r="C161" s="1356">
        <f>SUMIFS(Sheet1!S71_OriginalBudget,Sheet1!S71_SA34eCode,$AC:$AC,Sheet1!S71_A5CapexCode,$AD:$AD)</f>
        <v>0</v>
      </c>
      <c r="D161" s="1356">
        <f>SUMIFS(Sheet1!S71_SpecialAdjustedBudget,Sheet1!S71_SA34eCode,$AC:$AC,Sheet1!S71_A5CapexCode,$AD:$AD)</f>
        <v>0</v>
      </c>
      <c r="E161" s="1356"/>
      <c r="F161" s="1356"/>
      <c r="G161" s="1356"/>
      <c r="H161" s="1356"/>
      <c r="I161" s="1356">
        <f>SUMIFS(Sheet1!S71_AdjustmentAmount,Sheet1!S71_SA34eCode,$AC:$AC,Sheet1!S71_A5CapexCode,$AD:$AD)</f>
        <v>0</v>
      </c>
      <c r="J161" s="75">
        <f>SUM(E161:I161)</f>
        <v>0</v>
      </c>
      <c r="K161" s="75">
        <f t="shared" si="30"/>
        <v>0</v>
      </c>
      <c r="L161" s="1356">
        <f>SUMIFS(Sheet1!S71_OY1AdjustedBudget,Sheet1!S71_SA34eCode,$AC:$AC,Sheet1!S71_A5CapexCode,$AD:$AD)</f>
        <v>0</v>
      </c>
      <c r="M161" s="1357">
        <f>SUMIFS(Sheet1!S71_OY2AdjustedBudget,Sheet1!S71_SA34eCode,$AC:$AC,Sheet1!S71_A5CapexCode,$AD:$AD)</f>
        <v>0</v>
      </c>
      <c r="N161" s="126"/>
      <c r="AC161" s="1336" t="s">
        <v>1996</v>
      </c>
      <c r="AD161" s="1336" t="s">
        <v>1846</v>
      </c>
    </row>
    <row r="162" spans="1:30" ht="5.0999999999999996" customHeight="1" x14ac:dyDescent="0.25">
      <c r="A162" s="1217"/>
      <c r="B162" s="73"/>
      <c r="C162" s="74"/>
      <c r="D162" s="75"/>
      <c r="E162" s="75"/>
      <c r="F162" s="75"/>
      <c r="G162" s="75"/>
      <c r="H162" s="75"/>
      <c r="I162" s="75"/>
      <c r="J162" s="75"/>
      <c r="K162" s="75"/>
      <c r="L162" s="75"/>
      <c r="M162" s="76"/>
      <c r="N162" s="126"/>
    </row>
    <row r="163" spans="1:30" ht="12.75" customHeight="1" x14ac:dyDescent="0.25">
      <c r="A163" s="484" t="s">
        <v>1734</v>
      </c>
      <c r="B163" s="73"/>
      <c r="C163" s="234">
        <f t="shared" ref="C163:M163" si="38">SUM(C164:C164)</f>
        <v>0</v>
      </c>
      <c r="D163" s="235">
        <f t="shared" si="38"/>
        <v>0</v>
      </c>
      <c r="E163" s="235">
        <f t="shared" si="38"/>
        <v>0</v>
      </c>
      <c r="F163" s="235">
        <f t="shared" si="38"/>
        <v>0</v>
      </c>
      <c r="G163" s="235">
        <f t="shared" si="38"/>
        <v>0</v>
      </c>
      <c r="H163" s="235">
        <f t="shared" si="38"/>
        <v>0</v>
      </c>
      <c r="I163" s="235">
        <f t="shared" si="38"/>
        <v>0</v>
      </c>
      <c r="J163" s="235">
        <f>SUM(E163:I163)</f>
        <v>0</v>
      </c>
      <c r="K163" s="235">
        <f t="shared" si="30"/>
        <v>0</v>
      </c>
      <c r="L163" s="235">
        <f t="shared" si="38"/>
        <v>0</v>
      </c>
      <c r="M163" s="236">
        <f t="shared" si="38"/>
        <v>0</v>
      </c>
      <c r="N163" s="126"/>
    </row>
    <row r="164" spans="1:30" ht="12.75" customHeight="1" x14ac:dyDescent="0.25">
      <c r="A164" s="584" t="s">
        <v>1734</v>
      </c>
      <c r="B164" s="73"/>
      <c r="C164" s="1356">
        <f>SUMIFS(Sheet1!S71_OriginalBudget,Sheet1!S71_SA34eCode,$AC:$AC,Sheet1!S71_A5CapexCode,$AD:$AD)</f>
        <v>0</v>
      </c>
      <c r="D164" s="1356">
        <f>SUMIFS(Sheet1!S71_SpecialAdjustedBudget,Sheet1!S71_SA34eCode,$AC:$AC,Sheet1!S71_A5CapexCode,$AD:$AD)</f>
        <v>0</v>
      </c>
      <c r="E164" s="1356"/>
      <c r="F164" s="1356"/>
      <c r="G164" s="1356"/>
      <c r="H164" s="1356"/>
      <c r="I164" s="1356">
        <f>SUMIFS(Sheet1!S71_AdjustmentAmount,Sheet1!S71_SA34eCode,$AC:$AC,Sheet1!S71_A5CapexCode,$AD:$AD)</f>
        <v>0</v>
      </c>
      <c r="J164" s="75">
        <f>SUM(E164:I164)</f>
        <v>0</v>
      </c>
      <c r="K164" s="75">
        <f t="shared" si="30"/>
        <v>0</v>
      </c>
      <c r="L164" s="1356">
        <f>SUMIFS(Sheet1!S71_OY1AdjustedBudget,Sheet1!S71_SA34eCode,$AC:$AC,Sheet1!S71_A5CapexCode,$AD:$AD)</f>
        <v>0</v>
      </c>
      <c r="M164" s="1357">
        <f>SUMIFS(Sheet1!S71_OY2AdjustedBudget,Sheet1!S71_SA34eCode,$AC:$AC,Sheet1!S71_A5CapexCode,$AD:$AD)</f>
        <v>0</v>
      </c>
      <c r="N164" s="126"/>
      <c r="AC164" s="1336" t="s">
        <v>1997</v>
      </c>
      <c r="AD164" s="1336" t="s">
        <v>1846</v>
      </c>
    </row>
    <row r="165" spans="1:30" ht="5.0999999999999996" customHeight="1" x14ac:dyDescent="0.25">
      <c r="A165" s="1217"/>
      <c r="B165" s="73"/>
      <c r="C165" s="74"/>
      <c r="D165" s="75"/>
      <c r="E165" s="75"/>
      <c r="F165" s="75"/>
      <c r="G165" s="75"/>
      <c r="H165" s="75"/>
      <c r="I165" s="75"/>
      <c r="J165" s="75"/>
      <c r="K165" s="75"/>
      <c r="L165" s="75"/>
      <c r="M165" s="76"/>
      <c r="N165" s="126"/>
    </row>
    <row r="166" spans="1:30" ht="12.75" customHeight="1" x14ac:dyDescent="0.25">
      <c r="A166" s="484" t="s">
        <v>1678</v>
      </c>
      <c r="B166" s="73"/>
      <c r="C166" s="234">
        <f t="shared" ref="C166:M166" si="39">SUM(C167:C167)</f>
        <v>0</v>
      </c>
      <c r="D166" s="235">
        <f t="shared" si="39"/>
        <v>0</v>
      </c>
      <c r="E166" s="235">
        <f t="shared" si="39"/>
        <v>0</v>
      </c>
      <c r="F166" s="235">
        <f t="shared" si="39"/>
        <v>0</v>
      </c>
      <c r="G166" s="235">
        <f t="shared" si="39"/>
        <v>0</v>
      </c>
      <c r="H166" s="235">
        <f t="shared" si="39"/>
        <v>0</v>
      </c>
      <c r="I166" s="235">
        <f t="shared" si="39"/>
        <v>0</v>
      </c>
      <c r="J166" s="235">
        <f>SUM(E166:I166)</f>
        <v>0</v>
      </c>
      <c r="K166" s="235">
        <f t="shared" si="30"/>
        <v>0</v>
      </c>
      <c r="L166" s="235">
        <f t="shared" si="39"/>
        <v>0</v>
      </c>
      <c r="M166" s="236">
        <f t="shared" si="39"/>
        <v>0</v>
      </c>
      <c r="N166" s="126"/>
    </row>
    <row r="167" spans="1:30" ht="12.75" customHeight="1" x14ac:dyDescent="0.25">
      <c r="A167" s="584" t="s">
        <v>1678</v>
      </c>
      <c r="B167" s="73"/>
      <c r="C167" s="1356">
        <f>SUMIFS(Sheet1!S71_OriginalBudget,Sheet1!S71_SA34eCode,$AC:$AC,Sheet1!S71_A5CapexCode,$AD:$AD)</f>
        <v>0</v>
      </c>
      <c r="D167" s="1356">
        <f>SUMIFS(Sheet1!S71_SpecialAdjustedBudget,Sheet1!S71_SA34eCode,$AC:$AC,Sheet1!S71_A5CapexCode,$AD:$AD)</f>
        <v>0</v>
      </c>
      <c r="E167" s="1356"/>
      <c r="F167" s="1356"/>
      <c r="G167" s="1356"/>
      <c r="H167" s="1356"/>
      <c r="I167" s="1356">
        <f>SUMIFS(Sheet1!S71_AdjustmentAmount,Sheet1!S71_SA34eCode,$AC:$AC,Sheet1!S71_A5CapexCode,$AD:$AD)</f>
        <v>0</v>
      </c>
      <c r="J167" s="75">
        <f>SUM(E167:I167)</f>
        <v>0</v>
      </c>
      <c r="K167" s="75">
        <f t="shared" si="30"/>
        <v>0</v>
      </c>
      <c r="L167" s="1356">
        <f>SUMIFS(Sheet1!S71_OY1AdjustedBudget,Sheet1!S71_SA34eCode,$AC:$AC,Sheet1!S71_A5CapexCode,$AD:$AD)</f>
        <v>0</v>
      </c>
      <c r="M167" s="1357">
        <f>SUMIFS(Sheet1!S71_OY2AdjustedBudget,Sheet1!S71_SA34eCode,$AC:$AC,Sheet1!S71_A5CapexCode,$AD:$AD)</f>
        <v>0</v>
      </c>
      <c r="N167" s="126"/>
      <c r="AC167" s="1336" t="s">
        <v>1998</v>
      </c>
      <c r="AD167" s="1336" t="s">
        <v>1846</v>
      </c>
    </row>
    <row r="168" spans="1:30" ht="5.0999999999999996" customHeight="1" x14ac:dyDescent="0.25">
      <c r="A168" s="134"/>
      <c r="B168" s="73"/>
      <c r="C168" s="74"/>
      <c r="D168" s="75"/>
      <c r="E168" s="75"/>
      <c r="F168" s="75"/>
      <c r="G168" s="75"/>
      <c r="H168" s="75"/>
      <c r="I168" s="75"/>
      <c r="J168" s="75"/>
      <c r="K168" s="75"/>
      <c r="L168" s="75"/>
      <c r="M168" s="76"/>
      <c r="N168" s="126"/>
    </row>
    <row r="169" spans="1:30" ht="22.35" customHeight="1" x14ac:dyDescent="0.25">
      <c r="A169" s="846" t="s">
        <v>1680</v>
      </c>
      <c r="B169" s="154">
        <v>1</v>
      </c>
      <c r="C169" s="155">
        <f>C8+C76+C105+C112+C120+C151+C138+C141+C154+C157+C160+C163+C166</f>
        <v>1000000</v>
      </c>
      <c r="D169" s="115">
        <f t="shared" ref="D169:M169" si="40">D8+D76+D105+D112+D120+D151+D138+D141+D154+D157+D160+D163+D166</f>
        <v>1000000</v>
      </c>
      <c r="E169" s="115">
        <f t="shared" si="40"/>
        <v>0</v>
      </c>
      <c r="F169" s="115">
        <f t="shared" si="40"/>
        <v>0</v>
      </c>
      <c r="G169" s="115">
        <f t="shared" si="40"/>
        <v>0</v>
      </c>
      <c r="H169" s="115">
        <f t="shared" si="40"/>
        <v>0</v>
      </c>
      <c r="I169" s="115">
        <f t="shared" si="40"/>
        <v>0</v>
      </c>
      <c r="J169" s="115">
        <f>SUM(E169:I169)</f>
        <v>0</v>
      </c>
      <c r="K169" s="115">
        <f t="shared" si="30"/>
        <v>1000000</v>
      </c>
      <c r="L169" s="115">
        <f t="shared" si="40"/>
        <v>0</v>
      </c>
      <c r="M169" s="116">
        <f t="shared" si="40"/>
        <v>0</v>
      </c>
      <c r="N169" s="126"/>
    </row>
    <row r="170" spans="1:30" ht="12.75" customHeight="1" x14ac:dyDescent="0.25">
      <c r="A170" s="498"/>
      <c r="B170" s="119"/>
      <c r="C170" s="499"/>
      <c r="D170" s="499"/>
      <c r="E170" s="499"/>
      <c r="F170" s="499"/>
      <c r="G170" s="499"/>
      <c r="H170" s="499"/>
      <c r="I170" s="499"/>
      <c r="J170" s="499"/>
      <c r="K170" s="499"/>
      <c r="L170" s="499"/>
      <c r="M170" s="499"/>
      <c r="N170" s="126"/>
    </row>
    <row r="171" spans="1:30" ht="12.75" customHeight="1" x14ac:dyDescent="0.25">
      <c r="A171" s="587" t="str">
        <f>head27a</f>
        <v>References</v>
      </c>
      <c r="B171" s="119"/>
      <c r="C171" s="53"/>
      <c r="D171" s="53"/>
      <c r="E171" s="53"/>
      <c r="F171" s="53"/>
      <c r="G171" s="53"/>
      <c r="H171" s="53"/>
      <c r="I171" s="53"/>
      <c r="J171" s="53"/>
      <c r="K171" s="53"/>
      <c r="L171" s="53"/>
      <c r="M171" s="53"/>
      <c r="N171" s="126"/>
    </row>
    <row r="172" spans="1:30" ht="12.75" customHeight="1" x14ac:dyDescent="0.25">
      <c r="A172" s="845" t="s">
        <v>1681</v>
      </c>
      <c r="B172" s="119"/>
      <c r="C172" s="53"/>
      <c r="D172" s="53"/>
      <c r="E172" s="53"/>
      <c r="F172" s="53"/>
      <c r="G172" s="53"/>
      <c r="H172" s="53"/>
      <c r="I172" s="53"/>
      <c r="J172" s="53"/>
      <c r="K172" s="53"/>
      <c r="L172" s="53"/>
      <c r="M172" s="53"/>
      <c r="N172" s="126"/>
    </row>
    <row r="173" spans="1:30" ht="12.75" customHeight="1" x14ac:dyDescent="0.25">
      <c r="A173" s="1422" t="s">
        <v>986</v>
      </c>
      <c r="B173" s="1422"/>
      <c r="C173" s="1422"/>
      <c r="D173" s="1422"/>
      <c r="E173" s="1422"/>
      <c r="F173" s="1422"/>
      <c r="G173" s="1422"/>
      <c r="H173" s="1422"/>
      <c r="I173" s="1422"/>
      <c r="J173" s="1422"/>
      <c r="K173" s="1422"/>
      <c r="L173" s="1422"/>
      <c r="M173" s="1422"/>
      <c r="N173" s="126"/>
    </row>
    <row r="174" spans="1:30" ht="12.75" customHeight="1" x14ac:dyDescent="0.25">
      <c r="A174" s="1422" t="s">
        <v>992</v>
      </c>
      <c r="B174" s="1422"/>
      <c r="C174" s="1422"/>
      <c r="D174" s="1422"/>
      <c r="E174" s="1422"/>
      <c r="F174" s="1422"/>
      <c r="G174" s="1422"/>
      <c r="H174" s="1422"/>
      <c r="I174" s="1422"/>
      <c r="J174" s="1422"/>
      <c r="K174" s="822"/>
      <c r="L174" s="822"/>
      <c r="M174" s="822"/>
      <c r="N174" s="126"/>
    </row>
    <row r="175" spans="1:30" ht="12.75" customHeight="1" x14ac:dyDescent="0.25">
      <c r="A175" s="1422" t="s">
        <v>993</v>
      </c>
      <c r="B175" s="1422"/>
      <c r="C175" s="1422"/>
      <c r="D175" s="1422"/>
      <c r="E175" s="1422"/>
      <c r="F175" s="1422"/>
      <c r="G175" s="1422"/>
      <c r="H175" s="1422"/>
      <c r="I175" s="1422"/>
      <c r="J175" s="1422"/>
      <c r="K175" s="822"/>
      <c r="L175" s="822"/>
      <c r="M175" s="822"/>
      <c r="N175" s="126"/>
    </row>
    <row r="176" spans="1:30" ht="12.75" customHeight="1" x14ac:dyDescent="0.25">
      <c r="A176" s="1422" t="s">
        <v>1016</v>
      </c>
      <c r="B176" s="1422"/>
      <c r="C176" s="1422"/>
      <c r="D176" s="1422"/>
      <c r="E176" s="1422"/>
      <c r="F176" s="1422"/>
      <c r="G176" s="1422"/>
      <c r="H176" s="1422"/>
      <c r="I176" s="1422"/>
      <c r="J176" s="1422"/>
      <c r="K176" s="1422"/>
      <c r="L176" s="1422"/>
      <c r="M176" s="1422"/>
      <c r="N176" s="126"/>
    </row>
    <row r="177" spans="1:14" ht="12.75" customHeight="1" x14ac:dyDescent="0.25">
      <c r="A177" s="157" t="s">
        <v>1017</v>
      </c>
      <c r="B177" s="158"/>
      <c r="C177" s="94"/>
      <c r="D177" s="94"/>
      <c r="E177" s="94"/>
      <c r="F177" s="94"/>
      <c r="G177" s="94"/>
      <c r="H177" s="94"/>
      <c r="I177" s="94"/>
      <c r="J177" s="94"/>
      <c r="K177" s="94"/>
      <c r="L177" s="94"/>
      <c r="M177" s="94"/>
      <c r="N177" s="126"/>
    </row>
    <row r="178" spans="1:14" ht="12.75" customHeight="1" x14ac:dyDescent="0.25">
      <c r="A178" s="1422" t="s">
        <v>1018</v>
      </c>
      <c r="B178" s="1422"/>
      <c r="C178" s="1422"/>
      <c r="D178" s="1422"/>
      <c r="E178" s="1422"/>
      <c r="F178" s="1422"/>
      <c r="G178" s="1422"/>
      <c r="H178" s="1422"/>
      <c r="I178" s="1422"/>
      <c r="J178" s="1422"/>
      <c r="K178" s="1422"/>
      <c r="L178" s="1422"/>
      <c r="M178" s="1422"/>
      <c r="N178" s="126"/>
    </row>
    <row r="179" spans="1:14" ht="12.75" customHeight="1" x14ac:dyDescent="0.25">
      <c r="A179" s="157" t="s">
        <v>1019</v>
      </c>
      <c r="B179" s="158"/>
      <c r="C179" s="94"/>
      <c r="D179" s="94"/>
      <c r="E179" s="94"/>
      <c r="F179" s="94"/>
      <c r="G179" s="94"/>
      <c r="H179" s="94"/>
      <c r="I179" s="94"/>
      <c r="J179" s="94"/>
      <c r="K179" s="94"/>
      <c r="L179" s="94"/>
      <c r="M179" s="94"/>
      <c r="N179" s="126"/>
    </row>
    <row r="180" spans="1:14" ht="12.75" customHeight="1" x14ac:dyDescent="0.25">
      <c r="A180" s="1422" t="s">
        <v>1020</v>
      </c>
      <c r="B180" s="1422"/>
      <c r="C180" s="1422"/>
      <c r="D180" s="1422"/>
      <c r="E180" s="1422"/>
      <c r="F180" s="1422"/>
      <c r="G180" s="1422"/>
      <c r="H180" s="1422"/>
      <c r="I180" s="1422"/>
      <c r="J180" s="1422"/>
      <c r="K180" s="1422"/>
      <c r="L180" s="1422"/>
      <c r="M180" s="1422"/>
      <c r="N180" s="126"/>
    </row>
    <row r="181" spans="1:14" ht="11.25" customHeight="1" x14ac:dyDescent="0.25">
      <c r="A181" s="336"/>
      <c r="B181" s="781"/>
      <c r="C181" s="543"/>
      <c r="D181" s="543"/>
      <c r="E181" s="543"/>
      <c r="F181" s="543"/>
      <c r="G181" s="543"/>
      <c r="H181" s="543"/>
      <c r="I181" s="543"/>
      <c r="J181" s="543"/>
      <c r="K181" s="543"/>
      <c r="L181" s="543"/>
      <c r="M181" s="543"/>
      <c r="N181" s="126"/>
    </row>
    <row r="182" spans="1:14" ht="11.25" customHeight="1" x14ac:dyDescent="0.25">
      <c r="A182" s="48"/>
      <c r="B182" s="119"/>
      <c r="C182" s="53"/>
      <c r="D182" s="53"/>
      <c r="E182" s="53"/>
      <c r="F182" s="53"/>
      <c r="G182" s="53"/>
      <c r="H182" s="53"/>
      <c r="I182" s="53"/>
      <c r="J182" s="53"/>
      <c r="K182" s="53"/>
      <c r="L182" s="53"/>
      <c r="M182" s="53"/>
      <c r="N182" s="126"/>
    </row>
    <row r="183" spans="1:14" ht="11.25" customHeight="1" x14ac:dyDescent="0.25">
      <c r="A183" s="120" t="s">
        <v>673</v>
      </c>
      <c r="B183" s="158"/>
      <c r="C183" s="783">
        <f>(C169+SB18a!C169+SB18b!C169)-'B5-Capex'!C65</f>
        <v>0</v>
      </c>
      <c r="D183" s="783"/>
      <c r="E183" s="783"/>
      <c r="F183" s="783"/>
      <c r="G183" s="783"/>
      <c r="H183" s="783"/>
      <c r="I183" s="783"/>
      <c r="J183" s="783"/>
      <c r="K183" s="783"/>
      <c r="L183" s="783">
        <f>(L169+SB18a!L169+SB18b!L169)-'B5-Capex'!L65</f>
        <v>0</v>
      </c>
      <c r="M183" s="783">
        <f>(M169+SB18a!M169+SB18b!M169)-'B5-Capex'!M65</f>
        <v>0</v>
      </c>
      <c r="N183" s="126"/>
    </row>
    <row r="184" spans="1:14" ht="11.25" customHeight="1" x14ac:dyDescent="0.25">
      <c r="N184" s="126"/>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
    <tabColor indexed="42"/>
    <pageSetUpPr fitToPage="1"/>
  </sheetPr>
  <dimension ref="A1:R79"/>
  <sheetViews>
    <sheetView showGridLines="0" zoomScaleNormal="100" workbookViewId="0">
      <pane xSplit="2" ySplit="4" topLeftCell="C8" activePane="bottomRight" state="frozen"/>
      <selection activeCell="C6" sqref="C6"/>
      <selection pane="topRight" activeCell="C6" sqref="C6"/>
      <selection pane="bottomLeft" activeCell="C6" sqref="C6"/>
      <selection pane="bottomRight" activeCell="A12" sqref="A12"/>
    </sheetView>
  </sheetViews>
  <sheetFormatPr defaultColWidth="9.140625" defaultRowHeight="12.75" x14ac:dyDescent="0.25"/>
  <cols>
    <col min="1" max="1" width="26.42578125" style="5" customWidth="1"/>
    <col min="2" max="2" width="23.5703125" style="5" customWidth="1"/>
    <col min="3" max="3" width="11.5703125" style="5" customWidth="1"/>
    <col min="4" max="4" width="12.42578125" style="58" customWidth="1"/>
    <col min="5" max="6" width="13.5703125" style="58" customWidth="1"/>
    <col min="7" max="7" width="10.5703125" style="5" customWidth="1"/>
    <col min="8" max="12" width="26.42578125" style="5" customWidth="1"/>
    <col min="13" max="18" width="9.42578125" style="5" customWidth="1"/>
    <col min="19" max="19" width="7.42578125" style="5" bestFit="1" customWidth="1"/>
    <col min="20" max="20" width="9.85546875" style="5" customWidth="1"/>
    <col min="21" max="21" width="9.5703125" style="5" customWidth="1"/>
    <col min="22" max="22" width="9.85546875" style="5" customWidth="1"/>
    <col min="23" max="25" width="9.5703125" style="5" customWidth="1"/>
    <col min="26" max="26" width="9.85546875" style="5" customWidth="1"/>
    <col min="27" max="29" width="9.5703125" style="5" customWidth="1"/>
    <col min="30" max="31" width="9.85546875" style="5" customWidth="1"/>
    <col min="32" max="16384" width="9.140625" style="5"/>
  </cols>
  <sheetData>
    <row r="1" spans="1:18" ht="13.5" customHeight="1" x14ac:dyDescent="0.25">
      <c r="A1" s="588" t="str">
        <f>muni&amp;" - "&amp;ADJB19&amp;" - "&amp;Date</f>
        <v xml:space="preserve">KZN226 Mkhambathini - Supporting Table SB19 List of capital programmes and projects affected by Adjustments Budget - </v>
      </c>
      <c r="B1" s="588"/>
      <c r="C1" s="588"/>
      <c r="D1" s="589"/>
      <c r="E1" s="589"/>
      <c r="F1" s="589"/>
      <c r="G1" s="588"/>
      <c r="H1" s="588"/>
      <c r="I1" s="588"/>
      <c r="J1" s="588"/>
      <c r="K1" s="588"/>
      <c r="L1" s="588"/>
      <c r="M1" s="588"/>
      <c r="N1" s="588"/>
      <c r="O1" s="588"/>
      <c r="P1" s="588"/>
      <c r="Q1" s="588"/>
      <c r="R1" s="588"/>
    </row>
    <row r="2" spans="1:18" ht="38.25" customHeight="1" x14ac:dyDescent="0.25">
      <c r="A2" s="1271" t="s">
        <v>1756</v>
      </c>
      <c r="B2" s="317" t="s">
        <v>1757</v>
      </c>
      <c r="C2" s="317" t="s">
        <v>1758</v>
      </c>
      <c r="D2" s="317" t="s">
        <v>1759</v>
      </c>
      <c r="E2" s="317" t="s">
        <v>1760</v>
      </c>
      <c r="F2" s="317" t="s">
        <v>1736</v>
      </c>
      <c r="G2" s="317" t="s">
        <v>1761</v>
      </c>
      <c r="H2" s="980" t="s">
        <v>1365</v>
      </c>
      <c r="I2" s="1002" t="s">
        <v>1381</v>
      </c>
      <c r="J2" s="1002" t="s">
        <v>1762</v>
      </c>
      <c r="K2" s="317" t="s">
        <v>1763</v>
      </c>
      <c r="L2" s="1004" t="s">
        <v>1764</v>
      </c>
      <c r="M2" s="1417" t="str">
        <f>Head3a</f>
        <v>Medium Term Revenue and Expenditure Framework</v>
      </c>
      <c r="N2" s="1418"/>
      <c r="O2" s="1418"/>
      <c r="P2" s="1418"/>
      <c r="Q2" s="1418"/>
      <c r="R2" s="1469"/>
    </row>
    <row r="3" spans="1:18" x14ac:dyDescent="0.25">
      <c r="A3" s="1269"/>
      <c r="B3" s="980"/>
      <c r="C3" s="980"/>
      <c r="D3" s="1001"/>
      <c r="G3" s="980"/>
      <c r="H3" s="1001"/>
      <c r="I3" s="1003"/>
      <c r="J3" s="1274"/>
      <c r="K3" s="1301"/>
      <c r="L3" s="1270"/>
      <c r="M3" s="1470" t="str">
        <f>Head9</f>
        <v>Budget Year 2020/21</v>
      </c>
      <c r="N3" s="1471"/>
      <c r="O3" s="1470" t="str">
        <f>Head10</f>
        <v>Budget Year +1 2021/22</v>
      </c>
      <c r="P3" s="1471"/>
      <c r="Q3" s="1470" t="str">
        <f>Head11</f>
        <v>Budget Year +2 2022/23</v>
      </c>
      <c r="R3" s="1471"/>
    </row>
    <row r="4" spans="1:18" ht="25.5" x14ac:dyDescent="0.25">
      <c r="A4" s="66" t="s">
        <v>605</v>
      </c>
      <c r="B4" s="981"/>
      <c r="C4" s="981"/>
      <c r="D4" s="981"/>
      <c r="E4" s="981"/>
      <c r="F4" s="981"/>
      <c r="G4" s="981"/>
      <c r="H4" s="981"/>
      <c r="I4" s="1011"/>
      <c r="J4" s="1011"/>
      <c r="K4" s="981"/>
      <c r="L4" s="1005"/>
      <c r="M4" s="590" t="str">
        <f>Head6</f>
        <v>Original Budget</v>
      </c>
      <c r="N4" s="591" t="str">
        <f>Head7</f>
        <v>Adjusted Budget</v>
      </c>
      <c r="O4" s="590" t="str">
        <f>Head6</f>
        <v>Original Budget</v>
      </c>
      <c r="P4" s="591" t="str">
        <f>Head7</f>
        <v>Adjusted Budget</v>
      </c>
      <c r="Q4" s="590" t="str">
        <f>Head6</f>
        <v>Original Budget</v>
      </c>
      <c r="R4" s="592" t="str">
        <f>Head7</f>
        <v>Adjusted Budget</v>
      </c>
    </row>
    <row r="5" spans="1:18" ht="11.25" customHeight="1" x14ac:dyDescent="0.25">
      <c r="A5" s="593" t="s">
        <v>517</v>
      </c>
      <c r="B5" s="594"/>
      <c r="C5" s="595"/>
      <c r="D5" s="595"/>
      <c r="E5" s="595"/>
      <c r="F5" s="595"/>
      <c r="G5" s="595"/>
      <c r="H5" s="596"/>
      <c r="I5" s="999"/>
      <c r="J5" s="1275"/>
      <c r="K5" s="596"/>
      <c r="L5" s="1006"/>
      <c r="M5" s="597"/>
      <c r="N5" s="598"/>
      <c r="O5" s="597"/>
      <c r="P5" s="599"/>
      <c r="Q5" s="600"/>
      <c r="R5" s="599"/>
    </row>
    <row r="6" spans="1:18" ht="11.25" customHeight="1" x14ac:dyDescent="0.25">
      <c r="A6" s="1280" t="s">
        <v>1765</v>
      </c>
      <c r="B6" s="1283"/>
      <c r="C6" s="1284"/>
      <c r="D6" s="1284"/>
      <c r="E6" s="1284"/>
      <c r="F6" s="1284"/>
      <c r="G6" s="1284"/>
      <c r="H6" s="1285"/>
      <c r="I6" s="1286"/>
      <c r="J6" s="1288"/>
      <c r="K6" s="1285"/>
      <c r="L6" s="1287"/>
      <c r="M6" s="1289"/>
      <c r="N6" s="1290"/>
      <c r="O6" s="1289"/>
      <c r="P6" s="1291"/>
      <c r="Q6" s="1292"/>
      <c r="R6" s="1291"/>
    </row>
    <row r="7" spans="1:18" ht="11.25" customHeight="1" x14ac:dyDescent="0.25">
      <c r="A7" s="601" t="s">
        <v>5490</v>
      </c>
      <c r="B7" s="602" t="s">
        <v>5491</v>
      </c>
      <c r="C7" s="603"/>
      <c r="D7" s="1281" t="s">
        <v>5492</v>
      </c>
      <c r="E7" s="1282" t="s">
        <v>1753</v>
      </c>
      <c r="F7" s="1282" t="s">
        <v>1744</v>
      </c>
      <c r="G7" s="603" t="s">
        <v>5493</v>
      </c>
      <c r="H7" s="1018" t="s">
        <v>1621</v>
      </c>
      <c r="I7" s="1019" t="s">
        <v>1622</v>
      </c>
      <c r="J7" s="1276">
        <v>3</v>
      </c>
      <c r="K7" s="1018"/>
      <c r="L7" s="1007"/>
      <c r="M7" s="604">
        <v>3000000</v>
      </c>
      <c r="N7" s="605">
        <v>6478049</v>
      </c>
      <c r="O7" s="604">
        <v>0</v>
      </c>
      <c r="P7" s="606">
        <v>0</v>
      </c>
      <c r="Q7" s="607">
        <v>0</v>
      </c>
      <c r="R7" s="606">
        <v>0</v>
      </c>
    </row>
    <row r="8" spans="1:18" ht="11.25" customHeight="1" x14ac:dyDescent="0.25">
      <c r="A8" s="608" t="s">
        <v>5494</v>
      </c>
      <c r="B8" s="602" t="s">
        <v>5495</v>
      </c>
      <c r="C8" s="603"/>
      <c r="D8" s="1281" t="s">
        <v>5492</v>
      </c>
      <c r="E8" s="1282" t="s">
        <v>1747</v>
      </c>
      <c r="F8" s="1282" t="s">
        <v>1744</v>
      </c>
      <c r="G8" s="603" t="s">
        <v>5496</v>
      </c>
      <c r="H8" s="1018" t="s">
        <v>1621</v>
      </c>
      <c r="I8" s="1019" t="s">
        <v>1652</v>
      </c>
      <c r="J8" s="1276">
        <v>3</v>
      </c>
      <c r="K8" s="1018"/>
      <c r="L8" s="1007">
        <v>50000</v>
      </c>
      <c r="M8" s="604">
        <v>5000000</v>
      </c>
      <c r="N8" s="605">
        <v>1521951</v>
      </c>
      <c r="O8" s="604">
        <v>14000000</v>
      </c>
      <c r="P8" s="606"/>
      <c r="Q8" s="607">
        <v>5000000</v>
      </c>
      <c r="R8" s="606"/>
    </row>
    <row r="9" spans="1:18" ht="11.25" customHeight="1" x14ac:dyDescent="0.25">
      <c r="A9" s="609"/>
      <c r="B9" s="610"/>
      <c r="C9" s="611"/>
      <c r="D9" s="1281"/>
      <c r="E9" s="1282"/>
      <c r="F9" s="1282"/>
      <c r="G9" s="603"/>
      <c r="H9" s="1018"/>
      <c r="I9" s="1019"/>
      <c r="J9" s="1276"/>
      <c r="K9" s="1018"/>
      <c r="L9" s="1007"/>
      <c r="M9" s="380"/>
      <c r="N9" s="379"/>
      <c r="O9" s="380"/>
      <c r="P9" s="110"/>
      <c r="Q9" s="128"/>
      <c r="R9" s="110"/>
    </row>
    <row r="10" spans="1:18" ht="11.25" customHeight="1" x14ac:dyDescent="0.25">
      <c r="A10" s="609"/>
      <c r="B10" s="610"/>
      <c r="C10" s="611"/>
      <c r="D10" s="1281"/>
      <c r="E10" s="1282"/>
      <c r="F10" s="1282"/>
      <c r="G10" s="603"/>
      <c r="H10" s="1018"/>
      <c r="I10" s="1019"/>
      <c r="J10" s="1276"/>
      <c r="K10" s="1018"/>
      <c r="L10" s="1007"/>
      <c r="M10" s="380"/>
      <c r="N10" s="379"/>
      <c r="O10" s="380"/>
      <c r="P10" s="110"/>
      <c r="Q10" s="128"/>
      <c r="R10" s="110"/>
    </row>
    <row r="11" spans="1:18" ht="11.25" customHeight="1" x14ac:dyDescent="0.25">
      <c r="A11" s="609"/>
      <c r="B11" s="610"/>
      <c r="C11" s="611"/>
      <c r="D11" s="1281"/>
      <c r="E11" s="1282"/>
      <c r="F11" s="1282"/>
      <c r="G11" s="603"/>
      <c r="H11" s="1018"/>
      <c r="I11" s="1019"/>
      <c r="J11" s="1276"/>
      <c r="K11" s="1018"/>
      <c r="L11" s="1007"/>
      <c r="M11" s="380"/>
      <c r="N11" s="379"/>
      <c r="O11" s="380"/>
      <c r="P11" s="110"/>
      <c r="Q11" s="128"/>
      <c r="R11" s="110"/>
    </row>
    <row r="12" spans="1:18" ht="11.25" customHeight="1" x14ac:dyDescent="0.25">
      <c r="A12" s="609"/>
      <c r="B12" s="610"/>
      <c r="C12" s="611"/>
      <c r="D12" s="1281"/>
      <c r="E12" s="1282"/>
      <c r="F12" s="1282"/>
      <c r="G12" s="603"/>
      <c r="H12" s="1018"/>
      <c r="I12" s="1019"/>
      <c r="J12" s="1276"/>
      <c r="K12" s="1018"/>
      <c r="L12" s="1007"/>
      <c r="M12" s="380"/>
      <c r="N12" s="379"/>
      <c r="O12" s="380"/>
      <c r="P12" s="110"/>
      <c r="Q12" s="128"/>
      <c r="R12" s="110"/>
    </row>
    <row r="13" spans="1:18" ht="11.25" customHeight="1" x14ac:dyDescent="0.25">
      <c r="A13" s="609"/>
      <c r="B13" s="610"/>
      <c r="C13" s="611"/>
      <c r="D13" s="1281"/>
      <c r="E13" s="1282"/>
      <c r="F13" s="1282"/>
      <c r="G13" s="603"/>
      <c r="H13" s="1018"/>
      <c r="I13" s="1019"/>
      <c r="J13" s="1276"/>
      <c r="K13" s="1018"/>
      <c r="L13" s="1007"/>
      <c r="M13" s="380"/>
      <c r="N13" s="379"/>
      <c r="O13" s="380"/>
      <c r="P13" s="110"/>
      <c r="Q13" s="128"/>
      <c r="R13" s="110"/>
    </row>
    <row r="14" spans="1:18" ht="11.25" customHeight="1" x14ac:dyDescent="0.25">
      <c r="A14" s="612"/>
      <c r="B14" s="613"/>
      <c r="C14" s="614"/>
      <c r="D14" s="1302"/>
      <c r="E14" s="1303"/>
      <c r="F14" s="1303"/>
      <c r="G14" s="1020"/>
      <c r="H14" s="1021"/>
      <c r="I14" s="1272"/>
      <c r="J14" s="1277"/>
      <c r="K14" s="1021"/>
      <c r="L14" s="1008"/>
      <c r="M14" s="480"/>
      <c r="N14" s="615"/>
      <c r="O14" s="480"/>
      <c r="P14" s="111"/>
      <c r="Q14" s="141"/>
      <c r="R14" s="111"/>
    </row>
    <row r="15" spans="1:18" ht="11.25" customHeight="1" x14ac:dyDescent="0.25">
      <c r="A15" s="616" t="s">
        <v>518</v>
      </c>
      <c r="B15" s="617"/>
      <c r="C15" s="618"/>
      <c r="D15" s="618"/>
      <c r="E15" s="618"/>
      <c r="F15" s="618"/>
      <c r="G15" s="618"/>
      <c r="H15" s="617"/>
      <c r="I15" s="1000"/>
      <c r="J15" s="1278"/>
      <c r="K15" s="617"/>
      <c r="L15" s="1009"/>
      <c r="M15" s="619"/>
      <c r="N15" s="456"/>
      <c r="O15" s="619"/>
      <c r="P15" s="233"/>
      <c r="Q15" s="125"/>
      <c r="R15" s="233"/>
    </row>
    <row r="16" spans="1:18" s="1300" customFormat="1" ht="11.25" customHeight="1" x14ac:dyDescent="0.25">
      <c r="A16" s="1293" t="s">
        <v>1766</v>
      </c>
      <c r="B16" s="1294"/>
      <c r="C16" s="1295"/>
      <c r="D16" s="1295"/>
      <c r="E16" s="1284"/>
      <c r="F16" s="1284"/>
      <c r="G16" s="1295"/>
      <c r="H16" s="1285"/>
      <c r="I16" s="1286"/>
      <c r="J16" s="1288"/>
      <c r="K16" s="1285"/>
      <c r="L16" s="1287"/>
      <c r="M16" s="1296"/>
      <c r="N16" s="1297"/>
      <c r="O16" s="1296"/>
      <c r="P16" s="1298"/>
      <c r="Q16" s="1299"/>
      <c r="R16" s="1298"/>
    </row>
    <row r="17" spans="1:18" ht="11.25" customHeight="1" x14ac:dyDescent="0.25">
      <c r="A17" s="620"/>
      <c r="B17" s="610"/>
      <c r="C17" s="611"/>
      <c r="D17" s="1281"/>
      <c r="E17" s="1282"/>
      <c r="F17" s="1282"/>
      <c r="G17" s="603"/>
      <c r="H17" s="1018"/>
      <c r="I17" s="1019"/>
      <c r="J17" s="1276"/>
      <c r="K17" s="1018"/>
      <c r="L17" s="1007"/>
      <c r="M17" s="380"/>
      <c r="N17" s="379"/>
      <c r="O17" s="380"/>
      <c r="P17" s="110"/>
      <c r="Q17" s="128"/>
      <c r="R17" s="110"/>
    </row>
    <row r="18" spans="1:18" ht="11.25" customHeight="1" x14ac:dyDescent="0.25">
      <c r="A18" s="809" t="s">
        <v>519</v>
      </c>
      <c r="B18" s="610"/>
      <c r="C18" s="611"/>
      <c r="D18" s="1281"/>
      <c r="E18" s="1282"/>
      <c r="F18" s="1282"/>
      <c r="G18" s="603"/>
      <c r="H18" s="1018"/>
      <c r="I18" s="1019"/>
      <c r="J18" s="1276"/>
      <c r="K18" s="1018"/>
      <c r="L18" s="1007"/>
      <c r="M18" s="380"/>
      <c r="N18" s="379"/>
      <c r="O18" s="380"/>
      <c r="P18" s="110"/>
      <c r="Q18" s="128"/>
      <c r="R18" s="110"/>
    </row>
    <row r="19" spans="1:18" ht="11.25" customHeight="1" x14ac:dyDescent="0.25">
      <c r="A19" s="601" t="s">
        <v>520</v>
      </c>
      <c r="B19" s="610"/>
      <c r="C19" s="611"/>
      <c r="D19" s="1281"/>
      <c r="E19" s="1282"/>
      <c r="F19" s="1282"/>
      <c r="G19" s="603"/>
      <c r="H19" s="1018"/>
      <c r="I19" s="1019"/>
      <c r="J19" s="1276"/>
      <c r="K19" s="1018"/>
      <c r="L19" s="1007"/>
      <c r="M19" s="380"/>
      <c r="N19" s="379"/>
      <c r="O19" s="380"/>
      <c r="P19" s="110"/>
      <c r="Q19" s="128"/>
      <c r="R19" s="110"/>
    </row>
    <row r="20" spans="1:18" ht="11.25" customHeight="1" x14ac:dyDescent="0.25">
      <c r="A20" s="620"/>
      <c r="B20" s="610"/>
      <c r="C20" s="611"/>
      <c r="D20" s="1281"/>
      <c r="E20" s="1282"/>
      <c r="F20" s="1282"/>
      <c r="G20" s="603"/>
      <c r="H20" s="1018"/>
      <c r="I20" s="1019"/>
      <c r="J20" s="1276"/>
      <c r="K20" s="1018"/>
      <c r="L20" s="1007"/>
      <c r="M20" s="380"/>
      <c r="N20" s="379"/>
      <c r="O20" s="380"/>
      <c r="P20" s="110"/>
      <c r="Q20" s="128"/>
      <c r="R20" s="110"/>
    </row>
    <row r="21" spans="1:18" ht="11.25" customHeight="1" x14ac:dyDescent="0.25">
      <c r="A21" s="609"/>
      <c r="B21" s="610"/>
      <c r="C21" s="611"/>
      <c r="D21" s="1281"/>
      <c r="E21" s="1282"/>
      <c r="F21" s="1282"/>
      <c r="G21" s="603"/>
      <c r="H21" s="1018"/>
      <c r="I21" s="1019"/>
      <c r="J21" s="1276"/>
      <c r="K21" s="1018"/>
      <c r="L21" s="1007"/>
      <c r="M21" s="380"/>
      <c r="N21" s="379"/>
      <c r="O21" s="380"/>
      <c r="P21" s="110"/>
      <c r="Q21" s="128"/>
      <c r="R21" s="110"/>
    </row>
    <row r="22" spans="1:18" ht="11.25" customHeight="1" x14ac:dyDescent="0.25">
      <c r="A22" s="609"/>
      <c r="B22" s="610"/>
      <c r="C22" s="611"/>
      <c r="D22" s="1281"/>
      <c r="E22" s="1282"/>
      <c r="F22" s="1282"/>
      <c r="G22" s="603"/>
      <c r="H22" s="1018"/>
      <c r="I22" s="1019"/>
      <c r="J22" s="1276"/>
      <c r="K22" s="1018"/>
      <c r="L22" s="1007"/>
      <c r="M22" s="380"/>
      <c r="N22" s="379"/>
      <c r="O22" s="380"/>
      <c r="P22" s="110"/>
      <c r="Q22" s="128"/>
      <c r="R22" s="110"/>
    </row>
    <row r="23" spans="1:18" ht="11.25" customHeight="1" x14ac:dyDescent="0.25">
      <c r="A23" s="621"/>
      <c r="B23" s="622"/>
      <c r="C23" s="623"/>
      <c r="D23" s="1304"/>
      <c r="E23" s="1305"/>
      <c r="F23" s="1305"/>
      <c r="G23" s="1022"/>
      <c r="H23" s="1023"/>
      <c r="I23" s="1273"/>
      <c r="J23" s="1279"/>
      <c r="K23" s="1023"/>
      <c r="L23" s="1010"/>
      <c r="M23" s="306"/>
      <c r="N23" s="624"/>
      <c r="O23" s="306"/>
      <c r="P23" s="308"/>
      <c r="Q23" s="314"/>
      <c r="R23" s="308"/>
    </row>
    <row r="24" spans="1:18" ht="11.25" customHeight="1" x14ac:dyDescent="0.25">
      <c r="A24" s="625" t="s">
        <v>521</v>
      </c>
      <c r="H24" s="48"/>
      <c r="I24" s="48"/>
      <c r="J24" s="48"/>
      <c r="K24" s="48"/>
      <c r="L24" s="48"/>
    </row>
    <row r="25" spans="1:18" ht="11.25" customHeight="1" x14ac:dyDescent="0.25">
      <c r="A25" s="626" t="s">
        <v>1767</v>
      </c>
    </row>
    <row r="26" spans="1:18" ht="11.25" customHeight="1" x14ac:dyDescent="0.25">
      <c r="A26" s="626" t="s">
        <v>1768</v>
      </c>
    </row>
    <row r="27" spans="1:18" ht="11.25" customHeight="1" x14ac:dyDescent="0.25">
      <c r="A27" s="5" t="s">
        <v>1769</v>
      </c>
    </row>
    <row r="28" spans="1:18" ht="11.25" customHeight="1" x14ac:dyDescent="0.25">
      <c r="A28" s="5" t="s">
        <v>1772</v>
      </c>
    </row>
    <row r="29" spans="1:18" ht="11.25" customHeight="1" x14ac:dyDescent="0.25">
      <c r="A29" s="5" t="s">
        <v>1771</v>
      </c>
    </row>
    <row r="30" spans="1:18" ht="11.25" customHeight="1" x14ac:dyDescent="0.25">
      <c r="A30" s="5" t="s">
        <v>1770</v>
      </c>
    </row>
    <row r="31" spans="1:18" ht="11.25" customHeight="1" x14ac:dyDescent="0.25"/>
    <row r="32" spans="1:18"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spans="2:2" ht="11.25" customHeight="1" x14ac:dyDescent="0.25"/>
    <row r="50" spans="2:2" ht="11.25" customHeight="1" x14ac:dyDescent="0.25"/>
    <row r="51" spans="2:2" ht="11.25" customHeight="1" x14ac:dyDescent="0.25"/>
    <row r="52" spans="2:2" ht="11.25" customHeight="1" x14ac:dyDescent="0.25"/>
    <row r="53" spans="2:2" ht="11.25" customHeight="1" x14ac:dyDescent="0.25"/>
    <row r="54" spans="2:2" ht="11.25" customHeight="1" x14ac:dyDescent="0.25"/>
    <row r="55" spans="2:2" ht="11.25" customHeight="1" x14ac:dyDescent="0.25">
      <c r="B55" s="126"/>
    </row>
    <row r="56" spans="2:2" ht="11.25" customHeight="1" x14ac:dyDescent="0.25"/>
    <row r="57" spans="2:2" ht="11.25" customHeight="1" x14ac:dyDescent="0.25"/>
    <row r="58" spans="2:2" ht="11.25" customHeight="1" x14ac:dyDescent="0.25"/>
    <row r="59" spans="2:2" ht="11.25" customHeight="1" x14ac:dyDescent="0.25"/>
    <row r="60" spans="2:2" ht="11.25" customHeight="1" x14ac:dyDescent="0.25"/>
    <row r="61" spans="2:2" ht="11.25" customHeight="1" x14ac:dyDescent="0.25"/>
    <row r="62" spans="2:2" ht="11.25" customHeight="1" x14ac:dyDescent="0.25"/>
    <row r="63" spans="2:2" ht="11.25" customHeight="1" x14ac:dyDescent="0.25"/>
    <row r="64" spans="2: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sheet="1" objects="1" scenarios="1"/>
  <dataConsolidate/>
  <mergeCells count="4">
    <mergeCell ref="M2:R2"/>
    <mergeCell ref="M3:N3"/>
    <mergeCell ref="O3:P3"/>
    <mergeCell ref="Q3:R3"/>
  </mergeCells>
  <phoneticPr fontId="4" type="noConversion"/>
  <dataValidations count="6">
    <dataValidation type="list" allowBlank="1" showInputMessage="1" showErrorMessage="1" promptTitle="Y/N" prompt="Please select" sqref="E6:F6 E16:F16" xr:uid="{00000000-0002-0000-2A00-000000000000}">
      <formula1>Y_N</formula1>
    </dataValidation>
    <dataValidation type="list" allowBlank="1" showInputMessage="1" showErrorMessage="1" promptTitle="Asset Class" prompt="Please select" sqref="H6:H14 H16:H23" xr:uid="{00000000-0002-0000-2A00-000001000000}">
      <formula1>Asset_Class</formula1>
    </dataValidation>
    <dataValidation type="list" allowBlank="1" showInputMessage="1" showErrorMessage="1" promptTitle="Asset Sub-Class" prompt="Please select" sqref="I6:I14 I16:I23" xr:uid="{00000000-0002-0000-2A00-000002000000}">
      <formula1>Asset_sub_class</formula1>
    </dataValidation>
    <dataValidation type="list" allowBlank="1" showInputMessage="1" showErrorMessage="1" promptTitle="Select MTSF Service Outcome" prompt="Select MTSF from list" sqref="E7:E14 E17:E23" xr:uid="{00000000-0002-0000-2A00-000003000000}">
      <formula1>MTSF</formula1>
    </dataValidation>
    <dataValidation type="list" allowBlank="1" showInputMessage="1" showErrorMessage="1" promptTitle="Select IUDF" prompt="Select IUDF from list" sqref="F7:F14 F17:F23" xr:uid="{00000000-0002-0000-2A00-000004000000}">
      <formula1>IUDF</formula1>
    </dataValidation>
    <dataValidation type="list" allowBlank="1" showInputMessage="1" showErrorMessage="1" sqref="D7:D14 D17:D23" xr:uid="{00000000-0002-0000-2A00-000005000000}">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48" orientation="landscape" r:id="rId1"/>
  <headerFooter alignWithMargins="0"/>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J24" sqref="J24"/>
    </sheetView>
  </sheetViews>
  <sheetFormatPr defaultColWidth="9.140625" defaultRowHeight="12.75" x14ac:dyDescent="0.25"/>
  <cols>
    <col min="1" max="1" width="35.5703125" style="5" customWidth="1"/>
    <col min="2" max="2" width="3.140625" style="58" customWidth="1"/>
    <col min="3" max="13" width="8.570312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472" t="str">
        <f>muni&amp;" - "&amp;ADJB20&amp;" - "&amp;Date</f>
        <v xml:space="preserve">KZN226 Mkhambathini - Supporting Table SB20 Not required - </v>
      </c>
      <c r="B1" s="1472"/>
      <c r="C1" s="1472"/>
      <c r="D1" s="1472"/>
      <c r="E1" s="1472"/>
      <c r="F1" s="1472"/>
      <c r="G1" s="1472"/>
      <c r="H1" s="1472"/>
      <c r="I1" s="1472"/>
      <c r="J1" s="1472"/>
      <c r="K1" s="1472"/>
      <c r="L1" s="1472"/>
      <c r="M1" s="1472"/>
    </row>
    <row r="2" spans="1:13" ht="38.25" x14ac:dyDescent="0.25">
      <c r="A2" s="1420" t="str">
        <f>desc</f>
        <v>Description</v>
      </c>
      <c r="B2" s="1420" t="str">
        <f>head27</f>
        <v>Ref</v>
      </c>
      <c r="C2" s="1417" t="str">
        <f>Head2</f>
        <v>Budget Year 2020/21</v>
      </c>
      <c r="D2" s="1418"/>
      <c r="E2" s="1418"/>
      <c r="F2" s="1418"/>
      <c r="G2" s="1418"/>
      <c r="H2" s="1418"/>
      <c r="I2" s="1418"/>
      <c r="J2" s="1418"/>
      <c r="K2" s="1418"/>
      <c r="L2" s="103" t="str">
        <f>Head10</f>
        <v>Budget Year +1 2021/22</v>
      </c>
      <c r="M2" s="61" t="str">
        <f>Head11</f>
        <v>Budget Year +2 2022/23</v>
      </c>
    </row>
    <row r="3" spans="1:13" ht="25.5" x14ac:dyDescent="0.25">
      <c r="A3" s="1421"/>
      <c r="B3" s="1421"/>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27" t="str">
        <f>Head7</f>
        <v>Adjusted Budget</v>
      </c>
      <c r="M3" s="628" t="str">
        <f>Head7</f>
        <v>Adjusted Budget</v>
      </c>
    </row>
    <row r="4" spans="1:13" x14ac:dyDescent="0.25">
      <c r="A4" s="1421"/>
      <c r="B4" s="1421"/>
      <c r="C4" s="14"/>
      <c r="D4" s="15">
        <v>3</v>
      </c>
      <c r="E4" s="15">
        <v>4</v>
      </c>
      <c r="F4" s="15">
        <v>5</v>
      </c>
      <c r="G4" s="15">
        <v>6</v>
      </c>
      <c r="H4" s="15">
        <v>8</v>
      </c>
      <c r="I4" s="15">
        <v>9</v>
      </c>
      <c r="J4" s="16">
        <v>10</v>
      </c>
      <c r="K4" s="16">
        <v>11</v>
      </c>
      <c r="L4" s="16"/>
      <c r="M4" s="17"/>
    </row>
    <row r="5" spans="1:13" x14ac:dyDescent="0.25">
      <c r="A5" s="66" t="s">
        <v>605</v>
      </c>
      <c r="B5" s="152"/>
      <c r="C5" s="473" t="s">
        <v>549</v>
      </c>
      <c r="D5" s="68" t="s">
        <v>550</v>
      </c>
      <c r="E5" s="68" t="s">
        <v>551</v>
      </c>
      <c r="F5" s="69" t="s">
        <v>552</v>
      </c>
      <c r="G5" s="69" t="s">
        <v>553</v>
      </c>
      <c r="H5" s="69" t="s">
        <v>554</v>
      </c>
      <c r="I5" s="70" t="s">
        <v>555</v>
      </c>
      <c r="J5" s="503" t="s">
        <v>556</v>
      </c>
      <c r="K5" s="503" t="s">
        <v>557</v>
      </c>
      <c r="L5" s="503"/>
      <c r="M5" s="71"/>
    </row>
    <row r="6" spans="1:13" ht="12.75" customHeight="1" x14ac:dyDescent="0.25">
      <c r="A6" s="124" t="s">
        <v>522</v>
      </c>
      <c r="B6" s="73"/>
      <c r="C6" s="74"/>
      <c r="D6" s="75"/>
      <c r="E6" s="75"/>
      <c r="F6" s="75"/>
      <c r="G6" s="75"/>
      <c r="H6" s="75"/>
      <c r="I6" s="75"/>
      <c r="J6" s="506"/>
      <c r="K6" s="506"/>
      <c r="L6" s="506"/>
      <c r="M6" s="76"/>
    </row>
    <row r="7" spans="1:13" ht="12.75" customHeight="1" x14ac:dyDescent="0.25">
      <c r="A7" s="475" t="s">
        <v>523</v>
      </c>
      <c r="B7" s="73"/>
      <c r="C7" s="128"/>
      <c r="D7" s="109"/>
      <c r="E7" s="109"/>
      <c r="F7" s="109"/>
      <c r="G7" s="109"/>
      <c r="H7" s="109"/>
      <c r="I7" s="109"/>
      <c r="J7" s="506">
        <f t="shared" ref="J7:J16" si="0">SUM(E7:I7)</f>
        <v>0</v>
      </c>
      <c r="K7" s="506">
        <f t="shared" ref="K7:K16" si="1">IF(D7=0,C7+J7,D7+J7)</f>
        <v>0</v>
      </c>
      <c r="L7" s="379"/>
      <c r="M7" s="110"/>
    </row>
    <row r="8" spans="1:13" ht="12.75" customHeight="1" x14ac:dyDescent="0.25">
      <c r="A8" s="475" t="s">
        <v>524</v>
      </c>
      <c r="B8" s="73"/>
      <c r="C8" s="128"/>
      <c r="D8" s="109"/>
      <c r="E8" s="109"/>
      <c r="F8" s="109"/>
      <c r="G8" s="109"/>
      <c r="H8" s="109"/>
      <c r="I8" s="109"/>
      <c r="J8" s="506">
        <f t="shared" si="0"/>
        <v>0</v>
      </c>
      <c r="K8" s="506">
        <f t="shared" si="1"/>
        <v>0</v>
      </c>
      <c r="L8" s="379"/>
      <c r="M8" s="110"/>
    </row>
    <row r="9" spans="1:13" ht="12.75" customHeight="1" x14ac:dyDescent="0.25">
      <c r="A9" s="475" t="s">
        <v>525</v>
      </c>
      <c r="B9" s="73"/>
      <c r="C9" s="128"/>
      <c r="D9" s="109"/>
      <c r="E9" s="109"/>
      <c r="F9" s="109"/>
      <c r="G9" s="109"/>
      <c r="H9" s="109"/>
      <c r="I9" s="109"/>
      <c r="J9" s="506">
        <f t="shared" si="0"/>
        <v>0</v>
      </c>
      <c r="K9" s="506">
        <f t="shared" si="1"/>
        <v>0</v>
      </c>
      <c r="L9" s="379"/>
      <c r="M9" s="110"/>
    </row>
    <row r="10" spans="1:13" ht="12.75" customHeight="1" x14ac:dyDescent="0.25">
      <c r="A10" s="475"/>
      <c r="B10" s="73"/>
      <c r="C10" s="128"/>
      <c r="D10" s="109"/>
      <c r="E10" s="109"/>
      <c r="F10" s="109"/>
      <c r="G10" s="109"/>
      <c r="H10" s="109"/>
      <c r="I10" s="109"/>
      <c r="J10" s="506">
        <f t="shared" si="0"/>
        <v>0</v>
      </c>
      <c r="K10" s="506">
        <f t="shared" si="1"/>
        <v>0</v>
      </c>
      <c r="L10" s="379"/>
      <c r="M10" s="110"/>
    </row>
    <row r="11" spans="1:13" ht="12.75" customHeight="1" x14ac:dyDescent="0.25">
      <c r="A11" s="475"/>
      <c r="B11" s="73"/>
      <c r="C11" s="128"/>
      <c r="D11" s="109"/>
      <c r="E11" s="109"/>
      <c r="F11" s="109"/>
      <c r="G11" s="109"/>
      <c r="H11" s="109"/>
      <c r="I11" s="109"/>
      <c r="J11" s="506">
        <f t="shared" si="0"/>
        <v>0</v>
      </c>
      <c r="K11" s="506">
        <f t="shared" si="1"/>
        <v>0</v>
      </c>
      <c r="L11" s="379"/>
      <c r="M11" s="110"/>
    </row>
    <row r="12" spans="1:13" ht="12.75" customHeight="1" x14ac:dyDescent="0.25">
      <c r="A12" s="475"/>
      <c r="B12" s="73"/>
      <c r="C12" s="128"/>
      <c r="D12" s="109"/>
      <c r="E12" s="109"/>
      <c r="F12" s="109"/>
      <c r="G12" s="109"/>
      <c r="H12" s="109"/>
      <c r="I12" s="109"/>
      <c r="J12" s="506">
        <f t="shared" si="0"/>
        <v>0</v>
      </c>
      <c r="K12" s="506">
        <f t="shared" si="1"/>
        <v>0</v>
      </c>
      <c r="L12" s="379"/>
      <c r="M12" s="110"/>
    </row>
    <row r="13" spans="1:13" ht="12.75" customHeight="1" x14ac:dyDescent="0.25">
      <c r="A13" s="475"/>
      <c r="B13" s="73"/>
      <c r="C13" s="128"/>
      <c r="D13" s="109"/>
      <c r="E13" s="109"/>
      <c r="F13" s="109"/>
      <c r="G13" s="109"/>
      <c r="H13" s="109"/>
      <c r="I13" s="109"/>
      <c r="J13" s="506">
        <f t="shared" si="0"/>
        <v>0</v>
      </c>
      <c r="K13" s="506">
        <f t="shared" si="1"/>
        <v>0</v>
      </c>
      <c r="L13" s="379"/>
      <c r="M13" s="110"/>
    </row>
    <row r="14" spans="1:13" ht="12.75" customHeight="1" x14ac:dyDescent="0.25">
      <c r="A14" s="475"/>
      <c r="B14" s="73"/>
      <c r="C14" s="128"/>
      <c r="D14" s="109"/>
      <c r="E14" s="109"/>
      <c r="F14" s="109"/>
      <c r="G14" s="109"/>
      <c r="H14" s="109"/>
      <c r="I14" s="109"/>
      <c r="J14" s="506">
        <f t="shared" si="0"/>
        <v>0</v>
      </c>
      <c r="K14" s="506">
        <f t="shared" si="1"/>
        <v>0</v>
      </c>
      <c r="L14" s="379"/>
      <c r="M14" s="110"/>
    </row>
    <row r="15" spans="1:13" ht="12.75" customHeight="1" x14ac:dyDescent="0.25">
      <c r="A15" s="475"/>
      <c r="B15" s="73"/>
      <c r="C15" s="128"/>
      <c r="D15" s="109"/>
      <c r="E15" s="109"/>
      <c r="F15" s="109"/>
      <c r="G15" s="109"/>
      <c r="H15" s="109"/>
      <c r="I15" s="109"/>
      <c r="J15" s="506">
        <f t="shared" si="0"/>
        <v>0</v>
      </c>
      <c r="K15" s="506">
        <f t="shared" si="1"/>
        <v>0</v>
      </c>
      <c r="L15" s="379"/>
      <c r="M15" s="110"/>
    </row>
    <row r="16" spans="1:13" ht="12.75" customHeight="1" x14ac:dyDescent="0.25">
      <c r="A16" s="475"/>
      <c r="B16" s="73"/>
      <c r="C16" s="128"/>
      <c r="D16" s="109"/>
      <c r="E16" s="109"/>
      <c r="F16" s="109"/>
      <c r="G16" s="109"/>
      <c r="H16" s="109"/>
      <c r="I16" s="109"/>
      <c r="J16" s="506">
        <f t="shared" si="0"/>
        <v>0</v>
      </c>
      <c r="K16" s="506">
        <f t="shared" si="1"/>
        <v>0</v>
      </c>
      <c r="L16" s="379"/>
      <c r="M16" s="110"/>
    </row>
    <row r="17" spans="1:13" ht="12.75" customHeight="1" x14ac:dyDescent="0.25">
      <c r="A17" s="160" t="s">
        <v>526</v>
      </c>
      <c r="B17" s="79">
        <v>1</v>
      </c>
      <c r="C17" s="80">
        <f t="shared" ref="C17:M17" si="2">SUM(C7:C16)</f>
        <v>0</v>
      </c>
      <c r="D17" s="81">
        <f t="shared" si="2"/>
        <v>0</v>
      </c>
      <c r="E17" s="81">
        <f t="shared" si="2"/>
        <v>0</v>
      </c>
      <c r="F17" s="81">
        <f t="shared" si="2"/>
        <v>0</v>
      </c>
      <c r="G17" s="81">
        <f t="shared" si="2"/>
        <v>0</v>
      </c>
      <c r="H17" s="81">
        <f t="shared" si="2"/>
        <v>0</v>
      </c>
      <c r="I17" s="81">
        <f t="shared" si="2"/>
        <v>0</v>
      </c>
      <c r="J17" s="517">
        <f t="shared" si="2"/>
        <v>0</v>
      </c>
      <c r="K17" s="517">
        <f t="shared" si="2"/>
        <v>0</v>
      </c>
      <c r="L17" s="517">
        <f t="shared" si="2"/>
        <v>0</v>
      </c>
      <c r="M17" s="82">
        <f t="shared" si="2"/>
        <v>0</v>
      </c>
    </row>
    <row r="18" spans="1:13" ht="5.0999999999999996" customHeight="1" x14ac:dyDescent="0.25">
      <c r="A18" s="134"/>
      <c r="B18" s="73"/>
      <c r="C18" s="74"/>
      <c r="D18" s="75"/>
      <c r="E18" s="75"/>
      <c r="F18" s="75"/>
      <c r="G18" s="75"/>
      <c r="H18" s="75"/>
      <c r="I18" s="75"/>
      <c r="J18" s="506"/>
      <c r="K18" s="506"/>
      <c r="L18" s="506"/>
      <c r="M18" s="76"/>
    </row>
    <row r="19" spans="1:13" ht="12.75" customHeight="1" x14ac:dyDescent="0.25">
      <c r="A19" s="124" t="s">
        <v>527</v>
      </c>
      <c r="B19" s="113"/>
      <c r="C19" s="74"/>
      <c r="D19" s="75"/>
      <c r="E19" s="75"/>
      <c r="F19" s="75"/>
      <c r="G19" s="75"/>
      <c r="H19" s="75"/>
      <c r="I19" s="75"/>
      <c r="J19" s="506"/>
      <c r="K19" s="506"/>
      <c r="L19" s="506"/>
      <c r="M19" s="76"/>
    </row>
    <row r="20" spans="1:13" ht="12.75" customHeight="1" x14ac:dyDescent="0.25">
      <c r="A20" s="475" t="s">
        <v>528</v>
      </c>
      <c r="B20" s="629"/>
      <c r="C20" s="128"/>
      <c r="D20" s="109"/>
      <c r="E20" s="109"/>
      <c r="F20" s="109"/>
      <c r="G20" s="109"/>
      <c r="H20" s="109"/>
      <c r="I20" s="109"/>
      <c r="J20" s="506">
        <f t="shared" ref="J20:J29" si="3">SUM(E20:I20)</f>
        <v>0</v>
      </c>
      <c r="K20" s="506">
        <f t="shared" ref="K20:K29" si="4">IF(D20=0,C20+J20,D20+J20)</f>
        <v>0</v>
      </c>
      <c r="L20" s="379"/>
      <c r="M20" s="110"/>
    </row>
    <row r="21" spans="1:13" ht="12.75" customHeight="1" x14ac:dyDescent="0.25">
      <c r="A21" s="475" t="s">
        <v>529</v>
      </c>
      <c r="B21" s="629"/>
      <c r="C21" s="128"/>
      <c r="D21" s="109"/>
      <c r="E21" s="109"/>
      <c r="F21" s="109"/>
      <c r="G21" s="109"/>
      <c r="H21" s="109"/>
      <c r="I21" s="109"/>
      <c r="J21" s="506">
        <f t="shared" si="3"/>
        <v>0</v>
      </c>
      <c r="K21" s="506">
        <f t="shared" si="4"/>
        <v>0</v>
      </c>
      <c r="L21" s="379"/>
      <c r="M21" s="110"/>
    </row>
    <row r="22" spans="1:13" ht="12.75" customHeight="1" x14ac:dyDescent="0.25">
      <c r="A22" s="475" t="s">
        <v>530</v>
      </c>
      <c r="B22" s="629"/>
      <c r="C22" s="128"/>
      <c r="D22" s="109"/>
      <c r="E22" s="109"/>
      <c r="F22" s="109"/>
      <c r="G22" s="109"/>
      <c r="H22" s="109"/>
      <c r="I22" s="109"/>
      <c r="J22" s="506">
        <f t="shared" si="3"/>
        <v>0</v>
      </c>
      <c r="K22" s="506">
        <f t="shared" si="4"/>
        <v>0</v>
      </c>
      <c r="L22" s="379"/>
      <c r="M22" s="110"/>
    </row>
    <row r="23" spans="1:13" ht="12.75" customHeight="1" x14ac:dyDescent="0.25">
      <c r="A23" s="475"/>
      <c r="B23" s="629"/>
      <c r="C23" s="128"/>
      <c r="D23" s="109"/>
      <c r="E23" s="109"/>
      <c r="F23" s="109"/>
      <c r="G23" s="109"/>
      <c r="H23" s="109"/>
      <c r="I23" s="109"/>
      <c r="J23" s="506">
        <f t="shared" si="3"/>
        <v>0</v>
      </c>
      <c r="K23" s="506">
        <f t="shared" si="4"/>
        <v>0</v>
      </c>
      <c r="L23" s="379"/>
      <c r="M23" s="110"/>
    </row>
    <row r="24" spans="1:13" ht="12.75" customHeight="1" x14ac:dyDescent="0.25">
      <c r="A24" s="475"/>
      <c r="B24" s="629"/>
      <c r="C24" s="128"/>
      <c r="D24" s="109"/>
      <c r="E24" s="109"/>
      <c r="F24" s="109"/>
      <c r="G24" s="109"/>
      <c r="H24" s="109"/>
      <c r="I24" s="109"/>
      <c r="J24" s="506">
        <f t="shared" si="3"/>
        <v>0</v>
      </c>
      <c r="K24" s="506">
        <f t="shared" si="4"/>
        <v>0</v>
      </c>
      <c r="L24" s="379"/>
      <c r="M24" s="110"/>
    </row>
    <row r="25" spans="1:13" ht="12.75" customHeight="1" x14ac:dyDescent="0.25">
      <c r="A25" s="475"/>
      <c r="B25" s="629"/>
      <c r="C25" s="128"/>
      <c r="D25" s="109"/>
      <c r="E25" s="109"/>
      <c r="F25" s="109"/>
      <c r="G25" s="109"/>
      <c r="H25" s="109"/>
      <c r="I25" s="109"/>
      <c r="J25" s="506">
        <f t="shared" si="3"/>
        <v>0</v>
      </c>
      <c r="K25" s="506">
        <f t="shared" si="4"/>
        <v>0</v>
      </c>
      <c r="L25" s="379"/>
      <c r="M25" s="110"/>
    </row>
    <row r="26" spans="1:13" ht="12.75" customHeight="1" x14ac:dyDescent="0.25">
      <c r="A26" s="475"/>
      <c r="B26" s="629"/>
      <c r="C26" s="128"/>
      <c r="D26" s="109"/>
      <c r="E26" s="109"/>
      <c r="F26" s="109"/>
      <c r="G26" s="109"/>
      <c r="H26" s="109"/>
      <c r="I26" s="109"/>
      <c r="J26" s="506">
        <f t="shared" si="3"/>
        <v>0</v>
      </c>
      <c r="K26" s="506">
        <f t="shared" si="4"/>
        <v>0</v>
      </c>
      <c r="L26" s="379"/>
      <c r="M26" s="110"/>
    </row>
    <row r="27" spans="1:13" ht="12.75" customHeight="1" x14ac:dyDescent="0.25">
      <c r="A27" s="475"/>
      <c r="B27" s="629"/>
      <c r="C27" s="128"/>
      <c r="D27" s="109"/>
      <c r="E27" s="109"/>
      <c r="F27" s="109"/>
      <c r="G27" s="109"/>
      <c r="H27" s="109"/>
      <c r="I27" s="109"/>
      <c r="J27" s="506">
        <f t="shared" si="3"/>
        <v>0</v>
      </c>
      <c r="K27" s="506">
        <f t="shared" si="4"/>
        <v>0</v>
      </c>
      <c r="L27" s="379"/>
      <c r="M27" s="110"/>
    </row>
    <row r="28" spans="1:13" ht="12.75" customHeight="1" x14ac:dyDescent="0.25">
      <c r="A28" s="475"/>
      <c r="B28" s="629"/>
      <c r="C28" s="128"/>
      <c r="D28" s="109"/>
      <c r="E28" s="109"/>
      <c r="F28" s="109"/>
      <c r="G28" s="109"/>
      <c r="H28" s="109"/>
      <c r="I28" s="109"/>
      <c r="J28" s="506">
        <f t="shared" si="3"/>
        <v>0</v>
      </c>
      <c r="K28" s="506">
        <f t="shared" si="4"/>
        <v>0</v>
      </c>
      <c r="L28" s="379"/>
      <c r="M28" s="110"/>
    </row>
    <row r="29" spans="1:13" ht="12.75" customHeight="1" x14ac:dyDescent="0.25">
      <c r="A29" s="475"/>
      <c r="B29" s="629"/>
      <c r="C29" s="128"/>
      <c r="D29" s="109"/>
      <c r="E29" s="109"/>
      <c r="F29" s="109"/>
      <c r="G29" s="109"/>
      <c r="H29" s="109"/>
      <c r="I29" s="109"/>
      <c r="J29" s="506">
        <f t="shared" si="3"/>
        <v>0</v>
      </c>
      <c r="K29" s="506">
        <f t="shared" si="4"/>
        <v>0</v>
      </c>
      <c r="L29" s="379"/>
      <c r="M29" s="110"/>
    </row>
    <row r="30" spans="1:13" ht="12.75" customHeight="1" x14ac:dyDescent="0.25">
      <c r="A30" s="160" t="s">
        <v>531</v>
      </c>
      <c r="B30" s="79">
        <v>2</v>
      </c>
      <c r="C30" s="80">
        <f t="shared" ref="C30:M30" si="5">SUM(C20:C29)</f>
        <v>0</v>
      </c>
      <c r="D30" s="81">
        <f t="shared" si="5"/>
        <v>0</v>
      </c>
      <c r="E30" s="81">
        <f t="shared" si="5"/>
        <v>0</v>
      </c>
      <c r="F30" s="81">
        <f t="shared" si="5"/>
        <v>0</v>
      </c>
      <c r="G30" s="81">
        <f t="shared" si="5"/>
        <v>0</v>
      </c>
      <c r="H30" s="81">
        <f t="shared" si="5"/>
        <v>0</v>
      </c>
      <c r="I30" s="81">
        <f t="shared" si="5"/>
        <v>0</v>
      </c>
      <c r="J30" s="517">
        <f t="shared" si="5"/>
        <v>0</v>
      </c>
      <c r="K30" s="517">
        <f t="shared" si="5"/>
        <v>0</v>
      </c>
      <c r="L30" s="517">
        <f t="shared" si="5"/>
        <v>0</v>
      </c>
      <c r="M30" s="82">
        <f t="shared" si="5"/>
        <v>0</v>
      </c>
    </row>
    <row r="31" spans="1:13" ht="5.0999999999999996" customHeight="1" x14ac:dyDescent="0.25">
      <c r="A31" s="134"/>
      <c r="B31" s="73"/>
      <c r="C31" s="74"/>
      <c r="D31" s="75"/>
      <c r="E31" s="75"/>
      <c r="F31" s="75"/>
      <c r="G31" s="75"/>
      <c r="H31" s="75"/>
      <c r="I31" s="75"/>
      <c r="J31" s="506"/>
      <c r="K31" s="506"/>
      <c r="L31" s="506"/>
      <c r="M31" s="76"/>
    </row>
    <row r="32" spans="1:13" ht="12.75" customHeight="1" x14ac:dyDescent="0.25">
      <c r="A32" s="124" t="s">
        <v>532</v>
      </c>
      <c r="B32" s="135"/>
      <c r="C32" s="74"/>
      <c r="D32" s="75"/>
      <c r="E32" s="75"/>
      <c r="F32" s="75"/>
      <c r="G32" s="75"/>
      <c r="H32" s="75"/>
      <c r="I32" s="75"/>
      <c r="J32" s="506"/>
      <c r="K32" s="506"/>
      <c r="L32" s="506"/>
      <c r="M32" s="76"/>
    </row>
    <row r="33" spans="1:13" ht="12.75" customHeight="1" x14ac:dyDescent="0.25">
      <c r="A33" s="475" t="s">
        <v>533</v>
      </c>
      <c r="B33" s="135"/>
      <c r="C33" s="128"/>
      <c r="D33" s="109"/>
      <c r="E33" s="109"/>
      <c r="F33" s="109"/>
      <c r="G33" s="109"/>
      <c r="H33" s="109"/>
      <c r="I33" s="109"/>
      <c r="J33" s="506">
        <f t="shared" ref="J33:J42" si="6">SUM(E33:I33)</f>
        <v>0</v>
      </c>
      <c r="K33" s="506">
        <f t="shared" ref="K33:K42" si="7">IF(D33=0,C33+J33,D33+J33)</f>
        <v>0</v>
      </c>
      <c r="L33" s="379"/>
      <c r="M33" s="110"/>
    </row>
    <row r="34" spans="1:13" ht="12.75" customHeight="1" x14ac:dyDescent="0.25">
      <c r="A34" s="475" t="s">
        <v>534</v>
      </c>
      <c r="B34" s="135"/>
      <c r="C34" s="128"/>
      <c r="D34" s="109"/>
      <c r="E34" s="109"/>
      <c r="F34" s="109"/>
      <c r="G34" s="109"/>
      <c r="H34" s="109"/>
      <c r="I34" s="109"/>
      <c r="J34" s="506">
        <f t="shared" si="6"/>
        <v>0</v>
      </c>
      <c r="K34" s="506">
        <f t="shared" si="7"/>
        <v>0</v>
      </c>
      <c r="L34" s="379"/>
      <c r="M34" s="110"/>
    </row>
    <row r="35" spans="1:13" ht="12.75" customHeight="1" x14ac:dyDescent="0.25">
      <c r="A35" s="475" t="s">
        <v>535</v>
      </c>
      <c r="B35" s="135"/>
      <c r="C35" s="128"/>
      <c r="D35" s="109"/>
      <c r="E35" s="109"/>
      <c r="F35" s="109"/>
      <c r="G35" s="109"/>
      <c r="H35" s="109"/>
      <c r="I35" s="109"/>
      <c r="J35" s="506">
        <f t="shared" si="6"/>
        <v>0</v>
      </c>
      <c r="K35" s="506">
        <f t="shared" si="7"/>
        <v>0</v>
      </c>
      <c r="L35" s="379"/>
      <c r="M35" s="110"/>
    </row>
    <row r="36" spans="1:13" ht="12.75" customHeight="1" x14ac:dyDescent="0.25">
      <c r="A36" s="475"/>
      <c r="B36" s="135"/>
      <c r="C36" s="128"/>
      <c r="D36" s="109"/>
      <c r="E36" s="109"/>
      <c r="F36" s="109"/>
      <c r="G36" s="109"/>
      <c r="H36" s="109"/>
      <c r="I36" s="109"/>
      <c r="J36" s="506">
        <f t="shared" si="6"/>
        <v>0</v>
      </c>
      <c r="K36" s="506">
        <f t="shared" si="7"/>
        <v>0</v>
      </c>
      <c r="L36" s="379"/>
      <c r="M36" s="110"/>
    </row>
    <row r="37" spans="1:13" ht="12.75" customHeight="1" x14ac:dyDescent="0.25">
      <c r="A37" s="475"/>
      <c r="B37" s="135"/>
      <c r="C37" s="128"/>
      <c r="D37" s="109"/>
      <c r="E37" s="109"/>
      <c r="F37" s="109"/>
      <c r="G37" s="109"/>
      <c r="H37" s="109"/>
      <c r="I37" s="109"/>
      <c r="J37" s="506">
        <f t="shared" si="6"/>
        <v>0</v>
      </c>
      <c r="K37" s="506">
        <f t="shared" si="7"/>
        <v>0</v>
      </c>
      <c r="L37" s="379"/>
      <c r="M37" s="110"/>
    </row>
    <row r="38" spans="1:13" ht="12.75" customHeight="1" x14ac:dyDescent="0.25">
      <c r="A38" s="475"/>
      <c r="B38" s="135"/>
      <c r="C38" s="128"/>
      <c r="D38" s="109"/>
      <c r="E38" s="109"/>
      <c r="F38" s="109"/>
      <c r="G38" s="109"/>
      <c r="H38" s="109"/>
      <c r="I38" s="109"/>
      <c r="J38" s="506">
        <f t="shared" si="6"/>
        <v>0</v>
      </c>
      <c r="K38" s="506">
        <f t="shared" si="7"/>
        <v>0</v>
      </c>
      <c r="L38" s="379"/>
      <c r="M38" s="110"/>
    </row>
    <row r="39" spans="1:13" ht="12.75" customHeight="1" x14ac:dyDescent="0.25">
      <c r="A39" s="475"/>
      <c r="B39" s="135"/>
      <c r="C39" s="128"/>
      <c r="D39" s="109"/>
      <c r="E39" s="109"/>
      <c r="F39" s="109"/>
      <c r="G39" s="109"/>
      <c r="H39" s="109"/>
      <c r="I39" s="109"/>
      <c r="J39" s="506">
        <f t="shared" si="6"/>
        <v>0</v>
      </c>
      <c r="K39" s="506">
        <f t="shared" si="7"/>
        <v>0</v>
      </c>
      <c r="L39" s="379"/>
      <c r="M39" s="110"/>
    </row>
    <row r="40" spans="1:13" ht="12.75" customHeight="1" x14ac:dyDescent="0.25">
      <c r="A40" s="475"/>
      <c r="B40" s="135"/>
      <c r="C40" s="128"/>
      <c r="D40" s="109"/>
      <c r="E40" s="109"/>
      <c r="F40" s="109"/>
      <c r="G40" s="109"/>
      <c r="H40" s="109"/>
      <c r="I40" s="109"/>
      <c r="J40" s="506">
        <f t="shared" si="6"/>
        <v>0</v>
      </c>
      <c r="K40" s="506">
        <f t="shared" si="7"/>
        <v>0</v>
      </c>
      <c r="L40" s="379"/>
      <c r="M40" s="110"/>
    </row>
    <row r="41" spans="1:13" ht="12.75" customHeight="1" x14ac:dyDescent="0.25">
      <c r="A41" s="475"/>
      <c r="B41" s="135"/>
      <c r="C41" s="128"/>
      <c r="D41" s="109"/>
      <c r="E41" s="109"/>
      <c r="F41" s="109"/>
      <c r="G41" s="109"/>
      <c r="H41" s="109"/>
      <c r="I41" s="109"/>
      <c r="J41" s="506">
        <f t="shared" si="6"/>
        <v>0</v>
      </c>
      <c r="K41" s="506">
        <f t="shared" si="7"/>
        <v>0</v>
      </c>
      <c r="L41" s="379"/>
      <c r="M41" s="110"/>
    </row>
    <row r="42" spans="1:13" ht="12.75" customHeight="1" x14ac:dyDescent="0.25">
      <c r="A42" s="475"/>
      <c r="B42" s="135"/>
      <c r="C42" s="128"/>
      <c r="D42" s="109"/>
      <c r="E42" s="109"/>
      <c r="F42" s="109"/>
      <c r="G42" s="109"/>
      <c r="H42" s="109"/>
      <c r="I42" s="109"/>
      <c r="J42" s="506">
        <f t="shared" si="6"/>
        <v>0</v>
      </c>
      <c r="K42" s="506">
        <f t="shared" si="7"/>
        <v>0</v>
      </c>
      <c r="L42" s="379"/>
      <c r="M42" s="110"/>
    </row>
    <row r="43" spans="1:13" ht="12.75" customHeight="1" x14ac:dyDescent="0.25">
      <c r="A43" s="153" t="s">
        <v>476</v>
      </c>
      <c r="B43" s="154">
        <v>2</v>
      </c>
      <c r="C43" s="155">
        <f t="shared" ref="C43:M43" si="8">SUM(C32:C42)</f>
        <v>0</v>
      </c>
      <c r="D43" s="115">
        <f t="shared" si="8"/>
        <v>0</v>
      </c>
      <c r="E43" s="115">
        <f t="shared" si="8"/>
        <v>0</v>
      </c>
      <c r="F43" s="115">
        <f t="shared" si="8"/>
        <v>0</v>
      </c>
      <c r="G43" s="115">
        <f t="shared" si="8"/>
        <v>0</v>
      </c>
      <c r="H43" s="115">
        <f t="shared" si="8"/>
        <v>0</v>
      </c>
      <c r="I43" s="115">
        <f t="shared" si="8"/>
        <v>0</v>
      </c>
      <c r="J43" s="520">
        <f t="shared" si="8"/>
        <v>0</v>
      </c>
      <c r="K43" s="520">
        <f t="shared" si="8"/>
        <v>0</v>
      </c>
      <c r="L43" s="520">
        <f t="shared" si="8"/>
        <v>0</v>
      </c>
      <c r="M43" s="116">
        <f t="shared" si="8"/>
        <v>0</v>
      </c>
    </row>
    <row r="44" spans="1:13" ht="12.75" customHeight="1" x14ac:dyDescent="0.25">
      <c r="A44" s="156" t="str">
        <f>head27a</f>
        <v>References</v>
      </c>
      <c r="B44" s="119"/>
      <c r="C44" s="499"/>
      <c r="D44" s="499"/>
      <c r="E44" s="499"/>
      <c r="F44" s="499"/>
      <c r="G44" s="499"/>
      <c r="H44" s="499"/>
      <c r="I44" s="499"/>
      <c r="J44" s="499"/>
      <c r="K44" s="499"/>
      <c r="L44" s="499"/>
      <c r="M44" s="499"/>
    </row>
    <row r="45" spans="1:13" ht="12.75" customHeight="1" x14ac:dyDescent="0.25">
      <c r="A45" s="99" t="s">
        <v>536</v>
      </c>
      <c r="B45" s="93"/>
      <c r="C45" s="96"/>
      <c r="D45" s="96"/>
      <c r="E45" s="96"/>
      <c r="F45" s="96"/>
      <c r="G45" s="96"/>
      <c r="H45" s="96"/>
      <c r="I45" s="96"/>
      <c r="J45" s="96"/>
      <c r="K45" s="96"/>
      <c r="L45" s="96"/>
      <c r="M45" s="96"/>
    </row>
    <row r="46" spans="1:13" ht="12.75" customHeight="1" x14ac:dyDescent="0.25">
      <c r="A46" s="99" t="s">
        <v>537</v>
      </c>
      <c r="B46" s="93"/>
      <c r="C46" s="96"/>
      <c r="D46" s="96"/>
      <c r="E46" s="96"/>
      <c r="F46" s="96"/>
      <c r="G46" s="96"/>
      <c r="H46" s="96"/>
      <c r="I46" s="96"/>
      <c r="J46" s="96"/>
      <c r="K46" s="96"/>
      <c r="L46" s="96"/>
      <c r="M46" s="96"/>
    </row>
    <row r="47" spans="1:13" ht="12.75" customHeight="1" x14ac:dyDescent="0.25">
      <c r="A47" s="1416" t="s">
        <v>988</v>
      </c>
      <c r="B47" s="1416"/>
      <c r="C47" s="1416"/>
      <c r="D47" s="1416"/>
      <c r="E47" s="1416"/>
      <c r="F47" s="1416"/>
      <c r="G47" s="1416"/>
      <c r="H47" s="1416"/>
      <c r="I47" s="1416"/>
      <c r="J47" s="1416"/>
      <c r="K47" s="1416"/>
      <c r="L47" s="1416"/>
      <c r="M47" s="1416"/>
    </row>
    <row r="48" spans="1:13" ht="12.75" customHeight="1" x14ac:dyDescent="0.25">
      <c r="A48" s="1416" t="s">
        <v>538</v>
      </c>
      <c r="B48" s="1416"/>
      <c r="C48" s="1416"/>
      <c r="D48" s="1416"/>
      <c r="E48" s="1416"/>
      <c r="F48" s="1416"/>
      <c r="G48" s="1416"/>
      <c r="H48" s="1416"/>
      <c r="I48" s="1416"/>
      <c r="J48" s="1416"/>
      <c r="K48" s="1416"/>
      <c r="L48" s="1416"/>
      <c r="M48" s="1416"/>
    </row>
    <row r="49" spans="1:13" ht="12.75" customHeight="1" x14ac:dyDescent="0.25">
      <c r="A49" s="1416" t="s">
        <v>539</v>
      </c>
      <c r="B49" s="1416"/>
      <c r="C49" s="1416"/>
      <c r="D49" s="1416"/>
      <c r="E49" s="1416"/>
      <c r="F49" s="1416"/>
      <c r="G49" s="1416"/>
      <c r="H49" s="1416"/>
      <c r="I49" s="1416"/>
      <c r="J49" s="1416"/>
      <c r="K49" s="1416"/>
      <c r="L49" s="1416"/>
      <c r="M49" s="1416"/>
    </row>
    <row r="50" spans="1:13" ht="12.75" customHeight="1" x14ac:dyDescent="0.25">
      <c r="A50" s="1416" t="s">
        <v>540</v>
      </c>
      <c r="B50" s="1416"/>
      <c r="C50" s="1416"/>
      <c r="D50" s="1416"/>
      <c r="E50" s="1416"/>
      <c r="F50" s="1416"/>
      <c r="G50" s="1416"/>
      <c r="H50" s="1416"/>
      <c r="I50" s="1416"/>
      <c r="J50" s="1416"/>
      <c r="K50" s="1416"/>
      <c r="L50" s="1416"/>
      <c r="M50" s="1416"/>
    </row>
    <row r="51" spans="1:13" ht="12.75" customHeight="1" x14ac:dyDescent="0.25">
      <c r="A51" s="95" t="s">
        <v>541</v>
      </c>
      <c r="B51" s="93"/>
      <c r="C51" s="96"/>
      <c r="D51" s="96"/>
      <c r="E51" s="96"/>
      <c r="F51" s="96"/>
      <c r="G51" s="96"/>
      <c r="H51" s="96"/>
      <c r="I51" s="96"/>
      <c r="J51" s="96"/>
      <c r="K51" s="96"/>
      <c r="L51" s="96"/>
      <c r="M51" s="96"/>
    </row>
    <row r="52" spans="1:13" ht="12.75" customHeight="1" x14ac:dyDescent="0.25">
      <c r="A52" s="99" t="s">
        <v>542</v>
      </c>
      <c r="B52" s="93"/>
      <c r="C52" s="96"/>
      <c r="D52" s="96"/>
      <c r="E52" s="96"/>
      <c r="F52" s="96"/>
      <c r="G52" s="96"/>
      <c r="H52" s="96"/>
      <c r="I52" s="96"/>
      <c r="J52" s="96"/>
      <c r="K52" s="96"/>
      <c r="L52" s="96"/>
      <c r="M52" s="96"/>
    </row>
    <row r="53" spans="1:13" ht="12.75" customHeight="1" x14ac:dyDescent="0.25">
      <c r="A53" s="1416" t="s">
        <v>543</v>
      </c>
      <c r="B53" s="1416"/>
      <c r="C53" s="1416"/>
      <c r="D53" s="1416"/>
      <c r="E53" s="1416"/>
      <c r="F53" s="1416"/>
      <c r="G53" s="1416"/>
      <c r="H53" s="1416"/>
      <c r="I53" s="1416"/>
      <c r="J53" s="1416"/>
      <c r="K53" s="1416"/>
      <c r="L53" s="1416"/>
      <c r="M53" s="1416"/>
    </row>
    <row r="54" spans="1:13" ht="12.75" customHeight="1" x14ac:dyDescent="0.25">
      <c r="A54" s="99" t="s">
        <v>544</v>
      </c>
      <c r="B54" s="93"/>
      <c r="C54" s="96"/>
      <c r="D54" s="96"/>
      <c r="E54" s="96"/>
      <c r="F54" s="96"/>
      <c r="G54" s="96"/>
      <c r="H54" s="96"/>
      <c r="I54" s="96"/>
      <c r="J54" s="96"/>
      <c r="K54" s="96"/>
      <c r="L54" s="96"/>
      <c r="M54" s="96"/>
    </row>
    <row r="55" spans="1:13" ht="12.75" customHeight="1" x14ac:dyDescent="0.25">
      <c r="A55" s="100" t="s">
        <v>545</v>
      </c>
      <c r="B55" s="100"/>
      <c r="C55" s="100"/>
      <c r="D55" s="100"/>
      <c r="E55" s="100"/>
      <c r="F55" s="100"/>
      <c r="G55" s="100"/>
      <c r="H55" s="100"/>
      <c r="I55" s="100"/>
      <c r="J55" s="100"/>
      <c r="K55" s="100"/>
      <c r="L55" s="100"/>
      <c r="M55" s="100"/>
    </row>
    <row r="56" spans="1:13" ht="11.25" customHeight="1" x14ac:dyDescent="0.25">
      <c r="B56" s="126"/>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4"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92D050"/>
  </sheetPr>
  <dimension ref="A1:V308"/>
  <sheetViews>
    <sheetView topLeftCell="A266" workbookViewId="0">
      <selection activeCell="B275" sqref="B275"/>
    </sheetView>
  </sheetViews>
  <sheetFormatPr defaultColWidth="9.140625" defaultRowHeight="11.25" x14ac:dyDescent="0.2"/>
  <cols>
    <col min="1" max="1" width="28.85546875" style="649" bestFit="1" customWidth="1"/>
    <col min="2" max="2" width="25.85546875" style="649" customWidth="1"/>
    <col min="3" max="4" width="41.85546875" style="649" bestFit="1" customWidth="1"/>
    <col min="5" max="14" width="41.85546875" style="649" customWidth="1"/>
    <col min="15" max="15" width="43.5703125" style="649" bestFit="1" customWidth="1"/>
    <col min="16" max="16" width="1.42578125" style="649" customWidth="1"/>
    <col min="17" max="17" width="9.140625" style="649"/>
    <col min="18" max="19" width="33.42578125" style="649" bestFit="1" customWidth="1"/>
    <col min="20" max="20" width="30.42578125" style="649" bestFit="1" customWidth="1"/>
    <col min="21" max="21" width="27.5703125" style="649" customWidth="1"/>
    <col min="22" max="16384" width="9.140625" style="649"/>
  </cols>
  <sheetData>
    <row r="1" spans="1:22" s="1" customFormat="1" x14ac:dyDescent="0.2">
      <c r="A1" s="642" t="s">
        <v>246</v>
      </c>
      <c r="B1" s="643">
        <v>2007</v>
      </c>
      <c r="C1" s="643">
        <v>2008</v>
      </c>
      <c r="D1" s="643">
        <v>2009</v>
      </c>
      <c r="E1" s="644">
        <v>2010</v>
      </c>
      <c r="F1" s="644">
        <v>2011</v>
      </c>
      <c r="G1" s="644">
        <v>2012</v>
      </c>
      <c r="H1" s="644">
        <v>2013</v>
      </c>
      <c r="I1" s="644">
        <v>2014</v>
      </c>
      <c r="J1" s="644">
        <v>2015</v>
      </c>
      <c r="K1" s="644">
        <v>2016</v>
      </c>
      <c r="L1" s="644">
        <v>2017</v>
      </c>
      <c r="M1" s="644">
        <v>2018</v>
      </c>
      <c r="N1" s="644">
        <v>2019</v>
      </c>
      <c r="O1" s="644">
        <v>2020</v>
      </c>
      <c r="P1" s="645"/>
      <c r="Q1" s="646" t="s">
        <v>247</v>
      </c>
      <c r="R1" s="646" t="s">
        <v>248</v>
      </c>
      <c r="S1" s="646" t="s">
        <v>249</v>
      </c>
      <c r="T1" s="646" t="s">
        <v>250</v>
      </c>
      <c r="U1" s="646" t="s">
        <v>251</v>
      </c>
      <c r="V1" s="1" t="s">
        <v>252</v>
      </c>
    </row>
    <row r="2" spans="1:22" x14ac:dyDescent="0.2">
      <c r="A2" s="647" t="str">
        <f>'Template names'!C2</f>
        <v>Prior year -1</v>
      </c>
      <c r="B2" s="648" t="s">
        <v>253</v>
      </c>
      <c r="C2" s="648" t="s">
        <v>254</v>
      </c>
      <c r="D2" s="648" t="s">
        <v>255</v>
      </c>
      <c r="E2" s="651" t="str">
        <f t="shared" ref="E2:O2" si="0">E1-1&amp;"/"&amp;RIGHT(E1,2)-0</f>
        <v>2009/10</v>
      </c>
      <c r="F2" s="651" t="str">
        <f t="shared" si="0"/>
        <v>2010/11</v>
      </c>
      <c r="G2" s="651" t="str">
        <f t="shared" si="0"/>
        <v>2011/12</v>
      </c>
      <c r="H2" s="651" t="str">
        <f t="shared" si="0"/>
        <v>2012/13</v>
      </c>
      <c r="I2" s="651" t="str">
        <f t="shared" si="0"/>
        <v>2013/14</v>
      </c>
      <c r="J2" s="651" t="str">
        <f t="shared" si="0"/>
        <v>2014/15</v>
      </c>
      <c r="K2" s="651" t="str">
        <f t="shared" si="0"/>
        <v>2015/16</v>
      </c>
      <c r="L2" s="651" t="str">
        <f t="shared" si="0"/>
        <v>2016/17</v>
      </c>
      <c r="M2" s="651" t="str">
        <f t="shared" si="0"/>
        <v>2017/18</v>
      </c>
      <c r="N2" s="651" t="str">
        <f t="shared" si="0"/>
        <v>2018/19</v>
      </c>
      <c r="O2" s="651" t="str">
        <f t="shared" si="0"/>
        <v>2019/20</v>
      </c>
      <c r="P2" s="648"/>
      <c r="R2" s="649" t="s">
        <v>1273</v>
      </c>
      <c r="S2" s="649" t="s">
        <v>1283</v>
      </c>
      <c r="T2" s="649" t="s">
        <v>1285</v>
      </c>
      <c r="U2" s="649" t="s">
        <v>1292</v>
      </c>
      <c r="V2" s="649" t="s">
        <v>257</v>
      </c>
    </row>
    <row r="3" spans="1:22" x14ac:dyDescent="0.2">
      <c r="A3" s="647" t="str">
        <f>'Template names'!C3</f>
        <v>Prior year -2</v>
      </c>
      <c r="B3" s="650" t="s">
        <v>258</v>
      </c>
      <c r="C3" s="648" t="s">
        <v>253</v>
      </c>
      <c r="D3" s="648" t="s">
        <v>254</v>
      </c>
      <c r="E3" s="651" t="str">
        <f t="shared" ref="E3:O3" si="1">E1-2&amp;"/"&amp;RIGHT(E1,2)-1</f>
        <v>2008/9</v>
      </c>
      <c r="F3" s="651" t="str">
        <f t="shared" si="1"/>
        <v>2009/10</v>
      </c>
      <c r="G3" s="651" t="str">
        <f t="shared" si="1"/>
        <v>2010/11</v>
      </c>
      <c r="H3" s="651" t="str">
        <f t="shared" si="1"/>
        <v>2011/12</v>
      </c>
      <c r="I3" s="651" t="str">
        <f t="shared" si="1"/>
        <v>2012/13</v>
      </c>
      <c r="J3" s="651" t="str">
        <f t="shared" si="1"/>
        <v>2013/14</v>
      </c>
      <c r="K3" s="651" t="str">
        <f t="shared" si="1"/>
        <v>2014/15</v>
      </c>
      <c r="L3" s="651" t="str">
        <f t="shared" si="1"/>
        <v>2015/16</v>
      </c>
      <c r="M3" s="651" t="str">
        <f t="shared" si="1"/>
        <v>2016/17</v>
      </c>
      <c r="N3" s="651" t="str">
        <f t="shared" si="1"/>
        <v>2017/18</v>
      </c>
      <c r="O3" s="651" t="str">
        <f t="shared" si="1"/>
        <v>2018/19</v>
      </c>
      <c r="P3" s="648"/>
      <c r="R3" s="649" t="s">
        <v>1274</v>
      </c>
      <c r="S3" s="649" t="s">
        <v>1284</v>
      </c>
      <c r="T3" s="649" t="s">
        <v>1286</v>
      </c>
      <c r="U3" s="649" t="s">
        <v>1293</v>
      </c>
      <c r="V3" s="649" t="s">
        <v>548</v>
      </c>
    </row>
    <row r="4" spans="1:22" x14ac:dyDescent="0.2">
      <c r="A4" s="647" t="str">
        <f>'Template names'!C4</f>
        <v>Prior year -3</v>
      </c>
      <c r="B4" s="650" t="s">
        <v>260</v>
      </c>
      <c r="C4" s="648" t="s">
        <v>258</v>
      </c>
      <c r="D4" s="648" t="s">
        <v>253</v>
      </c>
      <c r="E4" s="651" t="str">
        <f t="shared" ref="E4:O4" si="2">E1-3&amp;"/"&amp;RIGHT(E1,2)-2</f>
        <v>2007/8</v>
      </c>
      <c r="F4" s="651" t="str">
        <f t="shared" si="2"/>
        <v>2008/9</v>
      </c>
      <c r="G4" s="651" t="str">
        <f t="shared" si="2"/>
        <v>2009/10</v>
      </c>
      <c r="H4" s="651" t="str">
        <f t="shared" si="2"/>
        <v>2010/11</v>
      </c>
      <c r="I4" s="651" t="str">
        <f t="shared" si="2"/>
        <v>2011/12</v>
      </c>
      <c r="J4" s="651" t="str">
        <f t="shared" si="2"/>
        <v>2012/13</v>
      </c>
      <c r="K4" s="651" t="str">
        <f t="shared" si="2"/>
        <v>2013/14</v>
      </c>
      <c r="L4" s="651" t="str">
        <f t="shared" si="2"/>
        <v>2014/15</v>
      </c>
      <c r="M4" s="651" t="str">
        <f t="shared" si="2"/>
        <v>2015/16</v>
      </c>
      <c r="N4" s="651" t="str">
        <f t="shared" si="2"/>
        <v>2016/17</v>
      </c>
      <c r="O4" s="651" t="str">
        <f t="shared" si="2"/>
        <v>2017/18</v>
      </c>
      <c r="P4" s="648"/>
      <c r="R4" s="649" t="s">
        <v>1275</v>
      </c>
      <c r="S4" s="649" t="s">
        <v>621</v>
      </c>
      <c r="T4" s="649" t="s">
        <v>1287</v>
      </c>
      <c r="U4" s="649" t="s">
        <v>622</v>
      </c>
    </row>
    <row r="5" spans="1:22" x14ac:dyDescent="0.2">
      <c r="A5" s="647" t="str">
        <f>'Template names'!C7</f>
        <v>MTREF header name</v>
      </c>
      <c r="B5" s="648" t="s">
        <v>261</v>
      </c>
      <c r="C5" s="648" t="s">
        <v>262</v>
      </c>
      <c r="D5" s="648" t="s">
        <v>263</v>
      </c>
      <c r="E5" s="651" t="str">
        <f t="shared" ref="E5:O5" si="3">E1&amp;"/"&amp;RIGHT(E1,2)+1&amp;" Medium Term Revenue &amp; Expenditure Framework"</f>
        <v>2010/11 Medium Term Revenue &amp; Expenditure Framework</v>
      </c>
      <c r="F5" s="651" t="str">
        <f t="shared" si="3"/>
        <v>2011/12 Medium Term Revenue &amp; Expenditure Framework</v>
      </c>
      <c r="G5" s="651" t="str">
        <f t="shared" si="3"/>
        <v>2012/13 Medium Term Revenue &amp; Expenditure Framework</v>
      </c>
      <c r="H5" s="651" t="str">
        <f t="shared" si="3"/>
        <v>2013/14 Medium Term Revenue &amp; Expenditure Framework</v>
      </c>
      <c r="I5" s="651" t="str">
        <f t="shared" si="3"/>
        <v>2014/15 Medium Term Revenue &amp; Expenditure Framework</v>
      </c>
      <c r="J5" s="651" t="str">
        <f t="shared" si="3"/>
        <v>2015/16 Medium Term Revenue &amp; Expenditure Framework</v>
      </c>
      <c r="K5" s="651" t="str">
        <f t="shared" si="3"/>
        <v>2016/17 Medium Term Revenue &amp; Expenditure Framework</v>
      </c>
      <c r="L5" s="651" t="str">
        <f t="shared" si="3"/>
        <v>2017/18 Medium Term Revenue &amp; Expenditure Framework</v>
      </c>
      <c r="M5" s="651" t="str">
        <f t="shared" si="3"/>
        <v>2018/19 Medium Term Revenue &amp; Expenditure Framework</v>
      </c>
      <c r="N5" s="651" t="str">
        <f t="shared" si="3"/>
        <v>2019/20 Medium Term Revenue &amp; Expenditure Framework</v>
      </c>
      <c r="O5" s="651" t="str">
        <f t="shared" si="3"/>
        <v>2020/21 Medium Term Revenue &amp; Expenditure Framework</v>
      </c>
      <c r="P5" s="648"/>
      <c r="R5" s="649" t="s">
        <v>264</v>
      </c>
      <c r="S5" s="649" t="s">
        <v>265</v>
      </c>
      <c r="T5" s="649" t="s">
        <v>1288</v>
      </c>
      <c r="U5" s="649" t="s">
        <v>1294</v>
      </c>
    </row>
    <row r="6" spans="1:22" x14ac:dyDescent="0.2">
      <c r="A6" s="647" t="str">
        <f>'Template names'!C6</f>
        <v>Approved budget year</v>
      </c>
      <c r="B6" s="648" t="s">
        <v>254</v>
      </c>
      <c r="C6" s="648" t="s">
        <v>255</v>
      </c>
      <c r="D6" s="648" t="s">
        <v>256</v>
      </c>
      <c r="E6" s="652" t="str">
        <f t="shared" ref="E6:O6" si="4">E1&amp;"/"&amp;RIGHT(E1,2)+1</f>
        <v>2010/11</v>
      </c>
      <c r="F6" s="652" t="str">
        <f t="shared" si="4"/>
        <v>2011/12</v>
      </c>
      <c r="G6" s="652" t="str">
        <f t="shared" si="4"/>
        <v>2012/13</v>
      </c>
      <c r="H6" s="652" t="str">
        <f t="shared" si="4"/>
        <v>2013/14</v>
      </c>
      <c r="I6" s="652" t="str">
        <f t="shared" si="4"/>
        <v>2014/15</v>
      </c>
      <c r="J6" s="652" t="str">
        <f t="shared" si="4"/>
        <v>2015/16</v>
      </c>
      <c r="K6" s="652" t="str">
        <f t="shared" si="4"/>
        <v>2016/17</v>
      </c>
      <c r="L6" s="652" t="str">
        <f t="shared" si="4"/>
        <v>2017/18</v>
      </c>
      <c r="M6" s="652" t="str">
        <f t="shared" si="4"/>
        <v>2018/19</v>
      </c>
      <c r="N6" s="652" t="str">
        <f t="shared" si="4"/>
        <v>2019/20</v>
      </c>
      <c r="O6" s="652" t="str">
        <f t="shared" si="4"/>
        <v>2020/21</v>
      </c>
      <c r="P6" s="648"/>
      <c r="R6" s="649" t="s">
        <v>1276</v>
      </c>
      <c r="T6" s="649" t="s">
        <v>1289</v>
      </c>
      <c r="U6" s="649" t="s">
        <v>1295</v>
      </c>
    </row>
    <row r="7" spans="1:22" x14ac:dyDescent="0.2">
      <c r="A7" s="647" t="str">
        <f>'Template names'!C16</f>
        <v>1st year of MTREF</v>
      </c>
      <c r="B7" s="648" t="s">
        <v>266</v>
      </c>
      <c r="C7" s="648" t="s">
        <v>267</v>
      </c>
      <c r="D7" s="648" t="s">
        <v>268</v>
      </c>
      <c r="E7" s="651" t="str">
        <f t="shared" ref="E7:O7" si="5">"Budget Year "&amp;E1&amp;"/"&amp;RIGHT(E1,2)+1</f>
        <v>Budget Year 2010/11</v>
      </c>
      <c r="F7" s="651" t="str">
        <f t="shared" si="5"/>
        <v>Budget Year 2011/12</v>
      </c>
      <c r="G7" s="651" t="str">
        <f t="shared" si="5"/>
        <v>Budget Year 2012/13</v>
      </c>
      <c r="H7" s="651" t="str">
        <f t="shared" si="5"/>
        <v>Budget Year 2013/14</v>
      </c>
      <c r="I7" s="651" t="str">
        <f t="shared" si="5"/>
        <v>Budget Year 2014/15</v>
      </c>
      <c r="J7" s="651" t="str">
        <f t="shared" si="5"/>
        <v>Budget Year 2015/16</v>
      </c>
      <c r="K7" s="651" t="str">
        <f t="shared" si="5"/>
        <v>Budget Year 2016/17</v>
      </c>
      <c r="L7" s="651" t="str">
        <f t="shared" si="5"/>
        <v>Budget Year 2017/18</v>
      </c>
      <c r="M7" s="651" t="str">
        <f t="shared" si="5"/>
        <v>Budget Year 2018/19</v>
      </c>
      <c r="N7" s="651" t="str">
        <f t="shared" si="5"/>
        <v>Budget Year 2019/20</v>
      </c>
      <c r="O7" s="651" t="str">
        <f t="shared" si="5"/>
        <v>Budget Year 2020/21</v>
      </c>
      <c r="P7" s="648"/>
      <c r="R7" s="649" t="s">
        <v>1277</v>
      </c>
      <c r="T7" s="649" t="s">
        <v>1290</v>
      </c>
      <c r="U7" s="649" t="s">
        <v>1296</v>
      </c>
    </row>
    <row r="8" spans="1:22" x14ac:dyDescent="0.2">
      <c r="A8" s="647" t="str">
        <f>'Template names'!C17</f>
        <v>2nd year of MTREF</v>
      </c>
      <c r="B8" s="648" t="s">
        <v>269</v>
      </c>
      <c r="C8" s="648" t="s">
        <v>270</v>
      </c>
      <c r="D8" s="648" t="s">
        <v>271</v>
      </c>
      <c r="E8" s="651" t="str">
        <f t="shared" ref="E8:O8" si="6">"Budget Year +1 "&amp;E1+1&amp;"/"&amp;RIGHT(E1,2)+2</f>
        <v>Budget Year +1 2011/12</v>
      </c>
      <c r="F8" s="651" t="str">
        <f t="shared" si="6"/>
        <v>Budget Year +1 2012/13</v>
      </c>
      <c r="G8" s="651" t="str">
        <f t="shared" si="6"/>
        <v>Budget Year +1 2013/14</v>
      </c>
      <c r="H8" s="651" t="str">
        <f t="shared" si="6"/>
        <v>Budget Year +1 2014/15</v>
      </c>
      <c r="I8" s="651" t="str">
        <f t="shared" si="6"/>
        <v>Budget Year +1 2015/16</v>
      </c>
      <c r="J8" s="651" t="str">
        <f t="shared" si="6"/>
        <v>Budget Year +1 2016/17</v>
      </c>
      <c r="K8" s="651" t="str">
        <f t="shared" si="6"/>
        <v>Budget Year +1 2017/18</v>
      </c>
      <c r="L8" s="651" t="str">
        <f t="shared" si="6"/>
        <v>Budget Year +1 2018/19</v>
      </c>
      <c r="M8" s="651" t="str">
        <f t="shared" si="6"/>
        <v>Budget Year +1 2019/20</v>
      </c>
      <c r="N8" s="651" t="str">
        <f t="shared" si="6"/>
        <v>Budget Year +1 2020/21</v>
      </c>
      <c r="O8" s="651" t="str">
        <f t="shared" si="6"/>
        <v>Budget Year +1 2021/22</v>
      </c>
      <c r="P8" s="648"/>
      <c r="R8" s="649" t="s">
        <v>1278</v>
      </c>
      <c r="T8" s="649" t="s">
        <v>1291</v>
      </c>
      <c r="U8" s="649" t="s">
        <v>265</v>
      </c>
    </row>
    <row r="9" spans="1:22" x14ac:dyDescent="0.2">
      <c r="A9" s="647" t="str">
        <f>'Template names'!C18</f>
        <v>3rd year of MTREF</v>
      </c>
      <c r="B9" s="648" t="s">
        <v>272</v>
      </c>
      <c r="C9" s="648" t="s">
        <v>273</v>
      </c>
      <c r="D9" s="648" t="s">
        <v>274</v>
      </c>
      <c r="E9" s="651" t="str">
        <f t="shared" ref="E9:O9" si="7">"Budget Year +2 "&amp;E1+2&amp;"/"&amp;RIGHT(E1,2)+3</f>
        <v>Budget Year +2 2012/13</v>
      </c>
      <c r="F9" s="651" t="str">
        <f t="shared" si="7"/>
        <v>Budget Year +2 2013/14</v>
      </c>
      <c r="G9" s="651" t="str">
        <f t="shared" si="7"/>
        <v>Budget Year +2 2014/15</v>
      </c>
      <c r="H9" s="651" t="str">
        <f t="shared" si="7"/>
        <v>Budget Year +2 2015/16</v>
      </c>
      <c r="I9" s="651" t="str">
        <f t="shared" si="7"/>
        <v>Budget Year +2 2016/17</v>
      </c>
      <c r="J9" s="651" t="str">
        <f t="shared" si="7"/>
        <v>Budget Year +2 2017/18</v>
      </c>
      <c r="K9" s="651" t="str">
        <f t="shared" si="7"/>
        <v>Budget Year +2 2018/19</v>
      </c>
      <c r="L9" s="651" t="str">
        <f t="shared" si="7"/>
        <v>Budget Year +2 2019/20</v>
      </c>
      <c r="M9" s="651" t="str">
        <f t="shared" si="7"/>
        <v>Budget Year +2 2020/21</v>
      </c>
      <c r="N9" s="651" t="str">
        <f t="shared" si="7"/>
        <v>Budget Year +2 2021/22</v>
      </c>
      <c r="O9" s="651" t="str">
        <f t="shared" si="7"/>
        <v>Budget Year +2 2022/23</v>
      </c>
      <c r="P9" s="648"/>
      <c r="R9" s="649" t="s">
        <v>1279</v>
      </c>
    </row>
    <row r="10" spans="1:22" x14ac:dyDescent="0.2">
      <c r="A10" s="653" t="s">
        <v>275</v>
      </c>
      <c r="B10" s="654" t="s">
        <v>276</v>
      </c>
      <c r="C10" s="654" t="s">
        <v>277</v>
      </c>
      <c r="D10" s="654" t="s">
        <v>278</v>
      </c>
      <c r="E10" s="655" t="str">
        <f t="shared" ref="E10:O10" si="8">"Annual target " &amp; E1&amp;"/"&amp;RIGHT(E1,2)+1</f>
        <v>Annual target 2010/11</v>
      </c>
      <c r="F10" s="655" t="str">
        <f t="shared" si="8"/>
        <v>Annual target 2011/12</v>
      </c>
      <c r="G10" s="655" t="str">
        <f t="shared" si="8"/>
        <v>Annual target 2012/13</v>
      </c>
      <c r="H10" s="655" t="str">
        <f t="shared" si="8"/>
        <v>Annual target 2013/14</v>
      </c>
      <c r="I10" s="655" t="str">
        <f t="shared" si="8"/>
        <v>Annual target 2014/15</v>
      </c>
      <c r="J10" s="655" t="str">
        <f t="shared" si="8"/>
        <v>Annual target 2015/16</v>
      </c>
      <c r="K10" s="655" t="str">
        <f t="shared" si="8"/>
        <v>Annual target 2016/17</v>
      </c>
      <c r="L10" s="655" t="str">
        <f t="shared" si="8"/>
        <v>Annual target 2017/18</v>
      </c>
      <c r="M10" s="655" t="str">
        <f t="shared" si="8"/>
        <v>Annual target 2018/19</v>
      </c>
      <c r="N10" s="655" t="str">
        <f t="shared" si="8"/>
        <v>Annual target 2019/20</v>
      </c>
      <c r="O10" s="655" t="str">
        <f t="shared" si="8"/>
        <v>Annual target 2020/21</v>
      </c>
      <c r="P10" s="648"/>
      <c r="R10" s="649" t="s">
        <v>1280</v>
      </c>
    </row>
    <row r="11" spans="1:22" ht="18" x14ac:dyDescent="0.25">
      <c r="A11" s="656" t="s">
        <v>279</v>
      </c>
      <c r="R11" s="649" t="s">
        <v>1281</v>
      </c>
    </row>
    <row r="12" spans="1:22" x14ac:dyDescent="0.2">
      <c r="R12" s="649" t="s">
        <v>1282</v>
      </c>
    </row>
    <row r="15" spans="1:22" x14ac:dyDescent="0.2">
      <c r="R15" s="646" t="s">
        <v>1365</v>
      </c>
      <c r="S15" s="646" t="s">
        <v>1735</v>
      </c>
      <c r="T15" s="646" t="s">
        <v>1366</v>
      </c>
      <c r="U15" s="646" t="s">
        <v>1736</v>
      </c>
      <c r="V15" s="646" t="s">
        <v>1737</v>
      </c>
    </row>
    <row r="17" spans="1:22" x14ac:dyDescent="0.2">
      <c r="R17" s="649" t="s">
        <v>1568</v>
      </c>
      <c r="S17" s="649" t="s">
        <v>480</v>
      </c>
      <c r="T17" s="649" t="s">
        <v>1002</v>
      </c>
      <c r="U17" s="649" t="s">
        <v>1738</v>
      </c>
      <c r="V17" s="649" t="s">
        <v>1739</v>
      </c>
    </row>
    <row r="18" spans="1:22" x14ac:dyDescent="0.2">
      <c r="R18" s="649" t="s">
        <v>1572</v>
      </c>
      <c r="S18" s="649" t="s">
        <v>481</v>
      </c>
      <c r="T18" s="649" t="s">
        <v>1569</v>
      </c>
      <c r="U18" s="649" t="s">
        <v>1740</v>
      </c>
      <c r="V18" s="649" t="s">
        <v>1741</v>
      </c>
    </row>
    <row r="19" spans="1:22" x14ac:dyDescent="0.2">
      <c r="R19" s="649" t="s">
        <v>1576</v>
      </c>
      <c r="S19" s="649" t="s">
        <v>482</v>
      </c>
      <c r="T19" s="649" t="s">
        <v>1570</v>
      </c>
      <c r="U19" s="649" t="s">
        <v>1742</v>
      </c>
      <c r="V19" s="649" t="s">
        <v>1743</v>
      </c>
    </row>
    <row r="20" spans="1:22" x14ac:dyDescent="0.2">
      <c r="R20" s="649" t="s">
        <v>1585</v>
      </c>
      <c r="S20" s="649" t="s">
        <v>483</v>
      </c>
      <c r="T20" s="649" t="s">
        <v>1571</v>
      </c>
      <c r="U20" s="649" t="s">
        <v>1744</v>
      </c>
      <c r="V20" s="649" t="s">
        <v>1745</v>
      </c>
    </row>
    <row r="21" spans="1:22" x14ac:dyDescent="0.2">
      <c r="R21" s="649" t="s">
        <v>1595</v>
      </c>
      <c r="S21" s="649" t="s">
        <v>484</v>
      </c>
      <c r="T21" s="649" t="s">
        <v>1573</v>
      </c>
      <c r="V21" s="649" t="s">
        <v>1746</v>
      </c>
    </row>
    <row r="22" spans="1:22" x14ac:dyDescent="0.2">
      <c r="R22" s="649" t="s">
        <v>1600</v>
      </c>
      <c r="S22" s="649" t="s">
        <v>485</v>
      </c>
      <c r="T22" s="649" t="s">
        <v>1574</v>
      </c>
      <c r="V22" s="649" t="s">
        <v>1747</v>
      </c>
    </row>
    <row r="23" spans="1:22" x14ac:dyDescent="0.2">
      <c r="R23" s="649" t="s">
        <v>1607</v>
      </c>
      <c r="S23" s="649" t="s">
        <v>486</v>
      </c>
      <c r="T23" s="649" t="s">
        <v>1575</v>
      </c>
      <c r="V23" s="649" t="s">
        <v>1748</v>
      </c>
    </row>
    <row r="24" spans="1:22" x14ac:dyDescent="0.2">
      <c r="R24" s="649" t="s">
        <v>1611</v>
      </c>
      <c r="S24" s="649" t="s">
        <v>487</v>
      </c>
      <c r="T24" s="649" t="s">
        <v>1577</v>
      </c>
      <c r="V24" s="649" t="s">
        <v>1749</v>
      </c>
    </row>
    <row r="25" spans="1:22" x14ac:dyDescent="0.2">
      <c r="R25" s="649" t="s">
        <v>1616</v>
      </c>
      <c r="S25" s="649" t="s">
        <v>488</v>
      </c>
      <c r="T25" s="649" t="s">
        <v>1578</v>
      </c>
      <c r="V25" s="649" t="s">
        <v>1750</v>
      </c>
    </row>
    <row r="26" spans="1:22" x14ac:dyDescent="0.2">
      <c r="R26" s="649" t="s">
        <v>1621</v>
      </c>
      <c r="S26" s="649" t="s">
        <v>1369</v>
      </c>
      <c r="T26" s="649" t="s">
        <v>1579</v>
      </c>
      <c r="V26" s="649" t="s">
        <v>1751</v>
      </c>
    </row>
    <row r="27" spans="1:22" ht="12.75" x14ac:dyDescent="0.2">
      <c r="A27" s="813" t="s">
        <v>773</v>
      </c>
      <c r="B27" s="649">
        <v>86</v>
      </c>
      <c r="R27" s="649" t="s">
        <v>1639</v>
      </c>
      <c r="S27" s="649" t="s">
        <v>489</v>
      </c>
      <c r="T27" s="649" t="s">
        <v>1580</v>
      </c>
      <c r="V27" s="649" t="s">
        <v>1752</v>
      </c>
    </row>
    <row r="28" spans="1:22" x14ac:dyDescent="0.2">
      <c r="A28" s="649" t="s">
        <v>774</v>
      </c>
      <c r="B28" s="649" t="str">
        <f>INDEX(B29:B312,B27,1)</f>
        <v>KZN226 Mkhambathini</v>
      </c>
      <c r="R28" s="649" t="s">
        <v>767</v>
      </c>
      <c r="S28" s="649" t="s">
        <v>490</v>
      </c>
      <c r="T28" s="649" t="s">
        <v>1581</v>
      </c>
      <c r="V28" s="649" t="s">
        <v>1753</v>
      </c>
    </row>
    <row r="29" spans="1:22" ht="12.75" x14ac:dyDescent="0.2">
      <c r="B29" s="813" t="s">
        <v>775</v>
      </c>
      <c r="C29" s="649" t="s">
        <v>776</v>
      </c>
      <c r="R29" s="649" t="s">
        <v>1647</v>
      </c>
      <c r="S29" s="649" t="s">
        <v>491</v>
      </c>
      <c r="T29" s="649" t="s">
        <v>1582</v>
      </c>
      <c r="V29" s="649" t="s">
        <v>1754</v>
      </c>
    </row>
    <row r="30" spans="1:22" ht="12.75" x14ac:dyDescent="0.2">
      <c r="B30" s="1175" t="s">
        <v>1391</v>
      </c>
      <c r="C30" s="1310" t="s">
        <v>1774</v>
      </c>
      <c r="R30" s="649" t="s">
        <v>1650</v>
      </c>
      <c r="S30" s="649" t="s">
        <v>1370</v>
      </c>
      <c r="T30" s="649" t="s">
        <v>1583</v>
      </c>
      <c r="V30" s="649" t="s">
        <v>1755</v>
      </c>
    </row>
    <row r="31" spans="1:22" ht="12.75" x14ac:dyDescent="0.2">
      <c r="B31" s="1175" t="s">
        <v>1392</v>
      </c>
      <c r="C31" s="1311" t="s">
        <v>1774</v>
      </c>
      <c r="R31" s="649" t="s">
        <v>1651</v>
      </c>
      <c r="S31" s="649" t="s">
        <v>492</v>
      </c>
      <c r="T31" s="649" t="s">
        <v>1584</v>
      </c>
    </row>
    <row r="32" spans="1:22" ht="12.75" x14ac:dyDescent="0.2">
      <c r="B32" s="1175" t="s">
        <v>1775</v>
      </c>
      <c r="C32" s="1310" t="s">
        <v>1774</v>
      </c>
      <c r="R32" s="649" t="s">
        <v>621</v>
      </c>
      <c r="S32" s="649" t="s">
        <v>493</v>
      </c>
      <c r="T32" s="649" t="s">
        <v>1571</v>
      </c>
    </row>
    <row r="33" spans="2:20" ht="12.75" x14ac:dyDescent="0.2">
      <c r="B33" s="1175" t="s">
        <v>811</v>
      </c>
      <c r="C33" s="1310" t="s">
        <v>1774</v>
      </c>
      <c r="R33" s="649" t="s">
        <v>1664</v>
      </c>
      <c r="S33" s="649" t="s">
        <v>494</v>
      </c>
      <c r="T33" s="649" t="s">
        <v>1586</v>
      </c>
    </row>
    <row r="34" spans="2:20" ht="12.75" x14ac:dyDescent="0.2">
      <c r="B34" s="1175" t="s">
        <v>812</v>
      </c>
      <c r="C34" s="1310" t="s">
        <v>1774</v>
      </c>
      <c r="R34" s="649" t="s">
        <v>1666</v>
      </c>
      <c r="S34" s="649" t="s">
        <v>495</v>
      </c>
      <c r="T34" s="649" t="s">
        <v>1587</v>
      </c>
    </row>
    <row r="35" spans="2:20" ht="12.75" x14ac:dyDescent="0.2">
      <c r="B35" s="1175" t="s">
        <v>813</v>
      </c>
      <c r="C35" s="1310" t="s">
        <v>1774</v>
      </c>
      <c r="R35" s="649" t="s">
        <v>1667</v>
      </c>
      <c r="S35" s="649" t="s">
        <v>496</v>
      </c>
      <c r="T35" s="649" t="s">
        <v>1588</v>
      </c>
    </row>
    <row r="36" spans="2:20" ht="12.75" x14ac:dyDescent="0.2">
      <c r="B36" s="1175" t="s">
        <v>814</v>
      </c>
      <c r="C36" s="1310" t="s">
        <v>1774</v>
      </c>
      <c r="R36" s="649" t="s">
        <v>1674</v>
      </c>
      <c r="S36" s="649" t="s">
        <v>497</v>
      </c>
      <c r="T36" s="649" t="s">
        <v>1589</v>
      </c>
    </row>
    <row r="37" spans="2:20" ht="12.75" x14ac:dyDescent="0.2">
      <c r="B37" s="1175" t="s">
        <v>815</v>
      </c>
      <c r="C37" s="1311" t="s">
        <v>1774</v>
      </c>
      <c r="R37" s="649" t="s">
        <v>1675</v>
      </c>
      <c r="S37" s="649" t="s">
        <v>498</v>
      </c>
      <c r="T37" s="649" t="s">
        <v>1590</v>
      </c>
    </row>
    <row r="38" spans="2:20" ht="12.75" x14ac:dyDescent="0.2">
      <c r="B38" s="1175" t="s">
        <v>1261</v>
      </c>
      <c r="C38" s="1310" t="s">
        <v>1774</v>
      </c>
      <c r="R38" s="649" t="s">
        <v>1676</v>
      </c>
      <c r="S38" s="649" t="s">
        <v>499</v>
      </c>
      <c r="T38" s="649" t="s">
        <v>1591</v>
      </c>
    </row>
    <row r="39" spans="2:20" ht="12.75" x14ac:dyDescent="0.2">
      <c r="B39" s="1175" t="s">
        <v>1423</v>
      </c>
      <c r="C39" s="1178" t="s">
        <v>1774</v>
      </c>
      <c r="R39" s="649" t="s">
        <v>1677</v>
      </c>
      <c r="S39" s="649" t="s">
        <v>500</v>
      </c>
      <c r="T39" s="649" t="s">
        <v>1592</v>
      </c>
    </row>
    <row r="40" spans="2:20" ht="12.75" x14ac:dyDescent="0.2">
      <c r="B40" s="1175" t="s">
        <v>816</v>
      </c>
      <c r="C40" s="1178" t="s">
        <v>1774</v>
      </c>
      <c r="R40" s="649" t="s">
        <v>1734</v>
      </c>
      <c r="S40" s="649" t="s">
        <v>501</v>
      </c>
      <c r="T40" s="649" t="s">
        <v>1593</v>
      </c>
    </row>
    <row r="41" spans="2:20" ht="12.75" x14ac:dyDescent="0.2">
      <c r="B41" s="1175" t="s">
        <v>817</v>
      </c>
      <c r="C41" s="1312" t="s">
        <v>1774</v>
      </c>
      <c r="R41" s="649" t="s">
        <v>1678</v>
      </c>
      <c r="S41" s="649" t="s">
        <v>502</v>
      </c>
      <c r="T41" s="649" t="s">
        <v>1594</v>
      </c>
    </row>
    <row r="42" spans="2:20" ht="12.75" x14ac:dyDescent="0.2">
      <c r="B42" s="1175" t="s">
        <v>818</v>
      </c>
      <c r="C42" s="1312" t="s">
        <v>1774</v>
      </c>
      <c r="S42" s="649" t="s">
        <v>503</v>
      </c>
      <c r="T42" s="649" t="s">
        <v>1571</v>
      </c>
    </row>
    <row r="43" spans="2:20" ht="12.75" x14ac:dyDescent="0.2">
      <c r="B43" s="1175" t="s">
        <v>819</v>
      </c>
      <c r="C43" s="1312" t="s">
        <v>1774</v>
      </c>
      <c r="S43" s="649" t="s">
        <v>504</v>
      </c>
      <c r="T43" s="649" t="s">
        <v>1596</v>
      </c>
    </row>
    <row r="44" spans="2:20" ht="12.75" x14ac:dyDescent="0.2">
      <c r="B44" s="1175" t="s">
        <v>820</v>
      </c>
      <c r="C44" s="1312" t="s">
        <v>1774</v>
      </c>
      <c r="S44" s="649" t="s">
        <v>505</v>
      </c>
      <c r="T44" s="649" t="s">
        <v>487</v>
      </c>
    </row>
    <row r="45" spans="2:20" ht="12.75" x14ac:dyDescent="0.2">
      <c r="B45" s="1176" t="s">
        <v>1463</v>
      </c>
      <c r="C45" s="1312" t="s">
        <v>1774</v>
      </c>
      <c r="S45" s="649" t="s">
        <v>1371</v>
      </c>
      <c r="T45" s="649" t="s">
        <v>1597</v>
      </c>
    </row>
    <row r="46" spans="2:20" ht="12.75" x14ac:dyDescent="0.2">
      <c r="B46" s="1175" t="s">
        <v>778</v>
      </c>
      <c r="C46" s="1312" t="s">
        <v>1774</v>
      </c>
      <c r="S46" s="649" t="s">
        <v>1372</v>
      </c>
      <c r="T46" s="649" t="s">
        <v>1598</v>
      </c>
    </row>
    <row r="47" spans="2:20" ht="12.75" x14ac:dyDescent="0.2">
      <c r="B47" s="1175" t="s">
        <v>821</v>
      </c>
      <c r="C47" s="1312" t="s">
        <v>1774</v>
      </c>
      <c r="S47" s="649" t="s">
        <v>1373</v>
      </c>
      <c r="T47" s="649" t="s">
        <v>1599</v>
      </c>
    </row>
    <row r="48" spans="2:20" ht="12.75" x14ac:dyDescent="0.2">
      <c r="B48" s="1175" t="s">
        <v>822</v>
      </c>
      <c r="C48" s="1312" t="s">
        <v>1774</v>
      </c>
      <c r="S48" s="649" t="s">
        <v>1374</v>
      </c>
      <c r="T48" s="649" t="s">
        <v>1571</v>
      </c>
    </row>
    <row r="49" spans="2:20" ht="12.75" x14ac:dyDescent="0.2">
      <c r="B49" s="1175" t="s">
        <v>823</v>
      </c>
      <c r="C49" s="1312" t="s">
        <v>1774</v>
      </c>
      <c r="S49" s="649" t="s">
        <v>506</v>
      </c>
      <c r="T49" s="649" t="s">
        <v>1601</v>
      </c>
    </row>
    <row r="50" spans="2:20" ht="12.75" x14ac:dyDescent="0.2">
      <c r="B50" s="1175" t="s">
        <v>824</v>
      </c>
      <c r="C50" s="1312" t="s">
        <v>1774</v>
      </c>
      <c r="S50" s="649" t="s">
        <v>507</v>
      </c>
      <c r="T50" s="649" t="s">
        <v>1602</v>
      </c>
    </row>
    <row r="51" spans="2:20" ht="12.75" x14ac:dyDescent="0.2">
      <c r="B51" s="1175" t="s">
        <v>825</v>
      </c>
      <c r="C51" s="1178" t="s">
        <v>1774</v>
      </c>
      <c r="S51" s="649" t="s">
        <v>508</v>
      </c>
      <c r="T51" s="649" t="s">
        <v>1603</v>
      </c>
    </row>
    <row r="52" spans="2:20" ht="12.75" x14ac:dyDescent="0.2">
      <c r="B52" s="1176" t="s">
        <v>1464</v>
      </c>
      <c r="C52" s="1178" t="s">
        <v>1774</v>
      </c>
      <c r="S52" s="649" t="s">
        <v>509</v>
      </c>
      <c r="T52" s="649" t="s">
        <v>1604</v>
      </c>
    </row>
    <row r="53" spans="2:20" ht="12.75" x14ac:dyDescent="0.2">
      <c r="B53" s="1175" t="s">
        <v>779</v>
      </c>
      <c r="C53" s="1178" t="s">
        <v>1774</v>
      </c>
      <c r="S53" s="649" t="s">
        <v>510</v>
      </c>
      <c r="T53" s="649" t="s">
        <v>1605</v>
      </c>
    </row>
    <row r="54" spans="2:20" ht="12.75" x14ac:dyDescent="0.2">
      <c r="B54" s="1175" t="s">
        <v>826</v>
      </c>
      <c r="C54" s="1178" t="s">
        <v>1774</v>
      </c>
      <c r="S54" s="649" t="s">
        <v>511</v>
      </c>
      <c r="T54" s="649" t="s">
        <v>1606</v>
      </c>
    </row>
    <row r="55" spans="2:20" ht="12.75" x14ac:dyDescent="0.2">
      <c r="B55" s="1175" t="s">
        <v>827</v>
      </c>
      <c r="C55" s="1178" t="s">
        <v>1774</v>
      </c>
      <c r="S55" s="649" t="s">
        <v>512</v>
      </c>
      <c r="T55" s="649" t="s">
        <v>1571</v>
      </c>
    </row>
    <row r="56" spans="2:20" ht="12.75" x14ac:dyDescent="0.2">
      <c r="B56" s="1176" t="s">
        <v>1465</v>
      </c>
      <c r="C56" s="1178" t="s">
        <v>1774</v>
      </c>
      <c r="S56" s="649" t="s">
        <v>513</v>
      </c>
      <c r="T56" s="649" t="s">
        <v>1608</v>
      </c>
    </row>
    <row r="57" spans="2:20" ht="12.75" x14ac:dyDescent="0.2">
      <c r="B57" s="1175" t="s">
        <v>1259</v>
      </c>
      <c r="C57" s="1178" t="s">
        <v>1774</v>
      </c>
      <c r="S57" s="649" t="s">
        <v>514</v>
      </c>
      <c r="T57" s="649" t="s">
        <v>1609</v>
      </c>
    </row>
    <row r="58" spans="2:20" ht="12.75" x14ac:dyDescent="0.2">
      <c r="B58" s="1175" t="s">
        <v>828</v>
      </c>
      <c r="C58" s="696" t="s">
        <v>1774</v>
      </c>
      <c r="S58" s="649" t="s">
        <v>515</v>
      </c>
      <c r="T58" s="649" t="s">
        <v>1610</v>
      </c>
    </row>
    <row r="59" spans="2:20" ht="12.75" x14ac:dyDescent="0.2">
      <c r="B59" s="1175" t="s">
        <v>829</v>
      </c>
      <c r="C59" s="696" t="s">
        <v>1774</v>
      </c>
      <c r="S59" s="649" t="s">
        <v>632</v>
      </c>
      <c r="T59" s="649" t="s">
        <v>1573</v>
      </c>
    </row>
    <row r="60" spans="2:20" ht="12.75" x14ac:dyDescent="0.2">
      <c r="B60" s="1175" t="s">
        <v>830</v>
      </c>
      <c r="C60" s="1178" t="s">
        <v>1774</v>
      </c>
      <c r="T60" s="649" t="s">
        <v>1574</v>
      </c>
    </row>
    <row r="61" spans="2:20" ht="12.75" x14ac:dyDescent="0.2">
      <c r="B61" s="1175" t="s">
        <v>831</v>
      </c>
      <c r="C61" s="1178" t="s">
        <v>1774</v>
      </c>
      <c r="R61" s="646" t="s">
        <v>1380</v>
      </c>
      <c r="S61" s="1013"/>
      <c r="T61" s="649" t="s">
        <v>1575</v>
      </c>
    </row>
    <row r="62" spans="2:20" ht="12.75" x14ac:dyDescent="0.2">
      <c r="B62" s="1175" t="s">
        <v>832</v>
      </c>
      <c r="C62" s="1178" t="s">
        <v>1774</v>
      </c>
      <c r="R62" s="649" t="s">
        <v>257</v>
      </c>
      <c r="S62" s="1014"/>
      <c r="T62" s="649" t="s">
        <v>1581</v>
      </c>
    </row>
    <row r="63" spans="2:20" ht="12.75" x14ac:dyDescent="0.2">
      <c r="B63" s="1175" t="s">
        <v>780</v>
      </c>
      <c r="C63" s="1178" t="s">
        <v>1774</v>
      </c>
      <c r="R63" s="649" t="s">
        <v>548</v>
      </c>
      <c r="S63" s="1015"/>
      <c r="T63" s="649" t="s">
        <v>1584</v>
      </c>
    </row>
    <row r="64" spans="2:20" ht="12.75" x14ac:dyDescent="0.2">
      <c r="B64" s="1175" t="s">
        <v>833</v>
      </c>
      <c r="C64" s="1312" t="s">
        <v>1774</v>
      </c>
      <c r="R64" s="998"/>
      <c r="S64" s="1015"/>
      <c r="T64" s="649" t="s">
        <v>1571</v>
      </c>
    </row>
    <row r="65" spans="2:20" ht="12.75" x14ac:dyDescent="0.2">
      <c r="B65" s="1175" t="s">
        <v>834</v>
      </c>
      <c r="C65" s="1178" t="s">
        <v>1774</v>
      </c>
      <c r="T65" s="649" t="s">
        <v>1612</v>
      </c>
    </row>
    <row r="66" spans="2:20" ht="12.75" x14ac:dyDescent="0.2">
      <c r="B66" s="1175" t="s">
        <v>1386</v>
      </c>
      <c r="C66" s="1178" t="s">
        <v>1774</v>
      </c>
      <c r="T66" s="649" t="s">
        <v>1613</v>
      </c>
    </row>
    <row r="67" spans="2:20" ht="12.75" x14ac:dyDescent="0.2">
      <c r="B67" s="1175" t="s">
        <v>1387</v>
      </c>
      <c r="C67" s="1178" t="s">
        <v>1774</v>
      </c>
      <c r="T67" s="649" t="s">
        <v>1614</v>
      </c>
    </row>
    <row r="68" spans="2:20" ht="12.75" x14ac:dyDescent="0.2">
      <c r="B68" s="1175" t="s">
        <v>806</v>
      </c>
      <c r="C68" s="1178" t="s">
        <v>1774</v>
      </c>
      <c r="T68" s="649" t="s">
        <v>1615</v>
      </c>
    </row>
    <row r="69" spans="2:20" ht="12.75" x14ac:dyDescent="0.2">
      <c r="B69" s="1175" t="s">
        <v>1393</v>
      </c>
      <c r="C69" s="1178" t="s">
        <v>1776</v>
      </c>
      <c r="T69" s="649" t="s">
        <v>1571</v>
      </c>
    </row>
    <row r="70" spans="2:20" ht="12.75" x14ac:dyDescent="0.2">
      <c r="B70" s="1175" t="s">
        <v>835</v>
      </c>
      <c r="C70" s="1178" t="s">
        <v>1776</v>
      </c>
      <c r="T70" s="649" t="s">
        <v>1617</v>
      </c>
    </row>
    <row r="71" spans="2:20" ht="12.75" x14ac:dyDescent="0.2">
      <c r="B71" s="1175" t="s">
        <v>836</v>
      </c>
      <c r="C71" s="1178" t="s">
        <v>1776</v>
      </c>
      <c r="T71" s="649" t="s">
        <v>1618</v>
      </c>
    </row>
    <row r="72" spans="2:20" ht="12.75" x14ac:dyDescent="0.2">
      <c r="B72" s="1175" t="s">
        <v>837</v>
      </c>
      <c r="C72" s="1178" t="s">
        <v>1776</v>
      </c>
      <c r="T72" s="649" t="s">
        <v>1619</v>
      </c>
    </row>
    <row r="73" spans="2:20" ht="12.75" x14ac:dyDescent="0.2">
      <c r="B73" s="1175" t="s">
        <v>781</v>
      </c>
      <c r="C73" s="1178" t="s">
        <v>1776</v>
      </c>
      <c r="T73" s="649" t="s">
        <v>1571</v>
      </c>
    </row>
    <row r="74" spans="2:20" ht="12.75" x14ac:dyDescent="0.2">
      <c r="B74" s="1175" t="s">
        <v>838</v>
      </c>
      <c r="C74" s="1178" t="s">
        <v>1776</v>
      </c>
      <c r="T74" s="649" t="s">
        <v>1622</v>
      </c>
    </row>
    <row r="75" spans="2:20" ht="12.75" x14ac:dyDescent="0.2">
      <c r="B75" s="1175" t="s">
        <v>839</v>
      </c>
      <c r="C75" s="1178" t="s">
        <v>1776</v>
      </c>
      <c r="T75" s="649" t="s">
        <v>1623</v>
      </c>
    </row>
    <row r="76" spans="2:20" ht="12.75" x14ac:dyDescent="0.2">
      <c r="B76" s="1175" t="s">
        <v>840</v>
      </c>
      <c r="C76" s="1178" t="s">
        <v>1776</v>
      </c>
      <c r="T76" s="649" t="s">
        <v>1624</v>
      </c>
    </row>
    <row r="77" spans="2:20" ht="12.75" x14ac:dyDescent="0.2">
      <c r="B77" s="1175" t="s">
        <v>841</v>
      </c>
      <c r="C77" s="1178" t="s">
        <v>1776</v>
      </c>
      <c r="T77" s="649" t="s">
        <v>1625</v>
      </c>
    </row>
    <row r="78" spans="2:20" ht="12.75" x14ac:dyDescent="0.2">
      <c r="B78" s="1175" t="s">
        <v>842</v>
      </c>
      <c r="C78" s="1178" t="s">
        <v>1776</v>
      </c>
      <c r="T78" s="649" t="s">
        <v>1626</v>
      </c>
    </row>
    <row r="79" spans="2:20" ht="12.75" x14ac:dyDescent="0.2">
      <c r="B79" s="1175" t="s">
        <v>782</v>
      </c>
      <c r="C79" s="1178" t="s">
        <v>1776</v>
      </c>
      <c r="T79" s="649" t="s">
        <v>1627</v>
      </c>
    </row>
    <row r="80" spans="2:20" ht="12.75" x14ac:dyDescent="0.2">
      <c r="B80" s="1175" t="s">
        <v>843</v>
      </c>
      <c r="C80" s="1178" t="s">
        <v>1776</v>
      </c>
      <c r="T80" s="649" t="s">
        <v>1628</v>
      </c>
    </row>
    <row r="81" spans="2:20" ht="12.75" x14ac:dyDescent="0.2">
      <c r="B81" s="1175" t="s">
        <v>844</v>
      </c>
      <c r="C81" s="1178" t="s">
        <v>1776</v>
      </c>
      <c r="T81" s="649" t="s">
        <v>1629</v>
      </c>
    </row>
    <row r="82" spans="2:20" ht="12.75" x14ac:dyDescent="0.2">
      <c r="B82" s="1175" t="s">
        <v>845</v>
      </c>
      <c r="C82" s="1178" t="s">
        <v>1776</v>
      </c>
      <c r="T82" s="649" t="s">
        <v>1511</v>
      </c>
    </row>
    <row r="83" spans="2:20" ht="12.75" x14ac:dyDescent="0.2">
      <c r="B83" s="1175" t="s">
        <v>846</v>
      </c>
      <c r="C83" s="1178" t="s">
        <v>1776</v>
      </c>
      <c r="T83" s="649" t="s">
        <v>494</v>
      </c>
    </row>
    <row r="84" spans="2:20" ht="12.75" x14ac:dyDescent="0.2">
      <c r="B84" s="1175" t="s">
        <v>847</v>
      </c>
      <c r="C84" s="1178" t="s">
        <v>1776</v>
      </c>
      <c r="T84" s="649" t="s">
        <v>1630</v>
      </c>
    </row>
    <row r="85" spans="2:20" ht="12.75" x14ac:dyDescent="0.2">
      <c r="B85" s="1175" t="s">
        <v>1388</v>
      </c>
      <c r="C85" s="1178" t="s">
        <v>1776</v>
      </c>
      <c r="T85" s="649" t="s">
        <v>1631</v>
      </c>
    </row>
    <row r="86" spans="2:20" ht="12.75" x14ac:dyDescent="0.2">
      <c r="B86" s="1175" t="s">
        <v>783</v>
      </c>
      <c r="C86" s="1178" t="s">
        <v>1776</v>
      </c>
      <c r="T86" s="649" t="s">
        <v>1632</v>
      </c>
    </row>
    <row r="87" spans="2:20" ht="12.75" x14ac:dyDescent="0.2">
      <c r="B87" s="1175" t="s">
        <v>848</v>
      </c>
      <c r="C87" s="1178" t="s">
        <v>1776</v>
      </c>
      <c r="T87" s="649" t="s">
        <v>1633</v>
      </c>
    </row>
    <row r="88" spans="2:20" ht="12.75" x14ac:dyDescent="0.2">
      <c r="B88" s="1175" t="s">
        <v>849</v>
      </c>
      <c r="C88" s="1178" t="s">
        <v>1776</v>
      </c>
      <c r="T88" s="649" t="s">
        <v>1634</v>
      </c>
    </row>
    <row r="89" spans="2:20" ht="12.75" x14ac:dyDescent="0.2">
      <c r="B89" s="1175" t="s">
        <v>850</v>
      </c>
      <c r="C89" s="1178" t="s">
        <v>1776</v>
      </c>
      <c r="T89" s="649" t="s">
        <v>1635</v>
      </c>
    </row>
    <row r="90" spans="2:20" ht="12.75" x14ac:dyDescent="0.2">
      <c r="B90" s="1175" t="s">
        <v>851</v>
      </c>
      <c r="C90" s="1178" t="s">
        <v>1776</v>
      </c>
      <c r="T90" s="649" t="s">
        <v>510</v>
      </c>
    </row>
    <row r="91" spans="2:20" ht="12.75" x14ac:dyDescent="0.2">
      <c r="B91" s="1175" t="s">
        <v>784</v>
      </c>
      <c r="C91" s="1178" t="s">
        <v>1776</v>
      </c>
      <c r="T91" s="649" t="s">
        <v>1636</v>
      </c>
    </row>
    <row r="92" spans="2:20" ht="12.75" x14ac:dyDescent="0.2">
      <c r="B92" s="1175" t="s">
        <v>1777</v>
      </c>
      <c r="C92" s="1178" t="s">
        <v>1778</v>
      </c>
      <c r="T92" s="649" t="s">
        <v>509</v>
      </c>
    </row>
    <row r="93" spans="2:20" ht="12.75" x14ac:dyDescent="0.2">
      <c r="B93" s="1175" t="s">
        <v>1394</v>
      </c>
      <c r="C93" s="1178" t="s">
        <v>1778</v>
      </c>
      <c r="T93" s="649" t="s">
        <v>1637</v>
      </c>
    </row>
    <row r="94" spans="2:20" ht="12.75" x14ac:dyDescent="0.2">
      <c r="B94" s="1175" t="s">
        <v>1395</v>
      </c>
      <c r="C94" s="1178" t="s">
        <v>1778</v>
      </c>
      <c r="T94" s="649" t="s">
        <v>1638</v>
      </c>
    </row>
    <row r="95" spans="2:20" ht="12.75" x14ac:dyDescent="0.2">
      <c r="B95" s="1175" t="s">
        <v>852</v>
      </c>
      <c r="C95" s="1178" t="s">
        <v>1778</v>
      </c>
      <c r="T95" s="649" t="s">
        <v>1571</v>
      </c>
    </row>
    <row r="96" spans="2:20" ht="12.75" x14ac:dyDescent="0.2">
      <c r="B96" s="1175" t="s">
        <v>853</v>
      </c>
      <c r="C96" s="1178" t="s">
        <v>1778</v>
      </c>
      <c r="T96" s="649" t="s">
        <v>1640</v>
      </c>
    </row>
    <row r="97" spans="2:20" ht="12.75" x14ac:dyDescent="0.2">
      <c r="B97" s="1175" t="s">
        <v>854</v>
      </c>
      <c r="C97" s="1178" t="s">
        <v>1778</v>
      </c>
      <c r="T97" s="649" t="s">
        <v>1641</v>
      </c>
    </row>
    <row r="98" spans="2:20" ht="12.75" x14ac:dyDescent="0.2">
      <c r="B98" s="1175" t="s">
        <v>805</v>
      </c>
      <c r="C98" s="1178" t="s">
        <v>1778</v>
      </c>
      <c r="T98" s="649" t="s">
        <v>1571</v>
      </c>
    </row>
    <row r="99" spans="2:20" ht="12.75" x14ac:dyDescent="0.2">
      <c r="B99" s="1175" t="s">
        <v>855</v>
      </c>
      <c r="C99" s="1178" t="s">
        <v>1778</v>
      </c>
      <c r="T99" s="649" t="s">
        <v>1642</v>
      </c>
    </row>
    <row r="100" spans="2:20" ht="12.75" x14ac:dyDescent="0.2">
      <c r="B100" s="1175" t="s">
        <v>1262</v>
      </c>
      <c r="C100" s="1178" t="s">
        <v>1778</v>
      </c>
      <c r="T100" s="649" t="s">
        <v>1643</v>
      </c>
    </row>
    <row r="101" spans="2:20" ht="12.75" x14ac:dyDescent="0.2">
      <c r="B101" s="1176" t="s">
        <v>1779</v>
      </c>
      <c r="C101" s="1178" t="s">
        <v>1778</v>
      </c>
      <c r="T101" s="649" t="s">
        <v>1644</v>
      </c>
    </row>
    <row r="102" spans="2:20" ht="12.75" x14ac:dyDescent="0.2">
      <c r="B102" s="1175" t="s">
        <v>807</v>
      </c>
      <c r="C102" s="1178" t="s">
        <v>1778</v>
      </c>
      <c r="T102" s="649" t="s">
        <v>1645</v>
      </c>
    </row>
    <row r="103" spans="2:20" ht="12.75" x14ac:dyDescent="0.2">
      <c r="B103" s="1175" t="s">
        <v>1396</v>
      </c>
      <c r="C103" s="1178" t="s">
        <v>1780</v>
      </c>
      <c r="T103" s="649" t="s">
        <v>1646</v>
      </c>
    </row>
    <row r="104" spans="2:20" ht="12.75" x14ac:dyDescent="0.2">
      <c r="B104" s="1175" t="s">
        <v>856</v>
      </c>
      <c r="C104" s="1178" t="s">
        <v>1780</v>
      </c>
      <c r="T104" s="649" t="s">
        <v>1648</v>
      </c>
    </row>
    <row r="105" spans="2:20" ht="12.75" x14ac:dyDescent="0.2">
      <c r="B105" s="1175" t="s">
        <v>857</v>
      </c>
      <c r="C105" s="1310" t="s">
        <v>1780</v>
      </c>
      <c r="T105" s="649" t="s">
        <v>1649</v>
      </c>
    </row>
    <row r="106" spans="2:20" ht="12.75" x14ac:dyDescent="0.2">
      <c r="B106" s="1175" t="s">
        <v>858</v>
      </c>
      <c r="C106" s="1310" t="s">
        <v>1780</v>
      </c>
      <c r="T106" s="649" t="s">
        <v>1652</v>
      </c>
    </row>
    <row r="107" spans="2:20" ht="12.75" x14ac:dyDescent="0.2">
      <c r="B107" s="1175" t="s">
        <v>1471</v>
      </c>
      <c r="C107" s="1310" t="s">
        <v>1780</v>
      </c>
      <c r="T107" s="649" t="s">
        <v>1653</v>
      </c>
    </row>
    <row r="108" spans="2:20" ht="12.75" x14ac:dyDescent="0.2">
      <c r="B108" s="1175" t="s">
        <v>785</v>
      </c>
      <c r="C108" s="1310" t="s">
        <v>1780</v>
      </c>
      <c r="T108" s="649" t="s">
        <v>1654</v>
      </c>
    </row>
    <row r="109" spans="2:20" ht="12.75" x14ac:dyDescent="0.2">
      <c r="B109" s="1175" t="s">
        <v>859</v>
      </c>
      <c r="C109" s="1310" t="s">
        <v>1780</v>
      </c>
      <c r="T109" s="649" t="s">
        <v>1655</v>
      </c>
    </row>
    <row r="110" spans="2:20" ht="12.75" x14ac:dyDescent="0.2">
      <c r="B110" s="1175" t="s">
        <v>860</v>
      </c>
      <c r="C110" s="1310" t="s">
        <v>1780</v>
      </c>
      <c r="T110" s="649" t="s">
        <v>1656</v>
      </c>
    </row>
    <row r="111" spans="2:20" ht="12.75" x14ac:dyDescent="0.2">
      <c r="B111" s="1175" t="s">
        <v>861</v>
      </c>
      <c r="C111" s="1310" t="s">
        <v>1780</v>
      </c>
      <c r="T111" s="649" t="s">
        <v>1657</v>
      </c>
    </row>
    <row r="112" spans="2:20" ht="12.75" x14ac:dyDescent="0.2">
      <c r="B112" s="1175" t="s">
        <v>862</v>
      </c>
      <c r="C112" s="1310" t="s">
        <v>1780</v>
      </c>
      <c r="T112" s="649" t="s">
        <v>1658</v>
      </c>
    </row>
    <row r="113" spans="2:20" ht="12.75" x14ac:dyDescent="0.2">
      <c r="B113" s="1175" t="s">
        <v>863</v>
      </c>
      <c r="C113" s="1310" t="s">
        <v>1780</v>
      </c>
      <c r="T113" s="649" t="s">
        <v>1659</v>
      </c>
    </row>
    <row r="114" spans="2:20" ht="12.75" x14ac:dyDescent="0.2">
      <c r="B114" s="1175" t="s">
        <v>864</v>
      </c>
      <c r="C114" s="1310" t="s">
        <v>1780</v>
      </c>
      <c r="T114" s="649" t="s">
        <v>1660</v>
      </c>
    </row>
    <row r="115" spans="2:20" ht="12.75" x14ac:dyDescent="0.2">
      <c r="B115" s="1175" t="s">
        <v>865</v>
      </c>
      <c r="C115" s="1310" t="s">
        <v>1780</v>
      </c>
      <c r="T115" s="649" t="s">
        <v>1661</v>
      </c>
    </row>
    <row r="116" spans="2:20" ht="12.75" x14ac:dyDescent="0.2">
      <c r="B116" s="1175" t="s">
        <v>786</v>
      </c>
      <c r="C116" s="1310" t="s">
        <v>1780</v>
      </c>
      <c r="T116" s="649" t="s">
        <v>1571</v>
      </c>
    </row>
    <row r="117" spans="2:20" ht="12.75" x14ac:dyDescent="0.2">
      <c r="B117" s="1175" t="s">
        <v>866</v>
      </c>
      <c r="C117" s="1310" t="s">
        <v>1780</v>
      </c>
      <c r="T117" s="649" t="s">
        <v>1662</v>
      </c>
    </row>
    <row r="118" spans="2:20" ht="12.75" x14ac:dyDescent="0.2">
      <c r="B118" s="1176" t="s">
        <v>1466</v>
      </c>
      <c r="C118" s="1310" t="s">
        <v>1780</v>
      </c>
      <c r="T118" s="649" t="s">
        <v>1663</v>
      </c>
    </row>
    <row r="119" spans="2:20" ht="12.75" x14ac:dyDescent="0.2">
      <c r="B119" s="1176" t="s">
        <v>1467</v>
      </c>
      <c r="C119" s="1310" t="s">
        <v>1780</v>
      </c>
      <c r="T119" s="649" t="s">
        <v>1571</v>
      </c>
    </row>
    <row r="120" spans="2:20" ht="12.75" x14ac:dyDescent="0.2">
      <c r="B120" s="1175" t="s">
        <v>787</v>
      </c>
      <c r="C120" s="1310" t="s">
        <v>1780</v>
      </c>
      <c r="T120" s="649" t="s">
        <v>1668</v>
      </c>
    </row>
    <row r="121" spans="2:20" ht="12.75" x14ac:dyDescent="0.2">
      <c r="B121" s="1175" t="s">
        <v>867</v>
      </c>
      <c r="C121" s="1310" t="s">
        <v>1780</v>
      </c>
      <c r="T121" s="649" t="s">
        <v>1669</v>
      </c>
    </row>
    <row r="122" spans="2:20" ht="12.75" x14ac:dyDescent="0.2">
      <c r="B122" s="1175" t="s">
        <v>868</v>
      </c>
      <c r="C122" s="1310" t="s">
        <v>1780</v>
      </c>
      <c r="T122" s="649" t="s">
        <v>1670</v>
      </c>
    </row>
    <row r="123" spans="2:20" ht="12.75" x14ac:dyDescent="0.2">
      <c r="B123" s="1175" t="s">
        <v>869</v>
      </c>
      <c r="C123" s="1310" t="s">
        <v>1780</v>
      </c>
      <c r="T123" s="649" t="s">
        <v>1671</v>
      </c>
    </row>
    <row r="124" spans="2:20" ht="12.75" x14ac:dyDescent="0.2">
      <c r="B124" s="1175" t="s">
        <v>870</v>
      </c>
      <c r="C124" s="1310" t="s">
        <v>1780</v>
      </c>
      <c r="T124" s="649" t="s">
        <v>1672</v>
      </c>
    </row>
    <row r="125" spans="2:20" ht="12.75" x14ac:dyDescent="0.2">
      <c r="B125" s="1175" t="s">
        <v>788</v>
      </c>
      <c r="C125" s="1178" t="s">
        <v>1780</v>
      </c>
      <c r="T125" s="649" t="s">
        <v>1673</v>
      </c>
    </row>
    <row r="126" spans="2:20" ht="12.75" x14ac:dyDescent="0.2">
      <c r="B126" s="1175" t="s">
        <v>871</v>
      </c>
      <c r="C126" s="1178" t="s">
        <v>1780</v>
      </c>
    </row>
    <row r="127" spans="2:20" ht="12.75" x14ac:dyDescent="0.2">
      <c r="B127" s="1175" t="s">
        <v>1781</v>
      </c>
      <c r="C127" s="1178" t="s">
        <v>1780</v>
      </c>
    </row>
    <row r="128" spans="2:20" ht="12.75" x14ac:dyDescent="0.2">
      <c r="B128" s="1175" t="s">
        <v>872</v>
      </c>
      <c r="C128" s="1178" t="s">
        <v>1780</v>
      </c>
    </row>
    <row r="129" spans="2:3" ht="12.75" x14ac:dyDescent="0.2">
      <c r="B129" s="1175" t="s">
        <v>789</v>
      </c>
      <c r="C129" s="1178" t="s">
        <v>1780</v>
      </c>
    </row>
    <row r="130" spans="2:3" ht="12.75" x14ac:dyDescent="0.2">
      <c r="B130" s="1175" t="s">
        <v>873</v>
      </c>
      <c r="C130" s="1178" t="s">
        <v>1780</v>
      </c>
    </row>
    <row r="131" spans="2:3" ht="12.75" x14ac:dyDescent="0.2">
      <c r="B131" s="1175" t="s">
        <v>874</v>
      </c>
      <c r="C131" s="1178" t="s">
        <v>1780</v>
      </c>
    </row>
    <row r="132" spans="2:3" ht="12.75" x14ac:dyDescent="0.2">
      <c r="B132" s="1175" t="s">
        <v>875</v>
      </c>
      <c r="C132" s="1178" t="s">
        <v>1780</v>
      </c>
    </row>
    <row r="133" spans="2:3" ht="12.75" x14ac:dyDescent="0.2">
      <c r="B133" s="1175" t="s">
        <v>876</v>
      </c>
      <c r="C133" s="1178" t="s">
        <v>1780</v>
      </c>
    </row>
    <row r="134" spans="2:3" ht="12.75" x14ac:dyDescent="0.2">
      <c r="B134" s="1175" t="s">
        <v>877</v>
      </c>
      <c r="C134" s="1178" t="s">
        <v>1780</v>
      </c>
    </row>
    <row r="135" spans="2:3" ht="12.75" x14ac:dyDescent="0.2">
      <c r="B135" s="1175" t="s">
        <v>790</v>
      </c>
      <c r="C135" s="1312" t="s">
        <v>1780</v>
      </c>
    </row>
    <row r="136" spans="2:3" ht="12.75" x14ac:dyDescent="0.2">
      <c r="B136" s="1175" t="s">
        <v>878</v>
      </c>
      <c r="C136" s="1312" t="s">
        <v>1780</v>
      </c>
    </row>
    <row r="137" spans="2:3" ht="12.75" x14ac:dyDescent="0.2">
      <c r="B137" s="1175" t="s">
        <v>879</v>
      </c>
      <c r="C137" s="1312" t="s">
        <v>1780</v>
      </c>
    </row>
    <row r="138" spans="2:3" ht="12.75" x14ac:dyDescent="0.2">
      <c r="B138" s="1175" t="s">
        <v>880</v>
      </c>
      <c r="C138" s="1312" t="s">
        <v>1780</v>
      </c>
    </row>
    <row r="139" spans="2:3" ht="12.75" x14ac:dyDescent="0.2">
      <c r="B139" s="1176" t="s">
        <v>1782</v>
      </c>
      <c r="C139" s="1312" t="s">
        <v>1780</v>
      </c>
    </row>
    <row r="140" spans="2:3" ht="12.75" x14ac:dyDescent="0.2">
      <c r="B140" s="1175" t="s">
        <v>791</v>
      </c>
      <c r="C140" s="1312" t="s">
        <v>1780</v>
      </c>
    </row>
    <row r="141" spans="2:3" ht="12.75" x14ac:dyDescent="0.2">
      <c r="B141" s="1175" t="s">
        <v>1263</v>
      </c>
      <c r="C141" s="1312" t="s">
        <v>1780</v>
      </c>
    </row>
    <row r="142" spans="2:3" ht="12.75" x14ac:dyDescent="0.2">
      <c r="B142" s="1175" t="s">
        <v>881</v>
      </c>
      <c r="C142" s="1312" t="s">
        <v>1780</v>
      </c>
    </row>
    <row r="143" spans="2:3" ht="12.75" x14ac:dyDescent="0.2">
      <c r="B143" s="1175" t="s">
        <v>1264</v>
      </c>
      <c r="C143" s="1312" t="s">
        <v>1780</v>
      </c>
    </row>
    <row r="144" spans="2:3" ht="12.75" x14ac:dyDescent="0.2">
      <c r="B144" s="1175" t="s">
        <v>882</v>
      </c>
      <c r="C144" s="1312" t="s">
        <v>1780</v>
      </c>
    </row>
    <row r="145" spans="2:3" ht="12.75" x14ac:dyDescent="0.2">
      <c r="B145" s="1175" t="s">
        <v>883</v>
      </c>
      <c r="C145" s="1312" t="s">
        <v>1780</v>
      </c>
    </row>
    <row r="146" spans="2:3" ht="12.75" x14ac:dyDescent="0.2">
      <c r="B146" s="1175" t="s">
        <v>1468</v>
      </c>
      <c r="C146" s="1312" t="s">
        <v>1780</v>
      </c>
    </row>
    <row r="147" spans="2:3" ht="12.75" x14ac:dyDescent="0.2">
      <c r="B147" s="1175" t="s">
        <v>884</v>
      </c>
      <c r="C147" s="1312" t="s">
        <v>1780</v>
      </c>
    </row>
    <row r="148" spans="2:3" ht="12.75" x14ac:dyDescent="0.2">
      <c r="B148" s="1175" t="s">
        <v>885</v>
      </c>
      <c r="C148" s="1312" t="s">
        <v>1780</v>
      </c>
    </row>
    <row r="149" spans="2:3" ht="12.75" x14ac:dyDescent="0.2">
      <c r="B149" s="1175" t="s">
        <v>886</v>
      </c>
      <c r="C149" s="1312" t="s">
        <v>1780</v>
      </c>
    </row>
    <row r="150" spans="2:3" ht="12.75" x14ac:dyDescent="0.2">
      <c r="B150" s="1175" t="s">
        <v>887</v>
      </c>
      <c r="C150" s="1312" t="s">
        <v>1780</v>
      </c>
    </row>
    <row r="151" spans="2:3" ht="12.75" x14ac:dyDescent="0.2">
      <c r="B151" s="1175" t="s">
        <v>792</v>
      </c>
      <c r="C151" s="1312" t="s">
        <v>1780</v>
      </c>
    </row>
    <row r="152" spans="2:3" ht="12.75" x14ac:dyDescent="0.2">
      <c r="B152" s="1175" t="s">
        <v>888</v>
      </c>
      <c r="C152" s="1312" t="s">
        <v>1780</v>
      </c>
    </row>
    <row r="153" spans="2:3" ht="12.75" x14ac:dyDescent="0.2">
      <c r="B153" s="1175" t="s">
        <v>889</v>
      </c>
      <c r="C153" s="1312" t="s">
        <v>1780</v>
      </c>
    </row>
    <row r="154" spans="2:3" ht="12.75" x14ac:dyDescent="0.2">
      <c r="B154" s="1175" t="s">
        <v>890</v>
      </c>
      <c r="C154" s="1312" t="s">
        <v>1780</v>
      </c>
    </row>
    <row r="155" spans="2:3" ht="12.75" x14ac:dyDescent="0.2">
      <c r="B155" s="1176" t="s">
        <v>1469</v>
      </c>
      <c r="C155" s="1312" t="s">
        <v>1780</v>
      </c>
    </row>
    <row r="156" spans="2:3" ht="12.75" x14ac:dyDescent="0.2">
      <c r="B156" s="1175" t="s">
        <v>1422</v>
      </c>
      <c r="C156" s="1312" t="s">
        <v>1780</v>
      </c>
    </row>
    <row r="157" spans="2:3" ht="12.75" x14ac:dyDescent="0.2">
      <c r="B157" s="1175" t="s">
        <v>891</v>
      </c>
      <c r="C157" s="1312" t="s">
        <v>1783</v>
      </c>
    </row>
    <row r="158" spans="2:3" ht="12.75" x14ac:dyDescent="0.2">
      <c r="B158" s="1175" t="s">
        <v>892</v>
      </c>
      <c r="C158" s="1312" t="s">
        <v>1783</v>
      </c>
    </row>
    <row r="159" spans="2:3" ht="12.75" x14ac:dyDescent="0.2">
      <c r="B159" s="1175" t="s">
        <v>893</v>
      </c>
      <c r="C159" s="1312" t="s">
        <v>1783</v>
      </c>
    </row>
    <row r="160" spans="2:3" ht="12.75" x14ac:dyDescent="0.2">
      <c r="B160" s="1175" t="s">
        <v>894</v>
      </c>
      <c r="C160" s="1312" t="s">
        <v>1783</v>
      </c>
    </row>
    <row r="161" spans="2:3" ht="12.75" x14ac:dyDescent="0.2">
      <c r="B161" s="1175" t="s">
        <v>895</v>
      </c>
      <c r="C161" s="1312" t="s">
        <v>1783</v>
      </c>
    </row>
    <row r="162" spans="2:3" ht="12.75" x14ac:dyDescent="0.2">
      <c r="B162" s="1175" t="s">
        <v>797</v>
      </c>
      <c r="C162" s="1312" t="s">
        <v>1783</v>
      </c>
    </row>
    <row r="163" spans="2:3" ht="12.75" x14ac:dyDescent="0.2">
      <c r="B163" s="1175" t="s">
        <v>896</v>
      </c>
      <c r="C163" s="1312" t="s">
        <v>1783</v>
      </c>
    </row>
    <row r="164" spans="2:3" ht="12.75" x14ac:dyDescent="0.2">
      <c r="B164" s="1175" t="s">
        <v>897</v>
      </c>
      <c r="C164" s="1312" t="s">
        <v>1783</v>
      </c>
    </row>
    <row r="165" spans="2:3" ht="12.75" x14ac:dyDescent="0.2">
      <c r="B165" s="1175" t="s">
        <v>898</v>
      </c>
      <c r="C165" s="1312" t="s">
        <v>1783</v>
      </c>
    </row>
    <row r="166" spans="2:3" ht="12.75" x14ac:dyDescent="0.2">
      <c r="B166" s="1176" t="s">
        <v>1784</v>
      </c>
      <c r="C166" s="1312" t="s">
        <v>1783</v>
      </c>
    </row>
    <row r="167" spans="2:3" ht="12.75" x14ac:dyDescent="0.2">
      <c r="B167" s="1175" t="s">
        <v>798</v>
      </c>
      <c r="C167" s="1312" t="s">
        <v>1783</v>
      </c>
    </row>
    <row r="168" spans="2:3" ht="12.75" x14ac:dyDescent="0.2">
      <c r="B168" s="1175" t="s">
        <v>899</v>
      </c>
      <c r="C168" s="1312" t="s">
        <v>1783</v>
      </c>
    </row>
    <row r="169" spans="2:3" ht="12.75" x14ac:dyDescent="0.2">
      <c r="B169" s="1175" t="s">
        <v>900</v>
      </c>
      <c r="C169" s="1312" t="s">
        <v>1783</v>
      </c>
    </row>
    <row r="170" spans="2:3" ht="12.75" x14ac:dyDescent="0.2">
      <c r="B170" s="1175" t="s">
        <v>901</v>
      </c>
      <c r="C170" s="1312" t="s">
        <v>1783</v>
      </c>
    </row>
    <row r="171" spans="2:3" ht="12.75" x14ac:dyDescent="0.2">
      <c r="B171" s="1175" t="s">
        <v>902</v>
      </c>
      <c r="C171" s="1312" t="s">
        <v>1783</v>
      </c>
    </row>
    <row r="172" spans="2:3" ht="12.75" x14ac:dyDescent="0.2">
      <c r="B172" s="1175" t="s">
        <v>799</v>
      </c>
      <c r="C172" s="1312" t="s">
        <v>1783</v>
      </c>
    </row>
    <row r="173" spans="2:3" ht="12.75" x14ac:dyDescent="0.2">
      <c r="B173" s="1175" t="s">
        <v>903</v>
      </c>
      <c r="C173" s="1312" t="s">
        <v>1783</v>
      </c>
    </row>
    <row r="174" spans="2:3" ht="12.75" x14ac:dyDescent="0.2">
      <c r="B174" s="1175" t="s">
        <v>904</v>
      </c>
      <c r="C174" s="1312" t="s">
        <v>1783</v>
      </c>
    </row>
    <row r="175" spans="2:3" ht="12.75" x14ac:dyDescent="0.2">
      <c r="B175" s="1175" t="s">
        <v>905</v>
      </c>
      <c r="C175" s="1312" t="s">
        <v>1783</v>
      </c>
    </row>
    <row r="176" spans="2:3" ht="12.75" x14ac:dyDescent="0.2">
      <c r="B176" s="1175" t="s">
        <v>906</v>
      </c>
      <c r="C176" s="1312" t="s">
        <v>1783</v>
      </c>
    </row>
    <row r="177" spans="2:3" ht="12.75" x14ac:dyDescent="0.2">
      <c r="B177" s="1176" t="s">
        <v>1785</v>
      </c>
      <c r="C177" s="1312" t="s">
        <v>1783</v>
      </c>
    </row>
    <row r="178" spans="2:3" ht="12.75" x14ac:dyDescent="0.2">
      <c r="B178" s="1175" t="s">
        <v>800</v>
      </c>
      <c r="C178" s="1312" t="s">
        <v>1783</v>
      </c>
    </row>
    <row r="179" spans="2:3" ht="12.75" x14ac:dyDescent="0.2">
      <c r="B179" s="1175" t="s">
        <v>1265</v>
      </c>
      <c r="C179" s="1178" t="s">
        <v>1783</v>
      </c>
    </row>
    <row r="180" spans="2:3" ht="12.75" x14ac:dyDescent="0.2">
      <c r="B180" s="1175" t="s">
        <v>907</v>
      </c>
      <c r="C180" s="1178" t="s">
        <v>1783</v>
      </c>
    </row>
    <row r="181" spans="2:3" ht="12.75" x14ac:dyDescent="0.2">
      <c r="B181" s="1175" t="s">
        <v>1266</v>
      </c>
      <c r="C181" s="1178" t="s">
        <v>1783</v>
      </c>
    </row>
    <row r="182" spans="2:3" ht="12.75" x14ac:dyDescent="0.2">
      <c r="B182" s="1176" t="s">
        <v>1786</v>
      </c>
      <c r="C182" s="1178" t="s">
        <v>1783</v>
      </c>
    </row>
    <row r="183" spans="2:3" ht="12.75" x14ac:dyDescent="0.2">
      <c r="B183" s="1175" t="s">
        <v>1384</v>
      </c>
      <c r="C183" s="1178" t="s">
        <v>1783</v>
      </c>
    </row>
    <row r="184" spans="2:3" ht="12.75" x14ac:dyDescent="0.2">
      <c r="B184" s="1175" t="s">
        <v>908</v>
      </c>
      <c r="C184" s="1178" t="s">
        <v>1787</v>
      </c>
    </row>
    <row r="185" spans="2:3" ht="12.75" x14ac:dyDescent="0.2">
      <c r="B185" s="1175" t="s">
        <v>909</v>
      </c>
      <c r="C185" s="1178" t="s">
        <v>1787</v>
      </c>
    </row>
    <row r="186" spans="2:3" ht="12.75" x14ac:dyDescent="0.2">
      <c r="B186" s="1175" t="s">
        <v>910</v>
      </c>
      <c r="C186" s="1178" t="s">
        <v>1787</v>
      </c>
    </row>
    <row r="187" spans="2:3" ht="12.75" x14ac:dyDescent="0.2">
      <c r="B187" s="1175" t="s">
        <v>1267</v>
      </c>
      <c r="C187" s="1178" t="s">
        <v>1787</v>
      </c>
    </row>
    <row r="188" spans="2:3" ht="12.75" x14ac:dyDescent="0.2">
      <c r="B188" s="1175" t="s">
        <v>911</v>
      </c>
      <c r="C188" s="1178" t="s">
        <v>1787</v>
      </c>
    </row>
    <row r="189" spans="2:3" ht="12.75" x14ac:dyDescent="0.2">
      <c r="B189" s="1175" t="s">
        <v>912</v>
      </c>
      <c r="C189" s="1178" t="s">
        <v>1787</v>
      </c>
    </row>
    <row r="190" spans="2:3" ht="12.75" x14ac:dyDescent="0.2">
      <c r="B190" s="1175" t="s">
        <v>913</v>
      </c>
      <c r="C190" s="1178" t="s">
        <v>1787</v>
      </c>
    </row>
    <row r="191" spans="2:3" ht="12.75" x14ac:dyDescent="0.2">
      <c r="B191" s="1175" t="s">
        <v>794</v>
      </c>
      <c r="C191" s="1178" t="s">
        <v>1787</v>
      </c>
    </row>
    <row r="192" spans="2:3" ht="12.75" x14ac:dyDescent="0.2">
      <c r="B192" s="1175" t="s">
        <v>1268</v>
      </c>
      <c r="C192" s="1178" t="s">
        <v>1787</v>
      </c>
    </row>
    <row r="193" spans="2:3" ht="12.75" x14ac:dyDescent="0.2">
      <c r="B193" s="1175" t="s">
        <v>1389</v>
      </c>
      <c r="C193" s="1178" t="s">
        <v>1787</v>
      </c>
    </row>
    <row r="194" spans="2:3" ht="12.75" x14ac:dyDescent="0.2">
      <c r="B194" s="1175" t="s">
        <v>914</v>
      </c>
      <c r="C194" s="1178" t="s">
        <v>1787</v>
      </c>
    </row>
    <row r="195" spans="2:3" ht="12.75" x14ac:dyDescent="0.2">
      <c r="B195" s="1175" t="s">
        <v>915</v>
      </c>
      <c r="C195" s="1178" t="s">
        <v>1787</v>
      </c>
    </row>
    <row r="196" spans="2:3" ht="12.75" x14ac:dyDescent="0.2">
      <c r="B196" s="1175" t="s">
        <v>1390</v>
      </c>
      <c r="C196" s="1178" t="s">
        <v>1787</v>
      </c>
    </row>
    <row r="197" spans="2:3" ht="12.75" x14ac:dyDescent="0.2">
      <c r="B197" s="1175" t="s">
        <v>916</v>
      </c>
      <c r="C197" s="1178" t="s">
        <v>1787</v>
      </c>
    </row>
    <row r="198" spans="2:3" ht="12.75" x14ac:dyDescent="0.2">
      <c r="B198" s="1175" t="s">
        <v>795</v>
      </c>
      <c r="C198" s="1178" t="s">
        <v>1787</v>
      </c>
    </row>
    <row r="199" spans="2:3" ht="12.75" x14ac:dyDescent="0.2">
      <c r="B199" s="1175" t="s">
        <v>917</v>
      </c>
      <c r="C199" s="1178" t="s">
        <v>1787</v>
      </c>
    </row>
    <row r="200" spans="2:3" ht="12.75" x14ac:dyDescent="0.2">
      <c r="B200" s="1175" t="s">
        <v>918</v>
      </c>
      <c r="C200" s="1178" t="s">
        <v>1787</v>
      </c>
    </row>
    <row r="201" spans="2:3" ht="12.75" x14ac:dyDescent="0.2">
      <c r="B201" s="1175" t="s">
        <v>919</v>
      </c>
      <c r="C201" s="1178" t="s">
        <v>1787</v>
      </c>
    </row>
    <row r="202" spans="2:3" ht="12.75" x14ac:dyDescent="0.2">
      <c r="B202" s="1176" t="s">
        <v>1470</v>
      </c>
      <c r="C202" s="1178" t="s">
        <v>1787</v>
      </c>
    </row>
    <row r="203" spans="2:3" ht="12.75" x14ac:dyDescent="0.2">
      <c r="B203" s="1175" t="s">
        <v>796</v>
      </c>
      <c r="C203" s="1178" t="s">
        <v>1787</v>
      </c>
    </row>
    <row r="204" spans="2:3" ht="12.75" x14ac:dyDescent="0.2">
      <c r="B204" s="1175" t="s">
        <v>1269</v>
      </c>
      <c r="C204" s="1178" t="s">
        <v>1788</v>
      </c>
    </row>
    <row r="205" spans="2:3" ht="12.75" x14ac:dyDescent="0.2">
      <c r="B205" s="1175" t="s">
        <v>942</v>
      </c>
      <c r="C205" s="1178" t="s">
        <v>1788</v>
      </c>
    </row>
    <row r="206" spans="2:3" ht="12.75" x14ac:dyDescent="0.2">
      <c r="B206" s="1175" t="s">
        <v>943</v>
      </c>
      <c r="C206" s="1178" t="s">
        <v>1788</v>
      </c>
    </row>
    <row r="207" spans="2:3" ht="12.75" x14ac:dyDescent="0.2">
      <c r="B207" s="1175" t="s">
        <v>1260</v>
      </c>
      <c r="C207" s="1178" t="s">
        <v>1788</v>
      </c>
    </row>
    <row r="208" spans="2:3" ht="12.75" x14ac:dyDescent="0.2">
      <c r="B208" s="1175" t="s">
        <v>920</v>
      </c>
      <c r="C208" s="1178" t="s">
        <v>1788</v>
      </c>
    </row>
    <row r="209" spans="2:3" ht="12.75" x14ac:dyDescent="0.2">
      <c r="B209" s="1175" t="s">
        <v>921</v>
      </c>
      <c r="C209" s="1178" t="s">
        <v>1788</v>
      </c>
    </row>
    <row r="210" spans="2:3" ht="12.75" x14ac:dyDescent="0.2">
      <c r="B210" s="1175" t="s">
        <v>922</v>
      </c>
      <c r="C210" s="1178" t="s">
        <v>1788</v>
      </c>
    </row>
    <row r="211" spans="2:3" ht="12.75" x14ac:dyDescent="0.2">
      <c r="B211" s="1175" t="s">
        <v>923</v>
      </c>
      <c r="C211" s="1178" t="s">
        <v>1788</v>
      </c>
    </row>
    <row r="212" spans="2:3" ht="12.75" x14ac:dyDescent="0.2">
      <c r="B212" s="1175" t="s">
        <v>924</v>
      </c>
      <c r="C212" s="1178" t="s">
        <v>1788</v>
      </c>
    </row>
    <row r="213" spans="2:3" ht="12.75" x14ac:dyDescent="0.2">
      <c r="B213" s="1175" t="s">
        <v>925</v>
      </c>
      <c r="C213" s="1178" t="s">
        <v>1788</v>
      </c>
    </row>
    <row r="214" spans="2:3" ht="12.75" x14ac:dyDescent="0.2">
      <c r="B214" s="1175" t="s">
        <v>809</v>
      </c>
      <c r="C214" s="1178" t="s">
        <v>1788</v>
      </c>
    </row>
    <row r="215" spans="2:3" ht="12.75" x14ac:dyDescent="0.2">
      <c r="B215" s="1175" t="s">
        <v>926</v>
      </c>
      <c r="C215" s="1178" t="s">
        <v>1788</v>
      </c>
    </row>
    <row r="216" spans="2:3" ht="12.75" x14ac:dyDescent="0.2">
      <c r="B216" s="1175" t="s">
        <v>927</v>
      </c>
      <c r="C216" s="1178" t="s">
        <v>1788</v>
      </c>
    </row>
    <row r="217" spans="2:3" ht="12.75" x14ac:dyDescent="0.2">
      <c r="B217" s="1175" t="s">
        <v>928</v>
      </c>
      <c r="C217" s="1178" t="s">
        <v>1788</v>
      </c>
    </row>
    <row r="218" spans="2:3" ht="12.75" x14ac:dyDescent="0.2">
      <c r="B218" s="1175" t="s">
        <v>929</v>
      </c>
      <c r="C218" s="1178" t="s">
        <v>1788</v>
      </c>
    </row>
    <row r="219" spans="2:3" ht="12.75" x14ac:dyDescent="0.2">
      <c r="B219" s="1175" t="s">
        <v>930</v>
      </c>
      <c r="C219" s="1178" t="s">
        <v>1788</v>
      </c>
    </row>
    <row r="220" spans="2:3" ht="12.75" x14ac:dyDescent="0.2">
      <c r="B220" s="1175" t="s">
        <v>931</v>
      </c>
      <c r="C220" s="1178" t="s">
        <v>1788</v>
      </c>
    </row>
    <row r="221" spans="2:3" ht="12.75" x14ac:dyDescent="0.2">
      <c r="B221" s="1175" t="s">
        <v>932</v>
      </c>
      <c r="C221" s="1178" t="s">
        <v>1788</v>
      </c>
    </row>
    <row r="222" spans="2:3" ht="12.75" x14ac:dyDescent="0.2">
      <c r="B222" s="1175" t="s">
        <v>933</v>
      </c>
      <c r="C222" s="1178" t="s">
        <v>1788</v>
      </c>
    </row>
    <row r="223" spans="2:3" ht="12.75" x14ac:dyDescent="0.2">
      <c r="B223" s="1175" t="s">
        <v>1385</v>
      </c>
      <c r="C223" s="1178" t="s">
        <v>1788</v>
      </c>
    </row>
    <row r="224" spans="2:3" ht="12.75" x14ac:dyDescent="0.2">
      <c r="B224" s="1175" t="s">
        <v>934</v>
      </c>
      <c r="C224" s="1178" t="s">
        <v>1788</v>
      </c>
    </row>
    <row r="225" spans="2:3" ht="12.75" x14ac:dyDescent="0.2">
      <c r="B225" s="1175" t="s">
        <v>935</v>
      </c>
      <c r="C225" s="1178" t="s">
        <v>1788</v>
      </c>
    </row>
    <row r="226" spans="2:3" ht="12.75" x14ac:dyDescent="0.2">
      <c r="B226" s="1175" t="s">
        <v>936</v>
      </c>
      <c r="C226" s="1178" t="s">
        <v>1788</v>
      </c>
    </row>
    <row r="227" spans="2:3" ht="12.75" x14ac:dyDescent="0.2">
      <c r="B227" s="1175" t="s">
        <v>937</v>
      </c>
      <c r="C227" s="1178" t="s">
        <v>1788</v>
      </c>
    </row>
    <row r="228" spans="2:3" ht="12.75" x14ac:dyDescent="0.2">
      <c r="B228" s="1176" t="s">
        <v>1789</v>
      </c>
      <c r="C228" s="1178" t="s">
        <v>1788</v>
      </c>
    </row>
    <row r="229" spans="2:3" ht="12.75" x14ac:dyDescent="0.2">
      <c r="B229" s="1175" t="s">
        <v>1462</v>
      </c>
      <c r="C229" s="1178" t="s">
        <v>1788</v>
      </c>
    </row>
    <row r="230" spans="2:3" ht="12.75" x14ac:dyDescent="0.2">
      <c r="B230" s="1175" t="s">
        <v>938</v>
      </c>
      <c r="C230" s="1178" t="s">
        <v>1788</v>
      </c>
    </row>
    <row r="231" spans="2:3" ht="12.75" x14ac:dyDescent="0.2">
      <c r="B231" s="1175" t="s">
        <v>939</v>
      </c>
      <c r="C231" s="1178" t="s">
        <v>1788</v>
      </c>
    </row>
    <row r="232" spans="2:3" ht="12.75" x14ac:dyDescent="0.2">
      <c r="B232" s="1175" t="s">
        <v>940</v>
      </c>
      <c r="C232" s="1178" t="s">
        <v>1788</v>
      </c>
    </row>
    <row r="233" spans="2:3" ht="12.75" x14ac:dyDescent="0.2">
      <c r="B233" s="1175" t="s">
        <v>941</v>
      </c>
      <c r="C233" s="1178" t="s">
        <v>1788</v>
      </c>
    </row>
    <row r="234" spans="2:3" ht="12.75" x14ac:dyDescent="0.2">
      <c r="B234" s="1175" t="s">
        <v>810</v>
      </c>
      <c r="C234" s="1178" t="s">
        <v>1788</v>
      </c>
    </row>
    <row r="235" spans="2:3" ht="12.75" x14ac:dyDescent="0.2">
      <c r="B235" s="1175" t="s">
        <v>944</v>
      </c>
      <c r="C235" s="1178" t="s">
        <v>1790</v>
      </c>
    </row>
    <row r="236" spans="2:3" ht="12.75" x14ac:dyDescent="0.2">
      <c r="B236" s="1175" t="s">
        <v>945</v>
      </c>
      <c r="C236" s="1178" t="s">
        <v>1790</v>
      </c>
    </row>
    <row r="237" spans="2:3" ht="12.75" x14ac:dyDescent="0.2">
      <c r="B237" s="1175" t="s">
        <v>946</v>
      </c>
      <c r="C237" s="1178" t="s">
        <v>1790</v>
      </c>
    </row>
    <row r="238" spans="2:3" ht="12.75" x14ac:dyDescent="0.2">
      <c r="B238" s="1175" t="s">
        <v>947</v>
      </c>
      <c r="C238" s="1178" t="s">
        <v>1790</v>
      </c>
    </row>
    <row r="239" spans="2:3" ht="12.75" x14ac:dyDescent="0.2">
      <c r="B239" s="1175" t="s">
        <v>948</v>
      </c>
      <c r="C239" s="1178" t="s">
        <v>1790</v>
      </c>
    </row>
    <row r="240" spans="2:3" ht="12.75" x14ac:dyDescent="0.2">
      <c r="B240" s="1175" t="s">
        <v>801</v>
      </c>
      <c r="C240" s="1178" t="s">
        <v>1790</v>
      </c>
    </row>
    <row r="241" spans="2:3" ht="12.75" x14ac:dyDescent="0.2">
      <c r="B241" s="1175" t="s">
        <v>949</v>
      </c>
      <c r="C241" s="1178" t="s">
        <v>1790</v>
      </c>
    </row>
    <row r="242" spans="2:3" ht="12.75" x14ac:dyDescent="0.2">
      <c r="B242" s="1175" t="s">
        <v>950</v>
      </c>
      <c r="C242" s="1178" t="s">
        <v>1790</v>
      </c>
    </row>
    <row r="243" spans="2:3" ht="12.75" x14ac:dyDescent="0.2">
      <c r="B243" s="1175" t="s">
        <v>951</v>
      </c>
      <c r="C243" s="1178" t="s">
        <v>1790</v>
      </c>
    </row>
    <row r="244" spans="2:3" ht="12.75" x14ac:dyDescent="0.2">
      <c r="B244" s="1175" t="s">
        <v>952</v>
      </c>
      <c r="C244" s="1178" t="s">
        <v>1790</v>
      </c>
    </row>
    <row r="245" spans="2:3" ht="12.75" x14ac:dyDescent="0.2">
      <c r="B245" s="1175" t="s">
        <v>953</v>
      </c>
      <c r="C245" s="1178" t="s">
        <v>1790</v>
      </c>
    </row>
    <row r="246" spans="2:3" ht="12.75" x14ac:dyDescent="0.2">
      <c r="B246" s="1175" t="s">
        <v>802</v>
      </c>
      <c r="C246" s="1178" t="s">
        <v>1790</v>
      </c>
    </row>
    <row r="247" spans="2:3" ht="12.75" x14ac:dyDescent="0.2">
      <c r="B247" s="1175" t="s">
        <v>954</v>
      </c>
      <c r="C247" s="1178" t="s">
        <v>1790</v>
      </c>
    </row>
    <row r="248" spans="2:3" ht="12.75" x14ac:dyDescent="0.2">
      <c r="B248" s="1175" t="s">
        <v>955</v>
      </c>
      <c r="C248" s="1178" t="s">
        <v>1790</v>
      </c>
    </row>
    <row r="249" spans="2:3" ht="12.75" x14ac:dyDescent="0.2">
      <c r="B249" s="1175" t="s">
        <v>956</v>
      </c>
      <c r="C249" s="1178" t="s">
        <v>1790</v>
      </c>
    </row>
    <row r="250" spans="2:3" ht="12.75" x14ac:dyDescent="0.2">
      <c r="B250" s="1175" t="s">
        <v>957</v>
      </c>
      <c r="C250" s="1178" t="s">
        <v>1790</v>
      </c>
    </row>
    <row r="251" spans="2:3" ht="12.75" x14ac:dyDescent="0.2">
      <c r="B251" s="1175" t="s">
        <v>1424</v>
      </c>
      <c r="C251" s="1178" t="s">
        <v>1790</v>
      </c>
    </row>
    <row r="252" spans="2:3" ht="12.75" x14ac:dyDescent="0.2">
      <c r="B252" s="1175" t="s">
        <v>803</v>
      </c>
      <c r="C252" s="1178" t="s">
        <v>1790</v>
      </c>
    </row>
    <row r="253" spans="2:3" ht="12.75" x14ac:dyDescent="0.2">
      <c r="B253" s="1175" t="s">
        <v>958</v>
      </c>
      <c r="C253" s="1178" t="s">
        <v>1790</v>
      </c>
    </row>
    <row r="254" spans="2:3" ht="12.75" x14ac:dyDescent="0.2">
      <c r="B254" s="1175" t="s">
        <v>959</v>
      </c>
      <c r="C254" s="1178" t="s">
        <v>1790</v>
      </c>
    </row>
    <row r="255" spans="2:3" ht="12.75" x14ac:dyDescent="0.2">
      <c r="B255" s="1176" t="s">
        <v>1791</v>
      </c>
      <c r="C255" s="1178" t="s">
        <v>1790</v>
      </c>
    </row>
    <row r="256" spans="2:3" ht="12.75" x14ac:dyDescent="0.2">
      <c r="B256" s="1175" t="s">
        <v>804</v>
      </c>
      <c r="C256" s="1178" t="s">
        <v>1790</v>
      </c>
    </row>
    <row r="257" spans="2:3" ht="12.75" x14ac:dyDescent="0.2">
      <c r="B257" s="1175" t="s">
        <v>1397</v>
      </c>
      <c r="C257" s="1178" t="s">
        <v>1792</v>
      </c>
    </row>
    <row r="258" spans="2:3" ht="12.75" x14ac:dyDescent="0.2">
      <c r="B258" s="1175" t="s">
        <v>960</v>
      </c>
      <c r="C258" s="1178" t="s">
        <v>1792</v>
      </c>
    </row>
    <row r="259" spans="2:3" ht="12.75" x14ac:dyDescent="0.2">
      <c r="B259" s="1175" t="s">
        <v>961</v>
      </c>
      <c r="C259" s="1178" t="s">
        <v>1792</v>
      </c>
    </row>
    <row r="260" spans="2:3" ht="12.75" x14ac:dyDescent="0.2">
      <c r="B260" s="1175" t="s">
        <v>962</v>
      </c>
      <c r="C260" s="1178" t="s">
        <v>1792</v>
      </c>
    </row>
    <row r="261" spans="2:3" ht="12.75" x14ac:dyDescent="0.2">
      <c r="B261" s="1175" t="s">
        <v>963</v>
      </c>
      <c r="C261" s="1178" t="s">
        <v>1792</v>
      </c>
    </row>
    <row r="262" spans="2:3" ht="12.75" x14ac:dyDescent="0.2">
      <c r="B262" s="1175" t="s">
        <v>964</v>
      </c>
      <c r="C262" s="1178" t="s">
        <v>1792</v>
      </c>
    </row>
    <row r="263" spans="2:3" ht="12.75" x14ac:dyDescent="0.2">
      <c r="B263" s="1175" t="s">
        <v>777</v>
      </c>
      <c r="C263" s="1178" t="s">
        <v>1792</v>
      </c>
    </row>
    <row r="264" spans="2:3" ht="12.75" x14ac:dyDescent="0.2">
      <c r="B264" s="1175" t="s">
        <v>965</v>
      </c>
      <c r="C264" s="1178" t="s">
        <v>1792</v>
      </c>
    </row>
    <row r="265" spans="2:3" ht="12.75" x14ac:dyDescent="0.2">
      <c r="B265" s="1175" t="s">
        <v>966</v>
      </c>
      <c r="C265" s="1178" t="s">
        <v>1792</v>
      </c>
    </row>
    <row r="266" spans="2:3" ht="12.75" x14ac:dyDescent="0.2">
      <c r="B266" s="1175" t="s">
        <v>967</v>
      </c>
      <c r="C266" s="1178" t="s">
        <v>1792</v>
      </c>
    </row>
    <row r="267" spans="2:3" ht="12.75" x14ac:dyDescent="0.2">
      <c r="B267" s="1175" t="s">
        <v>968</v>
      </c>
      <c r="C267" s="1178" t="s">
        <v>1792</v>
      </c>
    </row>
    <row r="268" spans="2:3" ht="12.75" x14ac:dyDescent="0.2">
      <c r="B268" s="1175" t="s">
        <v>1270</v>
      </c>
      <c r="C268" s="1178" t="s">
        <v>1792</v>
      </c>
    </row>
    <row r="269" spans="2:3" ht="12.75" x14ac:dyDescent="0.2">
      <c r="B269" s="1175" t="s">
        <v>1383</v>
      </c>
      <c r="C269" s="1178" t="s">
        <v>1792</v>
      </c>
    </row>
    <row r="270" spans="2:3" ht="12.75" x14ac:dyDescent="0.2">
      <c r="B270" s="1175" t="s">
        <v>969</v>
      </c>
      <c r="C270" s="1178" t="s">
        <v>1792</v>
      </c>
    </row>
    <row r="271" spans="2:3" ht="12.75" x14ac:dyDescent="0.2">
      <c r="B271" s="1175" t="s">
        <v>970</v>
      </c>
      <c r="C271" s="1178" t="s">
        <v>1792</v>
      </c>
    </row>
    <row r="272" spans="2:3" ht="12.75" x14ac:dyDescent="0.2">
      <c r="B272" s="1175" t="s">
        <v>971</v>
      </c>
      <c r="C272" s="1178" t="s">
        <v>1792</v>
      </c>
    </row>
    <row r="273" spans="2:3" ht="12.75" x14ac:dyDescent="0.2">
      <c r="B273" s="1175" t="s">
        <v>972</v>
      </c>
      <c r="C273" s="1178" t="s">
        <v>1792</v>
      </c>
    </row>
    <row r="274" spans="2:3" ht="12.75" x14ac:dyDescent="0.2">
      <c r="B274" s="1175" t="s">
        <v>793</v>
      </c>
      <c r="C274" s="1178" t="s">
        <v>1792</v>
      </c>
    </row>
    <row r="275" spans="2:3" ht="12.75" x14ac:dyDescent="0.2">
      <c r="B275" s="1175" t="s">
        <v>973</v>
      </c>
      <c r="C275" s="1178" t="s">
        <v>1792</v>
      </c>
    </row>
    <row r="276" spans="2:3" ht="12.75" x14ac:dyDescent="0.2">
      <c r="B276" s="1175" t="s">
        <v>974</v>
      </c>
      <c r="C276" s="1178" t="s">
        <v>1792</v>
      </c>
    </row>
    <row r="277" spans="2:3" ht="12.75" x14ac:dyDescent="0.2">
      <c r="B277" s="1175" t="s">
        <v>975</v>
      </c>
      <c r="C277" s="1178" t="s">
        <v>1792</v>
      </c>
    </row>
    <row r="278" spans="2:3" ht="12.75" x14ac:dyDescent="0.2">
      <c r="B278" s="1175" t="s">
        <v>976</v>
      </c>
      <c r="C278" s="1178" t="s">
        <v>1792</v>
      </c>
    </row>
    <row r="279" spans="2:3" ht="12.75" x14ac:dyDescent="0.2">
      <c r="B279" s="1175" t="s">
        <v>977</v>
      </c>
      <c r="C279" s="1178" t="s">
        <v>1792</v>
      </c>
    </row>
    <row r="280" spans="2:3" ht="12.75" x14ac:dyDescent="0.2">
      <c r="B280" s="1175" t="s">
        <v>978</v>
      </c>
      <c r="C280" s="1178" t="s">
        <v>1792</v>
      </c>
    </row>
    <row r="281" spans="2:3" ht="12.75" x14ac:dyDescent="0.2">
      <c r="B281" s="1175" t="s">
        <v>979</v>
      </c>
      <c r="C281" s="1178" t="s">
        <v>1792</v>
      </c>
    </row>
    <row r="282" spans="2:3" ht="12.75" x14ac:dyDescent="0.2">
      <c r="B282" s="1175" t="s">
        <v>1793</v>
      </c>
      <c r="C282" s="1178" t="s">
        <v>1792</v>
      </c>
    </row>
    <row r="283" spans="2:3" ht="12.75" x14ac:dyDescent="0.2">
      <c r="B283" s="1175" t="s">
        <v>980</v>
      </c>
      <c r="C283" s="1178" t="s">
        <v>1792</v>
      </c>
    </row>
    <row r="284" spans="2:3" ht="12.75" x14ac:dyDescent="0.2">
      <c r="B284" s="1175" t="s">
        <v>981</v>
      </c>
      <c r="C284" s="1178" t="s">
        <v>1792</v>
      </c>
    </row>
    <row r="285" spans="2:3" ht="12.75" x14ac:dyDescent="0.2">
      <c r="B285" s="1175" t="s">
        <v>982</v>
      </c>
      <c r="C285" s="1178" t="s">
        <v>1792</v>
      </c>
    </row>
    <row r="286" spans="2:3" ht="12.75" x14ac:dyDescent="0.2">
      <c r="B286" s="1175" t="s">
        <v>808</v>
      </c>
      <c r="C286" s="1178" t="s">
        <v>1792</v>
      </c>
    </row>
    <row r="287" spans="2:3" ht="12.75" x14ac:dyDescent="0.2">
      <c r="B287" s="828"/>
      <c r="C287" s="1016"/>
    </row>
    <row r="288" spans="2:3" ht="12.75" x14ac:dyDescent="0.2">
      <c r="B288" s="828"/>
      <c r="C288" s="1016"/>
    </row>
    <row r="289" spans="2:3" ht="12.75" x14ac:dyDescent="0.2">
      <c r="B289" s="828"/>
      <c r="C289" s="1016"/>
    </row>
    <row r="290" spans="2:3" ht="12.75" x14ac:dyDescent="0.2">
      <c r="B290" s="828"/>
      <c r="C290" s="1016"/>
    </row>
    <row r="291" spans="2:3" ht="12.75" x14ac:dyDescent="0.2">
      <c r="B291" s="828"/>
      <c r="C291" s="1016"/>
    </row>
    <row r="292" spans="2:3" ht="12.75" x14ac:dyDescent="0.2">
      <c r="B292" s="828"/>
      <c r="C292" s="1016"/>
    </row>
    <row r="293" spans="2:3" ht="12.75" x14ac:dyDescent="0.2">
      <c r="B293" s="828"/>
      <c r="C293" s="1016"/>
    </row>
    <row r="294" spans="2:3" ht="12.75" x14ac:dyDescent="0.2">
      <c r="B294" s="828"/>
      <c r="C294" s="1016"/>
    </row>
    <row r="295" spans="2:3" ht="12.75" x14ac:dyDescent="0.2">
      <c r="B295" s="828"/>
      <c r="C295" s="1016"/>
    </row>
    <row r="296" spans="2:3" ht="12.75" x14ac:dyDescent="0.2">
      <c r="B296" s="828"/>
      <c r="C296" s="1016"/>
    </row>
    <row r="297" spans="2:3" ht="12.75" x14ac:dyDescent="0.2">
      <c r="B297" s="828"/>
      <c r="C297" s="1016"/>
    </row>
    <row r="298" spans="2:3" ht="12.75" x14ac:dyDescent="0.2">
      <c r="B298" s="828"/>
      <c r="C298" s="1016"/>
    </row>
    <row r="299" spans="2:3" ht="12.75" x14ac:dyDescent="0.2">
      <c r="B299" s="828"/>
      <c r="C299" s="1016"/>
    </row>
    <row r="300" spans="2:3" ht="12.75" x14ac:dyDescent="0.2">
      <c r="B300" s="828"/>
      <c r="C300" s="1016"/>
    </row>
    <row r="301" spans="2:3" ht="12.75" x14ac:dyDescent="0.2">
      <c r="B301" s="828"/>
      <c r="C301" s="1016"/>
    </row>
    <row r="302" spans="2:3" ht="12.75" x14ac:dyDescent="0.2">
      <c r="B302" s="828"/>
      <c r="C302" s="1016"/>
    </row>
    <row r="303" spans="2:3" ht="12.75" x14ac:dyDescent="0.2">
      <c r="B303" s="828"/>
      <c r="C303" s="1016"/>
    </row>
    <row r="304" spans="2:3" ht="12.75" x14ac:dyDescent="0.2">
      <c r="B304" s="828"/>
      <c r="C304" s="1016"/>
    </row>
    <row r="305" spans="2:3" ht="12.75" x14ac:dyDescent="0.2">
      <c r="B305" s="828"/>
      <c r="C305" s="1016"/>
    </row>
    <row r="306" spans="2:3" ht="12.75" x14ac:dyDescent="0.2">
      <c r="B306" s="828"/>
      <c r="C306" s="1016"/>
    </row>
    <row r="307" spans="2:3" ht="12.75" x14ac:dyDescent="0.2">
      <c r="B307" s="828"/>
      <c r="C307" s="1016"/>
    </row>
    <row r="308" spans="2:3" x14ac:dyDescent="0.2">
      <c r="C308" s="1017">
        <f>COUNTA(C30:C307)</f>
        <v>257</v>
      </c>
    </row>
  </sheetData>
  <phoneticPr fontId="4"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3">
    <tabColor indexed="44"/>
  </sheetPr>
  <dimension ref="A1:I166"/>
  <sheetViews>
    <sheetView showGridLines="0" zoomScaleNormal="100" workbookViewId="0">
      <selection activeCell="O25" sqref="O25"/>
    </sheetView>
  </sheetViews>
  <sheetFormatPr defaultColWidth="9.140625" defaultRowHeight="11.25" x14ac:dyDescent="0.2"/>
  <cols>
    <col min="1" max="1" width="40.7109375" style="910" customWidth="1"/>
    <col min="2" max="2" width="19.85546875" style="918" customWidth="1"/>
    <col min="3" max="3" width="59.28515625" style="919" customWidth="1"/>
    <col min="4" max="4" width="20" style="910" hidden="1" customWidth="1"/>
    <col min="5" max="5" width="43.42578125" style="910" hidden="1" customWidth="1"/>
    <col min="6" max="7" width="22" style="910" hidden="1" customWidth="1"/>
    <col min="8" max="8" width="4.28515625" style="910" hidden="1" customWidth="1"/>
    <col min="9" max="9" width="9.28515625" style="910" hidden="1" customWidth="1"/>
    <col min="10" max="10" width="0" style="910" hidden="1" customWidth="1"/>
    <col min="11" max="16384" width="9.140625" style="910"/>
  </cols>
  <sheetData>
    <row r="1" spans="1:9" ht="35.25" customHeight="1" x14ac:dyDescent="0.2">
      <c r="A1" s="907" t="s">
        <v>1297</v>
      </c>
      <c r="B1" s="908"/>
      <c r="C1" s="909" t="s">
        <v>1298</v>
      </c>
      <c r="E1" s="907" t="s">
        <v>1299</v>
      </c>
    </row>
    <row r="2" spans="1:9" x14ac:dyDescent="0.2">
      <c r="A2" s="910" t="str">
        <f>B2&amp;" - "&amp; C2</f>
        <v>Vote 1 - Finance and Administration</v>
      </c>
      <c r="B2" s="911" t="s">
        <v>676</v>
      </c>
      <c r="C2" s="912" t="str">
        <f>IFERROR(VLOOKUP($I2,MainVote,3,0),"[NAME OF VOTE "&amp;I2&amp;"]")</f>
        <v>Finance and Administration</v>
      </c>
      <c r="E2" s="913"/>
      <c r="I2" s="910">
        <v>1</v>
      </c>
    </row>
    <row r="3" spans="1:9" x14ac:dyDescent="0.2">
      <c r="A3" s="910" t="str">
        <f>B13&amp;" - "&amp; C13</f>
        <v>Vote 2 - Finance and Administration2</v>
      </c>
      <c r="B3" s="914">
        <v>1.1000000000000001</v>
      </c>
      <c r="C3" s="915" t="str">
        <f t="shared" ref="C3:C12" si="0">IFERROR(VLOOKUP($H3,SubVote,3,0),"[Name of sub-vote]")</f>
        <v>Finance</v>
      </c>
      <c r="D3" s="910" t="str">
        <f>CONCATENATE(B3, " - ", C3)</f>
        <v>1.1 - Finance</v>
      </c>
      <c r="E3" s="916" t="s">
        <v>1300</v>
      </c>
      <c r="F3" s="910" t="str">
        <f>IF(C3&lt;&gt;"[Name of sub-vote]",B3&amp;" - "&amp;C3,"")</f>
        <v>1.1 - Finance</v>
      </c>
      <c r="H3" s="910">
        <v>11</v>
      </c>
    </row>
    <row r="4" spans="1:9" x14ac:dyDescent="0.2">
      <c r="A4" s="910" t="str">
        <f>B24&amp;" - "&amp;C24</f>
        <v>Vote 3 - Executive and Council</v>
      </c>
      <c r="B4" s="914">
        <v>1.2</v>
      </c>
      <c r="C4" s="915" t="str">
        <f t="shared" si="0"/>
        <v>Fleet Management</v>
      </c>
      <c r="D4" s="910" t="str">
        <f t="shared" ref="D4:D12" si="1">CONCATENATE(B4, " - ", C4)</f>
        <v>1.2 - Fleet Management</v>
      </c>
      <c r="E4" s="916" t="s">
        <v>1999</v>
      </c>
      <c r="F4" s="910" t="str">
        <f t="shared" ref="F4:F12" si="2">IF(C4&lt;&gt;"[Name of sub-vote]",B4&amp;" - "&amp;C4,"")</f>
        <v>1.2 - Fleet Management</v>
      </c>
      <c r="H4" s="910">
        <v>12</v>
      </c>
    </row>
    <row r="5" spans="1:9" x14ac:dyDescent="0.2">
      <c r="A5" s="910" t="str">
        <f>B35&amp;" - "&amp;C35</f>
        <v>Vote 4 - Community and Social Services</v>
      </c>
      <c r="B5" s="914">
        <v>1.3</v>
      </c>
      <c r="C5" s="915" t="str">
        <f t="shared" si="0"/>
        <v>Asset Management</v>
      </c>
      <c r="D5" s="910" t="str">
        <f t="shared" si="1"/>
        <v>1.3 - Asset Management</v>
      </c>
      <c r="E5" s="916" t="s">
        <v>2000</v>
      </c>
      <c r="F5" s="910" t="str">
        <f t="shared" si="2"/>
        <v>1.3 - Asset Management</v>
      </c>
      <c r="H5" s="910">
        <v>13</v>
      </c>
    </row>
    <row r="6" spans="1:9" x14ac:dyDescent="0.2">
      <c r="A6" s="910" t="str">
        <f>B46&amp;" - "&amp;C46</f>
        <v>Vote 5 - Community and Social Services2</v>
      </c>
      <c r="B6" s="914">
        <v>1.4</v>
      </c>
      <c r="C6" s="915" t="str">
        <f t="shared" si="0"/>
        <v>Administrative and Corporate Support</v>
      </c>
      <c r="D6" s="910" t="str">
        <f t="shared" si="1"/>
        <v>1.4 - Administrative and Corporate Support</v>
      </c>
      <c r="E6" s="916" t="s">
        <v>2001</v>
      </c>
      <c r="F6" s="910" t="str">
        <f t="shared" si="2"/>
        <v>1.4 - Administrative and Corporate Support</v>
      </c>
      <c r="H6" s="910">
        <v>14</v>
      </c>
    </row>
    <row r="7" spans="1:9" x14ac:dyDescent="0.2">
      <c r="A7" s="910" t="str">
        <f>B57&amp;" - "&amp;C57</f>
        <v>Vote 6 - Energy Sources</v>
      </c>
      <c r="B7" s="914">
        <v>1.5</v>
      </c>
      <c r="C7" s="915" t="str">
        <f t="shared" si="0"/>
        <v>Human Resources</v>
      </c>
      <c r="D7" s="910" t="str">
        <f t="shared" si="1"/>
        <v>1.5 - Human Resources</v>
      </c>
      <c r="E7" s="916" t="s">
        <v>2002</v>
      </c>
      <c r="F7" s="910" t="str">
        <f t="shared" si="2"/>
        <v>1.5 - Human Resources</v>
      </c>
      <c r="H7" s="910">
        <v>15</v>
      </c>
    </row>
    <row r="8" spans="1:9" x14ac:dyDescent="0.2">
      <c r="A8" s="910" t="str">
        <f>B68&amp;" - "&amp;C68</f>
        <v>Vote 7 - Road Transport</v>
      </c>
      <c r="B8" s="914">
        <v>1.6</v>
      </c>
      <c r="C8" s="915" t="str">
        <f t="shared" si="0"/>
        <v>Property Services</v>
      </c>
      <c r="D8" s="910" t="str">
        <f t="shared" si="1"/>
        <v>1.6 - Property Services</v>
      </c>
      <c r="E8" s="916" t="s">
        <v>2003</v>
      </c>
      <c r="F8" s="910" t="str">
        <f t="shared" si="2"/>
        <v>1.6 - Property Services</v>
      </c>
      <c r="H8" s="910">
        <v>16</v>
      </c>
    </row>
    <row r="9" spans="1:9" x14ac:dyDescent="0.2">
      <c r="A9" s="910" t="str">
        <f>B79&amp;" - "&amp;C79</f>
        <v>Vote 8 - Planning and Development</v>
      </c>
      <c r="B9" s="914">
        <v>1.7</v>
      </c>
      <c r="C9" s="915" t="str">
        <f t="shared" si="0"/>
        <v>Legal Services</v>
      </c>
      <c r="D9" s="910" t="str">
        <f t="shared" si="1"/>
        <v>1.7 - Legal Services</v>
      </c>
      <c r="E9" s="916" t="s">
        <v>2004</v>
      </c>
      <c r="F9" s="910" t="str">
        <f t="shared" si="2"/>
        <v>1.7 - Legal Services</v>
      </c>
      <c r="H9" s="910">
        <v>17</v>
      </c>
    </row>
    <row r="10" spans="1:9" x14ac:dyDescent="0.2">
      <c r="A10" s="910" t="str">
        <f>B90&amp;" - "&amp; C90</f>
        <v>Vote 9 - Sport and Recreation</v>
      </c>
      <c r="B10" s="914">
        <v>1.8</v>
      </c>
      <c r="C10" s="915" t="str">
        <f t="shared" si="0"/>
        <v>Information Technology</v>
      </c>
      <c r="D10" s="910" t="str">
        <f t="shared" si="1"/>
        <v>1.8 - Information Technology</v>
      </c>
      <c r="E10" s="916" t="s">
        <v>2005</v>
      </c>
      <c r="F10" s="910" t="str">
        <f t="shared" si="2"/>
        <v>1.8 - Information Technology</v>
      </c>
      <c r="H10" s="910">
        <v>18</v>
      </c>
    </row>
    <row r="11" spans="1:9" x14ac:dyDescent="0.2">
      <c r="A11" s="910" t="str">
        <f>B101&amp;" - "&amp;C101</f>
        <v>Vote 10 - Public Safety</v>
      </c>
      <c r="B11" s="914">
        <v>1.9</v>
      </c>
      <c r="C11" s="915" t="str">
        <f t="shared" si="0"/>
        <v>Marketing, Customer Relations, Publicity and Media Co-ordination</v>
      </c>
      <c r="D11" s="910" t="str">
        <f t="shared" si="1"/>
        <v>1.9 - Marketing, Customer Relations, Publicity and Media Co-ordination</v>
      </c>
      <c r="E11" s="916" t="s">
        <v>2006</v>
      </c>
      <c r="F11" s="910" t="str">
        <f t="shared" si="2"/>
        <v>1.9 - Marketing, Customer Relations, Publicity and Media Co-ordination</v>
      </c>
      <c r="H11" s="910">
        <v>19</v>
      </c>
    </row>
    <row r="12" spans="1:9" x14ac:dyDescent="0.2">
      <c r="A12" s="910" t="str">
        <f>B112&amp;" - "&amp;C112</f>
        <v>Vote 11 - Other</v>
      </c>
      <c r="B12" s="914" t="s">
        <v>1301</v>
      </c>
      <c r="C12" s="915" t="str">
        <f t="shared" si="0"/>
        <v>[Name of sub-vote]</v>
      </c>
      <c r="D12" s="910" t="str">
        <f t="shared" si="1"/>
        <v>1.10 - [Name of sub-vote]</v>
      </c>
      <c r="E12" s="916" t="s">
        <v>2007</v>
      </c>
      <c r="F12" s="910" t="str">
        <f t="shared" si="2"/>
        <v/>
      </c>
      <c r="H12" s="910">
        <v>110</v>
      </c>
    </row>
    <row r="13" spans="1:9" x14ac:dyDescent="0.2">
      <c r="A13" s="910" t="str">
        <f>B123&amp;" - "&amp;C123</f>
        <v>Vote 12 - Waste Management</v>
      </c>
      <c r="B13" s="911" t="s">
        <v>677</v>
      </c>
      <c r="C13" s="912" t="str">
        <f>IFERROR(VLOOKUP($I13,MainVote,3,0),"[NAME OF VOTE "&amp;I13&amp;"]")</f>
        <v>Finance and Administration2</v>
      </c>
      <c r="E13" s="913"/>
      <c r="I13" s="910">
        <v>2</v>
      </c>
    </row>
    <row r="14" spans="1:9" x14ac:dyDescent="0.2">
      <c r="A14" s="910" t="str">
        <f>B134&amp;" - "&amp;C134</f>
        <v>Vote 13 - Housing</v>
      </c>
      <c r="B14" s="914">
        <v>2.1</v>
      </c>
      <c r="C14" s="915" t="str">
        <f t="shared" ref="C14:C23" si="3">IFERROR(VLOOKUP($H14,SubVote,3,0),"[Name of sub-vote]")</f>
        <v>Supply Chain Management</v>
      </c>
      <c r="D14" s="910" t="str">
        <f t="shared" ref="D14:D23" si="4">CONCATENATE(B14, " - ", C14)</f>
        <v>2.1 - Supply Chain Management</v>
      </c>
      <c r="E14" s="916" t="s">
        <v>1302</v>
      </c>
      <c r="F14" s="910" t="str">
        <f>IF(C14&lt;&gt;"[Name of sub-vote]",B14&amp;" - "&amp;C14,"")</f>
        <v>2.1 - Supply Chain Management</v>
      </c>
      <c r="H14" s="910">
        <v>21</v>
      </c>
    </row>
    <row r="15" spans="1:9" x14ac:dyDescent="0.2">
      <c r="A15" s="910" t="str">
        <f>B145&amp;" - "&amp;C145</f>
        <v>Vote 14 - Waste Water Management</v>
      </c>
      <c r="B15" s="914">
        <v>2.2000000000000002</v>
      </c>
      <c r="C15" s="915" t="str">
        <f t="shared" si="3"/>
        <v>[Name of sub-vote]</v>
      </c>
      <c r="D15" s="910" t="str">
        <f t="shared" si="4"/>
        <v>2.2 - [Name of sub-vote]</v>
      </c>
      <c r="E15" s="916" t="s">
        <v>2044</v>
      </c>
      <c r="F15" s="910" t="str">
        <f>IF(C15&lt;&gt;"[Name of sub-vote]",B15&amp;" - "&amp;C15,"")</f>
        <v/>
      </c>
      <c r="H15" s="910">
        <v>22</v>
      </c>
    </row>
    <row r="16" spans="1:9" x14ac:dyDescent="0.2">
      <c r="A16" s="910" t="str">
        <f>B156&amp;" - "&amp;C156</f>
        <v>Vote 15 - Health</v>
      </c>
      <c r="B16" s="914">
        <v>2.2999999999999998</v>
      </c>
      <c r="C16" s="915" t="str">
        <f t="shared" si="3"/>
        <v>[Name of sub-vote]</v>
      </c>
      <c r="D16" s="910" t="str">
        <f t="shared" si="4"/>
        <v>2.3 - [Name of sub-vote]</v>
      </c>
      <c r="E16" s="916" t="s">
        <v>2045</v>
      </c>
      <c r="F16" s="910" t="str">
        <f t="shared" ref="F16:F78" si="5">IF(C16&lt;&gt;"[Name of sub-vote]",B16&amp;" - "&amp;C16,"")</f>
        <v/>
      </c>
      <c r="H16" s="910">
        <v>23</v>
      </c>
    </row>
    <row r="17" spans="1:9" x14ac:dyDescent="0.2">
      <c r="B17" s="914">
        <v>2.4</v>
      </c>
      <c r="C17" s="915" t="str">
        <f t="shared" si="3"/>
        <v>[Name of sub-vote]</v>
      </c>
      <c r="D17" s="910" t="str">
        <f t="shared" si="4"/>
        <v>2.4 - [Name of sub-vote]</v>
      </c>
      <c r="E17" s="916" t="s">
        <v>2046</v>
      </c>
      <c r="F17" s="910" t="str">
        <f t="shared" si="5"/>
        <v/>
      </c>
      <c r="H17" s="910">
        <v>24</v>
      </c>
    </row>
    <row r="18" spans="1:9" x14ac:dyDescent="0.2">
      <c r="B18" s="914">
        <v>2.5</v>
      </c>
      <c r="C18" s="915" t="str">
        <f t="shared" si="3"/>
        <v>[Name of sub-vote]</v>
      </c>
      <c r="D18" s="910" t="str">
        <f t="shared" si="4"/>
        <v>2.5 - [Name of sub-vote]</v>
      </c>
      <c r="E18" s="916" t="s">
        <v>2047</v>
      </c>
      <c r="F18" s="910" t="str">
        <f t="shared" si="5"/>
        <v/>
      </c>
      <c r="H18" s="910">
        <v>25</v>
      </c>
    </row>
    <row r="19" spans="1:9" x14ac:dyDescent="0.2">
      <c r="B19" s="914">
        <v>2.6</v>
      </c>
      <c r="C19" s="915" t="str">
        <f t="shared" si="3"/>
        <v>[Name of sub-vote]</v>
      </c>
      <c r="D19" s="910" t="str">
        <f t="shared" si="4"/>
        <v>2.6 - [Name of sub-vote]</v>
      </c>
      <c r="E19" s="916" t="s">
        <v>2048</v>
      </c>
      <c r="F19" s="910" t="str">
        <f t="shared" si="5"/>
        <v/>
      </c>
      <c r="H19" s="910">
        <v>26</v>
      </c>
    </row>
    <row r="20" spans="1:9" x14ac:dyDescent="0.2">
      <c r="B20" s="914">
        <v>2.7</v>
      </c>
      <c r="C20" s="915" t="str">
        <f t="shared" si="3"/>
        <v>[Name of sub-vote]</v>
      </c>
      <c r="D20" s="910" t="str">
        <f t="shared" si="4"/>
        <v>2.7 - [Name of sub-vote]</v>
      </c>
      <c r="E20" s="916" t="s">
        <v>2049</v>
      </c>
      <c r="F20" s="910" t="str">
        <f t="shared" si="5"/>
        <v/>
      </c>
      <c r="H20" s="910">
        <v>27</v>
      </c>
    </row>
    <row r="21" spans="1:9" x14ac:dyDescent="0.2">
      <c r="A21" s="913"/>
      <c r="B21" s="914">
        <v>2.8</v>
      </c>
      <c r="C21" s="915" t="str">
        <f t="shared" si="3"/>
        <v>[Name of sub-vote]</v>
      </c>
      <c r="D21" s="910" t="str">
        <f t="shared" si="4"/>
        <v>2.8 - [Name of sub-vote]</v>
      </c>
      <c r="E21" s="916" t="s">
        <v>2050</v>
      </c>
      <c r="F21" s="910" t="str">
        <f t="shared" si="5"/>
        <v/>
      </c>
      <c r="H21" s="910">
        <v>28</v>
      </c>
    </row>
    <row r="22" spans="1:9" x14ac:dyDescent="0.2">
      <c r="B22" s="914">
        <v>2.9</v>
      </c>
      <c r="C22" s="915" t="str">
        <f t="shared" si="3"/>
        <v>[Name of sub-vote]</v>
      </c>
      <c r="D22" s="910" t="str">
        <f t="shared" si="4"/>
        <v>2.9 - [Name of sub-vote]</v>
      </c>
      <c r="E22" s="916" t="s">
        <v>2051</v>
      </c>
      <c r="F22" s="910" t="str">
        <f t="shared" si="5"/>
        <v/>
      </c>
      <c r="H22" s="910">
        <v>29</v>
      </c>
    </row>
    <row r="23" spans="1:9" x14ac:dyDescent="0.2">
      <c r="B23" s="914" t="s">
        <v>1303</v>
      </c>
      <c r="C23" s="915" t="str">
        <f t="shared" si="3"/>
        <v>[Name of sub-vote]</v>
      </c>
      <c r="D23" s="910" t="str">
        <f t="shared" si="4"/>
        <v>2.10 - [Name of sub-vote]</v>
      </c>
      <c r="E23" s="916" t="s">
        <v>2052</v>
      </c>
      <c r="F23" s="910" t="str">
        <f t="shared" si="5"/>
        <v/>
      </c>
      <c r="H23" s="910">
        <v>210</v>
      </c>
    </row>
    <row r="24" spans="1:9" x14ac:dyDescent="0.2">
      <c r="B24" s="911" t="s">
        <v>678</v>
      </c>
      <c r="C24" s="912" t="str">
        <f>IFERROR(VLOOKUP($I24,MainVote,3,0),"[NAME OF VOTE "&amp;I24&amp;"]")</f>
        <v>Executive and Council</v>
      </c>
      <c r="E24" s="916"/>
      <c r="I24" s="910">
        <v>3</v>
      </c>
    </row>
    <row r="25" spans="1:9" x14ac:dyDescent="0.2">
      <c r="B25" s="914">
        <v>3.1</v>
      </c>
      <c r="C25" s="915" t="str">
        <f t="shared" ref="C25:C34" si="6">IFERROR(VLOOKUP($H25,SubVote,3,0),"[Name of sub-vote]")</f>
        <v>Municipal Manager, Town Secretary and Chief Executive</v>
      </c>
      <c r="D25" s="910" t="str">
        <f t="shared" ref="D25:D34" si="7">CONCATENATE(B25, " - ", C25)</f>
        <v>3.1 - Municipal Manager, Town Secretary and Chief Executive</v>
      </c>
      <c r="E25" s="916" t="s">
        <v>1304</v>
      </c>
      <c r="F25" s="910" t="str">
        <f t="shared" si="5"/>
        <v>3.1 - Municipal Manager, Town Secretary and Chief Executive</v>
      </c>
      <c r="H25" s="910">
        <v>31</v>
      </c>
    </row>
    <row r="26" spans="1:9" x14ac:dyDescent="0.2">
      <c r="B26" s="914">
        <v>3.2</v>
      </c>
      <c r="C26" s="915" t="str">
        <f t="shared" si="6"/>
        <v>Mayor and Council</v>
      </c>
      <c r="D26" s="910" t="str">
        <f t="shared" si="7"/>
        <v>3.2 - Mayor and Council</v>
      </c>
      <c r="E26" s="916" t="s">
        <v>2008</v>
      </c>
      <c r="F26" s="910" t="str">
        <f t="shared" si="5"/>
        <v>3.2 - Mayor and Council</v>
      </c>
      <c r="H26" s="910">
        <v>32</v>
      </c>
    </row>
    <row r="27" spans="1:9" x14ac:dyDescent="0.2">
      <c r="B27" s="914">
        <v>3.3</v>
      </c>
      <c r="C27" s="915" t="str">
        <f t="shared" si="6"/>
        <v>[Name of sub-vote]</v>
      </c>
      <c r="D27" s="910" t="str">
        <f t="shared" si="7"/>
        <v>3.3 - [Name of sub-vote]</v>
      </c>
      <c r="E27" s="916" t="s">
        <v>2009</v>
      </c>
      <c r="F27" s="910" t="str">
        <f t="shared" si="5"/>
        <v/>
      </c>
      <c r="H27" s="910">
        <v>33</v>
      </c>
    </row>
    <row r="28" spans="1:9" x14ac:dyDescent="0.2">
      <c r="B28" s="914">
        <v>3.4</v>
      </c>
      <c r="C28" s="915" t="str">
        <f t="shared" si="6"/>
        <v>[Name of sub-vote]</v>
      </c>
      <c r="D28" s="910" t="str">
        <f t="shared" si="7"/>
        <v>3.4 - [Name of sub-vote]</v>
      </c>
      <c r="E28" s="916" t="s">
        <v>2010</v>
      </c>
      <c r="F28" s="910" t="str">
        <f t="shared" si="5"/>
        <v/>
      </c>
      <c r="H28" s="910">
        <v>34</v>
      </c>
    </row>
    <row r="29" spans="1:9" x14ac:dyDescent="0.2">
      <c r="B29" s="914">
        <v>3.5</v>
      </c>
      <c r="C29" s="915" t="str">
        <f t="shared" si="6"/>
        <v>[Name of sub-vote]</v>
      </c>
      <c r="D29" s="910" t="str">
        <f t="shared" si="7"/>
        <v>3.5 - [Name of sub-vote]</v>
      </c>
      <c r="E29" s="916" t="s">
        <v>2011</v>
      </c>
      <c r="F29" s="910" t="str">
        <f t="shared" si="5"/>
        <v/>
      </c>
      <c r="H29" s="910">
        <v>35</v>
      </c>
    </row>
    <row r="30" spans="1:9" x14ac:dyDescent="0.2">
      <c r="B30" s="914">
        <v>3.6</v>
      </c>
      <c r="C30" s="915" t="str">
        <f t="shared" si="6"/>
        <v>[Name of sub-vote]</v>
      </c>
      <c r="D30" s="910" t="str">
        <f t="shared" si="7"/>
        <v>3.6 - [Name of sub-vote]</v>
      </c>
      <c r="E30" s="916" t="s">
        <v>2012</v>
      </c>
      <c r="F30" s="910" t="str">
        <f t="shared" si="5"/>
        <v/>
      </c>
      <c r="H30" s="910">
        <v>36</v>
      </c>
    </row>
    <row r="31" spans="1:9" x14ac:dyDescent="0.2">
      <c r="B31" s="914">
        <v>3.7</v>
      </c>
      <c r="C31" s="915" t="str">
        <f t="shared" si="6"/>
        <v>[Name of sub-vote]</v>
      </c>
      <c r="D31" s="910" t="str">
        <f t="shared" si="7"/>
        <v>3.7 - [Name of sub-vote]</v>
      </c>
      <c r="E31" s="916" t="s">
        <v>2013</v>
      </c>
      <c r="F31" s="910" t="str">
        <f t="shared" si="5"/>
        <v/>
      </c>
      <c r="H31" s="910">
        <v>37</v>
      </c>
    </row>
    <row r="32" spans="1:9" x14ac:dyDescent="0.2">
      <c r="B32" s="914">
        <v>3.8</v>
      </c>
      <c r="C32" s="915" t="str">
        <f t="shared" si="6"/>
        <v>[Name of sub-vote]</v>
      </c>
      <c r="D32" s="910" t="str">
        <f t="shared" si="7"/>
        <v>3.8 - [Name of sub-vote]</v>
      </c>
      <c r="E32" s="916" t="s">
        <v>2014</v>
      </c>
      <c r="F32" s="910" t="str">
        <f t="shared" si="5"/>
        <v/>
      </c>
      <c r="H32" s="910">
        <v>38</v>
      </c>
    </row>
    <row r="33" spans="2:9" x14ac:dyDescent="0.2">
      <c r="B33" s="914">
        <v>3.9</v>
      </c>
      <c r="C33" s="915" t="str">
        <f t="shared" si="6"/>
        <v>[Name of sub-vote]</v>
      </c>
      <c r="D33" s="910" t="str">
        <f t="shared" si="7"/>
        <v>3.9 - [Name of sub-vote]</v>
      </c>
      <c r="E33" s="916" t="s">
        <v>2015</v>
      </c>
      <c r="F33" s="910" t="str">
        <f t="shared" si="5"/>
        <v/>
      </c>
      <c r="H33" s="910">
        <v>39</v>
      </c>
    </row>
    <row r="34" spans="2:9" x14ac:dyDescent="0.2">
      <c r="B34" s="914" t="s">
        <v>1305</v>
      </c>
      <c r="C34" s="915" t="str">
        <f t="shared" si="6"/>
        <v>[Name of sub-vote]</v>
      </c>
      <c r="D34" s="910" t="str">
        <f t="shared" si="7"/>
        <v>3.10 - [Name of sub-vote]</v>
      </c>
      <c r="E34" s="916" t="s">
        <v>2016</v>
      </c>
      <c r="F34" s="910" t="str">
        <f t="shared" si="5"/>
        <v/>
      </c>
      <c r="H34" s="910">
        <v>310</v>
      </c>
    </row>
    <row r="35" spans="2:9" x14ac:dyDescent="0.2">
      <c r="B35" s="911" t="s">
        <v>679</v>
      </c>
      <c r="C35" s="912" t="str">
        <f>IFERROR(VLOOKUP($I35,MainVote,3,0),"[NAME OF VOTE "&amp;I35&amp;"]")</f>
        <v>Community and Social Services</v>
      </c>
      <c r="E35" s="916"/>
      <c r="I35" s="910">
        <v>4</v>
      </c>
    </row>
    <row r="36" spans="2:9" x14ac:dyDescent="0.2">
      <c r="B36" s="914">
        <v>4.0999999999999996</v>
      </c>
      <c r="C36" s="915" t="str">
        <f t="shared" ref="C36:C45" si="8">IFERROR(VLOOKUP($H36,SubVote,3,0),"[Name of sub-vote]")</f>
        <v>Disaster Management</v>
      </c>
      <c r="D36" s="910" t="str">
        <f t="shared" ref="D36:D45" si="9">CONCATENATE(B36, " - ", C36)</f>
        <v>4.1 - Disaster Management</v>
      </c>
      <c r="E36" s="916" t="s">
        <v>1306</v>
      </c>
      <c r="F36" s="910" t="str">
        <f t="shared" si="5"/>
        <v>4.1 - Disaster Management</v>
      </c>
      <c r="H36" s="910">
        <v>41</v>
      </c>
    </row>
    <row r="37" spans="2:9" x14ac:dyDescent="0.2">
      <c r="B37" s="914">
        <v>4.2</v>
      </c>
      <c r="C37" s="915" t="str">
        <f t="shared" si="8"/>
        <v>Libraries and Archives</v>
      </c>
      <c r="D37" s="910" t="str">
        <f t="shared" si="9"/>
        <v>4.2 - Libraries and Archives</v>
      </c>
      <c r="E37" s="916" t="s">
        <v>2017</v>
      </c>
      <c r="F37" s="910" t="str">
        <f t="shared" si="5"/>
        <v>4.2 - Libraries and Archives</v>
      </c>
      <c r="H37" s="910">
        <v>42</v>
      </c>
    </row>
    <row r="38" spans="2:9" x14ac:dyDescent="0.2">
      <c r="B38" s="914">
        <v>4.3</v>
      </c>
      <c r="C38" s="915" t="str">
        <f t="shared" si="8"/>
        <v>Population Development</v>
      </c>
      <c r="D38" s="910" t="str">
        <f t="shared" si="9"/>
        <v>4.3 - Population Development</v>
      </c>
      <c r="E38" s="916" t="s">
        <v>2018</v>
      </c>
      <c r="F38" s="910" t="str">
        <f t="shared" si="5"/>
        <v>4.3 - Population Development</v>
      </c>
      <c r="H38" s="910">
        <v>43</v>
      </c>
    </row>
    <row r="39" spans="2:9" x14ac:dyDescent="0.2">
      <c r="B39" s="914">
        <v>4.4000000000000004</v>
      </c>
      <c r="C39" s="915" t="str">
        <f t="shared" si="8"/>
        <v>Cultural Matters</v>
      </c>
      <c r="D39" s="910" t="str">
        <f t="shared" si="9"/>
        <v>4.4 - Cultural Matters</v>
      </c>
      <c r="E39" s="916" t="s">
        <v>2019</v>
      </c>
      <c r="F39" s="910" t="str">
        <f t="shared" si="5"/>
        <v>4.4 - Cultural Matters</v>
      </c>
      <c r="H39" s="910">
        <v>44</v>
      </c>
    </row>
    <row r="40" spans="2:9" x14ac:dyDescent="0.2">
      <c r="B40" s="914">
        <v>4.5</v>
      </c>
      <c r="C40" s="915" t="str">
        <f t="shared" si="8"/>
        <v>Indigenous and Customary Law</v>
      </c>
      <c r="D40" s="910" t="str">
        <f t="shared" si="9"/>
        <v>4.5 - Indigenous and Customary Law</v>
      </c>
      <c r="E40" s="916" t="s">
        <v>2020</v>
      </c>
      <c r="F40" s="910" t="str">
        <f t="shared" si="5"/>
        <v>4.5 - Indigenous and Customary Law</v>
      </c>
      <c r="H40" s="910">
        <v>45</v>
      </c>
    </row>
    <row r="41" spans="2:9" x14ac:dyDescent="0.2">
      <c r="B41" s="914">
        <v>4.5999999999999996</v>
      </c>
      <c r="C41" s="915" t="str">
        <f t="shared" si="8"/>
        <v>Industrial Promotion</v>
      </c>
      <c r="D41" s="910" t="str">
        <f t="shared" si="9"/>
        <v>4.6 - Industrial Promotion</v>
      </c>
      <c r="E41" s="916" t="s">
        <v>2021</v>
      </c>
      <c r="F41" s="910" t="str">
        <f t="shared" si="5"/>
        <v>4.6 - Industrial Promotion</v>
      </c>
      <c r="H41" s="910">
        <v>46</v>
      </c>
    </row>
    <row r="42" spans="2:9" x14ac:dyDescent="0.2">
      <c r="B42" s="914">
        <v>4.7</v>
      </c>
      <c r="C42" s="915" t="str">
        <f t="shared" si="8"/>
        <v>Agricultural</v>
      </c>
      <c r="D42" s="910" t="str">
        <f t="shared" si="9"/>
        <v>4.7 - Agricultural</v>
      </c>
      <c r="E42" s="916" t="s">
        <v>2022</v>
      </c>
      <c r="F42" s="910" t="str">
        <f t="shared" si="5"/>
        <v>4.7 - Agricultural</v>
      </c>
      <c r="H42" s="910">
        <v>47</v>
      </c>
    </row>
    <row r="43" spans="2:9" x14ac:dyDescent="0.2">
      <c r="B43" s="914">
        <v>4.8</v>
      </c>
      <c r="C43" s="915" t="str">
        <f t="shared" si="8"/>
        <v>Aged Care</v>
      </c>
      <c r="D43" s="910" t="str">
        <f t="shared" si="9"/>
        <v>4.8 - Aged Care</v>
      </c>
      <c r="E43" s="916" t="s">
        <v>2023</v>
      </c>
      <c r="F43" s="910" t="str">
        <f t="shared" si="5"/>
        <v>4.8 - Aged Care</v>
      </c>
      <c r="H43" s="910">
        <v>48</v>
      </c>
    </row>
    <row r="44" spans="2:9" x14ac:dyDescent="0.2">
      <c r="B44" s="914">
        <v>4.9000000000000004</v>
      </c>
      <c r="C44" s="915" t="str">
        <f t="shared" si="8"/>
        <v>Child Care Facilities</v>
      </c>
      <c r="D44" s="910" t="str">
        <f t="shared" si="9"/>
        <v>4.9 - Child Care Facilities</v>
      </c>
      <c r="E44" s="916" t="s">
        <v>2024</v>
      </c>
      <c r="F44" s="910" t="str">
        <f t="shared" si="5"/>
        <v>4.9 - Child Care Facilities</v>
      </c>
      <c r="H44" s="910">
        <v>49</v>
      </c>
    </row>
    <row r="45" spans="2:9" x14ac:dyDescent="0.2">
      <c r="B45" s="914" t="s">
        <v>1307</v>
      </c>
      <c r="C45" s="915" t="str">
        <f t="shared" si="8"/>
        <v>[Name of sub-vote]</v>
      </c>
      <c r="D45" s="910" t="str">
        <f t="shared" si="9"/>
        <v>4.10 - [Name of sub-vote]</v>
      </c>
      <c r="E45" s="916" t="s">
        <v>2025</v>
      </c>
      <c r="F45" s="910" t="str">
        <f t="shared" si="5"/>
        <v/>
      </c>
      <c r="H45" s="910">
        <v>410</v>
      </c>
    </row>
    <row r="46" spans="2:9" x14ac:dyDescent="0.2">
      <c r="B46" s="911" t="s">
        <v>680</v>
      </c>
      <c r="C46" s="912" t="str">
        <f>IFERROR(VLOOKUP($I46,MainVote,3,0),"[NAME OF VOTE "&amp;I46&amp;"]")</f>
        <v>Community and Social Services2</v>
      </c>
      <c r="E46" s="916"/>
      <c r="I46" s="910">
        <v>5</v>
      </c>
    </row>
    <row r="47" spans="2:9" x14ac:dyDescent="0.2">
      <c r="B47" s="914">
        <v>5.0999999999999996</v>
      </c>
      <c r="C47" s="915" t="str">
        <f t="shared" ref="C47:C56" si="10">IFERROR(VLOOKUP($H47,SubVote,3,0),"[Name of sub-vote]")</f>
        <v>Literacy Programmes</v>
      </c>
      <c r="D47" s="910" t="str">
        <f t="shared" ref="D47:D56" si="11">CONCATENATE(B47, " - ", C47)</f>
        <v>5.1 - Literacy Programmes</v>
      </c>
      <c r="E47" s="916" t="s">
        <v>1308</v>
      </c>
      <c r="F47" s="910" t="str">
        <f t="shared" si="5"/>
        <v>5.1 - Literacy Programmes</v>
      </c>
      <c r="H47" s="910">
        <v>51</v>
      </c>
    </row>
    <row r="48" spans="2:9" x14ac:dyDescent="0.2">
      <c r="B48" s="914">
        <v>5.2</v>
      </c>
      <c r="C48" s="915" t="str">
        <f t="shared" si="10"/>
        <v>Education</v>
      </c>
      <c r="D48" s="910" t="str">
        <f t="shared" si="11"/>
        <v>5.2 - Education</v>
      </c>
      <c r="E48" s="916" t="s">
        <v>2026</v>
      </c>
      <c r="F48" s="910" t="str">
        <f t="shared" si="5"/>
        <v>5.2 - Education</v>
      </c>
      <c r="H48" s="910">
        <v>52</v>
      </c>
    </row>
    <row r="49" spans="2:9" x14ac:dyDescent="0.2">
      <c r="B49" s="914">
        <v>5.3</v>
      </c>
      <c r="C49" s="915" t="str">
        <f t="shared" si="10"/>
        <v>Community Halls and Facilities</v>
      </c>
      <c r="D49" s="910" t="str">
        <f t="shared" si="11"/>
        <v>5.3 - Community Halls and Facilities</v>
      </c>
      <c r="E49" s="916" t="s">
        <v>2027</v>
      </c>
      <c r="F49" s="910" t="str">
        <f t="shared" si="5"/>
        <v>5.3 - Community Halls and Facilities</v>
      </c>
      <c r="H49" s="910">
        <v>53</v>
      </c>
    </row>
    <row r="50" spans="2:9" x14ac:dyDescent="0.2">
      <c r="B50" s="914">
        <v>5.4</v>
      </c>
      <c r="C50" s="915" t="str">
        <f t="shared" si="10"/>
        <v>[Name of sub-vote]</v>
      </c>
      <c r="D50" s="910" t="str">
        <f t="shared" si="11"/>
        <v>5.4 - [Name of sub-vote]</v>
      </c>
      <c r="E50" s="916" t="s">
        <v>2028</v>
      </c>
      <c r="F50" s="910" t="str">
        <f t="shared" si="5"/>
        <v/>
      </c>
      <c r="H50" s="910">
        <v>54</v>
      </c>
    </row>
    <row r="51" spans="2:9" x14ac:dyDescent="0.2">
      <c r="B51" s="914">
        <v>5.5</v>
      </c>
      <c r="C51" s="915" t="str">
        <f t="shared" si="10"/>
        <v>[Name of sub-vote]</v>
      </c>
      <c r="D51" s="910" t="str">
        <f t="shared" si="11"/>
        <v>5.5 - [Name of sub-vote]</v>
      </c>
      <c r="E51" s="916" t="s">
        <v>2029</v>
      </c>
      <c r="F51" s="910" t="str">
        <f t="shared" si="5"/>
        <v/>
      </c>
      <c r="H51" s="910">
        <v>55</v>
      </c>
    </row>
    <row r="52" spans="2:9" x14ac:dyDescent="0.2">
      <c r="B52" s="914">
        <v>5.6</v>
      </c>
      <c r="C52" s="915" t="str">
        <f t="shared" si="10"/>
        <v>[Name of sub-vote]</v>
      </c>
      <c r="D52" s="910" t="str">
        <f t="shared" si="11"/>
        <v>5.6 - [Name of sub-vote]</v>
      </c>
      <c r="E52" s="916" t="s">
        <v>2030</v>
      </c>
      <c r="F52" s="910" t="str">
        <f t="shared" si="5"/>
        <v/>
      </c>
      <c r="H52" s="910">
        <v>56</v>
      </c>
    </row>
    <row r="53" spans="2:9" x14ac:dyDescent="0.2">
      <c r="B53" s="914">
        <v>5.7</v>
      </c>
      <c r="C53" s="915" t="str">
        <f t="shared" si="10"/>
        <v>[Name of sub-vote]</v>
      </c>
      <c r="D53" s="910" t="str">
        <f t="shared" si="11"/>
        <v>5.7 - [Name of sub-vote]</v>
      </c>
      <c r="E53" s="916" t="s">
        <v>2031</v>
      </c>
      <c r="F53" s="910" t="str">
        <f t="shared" si="5"/>
        <v/>
      </c>
      <c r="H53" s="910">
        <v>57</v>
      </c>
    </row>
    <row r="54" spans="2:9" x14ac:dyDescent="0.2">
      <c r="B54" s="914">
        <v>5.8</v>
      </c>
      <c r="C54" s="915" t="str">
        <f t="shared" si="10"/>
        <v>[Name of sub-vote]</v>
      </c>
      <c r="D54" s="910" t="str">
        <f t="shared" si="11"/>
        <v>5.8 - [Name of sub-vote]</v>
      </c>
      <c r="E54" s="916" t="s">
        <v>2032</v>
      </c>
      <c r="F54" s="910" t="str">
        <f t="shared" si="5"/>
        <v/>
      </c>
      <c r="H54" s="910">
        <v>58</v>
      </c>
    </row>
    <row r="55" spans="2:9" x14ac:dyDescent="0.2">
      <c r="B55" s="914">
        <v>5.9</v>
      </c>
      <c r="C55" s="915" t="str">
        <f t="shared" si="10"/>
        <v>[Name of sub-vote]</v>
      </c>
      <c r="D55" s="910" t="str">
        <f t="shared" si="11"/>
        <v>5.9 - [Name of sub-vote]</v>
      </c>
      <c r="E55" s="916" t="s">
        <v>2033</v>
      </c>
      <c r="F55" s="910" t="str">
        <f t="shared" si="5"/>
        <v/>
      </c>
      <c r="H55" s="910">
        <v>59</v>
      </c>
    </row>
    <row r="56" spans="2:9" x14ac:dyDescent="0.2">
      <c r="B56" s="914" t="s">
        <v>1309</v>
      </c>
      <c r="C56" s="915" t="str">
        <f t="shared" si="10"/>
        <v>[Name of sub-vote]</v>
      </c>
      <c r="D56" s="910" t="str">
        <f t="shared" si="11"/>
        <v>5.10 - [Name of sub-vote]</v>
      </c>
      <c r="E56" s="916" t="s">
        <v>2034</v>
      </c>
      <c r="F56" s="910" t="str">
        <f t="shared" si="5"/>
        <v/>
      </c>
      <c r="H56" s="910">
        <v>510</v>
      </c>
    </row>
    <row r="57" spans="2:9" x14ac:dyDescent="0.2">
      <c r="B57" s="911" t="s">
        <v>681</v>
      </c>
      <c r="C57" s="912" t="str">
        <f>IFERROR(VLOOKUP($I57,MainVote,3,0),"[NAME OF VOTE "&amp;I57&amp;"]")</f>
        <v>Energy Sources</v>
      </c>
      <c r="E57" s="916"/>
      <c r="I57" s="910">
        <v>6</v>
      </c>
    </row>
    <row r="58" spans="2:9" x14ac:dyDescent="0.2">
      <c r="B58" s="914">
        <v>6.1</v>
      </c>
      <c r="C58" s="915" t="str">
        <f t="shared" ref="C58:C67" si="12">IFERROR(VLOOKUP($H58,SubVote,3,0),"[Name of sub-vote]")</f>
        <v>Electricity</v>
      </c>
      <c r="D58" s="910" t="str">
        <f t="shared" ref="D58:D67" si="13">CONCATENATE(B58, " - ", C58)</f>
        <v>6.1 - Electricity</v>
      </c>
      <c r="E58" s="916" t="s">
        <v>1310</v>
      </c>
      <c r="F58" s="910" t="str">
        <f t="shared" si="5"/>
        <v>6.1 - Electricity</v>
      </c>
      <c r="H58" s="910">
        <v>61</v>
      </c>
    </row>
    <row r="59" spans="2:9" x14ac:dyDescent="0.2">
      <c r="B59" s="914">
        <v>6.2</v>
      </c>
      <c r="C59" s="915" t="str">
        <f t="shared" si="12"/>
        <v>[Name of sub-vote]</v>
      </c>
      <c r="D59" s="910" t="str">
        <f t="shared" si="13"/>
        <v>6.2 - [Name of sub-vote]</v>
      </c>
      <c r="E59" s="916" t="s">
        <v>2035</v>
      </c>
      <c r="F59" s="910" t="str">
        <f t="shared" si="5"/>
        <v/>
      </c>
      <c r="H59" s="910">
        <v>62</v>
      </c>
    </row>
    <row r="60" spans="2:9" x14ac:dyDescent="0.2">
      <c r="B60" s="914">
        <v>6.3</v>
      </c>
      <c r="C60" s="915" t="str">
        <f t="shared" si="12"/>
        <v>[Name of sub-vote]</v>
      </c>
      <c r="D60" s="910" t="str">
        <f t="shared" si="13"/>
        <v>6.3 - [Name of sub-vote]</v>
      </c>
      <c r="E60" s="916" t="s">
        <v>2036</v>
      </c>
      <c r="F60" s="910" t="str">
        <f t="shared" si="5"/>
        <v/>
      </c>
      <c r="H60" s="910">
        <v>63</v>
      </c>
    </row>
    <row r="61" spans="2:9" x14ac:dyDescent="0.2">
      <c r="B61" s="914">
        <v>6.4</v>
      </c>
      <c r="C61" s="915" t="str">
        <f t="shared" si="12"/>
        <v>[Name of sub-vote]</v>
      </c>
      <c r="D61" s="910" t="str">
        <f t="shared" si="13"/>
        <v>6.4 - [Name of sub-vote]</v>
      </c>
      <c r="E61" s="916" t="s">
        <v>2037</v>
      </c>
      <c r="F61" s="910" t="str">
        <f t="shared" si="5"/>
        <v/>
      </c>
      <c r="H61" s="910">
        <v>64</v>
      </c>
    </row>
    <row r="62" spans="2:9" x14ac:dyDescent="0.2">
      <c r="B62" s="914">
        <v>6.5</v>
      </c>
      <c r="C62" s="915" t="str">
        <f t="shared" si="12"/>
        <v>[Name of sub-vote]</v>
      </c>
      <c r="D62" s="910" t="str">
        <f t="shared" si="13"/>
        <v>6.5 - [Name of sub-vote]</v>
      </c>
      <c r="E62" s="916" t="s">
        <v>2038</v>
      </c>
      <c r="F62" s="910" t="str">
        <f t="shared" si="5"/>
        <v/>
      </c>
      <c r="H62" s="910">
        <v>65</v>
      </c>
    </row>
    <row r="63" spans="2:9" x14ac:dyDescent="0.2">
      <c r="B63" s="914">
        <v>6.6</v>
      </c>
      <c r="C63" s="915" t="str">
        <f t="shared" si="12"/>
        <v>[Name of sub-vote]</v>
      </c>
      <c r="D63" s="910" t="str">
        <f t="shared" si="13"/>
        <v>6.6 - [Name of sub-vote]</v>
      </c>
      <c r="E63" s="916" t="s">
        <v>2039</v>
      </c>
      <c r="F63" s="910" t="str">
        <f t="shared" si="5"/>
        <v/>
      </c>
      <c r="H63" s="910">
        <v>66</v>
      </c>
    </row>
    <row r="64" spans="2:9" x14ac:dyDescent="0.2">
      <c r="B64" s="914">
        <v>6.7</v>
      </c>
      <c r="C64" s="915" t="str">
        <f t="shared" si="12"/>
        <v>[Name of sub-vote]</v>
      </c>
      <c r="D64" s="910" t="str">
        <f t="shared" si="13"/>
        <v>6.7 - [Name of sub-vote]</v>
      </c>
      <c r="E64" s="916" t="s">
        <v>2040</v>
      </c>
      <c r="F64" s="910" t="str">
        <f t="shared" si="5"/>
        <v/>
      </c>
      <c r="H64" s="910">
        <v>67</v>
      </c>
    </row>
    <row r="65" spans="2:9" x14ac:dyDescent="0.2">
      <c r="B65" s="914">
        <v>6.8</v>
      </c>
      <c r="C65" s="915" t="str">
        <f t="shared" si="12"/>
        <v>[Name of sub-vote]</v>
      </c>
      <c r="D65" s="910" t="str">
        <f t="shared" si="13"/>
        <v>6.8 - [Name of sub-vote]</v>
      </c>
      <c r="E65" s="916" t="s">
        <v>2041</v>
      </c>
      <c r="F65" s="910" t="str">
        <f t="shared" si="5"/>
        <v/>
      </c>
      <c r="H65" s="910">
        <v>68</v>
      </c>
    </row>
    <row r="66" spans="2:9" x14ac:dyDescent="0.2">
      <c r="B66" s="914">
        <v>6.9</v>
      </c>
      <c r="C66" s="915" t="str">
        <f t="shared" si="12"/>
        <v>[Name of sub-vote]</v>
      </c>
      <c r="D66" s="910" t="str">
        <f t="shared" si="13"/>
        <v>6.9 - [Name of sub-vote]</v>
      </c>
      <c r="E66" s="916" t="s">
        <v>2042</v>
      </c>
      <c r="F66" s="910" t="str">
        <f t="shared" si="5"/>
        <v/>
      </c>
      <c r="H66" s="910">
        <v>69</v>
      </c>
    </row>
    <row r="67" spans="2:9" x14ac:dyDescent="0.2">
      <c r="B67" s="914" t="s">
        <v>1311</v>
      </c>
      <c r="C67" s="915" t="str">
        <f t="shared" si="12"/>
        <v>[Name of sub-vote]</v>
      </c>
      <c r="D67" s="910" t="str">
        <f t="shared" si="13"/>
        <v>6.10 - [Name of sub-vote]</v>
      </c>
      <c r="E67" s="916" t="s">
        <v>2043</v>
      </c>
      <c r="F67" s="910" t="str">
        <f t="shared" si="5"/>
        <v/>
      </c>
      <c r="H67" s="910">
        <v>610</v>
      </c>
    </row>
    <row r="68" spans="2:9" x14ac:dyDescent="0.2">
      <c r="B68" s="917" t="s">
        <v>682</v>
      </c>
      <c r="C68" s="912" t="str">
        <f>IFERROR(VLOOKUP($I68,MainVote,3,0),"[NAME OF VOTE "&amp;I68&amp;"]")</f>
        <v>Road Transport</v>
      </c>
      <c r="E68" s="916"/>
      <c r="I68" s="910">
        <v>7</v>
      </c>
    </row>
    <row r="69" spans="2:9" x14ac:dyDescent="0.2">
      <c r="B69" s="914">
        <v>7.1</v>
      </c>
      <c r="C69" s="915" t="str">
        <f t="shared" ref="C69:C78" si="14">IFERROR(VLOOKUP($H69,SubVote,3,0),"[Name of sub-vote]")</f>
        <v>Roads</v>
      </c>
      <c r="D69" s="910" t="str">
        <f t="shared" ref="D69:D78" si="15">CONCATENATE(B69, " - ", C69)</f>
        <v>7.1 - Roads</v>
      </c>
      <c r="E69" s="916" t="s">
        <v>1312</v>
      </c>
      <c r="F69" s="910" t="str">
        <f t="shared" si="5"/>
        <v>7.1 - Roads</v>
      </c>
      <c r="H69" s="910">
        <v>71</v>
      </c>
    </row>
    <row r="70" spans="2:9" x14ac:dyDescent="0.2">
      <c r="B70" s="914">
        <v>7.2</v>
      </c>
      <c r="C70" s="915" t="str">
        <f t="shared" si="14"/>
        <v>[Name of sub-vote]</v>
      </c>
      <c r="D70" s="910" t="str">
        <f t="shared" si="15"/>
        <v>7.2 - [Name of sub-vote]</v>
      </c>
      <c r="E70" s="916" t="s">
        <v>2053</v>
      </c>
      <c r="F70" s="910" t="str">
        <f t="shared" si="5"/>
        <v/>
      </c>
      <c r="H70" s="910">
        <v>72</v>
      </c>
    </row>
    <row r="71" spans="2:9" x14ac:dyDescent="0.2">
      <c r="B71" s="914">
        <v>7.3</v>
      </c>
      <c r="C71" s="915" t="str">
        <f t="shared" si="14"/>
        <v>[Name of sub-vote]</v>
      </c>
      <c r="D71" s="910" t="str">
        <f t="shared" si="15"/>
        <v>7.3 - [Name of sub-vote]</v>
      </c>
      <c r="E71" s="916" t="s">
        <v>2054</v>
      </c>
      <c r="F71" s="910" t="str">
        <f t="shared" si="5"/>
        <v/>
      </c>
      <c r="H71" s="910">
        <v>73</v>
      </c>
    </row>
    <row r="72" spans="2:9" x14ac:dyDescent="0.2">
      <c r="B72" s="914">
        <v>7.4</v>
      </c>
      <c r="C72" s="915" t="str">
        <f t="shared" si="14"/>
        <v>[Name of sub-vote]</v>
      </c>
      <c r="D72" s="910" t="str">
        <f t="shared" si="15"/>
        <v>7.4 - [Name of sub-vote]</v>
      </c>
      <c r="E72" s="916" t="s">
        <v>2055</v>
      </c>
      <c r="F72" s="910" t="str">
        <f t="shared" si="5"/>
        <v/>
      </c>
      <c r="H72" s="910">
        <v>74</v>
      </c>
    </row>
    <row r="73" spans="2:9" x14ac:dyDescent="0.2">
      <c r="B73" s="914">
        <v>7.5</v>
      </c>
      <c r="C73" s="915" t="str">
        <f t="shared" si="14"/>
        <v>[Name of sub-vote]</v>
      </c>
      <c r="D73" s="910" t="str">
        <f t="shared" si="15"/>
        <v>7.5 - [Name of sub-vote]</v>
      </c>
      <c r="E73" s="916" t="s">
        <v>2056</v>
      </c>
      <c r="F73" s="910" t="str">
        <f t="shared" si="5"/>
        <v/>
      </c>
      <c r="H73" s="910">
        <v>75</v>
      </c>
    </row>
    <row r="74" spans="2:9" x14ac:dyDescent="0.2">
      <c r="B74" s="914">
        <v>7.6</v>
      </c>
      <c r="C74" s="915" t="str">
        <f t="shared" si="14"/>
        <v>[Name of sub-vote]</v>
      </c>
      <c r="D74" s="910" t="str">
        <f t="shared" si="15"/>
        <v>7.6 - [Name of sub-vote]</v>
      </c>
      <c r="E74" s="916" t="s">
        <v>2057</v>
      </c>
      <c r="F74" s="910" t="str">
        <f t="shared" si="5"/>
        <v/>
      </c>
      <c r="H74" s="910">
        <v>76</v>
      </c>
    </row>
    <row r="75" spans="2:9" x14ac:dyDescent="0.2">
      <c r="B75" s="914">
        <v>7.7</v>
      </c>
      <c r="C75" s="915" t="str">
        <f t="shared" si="14"/>
        <v>[Name of sub-vote]</v>
      </c>
      <c r="D75" s="910" t="str">
        <f t="shared" si="15"/>
        <v>7.7 - [Name of sub-vote]</v>
      </c>
      <c r="E75" s="916" t="s">
        <v>2058</v>
      </c>
      <c r="F75" s="910" t="str">
        <f t="shared" si="5"/>
        <v/>
      </c>
      <c r="H75" s="910">
        <v>77</v>
      </c>
    </row>
    <row r="76" spans="2:9" x14ac:dyDescent="0.2">
      <c r="B76" s="914">
        <v>7.8</v>
      </c>
      <c r="C76" s="915" t="str">
        <f t="shared" si="14"/>
        <v>[Name of sub-vote]</v>
      </c>
      <c r="D76" s="910" t="str">
        <f t="shared" si="15"/>
        <v>7.8 - [Name of sub-vote]</v>
      </c>
      <c r="E76" s="916" t="s">
        <v>2059</v>
      </c>
      <c r="F76" s="910" t="str">
        <f t="shared" si="5"/>
        <v/>
      </c>
      <c r="H76" s="910">
        <v>78</v>
      </c>
    </row>
    <row r="77" spans="2:9" x14ac:dyDescent="0.2">
      <c r="B77" s="914">
        <v>7.9</v>
      </c>
      <c r="C77" s="915" t="str">
        <f t="shared" si="14"/>
        <v>[Name of sub-vote]</v>
      </c>
      <c r="D77" s="910" t="str">
        <f t="shared" si="15"/>
        <v>7.9 - [Name of sub-vote]</v>
      </c>
      <c r="E77" s="916" t="s">
        <v>2060</v>
      </c>
      <c r="F77" s="910" t="str">
        <f t="shared" si="5"/>
        <v/>
      </c>
      <c r="H77" s="910">
        <v>79</v>
      </c>
    </row>
    <row r="78" spans="2:9" x14ac:dyDescent="0.2">
      <c r="B78" s="914" t="s">
        <v>1313</v>
      </c>
      <c r="C78" s="915" t="str">
        <f t="shared" si="14"/>
        <v>[Name of sub-vote]</v>
      </c>
      <c r="D78" s="910" t="str">
        <f t="shared" si="15"/>
        <v>7.10 - [Name of sub-vote]</v>
      </c>
      <c r="E78" s="916" t="s">
        <v>2061</v>
      </c>
      <c r="F78" s="910" t="str">
        <f t="shared" si="5"/>
        <v/>
      </c>
      <c r="H78" s="910">
        <v>710</v>
      </c>
    </row>
    <row r="79" spans="2:9" x14ac:dyDescent="0.2">
      <c r="B79" s="917" t="s">
        <v>683</v>
      </c>
      <c r="C79" s="912" t="str">
        <f>IFERROR(VLOOKUP($I79,MainVote,3,0),"[NAME OF VOTE "&amp;I79&amp;"]")</f>
        <v>Planning and Development</v>
      </c>
      <c r="E79" s="916"/>
      <c r="I79" s="910">
        <v>8</v>
      </c>
    </row>
    <row r="80" spans="2:9" x14ac:dyDescent="0.2">
      <c r="B80" s="914">
        <v>8.1</v>
      </c>
      <c r="C80" s="915" t="str">
        <f t="shared" ref="C80:C89" si="16">IFERROR(VLOOKUP($H80,SubVote,3,0),"[Name of sub-vote]")</f>
        <v>Town Planning, Building Regulations and Enforcement, and City Engineer</v>
      </c>
      <c r="D80" s="910" t="str">
        <f t="shared" ref="D80:D89" si="17">CONCATENATE(B80, " - ", C80)</f>
        <v>8.1 - Town Planning, Building Regulations and Enforcement, and City Engineer</v>
      </c>
      <c r="E80" s="916" t="s">
        <v>1314</v>
      </c>
      <c r="F80" s="910" t="str">
        <f t="shared" ref="F80:F142" si="18">IF(C80&lt;&gt;"[Name of sub-vote]",B80&amp;" - "&amp;C80,"")</f>
        <v>8.1 - Town Planning, Building Regulations and Enforcement, and City Engineer</v>
      </c>
      <c r="H80" s="910">
        <v>81</v>
      </c>
    </row>
    <row r="81" spans="2:9" x14ac:dyDescent="0.2">
      <c r="B81" s="914">
        <v>8.1999999999999993</v>
      </c>
      <c r="C81" s="915" t="str">
        <f t="shared" si="16"/>
        <v>Development Facilitation</v>
      </c>
      <c r="D81" s="910" t="str">
        <f t="shared" si="17"/>
        <v>8.2 - Development Facilitation</v>
      </c>
      <c r="E81" s="916" t="s">
        <v>2062</v>
      </c>
      <c r="F81" s="910" t="str">
        <f t="shared" si="18"/>
        <v>8.2 - Development Facilitation</v>
      </c>
      <c r="H81" s="910">
        <v>82</v>
      </c>
    </row>
    <row r="82" spans="2:9" x14ac:dyDescent="0.2">
      <c r="B82" s="914">
        <v>8.3000000000000007</v>
      </c>
      <c r="C82" s="915" t="str">
        <f t="shared" si="16"/>
        <v>Economic Development/Planning</v>
      </c>
      <c r="D82" s="910" t="str">
        <f t="shared" si="17"/>
        <v>8.3 - Economic Development/Planning</v>
      </c>
      <c r="E82" s="916" t="s">
        <v>2063</v>
      </c>
      <c r="F82" s="910" t="str">
        <f t="shared" si="18"/>
        <v>8.3 - Economic Development/Planning</v>
      </c>
      <c r="H82" s="910">
        <v>83</v>
      </c>
    </row>
    <row r="83" spans="2:9" x14ac:dyDescent="0.2">
      <c r="B83" s="914">
        <v>8.4</v>
      </c>
      <c r="C83" s="915" t="str">
        <f t="shared" si="16"/>
        <v>Regional Planning and Development</v>
      </c>
      <c r="D83" s="910" t="str">
        <f t="shared" si="17"/>
        <v>8.4 - Regional Planning and Development</v>
      </c>
      <c r="E83" s="916" t="s">
        <v>2064</v>
      </c>
      <c r="F83" s="910" t="str">
        <f t="shared" si="18"/>
        <v>8.4 - Regional Planning and Development</v>
      </c>
      <c r="H83" s="910">
        <v>84</v>
      </c>
    </row>
    <row r="84" spans="2:9" x14ac:dyDescent="0.2">
      <c r="B84" s="914">
        <v>8.5</v>
      </c>
      <c r="C84" s="915" t="str">
        <f t="shared" si="16"/>
        <v>Corporate Wide Strategic Planning (IDPs, LEDs)</v>
      </c>
      <c r="D84" s="910" t="str">
        <f t="shared" si="17"/>
        <v>8.5 - Corporate Wide Strategic Planning (IDPs, LEDs)</v>
      </c>
      <c r="E84" s="916" t="s">
        <v>2065</v>
      </c>
      <c r="F84" s="910" t="str">
        <f t="shared" si="18"/>
        <v>8.5 - Corporate Wide Strategic Planning (IDPs, LEDs)</v>
      </c>
      <c r="H84" s="910">
        <v>85</v>
      </c>
    </row>
    <row r="85" spans="2:9" x14ac:dyDescent="0.2">
      <c r="B85" s="914">
        <v>8.6</v>
      </c>
      <c r="C85" s="915" t="str">
        <f t="shared" si="16"/>
        <v>Project Management Unit</v>
      </c>
      <c r="D85" s="910" t="str">
        <f t="shared" si="17"/>
        <v>8.6 - Project Management Unit</v>
      </c>
      <c r="E85" s="916" t="s">
        <v>2066</v>
      </c>
      <c r="F85" s="910" t="str">
        <f t="shared" si="18"/>
        <v>8.6 - Project Management Unit</v>
      </c>
      <c r="H85" s="910">
        <v>86</v>
      </c>
    </row>
    <row r="86" spans="2:9" x14ac:dyDescent="0.2">
      <c r="B86" s="914">
        <v>8.6999999999999993</v>
      </c>
      <c r="C86" s="915" t="str">
        <f t="shared" si="16"/>
        <v>[Name of sub-vote]</v>
      </c>
      <c r="D86" s="910" t="str">
        <f t="shared" si="17"/>
        <v>8.7 - [Name of sub-vote]</v>
      </c>
      <c r="E86" s="916" t="s">
        <v>2067</v>
      </c>
      <c r="F86" s="910" t="str">
        <f t="shared" si="18"/>
        <v/>
      </c>
      <c r="H86" s="910">
        <v>87</v>
      </c>
    </row>
    <row r="87" spans="2:9" x14ac:dyDescent="0.2">
      <c r="B87" s="914">
        <v>8.8000000000000007</v>
      </c>
      <c r="C87" s="915" t="str">
        <f t="shared" si="16"/>
        <v>[Name of sub-vote]</v>
      </c>
      <c r="D87" s="910" t="str">
        <f t="shared" si="17"/>
        <v>8.8 - [Name of sub-vote]</v>
      </c>
      <c r="E87" s="916" t="s">
        <v>2068</v>
      </c>
      <c r="F87" s="910" t="str">
        <f t="shared" si="18"/>
        <v/>
      </c>
      <c r="H87" s="910">
        <v>88</v>
      </c>
    </row>
    <row r="88" spans="2:9" x14ac:dyDescent="0.2">
      <c r="B88" s="914">
        <v>8.9</v>
      </c>
      <c r="C88" s="915" t="str">
        <f t="shared" si="16"/>
        <v>[Name of sub-vote]</v>
      </c>
      <c r="D88" s="910" t="str">
        <f t="shared" si="17"/>
        <v>8.9 - [Name of sub-vote]</v>
      </c>
      <c r="E88" s="916" t="s">
        <v>2069</v>
      </c>
      <c r="F88" s="910" t="str">
        <f t="shared" si="18"/>
        <v/>
      </c>
      <c r="H88" s="910">
        <v>89</v>
      </c>
    </row>
    <row r="89" spans="2:9" x14ac:dyDescent="0.2">
      <c r="B89" s="914" t="s">
        <v>1315</v>
      </c>
      <c r="C89" s="915" t="str">
        <f t="shared" si="16"/>
        <v>[Name of sub-vote]</v>
      </c>
      <c r="D89" s="910" t="str">
        <f t="shared" si="17"/>
        <v>8.10 - [Name of sub-vote]</v>
      </c>
      <c r="E89" s="916" t="s">
        <v>2070</v>
      </c>
      <c r="F89" s="910" t="str">
        <f t="shared" si="18"/>
        <v/>
      </c>
      <c r="H89" s="910">
        <v>810</v>
      </c>
    </row>
    <row r="90" spans="2:9" x14ac:dyDescent="0.2">
      <c r="B90" s="917" t="s">
        <v>684</v>
      </c>
      <c r="C90" s="912" t="str">
        <f>IFERROR(VLOOKUP($I90,MainVote,3,0),"[NAME OF VOTE "&amp;I90&amp;"]")</f>
        <v>Sport and Recreation</v>
      </c>
      <c r="E90" s="916"/>
      <c r="I90" s="910">
        <v>9</v>
      </c>
    </row>
    <row r="91" spans="2:9" x14ac:dyDescent="0.2">
      <c r="B91" s="914">
        <v>9.1</v>
      </c>
      <c r="C91" s="915" t="str">
        <f t="shared" ref="C91:C100" si="19">IFERROR(VLOOKUP($H91,SubVote,3,0),"[Name of sub-vote]")</f>
        <v>Sports Grounds and Stadiums</v>
      </c>
      <c r="D91" s="910" t="str">
        <f t="shared" ref="D91:D100" si="20">CONCATENATE(B91, " - ", C91)</f>
        <v>9.1 - Sports Grounds and Stadiums</v>
      </c>
      <c r="E91" s="916" t="s">
        <v>1316</v>
      </c>
      <c r="F91" s="910" t="str">
        <f t="shared" si="18"/>
        <v>9.1 - Sports Grounds and Stadiums</v>
      </c>
      <c r="H91" s="910">
        <v>91</v>
      </c>
    </row>
    <row r="92" spans="2:9" x14ac:dyDescent="0.2">
      <c r="B92" s="914">
        <v>9.1999999999999993</v>
      </c>
      <c r="C92" s="915" t="str">
        <f t="shared" si="19"/>
        <v>[Name of sub-vote]</v>
      </c>
      <c r="D92" s="910" t="str">
        <f t="shared" si="20"/>
        <v>9.2 - [Name of sub-vote]</v>
      </c>
      <c r="E92" s="916" t="s">
        <v>2071</v>
      </c>
      <c r="F92" s="910" t="str">
        <f t="shared" si="18"/>
        <v/>
      </c>
      <c r="H92" s="910">
        <v>92</v>
      </c>
    </row>
    <row r="93" spans="2:9" x14ac:dyDescent="0.2">
      <c r="B93" s="914">
        <v>9.3000000000000007</v>
      </c>
      <c r="C93" s="915" t="str">
        <f t="shared" si="19"/>
        <v>[Name of sub-vote]</v>
      </c>
      <c r="D93" s="910" t="str">
        <f t="shared" si="20"/>
        <v>9.3 - [Name of sub-vote]</v>
      </c>
      <c r="E93" s="916" t="s">
        <v>2072</v>
      </c>
      <c r="F93" s="910" t="str">
        <f t="shared" si="18"/>
        <v/>
      </c>
      <c r="H93" s="910">
        <v>93</v>
      </c>
    </row>
    <row r="94" spans="2:9" x14ac:dyDescent="0.2">
      <c r="B94" s="914">
        <v>9.4</v>
      </c>
      <c r="C94" s="915" t="str">
        <f t="shared" si="19"/>
        <v>[Name of sub-vote]</v>
      </c>
      <c r="D94" s="910" t="str">
        <f t="shared" si="20"/>
        <v>9.4 - [Name of sub-vote]</v>
      </c>
      <c r="E94" s="916" t="s">
        <v>2073</v>
      </c>
      <c r="F94" s="910" t="str">
        <f t="shared" si="18"/>
        <v/>
      </c>
      <c r="H94" s="910">
        <v>94</v>
      </c>
    </row>
    <row r="95" spans="2:9" x14ac:dyDescent="0.2">
      <c r="B95" s="914">
        <v>9.5</v>
      </c>
      <c r="C95" s="915" t="str">
        <f t="shared" si="19"/>
        <v>[Name of sub-vote]</v>
      </c>
      <c r="D95" s="910" t="str">
        <f t="shared" si="20"/>
        <v>9.5 - [Name of sub-vote]</v>
      </c>
      <c r="E95" s="916" t="s">
        <v>2074</v>
      </c>
      <c r="F95" s="910" t="str">
        <f t="shared" si="18"/>
        <v/>
      </c>
      <c r="H95" s="910">
        <v>95</v>
      </c>
    </row>
    <row r="96" spans="2:9" x14ac:dyDescent="0.2">
      <c r="B96" s="914">
        <v>9.6</v>
      </c>
      <c r="C96" s="915" t="str">
        <f t="shared" si="19"/>
        <v>[Name of sub-vote]</v>
      </c>
      <c r="D96" s="910" t="str">
        <f t="shared" si="20"/>
        <v>9.6 - [Name of sub-vote]</v>
      </c>
      <c r="E96" s="916" t="s">
        <v>2075</v>
      </c>
      <c r="F96" s="910" t="str">
        <f t="shared" si="18"/>
        <v/>
      </c>
      <c r="H96" s="910">
        <v>96</v>
      </c>
    </row>
    <row r="97" spans="2:9" x14ac:dyDescent="0.2">
      <c r="B97" s="914">
        <v>9.6999999999999993</v>
      </c>
      <c r="C97" s="915" t="str">
        <f t="shared" si="19"/>
        <v>[Name of sub-vote]</v>
      </c>
      <c r="D97" s="910" t="str">
        <f t="shared" si="20"/>
        <v>9.7 - [Name of sub-vote]</v>
      </c>
      <c r="E97" s="916" t="s">
        <v>2076</v>
      </c>
      <c r="F97" s="910" t="str">
        <f t="shared" si="18"/>
        <v/>
      </c>
      <c r="H97" s="910">
        <v>97</v>
      </c>
    </row>
    <row r="98" spans="2:9" x14ac:dyDescent="0.2">
      <c r="B98" s="914">
        <v>9.8000000000000007</v>
      </c>
      <c r="C98" s="915" t="str">
        <f t="shared" si="19"/>
        <v>[Name of sub-vote]</v>
      </c>
      <c r="D98" s="910" t="str">
        <f t="shared" si="20"/>
        <v>9.8 - [Name of sub-vote]</v>
      </c>
      <c r="E98" s="916" t="s">
        <v>2077</v>
      </c>
      <c r="F98" s="910" t="str">
        <f t="shared" si="18"/>
        <v/>
      </c>
      <c r="H98" s="910">
        <v>98</v>
      </c>
    </row>
    <row r="99" spans="2:9" x14ac:dyDescent="0.2">
      <c r="B99" s="914">
        <v>9.9</v>
      </c>
      <c r="C99" s="915" t="str">
        <f t="shared" si="19"/>
        <v>[Name of sub-vote]</v>
      </c>
      <c r="D99" s="910" t="str">
        <f t="shared" si="20"/>
        <v>9.9 - [Name of sub-vote]</v>
      </c>
      <c r="E99" s="916" t="s">
        <v>2079</v>
      </c>
      <c r="F99" s="910" t="str">
        <f t="shared" si="18"/>
        <v/>
      </c>
      <c r="H99" s="910">
        <v>99</v>
      </c>
    </row>
    <row r="100" spans="2:9" x14ac:dyDescent="0.2">
      <c r="B100" s="914" t="s">
        <v>1317</v>
      </c>
      <c r="C100" s="915" t="str">
        <f t="shared" si="19"/>
        <v>[Name of sub-vote]</v>
      </c>
      <c r="D100" s="910" t="str">
        <f t="shared" si="20"/>
        <v>9.10 - [Name of sub-vote]</v>
      </c>
      <c r="E100" s="916" t="s">
        <v>2078</v>
      </c>
      <c r="F100" s="910" t="str">
        <f t="shared" si="18"/>
        <v/>
      </c>
      <c r="H100" s="910">
        <v>910</v>
      </c>
    </row>
    <row r="101" spans="2:9" x14ac:dyDescent="0.2">
      <c r="B101" s="917" t="s">
        <v>685</v>
      </c>
      <c r="C101" s="912" t="str">
        <f>IFERROR(VLOOKUP($I101,MainVote,3,0),"[NAME OF VOTE "&amp;I101&amp;"]")</f>
        <v>Public Safety</v>
      </c>
      <c r="E101" s="916"/>
      <c r="I101" s="910">
        <v>10</v>
      </c>
    </row>
    <row r="102" spans="2:9" x14ac:dyDescent="0.2">
      <c r="B102" s="914">
        <v>10.1</v>
      </c>
      <c r="C102" s="915" t="str">
        <f t="shared" ref="C102:C111" si="21">IFERROR(VLOOKUP($H102,SubVote,3,0),"[Name of sub-vote]")</f>
        <v>Fire Fighting and Protection</v>
      </c>
      <c r="D102" s="910" t="str">
        <f t="shared" ref="D102:D111" si="22">CONCATENATE(B102, " - ", C102)</f>
        <v>10.1 - Fire Fighting and Protection</v>
      </c>
      <c r="E102" s="916" t="s">
        <v>1318</v>
      </c>
      <c r="F102" s="910" t="str">
        <f t="shared" si="18"/>
        <v>10.1 - Fire Fighting and Protection</v>
      </c>
      <c r="H102" s="910">
        <v>101</v>
      </c>
    </row>
    <row r="103" spans="2:9" x14ac:dyDescent="0.2">
      <c r="B103" s="914">
        <v>10.199999999999999</v>
      </c>
      <c r="C103" s="915" t="str">
        <f t="shared" si="21"/>
        <v>Fencing and Fences</v>
      </c>
      <c r="D103" s="910" t="str">
        <f t="shared" si="22"/>
        <v>10.2 - Fencing and Fences</v>
      </c>
      <c r="E103" s="916" t="s">
        <v>2116</v>
      </c>
      <c r="F103" s="910" t="str">
        <f t="shared" si="18"/>
        <v>10.2 - Fencing and Fences</v>
      </c>
      <c r="H103" s="910">
        <v>102</v>
      </c>
    </row>
    <row r="104" spans="2:9" x14ac:dyDescent="0.2">
      <c r="B104" s="914">
        <v>10.3</v>
      </c>
      <c r="C104" s="915" t="str">
        <f t="shared" si="21"/>
        <v>[Name of sub-vote]</v>
      </c>
      <c r="D104" s="910" t="str">
        <f t="shared" si="22"/>
        <v>10.3 - [Name of sub-vote]</v>
      </c>
      <c r="E104" s="916" t="s">
        <v>2117</v>
      </c>
      <c r="F104" s="910" t="str">
        <f t="shared" si="18"/>
        <v/>
      </c>
      <c r="H104" s="910">
        <v>103</v>
      </c>
    </row>
    <row r="105" spans="2:9" x14ac:dyDescent="0.2">
      <c r="B105" s="914">
        <v>10.4</v>
      </c>
      <c r="C105" s="915" t="str">
        <f t="shared" si="21"/>
        <v>[Name of sub-vote]</v>
      </c>
      <c r="D105" s="910" t="str">
        <f t="shared" si="22"/>
        <v>10.4 - [Name of sub-vote]</v>
      </c>
      <c r="E105" s="916" t="s">
        <v>2118</v>
      </c>
      <c r="F105" s="910" t="str">
        <f t="shared" si="18"/>
        <v/>
      </c>
      <c r="H105" s="910">
        <v>104</v>
      </c>
    </row>
    <row r="106" spans="2:9" x14ac:dyDescent="0.2">
      <c r="B106" s="914">
        <v>10.5</v>
      </c>
      <c r="C106" s="915" t="str">
        <f t="shared" si="21"/>
        <v>[Name of sub-vote]</v>
      </c>
      <c r="D106" s="910" t="str">
        <f t="shared" si="22"/>
        <v>10.5 - [Name of sub-vote]</v>
      </c>
      <c r="E106" s="916" t="s">
        <v>2119</v>
      </c>
      <c r="F106" s="910" t="str">
        <f t="shared" si="18"/>
        <v/>
      </c>
      <c r="H106" s="910">
        <v>105</v>
      </c>
    </row>
    <row r="107" spans="2:9" x14ac:dyDescent="0.2">
      <c r="B107" s="914">
        <v>10.6</v>
      </c>
      <c r="C107" s="915" t="str">
        <f t="shared" si="21"/>
        <v>[Name of sub-vote]</v>
      </c>
      <c r="D107" s="910" t="str">
        <f t="shared" si="22"/>
        <v>10.6 - [Name of sub-vote]</v>
      </c>
      <c r="E107" s="916" t="s">
        <v>2120</v>
      </c>
      <c r="F107" s="910" t="str">
        <f t="shared" si="18"/>
        <v/>
      </c>
      <c r="H107" s="910">
        <v>106</v>
      </c>
    </row>
    <row r="108" spans="2:9" x14ac:dyDescent="0.2">
      <c r="B108" s="914">
        <v>10.7</v>
      </c>
      <c r="C108" s="915" t="str">
        <f t="shared" si="21"/>
        <v>[Name of sub-vote]</v>
      </c>
      <c r="D108" s="910" t="str">
        <f t="shared" si="22"/>
        <v>10.7 - [Name of sub-vote]</v>
      </c>
      <c r="E108" s="916" t="s">
        <v>2121</v>
      </c>
      <c r="F108" s="910" t="str">
        <f t="shared" si="18"/>
        <v/>
      </c>
      <c r="H108" s="910">
        <v>107</v>
      </c>
    </row>
    <row r="109" spans="2:9" x14ac:dyDescent="0.2">
      <c r="B109" s="914">
        <v>10.8</v>
      </c>
      <c r="C109" s="915" t="str">
        <f t="shared" si="21"/>
        <v>[Name of sub-vote]</v>
      </c>
      <c r="D109" s="910" t="str">
        <f t="shared" si="22"/>
        <v>10.8 - [Name of sub-vote]</v>
      </c>
      <c r="E109" s="916" t="s">
        <v>2122</v>
      </c>
      <c r="F109" s="910" t="str">
        <f t="shared" si="18"/>
        <v/>
      </c>
      <c r="H109" s="910">
        <v>108</v>
      </c>
    </row>
    <row r="110" spans="2:9" x14ac:dyDescent="0.2">
      <c r="B110" s="914">
        <v>10.9</v>
      </c>
      <c r="C110" s="915" t="str">
        <f t="shared" si="21"/>
        <v>[Name of sub-vote]</v>
      </c>
      <c r="D110" s="910" t="str">
        <f t="shared" si="22"/>
        <v>10.9 - [Name of sub-vote]</v>
      </c>
      <c r="E110" s="916" t="s">
        <v>2123</v>
      </c>
      <c r="F110" s="910" t="str">
        <f t="shared" si="18"/>
        <v/>
      </c>
      <c r="H110" s="910">
        <v>109</v>
      </c>
    </row>
    <row r="111" spans="2:9" x14ac:dyDescent="0.2">
      <c r="B111" s="914" t="s">
        <v>1319</v>
      </c>
      <c r="C111" s="915" t="str">
        <f t="shared" si="21"/>
        <v>[Name of sub-vote]</v>
      </c>
      <c r="D111" s="910" t="str">
        <f t="shared" si="22"/>
        <v>10.10 - [Name of sub-vote]</v>
      </c>
      <c r="E111" s="916" t="s">
        <v>2124</v>
      </c>
      <c r="F111" s="910" t="str">
        <f t="shared" si="18"/>
        <v/>
      </c>
      <c r="H111" s="910">
        <v>1010</v>
      </c>
    </row>
    <row r="112" spans="2:9" x14ac:dyDescent="0.2">
      <c r="B112" s="917" t="s">
        <v>686</v>
      </c>
      <c r="C112" s="912" t="str">
        <f>IFERROR(VLOOKUP($I112,MainVote,3,0),"[NAME OF VOTE "&amp;I112&amp;"]")</f>
        <v>Other</v>
      </c>
      <c r="E112" s="916"/>
      <c r="I112" s="910">
        <v>11</v>
      </c>
    </row>
    <row r="113" spans="2:9" x14ac:dyDescent="0.2">
      <c r="B113" s="914">
        <v>11.1</v>
      </c>
      <c r="C113" s="915" t="str">
        <f t="shared" ref="C113:C122" si="23">IFERROR(VLOOKUP($H113,SubVote,3,0),"[Name of sub-vote]")</f>
        <v>Licensing and Regulation</v>
      </c>
      <c r="D113" s="910" t="str">
        <f t="shared" ref="D113:D122" si="24">CONCATENATE(B113, " - ", C113)</f>
        <v>11.1 - Licensing and Regulation</v>
      </c>
      <c r="E113" s="916" t="s">
        <v>1320</v>
      </c>
      <c r="F113" s="910" t="str">
        <f t="shared" si="18"/>
        <v>11.1 - Licensing and Regulation</v>
      </c>
      <c r="H113" s="910">
        <v>111</v>
      </c>
    </row>
    <row r="114" spans="2:9" x14ac:dyDescent="0.2">
      <c r="B114" s="914">
        <v>11.2</v>
      </c>
      <c r="C114" s="915" t="str">
        <f t="shared" si="23"/>
        <v>[Name of sub-vote]</v>
      </c>
      <c r="D114" s="910" t="str">
        <f t="shared" si="24"/>
        <v>11.2 - [Name of sub-vote]</v>
      </c>
      <c r="E114" s="916" t="s">
        <v>2126</v>
      </c>
      <c r="F114" s="910" t="str">
        <f t="shared" si="18"/>
        <v/>
      </c>
      <c r="H114" s="910">
        <v>112</v>
      </c>
    </row>
    <row r="115" spans="2:9" x14ac:dyDescent="0.2">
      <c r="B115" s="914">
        <v>11.3</v>
      </c>
      <c r="C115" s="915" t="str">
        <f t="shared" si="23"/>
        <v>[Name of sub-vote]</v>
      </c>
      <c r="D115" s="910" t="str">
        <f t="shared" si="24"/>
        <v>11.3 - [Name of sub-vote]</v>
      </c>
      <c r="E115" s="916" t="s">
        <v>2125</v>
      </c>
      <c r="F115" s="910" t="str">
        <f t="shared" si="18"/>
        <v/>
      </c>
      <c r="H115" s="910">
        <v>113</v>
      </c>
    </row>
    <row r="116" spans="2:9" x14ac:dyDescent="0.2">
      <c r="B116" s="914">
        <v>11.4</v>
      </c>
      <c r="C116" s="915" t="str">
        <f t="shared" si="23"/>
        <v>[Name of sub-vote]</v>
      </c>
      <c r="D116" s="910" t="str">
        <f t="shared" si="24"/>
        <v>11.4 - [Name of sub-vote]</v>
      </c>
      <c r="E116" s="916" t="s">
        <v>2127</v>
      </c>
      <c r="F116" s="910" t="str">
        <f t="shared" si="18"/>
        <v/>
      </c>
      <c r="H116" s="910">
        <v>114</v>
      </c>
    </row>
    <row r="117" spans="2:9" x14ac:dyDescent="0.2">
      <c r="B117" s="914">
        <v>11.5</v>
      </c>
      <c r="C117" s="915" t="str">
        <f t="shared" si="23"/>
        <v>[Name of sub-vote]</v>
      </c>
      <c r="D117" s="910" t="str">
        <f t="shared" si="24"/>
        <v>11.5 - [Name of sub-vote]</v>
      </c>
      <c r="E117" s="916" t="s">
        <v>2128</v>
      </c>
      <c r="F117" s="910" t="str">
        <f t="shared" si="18"/>
        <v/>
      </c>
      <c r="H117" s="910">
        <v>115</v>
      </c>
    </row>
    <row r="118" spans="2:9" x14ac:dyDescent="0.2">
      <c r="B118" s="914">
        <v>11.6</v>
      </c>
      <c r="C118" s="915" t="str">
        <f t="shared" si="23"/>
        <v>[Name of sub-vote]</v>
      </c>
      <c r="D118" s="910" t="str">
        <f t="shared" si="24"/>
        <v>11.6 - [Name of sub-vote]</v>
      </c>
      <c r="E118" s="916" t="s">
        <v>2129</v>
      </c>
      <c r="F118" s="910" t="str">
        <f t="shared" si="18"/>
        <v/>
      </c>
      <c r="H118" s="910">
        <v>116</v>
      </c>
    </row>
    <row r="119" spans="2:9" x14ac:dyDescent="0.2">
      <c r="B119" s="914">
        <v>11.7</v>
      </c>
      <c r="C119" s="915" t="str">
        <f t="shared" si="23"/>
        <v>[Name of sub-vote]</v>
      </c>
      <c r="D119" s="910" t="str">
        <f t="shared" si="24"/>
        <v>11.7 - [Name of sub-vote]</v>
      </c>
      <c r="E119" s="916" t="s">
        <v>2130</v>
      </c>
      <c r="F119" s="910" t="str">
        <f t="shared" si="18"/>
        <v/>
      </c>
      <c r="H119" s="910">
        <v>117</v>
      </c>
    </row>
    <row r="120" spans="2:9" x14ac:dyDescent="0.2">
      <c r="B120" s="914">
        <v>11.8</v>
      </c>
      <c r="C120" s="915" t="str">
        <f t="shared" si="23"/>
        <v>[Name of sub-vote]</v>
      </c>
      <c r="D120" s="910" t="str">
        <f t="shared" si="24"/>
        <v>11.8 - [Name of sub-vote]</v>
      </c>
      <c r="E120" s="916" t="s">
        <v>2131</v>
      </c>
      <c r="F120" s="910" t="str">
        <f t="shared" si="18"/>
        <v/>
      </c>
      <c r="H120" s="910">
        <v>118</v>
      </c>
    </row>
    <row r="121" spans="2:9" x14ac:dyDescent="0.2">
      <c r="B121" s="914">
        <v>11.9</v>
      </c>
      <c r="C121" s="915" t="str">
        <f t="shared" si="23"/>
        <v>[Name of sub-vote]</v>
      </c>
      <c r="D121" s="910" t="str">
        <f t="shared" si="24"/>
        <v>11.9 - [Name of sub-vote]</v>
      </c>
      <c r="E121" s="916" t="s">
        <v>2132</v>
      </c>
      <c r="F121" s="910" t="str">
        <f t="shared" si="18"/>
        <v/>
      </c>
      <c r="H121" s="910">
        <v>119</v>
      </c>
    </row>
    <row r="122" spans="2:9" x14ac:dyDescent="0.2">
      <c r="B122" s="914" t="s">
        <v>1321</v>
      </c>
      <c r="C122" s="915" t="str">
        <f t="shared" si="23"/>
        <v>[Name of sub-vote]</v>
      </c>
      <c r="D122" s="910" t="str">
        <f t="shared" si="24"/>
        <v>11.10 - [Name of sub-vote]</v>
      </c>
      <c r="E122" s="916" t="s">
        <v>2133</v>
      </c>
      <c r="F122" s="910" t="str">
        <f t="shared" si="18"/>
        <v/>
      </c>
      <c r="H122" s="910">
        <v>1110</v>
      </c>
    </row>
    <row r="123" spans="2:9" x14ac:dyDescent="0.2">
      <c r="B123" s="917" t="s">
        <v>687</v>
      </c>
      <c r="C123" s="912" t="str">
        <f>IFERROR(VLOOKUP($I123,MainVote,3,0),"[NAME OF VOTE "&amp;I123&amp;"]")</f>
        <v>Waste Management</v>
      </c>
      <c r="E123" s="916"/>
      <c r="I123" s="910">
        <v>12</v>
      </c>
    </row>
    <row r="124" spans="2:9" x14ac:dyDescent="0.2">
      <c r="B124" s="914">
        <v>12.1</v>
      </c>
      <c r="C124" s="915" t="str">
        <f t="shared" ref="C124:C133" si="25">IFERROR(VLOOKUP($H124,SubVote,3,0),"[Name of sub-vote]")</f>
        <v>Solid Waste Removal</v>
      </c>
      <c r="D124" s="910" t="str">
        <f t="shared" ref="D124:D133" si="26">CONCATENATE(B124, " - ", C124)</f>
        <v>12.1 - Solid Waste Removal</v>
      </c>
      <c r="E124" s="916" t="s">
        <v>1322</v>
      </c>
      <c r="F124" s="910" t="str">
        <f t="shared" si="18"/>
        <v>12.1 - Solid Waste Removal</v>
      </c>
      <c r="H124" s="910">
        <v>121</v>
      </c>
    </row>
    <row r="125" spans="2:9" x14ac:dyDescent="0.2">
      <c r="B125" s="914">
        <v>12.2</v>
      </c>
      <c r="C125" s="915" t="str">
        <f t="shared" si="25"/>
        <v>Street Cleaning</v>
      </c>
      <c r="D125" s="910" t="str">
        <f t="shared" si="26"/>
        <v>12.2 - Street Cleaning</v>
      </c>
      <c r="E125" s="916" t="s">
        <v>2080</v>
      </c>
      <c r="F125" s="910" t="str">
        <f t="shared" si="18"/>
        <v>12.2 - Street Cleaning</v>
      </c>
      <c r="H125" s="910">
        <v>122</v>
      </c>
    </row>
    <row r="126" spans="2:9" x14ac:dyDescent="0.2">
      <c r="B126" s="914">
        <v>12.3</v>
      </c>
      <c r="C126" s="915" t="str">
        <f t="shared" si="25"/>
        <v>Solid Waste Disposal (Landfill Sites)</v>
      </c>
      <c r="D126" s="910" t="str">
        <f t="shared" si="26"/>
        <v>12.3 - Solid Waste Disposal (Landfill Sites)</v>
      </c>
      <c r="E126" s="916" t="s">
        <v>2081</v>
      </c>
      <c r="F126" s="910" t="str">
        <f t="shared" si="18"/>
        <v>12.3 - Solid Waste Disposal (Landfill Sites)</v>
      </c>
      <c r="H126" s="910">
        <v>123</v>
      </c>
    </row>
    <row r="127" spans="2:9" x14ac:dyDescent="0.2">
      <c r="B127" s="914">
        <v>12.4</v>
      </c>
      <c r="C127" s="915" t="str">
        <f t="shared" si="25"/>
        <v>[Name of sub-vote]</v>
      </c>
      <c r="D127" s="910" t="str">
        <f t="shared" si="26"/>
        <v>12.4 - [Name of sub-vote]</v>
      </c>
      <c r="E127" s="916" t="s">
        <v>2082</v>
      </c>
      <c r="F127" s="910" t="str">
        <f t="shared" si="18"/>
        <v/>
      </c>
      <c r="H127" s="910">
        <v>124</v>
      </c>
    </row>
    <row r="128" spans="2:9" x14ac:dyDescent="0.2">
      <c r="B128" s="914">
        <v>12.5</v>
      </c>
      <c r="C128" s="915" t="str">
        <f t="shared" si="25"/>
        <v>[Name of sub-vote]</v>
      </c>
      <c r="D128" s="910" t="str">
        <f t="shared" si="26"/>
        <v>12.5 - [Name of sub-vote]</v>
      </c>
      <c r="E128" s="916" t="s">
        <v>2083</v>
      </c>
      <c r="F128" s="910" t="str">
        <f t="shared" si="18"/>
        <v/>
      </c>
      <c r="H128" s="910">
        <v>125</v>
      </c>
    </row>
    <row r="129" spans="2:9" x14ac:dyDescent="0.2">
      <c r="B129" s="914">
        <v>12.6</v>
      </c>
      <c r="C129" s="915" t="str">
        <f t="shared" si="25"/>
        <v>[Name of sub-vote]</v>
      </c>
      <c r="D129" s="910" t="str">
        <f t="shared" si="26"/>
        <v>12.6 - [Name of sub-vote]</v>
      </c>
      <c r="E129" s="916" t="s">
        <v>2084</v>
      </c>
      <c r="F129" s="910" t="str">
        <f t="shared" si="18"/>
        <v/>
      </c>
      <c r="H129" s="910">
        <v>126</v>
      </c>
    </row>
    <row r="130" spans="2:9" x14ac:dyDescent="0.2">
      <c r="B130" s="914">
        <v>12.7</v>
      </c>
      <c r="C130" s="915" t="str">
        <f t="shared" si="25"/>
        <v>[Name of sub-vote]</v>
      </c>
      <c r="D130" s="910" t="str">
        <f t="shared" si="26"/>
        <v>12.7 - [Name of sub-vote]</v>
      </c>
      <c r="E130" s="916" t="s">
        <v>2085</v>
      </c>
      <c r="F130" s="910" t="str">
        <f t="shared" si="18"/>
        <v/>
      </c>
      <c r="H130" s="910">
        <v>127</v>
      </c>
    </row>
    <row r="131" spans="2:9" x14ac:dyDescent="0.2">
      <c r="B131" s="914">
        <v>12.8</v>
      </c>
      <c r="C131" s="915" t="str">
        <f t="shared" si="25"/>
        <v>[Name of sub-vote]</v>
      </c>
      <c r="D131" s="910" t="str">
        <f t="shared" si="26"/>
        <v>12.8 - [Name of sub-vote]</v>
      </c>
      <c r="E131" s="916" t="s">
        <v>2086</v>
      </c>
      <c r="F131" s="910" t="str">
        <f t="shared" si="18"/>
        <v/>
      </c>
      <c r="H131" s="910">
        <v>128</v>
      </c>
    </row>
    <row r="132" spans="2:9" x14ac:dyDescent="0.2">
      <c r="B132" s="914">
        <v>12.9</v>
      </c>
      <c r="C132" s="915" t="str">
        <f t="shared" si="25"/>
        <v>[Name of sub-vote]</v>
      </c>
      <c r="D132" s="910" t="str">
        <f t="shared" si="26"/>
        <v>12.9 - [Name of sub-vote]</v>
      </c>
      <c r="E132" s="916" t="s">
        <v>2087</v>
      </c>
      <c r="F132" s="910" t="str">
        <f t="shared" si="18"/>
        <v/>
      </c>
      <c r="H132" s="910">
        <v>129</v>
      </c>
    </row>
    <row r="133" spans="2:9" x14ac:dyDescent="0.2">
      <c r="B133" s="914" t="s">
        <v>1323</v>
      </c>
      <c r="C133" s="915" t="str">
        <f t="shared" si="25"/>
        <v>[Name of sub-vote]</v>
      </c>
      <c r="D133" s="910" t="str">
        <f t="shared" si="26"/>
        <v>12.10 - [Name of sub-vote]</v>
      </c>
      <c r="E133" s="916" t="s">
        <v>2088</v>
      </c>
      <c r="F133" s="910" t="str">
        <f t="shared" si="18"/>
        <v/>
      </c>
      <c r="H133" s="910">
        <v>1210</v>
      </c>
    </row>
    <row r="134" spans="2:9" x14ac:dyDescent="0.2">
      <c r="B134" s="917" t="s">
        <v>688</v>
      </c>
      <c r="C134" s="912" t="str">
        <f>IFERROR(VLOOKUP($I134,MainVote,3,0),"[NAME OF VOTE "&amp;I134&amp;"]")</f>
        <v>Housing</v>
      </c>
      <c r="E134" s="916"/>
      <c r="I134" s="910">
        <v>13</v>
      </c>
    </row>
    <row r="135" spans="2:9" x14ac:dyDescent="0.2">
      <c r="B135" s="914">
        <v>13.1</v>
      </c>
      <c r="C135" s="915" t="str">
        <f t="shared" ref="C135:C144" si="27">IFERROR(VLOOKUP($H135,SubVote,3,0),"[Name of sub-vote]")</f>
        <v>Housing</v>
      </c>
      <c r="D135" s="910" t="str">
        <f t="shared" ref="D135:D144" si="28">CONCATENATE(B135, " - ", C135)</f>
        <v>13.1 - Housing</v>
      </c>
      <c r="E135" s="916" t="s">
        <v>1324</v>
      </c>
      <c r="F135" s="910" t="str">
        <f t="shared" si="18"/>
        <v>13.1 - Housing</v>
      </c>
      <c r="H135" s="910">
        <v>131</v>
      </c>
    </row>
    <row r="136" spans="2:9" x14ac:dyDescent="0.2">
      <c r="B136" s="914">
        <v>13.2</v>
      </c>
      <c r="C136" s="915" t="str">
        <f t="shared" si="27"/>
        <v>[Name of sub-vote]</v>
      </c>
      <c r="D136" s="910" t="str">
        <f t="shared" si="28"/>
        <v>13.2 - [Name of sub-vote]</v>
      </c>
      <c r="E136" s="916" t="s">
        <v>2089</v>
      </c>
      <c r="F136" s="910" t="str">
        <f t="shared" si="18"/>
        <v/>
      </c>
      <c r="H136" s="910">
        <v>132</v>
      </c>
    </row>
    <row r="137" spans="2:9" x14ac:dyDescent="0.2">
      <c r="B137" s="914">
        <v>13.3</v>
      </c>
      <c r="C137" s="915" t="str">
        <f t="shared" si="27"/>
        <v>[Name of sub-vote]</v>
      </c>
      <c r="D137" s="910" t="str">
        <f t="shared" si="28"/>
        <v>13.3 - [Name of sub-vote]</v>
      </c>
      <c r="E137" s="916" t="s">
        <v>2090</v>
      </c>
      <c r="F137" s="910" t="str">
        <f t="shared" si="18"/>
        <v/>
      </c>
      <c r="H137" s="910">
        <v>133</v>
      </c>
    </row>
    <row r="138" spans="2:9" x14ac:dyDescent="0.2">
      <c r="B138" s="914">
        <v>13.4</v>
      </c>
      <c r="C138" s="915" t="str">
        <f t="shared" si="27"/>
        <v>[Name of sub-vote]</v>
      </c>
      <c r="D138" s="910" t="str">
        <f t="shared" si="28"/>
        <v>13.4 - [Name of sub-vote]</v>
      </c>
      <c r="E138" s="916" t="s">
        <v>2091</v>
      </c>
      <c r="F138" s="910" t="str">
        <f t="shared" si="18"/>
        <v/>
      </c>
      <c r="H138" s="910">
        <v>134</v>
      </c>
    </row>
    <row r="139" spans="2:9" x14ac:dyDescent="0.2">
      <c r="B139" s="914">
        <v>13.5</v>
      </c>
      <c r="C139" s="915" t="str">
        <f t="shared" si="27"/>
        <v>[Name of sub-vote]</v>
      </c>
      <c r="D139" s="910" t="str">
        <f t="shared" si="28"/>
        <v>13.5 - [Name of sub-vote]</v>
      </c>
      <c r="E139" s="916" t="s">
        <v>2092</v>
      </c>
      <c r="F139" s="910" t="str">
        <f t="shared" si="18"/>
        <v/>
      </c>
      <c r="H139" s="910">
        <v>135</v>
      </c>
    </row>
    <row r="140" spans="2:9" x14ac:dyDescent="0.2">
      <c r="B140" s="914">
        <v>13.6</v>
      </c>
      <c r="C140" s="915" t="str">
        <f t="shared" si="27"/>
        <v>[Name of sub-vote]</v>
      </c>
      <c r="D140" s="910" t="str">
        <f t="shared" si="28"/>
        <v>13.6 - [Name of sub-vote]</v>
      </c>
      <c r="E140" s="916" t="s">
        <v>2093</v>
      </c>
      <c r="F140" s="910" t="str">
        <f t="shared" si="18"/>
        <v/>
      </c>
      <c r="H140" s="910">
        <v>136</v>
      </c>
    </row>
    <row r="141" spans="2:9" x14ac:dyDescent="0.2">
      <c r="B141" s="914">
        <v>13.7</v>
      </c>
      <c r="C141" s="915" t="str">
        <f t="shared" si="27"/>
        <v>[Name of sub-vote]</v>
      </c>
      <c r="D141" s="910" t="str">
        <f t="shared" si="28"/>
        <v>13.7 - [Name of sub-vote]</v>
      </c>
      <c r="E141" s="916" t="s">
        <v>2094</v>
      </c>
      <c r="F141" s="910" t="str">
        <f t="shared" si="18"/>
        <v/>
      </c>
      <c r="H141" s="910">
        <v>137</v>
      </c>
    </row>
    <row r="142" spans="2:9" x14ac:dyDescent="0.2">
      <c r="B142" s="914">
        <v>13.8</v>
      </c>
      <c r="C142" s="915" t="str">
        <f t="shared" si="27"/>
        <v>[Name of sub-vote]</v>
      </c>
      <c r="D142" s="910" t="str">
        <f t="shared" si="28"/>
        <v>13.8 - [Name of sub-vote]</v>
      </c>
      <c r="E142" s="916" t="s">
        <v>2095</v>
      </c>
      <c r="F142" s="910" t="str">
        <f t="shared" si="18"/>
        <v/>
      </c>
      <c r="H142" s="910">
        <v>138</v>
      </c>
    </row>
    <row r="143" spans="2:9" x14ac:dyDescent="0.2">
      <c r="B143" s="914">
        <v>13.9</v>
      </c>
      <c r="C143" s="915" t="str">
        <f t="shared" si="27"/>
        <v>[Name of sub-vote]</v>
      </c>
      <c r="D143" s="910" t="str">
        <f t="shared" si="28"/>
        <v>13.9 - [Name of sub-vote]</v>
      </c>
      <c r="E143" s="916" t="s">
        <v>2096</v>
      </c>
      <c r="F143" s="910" t="str">
        <f t="shared" ref="F143:F166" si="29">IF(C143&lt;&gt;"[Name of sub-vote]",B143&amp;" - "&amp;C143,"")</f>
        <v/>
      </c>
      <c r="H143" s="910">
        <v>139</v>
      </c>
    </row>
    <row r="144" spans="2:9" x14ac:dyDescent="0.2">
      <c r="B144" s="914" t="s">
        <v>1325</v>
      </c>
      <c r="C144" s="915" t="str">
        <f t="shared" si="27"/>
        <v>[Name of sub-vote]</v>
      </c>
      <c r="D144" s="910" t="str">
        <f t="shared" si="28"/>
        <v>13.10 - [Name of sub-vote]</v>
      </c>
      <c r="E144" s="916" t="s">
        <v>2097</v>
      </c>
      <c r="F144" s="910" t="str">
        <f t="shared" si="29"/>
        <v/>
      </c>
      <c r="H144" s="910">
        <v>1310</v>
      </c>
    </row>
    <row r="145" spans="2:9" x14ac:dyDescent="0.2">
      <c r="B145" s="917" t="s">
        <v>689</v>
      </c>
      <c r="C145" s="912" t="str">
        <f>IFERROR(VLOOKUP($I145,MainVote,3,0),"[NAME OF VOTE "&amp;I145&amp;"]")</f>
        <v>Waste Water Management</v>
      </c>
      <c r="E145" s="916"/>
      <c r="I145" s="910">
        <v>14</v>
      </c>
    </row>
    <row r="146" spans="2:9" x14ac:dyDescent="0.2">
      <c r="B146" s="914">
        <v>14.1</v>
      </c>
      <c r="C146" s="915" t="str">
        <f t="shared" ref="C146:C155" si="30">IFERROR(VLOOKUP($H146,SubVote,3,0),"[Name of sub-vote]")</f>
        <v>Storm Water Management</v>
      </c>
      <c r="D146" s="910" t="str">
        <f t="shared" ref="D146:D155" si="31">CONCATENATE(B146, " - ", C146)</f>
        <v>14.1 - Storm Water Management</v>
      </c>
      <c r="E146" s="916" t="s">
        <v>1326</v>
      </c>
      <c r="F146" s="910" t="str">
        <f t="shared" si="29"/>
        <v>14.1 - Storm Water Management</v>
      </c>
      <c r="H146" s="910">
        <v>141</v>
      </c>
    </row>
    <row r="147" spans="2:9" x14ac:dyDescent="0.2">
      <c r="B147" s="914">
        <v>14.2</v>
      </c>
      <c r="C147" s="915" t="str">
        <f t="shared" si="30"/>
        <v>[Name of sub-vote]</v>
      </c>
      <c r="D147" s="910" t="str">
        <f t="shared" si="31"/>
        <v>14.2 - [Name of sub-vote]</v>
      </c>
      <c r="E147" s="916" t="s">
        <v>2098</v>
      </c>
      <c r="F147" s="910" t="str">
        <f t="shared" si="29"/>
        <v/>
      </c>
      <c r="H147" s="910">
        <v>142</v>
      </c>
    </row>
    <row r="148" spans="2:9" x14ac:dyDescent="0.2">
      <c r="B148" s="914">
        <v>14.3</v>
      </c>
      <c r="C148" s="915" t="str">
        <f t="shared" si="30"/>
        <v>[Name of sub-vote]</v>
      </c>
      <c r="D148" s="910" t="str">
        <f t="shared" si="31"/>
        <v>14.3 - [Name of sub-vote]</v>
      </c>
      <c r="E148" s="916" t="s">
        <v>2099</v>
      </c>
      <c r="F148" s="910" t="str">
        <f t="shared" si="29"/>
        <v/>
      </c>
      <c r="H148" s="910">
        <v>143</v>
      </c>
    </row>
    <row r="149" spans="2:9" x14ac:dyDescent="0.2">
      <c r="B149" s="914">
        <v>14.4</v>
      </c>
      <c r="C149" s="915" t="str">
        <f t="shared" si="30"/>
        <v>[Name of sub-vote]</v>
      </c>
      <c r="D149" s="910" t="str">
        <f t="shared" si="31"/>
        <v>14.4 - [Name of sub-vote]</v>
      </c>
      <c r="E149" s="916" t="s">
        <v>2100</v>
      </c>
      <c r="F149" s="910" t="str">
        <f t="shared" si="29"/>
        <v/>
      </c>
      <c r="H149" s="910">
        <v>144</v>
      </c>
    </row>
    <row r="150" spans="2:9" x14ac:dyDescent="0.2">
      <c r="B150" s="914">
        <v>14.5</v>
      </c>
      <c r="C150" s="915" t="str">
        <f t="shared" si="30"/>
        <v>[Name of sub-vote]</v>
      </c>
      <c r="D150" s="910" t="str">
        <f t="shared" si="31"/>
        <v>14.5 - [Name of sub-vote]</v>
      </c>
      <c r="E150" s="916" t="s">
        <v>2101</v>
      </c>
      <c r="F150" s="910" t="str">
        <f t="shared" si="29"/>
        <v/>
      </c>
      <c r="H150" s="910">
        <v>145</v>
      </c>
    </row>
    <row r="151" spans="2:9" x14ac:dyDescent="0.2">
      <c r="B151" s="914">
        <v>14.6</v>
      </c>
      <c r="C151" s="915" t="str">
        <f t="shared" si="30"/>
        <v>[Name of sub-vote]</v>
      </c>
      <c r="D151" s="910" t="str">
        <f t="shared" si="31"/>
        <v>14.6 - [Name of sub-vote]</v>
      </c>
      <c r="E151" s="916" t="s">
        <v>2102</v>
      </c>
      <c r="F151" s="910" t="str">
        <f t="shared" si="29"/>
        <v/>
      </c>
      <c r="H151" s="910">
        <v>146</v>
      </c>
    </row>
    <row r="152" spans="2:9" x14ac:dyDescent="0.2">
      <c r="B152" s="914">
        <v>14.7</v>
      </c>
      <c r="C152" s="915" t="str">
        <f t="shared" si="30"/>
        <v>[Name of sub-vote]</v>
      </c>
      <c r="D152" s="910" t="str">
        <f t="shared" si="31"/>
        <v>14.7 - [Name of sub-vote]</v>
      </c>
      <c r="E152" s="916" t="s">
        <v>2103</v>
      </c>
      <c r="F152" s="910" t="str">
        <f t="shared" si="29"/>
        <v/>
      </c>
      <c r="H152" s="910">
        <v>147</v>
      </c>
    </row>
    <row r="153" spans="2:9" x14ac:dyDescent="0.2">
      <c r="B153" s="914">
        <v>14.8</v>
      </c>
      <c r="C153" s="915" t="str">
        <f t="shared" si="30"/>
        <v>[Name of sub-vote]</v>
      </c>
      <c r="D153" s="910" t="str">
        <f t="shared" si="31"/>
        <v>14.8 - [Name of sub-vote]</v>
      </c>
      <c r="E153" s="916" t="s">
        <v>2104</v>
      </c>
      <c r="F153" s="910" t="str">
        <f t="shared" si="29"/>
        <v/>
      </c>
      <c r="H153" s="910">
        <v>148</v>
      </c>
    </row>
    <row r="154" spans="2:9" x14ac:dyDescent="0.2">
      <c r="B154" s="914">
        <v>14.9</v>
      </c>
      <c r="C154" s="915" t="str">
        <f t="shared" si="30"/>
        <v>[Name of sub-vote]</v>
      </c>
      <c r="D154" s="910" t="str">
        <f t="shared" si="31"/>
        <v>14.9 - [Name of sub-vote]</v>
      </c>
      <c r="E154" s="916" t="s">
        <v>2106</v>
      </c>
      <c r="F154" s="910" t="str">
        <f t="shared" si="29"/>
        <v/>
      </c>
      <c r="H154" s="910">
        <v>149</v>
      </c>
    </row>
    <row r="155" spans="2:9" x14ac:dyDescent="0.2">
      <c r="B155" s="914" t="s">
        <v>1327</v>
      </c>
      <c r="C155" s="915" t="str">
        <f t="shared" si="30"/>
        <v>[Name of sub-vote]</v>
      </c>
      <c r="D155" s="910" t="str">
        <f t="shared" si="31"/>
        <v>14.10 - [Name of sub-vote]</v>
      </c>
      <c r="E155" s="916" t="s">
        <v>2105</v>
      </c>
      <c r="F155" s="910" t="str">
        <f t="shared" si="29"/>
        <v/>
      </c>
      <c r="H155" s="910">
        <v>1410</v>
      </c>
    </row>
    <row r="156" spans="2:9" x14ac:dyDescent="0.2">
      <c r="B156" s="917" t="s">
        <v>690</v>
      </c>
      <c r="C156" s="912" t="str">
        <f>IFERROR(VLOOKUP($I156,MainVote,3,0),"[NAME OF VOTE "&amp;I156&amp;"]")</f>
        <v>Health</v>
      </c>
      <c r="E156" s="916"/>
      <c r="I156" s="910">
        <v>15</v>
      </c>
    </row>
    <row r="157" spans="2:9" x14ac:dyDescent="0.2">
      <c r="B157" s="914">
        <v>15.1</v>
      </c>
      <c r="C157" s="915" t="str">
        <f t="shared" ref="C157:C166" si="32">IFERROR(VLOOKUP($H157,SubVote,3,0),"[Name of sub-vote]")</f>
        <v>Health Services</v>
      </c>
      <c r="D157" s="910" t="str">
        <f t="shared" ref="D157:D166" si="33">CONCATENATE(B157, " - ", C157)</f>
        <v>15.1 - Health Services</v>
      </c>
      <c r="E157" s="916" t="s">
        <v>1328</v>
      </c>
      <c r="F157" s="910" t="str">
        <f t="shared" si="29"/>
        <v>15.1 - Health Services</v>
      </c>
      <c r="H157" s="910">
        <v>151</v>
      </c>
    </row>
    <row r="158" spans="2:9" x14ac:dyDescent="0.2">
      <c r="B158" s="914">
        <v>15.2</v>
      </c>
      <c r="C158" s="915" t="str">
        <f t="shared" si="32"/>
        <v>[Name of sub-vote]</v>
      </c>
      <c r="D158" s="910" t="str">
        <f t="shared" si="33"/>
        <v>15.2 - [Name of sub-vote]</v>
      </c>
      <c r="E158" s="916" t="s">
        <v>2109</v>
      </c>
      <c r="F158" s="910" t="str">
        <f t="shared" si="29"/>
        <v/>
      </c>
      <c r="H158" s="910">
        <v>152</v>
      </c>
    </row>
    <row r="159" spans="2:9" x14ac:dyDescent="0.2">
      <c r="B159" s="914">
        <v>15.3</v>
      </c>
      <c r="C159" s="915" t="str">
        <f t="shared" si="32"/>
        <v>[Name of sub-vote]</v>
      </c>
      <c r="D159" s="910" t="str">
        <f t="shared" si="33"/>
        <v>15.3 - [Name of sub-vote]</v>
      </c>
      <c r="E159" s="916" t="s">
        <v>2107</v>
      </c>
      <c r="F159" s="910" t="str">
        <f t="shared" si="29"/>
        <v/>
      </c>
      <c r="H159" s="910">
        <v>153</v>
      </c>
    </row>
    <row r="160" spans="2:9" x14ac:dyDescent="0.2">
      <c r="B160" s="914">
        <v>15.4</v>
      </c>
      <c r="C160" s="915" t="str">
        <f t="shared" si="32"/>
        <v>[Name of sub-vote]</v>
      </c>
      <c r="D160" s="910" t="str">
        <f t="shared" si="33"/>
        <v>15.4 - [Name of sub-vote]</v>
      </c>
      <c r="E160" s="916" t="s">
        <v>2108</v>
      </c>
      <c r="F160" s="910" t="str">
        <f t="shared" si="29"/>
        <v/>
      </c>
      <c r="H160" s="910">
        <v>154</v>
      </c>
    </row>
    <row r="161" spans="2:8" x14ac:dyDescent="0.2">
      <c r="B161" s="914">
        <v>15.5</v>
      </c>
      <c r="C161" s="915" t="str">
        <f t="shared" si="32"/>
        <v>[Name of sub-vote]</v>
      </c>
      <c r="D161" s="910" t="str">
        <f t="shared" si="33"/>
        <v>15.5 - [Name of sub-vote]</v>
      </c>
      <c r="E161" s="916" t="s">
        <v>2110</v>
      </c>
      <c r="F161" s="910" t="str">
        <f t="shared" si="29"/>
        <v/>
      </c>
      <c r="H161" s="910">
        <v>155</v>
      </c>
    </row>
    <row r="162" spans="2:8" x14ac:dyDescent="0.2">
      <c r="B162" s="914">
        <v>15.6</v>
      </c>
      <c r="C162" s="915" t="str">
        <f t="shared" si="32"/>
        <v>[Name of sub-vote]</v>
      </c>
      <c r="D162" s="910" t="str">
        <f t="shared" si="33"/>
        <v>15.6 - [Name of sub-vote]</v>
      </c>
      <c r="E162" s="916" t="s">
        <v>2111</v>
      </c>
      <c r="F162" s="910" t="str">
        <f t="shared" si="29"/>
        <v/>
      </c>
      <c r="H162" s="910">
        <v>156</v>
      </c>
    </row>
    <row r="163" spans="2:8" x14ac:dyDescent="0.2">
      <c r="B163" s="914">
        <v>15.7</v>
      </c>
      <c r="C163" s="915" t="str">
        <f t="shared" si="32"/>
        <v>[Name of sub-vote]</v>
      </c>
      <c r="D163" s="910" t="str">
        <f t="shared" si="33"/>
        <v>15.7 - [Name of sub-vote]</v>
      </c>
      <c r="E163" s="916" t="s">
        <v>2112</v>
      </c>
      <c r="F163" s="910" t="str">
        <f t="shared" si="29"/>
        <v/>
      </c>
      <c r="H163" s="910">
        <v>157</v>
      </c>
    </row>
    <row r="164" spans="2:8" x14ac:dyDescent="0.2">
      <c r="B164" s="914">
        <v>15.8</v>
      </c>
      <c r="C164" s="915" t="str">
        <f t="shared" si="32"/>
        <v>[Name of sub-vote]</v>
      </c>
      <c r="D164" s="910" t="str">
        <f t="shared" si="33"/>
        <v>15.8 - [Name of sub-vote]</v>
      </c>
      <c r="E164" s="916" t="s">
        <v>2113</v>
      </c>
      <c r="F164" s="910" t="str">
        <f t="shared" si="29"/>
        <v/>
      </c>
      <c r="H164" s="910">
        <v>158</v>
      </c>
    </row>
    <row r="165" spans="2:8" x14ac:dyDescent="0.2">
      <c r="B165" s="914">
        <v>15.9</v>
      </c>
      <c r="C165" s="915" t="str">
        <f t="shared" si="32"/>
        <v>[Name of sub-vote]</v>
      </c>
      <c r="D165" s="910" t="str">
        <f t="shared" si="33"/>
        <v>15.9 - [Name of sub-vote]</v>
      </c>
      <c r="E165" s="916" t="s">
        <v>2114</v>
      </c>
      <c r="F165" s="910" t="str">
        <f t="shared" si="29"/>
        <v/>
      </c>
      <c r="H165" s="910">
        <v>159</v>
      </c>
    </row>
    <row r="166" spans="2:8" x14ac:dyDescent="0.2">
      <c r="B166" s="914" t="s">
        <v>1329</v>
      </c>
      <c r="C166" s="915" t="str">
        <f t="shared" si="32"/>
        <v>[Name of sub-vote]</v>
      </c>
      <c r="D166" s="910" t="str">
        <f t="shared" si="33"/>
        <v>15.10 - [Name of sub-vote]</v>
      </c>
      <c r="E166" s="916" t="s">
        <v>2115</v>
      </c>
      <c r="F166" s="910" t="str">
        <f t="shared" si="29"/>
        <v/>
      </c>
      <c r="H166" s="910">
        <v>1510</v>
      </c>
    </row>
  </sheetData>
  <autoFilter ref="G1:I1" xr:uid="{F02440CC-93C7-4127-B0E7-C1073D469AC0}"/>
  <dataValidations count="15">
    <dataValidation type="list" allowBlank="1" showInputMessage="1" showErrorMessage="1" sqref="E157:E166" xr:uid="{00000000-0002-0000-0500-000000000000}">
      <formula1>Vote15</formula1>
    </dataValidation>
    <dataValidation type="list" allowBlank="1" showInputMessage="1" showErrorMessage="1" sqref="E146:E155" xr:uid="{00000000-0002-0000-0500-000001000000}">
      <formula1>Vote14</formula1>
    </dataValidation>
    <dataValidation type="list" allowBlank="1" showInputMessage="1" showErrorMessage="1" sqref="E135:E144" xr:uid="{00000000-0002-0000-0500-000002000000}">
      <formula1>Vote13</formula1>
    </dataValidation>
    <dataValidation type="list" allowBlank="1" showInputMessage="1" showErrorMessage="1" sqref="E124:E133" xr:uid="{00000000-0002-0000-0500-000003000000}">
      <formula1>Vote12</formula1>
    </dataValidation>
    <dataValidation type="list" allowBlank="1" showInputMessage="1" showErrorMessage="1" sqref="E113:E122" xr:uid="{00000000-0002-0000-0500-000004000000}">
      <formula1>Vote11</formula1>
    </dataValidation>
    <dataValidation type="list" allowBlank="1" showInputMessage="1" showErrorMessage="1" sqref="E102:E111" xr:uid="{00000000-0002-0000-0500-000005000000}">
      <formula1>Vote10</formula1>
    </dataValidation>
    <dataValidation type="list" allowBlank="1" showInputMessage="1" showErrorMessage="1" sqref="E91:E100" xr:uid="{00000000-0002-0000-0500-000006000000}">
      <formula1>Vote9</formula1>
    </dataValidation>
    <dataValidation type="list" allowBlank="1" showInputMessage="1" showErrorMessage="1" sqref="E80:E89" xr:uid="{00000000-0002-0000-0500-000007000000}">
      <formula1>Vote8</formula1>
    </dataValidation>
    <dataValidation type="list" allowBlank="1" showInputMessage="1" showErrorMessage="1" sqref="E69:E78" xr:uid="{00000000-0002-0000-0500-000008000000}">
      <formula1>Vote7</formula1>
    </dataValidation>
    <dataValidation type="list" allowBlank="1" showInputMessage="1" showErrorMessage="1" sqref="E58:E67" xr:uid="{00000000-0002-0000-0500-000009000000}">
      <formula1>Vote6</formula1>
    </dataValidation>
    <dataValidation type="list" allowBlank="1" showInputMessage="1" showErrorMessage="1" sqref="E47:E56" xr:uid="{00000000-0002-0000-0500-00000A000000}">
      <formula1>Vote5</formula1>
    </dataValidation>
    <dataValidation type="list" allowBlank="1" showInputMessage="1" showErrorMessage="1" sqref="E36:E45" xr:uid="{00000000-0002-0000-0500-00000B000000}">
      <formula1>Vote4</formula1>
    </dataValidation>
    <dataValidation type="list" allowBlank="1" showInputMessage="1" showErrorMessage="1" sqref="E25:E34" xr:uid="{00000000-0002-0000-0500-00000C000000}">
      <formula1>Vote3</formula1>
    </dataValidation>
    <dataValidation type="list" allowBlank="1" showInputMessage="1" showErrorMessage="1" sqref="E14:E23" xr:uid="{00000000-0002-0000-0500-00000D000000}">
      <formula1>Vote2</formula1>
    </dataValidation>
    <dataValidation type="list" allowBlank="1" showInputMessage="1" showErrorMessage="1" sqref="E3:E12" xr:uid="{00000000-0002-0000-0500-00000E000000}">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indexed="44"/>
  </sheetPr>
  <dimension ref="A1:Y1584"/>
  <sheetViews>
    <sheetView showGridLines="0" zoomScaleNormal="100" workbookViewId="0">
      <selection activeCell="B24" sqref="B24"/>
    </sheetView>
  </sheetViews>
  <sheetFormatPr defaultColWidth="9.140625" defaultRowHeight="12.75" x14ac:dyDescent="0.2"/>
  <cols>
    <col min="1" max="1" width="20.5703125" style="923" customWidth="1"/>
    <col min="2" max="2" width="40.5703125" style="923" customWidth="1"/>
    <col min="3" max="3" width="20.5703125" style="923" customWidth="1"/>
    <col min="4" max="4" width="40.5703125" style="923" customWidth="1"/>
    <col min="5" max="5" width="8.85546875" style="923" customWidth="1"/>
    <col min="6" max="10" width="8.5703125" style="252" customWidth="1"/>
    <col min="11" max="15" width="12.85546875" style="252" customWidth="1"/>
    <col min="16" max="17" width="30.5703125" style="252" customWidth="1"/>
    <col min="18" max="16384" width="9.140625" style="924"/>
  </cols>
  <sheetData>
    <row r="1" spans="1:17" ht="13.5" customHeight="1" x14ac:dyDescent="0.3">
      <c r="A1" s="879" t="str">
        <f>'Template names'!$B$63&amp;" - "&amp;" Contact Information"</f>
        <v>KZN226 Mkhambathini -  Contact Information</v>
      </c>
      <c r="B1" s="922"/>
    </row>
    <row r="2" spans="1:17" ht="13.5" customHeight="1" x14ac:dyDescent="0.2">
      <c r="A2" s="925"/>
      <c r="B2" s="926"/>
      <c r="C2" s="925"/>
      <c r="D2" s="925"/>
    </row>
    <row r="3" spans="1:17" ht="13.5" customHeight="1" thickBot="1" x14ac:dyDescent="0.3">
      <c r="A3" s="927" t="s">
        <v>1225</v>
      </c>
      <c r="B3" s="928"/>
      <c r="C3" s="925"/>
      <c r="D3" s="925"/>
    </row>
    <row r="4" spans="1:17" ht="13.5" customHeight="1" thickTop="1" x14ac:dyDescent="0.2">
      <c r="A4" s="929" t="s">
        <v>1226</v>
      </c>
      <c r="B4" s="930" t="str">
        <f>'Template names'!$B$63</f>
        <v>KZN226 Mkhambathini</v>
      </c>
      <c r="C4" s="931" t="s">
        <v>776</v>
      </c>
      <c r="D4" s="932"/>
      <c r="F4" s="933"/>
      <c r="G4" s="933"/>
      <c r="H4" s="933"/>
      <c r="I4" s="934"/>
      <c r="J4" s="933"/>
      <c r="K4" s="935"/>
      <c r="L4" s="935"/>
      <c r="M4" s="935"/>
      <c r="N4" s="935"/>
      <c r="O4" s="935"/>
      <c r="P4" s="936"/>
      <c r="Q4" s="937"/>
    </row>
    <row r="5" spans="1:17" ht="13.5" customHeight="1" x14ac:dyDescent="0.2">
      <c r="A5" s="938"/>
      <c r="B5" s="939"/>
      <c r="C5" s="932"/>
      <c r="D5" s="932"/>
      <c r="F5" s="933"/>
      <c r="G5" s="933"/>
      <c r="H5" s="933"/>
      <c r="I5" s="934"/>
      <c r="J5" s="933"/>
      <c r="K5" s="935"/>
      <c r="L5" s="935"/>
      <c r="M5" s="935"/>
      <c r="N5" s="935"/>
      <c r="O5" s="935"/>
      <c r="P5" s="936"/>
      <c r="Q5" s="940"/>
    </row>
    <row r="6" spans="1:17" s="946" customFormat="1" ht="13.5" customHeight="1" x14ac:dyDescent="0.25">
      <c r="A6" s="941" t="s">
        <v>1227</v>
      </c>
      <c r="B6" s="942"/>
      <c r="C6" s="943" t="s">
        <v>1228</v>
      </c>
      <c r="D6" s="944"/>
      <c r="E6" s="945"/>
      <c r="F6" s="933"/>
      <c r="G6" s="933"/>
      <c r="H6" s="934"/>
      <c r="I6" s="934"/>
      <c r="J6" s="933"/>
      <c r="K6" s="935"/>
      <c r="L6" s="935"/>
      <c r="M6" s="935"/>
      <c r="N6" s="935"/>
      <c r="O6" s="935"/>
      <c r="P6" s="936"/>
      <c r="Q6" s="937"/>
    </row>
    <row r="7" spans="1:17" s="946" customFormat="1" ht="13.5" customHeight="1" x14ac:dyDescent="0.2">
      <c r="A7" s="947"/>
      <c r="B7" s="948"/>
      <c r="C7" s="944"/>
      <c r="D7" s="944"/>
      <c r="E7" s="945"/>
      <c r="F7" s="933"/>
      <c r="G7" s="933"/>
      <c r="H7" s="934"/>
      <c r="I7" s="934"/>
      <c r="J7" s="933"/>
      <c r="K7" s="935"/>
      <c r="L7" s="935"/>
      <c r="M7" s="935"/>
      <c r="N7" s="935"/>
      <c r="O7" s="935"/>
      <c r="P7" s="936"/>
      <c r="Q7" s="937"/>
    </row>
    <row r="8" spans="1:17" s="946" customFormat="1" ht="13.5" customHeight="1" x14ac:dyDescent="0.2">
      <c r="A8" s="949" t="s">
        <v>1229</v>
      </c>
      <c r="B8" s="950" t="str">
        <f>IF(B4&gt;" ",VLOOKUP(B4,'Lookup and lists'!B29:C312,2, FALSE)," ")</f>
        <v>KZN KWAZULU-NATAL</v>
      </c>
      <c r="C8" s="1400"/>
      <c r="D8" s="1400"/>
      <c r="E8" s="945"/>
      <c r="F8" s="933"/>
      <c r="G8" s="933"/>
      <c r="H8" s="934"/>
      <c r="I8" s="934"/>
      <c r="J8" s="933"/>
      <c r="K8" s="935"/>
      <c r="L8" s="935"/>
      <c r="M8" s="935"/>
      <c r="N8" s="935"/>
      <c r="O8" s="935"/>
      <c r="P8" s="936"/>
      <c r="Q8" s="937"/>
    </row>
    <row r="9" spans="1:17" s="946" customFormat="1" ht="13.5" customHeight="1" x14ac:dyDescent="0.2">
      <c r="A9" s="952"/>
      <c r="B9" s="953"/>
      <c r="C9" s="951"/>
      <c r="D9" s="951"/>
      <c r="E9" s="945"/>
      <c r="F9" s="933"/>
      <c r="G9" s="933"/>
      <c r="H9" s="934"/>
      <c r="I9" s="934"/>
      <c r="J9" s="933"/>
      <c r="K9" s="935"/>
      <c r="L9" s="935"/>
      <c r="M9" s="935"/>
      <c r="N9" s="935"/>
      <c r="O9" s="935"/>
      <c r="P9" s="936"/>
      <c r="Q9" s="937"/>
    </row>
    <row r="10" spans="1:17" ht="13.5" customHeight="1" x14ac:dyDescent="0.2">
      <c r="A10" s="954" t="s">
        <v>1230</v>
      </c>
      <c r="B10" s="1365" t="s">
        <v>5420</v>
      </c>
      <c r="C10" s="955"/>
      <c r="D10" s="956"/>
      <c r="F10" s="934"/>
      <c r="G10" s="933"/>
      <c r="H10" s="934"/>
      <c r="I10" s="934"/>
      <c r="J10" s="933"/>
      <c r="K10" s="935"/>
      <c r="L10" s="935"/>
      <c r="M10" s="935"/>
      <c r="N10" s="935"/>
      <c r="O10" s="935"/>
      <c r="P10" s="936"/>
      <c r="Q10" s="937"/>
    </row>
    <row r="11" spans="1:17" ht="13.5" customHeight="1" x14ac:dyDescent="0.2">
      <c r="A11" s="957"/>
      <c r="B11" s="958"/>
      <c r="C11" s="1401"/>
      <c r="D11" s="1402"/>
      <c r="F11" s="934"/>
      <c r="G11" s="933"/>
      <c r="H11" s="934"/>
      <c r="I11" s="934"/>
      <c r="J11" s="933"/>
      <c r="K11" s="935"/>
      <c r="L11" s="935"/>
      <c r="M11" s="935"/>
      <c r="N11" s="935"/>
      <c r="O11" s="935"/>
      <c r="P11" s="936"/>
      <c r="Q11" s="940"/>
    </row>
    <row r="12" spans="1:17" ht="13.5" customHeight="1" x14ac:dyDescent="0.2">
      <c r="A12" s="954" t="s">
        <v>1231</v>
      </c>
      <c r="B12" s="1381" t="s">
        <v>5421</v>
      </c>
      <c r="C12" s="959"/>
      <c r="D12" s="959"/>
      <c r="F12" s="934"/>
      <c r="G12" s="934"/>
      <c r="H12" s="934"/>
      <c r="I12" s="934"/>
      <c r="J12" s="933"/>
      <c r="K12" s="935"/>
      <c r="L12" s="935"/>
      <c r="M12" s="935"/>
      <c r="N12" s="935"/>
      <c r="O12" s="935"/>
      <c r="P12" s="936"/>
      <c r="Q12" s="937"/>
    </row>
    <row r="13" spans="1:17" ht="13.5" customHeight="1" x14ac:dyDescent="0.2">
      <c r="A13" s="960"/>
      <c r="B13" s="961"/>
      <c r="C13" s="1403"/>
      <c r="D13" s="1403"/>
      <c r="F13" s="934"/>
      <c r="G13" s="934"/>
      <c r="H13" s="934"/>
      <c r="I13" s="962"/>
      <c r="J13" s="934"/>
      <c r="K13" s="935"/>
      <c r="L13" s="935"/>
      <c r="M13" s="935"/>
      <c r="N13" s="935"/>
      <c r="O13" s="935"/>
      <c r="P13" s="936"/>
    </row>
    <row r="14" spans="1:17" ht="13.5" customHeight="1" thickBot="1" x14ac:dyDescent="0.25">
      <c r="A14" s="1404" t="s">
        <v>1232</v>
      </c>
      <c r="B14" s="1405"/>
      <c r="C14" s="945"/>
      <c r="D14" s="945"/>
      <c r="F14" s="934"/>
      <c r="G14" s="934"/>
      <c r="H14" s="962"/>
      <c r="I14" s="963"/>
      <c r="J14" s="934"/>
      <c r="K14" s="935"/>
      <c r="L14" s="935"/>
      <c r="M14" s="935"/>
      <c r="N14" s="935"/>
      <c r="O14" s="935"/>
      <c r="P14" s="936"/>
    </row>
    <row r="15" spans="1:17" ht="13.5" customHeight="1" thickTop="1" thickBot="1" x14ac:dyDescent="0.25">
      <c r="A15" s="964" t="s">
        <v>1233</v>
      </c>
      <c r="B15" s="965"/>
      <c r="F15" s="962"/>
      <c r="G15" s="934"/>
      <c r="H15" s="963"/>
      <c r="I15" s="963"/>
      <c r="J15" s="934"/>
      <c r="K15" s="935"/>
      <c r="L15" s="935"/>
      <c r="M15" s="935"/>
      <c r="N15" s="935"/>
      <c r="O15" s="935"/>
      <c r="P15" s="936"/>
    </row>
    <row r="16" spans="1:17" s="946" customFormat="1" ht="13.5" customHeight="1" thickTop="1" x14ac:dyDescent="0.2">
      <c r="A16" s="966" t="s">
        <v>1234</v>
      </c>
      <c r="B16" s="1382"/>
      <c r="C16" s="923"/>
      <c r="D16" s="923"/>
      <c r="E16" s="945"/>
      <c r="F16" s="963"/>
      <c r="G16" s="962"/>
      <c r="H16" s="963"/>
      <c r="I16" s="963"/>
      <c r="J16" s="934"/>
      <c r="K16" s="935"/>
      <c r="L16" s="935"/>
      <c r="M16" s="935"/>
      <c r="N16" s="935"/>
      <c r="O16" s="935"/>
      <c r="P16" s="936"/>
      <c r="Q16" s="252"/>
    </row>
    <row r="17" spans="1:17" ht="13.5" customHeight="1" x14ac:dyDescent="0.2">
      <c r="A17" s="966" t="s">
        <v>1235</v>
      </c>
      <c r="B17" s="967" t="s">
        <v>5422</v>
      </c>
      <c r="F17" s="963"/>
      <c r="G17" s="963"/>
      <c r="H17" s="963"/>
      <c r="I17" s="963"/>
      <c r="J17" s="962"/>
      <c r="K17" s="935"/>
      <c r="L17" s="935"/>
      <c r="M17" s="935"/>
      <c r="N17" s="935"/>
      <c r="O17" s="935"/>
      <c r="P17" s="936"/>
    </row>
    <row r="18" spans="1:17" ht="13.5" customHeight="1" x14ac:dyDescent="0.2">
      <c r="A18" s="968" t="s">
        <v>1236</v>
      </c>
      <c r="B18" s="967" t="s">
        <v>5423</v>
      </c>
      <c r="F18" s="963"/>
      <c r="G18" s="963"/>
      <c r="H18" s="963"/>
      <c r="I18" s="963"/>
      <c r="J18" s="963"/>
      <c r="K18" s="935"/>
      <c r="L18" s="935"/>
      <c r="M18" s="935"/>
      <c r="N18" s="935"/>
      <c r="O18" s="935"/>
      <c r="P18" s="936"/>
    </row>
    <row r="19" spans="1:17" ht="13.5" customHeight="1" x14ac:dyDescent="0.2">
      <c r="A19" s="970"/>
      <c r="B19" s="969">
        <v>3720</v>
      </c>
      <c r="F19" s="963"/>
      <c r="G19" s="963"/>
      <c r="H19" s="963"/>
      <c r="I19" s="963"/>
      <c r="J19" s="963"/>
      <c r="K19" s="935"/>
      <c r="L19" s="935"/>
      <c r="M19" s="935"/>
      <c r="N19" s="935"/>
      <c r="O19" s="935"/>
      <c r="P19" s="936"/>
    </row>
    <row r="20" spans="1:17" ht="13.5" customHeight="1" x14ac:dyDescent="0.2">
      <c r="A20" s="971" t="s">
        <v>1237</v>
      </c>
      <c r="B20" s="1383"/>
      <c r="F20" s="963"/>
      <c r="G20" s="963"/>
      <c r="H20" s="963"/>
      <c r="I20" s="963"/>
      <c r="J20" s="963"/>
      <c r="K20" s="935"/>
      <c r="L20" s="935"/>
      <c r="M20" s="935"/>
      <c r="N20" s="935"/>
      <c r="O20" s="935"/>
      <c r="P20" s="936"/>
    </row>
    <row r="21" spans="1:17" ht="13.5" customHeight="1" x14ac:dyDescent="0.2">
      <c r="A21" s="966" t="s">
        <v>1238</v>
      </c>
      <c r="B21" s="1384"/>
      <c r="F21" s="963"/>
      <c r="G21" s="963"/>
      <c r="H21" s="963"/>
      <c r="I21" s="963"/>
      <c r="J21" s="963"/>
      <c r="K21" s="935"/>
      <c r="L21" s="935"/>
      <c r="M21" s="935"/>
      <c r="N21" s="935"/>
      <c r="O21" s="935"/>
      <c r="P21" s="936"/>
    </row>
    <row r="22" spans="1:17" ht="13.5" customHeight="1" x14ac:dyDescent="0.2">
      <c r="A22" s="966" t="s">
        <v>1239</v>
      </c>
      <c r="B22" s="967" t="s">
        <v>5424</v>
      </c>
      <c r="F22" s="963"/>
      <c r="G22" s="963"/>
      <c r="H22" s="963"/>
      <c r="I22" s="963"/>
      <c r="J22" s="963"/>
      <c r="K22" s="935"/>
      <c r="L22" s="935"/>
      <c r="M22" s="935"/>
      <c r="N22" s="935"/>
      <c r="O22" s="935"/>
      <c r="P22" s="936"/>
    </row>
    <row r="23" spans="1:17" ht="13.5" customHeight="1" x14ac:dyDescent="0.2">
      <c r="A23" s="966" t="s">
        <v>1235</v>
      </c>
      <c r="B23" s="967" t="s">
        <v>5423</v>
      </c>
      <c r="F23" s="963"/>
      <c r="G23" s="963"/>
      <c r="H23" s="963"/>
      <c r="I23" s="963"/>
      <c r="J23" s="963"/>
      <c r="K23" s="935"/>
      <c r="L23" s="935"/>
      <c r="M23" s="935"/>
      <c r="N23" s="935"/>
      <c r="O23" s="935"/>
      <c r="P23" s="936"/>
    </row>
    <row r="24" spans="1:17" ht="13.5" customHeight="1" x14ac:dyDescent="0.2">
      <c r="A24" s="968" t="s">
        <v>1236</v>
      </c>
      <c r="B24" s="967" t="s">
        <v>5423</v>
      </c>
      <c r="F24" s="963"/>
      <c r="G24" s="963"/>
      <c r="H24" s="963"/>
      <c r="I24" s="963"/>
      <c r="J24" s="963"/>
      <c r="K24" s="935"/>
      <c r="L24" s="935"/>
      <c r="M24" s="935"/>
      <c r="N24" s="935"/>
      <c r="O24" s="935"/>
      <c r="P24" s="936"/>
    </row>
    <row r="25" spans="1:17" ht="13.5" customHeight="1" x14ac:dyDescent="0.2">
      <c r="A25" s="970"/>
      <c r="B25" s="969">
        <v>3720</v>
      </c>
      <c r="F25" s="963"/>
      <c r="G25" s="963"/>
      <c r="H25" s="963"/>
      <c r="I25" s="963"/>
      <c r="J25" s="963"/>
      <c r="K25" s="935"/>
      <c r="L25" s="935"/>
      <c r="M25" s="935"/>
      <c r="N25" s="935"/>
      <c r="O25" s="935"/>
      <c r="P25" s="936"/>
    </row>
    <row r="26" spans="1:17" ht="13.5" customHeight="1" x14ac:dyDescent="0.2">
      <c r="A26" s="971" t="s">
        <v>1240</v>
      </c>
      <c r="B26" s="1383"/>
      <c r="F26" s="963"/>
      <c r="G26" s="963"/>
      <c r="H26" s="963"/>
      <c r="I26" s="963"/>
      <c r="J26" s="963"/>
      <c r="K26" s="935"/>
      <c r="L26" s="935"/>
      <c r="M26" s="935"/>
      <c r="N26" s="935"/>
      <c r="O26" s="935"/>
      <c r="P26" s="936"/>
    </row>
    <row r="27" spans="1:17" ht="13.5" customHeight="1" x14ac:dyDescent="0.2">
      <c r="A27" s="966" t="s">
        <v>1241</v>
      </c>
      <c r="B27" s="1384"/>
      <c r="F27" s="963"/>
      <c r="G27" s="963"/>
      <c r="H27" s="963"/>
      <c r="I27" s="963"/>
      <c r="J27" s="963"/>
      <c r="K27" s="935"/>
      <c r="L27" s="935"/>
      <c r="M27" s="935"/>
      <c r="N27" s="935"/>
      <c r="O27" s="935"/>
      <c r="P27" s="936"/>
    </row>
    <row r="28" spans="1:17" ht="13.5" customHeight="1" x14ac:dyDescent="0.2">
      <c r="A28" s="968" t="s">
        <v>1242</v>
      </c>
      <c r="B28" s="967">
        <v>317859300</v>
      </c>
      <c r="J28" s="963"/>
      <c r="K28" s="963"/>
      <c r="L28" s="963"/>
      <c r="M28" s="963"/>
      <c r="N28" s="963"/>
      <c r="O28" s="963"/>
      <c r="P28" s="936"/>
    </row>
    <row r="29" spans="1:17" ht="13.5" customHeight="1" x14ac:dyDescent="0.2">
      <c r="A29" s="970"/>
      <c r="B29" s="972">
        <v>317852121</v>
      </c>
      <c r="P29" s="936"/>
    </row>
    <row r="30" spans="1:17" s="1175" customFormat="1" ht="13.5" customHeight="1" thickBot="1" x14ac:dyDescent="0.25">
      <c r="A30" s="1406" t="s">
        <v>1243</v>
      </c>
      <c r="B30" s="1407"/>
      <c r="C30" s="1408"/>
      <c r="D30" s="1409"/>
      <c r="E30" s="1177"/>
      <c r="F30" s="1178"/>
      <c r="G30" s="1178"/>
      <c r="H30" s="1178"/>
      <c r="I30" s="696"/>
      <c r="J30" s="696"/>
      <c r="K30" s="696"/>
      <c r="L30" s="696"/>
      <c r="M30" s="696"/>
      <c r="N30" s="696"/>
      <c r="O30" s="696"/>
      <c r="P30" s="1179"/>
      <c r="Q30" s="1178"/>
    </row>
    <row r="31" spans="1:17" s="1175" customFormat="1" ht="13.5" customHeight="1" thickTop="1" x14ac:dyDescent="0.2">
      <c r="A31" s="1180" t="s">
        <v>1244</v>
      </c>
      <c r="B31" s="1181"/>
      <c r="C31" s="1396" t="s">
        <v>1245</v>
      </c>
      <c r="D31" s="1397"/>
      <c r="E31" s="1177"/>
      <c r="F31" s="1178"/>
      <c r="G31" s="1178"/>
      <c r="H31" s="1178"/>
      <c r="I31" s="696"/>
      <c r="J31" s="696"/>
      <c r="K31" s="696"/>
      <c r="L31" s="696"/>
      <c r="M31" s="696"/>
      <c r="N31" s="696"/>
      <c r="O31" s="696"/>
      <c r="P31" s="1179"/>
      <c r="Q31" s="1178"/>
    </row>
    <row r="32" spans="1:17" s="1175" customFormat="1" ht="13.5" customHeight="1" x14ac:dyDescent="0.2">
      <c r="A32" s="1182" t="s">
        <v>1472</v>
      </c>
      <c r="B32" s="1183" t="s">
        <v>5425</v>
      </c>
      <c r="C32" s="1182" t="s">
        <v>1472</v>
      </c>
      <c r="D32" s="1183" t="s">
        <v>5432</v>
      </c>
      <c r="E32" s="1177"/>
      <c r="F32" s="1178"/>
      <c r="G32" s="1178"/>
      <c r="H32" s="1178"/>
      <c r="I32" s="696"/>
      <c r="J32" s="696"/>
      <c r="K32" s="696"/>
      <c r="L32" s="696"/>
      <c r="M32" s="696"/>
      <c r="N32" s="696"/>
      <c r="O32" s="696"/>
      <c r="P32" s="1179"/>
      <c r="Q32" s="696"/>
    </row>
    <row r="33" spans="1:17" s="1175" customFormat="1" ht="13.5" customHeight="1" x14ac:dyDescent="0.2">
      <c r="A33" s="1182" t="s">
        <v>1473</v>
      </c>
      <c r="B33" s="1183" t="s">
        <v>5426</v>
      </c>
      <c r="C33" s="1182" t="s">
        <v>1473</v>
      </c>
      <c r="D33" s="1183" t="s">
        <v>5433</v>
      </c>
      <c r="E33" s="1177"/>
      <c r="F33" s="1178"/>
      <c r="G33" s="1178"/>
      <c r="H33" s="1178"/>
      <c r="I33" s="696"/>
      <c r="J33" s="696"/>
      <c r="K33" s="696"/>
      <c r="L33" s="696"/>
      <c r="M33" s="696"/>
      <c r="N33" s="696"/>
      <c r="O33" s="696"/>
      <c r="P33" s="1179"/>
      <c r="Q33" s="696"/>
    </row>
    <row r="34" spans="1:17" s="1175" customFormat="1" ht="13.5" customHeight="1" x14ac:dyDescent="0.2">
      <c r="A34" s="1182" t="s">
        <v>1246</v>
      </c>
      <c r="B34" s="1183" t="s">
        <v>5427</v>
      </c>
      <c r="C34" s="1182" t="s">
        <v>1246</v>
      </c>
      <c r="D34" s="1183" t="s">
        <v>5434</v>
      </c>
      <c r="E34" s="1177"/>
      <c r="F34" s="1178"/>
      <c r="G34" s="1178"/>
      <c r="H34" s="1178"/>
      <c r="I34" s="696"/>
      <c r="J34" s="696"/>
      <c r="K34" s="696"/>
      <c r="L34" s="696"/>
      <c r="M34" s="696"/>
      <c r="N34" s="696"/>
      <c r="O34" s="696"/>
      <c r="P34" s="1179"/>
      <c r="Q34" s="696"/>
    </row>
    <row r="35" spans="1:17" s="1175" customFormat="1" ht="13.5" customHeight="1" x14ac:dyDescent="0.2">
      <c r="A35" s="1182" t="s">
        <v>1241</v>
      </c>
      <c r="B35" s="1183" t="s">
        <v>5428</v>
      </c>
      <c r="C35" s="1182" t="s">
        <v>1241</v>
      </c>
      <c r="D35" s="1183" t="s">
        <v>5435</v>
      </c>
      <c r="E35" s="1177"/>
      <c r="F35" s="1184"/>
      <c r="G35" s="1185"/>
      <c r="H35" s="1178"/>
      <c r="I35" s="696"/>
      <c r="J35" s="696"/>
      <c r="K35" s="696"/>
      <c r="L35" s="696"/>
      <c r="M35" s="696"/>
      <c r="N35" s="696"/>
      <c r="O35" s="696"/>
      <c r="P35" s="1179"/>
      <c r="Q35" s="696"/>
    </row>
    <row r="36" spans="1:17" s="1175" customFormat="1" ht="13.5" customHeight="1" x14ac:dyDescent="0.2">
      <c r="A36" s="1182" t="s">
        <v>1247</v>
      </c>
      <c r="B36" s="1183" t="s">
        <v>5429</v>
      </c>
      <c r="C36" s="1182" t="s">
        <v>1247</v>
      </c>
      <c r="D36" s="1183" t="s">
        <v>5436</v>
      </c>
      <c r="E36" s="1177"/>
      <c r="F36" s="1184"/>
      <c r="G36" s="1185"/>
      <c r="H36" s="1178"/>
      <c r="I36" s="696"/>
      <c r="J36" s="696"/>
      <c r="K36" s="696"/>
      <c r="L36" s="696"/>
      <c r="M36" s="696"/>
      <c r="N36" s="696"/>
      <c r="O36" s="696"/>
      <c r="P36" s="1179"/>
      <c r="Q36" s="1178"/>
    </row>
    <row r="37" spans="1:17" s="1175" customFormat="1" ht="13.5" customHeight="1" x14ac:dyDescent="0.2">
      <c r="A37" s="1182" t="s">
        <v>1242</v>
      </c>
      <c r="B37" s="1183" t="s">
        <v>5430</v>
      </c>
      <c r="C37" s="1182" t="s">
        <v>1242</v>
      </c>
      <c r="D37" s="1387" t="s">
        <v>5441</v>
      </c>
      <c r="E37" s="1177"/>
      <c r="F37" s="1186"/>
      <c r="G37" s="1185"/>
      <c r="H37" s="1178"/>
      <c r="I37" s="696"/>
      <c r="J37" s="696"/>
      <c r="K37" s="696"/>
      <c r="L37" s="696"/>
      <c r="M37" s="696"/>
      <c r="N37" s="696"/>
      <c r="O37" s="696"/>
      <c r="P37" s="1179"/>
      <c r="Q37" s="1178"/>
    </row>
    <row r="38" spans="1:17" s="1175" customFormat="1" ht="13.5" customHeight="1" x14ac:dyDescent="0.2">
      <c r="A38" s="1182" t="s">
        <v>1248</v>
      </c>
      <c r="B38" s="1366" t="s">
        <v>5431</v>
      </c>
      <c r="C38" s="1182" t="s">
        <v>1248</v>
      </c>
      <c r="D38" s="1366" t="s">
        <v>5437</v>
      </c>
      <c r="E38" s="1177"/>
      <c r="F38" s="1186"/>
      <c r="G38" s="1185"/>
      <c r="H38" s="1178"/>
      <c r="I38" s="696"/>
      <c r="J38" s="696"/>
      <c r="K38" s="696"/>
      <c r="L38" s="696"/>
      <c r="M38" s="696"/>
      <c r="N38" s="696"/>
      <c r="O38" s="696"/>
      <c r="P38" s="1179"/>
      <c r="Q38" s="1178"/>
    </row>
    <row r="39" spans="1:17" s="1175" customFormat="1" ht="13.5" customHeight="1" x14ac:dyDescent="0.2">
      <c r="A39" s="1182"/>
      <c r="B39" s="1183"/>
      <c r="C39" s="1182"/>
      <c r="D39" s="1183"/>
      <c r="E39" s="1177"/>
      <c r="F39" s="1186"/>
      <c r="G39" s="1185"/>
      <c r="H39" s="1178"/>
      <c r="I39" s="696"/>
      <c r="J39" s="696"/>
      <c r="K39" s="696"/>
      <c r="L39" s="696"/>
      <c r="M39" s="696"/>
      <c r="N39" s="696"/>
      <c r="O39" s="696"/>
      <c r="P39" s="1179"/>
      <c r="Q39" s="1178"/>
    </row>
    <row r="40" spans="1:17" s="1175" customFormat="1" ht="13.5" customHeight="1" x14ac:dyDescent="0.2">
      <c r="A40" s="1398" t="s">
        <v>1249</v>
      </c>
      <c r="B40" s="1399"/>
      <c r="C40" s="1398" t="s">
        <v>1250</v>
      </c>
      <c r="D40" s="1399"/>
      <c r="E40" s="1177"/>
      <c r="F40" s="1186"/>
      <c r="G40" s="1185"/>
      <c r="H40" s="1178"/>
      <c r="I40" s="696"/>
      <c r="J40" s="696"/>
      <c r="K40" s="696"/>
      <c r="L40" s="696"/>
      <c r="M40" s="696"/>
      <c r="N40" s="696"/>
      <c r="O40" s="696"/>
      <c r="P40" s="1179"/>
      <c r="Q40" s="1178"/>
    </row>
    <row r="41" spans="1:17" s="1175" customFormat="1" ht="13.5" customHeight="1" x14ac:dyDescent="0.2">
      <c r="A41" s="1182" t="s">
        <v>1472</v>
      </c>
      <c r="B41" s="1183" t="s">
        <v>5438</v>
      </c>
      <c r="C41" s="1182" t="s">
        <v>1472</v>
      </c>
      <c r="D41" s="1183" t="s">
        <v>5443</v>
      </c>
      <c r="E41" s="1177"/>
      <c r="F41" s="1178"/>
      <c r="G41" s="1178"/>
      <c r="H41" s="1178"/>
      <c r="I41" s="696"/>
      <c r="J41" s="696"/>
      <c r="K41" s="696"/>
      <c r="L41" s="696"/>
      <c r="M41" s="696"/>
      <c r="N41" s="696"/>
      <c r="O41" s="696"/>
      <c r="P41" s="1179"/>
      <c r="Q41" s="696"/>
    </row>
    <row r="42" spans="1:17" s="1175" customFormat="1" ht="13.5" customHeight="1" x14ac:dyDescent="0.2">
      <c r="A42" s="1182" t="s">
        <v>1473</v>
      </c>
      <c r="B42" s="1183" t="s">
        <v>5426</v>
      </c>
      <c r="C42" s="1182" t="s">
        <v>1473</v>
      </c>
      <c r="D42" s="1183" t="s">
        <v>5433</v>
      </c>
      <c r="E42" s="1177"/>
      <c r="F42" s="1178"/>
      <c r="G42" s="1178"/>
      <c r="H42" s="1178"/>
      <c r="I42" s="696"/>
      <c r="J42" s="696"/>
      <c r="K42" s="696"/>
      <c r="L42" s="696"/>
      <c r="M42" s="696"/>
      <c r="N42" s="696"/>
      <c r="O42" s="696"/>
      <c r="P42" s="1179"/>
      <c r="Q42" s="696"/>
    </row>
    <row r="43" spans="1:17" s="1175" customFormat="1" ht="13.5" customHeight="1" x14ac:dyDescent="0.2">
      <c r="A43" s="1182" t="s">
        <v>1246</v>
      </c>
      <c r="B43" s="1183" t="s">
        <v>5439</v>
      </c>
      <c r="C43" s="1182" t="s">
        <v>1246</v>
      </c>
      <c r="D43" s="1183" t="s">
        <v>5444</v>
      </c>
      <c r="E43" s="1177"/>
      <c r="F43" s="1186"/>
      <c r="G43" s="1185"/>
      <c r="H43" s="1178"/>
      <c r="I43" s="696"/>
      <c r="J43" s="696"/>
      <c r="K43" s="696"/>
      <c r="L43" s="696"/>
      <c r="M43" s="696"/>
      <c r="N43" s="696"/>
      <c r="O43" s="696"/>
      <c r="P43" s="1179"/>
      <c r="Q43" s="1178"/>
    </row>
    <row r="44" spans="1:17" s="1175" customFormat="1" ht="13.5" customHeight="1" x14ac:dyDescent="0.2">
      <c r="A44" s="1182" t="s">
        <v>1241</v>
      </c>
      <c r="B44" s="967" t="s">
        <v>5428</v>
      </c>
      <c r="C44" s="1182" t="s">
        <v>1241</v>
      </c>
      <c r="D44" s="1386" t="s">
        <v>5482</v>
      </c>
      <c r="E44" s="1177"/>
      <c r="F44" s="1187"/>
      <c r="G44" s="1185"/>
      <c r="H44" s="1178"/>
      <c r="I44" s="696"/>
      <c r="J44" s="696"/>
      <c r="K44" s="696"/>
      <c r="L44" s="696"/>
      <c r="M44" s="696"/>
      <c r="N44" s="696"/>
      <c r="O44" s="696"/>
      <c r="P44" s="1179"/>
      <c r="Q44" s="1178"/>
    </row>
    <row r="45" spans="1:17" s="1175" customFormat="1" ht="13.5" customHeight="1" x14ac:dyDescent="0.2">
      <c r="A45" s="1182" t="s">
        <v>1247</v>
      </c>
      <c r="B45" s="967" t="s">
        <v>5440</v>
      </c>
      <c r="C45" s="1182" t="s">
        <v>1247</v>
      </c>
      <c r="D45" s="1386" t="s">
        <v>5483</v>
      </c>
      <c r="E45" s="1177"/>
      <c r="F45" s="1188"/>
      <c r="G45" s="1185"/>
      <c r="H45" s="1178"/>
      <c r="I45" s="696"/>
      <c r="J45" s="696"/>
      <c r="K45" s="696"/>
      <c r="L45" s="696"/>
      <c r="M45" s="696"/>
      <c r="N45" s="696"/>
      <c r="O45" s="696"/>
      <c r="P45" s="1179"/>
      <c r="Q45" s="1178"/>
    </row>
    <row r="46" spans="1:17" s="1175" customFormat="1" ht="13.5" customHeight="1" x14ac:dyDescent="0.2">
      <c r="A46" s="1182" t="s">
        <v>1242</v>
      </c>
      <c r="B46" s="967" t="s">
        <v>5441</v>
      </c>
      <c r="C46" s="1182" t="s">
        <v>1242</v>
      </c>
      <c r="D46" s="1386" t="s">
        <v>5441</v>
      </c>
      <c r="E46" s="1177"/>
      <c r="F46" s="1188"/>
      <c r="G46" s="1185"/>
      <c r="H46" s="1178"/>
      <c r="I46" s="696"/>
      <c r="J46" s="696"/>
      <c r="K46" s="696"/>
      <c r="L46" s="696"/>
      <c r="M46" s="696"/>
      <c r="N46" s="696"/>
      <c r="O46" s="696"/>
      <c r="P46" s="1179"/>
      <c r="Q46" s="1178"/>
    </row>
    <row r="47" spans="1:17" s="1175" customFormat="1" ht="13.5" customHeight="1" x14ac:dyDescent="0.2">
      <c r="A47" s="1189" t="s">
        <v>1248</v>
      </c>
      <c r="B47" s="1385" t="s">
        <v>5442</v>
      </c>
      <c r="C47" s="1189" t="s">
        <v>1248</v>
      </c>
      <c r="D47" s="1385" t="s">
        <v>5442</v>
      </c>
      <c r="E47" s="1177"/>
      <c r="F47" s="1188"/>
      <c r="G47" s="1185"/>
      <c r="H47" s="1178"/>
      <c r="I47" s="696"/>
      <c r="J47" s="696"/>
      <c r="K47" s="696"/>
      <c r="L47" s="696"/>
      <c r="M47" s="696"/>
      <c r="N47" s="696"/>
      <c r="O47" s="696"/>
      <c r="P47" s="1179"/>
      <c r="Q47" s="1178"/>
    </row>
    <row r="48" spans="1:17" s="1175" customFormat="1" ht="13.5" customHeight="1" x14ac:dyDescent="0.2">
      <c r="A48" s="1190"/>
      <c r="B48" s="1191"/>
      <c r="C48" s="1190"/>
      <c r="D48" s="1191"/>
      <c r="E48" s="1177"/>
      <c r="F48" s="1188"/>
      <c r="G48" s="1185"/>
      <c r="H48" s="1178"/>
      <c r="I48" s="696"/>
      <c r="J48" s="696"/>
      <c r="K48" s="696"/>
      <c r="L48" s="696"/>
      <c r="M48" s="696"/>
      <c r="N48" s="696"/>
      <c r="O48" s="696"/>
      <c r="P48" s="1179"/>
      <c r="Q48" s="1178"/>
    </row>
    <row r="49" spans="1:17" s="1175" customFormat="1" ht="13.5" customHeight="1" x14ac:dyDescent="0.2">
      <c r="A49" s="1398" t="s">
        <v>1251</v>
      </c>
      <c r="B49" s="1399"/>
      <c r="C49" s="1398" t="s">
        <v>1252</v>
      </c>
      <c r="D49" s="1399"/>
      <c r="E49" s="1177"/>
      <c r="F49" s="1188"/>
      <c r="G49" s="1185"/>
      <c r="H49" s="1178"/>
      <c r="I49" s="696"/>
      <c r="J49" s="696"/>
      <c r="K49" s="696"/>
      <c r="L49" s="696"/>
      <c r="M49" s="696"/>
      <c r="N49" s="696"/>
      <c r="O49" s="696"/>
      <c r="P49" s="1179"/>
      <c r="Q49" s="1178"/>
    </row>
    <row r="50" spans="1:17" s="1175" customFormat="1" ht="13.5" customHeight="1" x14ac:dyDescent="0.2">
      <c r="A50" s="1182" t="s">
        <v>1472</v>
      </c>
      <c r="B50" s="1183" t="s">
        <v>5445</v>
      </c>
      <c r="C50" s="1182" t="s">
        <v>1472</v>
      </c>
      <c r="D50" s="1183" t="s">
        <v>5432</v>
      </c>
      <c r="E50" s="1177"/>
      <c r="F50" s="1178"/>
      <c r="G50" s="1178"/>
      <c r="H50" s="1178"/>
      <c r="I50" s="696"/>
      <c r="J50" s="696"/>
      <c r="K50" s="696"/>
      <c r="L50" s="696"/>
      <c r="M50" s="696"/>
      <c r="N50" s="696"/>
      <c r="O50" s="696"/>
      <c r="P50" s="1179"/>
      <c r="Q50" s="696"/>
    </row>
    <row r="51" spans="1:17" s="1175" customFormat="1" ht="13.5" customHeight="1" x14ac:dyDescent="0.2">
      <c r="A51" s="1182" t="s">
        <v>1473</v>
      </c>
      <c r="B51" s="1183" t="s">
        <v>5433</v>
      </c>
      <c r="C51" s="1182" t="s">
        <v>1473</v>
      </c>
      <c r="D51" s="1183" t="s">
        <v>5433</v>
      </c>
      <c r="E51" s="1177"/>
      <c r="F51" s="1178"/>
      <c r="G51" s="1178"/>
      <c r="H51" s="1178"/>
      <c r="I51" s="696"/>
      <c r="J51" s="696"/>
      <c r="K51" s="696"/>
      <c r="L51" s="696"/>
      <c r="M51" s="696"/>
      <c r="N51" s="696"/>
      <c r="O51" s="696"/>
      <c r="P51" s="1179"/>
      <c r="Q51" s="696"/>
    </row>
    <row r="52" spans="1:17" s="1175" customFormat="1" ht="13.5" customHeight="1" x14ac:dyDescent="0.2">
      <c r="A52" s="1182" t="s">
        <v>1246</v>
      </c>
      <c r="B52" s="1183" t="s">
        <v>5446</v>
      </c>
      <c r="C52" s="1182" t="s">
        <v>1246</v>
      </c>
      <c r="D52" s="1183" t="s">
        <v>5450</v>
      </c>
      <c r="E52" s="1177"/>
      <c r="F52" s="1188"/>
      <c r="G52" s="1185"/>
      <c r="H52" s="1178"/>
      <c r="I52" s="696"/>
      <c r="J52" s="696"/>
      <c r="K52" s="696"/>
      <c r="L52" s="696"/>
      <c r="M52" s="696"/>
      <c r="N52" s="696"/>
      <c r="O52" s="696"/>
      <c r="P52" s="1179"/>
      <c r="Q52" s="1178"/>
    </row>
    <row r="53" spans="1:17" s="1178" customFormat="1" ht="13.5" customHeight="1" x14ac:dyDescent="0.2">
      <c r="A53" s="1182" t="s">
        <v>1241</v>
      </c>
      <c r="B53" s="967" t="s">
        <v>5447</v>
      </c>
      <c r="C53" s="1182" t="s">
        <v>1241</v>
      </c>
      <c r="D53" s="967" t="s">
        <v>5435</v>
      </c>
      <c r="E53" s="1177"/>
      <c r="F53" s="1188"/>
      <c r="G53" s="1185"/>
      <c r="I53" s="696"/>
      <c r="J53" s="696"/>
      <c r="K53" s="696"/>
      <c r="L53" s="696"/>
      <c r="M53" s="696"/>
      <c r="N53" s="696"/>
      <c r="O53" s="696"/>
      <c r="P53" s="1179"/>
    </row>
    <row r="54" spans="1:17" s="1178" customFormat="1" ht="13.5" customHeight="1" x14ac:dyDescent="0.2">
      <c r="A54" s="1182" t="s">
        <v>1247</v>
      </c>
      <c r="B54" s="967" t="s">
        <v>5448</v>
      </c>
      <c r="C54" s="1182" t="s">
        <v>1247</v>
      </c>
      <c r="D54" s="967" t="s">
        <v>5436</v>
      </c>
      <c r="E54" s="1177"/>
      <c r="F54" s="1188"/>
      <c r="G54" s="1185"/>
      <c r="I54" s="696"/>
      <c r="J54" s="696"/>
      <c r="K54" s="696"/>
      <c r="L54" s="696"/>
      <c r="M54" s="696"/>
      <c r="N54" s="696"/>
      <c r="O54" s="696"/>
      <c r="P54" s="1179"/>
    </row>
    <row r="55" spans="1:17" s="1178" customFormat="1" ht="13.5" customHeight="1" x14ac:dyDescent="0.2">
      <c r="A55" s="1182" t="s">
        <v>1242</v>
      </c>
      <c r="B55" s="967" t="s">
        <v>5430</v>
      </c>
      <c r="C55" s="1182" t="s">
        <v>1242</v>
      </c>
      <c r="D55" s="967" t="s">
        <v>5441</v>
      </c>
      <c r="E55" s="1177"/>
      <c r="F55" s="1188"/>
      <c r="G55" s="1185"/>
      <c r="I55" s="696"/>
      <c r="J55" s="696"/>
      <c r="K55" s="696"/>
      <c r="L55" s="696"/>
      <c r="M55" s="696"/>
      <c r="N55" s="696"/>
      <c r="O55" s="696"/>
      <c r="P55" s="1179"/>
    </row>
    <row r="56" spans="1:17" s="1178" customFormat="1" ht="13.5" customHeight="1" x14ac:dyDescent="0.2">
      <c r="A56" s="1192" t="s">
        <v>1248</v>
      </c>
      <c r="B56" s="972" t="s">
        <v>5449</v>
      </c>
      <c r="C56" s="1192" t="s">
        <v>1248</v>
      </c>
      <c r="D56" s="972" t="s">
        <v>5437</v>
      </c>
      <c r="E56" s="1177"/>
      <c r="F56" s="1188"/>
      <c r="G56" s="1185"/>
      <c r="I56" s="696"/>
      <c r="J56" s="696"/>
      <c r="K56" s="696"/>
      <c r="L56" s="696"/>
      <c r="M56" s="696"/>
      <c r="N56" s="696"/>
      <c r="O56" s="696"/>
      <c r="P56" s="1179"/>
    </row>
    <row r="57" spans="1:17" s="1178" customFormat="1" ht="13.5" customHeight="1" x14ac:dyDescent="0.2">
      <c r="A57" s="1190"/>
      <c r="B57" s="1191"/>
      <c r="C57" s="1190"/>
      <c r="D57" s="1191"/>
      <c r="E57" s="1177"/>
      <c r="F57" s="1188"/>
      <c r="G57" s="1185"/>
      <c r="I57" s="696"/>
      <c r="J57" s="696"/>
      <c r="K57" s="696"/>
      <c r="L57" s="696"/>
      <c r="M57" s="696"/>
      <c r="N57" s="696"/>
      <c r="O57" s="696"/>
      <c r="P57" s="1179"/>
    </row>
    <row r="58" spans="1:17" s="1178" customFormat="1" ht="13.5" customHeight="1" thickBot="1" x14ac:dyDescent="0.25">
      <c r="A58" s="1410" t="s">
        <v>1253</v>
      </c>
      <c r="B58" s="1411"/>
      <c r="C58" s="1412"/>
      <c r="D58" s="1413"/>
      <c r="E58" s="1177"/>
      <c r="F58" s="1188"/>
      <c r="G58" s="1185"/>
      <c r="I58" s="696"/>
      <c r="J58" s="696"/>
      <c r="K58" s="696"/>
      <c r="L58" s="696"/>
      <c r="M58" s="696"/>
      <c r="N58" s="696"/>
      <c r="O58" s="696"/>
      <c r="P58" s="1179"/>
    </row>
    <row r="59" spans="1:17" s="1196" customFormat="1" ht="13.5" customHeight="1" thickTop="1" x14ac:dyDescent="0.2">
      <c r="A59" s="1180" t="s">
        <v>1254</v>
      </c>
      <c r="B59" s="1181"/>
      <c r="C59" s="1398" t="s">
        <v>1255</v>
      </c>
      <c r="D59" s="1399"/>
      <c r="E59" s="1193"/>
      <c r="F59" s="1194"/>
      <c r="G59" s="1195"/>
      <c r="I59" s="1197"/>
      <c r="J59" s="1197"/>
      <c r="K59" s="1197"/>
      <c r="L59" s="1197"/>
      <c r="M59" s="1197"/>
      <c r="N59" s="1197"/>
      <c r="O59" s="1197"/>
      <c r="P59" s="1179"/>
      <c r="Q59" s="1178"/>
    </row>
    <row r="60" spans="1:17" s="1175" customFormat="1" ht="13.5" customHeight="1" x14ac:dyDescent="0.2">
      <c r="A60" s="1182" t="s">
        <v>1472</v>
      </c>
      <c r="B60" s="1183" t="s">
        <v>5451</v>
      </c>
      <c r="C60" s="1182" t="s">
        <v>1472</v>
      </c>
      <c r="D60" s="1183" t="s">
        <v>5457</v>
      </c>
      <c r="E60" s="1177"/>
      <c r="F60" s="1178"/>
      <c r="G60" s="1178"/>
      <c r="H60" s="1178"/>
      <c r="I60" s="696"/>
      <c r="J60" s="696"/>
      <c r="K60" s="696"/>
      <c r="L60" s="696"/>
      <c r="M60" s="696"/>
      <c r="N60" s="696"/>
      <c r="O60" s="696"/>
      <c r="P60" s="1179"/>
      <c r="Q60" s="696"/>
    </row>
    <row r="61" spans="1:17" s="1175" customFormat="1" ht="13.5" customHeight="1" x14ac:dyDescent="0.2">
      <c r="A61" s="1182" t="s">
        <v>1473</v>
      </c>
      <c r="B61" s="1183" t="s">
        <v>5452</v>
      </c>
      <c r="C61" s="1182" t="s">
        <v>1473</v>
      </c>
      <c r="D61" s="1183" t="s">
        <v>5458</v>
      </c>
      <c r="E61" s="1177"/>
      <c r="F61" s="1178"/>
      <c r="G61" s="1178"/>
      <c r="H61" s="1178"/>
      <c r="I61" s="696"/>
      <c r="J61" s="696"/>
      <c r="K61" s="696"/>
      <c r="L61" s="696"/>
      <c r="M61" s="696"/>
      <c r="N61" s="696"/>
      <c r="O61" s="696"/>
      <c r="P61" s="1179"/>
      <c r="Q61" s="696"/>
    </row>
    <row r="62" spans="1:17" s="1196" customFormat="1" ht="13.5" customHeight="1" x14ac:dyDescent="0.2">
      <c r="A62" s="1182" t="s">
        <v>1246</v>
      </c>
      <c r="B62" s="967" t="s">
        <v>5453</v>
      </c>
      <c r="C62" s="1182" t="s">
        <v>1246</v>
      </c>
      <c r="D62" s="967" t="s">
        <v>5459</v>
      </c>
      <c r="E62" s="1193"/>
      <c r="F62" s="1194"/>
      <c r="G62" s="1195"/>
      <c r="I62" s="1197"/>
      <c r="J62" s="1197"/>
      <c r="K62" s="1197"/>
      <c r="L62" s="1197"/>
      <c r="M62" s="1197"/>
      <c r="N62" s="1197"/>
      <c r="O62" s="1197"/>
      <c r="P62" s="1179"/>
      <c r="Q62" s="1178"/>
    </row>
    <row r="63" spans="1:17" s="1178" customFormat="1" ht="13.5" customHeight="1" x14ac:dyDescent="0.2">
      <c r="A63" s="1182" t="s">
        <v>1241</v>
      </c>
      <c r="B63" s="967" t="s">
        <v>5454</v>
      </c>
      <c r="C63" s="1182" t="s">
        <v>1241</v>
      </c>
      <c r="D63" s="1386" t="s">
        <v>5480</v>
      </c>
      <c r="E63" s="1177"/>
      <c r="F63" s="1188"/>
      <c r="G63" s="1185"/>
      <c r="I63" s="696"/>
      <c r="J63" s="696"/>
      <c r="K63" s="696"/>
      <c r="L63" s="696"/>
      <c r="M63" s="696"/>
      <c r="N63" s="696"/>
      <c r="O63" s="696"/>
      <c r="P63" s="1179"/>
    </row>
    <row r="64" spans="1:17" s="1178" customFormat="1" ht="13.5" customHeight="1" x14ac:dyDescent="0.2">
      <c r="A64" s="1182" t="s">
        <v>1247</v>
      </c>
      <c r="B64" s="967" t="s">
        <v>5455</v>
      </c>
      <c r="C64" s="1182" t="s">
        <v>1247</v>
      </c>
      <c r="D64" s="1386" t="s">
        <v>5481</v>
      </c>
      <c r="E64" s="1177"/>
      <c r="F64" s="1188"/>
      <c r="G64" s="1185"/>
      <c r="I64" s="696"/>
      <c r="J64" s="696"/>
      <c r="K64" s="696"/>
      <c r="L64" s="696"/>
      <c r="M64" s="696"/>
      <c r="N64" s="696"/>
      <c r="O64" s="696"/>
      <c r="P64" s="1179"/>
    </row>
    <row r="65" spans="1:17" s="1178" customFormat="1" ht="13.5" customHeight="1" x14ac:dyDescent="0.2">
      <c r="A65" s="1182" t="s">
        <v>1242</v>
      </c>
      <c r="B65" s="967" t="s">
        <v>5430</v>
      </c>
      <c r="C65" s="1182" t="s">
        <v>1242</v>
      </c>
      <c r="D65" s="1386" t="s">
        <v>5441</v>
      </c>
      <c r="E65" s="1177"/>
      <c r="F65" s="1188"/>
      <c r="G65" s="1185"/>
      <c r="I65" s="696"/>
      <c r="J65" s="696"/>
      <c r="K65" s="696"/>
      <c r="L65" s="696"/>
      <c r="M65" s="696"/>
      <c r="N65" s="696"/>
      <c r="O65" s="696"/>
      <c r="P65" s="1179"/>
    </row>
    <row r="66" spans="1:17" s="1175" customFormat="1" ht="13.5" customHeight="1" x14ac:dyDescent="0.2">
      <c r="A66" s="1192" t="s">
        <v>1248</v>
      </c>
      <c r="B66" s="972" t="s">
        <v>5456</v>
      </c>
      <c r="C66" s="1192" t="s">
        <v>1248</v>
      </c>
      <c r="D66" s="972" t="s">
        <v>5460</v>
      </c>
      <c r="E66" s="1177"/>
      <c r="F66" s="1188"/>
      <c r="G66" s="1185"/>
      <c r="H66" s="1178"/>
      <c r="I66" s="696"/>
      <c r="J66" s="696"/>
      <c r="K66" s="696"/>
      <c r="L66" s="696"/>
      <c r="M66" s="696"/>
      <c r="N66" s="696"/>
      <c r="O66" s="696"/>
      <c r="P66" s="1179"/>
      <c r="Q66" s="1178"/>
    </row>
    <row r="67" spans="1:17" s="1175" customFormat="1" ht="13.5" customHeight="1" x14ac:dyDescent="0.2">
      <c r="A67" s="1190"/>
      <c r="B67" s="1191"/>
      <c r="C67" s="1190"/>
      <c r="D67" s="1191"/>
      <c r="E67" s="1177"/>
      <c r="F67" s="1188"/>
      <c r="G67" s="1185"/>
      <c r="H67" s="1178"/>
      <c r="I67" s="696"/>
      <c r="J67" s="696"/>
      <c r="K67" s="696"/>
      <c r="L67" s="696"/>
      <c r="M67" s="696"/>
      <c r="N67" s="696"/>
      <c r="O67" s="696"/>
      <c r="P67" s="1179"/>
      <c r="Q67" s="1178"/>
    </row>
    <row r="68" spans="1:17" s="1175" customFormat="1" ht="13.5" customHeight="1" x14ac:dyDescent="0.2">
      <c r="A68" s="1198" t="s">
        <v>1256</v>
      </c>
      <c r="B68" s="1199"/>
      <c r="C68" s="1398" t="s">
        <v>1257</v>
      </c>
      <c r="D68" s="1399"/>
      <c r="E68" s="1177"/>
      <c r="F68" s="1188"/>
      <c r="G68" s="1185"/>
      <c r="H68" s="1178"/>
      <c r="I68" s="696"/>
      <c r="J68" s="696"/>
      <c r="K68" s="696"/>
      <c r="L68" s="696"/>
      <c r="M68" s="696"/>
      <c r="N68" s="696"/>
      <c r="O68" s="696"/>
      <c r="P68" s="1179"/>
      <c r="Q68" s="1178"/>
    </row>
    <row r="69" spans="1:17" s="1175" customFormat="1" ht="13.5" customHeight="1" x14ac:dyDescent="0.2">
      <c r="A69" s="1182" t="s">
        <v>1472</v>
      </c>
      <c r="B69" s="1183" t="s">
        <v>5461</v>
      </c>
      <c r="C69" s="1182" t="s">
        <v>1472</v>
      </c>
      <c r="D69" s="1183" t="s">
        <v>5465</v>
      </c>
      <c r="E69" s="1177"/>
      <c r="F69" s="1178"/>
      <c r="G69" s="1178"/>
      <c r="H69" s="1178"/>
      <c r="I69" s="696"/>
      <c r="J69" s="696"/>
      <c r="K69" s="696"/>
      <c r="L69" s="696"/>
      <c r="M69" s="696"/>
      <c r="N69" s="696"/>
      <c r="O69" s="696"/>
      <c r="P69" s="1179"/>
      <c r="Q69" s="696"/>
    </row>
    <row r="70" spans="1:17" s="1175" customFormat="1" ht="13.5" customHeight="1" x14ac:dyDescent="0.2">
      <c r="A70" s="1182" t="s">
        <v>1473</v>
      </c>
      <c r="B70" s="1183" t="s">
        <v>5426</v>
      </c>
      <c r="C70" s="1182" t="s">
        <v>1473</v>
      </c>
      <c r="D70" s="1183" t="s">
        <v>5433</v>
      </c>
      <c r="E70" s="1177"/>
      <c r="F70" s="1178"/>
      <c r="G70" s="1178"/>
      <c r="H70" s="1178"/>
      <c r="I70" s="696"/>
      <c r="J70" s="696"/>
      <c r="K70" s="696"/>
      <c r="L70" s="696"/>
      <c r="M70" s="696"/>
      <c r="N70" s="696"/>
      <c r="O70" s="696"/>
      <c r="P70" s="1179"/>
      <c r="Q70" s="696"/>
    </row>
    <row r="71" spans="1:17" s="1200" customFormat="1" ht="13.5" customHeight="1" x14ac:dyDescent="0.2">
      <c r="A71" s="1182" t="s">
        <v>1246</v>
      </c>
      <c r="B71" s="967" t="s">
        <v>5462</v>
      </c>
      <c r="C71" s="1182" t="s">
        <v>1246</v>
      </c>
      <c r="D71" s="967" t="s">
        <v>5466</v>
      </c>
      <c r="E71" s="1193"/>
      <c r="F71" s="1194"/>
      <c r="G71" s="1195"/>
      <c r="H71" s="1196"/>
      <c r="I71" s="1197"/>
      <c r="J71" s="1197"/>
      <c r="K71" s="1197"/>
      <c r="L71" s="1197"/>
      <c r="M71" s="1197"/>
      <c r="N71" s="1197"/>
      <c r="O71" s="1197"/>
      <c r="P71" s="1179"/>
      <c r="Q71" s="1178"/>
    </row>
    <row r="72" spans="1:17" s="1175" customFormat="1" ht="13.5" customHeight="1" x14ac:dyDescent="0.2">
      <c r="A72" s="1182" t="s">
        <v>1241</v>
      </c>
      <c r="B72" s="967" t="s">
        <v>5463</v>
      </c>
      <c r="C72" s="1182" t="s">
        <v>1241</v>
      </c>
      <c r="D72" s="967" t="s">
        <v>5467</v>
      </c>
      <c r="E72" s="1177"/>
      <c r="F72" s="1188"/>
      <c r="G72" s="1185"/>
      <c r="H72" s="1178"/>
      <c r="I72" s="696"/>
      <c r="J72" s="696"/>
      <c r="K72" s="696"/>
      <c r="L72" s="696"/>
      <c r="M72" s="696"/>
      <c r="N72" s="696"/>
      <c r="O72" s="696"/>
      <c r="P72" s="1179"/>
      <c r="Q72" s="1178"/>
    </row>
    <row r="73" spans="1:17" s="1175" customFormat="1" ht="13.5" customHeight="1" x14ac:dyDescent="0.2">
      <c r="A73" s="1182" t="s">
        <v>1247</v>
      </c>
      <c r="B73" s="1386" t="s">
        <v>5479</v>
      </c>
      <c r="C73" s="1182" t="s">
        <v>1247</v>
      </c>
      <c r="D73" s="1386" t="s">
        <v>5484</v>
      </c>
      <c r="E73" s="1177"/>
      <c r="F73" s="1188"/>
      <c r="G73" s="1185"/>
      <c r="H73" s="1178"/>
      <c r="I73" s="696"/>
      <c r="J73" s="696"/>
      <c r="K73" s="696"/>
      <c r="L73" s="696"/>
      <c r="M73" s="696"/>
      <c r="N73" s="696"/>
      <c r="O73" s="696"/>
      <c r="P73" s="1179"/>
      <c r="Q73" s="1178"/>
    </row>
    <row r="74" spans="1:17" s="1175" customFormat="1" ht="13.5" customHeight="1" x14ac:dyDescent="0.2">
      <c r="A74" s="1182" t="s">
        <v>1242</v>
      </c>
      <c r="B74" s="967" t="s">
        <v>5441</v>
      </c>
      <c r="C74" s="1182" t="s">
        <v>1242</v>
      </c>
      <c r="D74" s="967" t="s">
        <v>5441</v>
      </c>
      <c r="E74" s="1177"/>
      <c r="F74" s="1188"/>
      <c r="G74" s="1185"/>
      <c r="H74" s="1178"/>
      <c r="I74" s="696"/>
      <c r="J74" s="696"/>
      <c r="K74" s="696"/>
      <c r="L74" s="696"/>
      <c r="M74" s="696"/>
      <c r="N74" s="696"/>
      <c r="O74" s="696"/>
      <c r="P74" s="1179"/>
      <c r="Q74" s="1178"/>
    </row>
    <row r="75" spans="1:17" s="1175" customFormat="1" ht="13.5" customHeight="1" x14ac:dyDescent="0.2">
      <c r="A75" s="1192" t="s">
        <v>1248</v>
      </c>
      <c r="B75" s="972" t="s">
        <v>5464</v>
      </c>
      <c r="C75" s="1192" t="s">
        <v>1248</v>
      </c>
      <c r="D75" s="972" t="s">
        <v>5468</v>
      </c>
      <c r="E75" s="1177"/>
      <c r="F75" s="1188"/>
      <c r="G75" s="1185"/>
      <c r="H75" s="1178"/>
      <c r="I75" s="696"/>
      <c r="J75" s="696"/>
      <c r="K75" s="696"/>
      <c r="L75" s="696"/>
      <c r="M75" s="696"/>
      <c r="N75" s="696"/>
      <c r="O75" s="696"/>
      <c r="P75" s="1179"/>
      <c r="Q75" s="1178"/>
    </row>
    <row r="76" spans="1:17" s="1175" customFormat="1" ht="13.5" customHeight="1" x14ac:dyDescent="0.2">
      <c r="A76" s="1190"/>
      <c r="B76" s="1191"/>
      <c r="C76" s="1190"/>
      <c r="D76" s="1191"/>
      <c r="E76" s="1177"/>
      <c r="F76" s="1188"/>
      <c r="G76" s="1185"/>
      <c r="H76" s="1178"/>
      <c r="I76" s="696"/>
      <c r="J76" s="696"/>
      <c r="K76" s="696"/>
      <c r="L76" s="696"/>
      <c r="M76" s="696"/>
      <c r="N76" s="696"/>
      <c r="O76" s="696"/>
      <c r="P76" s="1179"/>
      <c r="Q76" s="1178"/>
    </row>
    <row r="77" spans="1:17" s="1175" customFormat="1" ht="13.5" customHeight="1" x14ac:dyDescent="0.2">
      <c r="A77" s="1398" t="s">
        <v>1258</v>
      </c>
      <c r="B77" s="1399"/>
      <c r="C77" s="1398" t="s">
        <v>1258</v>
      </c>
      <c r="D77" s="1399"/>
      <c r="E77" s="1177"/>
      <c r="F77" s="1188"/>
      <c r="G77" s="1185"/>
      <c r="H77" s="1178"/>
      <c r="I77" s="696"/>
      <c r="J77" s="696"/>
      <c r="K77" s="696"/>
      <c r="L77" s="696"/>
      <c r="M77" s="696"/>
      <c r="N77" s="696"/>
      <c r="O77" s="696"/>
      <c r="P77" s="1179"/>
      <c r="Q77" s="1178"/>
    </row>
    <row r="78" spans="1:17" s="1175" customFormat="1" ht="13.5" customHeight="1" x14ac:dyDescent="0.2">
      <c r="A78" s="1182" t="s">
        <v>1472</v>
      </c>
      <c r="B78" s="1183" t="s">
        <v>5469</v>
      </c>
      <c r="C78" s="1182" t="s">
        <v>1472</v>
      </c>
      <c r="D78" s="1183" t="s">
        <v>5475</v>
      </c>
      <c r="E78" s="1177"/>
      <c r="F78" s="1178"/>
      <c r="G78" s="1178"/>
      <c r="H78" s="1178"/>
      <c r="I78" s="696"/>
      <c r="J78" s="696"/>
      <c r="K78" s="696"/>
      <c r="L78" s="696"/>
      <c r="M78" s="696"/>
      <c r="N78" s="696"/>
      <c r="O78" s="696"/>
      <c r="P78" s="1179"/>
      <c r="Q78" s="696"/>
    </row>
    <row r="79" spans="1:17" s="1175" customFormat="1" ht="13.5" customHeight="1" x14ac:dyDescent="0.2">
      <c r="A79" s="1182" t="s">
        <v>1473</v>
      </c>
      <c r="B79" s="1183" t="s">
        <v>5470</v>
      </c>
      <c r="C79" s="1182" t="s">
        <v>1473</v>
      </c>
      <c r="D79" s="1183" t="s">
        <v>5458</v>
      </c>
      <c r="E79" s="1177"/>
      <c r="F79" s="1178"/>
      <c r="G79" s="1178"/>
      <c r="H79" s="1178"/>
      <c r="I79" s="696"/>
      <c r="J79" s="696"/>
      <c r="K79" s="696"/>
      <c r="L79" s="696"/>
      <c r="M79" s="696"/>
      <c r="N79" s="696"/>
      <c r="O79" s="696"/>
      <c r="P79" s="1179"/>
      <c r="Q79" s="696"/>
    </row>
    <row r="80" spans="1:17" s="1200" customFormat="1" ht="13.5" customHeight="1" x14ac:dyDescent="0.2">
      <c r="A80" s="1182" t="s">
        <v>1246</v>
      </c>
      <c r="B80" s="1183" t="s">
        <v>5471</v>
      </c>
      <c r="C80" s="1182" t="s">
        <v>1246</v>
      </c>
      <c r="D80" s="1183" t="s">
        <v>5476</v>
      </c>
      <c r="E80" s="1193"/>
      <c r="F80" s="1194"/>
      <c r="G80" s="1195"/>
      <c r="H80" s="1196"/>
      <c r="I80" s="1197"/>
      <c r="J80" s="1197"/>
      <c r="K80" s="1197"/>
      <c r="L80" s="1197"/>
      <c r="M80" s="1197"/>
      <c r="N80" s="1197"/>
      <c r="O80" s="1197"/>
      <c r="P80" s="1179"/>
      <c r="Q80" s="1178"/>
    </row>
    <row r="81" spans="1:17" s="1175" customFormat="1" ht="13.5" customHeight="1" x14ac:dyDescent="0.2">
      <c r="A81" s="1182" t="s">
        <v>1241</v>
      </c>
      <c r="B81" s="1183" t="s">
        <v>5472</v>
      </c>
      <c r="C81" s="1182" t="s">
        <v>1241</v>
      </c>
      <c r="D81" s="1183" t="s">
        <v>5477</v>
      </c>
      <c r="E81" s="1177"/>
      <c r="F81" s="1188"/>
      <c r="G81" s="1185"/>
      <c r="H81" s="1178"/>
      <c r="I81" s="696"/>
      <c r="J81" s="696"/>
      <c r="K81" s="696"/>
      <c r="L81" s="696"/>
      <c r="M81" s="696"/>
      <c r="N81" s="696"/>
      <c r="O81" s="696"/>
      <c r="P81" s="1179"/>
      <c r="Q81" s="1178"/>
    </row>
    <row r="82" spans="1:17" s="1175" customFormat="1" ht="13.5" customHeight="1" x14ac:dyDescent="0.2">
      <c r="A82" s="1182" t="s">
        <v>1247</v>
      </c>
      <c r="B82" s="1183" t="s">
        <v>5473</v>
      </c>
      <c r="C82" s="1182" t="s">
        <v>1247</v>
      </c>
      <c r="D82" s="1183" t="s">
        <v>5478</v>
      </c>
      <c r="E82" s="1177"/>
      <c r="F82" s="1188"/>
      <c r="G82" s="1185"/>
      <c r="H82" s="1178"/>
      <c r="I82" s="696"/>
      <c r="J82" s="696"/>
      <c r="K82" s="696"/>
      <c r="L82" s="696"/>
      <c r="M82" s="696"/>
      <c r="N82" s="696"/>
      <c r="O82" s="696"/>
      <c r="P82" s="1179"/>
      <c r="Q82" s="1178"/>
    </row>
    <row r="83" spans="1:17" s="1175" customFormat="1" ht="13.5" customHeight="1" x14ac:dyDescent="0.2">
      <c r="A83" s="1182" t="s">
        <v>1242</v>
      </c>
      <c r="B83" s="1183" t="s">
        <v>5430</v>
      </c>
      <c r="C83" s="1182" t="s">
        <v>1242</v>
      </c>
      <c r="D83" s="1183" t="s">
        <v>5430</v>
      </c>
      <c r="E83" s="1177"/>
      <c r="F83" s="1188"/>
      <c r="G83" s="1185"/>
      <c r="H83" s="1178"/>
      <c r="I83" s="696"/>
      <c r="J83" s="696"/>
      <c r="K83" s="696"/>
      <c r="L83" s="696"/>
      <c r="M83" s="696"/>
      <c r="N83" s="696"/>
      <c r="O83" s="696"/>
      <c r="P83" s="1179"/>
      <c r="Q83" s="1178"/>
    </row>
    <row r="84" spans="1:17" s="1175" customFormat="1" ht="13.5" customHeight="1" x14ac:dyDescent="0.2">
      <c r="A84" s="1182" t="s">
        <v>1248</v>
      </c>
      <c r="B84" s="1183" t="s">
        <v>5474</v>
      </c>
      <c r="C84" s="1182" t="s">
        <v>1248</v>
      </c>
      <c r="D84" s="1183" t="s">
        <v>5474</v>
      </c>
      <c r="E84" s="1177"/>
      <c r="F84" s="1188"/>
      <c r="G84" s="1185"/>
      <c r="H84" s="1178"/>
      <c r="I84" s="696"/>
      <c r="J84" s="696"/>
      <c r="K84" s="696"/>
      <c r="L84" s="696"/>
      <c r="M84" s="696"/>
      <c r="N84" s="696"/>
      <c r="O84" s="696"/>
      <c r="P84" s="1179"/>
      <c r="Q84" s="1178"/>
    </row>
    <row r="85" spans="1:17" s="1175" customFormat="1" ht="13.5" customHeight="1" x14ac:dyDescent="0.2">
      <c r="A85" s="1398" t="s">
        <v>1258</v>
      </c>
      <c r="B85" s="1399"/>
      <c r="C85" s="1398" t="s">
        <v>1258</v>
      </c>
      <c r="D85" s="1399"/>
      <c r="E85" s="1177"/>
      <c r="F85" s="1188"/>
      <c r="G85" s="1185"/>
      <c r="H85" s="1178"/>
      <c r="I85" s="696"/>
      <c r="J85" s="696"/>
      <c r="K85" s="696"/>
      <c r="L85" s="696"/>
      <c r="M85" s="696"/>
      <c r="N85" s="696"/>
      <c r="O85" s="696"/>
      <c r="P85" s="1179"/>
      <c r="Q85" s="1178"/>
    </row>
    <row r="86" spans="1:17" s="1175" customFormat="1" ht="13.5" customHeight="1" x14ac:dyDescent="0.2">
      <c r="A86" s="1182" t="s">
        <v>1472</v>
      </c>
      <c r="B86" s="1183"/>
      <c r="C86" s="1182" t="s">
        <v>1472</v>
      </c>
      <c r="D86" s="1183"/>
      <c r="E86" s="1177"/>
      <c r="F86" s="1178"/>
      <c r="G86" s="1178"/>
      <c r="H86" s="1178"/>
      <c r="I86" s="696"/>
      <c r="J86" s="696"/>
      <c r="K86" s="696"/>
      <c r="L86" s="696"/>
      <c r="M86" s="696"/>
      <c r="N86" s="696"/>
      <c r="O86" s="696"/>
      <c r="P86" s="1179"/>
      <c r="Q86" s="696"/>
    </row>
    <row r="87" spans="1:17" s="1175" customFormat="1" ht="13.5" customHeight="1" x14ac:dyDescent="0.2">
      <c r="A87" s="1182" t="s">
        <v>1473</v>
      </c>
      <c r="B87" s="1183"/>
      <c r="C87" s="1182" t="s">
        <v>1473</v>
      </c>
      <c r="D87" s="1183"/>
      <c r="E87" s="1177"/>
      <c r="F87" s="1178"/>
      <c r="G87" s="1178"/>
      <c r="H87" s="1178"/>
      <c r="I87" s="696"/>
      <c r="J87" s="696"/>
      <c r="K87" s="696"/>
      <c r="L87" s="696"/>
      <c r="M87" s="696"/>
      <c r="N87" s="696"/>
      <c r="O87" s="696"/>
      <c r="P87" s="1179"/>
      <c r="Q87" s="696"/>
    </row>
    <row r="88" spans="1:17" s="1175" customFormat="1" ht="13.5" customHeight="1" x14ac:dyDescent="0.2">
      <c r="A88" s="1182" t="s">
        <v>1246</v>
      </c>
      <c r="B88" s="1183"/>
      <c r="C88" s="1182" t="s">
        <v>1246</v>
      </c>
      <c r="D88" s="1183"/>
      <c r="E88" s="1177"/>
      <c r="F88" s="1188"/>
      <c r="G88" s="1185"/>
      <c r="H88" s="1178"/>
      <c r="I88" s="696"/>
      <c r="J88" s="696"/>
      <c r="K88" s="696"/>
      <c r="L88" s="696"/>
      <c r="M88" s="696"/>
      <c r="N88" s="696"/>
      <c r="O88" s="696"/>
      <c r="P88" s="1179"/>
      <c r="Q88" s="1178"/>
    </row>
    <row r="89" spans="1:17" s="1175" customFormat="1" ht="13.5" customHeight="1" x14ac:dyDescent="0.2">
      <c r="A89" s="1182" t="s">
        <v>1241</v>
      </c>
      <c r="B89" s="1183"/>
      <c r="C89" s="1182" t="s">
        <v>1241</v>
      </c>
      <c r="D89" s="1183"/>
      <c r="E89" s="1177"/>
      <c r="F89" s="1188"/>
      <c r="G89" s="1185"/>
      <c r="H89" s="1178"/>
      <c r="I89" s="696"/>
      <c r="J89" s="696"/>
      <c r="K89" s="696"/>
      <c r="L89" s="696"/>
      <c r="M89" s="696"/>
      <c r="N89" s="696"/>
      <c r="O89" s="696"/>
      <c r="P89" s="1179"/>
      <c r="Q89" s="1178"/>
    </row>
    <row r="90" spans="1:17" s="1178" customFormat="1" ht="13.5" customHeight="1" x14ac:dyDescent="0.2">
      <c r="A90" s="1182" t="s">
        <v>1247</v>
      </c>
      <c r="B90" s="1183"/>
      <c r="C90" s="1182" t="s">
        <v>1247</v>
      </c>
      <c r="D90" s="1183"/>
      <c r="E90" s="1177"/>
      <c r="F90" s="1188"/>
      <c r="G90" s="1185"/>
      <c r="I90" s="696"/>
      <c r="J90" s="696"/>
      <c r="K90" s="696"/>
      <c r="L90" s="696"/>
      <c r="M90" s="696"/>
      <c r="N90" s="696"/>
      <c r="O90" s="696"/>
      <c r="P90" s="1179"/>
    </row>
    <row r="91" spans="1:17" s="1178" customFormat="1" ht="13.5" customHeight="1" x14ac:dyDescent="0.2">
      <c r="A91" s="1182" t="s">
        <v>1242</v>
      </c>
      <c r="B91" s="1183"/>
      <c r="C91" s="1182" t="s">
        <v>1242</v>
      </c>
      <c r="D91" s="1183"/>
      <c r="E91" s="1177"/>
      <c r="F91" s="1188"/>
      <c r="G91" s="1185"/>
      <c r="I91" s="696"/>
      <c r="J91" s="696"/>
      <c r="K91" s="696"/>
      <c r="L91" s="696"/>
      <c r="M91" s="696"/>
      <c r="N91" s="696"/>
      <c r="O91" s="696"/>
      <c r="P91" s="1179"/>
    </row>
    <row r="92" spans="1:17" s="1178" customFormat="1" ht="13.5" customHeight="1" x14ac:dyDescent="0.2">
      <c r="A92" s="1182" t="s">
        <v>1248</v>
      </c>
      <c r="B92" s="1183"/>
      <c r="C92" s="1182" t="s">
        <v>1248</v>
      </c>
      <c r="D92" s="1183"/>
      <c r="E92" s="1177"/>
      <c r="F92" s="1188"/>
      <c r="G92" s="1185"/>
      <c r="I92" s="696"/>
      <c r="J92" s="696"/>
      <c r="K92" s="696"/>
      <c r="L92" s="696"/>
      <c r="M92" s="696"/>
      <c r="N92" s="696"/>
      <c r="O92" s="696"/>
      <c r="P92" s="1179"/>
    </row>
    <row r="93" spans="1:17" s="1178" customFormat="1" ht="13.5" customHeight="1" x14ac:dyDescent="0.2">
      <c r="A93" s="1398" t="s">
        <v>1258</v>
      </c>
      <c r="B93" s="1399"/>
      <c r="C93" s="1398" t="s">
        <v>1258</v>
      </c>
      <c r="D93" s="1399"/>
      <c r="E93" s="1177"/>
      <c r="F93" s="1188"/>
      <c r="G93" s="1185"/>
      <c r="I93" s="696"/>
      <c r="J93" s="696"/>
      <c r="K93" s="696"/>
      <c r="L93" s="696"/>
      <c r="M93" s="696"/>
      <c r="N93" s="696"/>
      <c r="O93" s="696"/>
      <c r="P93" s="1179"/>
    </row>
    <row r="94" spans="1:17" s="1175" customFormat="1" ht="13.5" customHeight="1" x14ac:dyDescent="0.2">
      <c r="A94" s="1182" t="s">
        <v>1472</v>
      </c>
      <c r="B94" s="1183"/>
      <c r="C94" s="1182" t="s">
        <v>1472</v>
      </c>
      <c r="D94" s="1183"/>
      <c r="E94" s="1177"/>
      <c r="F94" s="1178"/>
      <c r="G94" s="1178"/>
      <c r="H94" s="1178"/>
      <c r="I94" s="696"/>
      <c r="J94" s="696"/>
      <c r="K94" s="696"/>
      <c r="L94" s="696"/>
      <c r="M94" s="696"/>
      <c r="N94" s="696"/>
      <c r="O94" s="696"/>
      <c r="P94" s="1179"/>
      <c r="Q94" s="696"/>
    </row>
    <row r="95" spans="1:17" s="1175" customFormat="1" ht="13.5" customHeight="1" x14ac:dyDescent="0.2">
      <c r="A95" s="1182" t="s">
        <v>1473</v>
      </c>
      <c r="B95" s="1183"/>
      <c r="C95" s="1182" t="s">
        <v>1473</v>
      </c>
      <c r="D95" s="1183"/>
      <c r="E95" s="1177"/>
      <c r="F95" s="1178"/>
      <c r="G95" s="1178"/>
      <c r="H95" s="1178"/>
      <c r="I95" s="696"/>
      <c r="J95" s="696"/>
      <c r="K95" s="696"/>
      <c r="L95" s="696"/>
      <c r="M95" s="696"/>
      <c r="N95" s="696"/>
      <c r="O95" s="696"/>
      <c r="P95" s="1179"/>
      <c r="Q95" s="696"/>
    </row>
    <row r="96" spans="1:17" s="1178" customFormat="1" ht="13.5" customHeight="1" x14ac:dyDescent="0.2">
      <c r="A96" s="1182" t="s">
        <v>1246</v>
      </c>
      <c r="B96" s="1183"/>
      <c r="C96" s="1182" t="s">
        <v>1246</v>
      </c>
      <c r="D96" s="1183"/>
      <c r="E96" s="1177"/>
      <c r="F96" s="1188"/>
      <c r="G96" s="1185"/>
      <c r="I96" s="696"/>
      <c r="J96" s="696"/>
      <c r="K96" s="696"/>
      <c r="L96" s="696"/>
      <c r="M96" s="696"/>
      <c r="N96" s="696"/>
      <c r="O96" s="696"/>
      <c r="P96" s="1179"/>
    </row>
    <row r="97" spans="1:17" s="1178" customFormat="1" ht="13.5" customHeight="1" x14ac:dyDescent="0.2">
      <c r="A97" s="1182" t="s">
        <v>1241</v>
      </c>
      <c r="B97" s="1183"/>
      <c r="C97" s="1182" t="s">
        <v>1241</v>
      </c>
      <c r="D97" s="1183"/>
      <c r="E97" s="1177"/>
      <c r="F97" s="1188"/>
      <c r="G97" s="1185"/>
      <c r="I97" s="696"/>
      <c r="J97" s="696"/>
      <c r="K97" s="696"/>
      <c r="L97" s="696"/>
      <c r="M97" s="696"/>
      <c r="N97" s="696"/>
      <c r="O97" s="696"/>
      <c r="P97" s="1179"/>
    </row>
    <row r="98" spans="1:17" s="1178" customFormat="1" ht="13.5" customHeight="1" x14ac:dyDescent="0.2">
      <c r="A98" s="1182" t="s">
        <v>1247</v>
      </c>
      <c r="B98" s="1183"/>
      <c r="C98" s="1182" t="s">
        <v>1247</v>
      </c>
      <c r="D98" s="1183"/>
      <c r="E98" s="1177"/>
      <c r="F98" s="1188"/>
      <c r="G98" s="1185"/>
      <c r="I98" s="696"/>
      <c r="J98" s="696"/>
      <c r="K98" s="696"/>
      <c r="L98" s="696"/>
      <c r="M98" s="696"/>
      <c r="N98" s="696"/>
      <c r="O98" s="696"/>
      <c r="P98" s="1179"/>
    </row>
    <row r="99" spans="1:17" s="1178" customFormat="1" ht="13.5" customHeight="1" x14ac:dyDescent="0.2">
      <c r="A99" s="1182" t="s">
        <v>1242</v>
      </c>
      <c r="B99" s="1183"/>
      <c r="C99" s="1182" t="s">
        <v>1242</v>
      </c>
      <c r="D99" s="1183"/>
      <c r="E99" s="1177"/>
      <c r="F99" s="1188"/>
      <c r="G99" s="1185"/>
      <c r="I99" s="696"/>
      <c r="J99" s="696"/>
      <c r="K99" s="696"/>
      <c r="L99" s="696"/>
      <c r="M99" s="696"/>
      <c r="N99" s="696"/>
      <c r="O99" s="696"/>
      <c r="P99" s="1179"/>
    </row>
    <row r="100" spans="1:17" s="1178" customFormat="1" ht="13.5" customHeight="1" x14ac:dyDescent="0.2">
      <c r="A100" s="1182" t="s">
        <v>1248</v>
      </c>
      <c r="B100" s="1183"/>
      <c r="C100" s="1182" t="s">
        <v>1248</v>
      </c>
      <c r="D100" s="1183"/>
      <c r="E100" s="1177"/>
      <c r="F100" s="1188"/>
      <c r="G100" s="1185"/>
      <c r="I100" s="696"/>
      <c r="J100" s="696"/>
      <c r="K100" s="696"/>
      <c r="L100" s="696"/>
      <c r="M100" s="696"/>
      <c r="N100" s="696"/>
      <c r="O100" s="696"/>
      <c r="P100" s="1179"/>
    </row>
    <row r="101" spans="1:17" s="1178" customFormat="1" ht="12.75" customHeight="1" x14ac:dyDescent="0.2">
      <c r="A101" s="1398" t="s">
        <v>1258</v>
      </c>
      <c r="B101" s="1399"/>
      <c r="C101" s="1398" t="s">
        <v>1258</v>
      </c>
      <c r="D101" s="1399"/>
      <c r="E101" s="1177"/>
      <c r="F101" s="1188"/>
      <c r="G101" s="1185"/>
      <c r="I101" s="696"/>
      <c r="J101" s="696"/>
      <c r="K101" s="696"/>
      <c r="L101" s="696"/>
      <c r="M101" s="696"/>
      <c r="N101" s="696"/>
      <c r="O101" s="696"/>
      <c r="P101" s="1179"/>
    </row>
    <row r="102" spans="1:17" s="1175" customFormat="1" ht="13.5" customHeight="1" x14ac:dyDescent="0.2">
      <c r="A102" s="1182" t="s">
        <v>1472</v>
      </c>
      <c r="B102" s="1183"/>
      <c r="C102" s="1182" t="s">
        <v>1472</v>
      </c>
      <c r="D102" s="1183"/>
      <c r="E102" s="1177"/>
      <c r="F102" s="1178"/>
      <c r="G102" s="1178"/>
      <c r="H102" s="1178"/>
      <c r="I102" s="696"/>
      <c r="J102" s="696"/>
      <c r="K102" s="696"/>
      <c r="L102" s="696"/>
      <c r="M102" s="696"/>
      <c r="N102" s="696"/>
      <c r="O102" s="696"/>
      <c r="P102" s="1179"/>
      <c r="Q102" s="696"/>
    </row>
    <row r="103" spans="1:17" s="1178" customFormat="1" ht="12.75" customHeight="1" x14ac:dyDescent="0.2">
      <c r="A103" s="1182" t="s">
        <v>1473</v>
      </c>
      <c r="B103" s="1183"/>
      <c r="C103" s="1182" t="s">
        <v>1473</v>
      </c>
      <c r="D103" s="1183"/>
      <c r="E103" s="1177"/>
      <c r="F103" s="1188"/>
      <c r="G103" s="1185"/>
      <c r="I103" s="696"/>
      <c r="J103" s="696"/>
      <c r="K103" s="696"/>
      <c r="L103" s="696"/>
      <c r="M103" s="696"/>
      <c r="N103" s="696"/>
      <c r="O103" s="696"/>
      <c r="P103" s="1179"/>
    </row>
    <row r="104" spans="1:17" s="1178" customFormat="1" ht="12.75" customHeight="1" x14ac:dyDescent="0.2">
      <c r="A104" s="1182" t="s">
        <v>1246</v>
      </c>
      <c r="B104" s="1183"/>
      <c r="C104" s="1182" t="s">
        <v>1246</v>
      </c>
      <c r="D104" s="1183"/>
      <c r="E104" s="1177"/>
      <c r="F104" s="1188"/>
      <c r="G104" s="1185"/>
      <c r="I104" s="696"/>
      <c r="J104" s="696"/>
      <c r="K104" s="696"/>
      <c r="L104" s="696"/>
      <c r="M104" s="696"/>
      <c r="N104" s="696"/>
      <c r="O104" s="696"/>
      <c r="P104" s="1179"/>
    </row>
    <row r="105" spans="1:17" s="1178" customFormat="1" ht="12.75" customHeight="1" x14ac:dyDescent="0.2">
      <c r="A105" s="1182" t="s">
        <v>1241</v>
      </c>
      <c r="B105" s="1183"/>
      <c r="C105" s="1182" t="s">
        <v>1241</v>
      </c>
      <c r="D105" s="1183"/>
      <c r="E105" s="1177"/>
      <c r="F105" s="1188"/>
      <c r="G105" s="1185"/>
      <c r="I105" s="696"/>
      <c r="J105" s="696"/>
      <c r="K105" s="696"/>
      <c r="L105" s="696"/>
      <c r="M105" s="696"/>
      <c r="N105" s="696"/>
      <c r="O105" s="696"/>
      <c r="P105" s="1179"/>
    </row>
    <row r="106" spans="1:17" s="1202" customFormat="1" ht="12.75" customHeight="1" x14ac:dyDescent="0.2">
      <c r="A106" s="1182" t="s">
        <v>1247</v>
      </c>
      <c r="B106" s="1183"/>
      <c r="C106" s="1182" t="s">
        <v>1247</v>
      </c>
      <c r="D106" s="1183"/>
      <c r="E106" s="1201"/>
      <c r="F106" s="1188"/>
      <c r="G106" s="1185"/>
      <c r="I106" s="696"/>
      <c r="J106" s="696"/>
      <c r="K106" s="696"/>
      <c r="L106" s="696"/>
      <c r="M106" s="696"/>
      <c r="N106" s="696"/>
      <c r="O106" s="696"/>
      <c r="P106" s="1179"/>
      <c r="Q106" s="1178"/>
    </row>
    <row r="107" spans="1:17" s="696" customFormat="1" ht="12.75" customHeight="1" x14ac:dyDescent="0.2">
      <c r="A107" s="1182" t="s">
        <v>1242</v>
      </c>
      <c r="B107" s="1183"/>
      <c r="C107" s="1182" t="s">
        <v>1242</v>
      </c>
      <c r="D107" s="1183"/>
      <c r="E107" s="1203"/>
      <c r="F107" s="1188"/>
      <c r="G107" s="1185"/>
      <c r="P107" s="1179"/>
      <c r="Q107" s="1178"/>
    </row>
    <row r="108" spans="1:17" s="696" customFormat="1" ht="12.75" customHeight="1" x14ac:dyDescent="0.2">
      <c r="A108" s="1182" t="s">
        <v>1248</v>
      </c>
      <c r="B108" s="1183"/>
      <c r="C108" s="1182" t="s">
        <v>1248</v>
      </c>
      <c r="D108" s="1183"/>
      <c r="E108" s="1203"/>
      <c r="F108" s="1188"/>
      <c r="G108" s="1185"/>
      <c r="P108" s="1179"/>
      <c r="Q108" s="1178"/>
    </row>
    <row r="109" spans="1:17" s="1178" customFormat="1" ht="12.75" customHeight="1" x14ac:dyDescent="0.2">
      <c r="A109" s="1398" t="s">
        <v>1258</v>
      </c>
      <c r="B109" s="1399"/>
      <c r="C109" s="1398" t="s">
        <v>1258</v>
      </c>
      <c r="D109" s="1399"/>
      <c r="E109" s="1177"/>
      <c r="I109" s="696"/>
      <c r="J109" s="696"/>
      <c r="K109" s="696"/>
      <c r="L109" s="696"/>
      <c r="M109" s="696"/>
      <c r="N109" s="696"/>
      <c r="O109" s="696"/>
      <c r="P109" s="1179"/>
    </row>
    <row r="110" spans="1:17" s="1175" customFormat="1" ht="13.5" customHeight="1" x14ac:dyDescent="0.2">
      <c r="A110" s="1182" t="s">
        <v>1472</v>
      </c>
      <c r="B110" s="1183"/>
      <c r="C110" s="1182" t="s">
        <v>1472</v>
      </c>
      <c r="D110" s="1183"/>
      <c r="E110" s="1177"/>
      <c r="F110" s="1178"/>
      <c r="G110" s="1178"/>
      <c r="H110" s="1178"/>
      <c r="I110" s="696"/>
      <c r="J110" s="696"/>
      <c r="K110" s="696"/>
      <c r="L110" s="696"/>
      <c r="M110" s="696"/>
      <c r="N110" s="696"/>
      <c r="O110" s="696"/>
      <c r="P110" s="1179"/>
      <c r="Q110" s="696"/>
    </row>
    <row r="111" spans="1:17" s="1178" customFormat="1" ht="12.75" customHeight="1" x14ac:dyDescent="0.2">
      <c r="A111" s="1182" t="s">
        <v>1473</v>
      </c>
      <c r="B111" s="1183"/>
      <c r="C111" s="1182" t="s">
        <v>1473</v>
      </c>
      <c r="D111" s="1183"/>
      <c r="E111" s="1177"/>
      <c r="I111" s="696"/>
      <c r="J111" s="696"/>
      <c r="K111" s="696"/>
      <c r="L111" s="696"/>
      <c r="M111" s="696"/>
      <c r="N111" s="696"/>
      <c r="O111" s="696"/>
      <c r="P111" s="1179"/>
    </row>
    <row r="112" spans="1:17" s="1178" customFormat="1" ht="12.75" customHeight="1" x14ac:dyDescent="0.2">
      <c r="A112" s="1182" t="s">
        <v>1246</v>
      </c>
      <c r="B112" s="1183"/>
      <c r="C112" s="1182" t="s">
        <v>1246</v>
      </c>
      <c r="D112" s="1183"/>
      <c r="E112" s="1177"/>
      <c r="I112" s="696"/>
      <c r="J112" s="696"/>
      <c r="K112" s="696"/>
      <c r="L112" s="696"/>
      <c r="M112" s="696"/>
      <c r="N112" s="696"/>
      <c r="O112" s="696"/>
      <c r="P112" s="1179"/>
    </row>
    <row r="113" spans="1:25" s="1178" customFormat="1" ht="12.75" customHeight="1" x14ac:dyDescent="0.2">
      <c r="A113" s="1182" t="s">
        <v>1241</v>
      </c>
      <c r="B113" s="1183"/>
      <c r="C113" s="1182" t="s">
        <v>1241</v>
      </c>
      <c r="D113" s="1183"/>
      <c r="E113" s="1177"/>
      <c r="I113" s="696"/>
      <c r="J113" s="696"/>
      <c r="K113" s="696"/>
      <c r="L113" s="696"/>
      <c r="M113" s="696"/>
      <c r="N113" s="696"/>
      <c r="O113" s="696"/>
      <c r="P113" s="1179"/>
    </row>
    <row r="114" spans="1:25" s="1175" customFormat="1" ht="12.75" customHeight="1" x14ac:dyDescent="0.2">
      <c r="A114" s="1182" t="s">
        <v>1247</v>
      </c>
      <c r="B114" s="1183"/>
      <c r="C114" s="1182" t="s">
        <v>1247</v>
      </c>
      <c r="D114" s="1183"/>
      <c r="E114" s="1204"/>
      <c r="F114" s="1178"/>
      <c r="G114" s="1178"/>
      <c r="H114" s="1178"/>
      <c r="I114" s="696"/>
      <c r="J114" s="696"/>
      <c r="K114" s="696"/>
      <c r="L114" s="696"/>
      <c r="M114" s="696"/>
      <c r="N114" s="696"/>
      <c r="O114" s="696"/>
      <c r="P114" s="1179"/>
      <c r="Q114" s="1178"/>
      <c r="R114" s="1205"/>
      <c r="S114" s="1205"/>
      <c r="T114" s="1205"/>
      <c r="U114" s="1205"/>
      <c r="V114" s="1205"/>
      <c r="W114" s="1205"/>
      <c r="X114" s="1205"/>
      <c r="Y114" s="1205"/>
    </row>
    <row r="115" spans="1:25" s="1175" customFormat="1" ht="12.75" customHeight="1" x14ac:dyDescent="0.2">
      <c r="A115" s="1182" t="s">
        <v>1242</v>
      </c>
      <c r="B115" s="1183"/>
      <c r="C115" s="1182" t="s">
        <v>1242</v>
      </c>
      <c r="D115" s="1183"/>
      <c r="E115" s="1204"/>
      <c r="F115" s="1178"/>
      <c r="G115" s="1178"/>
      <c r="H115" s="1178"/>
      <c r="I115" s="696"/>
      <c r="J115" s="696"/>
      <c r="K115" s="696"/>
      <c r="L115" s="696"/>
      <c r="M115" s="696"/>
      <c r="N115" s="696"/>
      <c r="O115" s="696"/>
      <c r="P115" s="1179"/>
      <c r="Q115" s="1178"/>
      <c r="R115" s="1205"/>
      <c r="S115" s="1205"/>
      <c r="T115" s="1205"/>
      <c r="U115" s="1205"/>
      <c r="V115" s="1205"/>
      <c r="W115" s="1205"/>
      <c r="X115" s="1205"/>
      <c r="Y115" s="1205"/>
    </row>
    <row r="116" spans="1:25" s="1175" customFormat="1" ht="12.75" customHeight="1" x14ac:dyDescent="0.2">
      <c r="A116" s="1182" t="s">
        <v>1248</v>
      </c>
      <c r="B116" s="1183"/>
      <c r="C116" s="1182" t="s">
        <v>1248</v>
      </c>
      <c r="D116" s="1183"/>
      <c r="E116" s="1204"/>
      <c r="F116" s="1178"/>
      <c r="G116" s="1178"/>
      <c r="H116" s="1178"/>
      <c r="I116" s="696"/>
      <c r="J116" s="696"/>
      <c r="K116" s="696"/>
      <c r="L116" s="696"/>
      <c r="M116" s="696"/>
      <c r="N116" s="696"/>
      <c r="O116" s="696"/>
      <c r="P116" s="1179"/>
      <c r="Q116" s="1178"/>
      <c r="R116" s="1205"/>
      <c r="S116" s="1205"/>
      <c r="T116" s="1205"/>
      <c r="U116" s="1205"/>
      <c r="V116" s="1205"/>
      <c r="W116" s="1205"/>
      <c r="X116" s="1205"/>
      <c r="Y116" s="1205"/>
    </row>
    <row r="117" spans="1:25" s="1175" customFormat="1" ht="12.75" customHeight="1" x14ac:dyDescent="0.2">
      <c r="A117" s="1398" t="s">
        <v>1258</v>
      </c>
      <c r="B117" s="1399"/>
      <c r="C117" s="1398" t="s">
        <v>1258</v>
      </c>
      <c r="D117" s="1399"/>
      <c r="E117" s="1204"/>
      <c r="F117" s="1178"/>
      <c r="G117" s="1178"/>
      <c r="H117" s="1178"/>
      <c r="I117" s="696"/>
      <c r="J117" s="696"/>
      <c r="K117" s="696"/>
      <c r="L117" s="696"/>
      <c r="M117" s="696"/>
      <c r="N117" s="696"/>
      <c r="O117" s="696"/>
      <c r="P117" s="1179"/>
      <c r="Q117" s="1178"/>
      <c r="R117" s="1205"/>
      <c r="S117" s="1205"/>
      <c r="T117" s="1205"/>
      <c r="U117" s="1205"/>
      <c r="V117" s="1205"/>
      <c r="W117" s="1205"/>
      <c r="X117" s="1205"/>
      <c r="Y117" s="1205"/>
    </row>
    <row r="118" spans="1:25" s="1175" customFormat="1" ht="13.5" customHeight="1" x14ac:dyDescent="0.2">
      <c r="A118" s="1182" t="s">
        <v>1472</v>
      </c>
      <c r="B118" s="1183"/>
      <c r="C118" s="1182" t="s">
        <v>1472</v>
      </c>
      <c r="D118" s="1183"/>
      <c r="E118" s="1177"/>
      <c r="F118" s="1178"/>
      <c r="G118" s="1178"/>
      <c r="H118" s="1178"/>
      <c r="I118" s="696"/>
      <c r="J118" s="696"/>
      <c r="K118" s="696"/>
      <c r="L118" s="696"/>
      <c r="M118" s="696"/>
      <c r="N118" s="696"/>
      <c r="O118" s="696"/>
      <c r="P118" s="1179"/>
      <c r="Q118" s="696"/>
    </row>
    <row r="119" spans="1:25" s="1175" customFormat="1" ht="12.75" customHeight="1" x14ac:dyDescent="0.2">
      <c r="A119" s="1182" t="s">
        <v>1473</v>
      </c>
      <c r="B119" s="1183"/>
      <c r="C119" s="1182" t="s">
        <v>1473</v>
      </c>
      <c r="D119" s="1183"/>
      <c r="E119" s="1204"/>
      <c r="F119" s="1178"/>
      <c r="G119" s="1178"/>
      <c r="H119" s="1178"/>
      <c r="I119" s="696"/>
      <c r="J119" s="696"/>
      <c r="K119" s="696"/>
      <c r="L119" s="696"/>
      <c r="M119" s="696"/>
      <c r="N119" s="696"/>
      <c r="O119" s="696"/>
      <c r="P119" s="1179"/>
      <c r="Q119" s="1178"/>
      <c r="R119" s="1205"/>
      <c r="S119" s="1205"/>
      <c r="T119" s="1205"/>
      <c r="U119" s="1205"/>
      <c r="V119" s="1205"/>
      <c r="W119" s="1205"/>
      <c r="X119" s="1205"/>
      <c r="Y119" s="1205"/>
    </row>
    <row r="120" spans="1:25" s="1175" customFormat="1" ht="12.75" customHeight="1" x14ac:dyDescent="0.2">
      <c r="A120" s="1182" t="s">
        <v>1246</v>
      </c>
      <c r="B120" s="1183"/>
      <c r="C120" s="1182" t="s">
        <v>1246</v>
      </c>
      <c r="D120" s="1183"/>
      <c r="E120" s="1204"/>
      <c r="F120" s="1178"/>
      <c r="G120" s="1178"/>
      <c r="H120" s="1178"/>
      <c r="I120" s="696"/>
      <c r="J120" s="696"/>
      <c r="K120" s="696"/>
      <c r="L120" s="696"/>
      <c r="M120" s="696"/>
      <c r="N120" s="696"/>
      <c r="O120" s="696"/>
      <c r="P120" s="1179"/>
      <c r="Q120" s="1178"/>
      <c r="R120" s="1205"/>
      <c r="S120" s="1205"/>
      <c r="T120" s="1205"/>
      <c r="U120" s="1205"/>
      <c r="V120" s="1205"/>
      <c r="W120" s="1205"/>
      <c r="X120" s="1205"/>
      <c r="Y120" s="1205"/>
    </row>
    <row r="121" spans="1:25" s="1175" customFormat="1" ht="12.75" customHeight="1" x14ac:dyDescent="0.2">
      <c r="A121" s="1182" t="s">
        <v>1241</v>
      </c>
      <c r="B121" s="1183"/>
      <c r="C121" s="1182" t="s">
        <v>1241</v>
      </c>
      <c r="D121" s="1183"/>
      <c r="E121" s="1204"/>
      <c r="F121" s="1178"/>
      <c r="G121" s="1178"/>
      <c r="H121" s="1178"/>
      <c r="I121" s="696"/>
      <c r="J121" s="696"/>
      <c r="K121" s="696"/>
      <c r="L121" s="696"/>
      <c r="M121" s="696"/>
      <c r="N121" s="696"/>
      <c r="O121" s="696"/>
      <c r="P121" s="1179"/>
      <c r="Q121" s="1178"/>
      <c r="R121" s="1205"/>
      <c r="S121" s="1205"/>
      <c r="T121" s="1205"/>
      <c r="U121" s="1205"/>
      <c r="V121" s="1205"/>
      <c r="W121" s="1205"/>
      <c r="X121" s="1205"/>
      <c r="Y121" s="1205"/>
    </row>
    <row r="122" spans="1:25" s="1175" customFormat="1" ht="12.75" customHeight="1" x14ac:dyDescent="0.2">
      <c r="A122" s="1182" t="s">
        <v>1247</v>
      </c>
      <c r="B122" s="1183"/>
      <c r="C122" s="1182" t="s">
        <v>1247</v>
      </c>
      <c r="D122" s="1183"/>
      <c r="E122" s="1204"/>
      <c r="F122" s="1178"/>
      <c r="G122" s="1178"/>
      <c r="H122" s="1178"/>
      <c r="I122" s="696"/>
      <c r="J122" s="696"/>
      <c r="K122" s="696"/>
      <c r="L122" s="696"/>
      <c r="M122" s="696"/>
      <c r="N122" s="696"/>
      <c r="O122" s="696"/>
      <c r="P122" s="1179"/>
      <c r="Q122" s="1178"/>
      <c r="R122" s="1205"/>
      <c r="S122" s="1205"/>
      <c r="T122" s="1205"/>
      <c r="U122" s="1205"/>
      <c r="V122" s="1205"/>
      <c r="W122" s="1205"/>
      <c r="X122" s="1205"/>
      <c r="Y122" s="1205"/>
    </row>
    <row r="123" spans="1:25" s="1175" customFormat="1" ht="12.75" customHeight="1" x14ac:dyDescent="0.2">
      <c r="A123" s="1182" t="s">
        <v>1242</v>
      </c>
      <c r="B123" s="1183"/>
      <c r="C123" s="1182" t="s">
        <v>1242</v>
      </c>
      <c r="D123" s="1183"/>
      <c r="E123" s="1204"/>
      <c r="F123" s="1178"/>
      <c r="G123" s="1178"/>
      <c r="H123" s="1178"/>
      <c r="I123" s="696"/>
      <c r="J123" s="696"/>
      <c r="K123" s="696"/>
      <c r="L123" s="696"/>
      <c r="M123" s="696"/>
      <c r="N123" s="696"/>
      <c r="O123" s="696"/>
      <c r="P123" s="1179"/>
      <c r="Q123" s="1178"/>
      <c r="R123" s="1205"/>
      <c r="S123" s="1205"/>
      <c r="T123" s="1205"/>
      <c r="U123" s="1205"/>
      <c r="V123" s="1205"/>
      <c r="W123" s="1205"/>
      <c r="X123" s="1205"/>
      <c r="Y123" s="1205"/>
    </row>
    <row r="124" spans="1:25" s="1175" customFormat="1" ht="12.75" customHeight="1" x14ac:dyDescent="0.2">
      <c r="A124" s="1182" t="s">
        <v>1248</v>
      </c>
      <c r="B124" s="1183"/>
      <c r="C124" s="1182" t="s">
        <v>1248</v>
      </c>
      <c r="D124" s="1183"/>
      <c r="E124" s="1204"/>
      <c r="F124" s="1178"/>
      <c r="G124" s="1178"/>
      <c r="H124" s="1178"/>
      <c r="I124" s="696"/>
      <c r="J124" s="696"/>
      <c r="K124" s="696"/>
      <c r="L124" s="696"/>
      <c r="M124" s="696"/>
      <c r="N124" s="696"/>
      <c r="O124" s="696"/>
      <c r="P124" s="1179"/>
      <c r="Q124" s="1178"/>
      <c r="R124" s="1205"/>
      <c r="S124" s="1205"/>
      <c r="T124" s="1205"/>
      <c r="U124" s="1205"/>
      <c r="V124" s="1205"/>
      <c r="W124" s="1205"/>
      <c r="X124" s="1205"/>
      <c r="Y124" s="1205"/>
    </row>
    <row r="125" spans="1:25" s="1175" customFormat="1" ht="12.75" customHeight="1" x14ac:dyDescent="0.2">
      <c r="A125" s="1398" t="s">
        <v>1258</v>
      </c>
      <c r="B125" s="1399"/>
      <c r="C125" s="1398" t="s">
        <v>1258</v>
      </c>
      <c r="D125" s="1399"/>
      <c r="E125" s="1204"/>
      <c r="F125" s="1178"/>
      <c r="G125" s="1178"/>
      <c r="H125" s="1178"/>
      <c r="I125" s="696"/>
      <c r="J125" s="696"/>
      <c r="K125" s="696"/>
      <c r="L125" s="696"/>
      <c r="M125" s="696"/>
      <c r="N125" s="696"/>
      <c r="O125" s="696"/>
      <c r="P125" s="1179"/>
      <c r="Q125" s="1178"/>
      <c r="R125" s="1205"/>
      <c r="S125" s="1205"/>
      <c r="T125" s="1205"/>
      <c r="U125" s="1205"/>
      <c r="V125" s="1205"/>
      <c r="W125" s="1205"/>
      <c r="X125" s="1205"/>
      <c r="Y125" s="1205"/>
    </row>
    <row r="126" spans="1:25" s="1175" customFormat="1" ht="13.5" customHeight="1" x14ac:dyDescent="0.2">
      <c r="A126" s="1182" t="s">
        <v>1472</v>
      </c>
      <c r="B126" s="1183"/>
      <c r="C126" s="1182" t="s">
        <v>1472</v>
      </c>
      <c r="D126" s="1183"/>
      <c r="E126" s="1177"/>
      <c r="F126" s="1178"/>
      <c r="G126" s="1178"/>
      <c r="H126" s="1178"/>
      <c r="I126" s="696"/>
      <c r="J126" s="696"/>
      <c r="K126" s="696"/>
      <c r="L126" s="696"/>
      <c r="M126" s="696"/>
      <c r="N126" s="696"/>
      <c r="O126" s="696"/>
      <c r="P126" s="1179"/>
      <c r="Q126" s="696"/>
    </row>
    <row r="127" spans="1:25" s="1175" customFormat="1" ht="12.75" customHeight="1" x14ac:dyDescent="0.2">
      <c r="A127" s="1182" t="s">
        <v>1473</v>
      </c>
      <c r="B127" s="1183"/>
      <c r="C127" s="1182" t="s">
        <v>1473</v>
      </c>
      <c r="D127" s="1183"/>
      <c r="E127" s="1204"/>
      <c r="F127" s="1178"/>
      <c r="G127" s="1178"/>
      <c r="H127" s="1178"/>
      <c r="I127" s="696"/>
      <c r="J127" s="696"/>
      <c r="K127" s="696"/>
      <c r="L127" s="696"/>
      <c r="M127" s="696"/>
      <c r="N127" s="696"/>
      <c r="O127" s="696"/>
      <c r="P127" s="1179"/>
      <c r="Q127" s="1178"/>
      <c r="R127" s="1205"/>
      <c r="S127" s="1205"/>
      <c r="T127" s="1205"/>
      <c r="U127" s="1205"/>
      <c r="V127" s="1205"/>
      <c r="W127" s="1205"/>
      <c r="X127" s="1205"/>
      <c r="Y127" s="1205"/>
    </row>
    <row r="128" spans="1:25" s="1175" customFormat="1" ht="12.75" customHeight="1" x14ac:dyDescent="0.2">
      <c r="A128" s="1182" t="s">
        <v>1246</v>
      </c>
      <c r="B128" s="1183"/>
      <c r="C128" s="1182" t="s">
        <v>1246</v>
      </c>
      <c r="D128" s="1183"/>
      <c r="E128" s="1204"/>
      <c r="F128" s="1178"/>
      <c r="G128" s="1178"/>
      <c r="H128" s="1178"/>
      <c r="I128" s="696"/>
      <c r="J128" s="696"/>
      <c r="K128" s="696"/>
      <c r="L128" s="696"/>
      <c r="M128" s="696"/>
      <c r="N128" s="696"/>
      <c r="O128" s="696"/>
      <c r="P128" s="1179"/>
      <c r="Q128" s="1178"/>
      <c r="R128" s="1205"/>
      <c r="S128" s="1205"/>
      <c r="T128" s="1205"/>
      <c r="U128" s="1205"/>
      <c r="V128" s="1205"/>
      <c r="W128" s="1205"/>
      <c r="X128" s="1205"/>
      <c r="Y128" s="1205"/>
    </row>
    <row r="129" spans="1:25" s="1175" customFormat="1" ht="12.75" customHeight="1" x14ac:dyDescent="0.2">
      <c r="A129" s="1182" t="s">
        <v>1241</v>
      </c>
      <c r="B129" s="1183"/>
      <c r="C129" s="1182" t="s">
        <v>1241</v>
      </c>
      <c r="D129" s="1183"/>
      <c r="E129" s="1204"/>
      <c r="F129" s="1178"/>
      <c r="G129" s="1178"/>
      <c r="H129" s="1178"/>
      <c r="I129" s="696"/>
      <c r="J129" s="696"/>
      <c r="K129" s="696"/>
      <c r="L129" s="696"/>
      <c r="M129" s="696"/>
      <c r="N129" s="696"/>
      <c r="O129" s="696"/>
      <c r="P129" s="1179"/>
      <c r="Q129" s="1178"/>
      <c r="R129" s="1205"/>
      <c r="S129" s="1205"/>
      <c r="T129" s="1205"/>
      <c r="U129" s="1205"/>
      <c r="V129" s="1205"/>
      <c r="W129" s="1205"/>
      <c r="X129" s="1205"/>
      <c r="Y129" s="1205"/>
    </row>
    <row r="130" spans="1:25" s="1175" customFormat="1" ht="12.75" customHeight="1" x14ac:dyDescent="0.2">
      <c r="A130" s="1182" t="s">
        <v>1247</v>
      </c>
      <c r="B130" s="1183"/>
      <c r="C130" s="1182" t="s">
        <v>1247</v>
      </c>
      <c r="D130" s="1183"/>
      <c r="E130" s="1204"/>
      <c r="F130" s="1178"/>
      <c r="G130" s="1178"/>
      <c r="H130" s="1178"/>
      <c r="I130" s="696"/>
      <c r="J130" s="696"/>
      <c r="K130" s="696"/>
      <c r="L130" s="696"/>
      <c r="M130" s="696"/>
      <c r="N130" s="696"/>
      <c r="O130" s="696"/>
      <c r="P130" s="1179"/>
      <c r="Q130" s="1178"/>
      <c r="R130" s="1205"/>
      <c r="S130" s="1205"/>
      <c r="T130" s="1205"/>
      <c r="U130" s="1205"/>
      <c r="V130" s="1205"/>
      <c r="W130" s="1205"/>
      <c r="X130" s="1205"/>
      <c r="Y130" s="1205"/>
    </row>
    <row r="131" spans="1:25" s="1175" customFormat="1" ht="12.75" customHeight="1" x14ac:dyDescent="0.2">
      <c r="A131" s="1182" t="s">
        <v>1242</v>
      </c>
      <c r="B131" s="1183"/>
      <c r="C131" s="1182" t="s">
        <v>1242</v>
      </c>
      <c r="D131" s="1183"/>
      <c r="E131" s="1204"/>
      <c r="F131" s="1178"/>
      <c r="G131" s="1178"/>
      <c r="H131" s="1178"/>
      <c r="I131" s="696"/>
      <c r="J131" s="696"/>
      <c r="K131" s="696"/>
      <c r="L131" s="696"/>
      <c r="M131" s="696"/>
      <c r="N131" s="696"/>
      <c r="O131" s="696"/>
      <c r="P131" s="1179"/>
      <c r="Q131" s="1178"/>
      <c r="R131" s="1205"/>
      <c r="S131" s="1205"/>
      <c r="T131" s="1205"/>
      <c r="U131" s="1205"/>
      <c r="V131" s="1205"/>
      <c r="W131" s="1205"/>
      <c r="X131" s="1205"/>
      <c r="Y131" s="1205"/>
    </row>
    <row r="132" spans="1:25" s="1175" customFormat="1" ht="12.75" customHeight="1" x14ac:dyDescent="0.2">
      <c r="A132" s="1182" t="s">
        <v>1248</v>
      </c>
      <c r="B132" s="1183"/>
      <c r="C132" s="1182" t="s">
        <v>1248</v>
      </c>
      <c r="D132" s="1183"/>
      <c r="E132" s="1204"/>
      <c r="F132" s="1178"/>
      <c r="G132" s="1178"/>
      <c r="H132" s="1178"/>
      <c r="I132" s="696"/>
      <c r="J132" s="696"/>
      <c r="K132" s="696"/>
      <c r="L132" s="696"/>
      <c r="M132" s="696"/>
      <c r="N132" s="696"/>
      <c r="O132" s="696"/>
      <c r="P132" s="1179"/>
      <c r="Q132" s="1178"/>
      <c r="R132" s="1205"/>
      <c r="S132" s="1205"/>
      <c r="T132" s="1205"/>
      <c r="U132" s="1205"/>
      <c r="V132" s="1205"/>
      <c r="W132" s="1205"/>
      <c r="X132" s="1205"/>
      <c r="Y132" s="1205"/>
    </row>
    <row r="133" spans="1:25" s="1175" customFormat="1" ht="12.75" customHeight="1" x14ac:dyDescent="0.2">
      <c r="A133" s="1398" t="s">
        <v>1258</v>
      </c>
      <c r="B133" s="1399"/>
      <c r="C133" s="1414"/>
      <c r="D133" s="1415"/>
      <c r="E133" s="1204"/>
      <c r="F133" s="1178"/>
      <c r="G133" s="1178"/>
      <c r="H133" s="1178"/>
      <c r="I133" s="696"/>
      <c r="J133" s="696"/>
      <c r="K133" s="696"/>
      <c r="L133" s="696"/>
      <c r="M133" s="696"/>
      <c r="N133" s="696"/>
      <c r="O133" s="696"/>
      <c r="P133" s="1179"/>
      <c r="Q133" s="1178"/>
      <c r="R133" s="1205"/>
      <c r="S133" s="1205"/>
      <c r="T133" s="1205"/>
      <c r="U133" s="1205"/>
      <c r="V133" s="1205"/>
      <c r="W133" s="1205"/>
      <c r="X133" s="1205"/>
      <c r="Y133" s="1205"/>
    </row>
    <row r="134" spans="1:25" s="1175" customFormat="1" ht="12.75" customHeight="1" x14ac:dyDescent="0.2">
      <c r="A134" s="1182" t="s">
        <v>1472</v>
      </c>
      <c r="B134" s="1183"/>
      <c r="C134" s="1206"/>
      <c r="D134" s="1207"/>
      <c r="E134" s="1204"/>
      <c r="F134" s="1178"/>
      <c r="G134" s="1178"/>
      <c r="H134" s="1178"/>
      <c r="I134" s="696"/>
      <c r="J134" s="696"/>
      <c r="K134" s="696"/>
      <c r="L134" s="696"/>
      <c r="M134" s="696"/>
      <c r="N134" s="696"/>
      <c r="O134" s="696"/>
      <c r="P134" s="1179"/>
      <c r="Q134" s="1178"/>
      <c r="R134" s="1205"/>
      <c r="S134" s="1205"/>
      <c r="T134" s="1205"/>
      <c r="U134" s="1205"/>
      <c r="V134" s="1205"/>
      <c r="W134" s="1205"/>
      <c r="X134" s="1205"/>
      <c r="Y134" s="1205"/>
    </row>
    <row r="135" spans="1:25" s="1175" customFormat="1" ht="12.75" customHeight="1" x14ac:dyDescent="0.2">
      <c r="A135" s="1182" t="s">
        <v>1473</v>
      </c>
      <c r="B135" s="1183"/>
      <c r="C135" s="1206"/>
      <c r="D135" s="1207"/>
      <c r="E135" s="1204"/>
      <c r="F135" s="1178"/>
      <c r="G135" s="1178"/>
      <c r="H135" s="1178"/>
      <c r="I135" s="696"/>
      <c r="J135" s="696"/>
      <c r="K135" s="696"/>
      <c r="L135" s="696"/>
      <c r="M135" s="696"/>
      <c r="N135" s="696"/>
      <c r="O135" s="696"/>
      <c r="P135" s="1179"/>
      <c r="Q135" s="1178"/>
      <c r="R135" s="1205"/>
      <c r="S135" s="1205"/>
      <c r="T135" s="1205"/>
      <c r="U135" s="1205"/>
      <c r="V135" s="1205"/>
      <c r="W135" s="1205"/>
      <c r="X135" s="1205"/>
      <c r="Y135" s="1205"/>
    </row>
    <row r="136" spans="1:25" s="1175" customFormat="1" ht="12.75" customHeight="1" x14ac:dyDescent="0.2">
      <c r="A136" s="1182" t="s">
        <v>1246</v>
      </c>
      <c r="B136" s="1183"/>
      <c r="C136" s="1206"/>
      <c r="D136" s="1207"/>
      <c r="E136" s="1204"/>
      <c r="F136" s="1178"/>
      <c r="G136" s="1178"/>
      <c r="H136" s="1178"/>
      <c r="I136" s="696"/>
      <c r="J136" s="696"/>
      <c r="K136" s="696"/>
      <c r="L136" s="696"/>
      <c r="M136" s="696"/>
      <c r="N136" s="696"/>
      <c r="O136" s="696"/>
      <c r="P136" s="1179"/>
      <c r="Q136" s="1178"/>
      <c r="R136" s="1205"/>
      <c r="S136" s="1205"/>
      <c r="T136" s="1205"/>
      <c r="U136" s="1205"/>
      <c r="V136" s="1205"/>
      <c r="W136" s="1205"/>
      <c r="X136" s="1205"/>
      <c r="Y136" s="1205"/>
    </row>
    <row r="137" spans="1:25" s="1175" customFormat="1" ht="12.75" customHeight="1" x14ac:dyDescent="0.2">
      <c r="A137" s="1182" t="s">
        <v>1241</v>
      </c>
      <c r="B137" s="1183"/>
      <c r="C137" s="1206"/>
      <c r="D137" s="1207"/>
      <c r="E137" s="1204"/>
      <c r="F137" s="1178"/>
      <c r="G137" s="1178"/>
      <c r="H137" s="1178"/>
      <c r="I137" s="696"/>
      <c r="J137" s="696"/>
      <c r="K137" s="696"/>
      <c r="L137" s="696"/>
      <c r="M137" s="696"/>
      <c r="N137" s="696"/>
      <c r="O137" s="696"/>
      <c r="P137" s="1179"/>
      <c r="Q137" s="1178"/>
      <c r="R137" s="1205"/>
      <c r="S137" s="1205"/>
      <c r="T137" s="1205"/>
      <c r="U137" s="1205"/>
      <c r="V137" s="1205"/>
      <c r="W137" s="1205"/>
      <c r="X137" s="1205"/>
      <c r="Y137" s="1205"/>
    </row>
    <row r="138" spans="1:25" s="1175" customFormat="1" ht="12.75" customHeight="1" x14ac:dyDescent="0.2">
      <c r="A138" s="1182" t="s">
        <v>1247</v>
      </c>
      <c r="B138" s="1183"/>
      <c r="C138" s="1206"/>
      <c r="D138" s="1207"/>
      <c r="E138" s="1204"/>
      <c r="F138" s="1178"/>
      <c r="G138" s="1178"/>
      <c r="H138" s="1178"/>
      <c r="I138" s="696"/>
      <c r="J138" s="696"/>
      <c r="K138" s="696"/>
      <c r="L138" s="696"/>
      <c r="M138" s="696"/>
      <c r="N138" s="696"/>
      <c r="O138" s="696"/>
      <c r="P138" s="1179"/>
      <c r="Q138" s="1178"/>
      <c r="R138" s="1205"/>
      <c r="S138" s="1205"/>
      <c r="T138" s="1205"/>
      <c r="U138" s="1205"/>
      <c r="V138" s="1205"/>
      <c r="W138" s="1205"/>
      <c r="X138" s="1205"/>
      <c r="Y138" s="1205"/>
    </row>
    <row r="139" spans="1:25" s="1175" customFormat="1" ht="12.75" customHeight="1" x14ac:dyDescent="0.2">
      <c r="A139" s="1182" t="s">
        <v>1242</v>
      </c>
      <c r="B139" s="1183"/>
      <c r="C139" s="1206"/>
      <c r="D139" s="1207"/>
      <c r="E139" s="1204"/>
      <c r="F139" s="1178"/>
      <c r="G139" s="1178"/>
      <c r="H139" s="1178"/>
      <c r="I139" s="696"/>
      <c r="J139" s="696"/>
      <c r="K139" s="696"/>
      <c r="L139" s="696"/>
      <c r="M139" s="696"/>
      <c r="N139" s="696"/>
      <c r="O139" s="696"/>
      <c r="P139" s="1179"/>
      <c r="Q139" s="1178"/>
      <c r="R139" s="1205"/>
      <c r="S139" s="1205"/>
      <c r="T139" s="1205"/>
      <c r="U139" s="1205"/>
      <c r="V139" s="1205"/>
      <c r="W139" s="1205"/>
      <c r="X139" s="1205"/>
      <c r="Y139" s="1205"/>
    </row>
    <row r="140" spans="1:25" s="1175" customFormat="1" ht="12.75" customHeight="1" x14ac:dyDescent="0.2">
      <c r="A140" s="1182" t="s">
        <v>1248</v>
      </c>
      <c r="B140" s="1183"/>
      <c r="C140" s="1206"/>
      <c r="D140" s="1207"/>
      <c r="E140" s="1204"/>
      <c r="F140" s="1178"/>
      <c r="G140" s="1178"/>
      <c r="H140" s="1178"/>
      <c r="I140" s="696"/>
      <c r="J140" s="696"/>
      <c r="K140" s="696"/>
      <c r="L140" s="696"/>
      <c r="M140" s="696"/>
      <c r="N140" s="696"/>
      <c r="O140" s="696"/>
      <c r="P140" s="1179"/>
      <c r="Q140" s="1178"/>
      <c r="R140" s="1205"/>
      <c r="S140" s="1205"/>
      <c r="T140" s="1205"/>
      <c r="U140" s="1205"/>
      <c r="V140" s="1205"/>
      <c r="W140" s="1205"/>
      <c r="X140" s="1205"/>
      <c r="Y140" s="1205"/>
    </row>
    <row r="141" spans="1:25" s="252" customFormat="1" ht="12.75" customHeight="1" x14ac:dyDescent="0.2">
      <c r="C141" s="923"/>
      <c r="D141" s="923"/>
      <c r="E141" s="923"/>
      <c r="F141" s="963"/>
      <c r="G141" s="935"/>
      <c r="P141" s="936"/>
    </row>
    <row r="142" spans="1:25" s="252" customFormat="1" ht="12.75" customHeight="1" x14ac:dyDescent="0.2">
      <c r="E142" s="923"/>
      <c r="F142" s="963"/>
      <c r="G142" s="935"/>
      <c r="P142" s="936"/>
    </row>
    <row r="143" spans="1:25" s="252" customFormat="1" ht="12.75" customHeight="1" x14ac:dyDescent="0.25">
      <c r="A143" s="943"/>
      <c r="B143" s="283"/>
      <c r="C143" s="283"/>
      <c r="D143" s="283"/>
      <c r="E143" s="923"/>
      <c r="F143" s="963"/>
      <c r="G143" s="935"/>
      <c r="P143" s="936"/>
    </row>
    <row r="144" spans="1:25" s="252" customFormat="1" ht="12.75" customHeight="1" x14ac:dyDescent="0.2">
      <c r="E144" s="923"/>
      <c r="F144" s="963"/>
      <c r="G144" s="935"/>
      <c r="P144" s="936"/>
    </row>
    <row r="145" spans="1:25" s="283" customFormat="1" ht="12.75" customHeight="1" x14ac:dyDescent="0.25">
      <c r="A145" s="923"/>
      <c r="B145" s="923"/>
      <c r="C145" s="923"/>
      <c r="D145" s="923"/>
      <c r="E145" s="973"/>
      <c r="F145" s="963"/>
      <c r="G145" s="935"/>
      <c r="I145" s="252"/>
      <c r="J145" s="252"/>
      <c r="K145" s="252"/>
      <c r="L145" s="252"/>
      <c r="M145" s="252"/>
      <c r="N145" s="252"/>
      <c r="O145" s="252"/>
      <c r="P145" s="936"/>
      <c r="Q145" s="252"/>
    </row>
    <row r="146" spans="1:25" s="252" customFormat="1" ht="12.75" customHeight="1" x14ac:dyDescent="0.2">
      <c r="A146" s="923"/>
      <c r="B146" s="923"/>
      <c r="C146" s="923"/>
      <c r="D146" s="923"/>
      <c r="E146" s="923"/>
      <c r="F146" s="963"/>
      <c r="G146" s="935"/>
      <c r="P146" s="936"/>
    </row>
    <row r="147" spans="1:25" s="252" customFormat="1" ht="12.75" customHeight="1" x14ac:dyDescent="0.2">
      <c r="A147" s="923"/>
      <c r="B147" s="923"/>
      <c r="C147" s="923"/>
      <c r="D147" s="923"/>
      <c r="E147" s="923"/>
      <c r="F147" s="963"/>
      <c r="G147" s="935"/>
      <c r="P147" s="936"/>
    </row>
    <row r="148" spans="1:25" s="252" customFormat="1" ht="12.75" customHeight="1" x14ac:dyDescent="0.2">
      <c r="A148" s="974"/>
      <c r="B148" s="923"/>
      <c r="C148" s="923"/>
      <c r="D148" s="923"/>
      <c r="E148" s="923"/>
      <c r="P148" s="936"/>
    </row>
    <row r="149" spans="1:25" s="252" customFormat="1" ht="12.75" customHeight="1" x14ac:dyDescent="0.2">
      <c r="A149" s="975"/>
      <c r="B149" s="923"/>
      <c r="C149" s="923"/>
      <c r="D149" s="923"/>
      <c r="E149" s="923"/>
      <c r="P149" s="936"/>
    </row>
    <row r="150" spans="1:25" s="252" customFormat="1" ht="12.75" customHeight="1" x14ac:dyDescent="0.2">
      <c r="A150" s="975"/>
      <c r="B150" s="923"/>
      <c r="C150" s="923"/>
      <c r="D150" s="923"/>
      <c r="E150" s="923"/>
      <c r="P150" s="936"/>
    </row>
    <row r="151" spans="1:25" s="252" customFormat="1" ht="12.75" customHeight="1" x14ac:dyDescent="0.2">
      <c r="A151" s="975"/>
      <c r="B151" s="923"/>
      <c r="C151" s="923"/>
      <c r="D151" s="923"/>
      <c r="E151" s="923"/>
      <c r="P151" s="936"/>
    </row>
    <row r="152" spans="1:25" ht="12.75" customHeight="1" x14ac:dyDescent="0.2">
      <c r="A152" s="975"/>
      <c r="E152" s="976"/>
      <c r="P152" s="936"/>
      <c r="R152" s="977"/>
      <c r="S152" s="977"/>
      <c r="T152" s="977"/>
      <c r="U152" s="977"/>
      <c r="V152" s="977"/>
      <c r="W152" s="977"/>
      <c r="X152" s="977"/>
      <c r="Y152" s="977"/>
    </row>
    <row r="153" spans="1:25" ht="12.75" customHeight="1" x14ac:dyDescent="0.2">
      <c r="A153" s="978"/>
      <c r="B153" s="976"/>
      <c r="C153" s="976"/>
      <c r="D153" s="976"/>
      <c r="E153" s="976"/>
      <c r="P153" s="936"/>
      <c r="R153" s="977"/>
      <c r="S153" s="977"/>
      <c r="T153" s="977"/>
      <c r="U153" s="977"/>
      <c r="V153" s="977"/>
      <c r="W153" s="977"/>
      <c r="X153" s="977"/>
      <c r="Y153" s="977"/>
    </row>
    <row r="154" spans="1:25" ht="12.75" customHeight="1" x14ac:dyDescent="0.2">
      <c r="A154" s="978"/>
      <c r="B154" s="976"/>
      <c r="C154" s="976"/>
      <c r="D154" s="976"/>
      <c r="E154" s="976"/>
      <c r="P154" s="936"/>
      <c r="R154" s="977"/>
      <c r="S154" s="977"/>
      <c r="T154" s="977"/>
      <c r="U154" s="977"/>
      <c r="V154" s="977"/>
      <c r="W154" s="977"/>
      <c r="X154" s="977"/>
      <c r="Y154" s="977"/>
    </row>
    <row r="155" spans="1:25" ht="12.75" customHeight="1" x14ac:dyDescent="0.2">
      <c r="A155" s="978"/>
      <c r="B155" s="976"/>
      <c r="C155" s="976"/>
      <c r="D155" s="976"/>
      <c r="E155" s="976"/>
      <c r="P155" s="936"/>
      <c r="R155" s="977"/>
      <c r="S155" s="977"/>
      <c r="T155" s="977"/>
      <c r="U155" s="977"/>
      <c r="V155" s="977"/>
      <c r="W155" s="977"/>
      <c r="X155" s="977"/>
      <c r="Y155" s="977"/>
    </row>
    <row r="156" spans="1:25" ht="12.75" customHeight="1" x14ac:dyDescent="0.2">
      <c r="A156" s="978"/>
      <c r="B156" s="976"/>
      <c r="C156" s="976"/>
      <c r="D156" s="976"/>
      <c r="E156" s="976"/>
      <c r="P156" s="936"/>
      <c r="R156" s="977"/>
      <c r="S156" s="977"/>
      <c r="T156" s="977"/>
      <c r="U156" s="977"/>
      <c r="V156" s="977"/>
      <c r="W156" s="977"/>
      <c r="X156" s="977"/>
      <c r="Y156" s="977"/>
    </row>
    <row r="157" spans="1:25" ht="12.75" customHeight="1" x14ac:dyDescent="0.2">
      <c r="A157" s="978"/>
      <c r="B157" s="976"/>
      <c r="C157" s="976"/>
      <c r="D157" s="976"/>
      <c r="E157" s="976"/>
      <c r="P157" s="936"/>
      <c r="R157" s="977"/>
      <c r="S157" s="977"/>
      <c r="T157" s="977"/>
      <c r="U157" s="977"/>
      <c r="V157" s="977"/>
      <c r="W157" s="977"/>
      <c r="X157" s="977"/>
      <c r="Y157" s="977"/>
    </row>
    <row r="158" spans="1:25" ht="12.75" customHeight="1" x14ac:dyDescent="0.2">
      <c r="A158" s="978"/>
      <c r="B158" s="976"/>
      <c r="C158" s="976"/>
      <c r="D158" s="976"/>
      <c r="E158" s="976"/>
      <c r="P158" s="936"/>
      <c r="R158" s="977"/>
      <c r="S158" s="977"/>
      <c r="T158" s="977"/>
      <c r="U158" s="977"/>
      <c r="V158" s="977"/>
      <c r="W158" s="977"/>
      <c r="X158" s="977"/>
      <c r="Y158" s="977"/>
    </row>
    <row r="159" spans="1:25" ht="12.75" customHeight="1" x14ac:dyDescent="0.2">
      <c r="A159" s="978"/>
      <c r="B159" s="976"/>
      <c r="C159" s="976"/>
      <c r="D159" s="976"/>
      <c r="E159" s="976"/>
      <c r="P159" s="936"/>
      <c r="R159" s="977"/>
      <c r="S159" s="977"/>
      <c r="T159" s="977"/>
      <c r="U159" s="977"/>
      <c r="V159" s="977"/>
      <c r="W159" s="977"/>
      <c r="X159" s="977"/>
      <c r="Y159" s="977"/>
    </row>
    <row r="160" spans="1:25" ht="12.75" customHeight="1" x14ac:dyDescent="0.2">
      <c r="A160" s="978"/>
      <c r="B160" s="976"/>
      <c r="C160" s="976"/>
      <c r="D160" s="976"/>
      <c r="E160" s="976"/>
      <c r="P160" s="936"/>
      <c r="R160" s="977"/>
      <c r="S160" s="977"/>
      <c r="T160" s="977"/>
      <c r="U160" s="977"/>
      <c r="V160" s="977"/>
      <c r="W160" s="977"/>
      <c r="X160" s="977"/>
      <c r="Y160" s="977"/>
    </row>
    <row r="161" spans="1:25" ht="12.75" customHeight="1" x14ac:dyDescent="0.2">
      <c r="A161" s="978"/>
      <c r="B161" s="976"/>
      <c r="C161" s="976"/>
      <c r="D161" s="976"/>
      <c r="E161" s="976"/>
      <c r="P161" s="936"/>
      <c r="R161" s="977"/>
      <c r="S161" s="977"/>
      <c r="T161" s="977"/>
      <c r="U161" s="977"/>
      <c r="V161" s="977"/>
      <c r="W161" s="977"/>
      <c r="X161" s="977"/>
      <c r="Y161" s="977"/>
    </row>
    <row r="162" spans="1:25" ht="12.75" customHeight="1" x14ac:dyDescent="0.2">
      <c r="A162" s="978"/>
      <c r="B162" s="976"/>
      <c r="C162" s="976"/>
      <c r="D162" s="976"/>
      <c r="E162" s="976"/>
      <c r="P162" s="936"/>
      <c r="R162" s="977"/>
      <c r="S162" s="977"/>
      <c r="T162" s="977"/>
      <c r="U162" s="977"/>
      <c r="V162" s="977"/>
      <c r="W162" s="977"/>
      <c r="X162" s="977"/>
      <c r="Y162" s="977"/>
    </row>
    <row r="163" spans="1:25" ht="12.75" customHeight="1" x14ac:dyDescent="0.2">
      <c r="A163" s="978"/>
      <c r="B163" s="976"/>
      <c r="C163" s="976"/>
      <c r="D163" s="976"/>
      <c r="E163" s="976"/>
      <c r="P163" s="936"/>
      <c r="R163" s="977"/>
      <c r="S163" s="977"/>
      <c r="T163" s="977"/>
      <c r="U163" s="977"/>
      <c r="V163" s="977"/>
      <c r="W163" s="977"/>
      <c r="X163" s="977"/>
      <c r="Y163" s="977"/>
    </row>
    <row r="164" spans="1:25" ht="12.75" customHeight="1" x14ac:dyDescent="0.2">
      <c r="A164" s="978"/>
      <c r="B164" s="976"/>
      <c r="C164" s="976"/>
      <c r="D164" s="976"/>
      <c r="E164" s="976"/>
      <c r="P164" s="936"/>
      <c r="R164" s="977"/>
      <c r="S164" s="977"/>
      <c r="T164" s="977"/>
      <c r="U164" s="977"/>
      <c r="V164" s="977"/>
      <c r="W164" s="977"/>
      <c r="X164" s="977"/>
      <c r="Y164" s="977"/>
    </row>
    <row r="165" spans="1:25" ht="12.75" customHeight="1" x14ac:dyDescent="0.2">
      <c r="A165" s="978"/>
      <c r="B165" s="976"/>
      <c r="C165" s="976"/>
      <c r="D165" s="976"/>
      <c r="E165" s="976"/>
      <c r="P165" s="936"/>
      <c r="R165" s="977"/>
      <c r="S165" s="977"/>
      <c r="T165" s="977"/>
      <c r="U165" s="977"/>
      <c r="V165" s="977"/>
      <c r="W165" s="977"/>
      <c r="X165" s="977"/>
      <c r="Y165" s="977"/>
    </row>
    <row r="166" spans="1:25" ht="12.75" customHeight="1" x14ac:dyDescent="0.2">
      <c r="A166" s="978"/>
      <c r="B166" s="976"/>
      <c r="C166" s="976"/>
      <c r="D166" s="976"/>
      <c r="E166" s="976"/>
      <c r="P166" s="936"/>
      <c r="R166" s="977"/>
      <c r="S166" s="977"/>
      <c r="T166" s="977"/>
      <c r="U166" s="977"/>
      <c r="V166" s="977"/>
      <c r="W166" s="977"/>
      <c r="X166" s="977"/>
      <c r="Y166" s="977"/>
    </row>
    <row r="167" spans="1:25" ht="12.75" customHeight="1" x14ac:dyDescent="0.2">
      <c r="A167" s="978"/>
      <c r="B167" s="976"/>
      <c r="C167" s="976"/>
      <c r="D167" s="976"/>
      <c r="E167" s="976"/>
      <c r="P167" s="936"/>
      <c r="R167" s="977"/>
      <c r="S167" s="977"/>
      <c r="T167" s="977"/>
      <c r="U167" s="977"/>
      <c r="V167" s="977"/>
      <c r="W167" s="977"/>
      <c r="X167" s="977"/>
      <c r="Y167" s="977"/>
    </row>
    <row r="168" spans="1:25" ht="12.75" customHeight="1" x14ac:dyDescent="0.2">
      <c r="A168" s="978"/>
      <c r="B168" s="976"/>
      <c r="C168" s="976"/>
      <c r="D168" s="976"/>
      <c r="E168" s="976"/>
      <c r="P168" s="936"/>
      <c r="R168" s="977"/>
      <c r="S168" s="977"/>
      <c r="T168" s="977"/>
      <c r="U168" s="977"/>
      <c r="V168" s="977"/>
      <c r="W168" s="977"/>
      <c r="X168" s="977"/>
      <c r="Y168" s="977"/>
    </row>
    <row r="169" spans="1:25" ht="12.75" customHeight="1" x14ac:dyDescent="0.2">
      <c r="A169" s="978"/>
      <c r="B169" s="976"/>
      <c r="C169" s="976"/>
      <c r="D169" s="976"/>
      <c r="E169" s="976"/>
      <c r="P169" s="936"/>
      <c r="R169" s="977"/>
      <c r="S169" s="977"/>
      <c r="T169" s="977"/>
      <c r="U169" s="977"/>
      <c r="V169" s="977"/>
      <c r="W169" s="977"/>
      <c r="X169" s="977"/>
      <c r="Y169" s="977"/>
    </row>
    <row r="170" spans="1:25" ht="12.75" customHeight="1" x14ac:dyDescent="0.2">
      <c r="A170" s="978"/>
      <c r="B170" s="976"/>
      <c r="C170" s="976"/>
      <c r="D170" s="976"/>
      <c r="E170" s="976"/>
      <c r="P170" s="936"/>
      <c r="R170" s="977"/>
      <c r="S170" s="977"/>
      <c r="T170" s="977"/>
      <c r="U170" s="977"/>
      <c r="V170" s="977"/>
      <c r="W170" s="977"/>
      <c r="X170" s="977"/>
      <c r="Y170" s="977"/>
    </row>
    <row r="171" spans="1:25" ht="12.75" customHeight="1" x14ac:dyDescent="0.2">
      <c r="A171" s="978"/>
      <c r="B171" s="976"/>
      <c r="C171" s="976"/>
      <c r="D171" s="976"/>
      <c r="E171" s="976"/>
      <c r="P171" s="936"/>
      <c r="R171" s="977"/>
      <c r="S171" s="977"/>
      <c r="T171" s="977"/>
      <c r="U171" s="977"/>
      <c r="V171" s="977"/>
      <c r="W171" s="977"/>
      <c r="X171" s="977"/>
      <c r="Y171" s="977"/>
    </row>
    <row r="172" spans="1:25" ht="12.75" customHeight="1" x14ac:dyDescent="0.2">
      <c r="A172" s="978"/>
      <c r="B172" s="976"/>
      <c r="C172" s="976"/>
      <c r="D172" s="976"/>
      <c r="E172" s="976"/>
      <c r="P172" s="936"/>
      <c r="R172" s="977"/>
      <c r="S172" s="977"/>
      <c r="T172" s="977"/>
      <c r="U172" s="977"/>
      <c r="V172" s="977"/>
      <c r="W172" s="977"/>
      <c r="X172" s="977"/>
      <c r="Y172" s="977"/>
    </row>
    <row r="173" spans="1:25" ht="12.75" customHeight="1" x14ac:dyDescent="0.2">
      <c r="A173" s="978"/>
      <c r="B173" s="976"/>
      <c r="C173" s="976"/>
      <c r="D173" s="976"/>
      <c r="E173" s="976"/>
      <c r="P173" s="936"/>
      <c r="R173" s="977"/>
      <c r="S173" s="977"/>
      <c r="T173" s="977"/>
      <c r="U173" s="977"/>
      <c r="V173" s="977"/>
      <c r="W173" s="977"/>
      <c r="X173" s="977"/>
      <c r="Y173" s="977"/>
    </row>
    <row r="174" spans="1:25" ht="12.75" customHeight="1" x14ac:dyDescent="0.2">
      <c r="A174" s="978"/>
      <c r="B174" s="976"/>
      <c r="C174" s="976"/>
      <c r="D174" s="976"/>
      <c r="E174" s="976"/>
      <c r="P174" s="936"/>
      <c r="R174" s="977"/>
      <c r="S174" s="977"/>
      <c r="T174" s="977"/>
      <c r="U174" s="977"/>
      <c r="V174" s="977"/>
      <c r="W174" s="977"/>
      <c r="X174" s="977"/>
      <c r="Y174" s="977"/>
    </row>
    <row r="175" spans="1:25" ht="12.75" customHeight="1" x14ac:dyDescent="0.2">
      <c r="A175" s="976"/>
      <c r="B175" s="976"/>
      <c r="C175" s="976"/>
      <c r="D175" s="976"/>
      <c r="E175" s="976"/>
      <c r="P175" s="936"/>
      <c r="R175" s="977"/>
      <c r="S175" s="977"/>
      <c r="T175" s="977"/>
      <c r="U175" s="977"/>
      <c r="V175" s="977"/>
      <c r="W175" s="977"/>
      <c r="X175" s="977"/>
      <c r="Y175" s="977"/>
    </row>
    <row r="176" spans="1:25" ht="12.75" customHeight="1" x14ac:dyDescent="0.2">
      <c r="A176" s="976"/>
      <c r="B176" s="976"/>
      <c r="C176" s="976"/>
      <c r="D176" s="976"/>
      <c r="E176" s="976"/>
      <c r="P176" s="936"/>
      <c r="R176" s="977"/>
      <c r="S176" s="977"/>
      <c r="T176" s="977"/>
      <c r="U176" s="977"/>
      <c r="V176" s="977"/>
      <c r="W176" s="977"/>
      <c r="X176" s="977"/>
      <c r="Y176" s="977"/>
    </row>
    <row r="177" spans="1:25" ht="12.75" customHeight="1" x14ac:dyDescent="0.2">
      <c r="A177" s="976"/>
      <c r="B177" s="976"/>
      <c r="C177" s="976"/>
      <c r="D177" s="976"/>
      <c r="E177" s="976"/>
      <c r="P177" s="936"/>
      <c r="R177" s="977"/>
      <c r="S177" s="977"/>
      <c r="T177" s="977"/>
      <c r="U177" s="977"/>
      <c r="V177" s="977"/>
      <c r="W177" s="977"/>
      <c r="X177" s="977"/>
      <c r="Y177" s="977"/>
    </row>
    <row r="178" spans="1:25" ht="12.75" customHeight="1" x14ac:dyDescent="0.2">
      <c r="A178" s="976"/>
      <c r="B178" s="976"/>
      <c r="C178" s="976"/>
      <c r="D178" s="976"/>
      <c r="E178" s="976"/>
      <c r="P178" s="936"/>
      <c r="R178" s="977"/>
      <c r="S178" s="977"/>
      <c r="T178" s="977"/>
      <c r="U178" s="977"/>
      <c r="V178" s="977"/>
      <c r="W178" s="977"/>
      <c r="X178" s="977"/>
      <c r="Y178" s="977"/>
    </row>
    <row r="179" spans="1:25" ht="12.75" customHeight="1" x14ac:dyDescent="0.2">
      <c r="A179" s="976"/>
      <c r="B179" s="976"/>
      <c r="C179" s="976"/>
      <c r="D179" s="976"/>
      <c r="E179" s="976"/>
      <c r="P179" s="936"/>
      <c r="R179" s="977"/>
      <c r="S179" s="977"/>
      <c r="T179" s="977"/>
      <c r="U179" s="977"/>
      <c r="V179" s="977"/>
      <c r="W179" s="977"/>
      <c r="X179" s="977"/>
      <c r="Y179" s="977"/>
    </row>
    <row r="180" spans="1:25" ht="12.75" customHeight="1" x14ac:dyDescent="0.2">
      <c r="A180" s="976"/>
      <c r="B180" s="976"/>
      <c r="C180" s="976"/>
      <c r="D180" s="976"/>
      <c r="E180" s="976"/>
      <c r="P180" s="936"/>
      <c r="R180" s="977"/>
      <c r="S180" s="977"/>
      <c r="T180" s="977"/>
      <c r="U180" s="977"/>
      <c r="V180" s="977"/>
      <c r="W180" s="977"/>
      <c r="X180" s="977"/>
      <c r="Y180" s="977"/>
    </row>
    <row r="181" spans="1:25" ht="12.75" customHeight="1" x14ac:dyDescent="0.2">
      <c r="A181" s="976"/>
      <c r="B181" s="976"/>
      <c r="C181" s="976"/>
      <c r="D181" s="976"/>
      <c r="E181" s="976"/>
      <c r="P181" s="936"/>
      <c r="R181" s="977"/>
      <c r="S181" s="977"/>
      <c r="T181" s="977"/>
      <c r="U181" s="977"/>
      <c r="V181" s="977"/>
      <c r="W181" s="977"/>
      <c r="X181" s="977"/>
      <c r="Y181" s="977"/>
    </row>
    <row r="182" spans="1:25" ht="12.75" customHeight="1" x14ac:dyDescent="0.2">
      <c r="A182" s="976"/>
      <c r="B182" s="976"/>
      <c r="C182" s="976"/>
      <c r="D182" s="976"/>
      <c r="E182" s="976"/>
      <c r="P182" s="936"/>
      <c r="R182" s="977"/>
      <c r="S182" s="977"/>
      <c r="T182" s="977"/>
      <c r="U182" s="977"/>
      <c r="V182" s="977"/>
      <c r="W182" s="977"/>
      <c r="X182" s="977"/>
      <c r="Y182" s="977"/>
    </row>
    <row r="183" spans="1:25" ht="12.75" customHeight="1" x14ac:dyDescent="0.2">
      <c r="A183" s="976"/>
      <c r="B183" s="976"/>
      <c r="C183" s="976"/>
      <c r="D183" s="976"/>
      <c r="E183" s="976"/>
      <c r="P183" s="936"/>
      <c r="R183" s="977"/>
      <c r="S183" s="977"/>
      <c r="T183" s="977"/>
      <c r="U183" s="977"/>
      <c r="V183" s="977"/>
      <c r="W183" s="977"/>
      <c r="X183" s="977"/>
      <c r="Y183" s="977"/>
    </row>
    <row r="184" spans="1:25" x14ac:dyDescent="0.2">
      <c r="A184" s="976"/>
      <c r="B184" s="976"/>
      <c r="C184" s="976"/>
      <c r="D184" s="976"/>
      <c r="E184" s="976"/>
      <c r="P184" s="936"/>
      <c r="R184" s="977"/>
      <c r="S184" s="977"/>
      <c r="T184" s="977"/>
      <c r="U184" s="977"/>
      <c r="V184" s="977"/>
      <c r="W184" s="977"/>
      <c r="X184" s="977"/>
      <c r="Y184" s="977"/>
    </row>
    <row r="185" spans="1:25" x14ac:dyDescent="0.2">
      <c r="A185" s="976"/>
      <c r="B185" s="976"/>
      <c r="C185" s="976"/>
      <c r="D185" s="976"/>
      <c r="E185" s="976"/>
      <c r="P185" s="936"/>
      <c r="R185" s="977"/>
      <c r="S185" s="977"/>
      <c r="T185" s="977"/>
      <c r="U185" s="977"/>
      <c r="V185" s="977"/>
      <c r="W185" s="977"/>
      <c r="X185" s="977"/>
      <c r="Y185" s="977"/>
    </row>
    <row r="186" spans="1:25" x14ac:dyDescent="0.2">
      <c r="A186" s="976"/>
      <c r="B186" s="976"/>
      <c r="C186" s="976"/>
      <c r="D186" s="976"/>
      <c r="E186" s="976"/>
      <c r="P186" s="936"/>
      <c r="R186" s="977"/>
      <c r="S186" s="977"/>
      <c r="T186" s="977"/>
      <c r="U186" s="977"/>
      <c r="V186" s="977"/>
      <c r="W186" s="977"/>
      <c r="X186" s="977"/>
      <c r="Y186" s="977"/>
    </row>
    <row r="187" spans="1:25" x14ac:dyDescent="0.2">
      <c r="A187" s="976"/>
      <c r="B187" s="976"/>
      <c r="C187" s="976"/>
      <c r="D187" s="976"/>
      <c r="E187" s="976"/>
      <c r="P187" s="936"/>
      <c r="R187" s="977"/>
      <c r="S187" s="977"/>
      <c r="T187" s="977"/>
      <c r="U187" s="977"/>
      <c r="V187" s="977"/>
      <c r="W187" s="977"/>
      <c r="X187" s="977"/>
      <c r="Y187" s="977"/>
    </row>
    <row r="188" spans="1:25" x14ac:dyDescent="0.2">
      <c r="A188" s="976"/>
      <c r="B188" s="976"/>
      <c r="C188" s="976"/>
      <c r="D188" s="976"/>
      <c r="E188" s="976"/>
      <c r="P188" s="936"/>
      <c r="R188" s="977"/>
      <c r="S188" s="977"/>
      <c r="T188" s="977"/>
      <c r="U188" s="977"/>
      <c r="V188" s="977"/>
      <c r="W188" s="977"/>
      <c r="X188" s="977"/>
      <c r="Y188" s="977"/>
    </row>
    <row r="189" spans="1:25" x14ac:dyDescent="0.2">
      <c r="A189" s="976"/>
      <c r="B189" s="976"/>
      <c r="C189" s="976"/>
      <c r="D189" s="976"/>
      <c r="E189" s="976"/>
      <c r="P189" s="936"/>
      <c r="R189" s="977"/>
      <c r="S189" s="977"/>
      <c r="T189" s="977"/>
      <c r="U189" s="977"/>
      <c r="V189" s="977"/>
      <c r="W189" s="977"/>
      <c r="X189" s="977"/>
      <c r="Y189" s="977"/>
    </row>
    <row r="190" spans="1:25" x14ac:dyDescent="0.2">
      <c r="A190" s="976"/>
      <c r="B190" s="976"/>
      <c r="C190" s="976"/>
      <c r="D190" s="976"/>
      <c r="E190" s="976"/>
      <c r="P190" s="936"/>
      <c r="R190" s="977"/>
      <c r="S190" s="977"/>
      <c r="T190" s="977"/>
      <c r="U190" s="977"/>
      <c r="V190" s="977"/>
      <c r="W190" s="977"/>
      <c r="X190" s="977"/>
      <c r="Y190" s="977"/>
    </row>
    <row r="191" spans="1:25" x14ac:dyDescent="0.2">
      <c r="A191" s="976"/>
      <c r="B191" s="976"/>
      <c r="C191" s="976"/>
      <c r="D191" s="976"/>
      <c r="E191" s="976"/>
      <c r="P191" s="936"/>
      <c r="R191" s="977"/>
      <c r="S191" s="977"/>
      <c r="T191" s="977"/>
      <c r="U191" s="977"/>
      <c r="V191" s="977"/>
      <c r="W191" s="977"/>
      <c r="X191" s="977"/>
      <c r="Y191" s="977"/>
    </row>
    <row r="192" spans="1:25" x14ac:dyDescent="0.2">
      <c r="A192" s="976"/>
      <c r="B192" s="976"/>
      <c r="C192" s="976"/>
      <c r="D192" s="976"/>
      <c r="E192" s="976"/>
      <c r="P192" s="936"/>
      <c r="R192" s="977"/>
      <c r="S192" s="977"/>
      <c r="T192" s="977"/>
      <c r="U192" s="977"/>
      <c r="V192" s="977"/>
      <c r="W192" s="977"/>
      <c r="X192" s="977"/>
      <c r="Y192" s="977"/>
    </row>
    <row r="193" spans="1:25" x14ac:dyDescent="0.2">
      <c r="A193" s="976"/>
      <c r="B193" s="976"/>
      <c r="C193" s="976"/>
      <c r="D193" s="976"/>
      <c r="E193" s="976"/>
      <c r="P193" s="936"/>
      <c r="R193" s="977"/>
      <c r="S193" s="977"/>
      <c r="T193" s="977"/>
      <c r="U193" s="977"/>
      <c r="V193" s="977"/>
      <c r="W193" s="977"/>
      <c r="X193" s="977"/>
      <c r="Y193" s="977"/>
    </row>
    <row r="194" spans="1:25" x14ac:dyDescent="0.2">
      <c r="A194" s="976"/>
      <c r="B194" s="976"/>
      <c r="C194" s="976"/>
      <c r="D194" s="976"/>
      <c r="E194" s="976"/>
      <c r="P194" s="936"/>
      <c r="R194" s="977"/>
      <c r="S194" s="977"/>
      <c r="T194" s="977"/>
      <c r="U194" s="977"/>
      <c r="V194" s="977"/>
      <c r="W194" s="977"/>
      <c r="X194" s="977"/>
      <c r="Y194" s="977"/>
    </row>
    <row r="195" spans="1:25" x14ac:dyDescent="0.2">
      <c r="A195" s="976"/>
      <c r="B195" s="976"/>
      <c r="C195" s="976"/>
      <c r="D195" s="976"/>
      <c r="E195" s="976"/>
      <c r="P195" s="936"/>
      <c r="R195" s="977"/>
      <c r="S195" s="977"/>
      <c r="T195" s="977"/>
      <c r="U195" s="977"/>
      <c r="V195" s="977"/>
      <c r="W195" s="977"/>
      <c r="X195" s="977"/>
      <c r="Y195" s="977"/>
    </row>
    <row r="196" spans="1:25" x14ac:dyDescent="0.2">
      <c r="A196" s="976"/>
      <c r="B196" s="976"/>
      <c r="C196" s="976"/>
      <c r="D196" s="976"/>
      <c r="E196" s="976"/>
      <c r="P196" s="936"/>
      <c r="R196" s="977"/>
      <c r="S196" s="977"/>
      <c r="T196" s="977"/>
      <c r="U196" s="977"/>
      <c r="V196" s="977"/>
      <c r="W196" s="977"/>
      <c r="X196" s="977"/>
      <c r="Y196" s="977"/>
    </row>
    <row r="197" spans="1:25" x14ac:dyDescent="0.2">
      <c r="A197" s="976"/>
      <c r="B197" s="976"/>
      <c r="C197" s="976"/>
      <c r="D197" s="976"/>
      <c r="E197" s="976"/>
      <c r="P197" s="936"/>
      <c r="R197" s="977"/>
      <c r="S197" s="977"/>
      <c r="T197" s="977"/>
      <c r="U197" s="977"/>
      <c r="V197" s="977"/>
      <c r="W197" s="977"/>
      <c r="X197" s="977"/>
      <c r="Y197" s="977"/>
    </row>
    <row r="198" spans="1:25" x14ac:dyDescent="0.2">
      <c r="A198" s="976"/>
      <c r="B198" s="976"/>
      <c r="C198" s="976"/>
      <c r="D198" s="976"/>
      <c r="E198" s="976"/>
      <c r="P198" s="936"/>
      <c r="R198" s="977"/>
      <c r="S198" s="977"/>
      <c r="T198" s="977"/>
      <c r="U198" s="977"/>
      <c r="V198" s="977"/>
      <c r="W198" s="977"/>
      <c r="X198" s="977"/>
      <c r="Y198" s="977"/>
    </row>
    <row r="199" spans="1:25" x14ac:dyDescent="0.2">
      <c r="A199" s="976"/>
      <c r="B199" s="976"/>
      <c r="C199" s="976"/>
      <c r="D199" s="976"/>
      <c r="E199" s="976"/>
      <c r="P199" s="936"/>
      <c r="R199" s="977"/>
      <c r="S199" s="977"/>
      <c r="T199" s="977"/>
      <c r="U199" s="977"/>
      <c r="V199" s="977"/>
      <c r="W199" s="977"/>
      <c r="X199" s="977"/>
      <c r="Y199" s="977"/>
    </row>
    <row r="200" spans="1:25" x14ac:dyDescent="0.2">
      <c r="A200" s="976"/>
      <c r="B200" s="976"/>
      <c r="C200" s="976"/>
      <c r="D200" s="976"/>
      <c r="E200" s="976"/>
      <c r="P200" s="936"/>
      <c r="R200" s="977"/>
      <c r="S200" s="977"/>
      <c r="T200" s="977"/>
      <c r="U200" s="977"/>
      <c r="V200" s="977"/>
      <c r="W200" s="977"/>
      <c r="X200" s="977"/>
      <c r="Y200" s="977"/>
    </row>
    <row r="201" spans="1:25" x14ac:dyDescent="0.2">
      <c r="A201" s="976"/>
      <c r="B201" s="976"/>
      <c r="C201" s="976"/>
      <c r="D201" s="976"/>
      <c r="E201" s="976"/>
      <c r="P201" s="936"/>
      <c r="R201" s="977"/>
      <c r="S201" s="977"/>
      <c r="T201" s="977"/>
      <c r="U201" s="977"/>
      <c r="V201" s="977"/>
      <c r="W201" s="977"/>
      <c r="X201" s="977"/>
      <c r="Y201" s="977"/>
    </row>
    <row r="202" spans="1:25" x14ac:dyDescent="0.2">
      <c r="A202" s="976"/>
      <c r="B202" s="976"/>
      <c r="C202" s="976"/>
      <c r="D202" s="976"/>
      <c r="E202" s="976"/>
      <c r="P202" s="936"/>
      <c r="R202" s="977"/>
      <c r="S202" s="977"/>
      <c r="T202" s="977"/>
      <c r="U202" s="977"/>
      <c r="V202" s="977"/>
      <c r="W202" s="977"/>
      <c r="X202" s="977"/>
      <c r="Y202" s="977"/>
    </row>
    <row r="203" spans="1:25" x14ac:dyDescent="0.2">
      <c r="A203" s="976"/>
      <c r="B203" s="976"/>
      <c r="C203" s="976"/>
      <c r="D203" s="976"/>
      <c r="E203" s="976"/>
      <c r="P203" s="936"/>
      <c r="R203" s="977"/>
      <c r="S203" s="977"/>
      <c r="T203" s="977"/>
      <c r="U203" s="977"/>
      <c r="V203" s="977"/>
      <c r="W203" s="977"/>
      <c r="X203" s="977"/>
      <c r="Y203" s="977"/>
    </row>
    <row r="204" spans="1:25" x14ac:dyDescent="0.2">
      <c r="A204" s="976"/>
      <c r="B204" s="976"/>
      <c r="C204" s="976"/>
      <c r="D204" s="976"/>
      <c r="E204" s="976"/>
      <c r="P204" s="936"/>
      <c r="R204" s="977"/>
      <c r="S204" s="977"/>
      <c r="T204" s="977"/>
      <c r="U204" s="977"/>
      <c r="V204" s="977"/>
      <c r="W204" s="977"/>
      <c r="X204" s="977"/>
      <c r="Y204" s="977"/>
    </row>
    <row r="205" spans="1:25" x14ac:dyDescent="0.2">
      <c r="A205" s="976"/>
      <c r="B205" s="976"/>
      <c r="C205" s="976"/>
      <c r="D205" s="976"/>
      <c r="E205" s="976"/>
      <c r="P205" s="936"/>
      <c r="R205" s="977"/>
      <c r="S205" s="977"/>
      <c r="T205" s="977"/>
      <c r="U205" s="977"/>
      <c r="V205" s="977"/>
      <c r="W205" s="977"/>
      <c r="X205" s="977"/>
      <c r="Y205" s="977"/>
    </row>
    <row r="206" spans="1:25" x14ac:dyDescent="0.2">
      <c r="A206" s="976"/>
      <c r="B206" s="976"/>
      <c r="C206" s="976"/>
      <c r="D206" s="976"/>
      <c r="E206" s="976"/>
      <c r="P206" s="936"/>
      <c r="R206" s="977"/>
      <c r="S206" s="977"/>
      <c r="T206" s="977"/>
      <c r="U206" s="977"/>
      <c r="V206" s="977"/>
      <c r="W206" s="977"/>
      <c r="X206" s="977"/>
      <c r="Y206" s="977"/>
    </row>
    <row r="207" spans="1:25" x14ac:dyDescent="0.2">
      <c r="A207" s="976"/>
      <c r="B207" s="976"/>
      <c r="C207" s="976"/>
      <c r="D207" s="976"/>
      <c r="E207" s="976"/>
      <c r="P207" s="936"/>
      <c r="R207" s="977"/>
      <c r="S207" s="977"/>
      <c r="T207" s="977"/>
      <c r="U207" s="977"/>
      <c r="V207" s="977"/>
      <c r="W207" s="977"/>
      <c r="X207" s="977"/>
      <c r="Y207" s="977"/>
    </row>
    <row r="208" spans="1:25" x14ac:dyDescent="0.2">
      <c r="A208" s="976"/>
      <c r="B208" s="976"/>
      <c r="C208" s="976"/>
      <c r="D208" s="976"/>
      <c r="E208" s="976"/>
      <c r="P208" s="936"/>
      <c r="R208" s="977"/>
      <c r="S208" s="977"/>
      <c r="T208" s="977"/>
      <c r="U208" s="977"/>
      <c r="V208" s="977"/>
      <c r="W208" s="977"/>
      <c r="X208" s="977"/>
      <c r="Y208" s="977"/>
    </row>
    <row r="209" spans="1:25" x14ac:dyDescent="0.2">
      <c r="A209" s="976"/>
      <c r="B209" s="976"/>
      <c r="C209" s="976"/>
      <c r="D209" s="976"/>
      <c r="E209" s="976"/>
      <c r="P209" s="936"/>
      <c r="R209" s="977"/>
      <c r="S209" s="977"/>
      <c r="T209" s="977"/>
      <c r="U209" s="977"/>
      <c r="V209" s="977"/>
      <c r="W209" s="977"/>
      <c r="X209" s="977"/>
      <c r="Y209" s="977"/>
    </row>
    <row r="210" spans="1:25" x14ac:dyDescent="0.2">
      <c r="A210" s="976"/>
      <c r="B210" s="976"/>
      <c r="C210" s="976"/>
      <c r="D210" s="976"/>
      <c r="E210" s="976"/>
      <c r="P210" s="936"/>
      <c r="R210" s="977"/>
      <c r="S210" s="977"/>
      <c r="T210" s="977"/>
      <c r="U210" s="977"/>
      <c r="V210" s="977"/>
      <c r="W210" s="977"/>
      <c r="X210" s="977"/>
      <c r="Y210" s="977"/>
    </row>
    <row r="211" spans="1:25" x14ac:dyDescent="0.2">
      <c r="A211" s="976"/>
      <c r="B211" s="976"/>
      <c r="C211" s="976"/>
      <c r="D211" s="976"/>
      <c r="E211" s="976"/>
      <c r="P211" s="936"/>
      <c r="R211" s="977"/>
      <c r="S211" s="977"/>
      <c r="T211" s="977"/>
      <c r="U211" s="977"/>
      <c r="V211" s="977"/>
      <c r="W211" s="977"/>
      <c r="X211" s="977"/>
      <c r="Y211" s="977"/>
    </row>
    <row r="212" spans="1:25" x14ac:dyDescent="0.2">
      <c r="A212" s="976"/>
      <c r="B212" s="976"/>
      <c r="C212" s="976"/>
      <c r="D212" s="976"/>
      <c r="E212" s="976"/>
      <c r="P212" s="936"/>
      <c r="R212" s="977"/>
      <c r="S212" s="977"/>
      <c r="T212" s="977"/>
      <c r="U212" s="977"/>
      <c r="V212" s="977"/>
      <c r="W212" s="977"/>
      <c r="X212" s="977"/>
      <c r="Y212" s="977"/>
    </row>
    <row r="213" spans="1:25" x14ac:dyDescent="0.2">
      <c r="A213" s="976"/>
      <c r="B213" s="976"/>
      <c r="C213" s="976"/>
      <c r="D213" s="976"/>
      <c r="E213" s="976"/>
      <c r="P213" s="936"/>
      <c r="R213" s="977"/>
      <c r="S213" s="977"/>
      <c r="T213" s="977"/>
      <c r="U213" s="977"/>
      <c r="V213" s="977"/>
      <c r="W213" s="977"/>
      <c r="X213" s="977"/>
      <c r="Y213" s="977"/>
    </row>
    <row r="214" spans="1:25" x14ac:dyDescent="0.2">
      <c r="A214" s="976"/>
      <c r="B214" s="976"/>
      <c r="C214" s="976"/>
      <c r="D214" s="976"/>
      <c r="E214" s="976"/>
      <c r="P214" s="936"/>
      <c r="R214" s="977"/>
      <c r="S214" s="977"/>
      <c r="T214" s="977"/>
      <c r="U214" s="977"/>
      <c r="V214" s="977"/>
      <c r="W214" s="977"/>
      <c r="X214" s="977"/>
      <c r="Y214" s="977"/>
    </row>
    <row r="215" spans="1:25" x14ac:dyDescent="0.2">
      <c r="A215" s="976"/>
      <c r="B215" s="976"/>
      <c r="C215" s="976"/>
      <c r="D215" s="976"/>
      <c r="E215" s="976"/>
      <c r="P215" s="936"/>
      <c r="R215" s="977"/>
      <c r="S215" s="977"/>
      <c r="T215" s="977"/>
      <c r="U215" s="977"/>
      <c r="V215" s="977"/>
      <c r="W215" s="977"/>
      <c r="X215" s="977"/>
      <c r="Y215" s="977"/>
    </row>
    <row r="216" spans="1:25" x14ac:dyDescent="0.2">
      <c r="A216" s="976"/>
      <c r="B216" s="976"/>
      <c r="C216" s="976"/>
      <c r="D216" s="976"/>
      <c r="E216" s="976"/>
      <c r="P216" s="936"/>
      <c r="R216" s="977"/>
      <c r="S216" s="977"/>
      <c r="T216" s="977"/>
      <c r="U216" s="977"/>
      <c r="V216" s="977"/>
      <c r="W216" s="977"/>
      <c r="X216" s="977"/>
      <c r="Y216" s="977"/>
    </row>
    <row r="217" spans="1:25" x14ac:dyDescent="0.2">
      <c r="A217" s="976"/>
      <c r="B217" s="976"/>
      <c r="C217" s="976"/>
      <c r="D217" s="976"/>
      <c r="E217" s="976"/>
      <c r="P217" s="936"/>
      <c r="R217" s="977"/>
      <c r="S217" s="977"/>
      <c r="T217" s="977"/>
      <c r="U217" s="977"/>
      <c r="V217" s="977"/>
      <c r="W217" s="977"/>
      <c r="X217" s="977"/>
      <c r="Y217" s="977"/>
    </row>
    <row r="218" spans="1:25" x14ac:dyDescent="0.2">
      <c r="A218" s="976"/>
      <c r="B218" s="976"/>
      <c r="C218" s="976"/>
      <c r="D218" s="976"/>
      <c r="E218" s="976"/>
      <c r="P218" s="936"/>
      <c r="R218" s="977"/>
      <c r="S218" s="977"/>
      <c r="T218" s="977"/>
      <c r="U218" s="977"/>
      <c r="V218" s="977"/>
      <c r="W218" s="977"/>
      <c r="X218" s="977"/>
      <c r="Y218" s="977"/>
    </row>
    <row r="219" spans="1:25" x14ac:dyDescent="0.2">
      <c r="A219" s="976"/>
      <c r="B219" s="976"/>
      <c r="C219" s="976"/>
      <c r="D219" s="976"/>
      <c r="E219" s="976"/>
      <c r="P219" s="936"/>
      <c r="R219" s="977"/>
      <c r="S219" s="977"/>
      <c r="T219" s="977"/>
      <c r="U219" s="977"/>
      <c r="V219" s="977"/>
      <c r="W219" s="977"/>
      <c r="X219" s="977"/>
      <c r="Y219" s="977"/>
    </row>
    <row r="220" spans="1:25" x14ac:dyDescent="0.2">
      <c r="A220" s="976"/>
      <c r="B220" s="976"/>
      <c r="C220" s="976"/>
      <c r="D220" s="976"/>
      <c r="E220" s="976"/>
      <c r="P220" s="936"/>
      <c r="R220" s="977"/>
      <c r="S220" s="977"/>
      <c r="T220" s="977"/>
      <c r="U220" s="977"/>
      <c r="V220" s="977"/>
      <c r="W220" s="977"/>
      <c r="X220" s="977"/>
      <c r="Y220" s="977"/>
    </row>
    <row r="221" spans="1:25" x14ac:dyDescent="0.2">
      <c r="A221" s="976"/>
      <c r="B221" s="976"/>
      <c r="C221" s="976"/>
      <c r="D221" s="976"/>
      <c r="E221" s="976"/>
      <c r="P221" s="936"/>
      <c r="R221" s="977"/>
      <c r="S221" s="977"/>
      <c r="T221" s="977"/>
      <c r="U221" s="977"/>
      <c r="V221" s="977"/>
      <c r="W221" s="977"/>
      <c r="X221" s="977"/>
      <c r="Y221" s="977"/>
    </row>
    <row r="222" spans="1:25" x14ac:dyDescent="0.2">
      <c r="A222" s="976"/>
      <c r="B222" s="976"/>
      <c r="C222" s="976"/>
      <c r="D222" s="976"/>
      <c r="E222" s="976"/>
      <c r="P222" s="936"/>
      <c r="R222" s="977"/>
      <c r="S222" s="977"/>
      <c r="T222" s="977"/>
      <c r="U222" s="977"/>
      <c r="V222" s="977"/>
      <c r="W222" s="977"/>
      <c r="X222" s="977"/>
      <c r="Y222" s="977"/>
    </row>
    <row r="223" spans="1:25" x14ac:dyDescent="0.2">
      <c r="A223" s="976"/>
      <c r="B223" s="976"/>
      <c r="C223" s="976"/>
      <c r="D223" s="976"/>
      <c r="E223" s="976"/>
      <c r="P223" s="936"/>
      <c r="R223" s="977"/>
      <c r="S223" s="977"/>
      <c r="T223" s="977"/>
      <c r="U223" s="977"/>
      <c r="V223" s="977"/>
      <c r="W223" s="977"/>
      <c r="X223" s="977"/>
      <c r="Y223" s="977"/>
    </row>
    <row r="224" spans="1:25" x14ac:dyDescent="0.2">
      <c r="A224" s="976"/>
      <c r="B224" s="976"/>
      <c r="C224" s="976"/>
      <c r="D224" s="976"/>
      <c r="E224" s="976"/>
      <c r="P224" s="936"/>
      <c r="R224" s="977"/>
      <c r="S224" s="977"/>
      <c r="T224" s="977"/>
      <c r="U224" s="977"/>
      <c r="V224" s="977"/>
      <c r="W224" s="977"/>
      <c r="X224" s="977"/>
      <c r="Y224" s="977"/>
    </row>
    <row r="225" spans="1:25" x14ac:dyDescent="0.2">
      <c r="A225" s="976"/>
      <c r="B225" s="976"/>
      <c r="C225" s="976"/>
      <c r="D225" s="976"/>
      <c r="E225" s="976"/>
      <c r="P225" s="936"/>
      <c r="R225" s="977"/>
      <c r="S225" s="977"/>
      <c r="T225" s="977"/>
      <c r="U225" s="977"/>
      <c r="V225" s="977"/>
      <c r="W225" s="977"/>
      <c r="X225" s="977"/>
      <c r="Y225" s="977"/>
    </row>
    <row r="226" spans="1:25" x14ac:dyDescent="0.2">
      <c r="A226" s="976"/>
      <c r="B226" s="976"/>
      <c r="C226" s="976"/>
      <c r="D226" s="976"/>
      <c r="E226" s="976"/>
      <c r="P226" s="936"/>
      <c r="R226" s="977"/>
      <c r="S226" s="977"/>
      <c r="T226" s="977"/>
      <c r="U226" s="977"/>
      <c r="V226" s="977"/>
      <c r="W226" s="977"/>
      <c r="X226" s="977"/>
      <c r="Y226" s="977"/>
    </row>
    <row r="227" spans="1:25" x14ac:dyDescent="0.2">
      <c r="A227" s="976"/>
      <c r="B227" s="976"/>
      <c r="C227" s="976"/>
      <c r="D227" s="976"/>
      <c r="E227" s="976"/>
      <c r="P227" s="936"/>
      <c r="R227" s="977"/>
      <c r="S227" s="977"/>
      <c r="T227" s="977"/>
      <c r="U227" s="977"/>
      <c r="V227" s="977"/>
      <c r="W227" s="977"/>
      <c r="X227" s="977"/>
      <c r="Y227" s="977"/>
    </row>
    <row r="228" spans="1:25" x14ac:dyDescent="0.2">
      <c r="A228" s="976"/>
      <c r="B228" s="976"/>
      <c r="C228" s="976"/>
      <c r="D228" s="976"/>
      <c r="E228" s="976"/>
      <c r="P228" s="936"/>
      <c r="R228" s="977"/>
      <c r="S228" s="977"/>
      <c r="T228" s="977"/>
      <c r="U228" s="977"/>
      <c r="V228" s="977"/>
      <c r="W228" s="977"/>
      <c r="X228" s="977"/>
      <c r="Y228" s="977"/>
    </row>
    <row r="229" spans="1:25" x14ac:dyDescent="0.2">
      <c r="A229" s="976"/>
      <c r="B229" s="976"/>
      <c r="C229" s="976"/>
      <c r="D229" s="976"/>
      <c r="E229" s="976"/>
      <c r="P229" s="936"/>
      <c r="R229" s="977"/>
      <c r="S229" s="977"/>
      <c r="T229" s="977"/>
      <c r="U229" s="977"/>
      <c r="V229" s="977"/>
      <c r="W229" s="977"/>
      <c r="X229" s="977"/>
      <c r="Y229" s="977"/>
    </row>
    <row r="230" spans="1:25" x14ac:dyDescent="0.2">
      <c r="A230" s="976"/>
      <c r="B230" s="976"/>
      <c r="C230" s="976"/>
      <c r="D230" s="976"/>
      <c r="E230" s="976"/>
      <c r="P230" s="936"/>
      <c r="R230" s="977"/>
      <c r="S230" s="977"/>
      <c r="T230" s="977"/>
      <c r="U230" s="977"/>
      <c r="V230" s="977"/>
      <c r="W230" s="977"/>
      <c r="X230" s="977"/>
      <c r="Y230" s="977"/>
    </row>
    <row r="231" spans="1:25" x14ac:dyDescent="0.2">
      <c r="A231" s="976"/>
      <c r="B231" s="976"/>
      <c r="C231" s="976"/>
      <c r="D231" s="976"/>
      <c r="E231" s="976"/>
      <c r="P231" s="936"/>
      <c r="R231" s="977"/>
      <c r="S231" s="977"/>
      <c r="T231" s="977"/>
      <c r="U231" s="977"/>
      <c r="V231" s="977"/>
      <c r="W231" s="977"/>
      <c r="X231" s="977"/>
      <c r="Y231" s="977"/>
    </row>
    <row r="232" spans="1:25" x14ac:dyDescent="0.2">
      <c r="A232" s="976"/>
      <c r="B232" s="976"/>
      <c r="C232" s="976"/>
      <c r="D232" s="976"/>
      <c r="E232" s="976"/>
      <c r="P232" s="936"/>
      <c r="R232" s="977"/>
      <c r="S232" s="977"/>
      <c r="T232" s="977"/>
      <c r="U232" s="977"/>
      <c r="V232" s="977"/>
      <c r="W232" s="977"/>
      <c r="X232" s="977"/>
      <c r="Y232" s="977"/>
    </row>
    <row r="233" spans="1:25" x14ac:dyDescent="0.2">
      <c r="A233" s="976"/>
      <c r="B233" s="976"/>
      <c r="C233" s="976"/>
      <c r="D233" s="976"/>
      <c r="E233" s="976"/>
      <c r="P233" s="936"/>
      <c r="R233" s="977"/>
      <c r="S233" s="977"/>
      <c r="T233" s="977"/>
      <c r="U233" s="977"/>
      <c r="V233" s="977"/>
      <c r="W233" s="977"/>
      <c r="X233" s="977"/>
      <c r="Y233" s="977"/>
    </row>
    <row r="234" spans="1:25" x14ac:dyDescent="0.2">
      <c r="A234" s="976"/>
      <c r="B234" s="976"/>
      <c r="C234" s="976"/>
      <c r="D234" s="976"/>
      <c r="E234" s="976"/>
      <c r="P234" s="936"/>
      <c r="R234" s="977"/>
      <c r="S234" s="977"/>
      <c r="T234" s="977"/>
      <c r="U234" s="977"/>
      <c r="V234" s="977"/>
      <c r="W234" s="977"/>
      <c r="X234" s="977"/>
      <c r="Y234" s="977"/>
    </row>
    <row r="235" spans="1:25" x14ac:dyDescent="0.2">
      <c r="A235" s="976"/>
      <c r="B235" s="976"/>
      <c r="C235" s="976"/>
      <c r="D235" s="976"/>
      <c r="E235" s="976"/>
      <c r="P235" s="936"/>
      <c r="R235" s="977"/>
      <c r="S235" s="977"/>
      <c r="T235" s="977"/>
      <c r="U235" s="977"/>
      <c r="V235" s="977"/>
      <c r="W235" s="977"/>
      <c r="X235" s="977"/>
      <c r="Y235" s="977"/>
    </row>
    <row r="236" spans="1:25" x14ac:dyDescent="0.2">
      <c r="A236" s="976"/>
      <c r="B236" s="976"/>
      <c r="C236" s="976"/>
      <c r="D236" s="976"/>
      <c r="E236" s="976"/>
      <c r="P236" s="936"/>
      <c r="R236" s="977"/>
      <c r="S236" s="977"/>
      <c r="T236" s="977"/>
      <c r="U236" s="977"/>
      <c r="V236" s="977"/>
      <c r="W236" s="977"/>
      <c r="X236" s="977"/>
      <c r="Y236" s="977"/>
    </row>
    <row r="237" spans="1:25" x14ac:dyDescent="0.2">
      <c r="A237" s="976"/>
      <c r="B237" s="976"/>
      <c r="C237" s="976"/>
      <c r="D237" s="976"/>
      <c r="E237" s="976"/>
      <c r="P237" s="936"/>
      <c r="R237" s="977"/>
      <c r="S237" s="977"/>
      <c r="T237" s="977"/>
      <c r="U237" s="977"/>
      <c r="V237" s="977"/>
      <c r="W237" s="977"/>
      <c r="X237" s="977"/>
      <c r="Y237" s="977"/>
    </row>
    <row r="238" spans="1:25" x14ac:dyDescent="0.2">
      <c r="A238" s="976"/>
      <c r="B238" s="976"/>
      <c r="C238" s="976"/>
      <c r="D238" s="976"/>
      <c r="E238" s="976"/>
      <c r="P238" s="936"/>
      <c r="R238" s="977"/>
      <c r="S238" s="977"/>
      <c r="T238" s="977"/>
      <c r="U238" s="977"/>
      <c r="V238" s="977"/>
      <c r="W238" s="977"/>
      <c r="X238" s="977"/>
      <c r="Y238" s="977"/>
    </row>
    <row r="239" spans="1:25" x14ac:dyDescent="0.2">
      <c r="A239" s="976"/>
      <c r="B239" s="976"/>
      <c r="C239" s="976"/>
      <c r="D239" s="976"/>
      <c r="E239" s="976"/>
      <c r="P239" s="936"/>
      <c r="R239" s="977"/>
      <c r="S239" s="977"/>
      <c r="T239" s="977"/>
      <c r="U239" s="977"/>
      <c r="V239" s="977"/>
      <c r="W239" s="977"/>
      <c r="X239" s="977"/>
      <c r="Y239" s="977"/>
    </row>
    <row r="240" spans="1:25" x14ac:dyDescent="0.2">
      <c r="A240" s="976"/>
      <c r="B240" s="976"/>
      <c r="C240" s="976"/>
      <c r="D240" s="976"/>
      <c r="E240" s="976"/>
      <c r="P240" s="936"/>
      <c r="R240" s="977"/>
      <c r="S240" s="977"/>
      <c r="T240" s="977"/>
      <c r="U240" s="977"/>
      <c r="V240" s="977"/>
      <c r="W240" s="977"/>
      <c r="X240" s="977"/>
      <c r="Y240" s="977"/>
    </row>
    <row r="241" spans="1:25" x14ac:dyDescent="0.2">
      <c r="A241" s="976"/>
      <c r="B241" s="976"/>
      <c r="C241" s="976"/>
      <c r="D241" s="976"/>
      <c r="E241" s="976"/>
      <c r="P241" s="936"/>
      <c r="R241" s="977"/>
      <c r="S241" s="977"/>
      <c r="T241" s="977"/>
      <c r="U241" s="977"/>
      <c r="V241" s="977"/>
      <c r="W241" s="977"/>
      <c r="X241" s="977"/>
      <c r="Y241" s="977"/>
    </row>
    <row r="242" spans="1:25" x14ac:dyDescent="0.2">
      <c r="A242" s="976"/>
      <c r="B242" s="976"/>
      <c r="C242" s="976"/>
      <c r="D242" s="976"/>
      <c r="E242" s="976"/>
      <c r="P242" s="936"/>
      <c r="R242" s="977"/>
      <c r="S242" s="977"/>
      <c r="T242" s="977"/>
      <c r="U242" s="977"/>
      <c r="V242" s="977"/>
      <c r="W242" s="977"/>
      <c r="X242" s="977"/>
      <c r="Y242" s="977"/>
    </row>
    <row r="243" spans="1:25" x14ac:dyDescent="0.2">
      <c r="A243" s="976"/>
      <c r="B243" s="976"/>
      <c r="C243" s="976"/>
      <c r="D243" s="976"/>
      <c r="E243" s="976"/>
      <c r="P243" s="936"/>
      <c r="R243" s="977"/>
      <c r="S243" s="977"/>
      <c r="T243" s="977"/>
      <c r="U243" s="977"/>
      <c r="V243" s="977"/>
      <c r="W243" s="977"/>
      <c r="X243" s="977"/>
      <c r="Y243" s="977"/>
    </row>
    <row r="244" spans="1:25" x14ac:dyDescent="0.2">
      <c r="A244" s="976"/>
      <c r="B244" s="976"/>
      <c r="C244" s="976"/>
      <c r="D244" s="976"/>
      <c r="E244" s="976"/>
      <c r="P244" s="936"/>
      <c r="R244" s="977"/>
      <c r="S244" s="977"/>
      <c r="T244" s="977"/>
      <c r="U244" s="977"/>
      <c r="V244" s="977"/>
      <c r="W244" s="977"/>
      <c r="X244" s="977"/>
      <c r="Y244" s="977"/>
    </row>
    <row r="245" spans="1:25" x14ac:dyDescent="0.2">
      <c r="A245" s="976"/>
      <c r="B245" s="976"/>
      <c r="C245" s="976"/>
      <c r="D245" s="976"/>
      <c r="E245" s="976"/>
      <c r="P245" s="936"/>
      <c r="R245" s="977"/>
      <c r="S245" s="977"/>
      <c r="T245" s="977"/>
      <c r="U245" s="977"/>
      <c r="V245" s="977"/>
      <c r="W245" s="977"/>
      <c r="X245" s="977"/>
      <c r="Y245" s="977"/>
    </row>
    <row r="246" spans="1:25" x14ac:dyDescent="0.2">
      <c r="A246" s="976"/>
      <c r="B246" s="976"/>
      <c r="C246" s="976"/>
      <c r="D246" s="976"/>
      <c r="E246" s="976"/>
      <c r="P246" s="936"/>
      <c r="R246" s="977"/>
      <c r="S246" s="977"/>
      <c r="T246" s="977"/>
      <c r="U246" s="977"/>
      <c r="V246" s="977"/>
      <c r="W246" s="977"/>
      <c r="X246" s="977"/>
      <c r="Y246" s="977"/>
    </row>
    <row r="247" spans="1:25" x14ac:dyDescent="0.2">
      <c r="A247" s="976"/>
      <c r="B247" s="976"/>
      <c r="C247" s="976"/>
      <c r="D247" s="976"/>
      <c r="E247" s="976"/>
      <c r="P247" s="936"/>
      <c r="R247" s="977"/>
      <c r="S247" s="977"/>
      <c r="T247" s="977"/>
      <c r="U247" s="977"/>
      <c r="V247" s="977"/>
      <c r="W247" s="977"/>
      <c r="X247" s="977"/>
      <c r="Y247" s="977"/>
    </row>
    <row r="248" spans="1:25" x14ac:dyDescent="0.2">
      <c r="A248" s="976"/>
      <c r="B248" s="976"/>
      <c r="C248" s="976"/>
      <c r="D248" s="976"/>
      <c r="E248" s="976"/>
      <c r="P248" s="936"/>
      <c r="R248" s="977"/>
      <c r="S248" s="977"/>
      <c r="T248" s="977"/>
      <c r="U248" s="977"/>
      <c r="V248" s="977"/>
      <c r="W248" s="977"/>
      <c r="X248" s="977"/>
      <c r="Y248" s="977"/>
    </row>
    <row r="249" spans="1:25" x14ac:dyDescent="0.2">
      <c r="A249" s="976"/>
      <c r="B249" s="976"/>
      <c r="C249" s="976"/>
      <c r="D249" s="976"/>
      <c r="E249" s="976"/>
      <c r="P249" s="936"/>
      <c r="R249" s="977"/>
      <c r="S249" s="977"/>
      <c r="T249" s="977"/>
      <c r="U249" s="977"/>
      <c r="V249" s="977"/>
      <c r="W249" s="977"/>
      <c r="X249" s="977"/>
      <c r="Y249" s="977"/>
    </row>
    <row r="250" spans="1:25" x14ac:dyDescent="0.2">
      <c r="A250" s="976"/>
      <c r="B250" s="976"/>
      <c r="C250" s="976"/>
      <c r="D250" s="976"/>
      <c r="E250" s="976"/>
      <c r="P250" s="936"/>
      <c r="R250" s="977"/>
      <c r="S250" s="977"/>
      <c r="T250" s="977"/>
      <c r="U250" s="977"/>
      <c r="V250" s="977"/>
      <c r="W250" s="977"/>
      <c r="X250" s="977"/>
      <c r="Y250" s="977"/>
    </row>
    <row r="251" spans="1:25" x14ac:dyDescent="0.2">
      <c r="A251" s="976"/>
      <c r="B251" s="976"/>
      <c r="C251" s="976"/>
      <c r="D251" s="976"/>
      <c r="E251" s="976"/>
      <c r="P251" s="936"/>
      <c r="R251" s="977"/>
      <c r="S251" s="977"/>
      <c r="T251" s="977"/>
      <c r="U251" s="977"/>
      <c r="V251" s="977"/>
      <c r="W251" s="977"/>
      <c r="X251" s="977"/>
      <c r="Y251" s="977"/>
    </row>
    <row r="252" spans="1:25" x14ac:dyDescent="0.2">
      <c r="A252" s="976"/>
      <c r="B252" s="976"/>
      <c r="C252" s="976"/>
      <c r="D252" s="976"/>
      <c r="E252" s="976"/>
      <c r="P252" s="936"/>
      <c r="R252" s="977"/>
      <c r="S252" s="977"/>
      <c r="T252" s="977"/>
      <c r="U252" s="977"/>
      <c r="V252" s="977"/>
      <c r="W252" s="977"/>
      <c r="X252" s="977"/>
      <c r="Y252" s="977"/>
    </row>
    <row r="253" spans="1:25" x14ac:dyDescent="0.2">
      <c r="A253" s="976"/>
      <c r="B253" s="976"/>
      <c r="C253" s="976"/>
      <c r="D253" s="976"/>
      <c r="E253" s="976"/>
      <c r="P253" s="936"/>
      <c r="R253" s="977"/>
      <c r="S253" s="977"/>
      <c r="T253" s="977"/>
      <c r="U253" s="977"/>
      <c r="V253" s="977"/>
      <c r="W253" s="977"/>
      <c r="X253" s="977"/>
      <c r="Y253" s="977"/>
    </row>
    <row r="254" spans="1:25" x14ac:dyDescent="0.2">
      <c r="A254" s="976"/>
      <c r="B254" s="976"/>
      <c r="C254" s="976"/>
      <c r="D254" s="976"/>
      <c r="E254" s="976"/>
      <c r="P254" s="936"/>
      <c r="R254" s="977"/>
      <c r="S254" s="977"/>
      <c r="T254" s="977"/>
      <c r="U254" s="977"/>
      <c r="V254" s="977"/>
      <c r="W254" s="977"/>
      <c r="X254" s="977"/>
      <c r="Y254" s="977"/>
    </row>
    <row r="255" spans="1:25" x14ac:dyDescent="0.2">
      <c r="A255" s="976"/>
      <c r="B255" s="976"/>
      <c r="C255" s="976"/>
      <c r="D255" s="976"/>
      <c r="E255" s="976"/>
      <c r="P255" s="936"/>
      <c r="R255" s="977"/>
      <c r="S255" s="977"/>
      <c r="T255" s="977"/>
      <c r="U255" s="977"/>
      <c r="V255" s="977"/>
      <c r="W255" s="977"/>
      <c r="X255" s="977"/>
      <c r="Y255" s="977"/>
    </row>
    <row r="256" spans="1:25" x14ac:dyDescent="0.2">
      <c r="A256" s="976"/>
      <c r="B256" s="976"/>
      <c r="C256" s="976"/>
      <c r="D256" s="976"/>
      <c r="E256" s="976"/>
      <c r="P256" s="936"/>
      <c r="R256" s="977"/>
      <c r="S256" s="977"/>
      <c r="T256" s="977"/>
      <c r="U256" s="977"/>
      <c r="V256" s="977"/>
      <c r="W256" s="977"/>
      <c r="X256" s="977"/>
      <c r="Y256" s="977"/>
    </row>
    <row r="257" spans="1:25" x14ac:dyDescent="0.2">
      <c r="A257" s="976"/>
      <c r="B257" s="976"/>
      <c r="C257" s="976"/>
      <c r="D257" s="976"/>
      <c r="E257" s="976"/>
      <c r="P257" s="936"/>
      <c r="R257" s="977"/>
      <c r="S257" s="977"/>
      <c r="T257" s="977"/>
      <c r="U257" s="977"/>
      <c r="V257" s="977"/>
      <c r="W257" s="977"/>
      <c r="X257" s="977"/>
      <c r="Y257" s="977"/>
    </row>
    <row r="258" spans="1:25" x14ac:dyDescent="0.2">
      <c r="A258" s="976"/>
      <c r="B258" s="976"/>
      <c r="C258" s="976"/>
      <c r="D258" s="976"/>
      <c r="E258" s="976"/>
      <c r="P258" s="936"/>
      <c r="R258" s="977"/>
      <c r="S258" s="977"/>
      <c r="T258" s="977"/>
      <c r="U258" s="977"/>
      <c r="V258" s="977"/>
      <c r="W258" s="977"/>
      <c r="X258" s="977"/>
      <c r="Y258" s="977"/>
    </row>
    <row r="259" spans="1:25" x14ac:dyDescent="0.2">
      <c r="A259" s="976"/>
      <c r="B259" s="976"/>
      <c r="C259" s="976"/>
      <c r="D259" s="976"/>
      <c r="E259" s="976"/>
      <c r="P259" s="936"/>
      <c r="R259" s="977"/>
      <c r="S259" s="977"/>
      <c r="T259" s="977"/>
      <c r="U259" s="977"/>
      <c r="V259" s="977"/>
      <c r="W259" s="977"/>
      <c r="X259" s="977"/>
      <c r="Y259" s="977"/>
    </row>
    <row r="260" spans="1:25" x14ac:dyDescent="0.2">
      <c r="A260" s="976"/>
      <c r="B260" s="976"/>
      <c r="C260" s="976"/>
      <c r="D260" s="976"/>
      <c r="E260" s="976"/>
      <c r="P260" s="936"/>
      <c r="R260" s="977"/>
      <c r="S260" s="977"/>
      <c r="T260" s="977"/>
      <c r="U260" s="977"/>
      <c r="V260" s="977"/>
      <c r="W260" s="977"/>
      <c r="X260" s="977"/>
      <c r="Y260" s="977"/>
    </row>
    <row r="261" spans="1:25" x14ac:dyDescent="0.2">
      <c r="A261" s="976"/>
      <c r="B261" s="976"/>
      <c r="C261" s="976"/>
      <c r="D261" s="976"/>
      <c r="E261" s="976"/>
      <c r="P261" s="936"/>
      <c r="R261" s="977"/>
      <c r="S261" s="977"/>
      <c r="T261" s="977"/>
      <c r="U261" s="977"/>
      <c r="V261" s="977"/>
      <c r="W261" s="977"/>
      <c r="X261" s="977"/>
      <c r="Y261" s="977"/>
    </row>
    <row r="262" spans="1:25" x14ac:dyDescent="0.2">
      <c r="A262" s="976"/>
      <c r="B262" s="976"/>
      <c r="C262" s="976"/>
      <c r="D262" s="976"/>
      <c r="E262" s="976"/>
      <c r="P262" s="936"/>
      <c r="R262" s="977"/>
      <c r="S262" s="977"/>
      <c r="T262" s="977"/>
      <c r="U262" s="977"/>
      <c r="V262" s="977"/>
      <c r="W262" s="977"/>
      <c r="X262" s="977"/>
      <c r="Y262" s="977"/>
    </row>
    <row r="263" spans="1:25" x14ac:dyDescent="0.2">
      <c r="A263" s="976"/>
      <c r="B263" s="976"/>
      <c r="C263" s="976"/>
      <c r="D263" s="976"/>
      <c r="E263" s="976"/>
      <c r="P263" s="936"/>
      <c r="R263" s="977"/>
      <c r="S263" s="977"/>
      <c r="T263" s="977"/>
      <c r="U263" s="977"/>
      <c r="V263" s="977"/>
      <c r="W263" s="977"/>
      <c r="X263" s="977"/>
      <c r="Y263" s="977"/>
    </row>
    <row r="264" spans="1:25" x14ac:dyDescent="0.2">
      <c r="A264" s="976"/>
      <c r="B264" s="976"/>
      <c r="C264" s="976"/>
      <c r="D264" s="976"/>
      <c r="E264" s="976"/>
      <c r="P264" s="936"/>
      <c r="R264" s="977"/>
      <c r="S264" s="977"/>
      <c r="T264" s="977"/>
      <c r="U264" s="977"/>
      <c r="V264" s="977"/>
      <c r="W264" s="977"/>
      <c r="X264" s="977"/>
      <c r="Y264" s="977"/>
    </row>
    <row r="265" spans="1:25" x14ac:dyDescent="0.2">
      <c r="A265" s="976"/>
      <c r="B265" s="976"/>
      <c r="C265" s="976"/>
      <c r="D265" s="976"/>
      <c r="E265" s="976"/>
      <c r="P265" s="936"/>
      <c r="R265" s="977"/>
      <c r="S265" s="977"/>
      <c r="T265" s="977"/>
      <c r="U265" s="977"/>
      <c r="V265" s="977"/>
      <c r="W265" s="977"/>
      <c r="X265" s="977"/>
      <c r="Y265" s="977"/>
    </row>
    <row r="266" spans="1:25" x14ac:dyDescent="0.2">
      <c r="A266" s="976"/>
      <c r="B266" s="976"/>
      <c r="C266" s="976"/>
      <c r="D266" s="976"/>
      <c r="E266" s="976"/>
      <c r="P266" s="936"/>
      <c r="R266" s="977"/>
      <c r="S266" s="977"/>
      <c r="T266" s="977"/>
      <c r="U266" s="977"/>
      <c r="V266" s="977"/>
      <c r="W266" s="977"/>
      <c r="X266" s="977"/>
      <c r="Y266" s="977"/>
    </row>
    <row r="267" spans="1:25" x14ac:dyDescent="0.2">
      <c r="A267" s="976"/>
      <c r="B267" s="976"/>
      <c r="C267" s="976"/>
      <c r="D267" s="976"/>
      <c r="E267" s="976"/>
      <c r="P267" s="936"/>
      <c r="R267" s="977"/>
      <c r="S267" s="977"/>
      <c r="T267" s="977"/>
      <c r="U267" s="977"/>
      <c r="V267" s="977"/>
      <c r="W267" s="977"/>
      <c r="X267" s="977"/>
      <c r="Y267" s="977"/>
    </row>
    <row r="268" spans="1:25" x14ac:dyDescent="0.2">
      <c r="A268" s="976"/>
      <c r="B268" s="976"/>
      <c r="C268" s="976"/>
      <c r="D268" s="976"/>
      <c r="E268" s="976"/>
      <c r="P268" s="936"/>
      <c r="R268" s="977"/>
      <c r="S268" s="977"/>
      <c r="T268" s="977"/>
      <c r="U268" s="977"/>
      <c r="V268" s="977"/>
      <c r="W268" s="977"/>
      <c r="X268" s="977"/>
      <c r="Y268" s="977"/>
    </row>
    <row r="269" spans="1:25" x14ac:dyDescent="0.2">
      <c r="A269" s="976"/>
      <c r="B269" s="976"/>
      <c r="C269" s="976"/>
      <c r="D269" s="976"/>
      <c r="E269" s="976"/>
      <c r="P269" s="936"/>
      <c r="R269" s="977"/>
      <c r="S269" s="977"/>
      <c r="T269" s="977"/>
      <c r="U269" s="977"/>
      <c r="V269" s="977"/>
      <c r="W269" s="977"/>
      <c r="X269" s="977"/>
      <c r="Y269" s="977"/>
    </row>
    <row r="270" spans="1:25" x14ac:dyDescent="0.2">
      <c r="A270" s="976"/>
      <c r="B270" s="976"/>
      <c r="C270" s="976"/>
      <c r="D270" s="976"/>
      <c r="E270" s="976"/>
      <c r="P270" s="936"/>
      <c r="R270" s="977"/>
      <c r="S270" s="977"/>
      <c r="T270" s="977"/>
      <c r="U270" s="977"/>
      <c r="V270" s="977"/>
      <c r="W270" s="977"/>
      <c r="X270" s="977"/>
      <c r="Y270" s="977"/>
    </row>
    <row r="271" spans="1:25" x14ac:dyDescent="0.2">
      <c r="A271" s="976"/>
      <c r="B271" s="976"/>
      <c r="C271" s="976"/>
      <c r="D271" s="976"/>
      <c r="E271" s="976"/>
      <c r="P271" s="936"/>
      <c r="R271" s="977"/>
      <c r="S271" s="977"/>
      <c r="T271" s="977"/>
      <c r="U271" s="977"/>
      <c r="V271" s="977"/>
      <c r="W271" s="977"/>
      <c r="X271" s="977"/>
      <c r="Y271" s="977"/>
    </row>
    <row r="272" spans="1:25" x14ac:dyDescent="0.2">
      <c r="A272" s="976"/>
      <c r="B272" s="976"/>
      <c r="C272" s="976"/>
      <c r="D272" s="976"/>
      <c r="E272" s="976"/>
      <c r="P272" s="936"/>
      <c r="R272" s="977"/>
      <c r="S272" s="977"/>
      <c r="T272" s="977"/>
      <c r="U272" s="977"/>
      <c r="V272" s="977"/>
      <c r="W272" s="977"/>
      <c r="X272" s="977"/>
      <c r="Y272" s="977"/>
    </row>
    <row r="273" spans="1:25" x14ac:dyDescent="0.2">
      <c r="A273" s="976"/>
      <c r="B273" s="976"/>
      <c r="C273" s="976"/>
      <c r="D273" s="976"/>
      <c r="E273" s="976"/>
      <c r="P273" s="936"/>
      <c r="R273" s="977"/>
      <c r="S273" s="977"/>
      <c r="T273" s="977"/>
      <c r="U273" s="977"/>
      <c r="V273" s="977"/>
      <c r="W273" s="977"/>
      <c r="X273" s="977"/>
      <c r="Y273" s="977"/>
    </row>
    <row r="274" spans="1:25" x14ac:dyDescent="0.2">
      <c r="A274" s="976"/>
      <c r="B274" s="976"/>
      <c r="C274" s="976"/>
      <c r="D274" s="976"/>
      <c r="E274" s="976"/>
      <c r="P274" s="936"/>
      <c r="R274" s="977"/>
      <c r="S274" s="977"/>
      <c r="T274" s="977"/>
      <c r="U274" s="977"/>
      <c r="V274" s="977"/>
      <c r="W274" s="977"/>
      <c r="X274" s="977"/>
      <c r="Y274" s="977"/>
    </row>
    <row r="275" spans="1:25" x14ac:dyDescent="0.2">
      <c r="A275" s="976"/>
      <c r="B275" s="976"/>
      <c r="C275" s="976"/>
      <c r="D275" s="976"/>
      <c r="E275" s="976"/>
      <c r="P275" s="936"/>
      <c r="R275" s="977"/>
      <c r="S275" s="977"/>
      <c r="T275" s="977"/>
      <c r="U275" s="977"/>
      <c r="V275" s="977"/>
      <c r="W275" s="977"/>
      <c r="X275" s="977"/>
      <c r="Y275" s="977"/>
    </row>
    <row r="276" spans="1:25" x14ac:dyDescent="0.2">
      <c r="A276" s="976"/>
      <c r="B276" s="976"/>
      <c r="C276" s="976"/>
      <c r="D276" s="976"/>
      <c r="E276" s="976"/>
      <c r="P276" s="936"/>
      <c r="R276" s="977"/>
      <c r="S276" s="977"/>
      <c r="T276" s="977"/>
      <c r="U276" s="977"/>
      <c r="V276" s="977"/>
      <c r="W276" s="977"/>
      <c r="X276" s="977"/>
      <c r="Y276" s="977"/>
    </row>
    <row r="277" spans="1:25" x14ac:dyDescent="0.2">
      <c r="A277" s="976"/>
      <c r="B277" s="976"/>
      <c r="C277" s="976"/>
      <c r="D277" s="976"/>
      <c r="E277" s="976"/>
      <c r="P277" s="936"/>
      <c r="R277" s="977"/>
      <c r="S277" s="977"/>
      <c r="T277" s="977"/>
      <c r="U277" s="977"/>
      <c r="V277" s="977"/>
      <c r="W277" s="977"/>
      <c r="X277" s="977"/>
      <c r="Y277" s="977"/>
    </row>
    <row r="278" spans="1:25" x14ac:dyDescent="0.2">
      <c r="A278" s="976"/>
      <c r="B278" s="976"/>
      <c r="C278" s="976"/>
      <c r="D278" s="976"/>
      <c r="E278" s="976"/>
      <c r="P278" s="936"/>
      <c r="R278" s="977"/>
      <c r="S278" s="977"/>
      <c r="T278" s="977"/>
      <c r="U278" s="977"/>
      <c r="V278" s="977"/>
      <c r="W278" s="977"/>
      <c r="X278" s="977"/>
      <c r="Y278" s="977"/>
    </row>
    <row r="279" spans="1:25" x14ac:dyDescent="0.2">
      <c r="A279" s="976"/>
      <c r="B279" s="976"/>
      <c r="C279" s="976"/>
      <c r="D279" s="976"/>
      <c r="E279" s="976"/>
      <c r="P279" s="936"/>
      <c r="R279" s="977"/>
      <c r="S279" s="977"/>
      <c r="T279" s="977"/>
      <c r="U279" s="977"/>
      <c r="V279" s="977"/>
      <c r="W279" s="977"/>
      <c r="X279" s="977"/>
      <c r="Y279" s="977"/>
    </row>
    <row r="280" spans="1:25" x14ac:dyDescent="0.2">
      <c r="A280" s="976"/>
      <c r="B280" s="976"/>
      <c r="C280" s="976"/>
      <c r="D280" s="976"/>
      <c r="E280" s="976"/>
      <c r="P280" s="936"/>
      <c r="R280" s="977"/>
      <c r="S280" s="977"/>
      <c r="T280" s="977"/>
      <c r="U280" s="977"/>
      <c r="V280" s="977"/>
      <c r="W280" s="977"/>
      <c r="X280" s="977"/>
      <c r="Y280" s="977"/>
    </row>
    <row r="281" spans="1:25" x14ac:dyDescent="0.2">
      <c r="A281" s="976"/>
      <c r="B281" s="976"/>
      <c r="C281" s="976"/>
      <c r="D281" s="976"/>
      <c r="E281" s="976"/>
      <c r="P281" s="936"/>
      <c r="R281" s="977"/>
      <c r="S281" s="977"/>
      <c r="T281" s="977"/>
      <c r="U281" s="977"/>
      <c r="V281" s="977"/>
      <c r="W281" s="977"/>
      <c r="X281" s="977"/>
      <c r="Y281" s="977"/>
    </row>
    <row r="282" spans="1:25" x14ac:dyDescent="0.2">
      <c r="A282" s="976"/>
      <c r="B282" s="976"/>
      <c r="C282" s="976"/>
      <c r="D282" s="976"/>
      <c r="E282" s="976"/>
      <c r="P282" s="936"/>
      <c r="R282" s="977"/>
      <c r="S282" s="977"/>
      <c r="T282" s="977"/>
      <c r="U282" s="977"/>
      <c r="V282" s="977"/>
      <c r="W282" s="977"/>
      <c r="X282" s="977"/>
      <c r="Y282" s="977"/>
    </row>
    <row r="283" spans="1:25" x14ac:dyDescent="0.2">
      <c r="A283" s="976"/>
      <c r="B283" s="976"/>
      <c r="C283" s="976"/>
      <c r="D283" s="976"/>
      <c r="E283" s="976"/>
      <c r="P283" s="936"/>
      <c r="R283" s="977"/>
      <c r="S283" s="977"/>
      <c r="T283" s="977"/>
      <c r="U283" s="977"/>
      <c r="V283" s="977"/>
      <c r="W283" s="977"/>
      <c r="X283" s="977"/>
      <c r="Y283" s="977"/>
    </row>
    <row r="284" spans="1:25" x14ac:dyDescent="0.2">
      <c r="A284" s="976"/>
      <c r="B284" s="976"/>
      <c r="C284" s="976"/>
      <c r="D284" s="976"/>
      <c r="E284" s="976"/>
      <c r="P284" s="936"/>
      <c r="R284" s="977"/>
      <c r="S284" s="977"/>
      <c r="T284" s="977"/>
      <c r="U284" s="977"/>
      <c r="V284" s="977"/>
      <c r="W284" s="977"/>
      <c r="X284" s="977"/>
      <c r="Y284" s="977"/>
    </row>
    <row r="285" spans="1:25" x14ac:dyDescent="0.2">
      <c r="A285" s="976"/>
      <c r="B285" s="976"/>
      <c r="C285" s="976"/>
      <c r="D285" s="976"/>
      <c r="E285" s="976"/>
      <c r="P285" s="936"/>
      <c r="R285" s="977"/>
      <c r="S285" s="977"/>
      <c r="T285" s="977"/>
      <c r="U285" s="977"/>
      <c r="V285" s="977"/>
      <c r="W285" s="977"/>
      <c r="X285" s="977"/>
      <c r="Y285" s="977"/>
    </row>
    <row r="286" spans="1:25" x14ac:dyDescent="0.2">
      <c r="A286" s="976"/>
      <c r="B286" s="976"/>
      <c r="C286" s="976"/>
      <c r="D286" s="976"/>
      <c r="E286" s="976"/>
      <c r="P286" s="936"/>
      <c r="R286" s="977"/>
      <c r="S286" s="977"/>
      <c r="T286" s="977"/>
      <c r="U286" s="977"/>
      <c r="V286" s="977"/>
      <c r="W286" s="977"/>
      <c r="X286" s="977"/>
      <c r="Y286" s="977"/>
    </row>
    <row r="287" spans="1:25" x14ac:dyDescent="0.2">
      <c r="A287" s="976"/>
      <c r="B287" s="976"/>
      <c r="C287" s="976"/>
      <c r="D287" s="976"/>
      <c r="E287" s="976"/>
      <c r="P287" s="936"/>
      <c r="R287" s="977"/>
      <c r="S287" s="977"/>
      <c r="T287" s="977"/>
      <c r="U287" s="977"/>
      <c r="V287" s="977"/>
      <c r="W287" s="977"/>
      <c r="X287" s="977"/>
      <c r="Y287" s="977"/>
    </row>
    <row r="288" spans="1:25" x14ac:dyDescent="0.2">
      <c r="A288" s="976"/>
      <c r="B288" s="976"/>
      <c r="C288" s="976"/>
      <c r="D288" s="976"/>
      <c r="E288" s="976"/>
      <c r="P288" s="936"/>
      <c r="R288" s="977"/>
      <c r="S288" s="977"/>
      <c r="T288" s="977"/>
      <c r="U288" s="977"/>
      <c r="V288" s="977"/>
      <c r="W288" s="977"/>
      <c r="X288" s="977"/>
      <c r="Y288" s="977"/>
    </row>
    <row r="289" spans="1:25" x14ac:dyDescent="0.2">
      <c r="A289" s="976"/>
      <c r="B289" s="976"/>
      <c r="C289" s="976"/>
      <c r="D289" s="976"/>
      <c r="E289" s="976"/>
      <c r="P289" s="936"/>
      <c r="R289" s="977"/>
      <c r="S289" s="977"/>
      <c r="T289" s="977"/>
      <c r="U289" s="977"/>
      <c r="V289" s="977"/>
      <c r="W289" s="977"/>
      <c r="X289" s="977"/>
      <c r="Y289" s="977"/>
    </row>
    <row r="290" spans="1:25" x14ac:dyDescent="0.2">
      <c r="A290" s="976"/>
      <c r="B290" s="976"/>
      <c r="C290" s="976"/>
      <c r="D290" s="976"/>
      <c r="E290" s="976"/>
      <c r="P290" s="936"/>
      <c r="R290" s="977"/>
      <c r="S290" s="977"/>
      <c r="T290" s="977"/>
      <c r="U290" s="977"/>
      <c r="V290" s="977"/>
      <c r="W290" s="977"/>
      <c r="X290" s="977"/>
      <c r="Y290" s="977"/>
    </row>
    <row r="291" spans="1:25" x14ac:dyDescent="0.2">
      <c r="A291" s="976"/>
      <c r="B291" s="976"/>
      <c r="C291" s="976"/>
      <c r="D291" s="976"/>
      <c r="E291" s="976"/>
      <c r="P291" s="936"/>
      <c r="R291" s="977"/>
      <c r="S291" s="977"/>
      <c r="T291" s="977"/>
      <c r="U291" s="977"/>
      <c r="V291" s="977"/>
      <c r="W291" s="977"/>
      <c r="X291" s="977"/>
      <c r="Y291" s="977"/>
    </row>
    <row r="292" spans="1:25" x14ac:dyDescent="0.2">
      <c r="A292" s="976"/>
      <c r="B292" s="976"/>
      <c r="C292" s="976"/>
      <c r="D292" s="976"/>
      <c r="E292" s="976"/>
      <c r="P292" s="936"/>
      <c r="R292" s="977"/>
      <c r="S292" s="977"/>
      <c r="T292" s="977"/>
      <c r="U292" s="977"/>
      <c r="V292" s="977"/>
      <c r="W292" s="977"/>
      <c r="X292" s="977"/>
      <c r="Y292" s="977"/>
    </row>
    <row r="293" spans="1:25" x14ac:dyDescent="0.2">
      <c r="A293" s="976"/>
      <c r="B293" s="976"/>
      <c r="C293" s="976"/>
      <c r="D293" s="976"/>
      <c r="E293" s="976"/>
      <c r="P293" s="936"/>
      <c r="R293" s="977"/>
      <c r="S293" s="977"/>
      <c r="T293" s="977"/>
      <c r="U293" s="977"/>
      <c r="V293" s="977"/>
      <c r="W293" s="977"/>
      <c r="X293" s="977"/>
      <c r="Y293" s="977"/>
    </row>
    <row r="294" spans="1:25" x14ac:dyDescent="0.2">
      <c r="A294" s="976"/>
      <c r="B294" s="976"/>
      <c r="C294" s="976"/>
      <c r="D294" s="976"/>
      <c r="E294" s="976"/>
      <c r="P294" s="936"/>
      <c r="R294" s="977"/>
      <c r="S294" s="977"/>
      <c r="T294" s="977"/>
      <c r="U294" s="977"/>
      <c r="V294" s="977"/>
      <c r="W294" s="977"/>
      <c r="X294" s="977"/>
      <c r="Y294" s="977"/>
    </row>
    <row r="295" spans="1:25" x14ac:dyDescent="0.2">
      <c r="A295" s="976"/>
      <c r="B295" s="976"/>
      <c r="C295" s="976"/>
      <c r="D295" s="976"/>
      <c r="E295" s="976"/>
      <c r="P295" s="936"/>
      <c r="R295" s="977"/>
      <c r="S295" s="977"/>
      <c r="T295" s="977"/>
      <c r="U295" s="977"/>
      <c r="V295" s="977"/>
      <c r="W295" s="977"/>
      <c r="X295" s="977"/>
      <c r="Y295" s="977"/>
    </row>
    <row r="296" spans="1:25" x14ac:dyDescent="0.2">
      <c r="A296" s="976"/>
      <c r="B296" s="976"/>
      <c r="C296" s="976"/>
      <c r="D296" s="976"/>
      <c r="E296" s="976"/>
      <c r="P296" s="936"/>
      <c r="R296" s="977"/>
      <c r="S296" s="977"/>
      <c r="T296" s="977"/>
      <c r="U296" s="977"/>
      <c r="V296" s="977"/>
      <c r="W296" s="977"/>
      <c r="X296" s="977"/>
      <c r="Y296" s="977"/>
    </row>
    <row r="297" spans="1:25" x14ac:dyDescent="0.2">
      <c r="A297" s="976"/>
      <c r="B297" s="976"/>
      <c r="C297" s="976"/>
      <c r="D297" s="976"/>
      <c r="E297" s="976"/>
      <c r="P297" s="936"/>
      <c r="R297" s="977"/>
      <c r="S297" s="977"/>
      <c r="T297" s="977"/>
      <c r="U297" s="977"/>
      <c r="V297" s="977"/>
      <c r="W297" s="977"/>
      <c r="X297" s="977"/>
      <c r="Y297" s="977"/>
    </row>
    <row r="298" spans="1:25" x14ac:dyDescent="0.2">
      <c r="A298" s="976"/>
      <c r="B298" s="976"/>
      <c r="C298" s="976"/>
      <c r="D298" s="976"/>
      <c r="E298" s="976"/>
      <c r="P298" s="936"/>
      <c r="R298" s="977"/>
      <c r="S298" s="977"/>
      <c r="T298" s="977"/>
      <c r="U298" s="977"/>
      <c r="V298" s="977"/>
      <c r="W298" s="977"/>
      <c r="X298" s="977"/>
      <c r="Y298" s="977"/>
    </row>
    <row r="299" spans="1:25" x14ac:dyDescent="0.2">
      <c r="A299" s="976"/>
      <c r="B299" s="976"/>
      <c r="C299" s="976"/>
      <c r="D299" s="976"/>
      <c r="E299" s="976"/>
      <c r="P299" s="936"/>
      <c r="R299" s="977"/>
      <c r="S299" s="977"/>
      <c r="T299" s="977"/>
      <c r="U299" s="977"/>
      <c r="V299" s="977"/>
      <c r="W299" s="977"/>
      <c r="X299" s="977"/>
      <c r="Y299" s="977"/>
    </row>
    <row r="300" spans="1:25" x14ac:dyDescent="0.2">
      <c r="A300" s="976"/>
      <c r="B300" s="976"/>
      <c r="C300" s="976"/>
      <c r="D300" s="976"/>
      <c r="E300" s="976"/>
      <c r="P300" s="936"/>
      <c r="R300" s="977"/>
      <c r="S300" s="977"/>
      <c r="T300" s="977"/>
      <c r="U300" s="977"/>
      <c r="V300" s="977"/>
      <c r="W300" s="977"/>
      <c r="X300" s="977"/>
      <c r="Y300" s="977"/>
    </row>
    <row r="301" spans="1:25" x14ac:dyDescent="0.2">
      <c r="A301" s="976"/>
      <c r="B301" s="976"/>
      <c r="C301" s="976"/>
      <c r="D301" s="976"/>
      <c r="E301" s="976"/>
      <c r="P301" s="936"/>
      <c r="R301" s="977"/>
      <c r="S301" s="977"/>
      <c r="T301" s="977"/>
      <c r="U301" s="977"/>
      <c r="V301" s="977"/>
      <c r="W301" s="977"/>
      <c r="X301" s="977"/>
      <c r="Y301" s="977"/>
    </row>
    <row r="302" spans="1:25" x14ac:dyDescent="0.2">
      <c r="A302" s="976"/>
      <c r="B302" s="976"/>
      <c r="C302" s="976"/>
      <c r="D302" s="976"/>
      <c r="E302" s="976"/>
      <c r="P302" s="936"/>
      <c r="R302" s="977"/>
      <c r="S302" s="977"/>
      <c r="T302" s="977"/>
      <c r="U302" s="977"/>
      <c r="V302" s="977"/>
      <c r="W302" s="977"/>
      <c r="X302" s="977"/>
      <c r="Y302" s="977"/>
    </row>
    <row r="303" spans="1:25" x14ac:dyDescent="0.2">
      <c r="A303" s="976"/>
      <c r="B303" s="976"/>
      <c r="C303" s="976"/>
      <c r="D303" s="976"/>
      <c r="E303" s="976"/>
      <c r="P303" s="936"/>
      <c r="R303" s="977"/>
      <c r="S303" s="977"/>
      <c r="T303" s="977"/>
      <c r="U303" s="977"/>
      <c r="V303" s="977"/>
      <c r="W303" s="977"/>
      <c r="X303" s="977"/>
      <c r="Y303" s="977"/>
    </row>
    <row r="304" spans="1:25" x14ac:dyDescent="0.2">
      <c r="A304" s="976"/>
      <c r="B304" s="976"/>
      <c r="C304" s="976"/>
      <c r="D304" s="976"/>
      <c r="E304" s="976"/>
      <c r="P304" s="936"/>
      <c r="R304" s="977"/>
      <c r="S304" s="977"/>
      <c r="T304" s="977"/>
      <c r="U304" s="977"/>
      <c r="V304" s="977"/>
      <c r="W304" s="977"/>
      <c r="X304" s="977"/>
      <c r="Y304" s="977"/>
    </row>
    <row r="305" spans="1:25" x14ac:dyDescent="0.2">
      <c r="A305" s="976"/>
      <c r="B305" s="976"/>
      <c r="C305" s="976"/>
      <c r="D305" s="976"/>
      <c r="E305" s="976"/>
      <c r="P305" s="936"/>
      <c r="R305" s="977"/>
      <c r="S305" s="977"/>
      <c r="T305" s="977"/>
      <c r="U305" s="977"/>
      <c r="V305" s="977"/>
      <c r="W305" s="977"/>
      <c r="X305" s="977"/>
      <c r="Y305" s="977"/>
    </row>
    <row r="306" spans="1:25" x14ac:dyDescent="0.2">
      <c r="A306" s="976"/>
      <c r="B306" s="976"/>
      <c r="C306" s="976"/>
      <c r="D306" s="976"/>
      <c r="E306" s="976"/>
      <c r="P306" s="936"/>
      <c r="R306" s="977"/>
      <c r="S306" s="977"/>
      <c r="T306" s="977"/>
      <c r="U306" s="977"/>
      <c r="V306" s="977"/>
      <c r="W306" s="977"/>
      <c r="X306" s="977"/>
      <c r="Y306" s="977"/>
    </row>
    <row r="307" spans="1:25" x14ac:dyDescent="0.2">
      <c r="A307" s="976"/>
      <c r="B307" s="976"/>
      <c r="C307" s="976"/>
      <c r="D307" s="976"/>
      <c r="E307" s="976"/>
      <c r="P307" s="936"/>
      <c r="R307" s="977"/>
      <c r="S307" s="977"/>
      <c r="T307" s="977"/>
      <c r="U307" s="977"/>
      <c r="V307" s="977"/>
      <c r="W307" s="977"/>
      <c r="X307" s="977"/>
      <c r="Y307" s="977"/>
    </row>
    <row r="308" spans="1:25" x14ac:dyDescent="0.2">
      <c r="A308" s="976"/>
      <c r="B308" s="976"/>
      <c r="C308" s="976"/>
      <c r="D308" s="976"/>
      <c r="E308" s="976"/>
      <c r="P308" s="936"/>
      <c r="R308" s="977"/>
      <c r="S308" s="977"/>
      <c r="T308" s="977"/>
      <c r="U308" s="977"/>
      <c r="V308" s="977"/>
      <c r="W308" s="977"/>
      <c r="X308" s="977"/>
      <c r="Y308" s="977"/>
    </row>
    <row r="309" spans="1:25" x14ac:dyDescent="0.2">
      <c r="A309" s="976"/>
      <c r="B309" s="976"/>
      <c r="C309" s="976"/>
      <c r="D309" s="976"/>
      <c r="E309" s="976"/>
      <c r="P309" s="936"/>
      <c r="R309" s="977"/>
      <c r="S309" s="977"/>
      <c r="T309" s="977"/>
      <c r="U309" s="977"/>
      <c r="V309" s="977"/>
      <c r="W309" s="977"/>
      <c r="X309" s="977"/>
      <c r="Y309" s="977"/>
    </row>
    <row r="310" spans="1:25" x14ac:dyDescent="0.2">
      <c r="A310" s="976"/>
      <c r="B310" s="976"/>
      <c r="C310" s="976"/>
      <c r="D310" s="976"/>
      <c r="E310" s="976"/>
      <c r="P310" s="936"/>
      <c r="R310" s="977"/>
      <c r="S310" s="977"/>
      <c r="T310" s="977"/>
      <c r="U310" s="977"/>
      <c r="V310" s="977"/>
      <c r="W310" s="977"/>
      <c r="X310" s="977"/>
      <c r="Y310" s="977"/>
    </row>
    <row r="311" spans="1:25" x14ac:dyDescent="0.2">
      <c r="A311" s="976"/>
      <c r="B311" s="976"/>
      <c r="C311" s="976"/>
      <c r="D311" s="976"/>
      <c r="E311" s="976"/>
      <c r="P311" s="936"/>
      <c r="R311" s="977"/>
      <c r="S311" s="977"/>
      <c r="T311" s="977"/>
      <c r="U311" s="977"/>
      <c r="V311" s="977"/>
      <c r="W311" s="977"/>
      <c r="X311" s="977"/>
      <c r="Y311" s="977"/>
    </row>
    <row r="312" spans="1:25" x14ac:dyDescent="0.2">
      <c r="A312" s="976"/>
      <c r="B312" s="976"/>
      <c r="C312" s="976"/>
      <c r="D312" s="976"/>
      <c r="E312" s="976"/>
      <c r="P312" s="936"/>
      <c r="R312" s="977"/>
      <c r="S312" s="977"/>
      <c r="T312" s="977"/>
      <c r="U312" s="977"/>
      <c r="V312" s="977"/>
      <c r="W312" s="977"/>
      <c r="X312" s="977"/>
      <c r="Y312" s="977"/>
    </row>
    <row r="313" spans="1:25" x14ac:dyDescent="0.2">
      <c r="A313" s="976"/>
      <c r="B313" s="976"/>
      <c r="C313" s="976"/>
      <c r="D313" s="976"/>
      <c r="E313" s="976"/>
      <c r="P313" s="936"/>
      <c r="R313" s="977"/>
      <c r="S313" s="977"/>
      <c r="T313" s="977"/>
      <c r="U313" s="977"/>
      <c r="V313" s="977"/>
      <c r="W313" s="977"/>
      <c r="X313" s="977"/>
      <c r="Y313" s="977"/>
    </row>
    <row r="314" spans="1:25" x14ac:dyDescent="0.2">
      <c r="A314" s="976"/>
      <c r="B314" s="976"/>
      <c r="C314" s="976"/>
      <c r="D314" s="976"/>
      <c r="E314" s="976"/>
      <c r="P314" s="936"/>
      <c r="R314" s="977"/>
      <c r="S314" s="977"/>
      <c r="T314" s="977"/>
      <c r="U314" s="977"/>
      <c r="V314" s="977"/>
      <c r="W314" s="977"/>
      <c r="X314" s="977"/>
      <c r="Y314" s="977"/>
    </row>
    <row r="315" spans="1:25" x14ac:dyDescent="0.2">
      <c r="A315" s="976"/>
      <c r="B315" s="976"/>
      <c r="C315" s="976"/>
      <c r="D315" s="976"/>
      <c r="E315" s="976"/>
      <c r="P315" s="936"/>
      <c r="R315" s="977"/>
      <c r="S315" s="977"/>
      <c r="T315" s="977"/>
      <c r="U315" s="977"/>
      <c r="V315" s="977"/>
      <c r="W315" s="977"/>
      <c r="X315" s="977"/>
      <c r="Y315" s="977"/>
    </row>
    <row r="316" spans="1:25" x14ac:dyDescent="0.2">
      <c r="A316" s="976"/>
      <c r="B316" s="976"/>
      <c r="C316" s="976"/>
      <c r="D316" s="976"/>
      <c r="E316" s="976"/>
      <c r="P316" s="936"/>
      <c r="R316" s="977"/>
      <c r="S316" s="977"/>
      <c r="T316" s="977"/>
      <c r="U316" s="977"/>
      <c r="V316" s="977"/>
      <c r="W316" s="977"/>
      <c r="X316" s="977"/>
      <c r="Y316" s="977"/>
    </row>
    <row r="317" spans="1:25" x14ac:dyDescent="0.2">
      <c r="A317" s="976"/>
      <c r="B317" s="976"/>
      <c r="C317" s="976"/>
      <c r="D317" s="976"/>
      <c r="E317" s="976"/>
      <c r="P317" s="936"/>
      <c r="R317" s="977"/>
      <c r="S317" s="977"/>
      <c r="T317" s="977"/>
      <c r="U317" s="977"/>
      <c r="V317" s="977"/>
      <c r="W317" s="977"/>
      <c r="X317" s="977"/>
      <c r="Y317" s="977"/>
    </row>
    <row r="318" spans="1:25" x14ac:dyDescent="0.2">
      <c r="A318" s="976"/>
      <c r="B318" s="976"/>
      <c r="C318" s="976"/>
      <c r="D318" s="976"/>
      <c r="E318" s="976"/>
      <c r="P318" s="936"/>
      <c r="R318" s="977"/>
      <c r="S318" s="977"/>
      <c r="T318" s="977"/>
      <c r="U318" s="977"/>
      <c r="V318" s="977"/>
      <c r="W318" s="977"/>
      <c r="X318" s="977"/>
      <c r="Y318" s="977"/>
    </row>
    <row r="319" spans="1:25" x14ac:dyDescent="0.2">
      <c r="A319" s="976"/>
      <c r="B319" s="976"/>
      <c r="C319" s="976"/>
      <c r="D319" s="976"/>
      <c r="E319" s="976"/>
      <c r="P319" s="936"/>
      <c r="R319" s="977"/>
      <c r="S319" s="977"/>
      <c r="T319" s="977"/>
      <c r="U319" s="977"/>
      <c r="V319" s="977"/>
      <c r="W319" s="977"/>
      <c r="X319" s="977"/>
      <c r="Y319" s="977"/>
    </row>
    <row r="320" spans="1:25" x14ac:dyDescent="0.2">
      <c r="A320" s="976"/>
      <c r="B320" s="976"/>
      <c r="C320" s="976"/>
      <c r="D320" s="976"/>
      <c r="E320" s="976"/>
      <c r="P320" s="936"/>
      <c r="R320" s="977"/>
      <c r="S320" s="977"/>
      <c r="T320" s="977"/>
      <c r="U320" s="977"/>
      <c r="V320" s="977"/>
      <c r="W320" s="977"/>
      <c r="X320" s="977"/>
      <c r="Y320" s="977"/>
    </row>
    <row r="321" spans="1:25" x14ac:dyDescent="0.2">
      <c r="A321" s="976"/>
      <c r="B321" s="976"/>
      <c r="C321" s="976"/>
      <c r="D321" s="976"/>
      <c r="E321" s="976"/>
      <c r="P321" s="936"/>
      <c r="R321" s="977"/>
      <c r="S321" s="977"/>
      <c r="T321" s="977"/>
      <c r="U321" s="977"/>
      <c r="V321" s="977"/>
      <c r="W321" s="977"/>
      <c r="X321" s="977"/>
      <c r="Y321" s="977"/>
    </row>
    <row r="322" spans="1:25" x14ac:dyDescent="0.2">
      <c r="A322" s="976"/>
      <c r="B322" s="976"/>
      <c r="C322" s="976"/>
      <c r="D322" s="976"/>
      <c r="E322" s="976"/>
      <c r="P322" s="936"/>
      <c r="R322" s="977"/>
      <c r="S322" s="977"/>
      <c r="T322" s="977"/>
      <c r="U322" s="977"/>
      <c r="V322" s="977"/>
      <c r="W322" s="977"/>
      <c r="X322" s="977"/>
      <c r="Y322" s="977"/>
    </row>
    <row r="323" spans="1:25" x14ac:dyDescent="0.2">
      <c r="A323" s="976"/>
      <c r="B323" s="976"/>
      <c r="C323" s="976"/>
      <c r="D323" s="976"/>
      <c r="E323" s="976"/>
      <c r="P323" s="936"/>
      <c r="R323" s="977"/>
      <c r="S323" s="977"/>
      <c r="T323" s="977"/>
      <c r="U323" s="977"/>
      <c r="V323" s="977"/>
      <c r="W323" s="977"/>
      <c r="X323" s="977"/>
      <c r="Y323" s="977"/>
    </row>
    <row r="324" spans="1:25" x14ac:dyDescent="0.2">
      <c r="A324" s="976"/>
      <c r="B324" s="976"/>
      <c r="C324" s="976"/>
      <c r="D324" s="976"/>
      <c r="E324" s="976"/>
      <c r="P324" s="936"/>
      <c r="R324" s="977"/>
      <c r="S324" s="977"/>
      <c r="T324" s="977"/>
      <c r="U324" s="977"/>
      <c r="V324" s="977"/>
      <c r="W324" s="977"/>
      <c r="X324" s="977"/>
      <c r="Y324" s="977"/>
    </row>
    <row r="325" spans="1:25" x14ac:dyDescent="0.2">
      <c r="A325" s="976"/>
      <c r="B325" s="976"/>
      <c r="C325" s="976"/>
      <c r="D325" s="976"/>
      <c r="E325" s="976"/>
      <c r="P325" s="936"/>
      <c r="R325" s="977"/>
      <c r="S325" s="977"/>
      <c r="T325" s="977"/>
      <c r="U325" s="977"/>
      <c r="V325" s="977"/>
      <c r="W325" s="977"/>
      <c r="X325" s="977"/>
      <c r="Y325" s="977"/>
    </row>
    <row r="326" spans="1:25" x14ac:dyDescent="0.2">
      <c r="A326" s="976"/>
      <c r="B326" s="976"/>
      <c r="C326" s="976"/>
      <c r="D326" s="976"/>
      <c r="E326" s="976"/>
      <c r="P326" s="936"/>
      <c r="R326" s="977"/>
      <c r="S326" s="977"/>
      <c r="T326" s="977"/>
      <c r="U326" s="977"/>
      <c r="V326" s="977"/>
      <c r="W326" s="977"/>
      <c r="X326" s="977"/>
      <c r="Y326" s="977"/>
    </row>
    <row r="327" spans="1:25" x14ac:dyDescent="0.2">
      <c r="A327" s="976"/>
      <c r="B327" s="976"/>
      <c r="C327" s="976"/>
      <c r="D327" s="976"/>
      <c r="E327" s="976"/>
      <c r="P327" s="936"/>
      <c r="R327" s="977"/>
      <c r="S327" s="977"/>
      <c r="T327" s="977"/>
      <c r="U327" s="977"/>
      <c r="V327" s="977"/>
      <c r="W327" s="977"/>
      <c r="X327" s="977"/>
      <c r="Y327" s="977"/>
    </row>
    <row r="328" spans="1:25" x14ac:dyDescent="0.2">
      <c r="A328" s="976"/>
      <c r="B328" s="976"/>
      <c r="C328" s="976"/>
      <c r="D328" s="976"/>
      <c r="E328" s="976"/>
      <c r="P328" s="936"/>
      <c r="R328" s="977"/>
      <c r="S328" s="977"/>
      <c r="T328" s="977"/>
      <c r="U328" s="977"/>
      <c r="V328" s="977"/>
      <c r="W328" s="977"/>
      <c r="X328" s="977"/>
      <c r="Y328" s="977"/>
    </row>
    <row r="329" spans="1:25" x14ac:dyDescent="0.2">
      <c r="A329" s="976"/>
      <c r="B329" s="976"/>
      <c r="C329" s="976"/>
      <c r="D329" s="976"/>
      <c r="E329" s="976"/>
      <c r="P329" s="936"/>
      <c r="R329" s="977"/>
      <c r="S329" s="977"/>
      <c r="T329" s="977"/>
      <c r="U329" s="977"/>
      <c r="V329" s="977"/>
      <c r="W329" s="977"/>
      <c r="X329" s="977"/>
      <c r="Y329" s="977"/>
    </row>
    <row r="330" spans="1:25" x14ac:dyDescent="0.2">
      <c r="A330" s="976"/>
      <c r="B330" s="976"/>
      <c r="C330" s="976"/>
      <c r="D330" s="976"/>
      <c r="E330" s="976"/>
      <c r="P330" s="936"/>
      <c r="R330" s="977"/>
      <c r="S330" s="977"/>
      <c r="T330" s="977"/>
      <c r="U330" s="977"/>
      <c r="V330" s="977"/>
      <c r="W330" s="977"/>
      <c r="X330" s="977"/>
      <c r="Y330" s="977"/>
    </row>
    <row r="331" spans="1:25" x14ac:dyDescent="0.2">
      <c r="A331" s="976"/>
      <c r="B331" s="976"/>
      <c r="C331" s="976"/>
      <c r="D331" s="976"/>
      <c r="E331" s="976"/>
      <c r="P331" s="936"/>
      <c r="R331" s="977"/>
      <c r="S331" s="977"/>
      <c r="T331" s="977"/>
      <c r="U331" s="977"/>
      <c r="V331" s="977"/>
      <c r="W331" s="977"/>
      <c r="X331" s="977"/>
      <c r="Y331" s="977"/>
    </row>
    <row r="332" spans="1:25" x14ac:dyDescent="0.2">
      <c r="A332" s="976"/>
      <c r="B332" s="976"/>
      <c r="C332" s="976"/>
      <c r="D332" s="976"/>
      <c r="E332" s="976"/>
      <c r="P332" s="936"/>
      <c r="R332" s="977"/>
      <c r="S332" s="977"/>
      <c r="T332" s="977"/>
      <c r="U332" s="977"/>
      <c r="V332" s="977"/>
      <c r="W332" s="977"/>
      <c r="X332" s="977"/>
      <c r="Y332" s="977"/>
    </row>
    <row r="333" spans="1:25" x14ac:dyDescent="0.2">
      <c r="A333" s="976"/>
      <c r="B333" s="976"/>
      <c r="C333" s="976"/>
      <c r="D333" s="976"/>
      <c r="E333" s="976"/>
      <c r="P333" s="936"/>
      <c r="R333" s="977"/>
      <c r="S333" s="977"/>
      <c r="T333" s="977"/>
      <c r="U333" s="977"/>
      <c r="V333" s="977"/>
      <c r="W333" s="977"/>
      <c r="X333" s="977"/>
      <c r="Y333" s="977"/>
    </row>
    <row r="334" spans="1:25" x14ac:dyDescent="0.2">
      <c r="A334" s="976"/>
      <c r="B334" s="976"/>
      <c r="C334" s="976"/>
      <c r="D334" s="976"/>
      <c r="E334" s="976"/>
      <c r="P334" s="936"/>
      <c r="R334" s="977"/>
      <c r="S334" s="977"/>
      <c r="T334" s="977"/>
      <c r="U334" s="977"/>
      <c r="V334" s="977"/>
      <c r="W334" s="977"/>
      <c r="X334" s="977"/>
      <c r="Y334" s="977"/>
    </row>
    <row r="335" spans="1:25" x14ac:dyDescent="0.2">
      <c r="A335" s="976"/>
      <c r="B335" s="976"/>
      <c r="C335" s="976"/>
      <c r="D335" s="976"/>
      <c r="E335" s="976"/>
      <c r="P335" s="936"/>
      <c r="R335" s="977"/>
      <c r="S335" s="977"/>
      <c r="T335" s="977"/>
      <c r="U335" s="977"/>
      <c r="V335" s="977"/>
      <c r="W335" s="977"/>
      <c r="X335" s="977"/>
      <c r="Y335" s="977"/>
    </row>
    <row r="336" spans="1:25" x14ac:dyDescent="0.2">
      <c r="A336" s="976"/>
      <c r="B336" s="976"/>
      <c r="C336" s="976"/>
      <c r="D336" s="976"/>
      <c r="E336" s="976"/>
      <c r="P336" s="936"/>
      <c r="R336" s="977"/>
      <c r="S336" s="977"/>
      <c r="T336" s="977"/>
      <c r="U336" s="977"/>
      <c r="V336" s="977"/>
      <c r="W336" s="977"/>
      <c r="X336" s="977"/>
      <c r="Y336" s="977"/>
    </row>
    <row r="337" spans="1:25" x14ac:dyDescent="0.2">
      <c r="A337" s="976"/>
      <c r="B337" s="976"/>
      <c r="C337" s="976"/>
      <c r="D337" s="976"/>
      <c r="E337" s="976"/>
      <c r="P337" s="936"/>
      <c r="R337" s="977"/>
      <c r="S337" s="977"/>
      <c r="T337" s="977"/>
      <c r="U337" s="977"/>
      <c r="V337" s="977"/>
      <c r="W337" s="977"/>
      <c r="X337" s="977"/>
      <c r="Y337" s="977"/>
    </row>
    <row r="338" spans="1:25" x14ac:dyDescent="0.2">
      <c r="A338" s="976"/>
      <c r="B338" s="976"/>
      <c r="C338" s="976"/>
      <c r="D338" s="976"/>
      <c r="E338" s="976"/>
      <c r="P338" s="936"/>
      <c r="R338" s="977"/>
      <c r="S338" s="977"/>
      <c r="T338" s="977"/>
      <c r="U338" s="977"/>
      <c r="V338" s="977"/>
      <c r="W338" s="977"/>
      <c r="X338" s="977"/>
      <c r="Y338" s="977"/>
    </row>
    <row r="339" spans="1:25" x14ac:dyDescent="0.2">
      <c r="A339" s="976"/>
      <c r="B339" s="976"/>
      <c r="C339" s="976"/>
      <c r="D339" s="976"/>
      <c r="E339" s="976"/>
      <c r="P339" s="936"/>
      <c r="R339" s="977"/>
      <c r="S339" s="977"/>
      <c r="T339" s="977"/>
      <c r="U339" s="977"/>
      <c r="V339" s="977"/>
      <c r="W339" s="977"/>
      <c r="X339" s="977"/>
      <c r="Y339" s="977"/>
    </row>
    <row r="340" spans="1:25" x14ac:dyDescent="0.2">
      <c r="A340" s="976"/>
      <c r="B340" s="976"/>
      <c r="C340" s="976"/>
      <c r="D340" s="976"/>
      <c r="E340" s="976"/>
      <c r="P340" s="936"/>
      <c r="R340" s="977"/>
      <c r="S340" s="977"/>
      <c r="T340" s="977"/>
      <c r="U340" s="977"/>
      <c r="V340" s="977"/>
      <c r="W340" s="977"/>
      <c r="X340" s="977"/>
      <c r="Y340" s="977"/>
    </row>
    <row r="341" spans="1:25" x14ac:dyDescent="0.2">
      <c r="A341" s="976"/>
      <c r="B341" s="976"/>
      <c r="C341" s="976"/>
      <c r="D341" s="976"/>
      <c r="E341" s="976"/>
      <c r="P341" s="936"/>
      <c r="R341" s="977"/>
      <c r="S341" s="977"/>
      <c r="T341" s="977"/>
      <c r="U341" s="977"/>
      <c r="V341" s="977"/>
      <c r="W341" s="977"/>
      <c r="X341" s="977"/>
      <c r="Y341" s="977"/>
    </row>
    <row r="342" spans="1:25" x14ac:dyDescent="0.2">
      <c r="A342" s="976"/>
      <c r="B342" s="976"/>
      <c r="C342" s="976"/>
      <c r="D342" s="976"/>
      <c r="E342" s="976"/>
      <c r="P342" s="936"/>
      <c r="R342" s="977"/>
      <c r="S342" s="977"/>
      <c r="T342" s="977"/>
      <c r="U342" s="977"/>
      <c r="V342" s="977"/>
      <c r="W342" s="977"/>
      <c r="X342" s="977"/>
      <c r="Y342" s="977"/>
    </row>
    <row r="343" spans="1:25" x14ac:dyDescent="0.2">
      <c r="A343" s="976"/>
      <c r="B343" s="976"/>
      <c r="C343" s="976"/>
      <c r="D343" s="976"/>
      <c r="E343" s="976"/>
      <c r="R343" s="977"/>
      <c r="S343" s="977"/>
      <c r="T343" s="977"/>
      <c r="U343" s="977"/>
      <c r="V343" s="977"/>
      <c r="W343" s="977"/>
      <c r="X343" s="977"/>
      <c r="Y343" s="977"/>
    </row>
    <row r="344" spans="1:25" x14ac:dyDescent="0.2">
      <c r="A344" s="976"/>
      <c r="B344" s="976"/>
      <c r="C344" s="976"/>
      <c r="D344" s="976"/>
      <c r="E344" s="976"/>
      <c r="R344" s="977"/>
      <c r="S344" s="977"/>
      <c r="T344" s="977"/>
      <c r="U344" s="977"/>
      <c r="V344" s="977"/>
      <c r="W344" s="977"/>
      <c r="X344" s="977"/>
      <c r="Y344" s="977"/>
    </row>
    <row r="345" spans="1:25" x14ac:dyDescent="0.2">
      <c r="A345" s="976"/>
      <c r="B345" s="976"/>
      <c r="C345" s="976"/>
      <c r="D345" s="976"/>
      <c r="E345" s="976"/>
      <c r="R345" s="977"/>
      <c r="S345" s="977"/>
      <c r="T345" s="977"/>
      <c r="U345" s="977"/>
      <c r="V345" s="977"/>
      <c r="W345" s="977"/>
      <c r="X345" s="977"/>
      <c r="Y345" s="977"/>
    </row>
    <row r="346" spans="1:25" x14ac:dyDescent="0.2">
      <c r="A346" s="976"/>
      <c r="B346" s="976"/>
      <c r="C346" s="976"/>
      <c r="D346" s="976"/>
      <c r="E346" s="976"/>
      <c r="R346" s="977"/>
      <c r="S346" s="977"/>
      <c r="T346" s="977"/>
      <c r="U346" s="977"/>
      <c r="V346" s="977"/>
      <c r="W346" s="977"/>
      <c r="X346" s="977"/>
      <c r="Y346" s="977"/>
    </row>
    <row r="347" spans="1:25" x14ac:dyDescent="0.2">
      <c r="A347" s="976"/>
      <c r="B347" s="976"/>
      <c r="C347" s="976"/>
      <c r="D347" s="976"/>
      <c r="E347" s="976"/>
      <c r="R347" s="977"/>
      <c r="S347" s="977"/>
      <c r="T347" s="977"/>
      <c r="U347" s="977"/>
      <c r="V347" s="977"/>
      <c r="W347" s="977"/>
      <c r="X347" s="977"/>
      <c r="Y347" s="977"/>
    </row>
    <row r="348" spans="1:25" x14ac:dyDescent="0.2">
      <c r="A348" s="976"/>
      <c r="B348" s="976"/>
      <c r="C348" s="976"/>
      <c r="D348" s="976"/>
      <c r="E348" s="976"/>
      <c r="R348" s="977"/>
      <c r="S348" s="977"/>
      <c r="T348" s="977"/>
      <c r="U348" s="977"/>
      <c r="V348" s="977"/>
      <c r="W348" s="977"/>
      <c r="X348" s="977"/>
      <c r="Y348" s="977"/>
    </row>
    <row r="349" spans="1:25" x14ac:dyDescent="0.2">
      <c r="A349" s="976"/>
      <c r="B349" s="976"/>
      <c r="C349" s="976"/>
      <c r="D349" s="976"/>
      <c r="E349" s="976"/>
      <c r="R349" s="977"/>
      <c r="S349" s="977"/>
      <c r="T349" s="977"/>
      <c r="U349" s="977"/>
      <c r="V349" s="977"/>
      <c r="W349" s="977"/>
      <c r="X349" s="977"/>
      <c r="Y349" s="977"/>
    </row>
    <row r="350" spans="1:25" x14ac:dyDescent="0.2">
      <c r="A350" s="976"/>
      <c r="B350" s="976"/>
      <c r="C350" s="976"/>
      <c r="D350" s="976"/>
      <c r="E350" s="976"/>
      <c r="R350" s="977"/>
      <c r="S350" s="977"/>
      <c r="T350" s="977"/>
      <c r="U350" s="977"/>
      <c r="V350" s="977"/>
      <c r="W350" s="977"/>
      <c r="X350" s="977"/>
      <c r="Y350" s="977"/>
    </row>
    <row r="351" spans="1:25" x14ac:dyDescent="0.2">
      <c r="A351" s="976"/>
      <c r="B351" s="976"/>
      <c r="C351" s="976"/>
      <c r="D351" s="976"/>
      <c r="E351" s="976"/>
      <c r="R351" s="977"/>
      <c r="S351" s="977"/>
      <c r="T351" s="977"/>
      <c r="U351" s="977"/>
      <c r="V351" s="977"/>
      <c r="W351" s="977"/>
      <c r="X351" s="977"/>
      <c r="Y351" s="977"/>
    </row>
    <row r="352" spans="1:25" x14ac:dyDescent="0.2">
      <c r="A352" s="976"/>
      <c r="B352" s="976"/>
      <c r="C352" s="976"/>
      <c r="D352" s="976"/>
      <c r="E352" s="976"/>
      <c r="R352" s="977"/>
      <c r="S352" s="977"/>
      <c r="T352" s="977"/>
      <c r="U352" s="977"/>
      <c r="V352" s="977"/>
      <c r="W352" s="977"/>
      <c r="X352" s="977"/>
      <c r="Y352" s="977"/>
    </row>
    <row r="353" spans="1:25" x14ac:dyDescent="0.2">
      <c r="A353" s="976"/>
      <c r="B353" s="976"/>
      <c r="C353" s="976"/>
      <c r="D353" s="976"/>
      <c r="E353" s="976"/>
      <c r="R353" s="977"/>
      <c r="S353" s="977"/>
      <c r="T353" s="977"/>
      <c r="U353" s="977"/>
      <c r="V353" s="977"/>
      <c r="W353" s="977"/>
      <c r="X353" s="977"/>
      <c r="Y353" s="977"/>
    </row>
    <row r="354" spans="1:25" x14ac:dyDescent="0.2">
      <c r="A354" s="976"/>
      <c r="B354" s="976"/>
      <c r="C354" s="976"/>
      <c r="D354" s="976"/>
      <c r="E354" s="976"/>
      <c r="R354" s="977"/>
      <c r="S354" s="977"/>
      <c r="T354" s="977"/>
      <c r="U354" s="977"/>
      <c r="V354" s="977"/>
      <c r="W354" s="977"/>
      <c r="X354" s="977"/>
      <c r="Y354" s="977"/>
    </row>
    <row r="355" spans="1:25" x14ac:dyDescent="0.2">
      <c r="A355" s="976"/>
      <c r="B355" s="976"/>
      <c r="C355" s="976"/>
      <c r="D355" s="976"/>
      <c r="E355" s="976"/>
      <c r="R355" s="977"/>
      <c r="S355" s="977"/>
      <c r="T355" s="977"/>
      <c r="U355" s="977"/>
      <c r="V355" s="977"/>
      <c r="W355" s="977"/>
      <c r="X355" s="977"/>
      <c r="Y355" s="977"/>
    </row>
    <row r="356" spans="1:25" x14ac:dyDescent="0.2">
      <c r="A356" s="976"/>
      <c r="B356" s="976"/>
      <c r="C356" s="976"/>
      <c r="D356" s="976"/>
      <c r="E356" s="976"/>
      <c r="R356" s="977"/>
      <c r="S356" s="977"/>
      <c r="T356" s="977"/>
      <c r="U356" s="977"/>
      <c r="V356" s="977"/>
      <c r="W356" s="977"/>
      <c r="X356" s="977"/>
      <c r="Y356" s="977"/>
    </row>
    <row r="357" spans="1:25" x14ac:dyDescent="0.2">
      <c r="A357" s="976"/>
      <c r="B357" s="976"/>
      <c r="C357" s="976"/>
      <c r="D357" s="976"/>
      <c r="E357" s="976"/>
      <c r="P357" s="979"/>
      <c r="R357" s="977"/>
      <c r="S357" s="977"/>
      <c r="T357" s="977"/>
      <c r="U357" s="977"/>
      <c r="V357" s="977"/>
      <c r="W357" s="977"/>
      <c r="X357" s="977"/>
      <c r="Y357" s="977"/>
    </row>
    <row r="358" spans="1:25" x14ac:dyDescent="0.2">
      <c r="A358" s="976"/>
      <c r="B358" s="976"/>
      <c r="C358" s="976"/>
      <c r="D358" s="976"/>
      <c r="E358" s="976"/>
      <c r="R358" s="977"/>
      <c r="S358" s="977"/>
      <c r="T358" s="977"/>
      <c r="U358" s="977"/>
      <c r="V358" s="977"/>
      <c r="W358" s="977"/>
      <c r="X358" s="977"/>
      <c r="Y358" s="977"/>
    </row>
    <row r="359" spans="1:25" x14ac:dyDescent="0.2">
      <c r="A359" s="976"/>
      <c r="B359" s="976"/>
      <c r="C359" s="976"/>
      <c r="D359" s="976"/>
      <c r="E359" s="976"/>
      <c r="R359" s="977"/>
      <c r="S359" s="977"/>
      <c r="T359" s="977"/>
      <c r="U359" s="977"/>
      <c r="V359" s="977"/>
      <c r="W359" s="977"/>
      <c r="X359" s="977"/>
      <c r="Y359" s="977"/>
    </row>
    <row r="360" spans="1:25" x14ac:dyDescent="0.2">
      <c r="A360" s="976"/>
      <c r="B360" s="976"/>
      <c r="C360" s="976"/>
      <c r="D360" s="976"/>
      <c r="E360" s="976"/>
      <c r="R360" s="977"/>
      <c r="S360" s="977"/>
      <c r="T360" s="977"/>
      <c r="U360" s="977"/>
      <c r="V360" s="977"/>
      <c r="W360" s="977"/>
      <c r="X360" s="977"/>
      <c r="Y360" s="977"/>
    </row>
    <row r="361" spans="1:25" x14ac:dyDescent="0.2">
      <c r="A361" s="976"/>
      <c r="B361" s="976"/>
      <c r="C361" s="976"/>
      <c r="D361" s="976"/>
      <c r="E361" s="976"/>
      <c r="R361" s="977"/>
      <c r="S361" s="977"/>
      <c r="T361" s="977"/>
      <c r="U361" s="977"/>
      <c r="V361" s="977"/>
      <c r="W361" s="977"/>
      <c r="X361" s="977"/>
      <c r="Y361" s="977"/>
    </row>
    <row r="362" spans="1:25" x14ac:dyDescent="0.2">
      <c r="A362" s="976"/>
      <c r="B362" s="976"/>
      <c r="C362" s="976"/>
      <c r="D362" s="976"/>
      <c r="E362" s="976"/>
      <c r="R362" s="977"/>
      <c r="S362" s="977"/>
      <c r="T362" s="977"/>
      <c r="U362" s="977"/>
      <c r="V362" s="977"/>
      <c r="W362" s="977"/>
      <c r="X362" s="977"/>
      <c r="Y362" s="977"/>
    </row>
    <row r="363" spans="1:25" x14ac:dyDescent="0.2">
      <c r="A363" s="976"/>
      <c r="B363" s="976"/>
      <c r="C363" s="976"/>
      <c r="D363" s="976"/>
      <c r="E363" s="976"/>
      <c r="R363" s="977"/>
      <c r="S363" s="977"/>
      <c r="T363" s="977"/>
      <c r="U363" s="977"/>
      <c r="V363" s="977"/>
      <c r="W363" s="977"/>
      <c r="X363" s="977"/>
      <c r="Y363" s="977"/>
    </row>
    <row r="364" spans="1:25" x14ac:dyDescent="0.2">
      <c r="A364" s="976"/>
      <c r="B364" s="976"/>
      <c r="C364" s="976"/>
      <c r="D364" s="976"/>
      <c r="E364" s="976"/>
      <c r="R364" s="977"/>
      <c r="S364" s="977"/>
      <c r="T364" s="977"/>
      <c r="U364" s="977"/>
      <c r="V364" s="977"/>
      <c r="W364" s="977"/>
      <c r="X364" s="977"/>
      <c r="Y364" s="977"/>
    </row>
    <row r="365" spans="1:25" x14ac:dyDescent="0.2">
      <c r="A365" s="976"/>
      <c r="B365" s="976"/>
      <c r="C365" s="976"/>
      <c r="D365" s="976"/>
      <c r="E365" s="976"/>
      <c r="R365" s="977"/>
      <c r="S365" s="977"/>
      <c r="T365" s="977"/>
      <c r="U365" s="977"/>
      <c r="V365" s="977"/>
      <c r="W365" s="977"/>
      <c r="X365" s="977"/>
      <c r="Y365" s="977"/>
    </row>
    <row r="366" spans="1:25" x14ac:dyDescent="0.2">
      <c r="A366" s="976"/>
      <c r="B366" s="976"/>
      <c r="C366" s="976"/>
      <c r="D366" s="976"/>
      <c r="E366" s="976"/>
      <c r="P366" s="979"/>
      <c r="R366" s="977"/>
      <c r="S366" s="977"/>
      <c r="T366" s="977"/>
      <c r="U366" s="977"/>
      <c r="V366" s="977"/>
      <c r="W366" s="977"/>
      <c r="X366" s="977"/>
      <c r="Y366" s="977"/>
    </row>
    <row r="367" spans="1:25" x14ac:dyDescent="0.2">
      <c r="A367" s="976"/>
      <c r="B367" s="976"/>
      <c r="C367" s="976"/>
      <c r="D367" s="976"/>
      <c r="E367" s="976"/>
      <c r="R367" s="977"/>
      <c r="S367" s="977"/>
      <c r="T367" s="977"/>
      <c r="U367" s="977"/>
      <c r="V367" s="977"/>
      <c r="W367" s="977"/>
      <c r="X367" s="977"/>
      <c r="Y367" s="977"/>
    </row>
    <row r="368" spans="1:25" x14ac:dyDescent="0.2">
      <c r="A368" s="976"/>
      <c r="B368" s="976"/>
      <c r="C368" s="976"/>
      <c r="D368" s="976"/>
      <c r="E368" s="976"/>
      <c r="R368" s="977"/>
      <c r="S368" s="977"/>
      <c r="T368" s="977"/>
      <c r="U368" s="977"/>
      <c r="V368" s="977"/>
      <c r="W368" s="977"/>
      <c r="X368" s="977"/>
      <c r="Y368" s="977"/>
    </row>
    <row r="369" spans="1:25" x14ac:dyDescent="0.2">
      <c r="A369" s="976"/>
      <c r="B369" s="976"/>
      <c r="C369" s="976"/>
      <c r="D369" s="976"/>
      <c r="E369" s="976"/>
      <c r="R369" s="977"/>
      <c r="S369" s="977"/>
      <c r="T369" s="977"/>
      <c r="U369" s="977"/>
      <c r="V369" s="977"/>
      <c r="W369" s="977"/>
      <c r="X369" s="977"/>
      <c r="Y369" s="977"/>
    </row>
    <row r="370" spans="1:25" x14ac:dyDescent="0.2">
      <c r="A370" s="976"/>
      <c r="B370" s="976"/>
      <c r="C370" s="976"/>
      <c r="D370" s="976"/>
      <c r="E370" s="976"/>
      <c r="R370" s="977"/>
      <c r="S370" s="977"/>
      <c r="T370" s="977"/>
      <c r="U370" s="977"/>
      <c r="V370" s="977"/>
      <c r="W370" s="977"/>
      <c r="X370" s="977"/>
      <c r="Y370" s="977"/>
    </row>
    <row r="371" spans="1:25" x14ac:dyDescent="0.2">
      <c r="A371" s="976"/>
      <c r="B371" s="976"/>
      <c r="C371" s="976"/>
      <c r="D371" s="976"/>
      <c r="E371" s="976"/>
      <c r="R371" s="977"/>
      <c r="S371" s="977"/>
      <c r="T371" s="977"/>
      <c r="U371" s="977"/>
      <c r="V371" s="977"/>
      <c r="W371" s="977"/>
      <c r="X371" s="977"/>
      <c r="Y371" s="977"/>
    </row>
    <row r="372" spans="1:25" x14ac:dyDescent="0.2">
      <c r="A372" s="976"/>
      <c r="B372" s="976"/>
      <c r="C372" s="976"/>
      <c r="D372" s="976"/>
      <c r="E372" s="976"/>
      <c r="R372" s="977"/>
      <c r="S372" s="977"/>
      <c r="T372" s="977"/>
      <c r="U372" s="977"/>
      <c r="V372" s="977"/>
      <c r="W372" s="977"/>
      <c r="X372" s="977"/>
      <c r="Y372" s="977"/>
    </row>
    <row r="373" spans="1:25" x14ac:dyDescent="0.2">
      <c r="A373" s="976"/>
      <c r="B373" s="976"/>
      <c r="C373" s="976"/>
      <c r="D373" s="976"/>
      <c r="E373" s="976"/>
      <c r="R373" s="977"/>
      <c r="S373" s="977"/>
      <c r="T373" s="977"/>
      <c r="U373" s="977"/>
      <c r="V373" s="977"/>
      <c r="W373" s="977"/>
      <c r="X373" s="977"/>
      <c r="Y373" s="977"/>
    </row>
    <row r="374" spans="1:25" x14ac:dyDescent="0.2">
      <c r="A374" s="976"/>
      <c r="B374" s="976"/>
      <c r="C374" s="976"/>
      <c r="D374" s="976"/>
      <c r="E374" s="976"/>
      <c r="R374" s="977"/>
      <c r="S374" s="977"/>
      <c r="T374" s="977"/>
      <c r="U374" s="977"/>
      <c r="V374" s="977"/>
      <c r="W374" s="977"/>
      <c r="X374" s="977"/>
      <c r="Y374" s="977"/>
    </row>
    <row r="375" spans="1:25" x14ac:dyDescent="0.2">
      <c r="A375" s="976"/>
      <c r="B375" s="976"/>
      <c r="C375" s="976"/>
      <c r="D375" s="976"/>
      <c r="E375" s="976"/>
      <c r="R375" s="977"/>
      <c r="S375" s="977"/>
      <c r="T375" s="977"/>
      <c r="U375" s="977"/>
      <c r="V375" s="977"/>
      <c r="W375" s="977"/>
      <c r="X375" s="977"/>
      <c r="Y375" s="977"/>
    </row>
    <row r="376" spans="1:25" x14ac:dyDescent="0.2">
      <c r="A376" s="976"/>
      <c r="B376" s="976"/>
      <c r="C376" s="976"/>
      <c r="D376" s="976"/>
      <c r="E376" s="976"/>
      <c r="R376" s="977"/>
      <c r="S376" s="977"/>
      <c r="T376" s="977"/>
      <c r="U376" s="977"/>
      <c r="V376" s="977"/>
      <c r="W376" s="977"/>
      <c r="X376" s="977"/>
      <c r="Y376" s="977"/>
    </row>
    <row r="377" spans="1:25" x14ac:dyDescent="0.2">
      <c r="A377" s="976"/>
      <c r="B377" s="976"/>
      <c r="C377" s="976"/>
      <c r="D377" s="976"/>
      <c r="E377" s="976"/>
      <c r="R377" s="977"/>
      <c r="S377" s="977"/>
      <c r="T377" s="977"/>
      <c r="U377" s="977"/>
      <c r="V377" s="977"/>
      <c r="W377" s="977"/>
      <c r="X377" s="977"/>
      <c r="Y377" s="977"/>
    </row>
    <row r="378" spans="1:25" x14ac:dyDescent="0.2">
      <c r="A378" s="976"/>
      <c r="B378" s="976"/>
      <c r="C378" s="976"/>
      <c r="D378" s="976"/>
      <c r="E378" s="976"/>
      <c r="R378" s="977"/>
      <c r="S378" s="977"/>
      <c r="T378" s="977"/>
      <c r="U378" s="977"/>
      <c r="V378" s="977"/>
      <c r="W378" s="977"/>
      <c r="X378" s="977"/>
      <c r="Y378" s="977"/>
    </row>
    <row r="379" spans="1:25" x14ac:dyDescent="0.2">
      <c r="A379" s="976"/>
      <c r="B379" s="976"/>
      <c r="C379" s="976"/>
      <c r="D379" s="976"/>
      <c r="E379" s="976"/>
      <c r="R379" s="977"/>
      <c r="S379" s="977"/>
      <c r="T379" s="977"/>
      <c r="U379" s="977"/>
      <c r="V379" s="977"/>
      <c r="W379" s="977"/>
      <c r="X379" s="977"/>
      <c r="Y379" s="977"/>
    </row>
    <row r="380" spans="1:25" x14ac:dyDescent="0.2">
      <c r="A380" s="976"/>
      <c r="B380" s="976"/>
      <c r="C380" s="976"/>
      <c r="D380" s="976"/>
      <c r="E380" s="976"/>
      <c r="R380" s="977"/>
      <c r="S380" s="977"/>
      <c r="T380" s="977"/>
      <c r="U380" s="977"/>
      <c r="V380" s="977"/>
      <c r="W380" s="977"/>
      <c r="X380" s="977"/>
      <c r="Y380" s="977"/>
    </row>
    <row r="381" spans="1:25" x14ac:dyDescent="0.2">
      <c r="A381" s="976"/>
      <c r="B381" s="976"/>
      <c r="C381" s="976"/>
      <c r="D381" s="976"/>
      <c r="E381" s="976"/>
      <c r="R381" s="977"/>
      <c r="S381" s="977"/>
      <c r="T381" s="977"/>
      <c r="U381" s="977"/>
      <c r="V381" s="977"/>
      <c r="W381" s="977"/>
      <c r="X381" s="977"/>
      <c r="Y381" s="977"/>
    </row>
    <row r="382" spans="1:25" x14ac:dyDescent="0.2">
      <c r="A382" s="976"/>
      <c r="B382" s="976"/>
      <c r="C382" s="976"/>
      <c r="D382" s="976"/>
      <c r="E382" s="976"/>
      <c r="R382" s="977"/>
      <c r="S382" s="977"/>
      <c r="T382" s="977"/>
      <c r="U382" s="977"/>
      <c r="V382" s="977"/>
      <c r="W382" s="977"/>
      <c r="X382" s="977"/>
      <c r="Y382" s="977"/>
    </row>
    <row r="383" spans="1:25" x14ac:dyDescent="0.2">
      <c r="A383" s="976"/>
      <c r="B383" s="976"/>
      <c r="C383" s="976"/>
      <c r="D383" s="976"/>
      <c r="E383" s="976"/>
      <c r="R383" s="977"/>
      <c r="S383" s="977"/>
      <c r="T383" s="977"/>
      <c r="U383" s="977"/>
      <c r="V383" s="977"/>
      <c r="W383" s="977"/>
      <c r="X383" s="977"/>
      <c r="Y383" s="977"/>
    </row>
    <row r="384" spans="1:25" x14ac:dyDescent="0.2">
      <c r="A384" s="976"/>
      <c r="B384" s="976"/>
      <c r="C384" s="976"/>
      <c r="D384" s="976"/>
      <c r="E384" s="976"/>
      <c r="R384" s="977"/>
      <c r="S384" s="977"/>
      <c r="T384" s="977"/>
      <c r="U384" s="977"/>
      <c r="V384" s="977"/>
      <c r="W384" s="977"/>
      <c r="X384" s="977"/>
      <c r="Y384" s="977"/>
    </row>
    <row r="385" spans="1:25" x14ac:dyDescent="0.2">
      <c r="A385" s="976"/>
      <c r="B385" s="976"/>
      <c r="C385" s="976"/>
      <c r="D385" s="976"/>
      <c r="E385" s="976"/>
      <c r="P385" s="979"/>
      <c r="R385" s="977"/>
      <c r="S385" s="977"/>
      <c r="T385" s="977"/>
      <c r="U385" s="977"/>
      <c r="V385" s="977"/>
      <c r="W385" s="977"/>
      <c r="X385" s="977"/>
      <c r="Y385" s="977"/>
    </row>
    <row r="386" spans="1:25" x14ac:dyDescent="0.2">
      <c r="A386" s="976"/>
      <c r="B386" s="976"/>
      <c r="C386" s="976"/>
      <c r="D386" s="976"/>
      <c r="E386" s="976"/>
      <c r="R386" s="977"/>
      <c r="S386" s="977"/>
      <c r="T386" s="977"/>
      <c r="U386" s="977"/>
      <c r="V386" s="977"/>
      <c r="W386" s="977"/>
      <c r="X386" s="977"/>
      <c r="Y386" s="977"/>
    </row>
    <row r="387" spans="1:25" x14ac:dyDescent="0.2">
      <c r="A387" s="976"/>
      <c r="B387" s="976"/>
      <c r="C387" s="976"/>
      <c r="D387" s="976"/>
      <c r="E387" s="976"/>
      <c r="R387" s="977"/>
      <c r="S387" s="977"/>
      <c r="T387" s="977"/>
      <c r="U387" s="977"/>
      <c r="V387" s="977"/>
      <c r="W387" s="977"/>
      <c r="X387" s="977"/>
      <c r="Y387" s="977"/>
    </row>
    <row r="388" spans="1:25" x14ac:dyDescent="0.2">
      <c r="A388" s="976"/>
      <c r="B388" s="976"/>
      <c r="C388" s="976"/>
      <c r="D388" s="976"/>
      <c r="E388" s="976"/>
      <c r="R388" s="977"/>
      <c r="S388" s="977"/>
      <c r="T388" s="977"/>
      <c r="U388" s="977"/>
      <c r="V388" s="977"/>
      <c r="W388" s="977"/>
      <c r="X388" s="977"/>
      <c r="Y388" s="977"/>
    </row>
    <row r="389" spans="1:25" x14ac:dyDescent="0.2">
      <c r="A389" s="976"/>
      <c r="B389" s="976"/>
      <c r="C389" s="976"/>
      <c r="D389" s="976"/>
      <c r="E389" s="976"/>
      <c r="P389" s="979"/>
      <c r="R389" s="977"/>
      <c r="S389" s="977"/>
      <c r="T389" s="977"/>
      <c r="U389" s="977"/>
      <c r="V389" s="977"/>
      <c r="W389" s="977"/>
      <c r="X389" s="977"/>
      <c r="Y389" s="977"/>
    </row>
    <row r="390" spans="1:25" x14ac:dyDescent="0.2">
      <c r="A390" s="976"/>
      <c r="B390" s="976"/>
      <c r="C390" s="976"/>
      <c r="D390" s="976"/>
      <c r="E390" s="976"/>
      <c r="R390" s="977"/>
      <c r="S390" s="977"/>
      <c r="T390" s="977"/>
      <c r="U390" s="977"/>
      <c r="V390" s="977"/>
      <c r="W390" s="977"/>
      <c r="X390" s="977"/>
      <c r="Y390" s="977"/>
    </row>
    <row r="391" spans="1:25" x14ac:dyDescent="0.2">
      <c r="A391" s="976"/>
      <c r="B391" s="976"/>
      <c r="C391" s="976"/>
      <c r="D391" s="976"/>
      <c r="E391" s="976"/>
      <c r="R391" s="977"/>
      <c r="S391" s="977"/>
      <c r="T391" s="977"/>
      <c r="U391" s="977"/>
      <c r="V391" s="977"/>
      <c r="W391" s="977"/>
      <c r="X391" s="977"/>
      <c r="Y391" s="977"/>
    </row>
    <row r="392" spans="1:25" x14ac:dyDescent="0.2">
      <c r="A392" s="976"/>
      <c r="B392" s="976"/>
      <c r="C392" s="976"/>
      <c r="D392" s="976"/>
      <c r="E392" s="976"/>
      <c r="R392" s="977"/>
      <c r="S392" s="977"/>
      <c r="T392" s="977"/>
      <c r="U392" s="977"/>
      <c r="V392" s="977"/>
      <c r="W392" s="977"/>
      <c r="X392" s="977"/>
      <c r="Y392" s="977"/>
    </row>
    <row r="393" spans="1:25" x14ac:dyDescent="0.2">
      <c r="A393" s="976"/>
      <c r="B393" s="976"/>
      <c r="C393" s="976"/>
      <c r="D393" s="976"/>
      <c r="E393" s="976"/>
      <c r="R393" s="977"/>
      <c r="S393" s="977"/>
      <c r="T393" s="977"/>
      <c r="U393" s="977"/>
      <c r="V393" s="977"/>
      <c r="W393" s="977"/>
      <c r="X393" s="977"/>
      <c r="Y393" s="977"/>
    </row>
    <row r="394" spans="1:25" x14ac:dyDescent="0.2">
      <c r="A394" s="976"/>
      <c r="B394" s="976"/>
      <c r="C394" s="976"/>
      <c r="D394" s="976"/>
      <c r="E394" s="976"/>
      <c r="R394" s="977"/>
      <c r="S394" s="977"/>
      <c r="T394" s="977"/>
      <c r="U394" s="977"/>
      <c r="V394" s="977"/>
      <c r="W394" s="977"/>
      <c r="X394" s="977"/>
      <c r="Y394" s="977"/>
    </row>
    <row r="395" spans="1:25" x14ac:dyDescent="0.2">
      <c r="A395" s="976"/>
      <c r="B395" s="976"/>
      <c r="C395" s="976"/>
      <c r="D395" s="976"/>
      <c r="E395" s="976"/>
      <c r="R395" s="977"/>
      <c r="S395" s="977"/>
      <c r="T395" s="977"/>
      <c r="U395" s="977"/>
      <c r="V395" s="977"/>
      <c r="W395" s="977"/>
      <c r="X395" s="977"/>
      <c r="Y395" s="977"/>
    </row>
    <row r="396" spans="1:25" x14ac:dyDescent="0.2">
      <c r="A396" s="976"/>
      <c r="B396" s="976"/>
      <c r="C396" s="976"/>
      <c r="D396" s="976"/>
      <c r="E396" s="976"/>
      <c r="R396" s="977"/>
      <c r="S396" s="977"/>
      <c r="T396" s="977"/>
      <c r="U396" s="977"/>
      <c r="V396" s="977"/>
      <c r="W396" s="977"/>
      <c r="X396" s="977"/>
      <c r="Y396" s="977"/>
    </row>
    <row r="397" spans="1:25" x14ac:dyDescent="0.2">
      <c r="A397" s="976"/>
      <c r="B397" s="976"/>
      <c r="C397" s="976"/>
      <c r="D397" s="976"/>
      <c r="E397" s="976"/>
      <c r="R397" s="977"/>
      <c r="S397" s="977"/>
      <c r="T397" s="977"/>
      <c r="U397" s="977"/>
      <c r="V397" s="977"/>
      <c r="W397" s="977"/>
      <c r="X397" s="977"/>
      <c r="Y397" s="977"/>
    </row>
    <row r="398" spans="1:25" x14ac:dyDescent="0.2">
      <c r="A398" s="976"/>
      <c r="B398" s="976"/>
      <c r="C398" s="976"/>
      <c r="D398" s="976"/>
      <c r="E398" s="976"/>
      <c r="R398" s="977"/>
      <c r="S398" s="977"/>
      <c r="T398" s="977"/>
      <c r="U398" s="977"/>
      <c r="V398" s="977"/>
      <c r="W398" s="977"/>
      <c r="X398" s="977"/>
      <c r="Y398" s="977"/>
    </row>
    <row r="399" spans="1:25" x14ac:dyDescent="0.2">
      <c r="A399" s="976"/>
      <c r="B399" s="976"/>
      <c r="C399" s="976"/>
      <c r="D399" s="976"/>
      <c r="E399" s="976"/>
      <c r="R399" s="977"/>
      <c r="S399" s="977"/>
      <c r="T399" s="977"/>
      <c r="U399" s="977"/>
      <c r="V399" s="977"/>
      <c r="W399" s="977"/>
      <c r="X399" s="977"/>
      <c r="Y399" s="977"/>
    </row>
    <row r="400" spans="1:25" x14ac:dyDescent="0.2">
      <c r="A400" s="976"/>
      <c r="B400" s="976"/>
      <c r="C400" s="976"/>
      <c r="D400" s="976"/>
      <c r="E400" s="976"/>
      <c r="R400" s="977"/>
      <c r="S400" s="977"/>
      <c r="T400" s="977"/>
      <c r="U400" s="977"/>
      <c r="V400" s="977"/>
      <c r="W400" s="977"/>
      <c r="X400" s="977"/>
      <c r="Y400" s="977"/>
    </row>
    <row r="401" spans="1:25" x14ac:dyDescent="0.2">
      <c r="A401" s="976"/>
      <c r="B401" s="976"/>
      <c r="C401" s="976"/>
      <c r="D401" s="976"/>
      <c r="E401" s="976"/>
      <c r="R401" s="977"/>
      <c r="S401" s="977"/>
      <c r="T401" s="977"/>
      <c r="U401" s="977"/>
      <c r="V401" s="977"/>
      <c r="W401" s="977"/>
      <c r="X401" s="977"/>
      <c r="Y401" s="977"/>
    </row>
    <row r="402" spans="1:25" x14ac:dyDescent="0.2">
      <c r="A402" s="976"/>
      <c r="B402" s="976"/>
      <c r="C402" s="976"/>
      <c r="D402" s="976"/>
      <c r="E402" s="976"/>
      <c r="R402" s="977"/>
      <c r="S402" s="977"/>
      <c r="T402" s="977"/>
      <c r="U402" s="977"/>
      <c r="V402" s="977"/>
      <c r="W402" s="977"/>
      <c r="X402" s="977"/>
      <c r="Y402" s="977"/>
    </row>
    <row r="403" spans="1:25" x14ac:dyDescent="0.2">
      <c r="A403" s="976"/>
      <c r="B403" s="976"/>
      <c r="C403" s="976"/>
      <c r="D403" s="976"/>
      <c r="E403" s="976"/>
      <c r="R403" s="977"/>
      <c r="S403" s="977"/>
      <c r="T403" s="977"/>
      <c r="U403" s="977"/>
      <c r="V403" s="977"/>
      <c r="W403" s="977"/>
      <c r="X403" s="977"/>
      <c r="Y403" s="977"/>
    </row>
    <row r="404" spans="1:25" x14ac:dyDescent="0.2">
      <c r="A404" s="976"/>
      <c r="B404" s="976"/>
      <c r="C404" s="976"/>
      <c r="D404" s="976"/>
      <c r="E404" s="976"/>
      <c r="R404" s="977"/>
      <c r="S404" s="977"/>
      <c r="T404" s="977"/>
      <c r="U404" s="977"/>
      <c r="V404" s="977"/>
      <c r="W404" s="977"/>
      <c r="X404" s="977"/>
      <c r="Y404" s="977"/>
    </row>
    <row r="405" spans="1:25" x14ac:dyDescent="0.2">
      <c r="A405" s="976"/>
      <c r="B405" s="976"/>
      <c r="C405" s="976"/>
      <c r="D405" s="976"/>
      <c r="E405" s="976"/>
      <c r="R405" s="977"/>
      <c r="S405" s="977"/>
      <c r="T405" s="977"/>
      <c r="U405" s="977"/>
      <c r="V405" s="977"/>
      <c r="W405" s="977"/>
      <c r="X405" s="977"/>
      <c r="Y405" s="977"/>
    </row>
    <row r="406" spans="1:25" x14ac:dyDescent="0.2">
      <c r="A406" s="976"/>
      <c r="B406" s="976"/>
      <c r="C406" s="976"/>
      <c r="D406" s="976"/>
      <c r="E406" s="976"/>
      <c r="R406" s="977"/>
      <c r="S406" s="977"/>
      <c r="T406" s="977"/>
      <c r="U406" s="977"/>
      <c r="V406" s="977"/>
      <c r="W406" s="977"/>
      <c r="X406" s="977"/>
      <c r="Y406" s="977"/>
    </row>
    <row r="407" spans="1:25" x14ac:dyDescent="0.2">
      <c r="A407" s="976"/>
      <c r="B407" s="976"/>
      <c r="C407" s="976"/>
      <c r="D407" s="976"/>
      <c r="E407" s="976"/>
      <c r="R407" s="977"/>
      <c r="S407" s="977"/>
      <c r="T407" s="977"/>
      <c r="U407" s="977"/>
      <c r="V407" s="977"/>
      <c r="W407" s="977"/>
      <c r="X407" s="977"/>
      <c r="Y407" s="977"/>
    </row>
    <row r="408" spans="1:25" x14ac:dyDescent="0.2">
      <c r="A408" s="976"/>
      <c r="B408" s="976"/>
      <c r="C408" s="976"/>
      <c r="D408" s="976"/>
      <c r="E408" s="976"/>
      <c r="R408" s="977"/>
      <c r="S408" s="977"/>
      <c r="T408" s="977"/>
      <c r="U408" s="977"/>
      <c r="V408" s="977"/>
      <c r="W408" s="977"/>
      <c r="X408" s="977"/>
      <c r="Y408" s="977"/>
    </row>
    <row r="409" spans="1:25" x14ac:dyDescent="0.2">
      <c r="A409" s="976"/>
      <c r="B409" s="976"/>
      <c r="C409" s="976"/>
      <c r="D409" s="976"/>
      <c r="E409" s="976"/>
      <c r="R409" s="977"/>
      <c r="S409" s="977"/>
      <c r="T409" s="977"/>
      <c r="U409" s="977"/>
      <c r="V409" s="977"/>
      <c r="W409" s="977"/>
      <c r="X409" s="977"/>
      <c r="Y409" s="977"/>
    </row>
    <row r="410" spans="1:25" x14ac:dyDescent="0.2">
      <c r="A410" s="976"/>
      <c r="B410" s="976"/>
      <c r="C410" s="976"/>
      <c r="D410" s="976"/>
      <c r="E410" s="976"/>
      <c r="R410" s="977"/>
      <c r="S410" s="977"/>
      <c r="T410" s="977"/>
      <c r="U410" s="977"/>
      <c r="V410" s="977"/>
      <c r="W410" s="977"/>
      <c r="X410" s="977"/>
      <c r="Y410" s="977"/>
    </row>
    <row r="411" spans="1:25" x14ac:dyDescent="0.2">
      <c r="A411" s="976"/>
      <c r="B411" s="976"/>
      <c r="C411" s="976"/>
      <c r="D411" s="976"/>
      <c r="E411" s="976"/>
      <c r="R411" s="977"/>
      <c r="S411" s="977"/>
      <c r="T411" s="977"/>
      <c r="U411" s="977"/>
      <c r="V411" s="977"/>
      <c r="W411" s="977"/>
      <c r="X411" s="977"/>
      <c r="Y411" s="977"/>
    </row>
    <row r="412" spans="1:25" x14ac:dyDescent="0.2">
      <c r="A412" s="976"/>
      <c r="B412" s="976"/>
      <c r="C412" s="976"/>
      <c r="D412" s="976"/>
      <c r="E412" s="976"/>
      <c r="R412" s="977"/>
      <c r="S412" s="977"/>
      <c r="T412" s="977"/>
      <c r="U412" s="977"/>
      <c r="V412" s="977"/>
      <c r="W412" s="977"/>
      <c r="X412" s="977"/>
      <c r="Y412" s="977"/>
    </row>
    <row r="413" spans="1:25" x14ac:dyDescent="0.2">
      <c r="A413" s="976"/>
      <c r="B413" s="976"/>
      <c r="C413" s="976"/>
      <c r="D413" s="976"/>
      <c r="E413" s="976"/>
      <c r="R413" s="977"/>
      <c r="S413" s="977"/>
      <c r="T413" s="977"/>
      <c r="U413" s="977"/>
      <c r="V413" s="977"/>
      <c r="W413" s="977"/>
      <c r="X413" s="977"/>
      <c r="Y413" s="977"/>
    </row>
    <row r="414" spans="1:25" x14ac:dyDescent="0.2">
      <c r="A414" s="976"/>
      <c r="B414" s="976"/>
      <c r="C414" s="976"/>
      <c r="D414" s="976"/>
      <c r="E414" s="976"/>
      <c r="R414" s="977"/>
      <c r="S414" s="977"/>
      <c r="T414" s="977"/>
      <c r="U414" s="977"/>
      <c r="V414" s="977"/>
      <c r="W414" s="977"/>
      <c r="X414" s="977"/>
      <c r="Y414" s="977"/>
    </row>
    <row r="415" spans="1:25" x14ac:dyDescent="0.2">
      <c r="A415" s="976"/>
      <c r="B415" s="976"/>
      <c r="C415" s="976"/>
      <c r="D415" s="976"/>
      <c r="E415" s="976"/>
      <c r="R415" s="977"/>
      <c r="S415" s="977"/>
      <c r="T415" s="977"/>
      <c r="U415" s="977"/>
      <c r="V415" s="977"/>
      <c r="W415" s="977"/>
      <c r="X415" s="977"/>
      <c r="Y415" s="977"/>
    </row>
    <row r="416" spans="1:25" x14ac:dyDescent="0.2">
      <c r="A416" s="976"/>
      <c r="B416" s="976"/>
      <c r="C416" s="976"/>
      <c r="D416" s="976"/>
      <c r="E416" s="976"/>
      <c r="R416" s="977"/>
      <c r="S416" s="977"/>
      <c r="T416" s="977"/>
      <c r="U416" s="977"/>
      <c r="V416" s="977"/>
      <c r="W416" s="977"/>
      <c r="X416" s="977"/>
      <c r="Y416" s="977"/>
    </row>
    <row r="417" spans="1:25" x14ac:dyDescent="0.2">
      <c r="A417" s="976"/>
      <c r="B417" s="976"/>
      <c r="C417" s="976"/>
      <c r="D417" s="976"/>
      <c r="E417" s="976"/>
      <c r="R417" s="977"/>
      <c r="S417" s="977"/>
      <c r="T417" s="977"/>
      <c r="U417" s="977"/>
      <c r="V417" s="977"/>
      <c r="W417" s="977"/>
      <c r="X417" s="977"/>
      <c r="Y417" s="977"/>
    </row>
    <row r="418" spans="1:25" x14ac:dyDescent="0.2">
      <c r="A418" s="976"/>
      <c r="B418" s="976"/>
      <c r="C418" s="976"/>
      <c r="D418" s="976"/>
      <c r="E418" s="976"/>
      <c r="R418" s="977"/>
      <c r="S418" s="977"/>
      <c r="T418" s="977"/>
      <c r="U418" s="977"/>
      <c r="V418" s="977"/>
      <c r="W418" s="977"/>
      <c r="X418" s="977"/>
      <c r="Y418" s="977"/>
    </row>
    <row r="419" spans="1:25" x14ac:dyDescent="0.2">
      <c r="A419" s="976"/>
      <c r="B419" s="976"/>
      <c r="C419" s="976"/>
      <c r="D419" s="976"/>
      <c r="E419" s="976"/>
      <c r="R419" s="977"/>
      <c r="S419" s="977"/>
      <c r="T419" s="977"/>
      <c r="U419" s="977"/>
      <c r="V419" s="977"/>
      <c r="W419" s="977"/>
      <c r="X419" s="977"/>
      <c r="Y419" s="977"/>
    </row>
    <row r="420" spans="1:25" x14ac:dyDescent="0.2">
      <c r="A420" s="976"/>
      <c r="B420" s="976"/>
      <c r="C420" s="976"/>
      <c r="D420" s="976"/>
      <c r="E420" s="976"/>
      <c r="R420" s="977"/>
      <c r="S420" s="977"/>
      <c r="T420" s="977"/>
      <c r="U420" s="977"/>
      <c r="V420" s="977"/>
      <c r="W420" s="977"/>
      <c r="X420" s="977"/>
      <c r="Y420" s="977"/>
    </row>
    <row r="421" spans="1:25" x14ac:dyDescent="0.2">
      <c r="A421" s="976"/>
      <c r="B421" s="976"/>
      <c r="C421" s="976"/>
      <c r="D421" s="976"/>
      <c r="E421" s="976"/>
      <c r="R421" s="977"/>
      <c r="S421" s="977"/>
      <c r="T421" s="977"/>
      <c r="U421" s="977"/>
      <c r="V421" s="977"/>
      <c r="W421" s="977"/>
      <c r="X421" s="977"/>
      <c r="Y421" s="977"/>
    </row>
    <row r="422" spans="1:25" x14ac:dyDescent="0.2">
      <c r="A422" s="976"/>
      <c r="B422" s="976"/>
      <c r="C422" s="976"/>
      <c r="D422" s="976"/>
      <c r="E422" s="976"/>
      <c r="R422" s="977"/>
      <c r="S422" s="977"/>
      <c r="T422" s="977"/>
      <c r="U422" s="977"/>
      <c r="V422" s="977"/>
      <c r="W422" s="977"/>
      <c r="X422" s="977"/>
      <c r="Y422" s="977"/>
    </row>
    <row r="423" spans="1:25" x14ac:dyDescent="0.2">
      <c r="A423" s="976"/>
      <c r="B423" s="976"/>
      <c r="C423" s="976"/>
      <c r="D423" s="976"/>
      <c r="E423" s="976"/>
      <c r="R423" s="977"/>
      <c r="S423" s="977"/>
      <c r="T423" s="977"/>
      <c r="U423" s="977"/>
      <c r="V423" s="977"/>
      <c r="W423" s="977"/>
      <c r="X423" s="977"/>
      <c r="Y423" s="977"/>
    </row>
    <row r="424" spans="1:25" x14ac:dyDescent="0.2">
      <c r="A424" s="976"/>
      <c r="B424" s="976"/>
      <c r="C424" s="976"/>
      <c r="D424" s="976"/>
      <c r="E424" s="976"/>
      <c r="R424" s="977"/>
      <c r="S424" s="977"/>
      <c r="T424" s="977"/>
      <c r="U424" s="977"/>
      <c r="V424" s="977"/>
      <c r="W424" s="977"/>
      <c r="X424" s="977"/>
      <c r="Y424" s="977"/>
    </row>
    <row r="425" spans="1:25" x14ac:dyDescent="0.2">
      <c r="A425" s="976"/>
      <c r="B425" s="976"/>
      <c r="C425" s="976"/>
      <c r="D425" s="976"/>
      <c r="E425" s="976"/>
      <c r="R425" s="977"/>
      <c r="S425" s="977"/>
      <c r="T425" s="977"/>
      <c r="U425" s="977"/>
      <c r="V425" s="977"/>
      <c r="W425" s="977"/>
      <c r="X425" s="977"/>
      <c r="Y425" s="977"/>
    </row>
    <row r="426" spans="1:25" x14ac:dyDescent="0.2">
      <c r="A426" s="976"/>
      <c r="B426" s="976"/>
      <c r="C426" s="976"/>
      <c r="D426" s="976"/>
      <c r="E426" s="976"/>
      <c r="R426" s="977"/>
      <c r="S426" s="977"/>
      <c r="T426" s="977"/>
      <c r="U426" s="977"/>
      <c r="V426" s="977"/>
      <c r="W426" s="977"/>
      <c r="X426" s="977"/>
      <c r="Y426" s="977"/>
    </row>
    <row r="427" spans="1:25" x14ac:dyDescent="0.2">
      <c r="A427" s="976"/>
      <c r="B427" s="976"/>
      <c r="C427" s="976"/>
      <c r="D427" s="976"/>
      <c r="E427" s="976"/>
      <c r="R427" s="977"/>
      <c r="S427" s="977"/>
      <c r="T427" s="977"/>
      <c r="U427" s="977"/>
      <c r="V427" s="977"/>
      <c r="W427" s="977"/>
      <c r="X427" s="977"/>
      <c r="Y427" s="977"/>
    </row>
    <row r="428" spans="1:25" x14ac:dyDescent="0.2">
      <c r="A428" s="976"/>
      <c r="B428" s="976"/>
      <c r="C428" s="976"/>
      <c r="D428" s="976"/>
      <c r="E428" s="976"/>
      <c r="R428" s="977"/>
      <c r="S428" s="977"/>
      <c r="T428" s="977"/>
      <c r="U428" s="977"/>
      <c r="V428" s="977"/>
      <c r="W428" s="977"/>
      <c r="X428" s="977"/>
      <c r="Y428" s="977"/>
    </row>
    <row r="429" spans="1:25" x14ac:dyDescent="0.2">
      <c r="A429" s="976"/>
      <c r="B429" s="976"/>
      <c r="C429" s="976"/>
      <c r="D429" s="976"/>
      <c r="E429" s="976"/>
      <c r="R429" s="977"/>
      <c r="S429" s="977"/>
      <c r="T429" s="977"/>
      <c r="U429" s="977"/>
      <c r="V429" s="977"/>
      <c r="W429" s="977"/>
      <c r="X429" s="977"/>
      <c r="Y429" s="977"/>
    </row>
    <row r="430" spans="1:25" x14ac:dyDescent="0.2">
      <c r="A430" s="976"/>
      <c r="B430" s="976"/>
      <c r="C430" s="976"/>
      <c r="D430" s="976"/>
      <c r="E430" s="976"/>
      <c r="R430" s="977"/>
      <c r="S430" s="977"/>
      <c r="T430" s="977"/>
      <c r="U430" s="977"/>
      <c r="V430" s="977"/>
      <c r="W430" s="977"/>
      <c r="X430" s="977"/>
      <c r="Y430" s="977"/>
    </row>
    <row r="431" spans="1:25" x14ac:dyDescent="0.2">
      <c r="A431" s="976"/>
      <c r="B431" s="976"/>
      <c r="C431" s="976"/>
      <c r="D431" s="976"/>
      <c r="E431" s="976"/>
      <c r="R431" s="977"/>
      <c r="S431" s="977"/>
      <c r="T431" s="977"/>
      <c r="U431" s="977"/>
      <c r="V431" s="977"/>
      <c r="W431" s="977"/>
      <c r="X431" s="977"/>
      <c r="Y431" s="977"/>
    </row>
    <row r="432" spans="1:25" x14ac:dyDescent="0.2">
      <c r="A432" s="976"/>
      <c r="B432" s="976"/>
      <c r="C432" s="976"/>
      <c r="D432" s="976"/>
      <c r="E432" s="976"/>
      <c r="R432" s="977"/>
      <c r="S432" s="977"/>
      <c r="T432" s="977"/>
      <c r="U432" s="977"/>
      <c r="V432" s="977"/>
      <c r="W432" s="977"/>
      <c r="X432" s="977"/>
      <c r="Y432" s="977"/>
    </row>
    <row r="433" spans="1:25" x14ac:dyDescent="0.2">
      <c r="A433" s="976"/>
      <c r="B433" s="976"/>
      <c r="C433" s="976"/>
      <c r="D433" s="976"/>
      <c r="E433" s="976"/>
      <c r="R433" s="977"/>
      <c r="S433" s="977"/>
      <c r="T433" s="977"/>
      <c r="U433" s="977"/>
      <c r="V433" s="977"/>
      <c r="W433" s="977"/>
      <c r="X433" s="977"/>
      <c r="Y433" s="977"/>
    </row>
    <row r="434" spans="1:25" x14ac:dyDescent="0.2">
      <c r="A434" s="976"/>
      <c r="B434" s="976"/>
      <c r="C434" s="976"/>
      <c r="D434" s="976"/>
      <c r="E434" s="976"/>
      <c r="R434" s="977"/>
      <c r="S434" s="977"/>
      <c r="T434" s="977"/>
      <c r="U434" s="977"/>
      <c r="V434" s="977"/>
      <c r="W434" s="977"/>
      <c r="X434" s="977"/>
      <c r="Y434" s="977"/>
    </row>
    <row r="435" spans="1:25" x14ac:dyDescent="0.2">
      <c r="A435" s="976"/>
      <c r="B435" s="976"/>
      <c r="C435" s="976"/>
      <c r="D435" s="976"/>
      <c r="E435" s="976"/>
      <c r="R435" s="977"/>
      <c r="S435" s="977"/>
      <c r="T435" s="977"/>
      <c r="U435" s="977"/>
      <c r="V435" s="977"/>
      <c r="W435" s="977"/>
      <c r="X435" s="977"/>
      <c r="Y435" s="977"/>
    </row>
    <row r="436" spans="1:25" x14ac:dyDescent="0.2">
      <c r="A436" s="976"/>
      <c r="B436" s="976"/>
      <c r="C436" s="976"/>
      <c r="D436" s="976"/>
      <c r="E436" s="976"/>
      <c r="R436" s="977"/>
      <c r="S436" s="977"/>
      <c r="T436" s="977"/>
      <c r="U436" s="977"/>
      <c r="V436" s="977"/>
      <c r="W436" s="977"/>
      <c r="X436" s="977"/>
      <c r="Y436" s="977"/>
    </row>
    <row r="437" spans="1:25" x14ac:dyDescent="0.2">
      <c r="A437" s="976"/>
      <c r="B437" s="976"/>
      <c r="C437" s="976"/>
      <c r="D437" s="976"/>
      <c r="E437" s="976"/>
      <c r="R437" s="977"/>
      <c r="S437" s="977"/>
      <c r="T437" s="977"/>
      <c r="U437" s="977"/>
      <c r="V437" s="977"/>
      <c r="W437" s="977"/>
      <c r="X437" s="977"/>
      <c r="Y437" s="977"/>
    </row>
    <row r="438" spans="1:25" x14ac:dyDescent="0.2">
      <c r="A438" s="976"/>
      <c r="B438" s="976"/>
      <c r="C438" s="976"/>
      <c r="D438" s="976"/>
      <c r="E438" s="976"/>
      <c r="R438" s="977"/>
      <c r="S438" s="977"/>
      <c r="T438" s="977"/>
      <c r="U438" s="977"/>
      <c r="V438" s="977"/>
      <c r="W438" s="977"/>
      <c r="X438" s="977"/>
      <c r="Y438" s="977"/>
    </row>
    <row r="439" spans="1:25" x14ac:dyDescent="0.2">
      <c r="A439" s="976"/>
      <c r="B439" s="976"/>
      <c r="C439" s="976"/>
      <c r="D439" s="976"/>
      <c r="E439" s="976"/>
      <c r="R439" s="977"/>
      <c r="S439" s="977"/>
      <c r="T439" s="977"/>
      <c r="U439" s="977"/>
      <c r="V439" s="977"/>
      <c r="W439" s="977"/>
      <c r="X439" s="977"/>
      <c r="Y439" s="977"/>
    </row>
    <row r="440" spans="1:25" x14ac:dyDescent="0.2">
      <c r="A440" s="976"/>
      <c r="B440" s="976"/>
      <c r="C440" s="976"/>
      <c r="D440" s="976"/>
      <c r="E440" s="976"/>
      <c r="R440" s="977"/>
      <c r="S440" s="977"/>
      <c r="T440" s="977"/>
      <c r="U440" s="977"/>
      <c r="V440" s="977"/>
      <c r="W440" s="977"/>
      <c r="X440" s="977"/>
      <c r="Y440" s="977"/>
    </row>
    <row r="441" spans="1:25" x14ac:dyDescent="0.2">
      <c r="A441" s="976"/>
      <c r="B441" s="976"/>
      <c r="C441" s="976"/>
      <c r="D441" s="976"/>
      <c r="E441" s="976"/>
      <c r="R441" s="977"/>
      <c r="S441" s="977"/>
      <c r="T441" s="977"/>
      <c r="U441" s="977"/>
      <c r="V441" s="977"/>
      <c r="W441" s="977"/>
      <c r="X441" s="977"/>
      <c r="Y441" s="977"/>
    </row>
    <row r="442" spans="1:25" x14ac:dyDescent="0.2">
      <c r="A442" s="976"/>
      <c r="B442" s="976"/>
      <c r="C442" s="976"/>
      <c r="D442" s="976"/>
      <c r="E442" s="976"/>
      <c r="R442" s="977"/>
      <c r="S442" s="977"/>
      <c r="T442" s="977"/>
      <c r="U442" s="977"/>
      <c r="V442" s="977"/>
      <c r="W442" s="977"/>
      <c r="X442" s="977"/>
      <c r="Y442" s="977"/>
    </row>
    <row r="443" spans="1:25" x14ac:dyDescent="0.2">
      <c r="A443" s="976"/>
      <c r="B443" s="976"/>
      <c r="C443" s="976"/>
      <c r="D443" s="976"/>
      <c r="E443" s="976"/>
      <c r="R443" s="977"/>
      <c r="S443" s="977"/>
      <c r="T443" s="977"/>
      <c r="U443" s="977"/>
      <c r="V443" s="977"/>
      <c r="W443" s="977"/>
      <c r="X443" s="977"/>
      <c r="Y443" s="977"/>
    </row>
    <row r="444" spans="1:25" x14ac:dyDescent="0.2">
      <c r="A444" s="976"/>
      <c r="B444" s="976"/>
      <c r="C444" s="976"/>
      <c r="D444" s="976"/>
      <c r="E444" s="976"/>
      <c r="R444" s="977"/>
      <c r="S444" s="977"/>
      <c r="T444" s="977"/>
      <c r="U444" s="977"/>
      <c r="V444" s="977"/>
      <c r="W444" s="977"/>
      <c r="X444" s="977"/>
      <c r="Y444" s="977"/>
    </row>
    <row r="445" spans="1:25" x14ac:dyDescent="0.2">
      <c r="A445" s="976"/>
      <c r="B445" s="976"/>
      <c r="C445" s="976"/>
      <c r="D445" s="976"/>
      <c r="E445" s="976"/>
      <c r="R445" s="977"/>
      <c r="S445" s="977"/>
      <c r="T445" s="977"/>
      <c r="U445" s="977"/>
      <c r="V445" s="977"/>
      <c r="W445" s="977"/>
      <c r="X445" s="977"/>
      <c r="Y445" s="977"/>
    </row>
    <row r="446" spans="1:25" x14ac:dyDescent="0.2">
      <c r="A446" s="976"/>
      <c r="B446" s="976"/>
      <c r="C446" s="976"/>
      <c r="D446" s="976"/>
      <c r="E446" s="976"/>
      <c r="R446" s="977"/>
      <c r="S446" s="977"/>
      <c r="T446" s="977"/>
      <c r="U446" s="977"/>
      <c r="V446" s="977"/>
      <c r="W446" s="977"/>
      <c r="X446" s="977"/>
      <c r="Y446" s="977"/>
    </row>
    <row r="447" spans="1:25" x14ac:dyDescent="0.2">
      <c r="A447" s="976"/>
      <c r="B447" s="976"/>
      <c r="C447" s="976"/>
      <c r="D447" s="976"/>
      <c r="E447" s="976"/>
      <c r="R447" s="977"/>
      <c r="S447" s="977"/>
      <c r="T447" s="977"/>
      <c r="U447" s="977"/>
      <c r="V447" s="977"/>
      <c r="W447" s="977"/>
      <c r="X447" s="977"/>
      <c r="Y447" s="977"/>
    </row>
    <row r="448" spans="1:25" x14ac:dyDescent="0.2">
      <c r="A448" s="976"/>
      <c r="B448" s="976"/>
      <c r="C448" s="976"/>
      <c r="D448" s="976"/>
      <c r="E448" s="976"/>
      <c r="R448" s="977"/>
      <c r="S448" s="977"/>
      <c r="T448" s="977"/>
      <c r="U448" s="977"/>
      <c r="V448" s="977"/>
      <c r="W448" s="977"/>
      <c r="X448" s="977"/>
      <c r="Y448" s="977"/>
    </row>
    <row r="449" spans="1:25" x14ac:dyDescent="0.2">
      <c r="A449" s="976"/>
      <c r="B449" s="976"/>
      <c r="C449" s="976"/>
      <c r="D449" s="976"/>
      <c r="E449" s="976"/>
      <c r="R449" s="977"/>
      <c r="S449" s="977"/>
      <c r="T449" s="977"/>
      <c r="U449" s="977"/>
      <c r="V449" s="977"/>
      <c r="W449" s="977"/>
      <c r="X449" s="977"/>
      <c r="Y449" s="977"/>
    </row>
    <row r="450" spans="1:25" x14ac:dyDescent="0.2">
      <c r="A450" s="976"/>
      <c r="B450" s="976"/>
      <c r="C450" s="976"/>
      <c r="D450" s="976"/>
      <c r="E450" s="976"/>
      <c r="R450" s="977"/>
      <c r="S450" s="977"/>
      <c r="T450" s="977"/>
      <c r="U450" s="977"/>
      <c r="V450" s="977"/>
      <c r="W450" s="977"/>
      <c r="X450" s="977"/>
      <c r="Y450" s="977"/>
    </row>
    <row r="451" spans="1:25" x14ac:dyDescent="0.2">
      <c r="A451" s="976"/>
      <c r="B451" s="976"/>
      <c r="C451" s="976"/>
      <c r="D451" s="976"/>
      <c r="E451" s="976"/>
      <c r="R451" s="977"/>
      <c r="S451" s="977"/>
      <c r="T451" s="977"/>
      <c r="U451" s="977"/>
      <c r="V451" s="977"/>
      <c r="W451" s="977"/>
      <c r="X451" s="977"/>
      <c r="Y451" s="977"/>
    </row>
    <row r="452" spans="1:25" x14ac:dyDescent="0.2">
      <c r="A452" s="976"/>
      <c r="B452" s="976"/>
      <c r="C452" s="976"/>
      <c r="D452" s="976"/>
      <c r="E452" s="976"/>
      <c r="R452" s="977"/>
      <c r="S452" s="977"/>
      <c r="T452" s="977"/>
      <c r="U452" s="977"/>
      <c r="V452" s="977"/>
      <c r="W452" s="977"/>
      <c r="X452" s="977"/>
      <c r="Y452" s="977"/>
    </row>
    <row r="453" spans="1:25" x14ac:dyDescent="0.2">
      <c r="A453" s="976"/>
      <c r="B453" s="976"/>
      <c r="C453" s="976"/>
      <c r="D453" s="976"/>
      <c r="E453" s="976"/>
      <c r="R453" s="977"/>
      <c r="S453" s="977"/>
      <c r="T453" s="977"/>
      <c r="U453" s="977"/>
      <c r="V453" s="977"/>
      <c r="W453" s="977"/>
      <c r="X453" s="977"/>
      <c r="Y453" s="977"/>
    </row>
    <row r="454" spans="1:25" x14ac:dyDescent="0.2">
      <c r="A454" s="976"/>
      <c r="B454" s="976"/>
      <c r="C454" s="976"/>
      <c r="D454" s="976"/>
      <c r="E454" s="976"/>
      <c r="R454" s="977"/>
      <c r="S454" s="977"/>
      <c r="T454" s="977"/>
      <c r="U454" s="977"/>
      <c r="V454" s="977"/>
      <c r="W454" s="977"/>
      <c r="X454" s="977"/>
      <c r="Y454" s="977"/>
    </row>
    <row r="455" spans="1:25" x14ac:dyDescent="0.2">
      <c r="A455" s="976"/>
      <c r="B455" s="976"/>
      <c r="C455" s="976"/>
      <c r="D455" s="976"/>
      <c r="E455" s="976"/>
      <c r="R455" s="977"/>
      <c r="S455" s="977"/>
      <c r="T455" s="977"/>
      <c r="U455" s="977"/>
      <c r="V455" s="977"/>
      <c r="W455" s="977"/>
      <c r="X455" s="977"/>
      <c r="Y455" s="977"/>
    </row>
    <row r="456" spans="1:25" x14ac:dyDescent="0.2">
      <c r="A456" s="976"/>
      <c r="B456" s="976"/>
      <c r="C456" s="976"/>
      <c r="D456" s="976"/>
      <c r="E456" s="976"/>
      <c r="R456" s="977"/>
      <c r="S456" s="977"/>
      <c r="T456" s="977"/>
      <c r="U456" s="977"/>
      <c r="V456" s="977"/>
      <c r="W456" s="977"/>
      <c r="X456" s="977"/>
      <c r="Y456" s="977"/>
    </row>
    <row r="457" spans="1:25" x14ac:dyDescent="0.2">
      <c r="A457" s="976"/>
      <c r="B457" s="976"/>
      <c r="C457" s="976"/>
      <c r="D457" s="976"/>
      <c r="E457" s="976"/>
      <c r="R457" s="977"/>
      <c r="S457" s="977"/>
      <c r="T457" s="977"/>
      <c r="U457" s="977"/>
      <c r="V457" s="977"/>
      <c r="W457" s="977"/>
      <c r="X457" s="977"/>
      <c r="Y457" s="977"/>
    </row>
    <row r="458" spans="1:25" x14ac:dyDescent="0.2">
      <c r="A458" s="976"/>
      <c r="B458" s="976"/>
      <c r="C458" s="976"/>
      <c r="D458" s="976"/>
      <c r="E458" s="976"/>
      <c r="R458" s="977"/>
      <c r="S458" s="977"/>
      <c r="T458" s="977"/>
      <c r="U458" s="977"/>
      <c r="V458" s="977"/>
      <c r="W458" s="977"/>
      <c r="X458" s="977"/>
      <c r="Y458" s="977"/>
    </row>
    <row r="459" spans="1:25" x14ac:dyDescent="0.2">
      <c r="A459" s="976"/>
      <c r="B459" s="976"/>
      <c r="C459" s="976"/>
      <c r="D459" s="976"/>
      <c r="E459" s="976"/>
      <c r="R459" s="977"/>
      <c r="S459" s="977"/>
      <c r="T459" s="977"/>
      <c r="U459" s="977"/>
      <c r="V459" s="977"/>
      <c r="W459" s="977"/>
      <c r="X459" s="977"/>
      <c r="Y459" s="977"/>
    </row>
    <row r="460" spans="1:25" x14ac:dyDescent="0.2">
      <c r="A460" s="976"/>
      <c r="B460" s="976"/>
      <c r="C460" s="976"/>
      <c r="D460" s="976"/>
      <c r="E460" s="976"/>
      <c r="R460" s="977"/>
      <c r="S460" s="977"/>
      <c r="T460" s="977"/>
      <c r="U460" s="977"/>
      <c r="V460" s="977"/>
      <c r="W460" s="977"/>
      <c r="X460" s="977"/>
      <c r="Y460" s="977"/>
    </row>
    <row r="461" spans="1:25" x14ac:dyDescent="0.2">
      <c r="A461" s="976"/>
      <c r="B461" s="976"/>
      <c r="C461" s="976"/>
      <c r="D461" s="976"/>
      <c r="E461" s="976"/>
      <c r="R461" s="977"/>
      <c r="S461" s="977"/>
      <c r="T461" s="977"/>
      <c r="U461" s="977"/>
      <c r="V461" s="977"/>
      <c r="W461" s="977"/>
      <c r="X461" s="977"/>
      <c r="Y461" s="977"/>
    </row>
    <row r="462" spans="1:25" x14ac:dyDescent="0.2">
      <c r="A462" s="976"/>
      <c r="B462" s="976"/>
      <c r="C462" s="976"/>
      <c r="D462" s="976"/>
      <c r="E462" s="976"/>
      <c r="R462" s="977"/>
      <c r="S462" s="977"/>
      <c r="T462" s="977"/>
      <c r="U462" s="977"/>
      <c r="V462" s="977"/>
      <c r="W462" s="977"/>
      <c r="X462" s="977"/>
      <c r="Y462" s="977"/>
    </row>
    <row r="463" spans="1:25" x14ac:dyDescent="0.2">
      <c r="A463" s="976"/>
      <c r="B463" s="976"/>
      <c r="C463" s="976"/>
      <c r="D463" s="976"/>
      <c r="E463" s="976"/>
      <c r="R463" s="977"/>
      <c r="S463" s="977"/>
      <c r="T463" s="977"/>
      <c r="U463" s="977"/>
      <c r="V463" s="977"/>
      <c r="W463" s="977"/>
      <c r="X463" s="977"/>
      <c r="Y463" s="977"/>
    </row>
    <row r="464" spans="1:25" x14ac:dyDescent="0.2">
      <c r="A464" s="976"/>
      <c r="B464" s="976"/>
      <c r="C464" s="976"/>
      <c r="D464" s="976"/>
      <c r="E464" s="976"/>
      <c r="R464" s="977"/>
      <c r="S464" s="977"/>
      <c r="T464" s="977"/>
      <c r="U464" s="977"/>
      <c r="V464" s="977"/>
      <c r="W464" s="977"/>
      <c r="X464" s="977"/>
      <c r="Y464" s="977"/>
    </row>
    <row r="465" spans="1:25" x14ac:dyDescent="0.2">
      <c r="A465" s="976"/>
      <c r="B465" s="976"/>
      <c r="C465" s="976"/>
      <c r="D465" s="976"/>
      <c r="E465" s="976"/>
      <c r="R465" s="977"/>
      <c r="S465" s="977"/>
      <c r="T465" s="977"/>
      <c r="U465" s="977"/>
      <c r="V465" s="977"/>
      <c r="W465" s="977"/>
      <c r="X465" s="977"/>
      <c r="Y465" s="977"/>
    </row>
    <row r="466" spans="1:25" x14ac:dyDescent="0.2">
      <c r="A466" s="976"/>
      <c r="B466" s="976"/>
      <c r="C466" s="976"/>
      <c r="D466" s="976"/>
      <c r="E466" s="976"/>
      <c r="R466" s="977"/>
      <c r="S466" s="977"/>
      <c r="T466" s="977"/>
      <c r="U466" s="977"/>
      <c r="V466" s="977"/>
      <c r="W466" s="977"/>
      <c r="X466" s="977"/>
      <c r="Y466" s="977"/>
    </row>
    <row r="467" spans="1:25" x14ac:dyDescent="0.2">
      <c r="A467" s="976"/>
      <c r="B467" s="976"/>
      <c r="C467" s="976"/>
      <c r="D467" s="976"/>
      <c r="E467" s="976"/>
      <c r="R467" s="977"/>
      <c r="S467" s="977"/>
      <c r="T467" s="977"/>
      <c r="U467" s="977"/>
      <c r="V467" s="977"/>
      <c r="W467" s="977"/>
      <c r="X467" s="977"/>
      <c r="Y467" s="977"/>
    </row>
    <row r="468" spans="1:25" x14ac:dyDescent="0.2">
      <c r="A468" s="976"/>
      <c r="B468" s="976"/>
      <c r="C468" s="976"/>
      <c r="D468" s="976"/>
      <c r="E468" s="976"/>
      <c r="R468" s="977"/>
      <c r="S468" s="977"/>
      <c r="T468" s="977"/>
      <c r="U468" s="977"/>
      <c r="V468" s="977"/>
      <c r="W468" s="977"/>
      <c r="X468" s="977"/>
      <c r="Y468" s="977"/>
    </row>
    <row r="469" spans="1:25" x14ac:dyDescent="0.2">
      <c r="A469" s="976"/>
      <c r="B469" s="976"/>
      <c r="C469" s="976"/>
      <c r="D469" s="976"/>
      <c r="E469" s="976"/>
      <c r="R469" s="977"/>
      <c r="S469" s="977"/>
      <c r="T469" s="977"/>
      <c r="U469" s="977"/>
      <c r="V469" s="977"/>
      <c r="W469" s="977"/>
      <c r="X469" s="977"/>
      <c r="Y469" s="977"/>
    </row>
    <row r="470" spans="1:25" x14ac:dyDescent="0.2">
      <c r="A470" s="976"/>
      <c r="B470" s="976"/>
      <c r="C470" s="976"/>
      <c r="D470" s="976"/>
      <c r="E470" s="976"/>
      <c r="R470" s="977"/>
      <c r="S470" s="977"/>
      <c r="T470" s="977"/>
      <c r="U470" s="977"/>
      <c r="V470" s="977"/>
      <c r="W470" s="977"/>
      <c r="X470" s="977"/>
      <c r="Y470" s="977"/>
    </row>
    <row r="471" spans="1:25" x14ac:dyDescent="0.2">
      <c r="A471" s="976"/>
      <c r="B471" s="976"/>
      <c r="C471" s="976"/>
      <c r="D471" s="976"/>
      <c r="E471" s="976"/>
      <c r="R471" s="977"/>
      <c r="S471" s="977"/>
      <c r="T471" s="977"/>
      <c r="U471" s="977"/>
      <c r="V471" s="977"/>
      <c r="W471" s="977"/>
      <c r="X471" s="977"/>
      <c r="Y471" s="977"/>
    </row>
    <row r="472" spans="1:25" x14ac:dyDescent="0.2">
      <c r="A472" s="976"/>
      <c r="B472" s="976"/>
      <c r="C472" s="976"/>
      <c r="D472" s="976"/>
      <c r="E472" s="976"/>
      <c r="R472" s="977"/>
      <c r="S472" s="977"/>
      <c r="T472" s="977"/>
      <c r="U472" s="977"/>
      <c r="V472" s="977"/>
      <c r="W472" s="977"/>
      <c r="X472" s="977"/>
      <c r="Y472" s="977"/>
    </row>
    <row r="473" spans="1:25" x14ac:dyDescent="0.2">
      <c r="A473" s="976"/>
      <c r="B473" s="976"/>
      <c r="C473" s="976"/>
      <c r="D473" s="976"/>
      <c r="E473" s="976"/>
      <c r="R473" s="977"/>
      <c r="S473" s="977"/>
      <c r="T473" s="977"/>
      <c r="U473" s="977"/>
      <c r="V473" s="977"/>
      <c r="W473" s="977"/>
      <c r="X473" s="977"/>
      <c r="Y473" s="977"/>
    </row>
    <row r="474" spans="1:25" x14ac:dyDescent="0.2">
      <c r="A474" s="976"/>
      <c r="B474" s="976"/>
      <c r="C474" s="976"/>
      <c r="D474" s="976"/>
      <c r="E474" s="976"/>
      <c r="R474" s="977"/>
      <c r="S474" s="977"/>
      <c r="T474" s="977"/>
      <c r="U474" s="977"/>
      <c r="V474" s="977"/>
      <c r="W474" s="977"/>
      <c r="X474" s="977"/>
      <c r="Y474" s="977"/>
    </row>
    <row r="475" spans="1:25" x14ac:dyDescent="0.2">
      <c r="A475" s="976"/>
      <c r="B475" s="976"/>
      <c r="C475" s="976"/>
      <c r="D475" s="976"/>
      <c r="E475" s="976"/>
      <c r="R475" s="977"/>
      <c r="S475" s="977"/>
      <c r="T475" s="977"/>
      <c r="U475" s="977"/>
      <c r="V475" s="977"/>
      <c r="W475" s="977"/>
      <c r="X475" s="977"/>
      <c r="Y475" s="977"/>
    </row>
    <row r="476" spans="1:25" x14ac:dyDescent="0.2">
      <c r="A476" s="976"/>
      <c r="B476" s="976"/>
      <c r="C476" s="976"/>
      <c r="D476" s="976"/>
      <c r="E476" s="976"/>
      <c r="R476" s="977"/>
      <c r="S476" s="977"/>
      <c r="T476" s="977"/>
      <c r="U476" s="977"/>
      <c r="V476" s="977"/>
      <c r="W476" s="977"/>
      <c r="X476" s="977"/>
      <c r="Y476" s="977"/>
    </row>
    <row r="477" spans="1:25" x14ac:dyDescent="0.2">
      <c r="A477" s="976"/>
      <c r="B477" s="976"/>
      <c r="C477" s="976"/>
      <c r="D477" s="976"/>
      <c r="E477" s="976"/>
      <c r="R477" s="977"/>
      <c r="S477" s="977"/>
      <c r="T477" s="977"/>
      <c r="U477" s="977"/>
      <c r="V477" s="977"/>
      <c r="W477" s="977"/>
      <c r="X477" s="977"/>
      <c r="Y477" s="977"/>
    </row>
    <row r="478" spans="1:25" x14ac:dyDescent="0.2">
      <c r="A478" s="976"/>
      <c r="B478" s="976"/>
      <c r="C478" s="976"/>
      <c r="D478" s="976"/>
      <c r="E478" s="976"/>
      <c r="R478" s="977"/>
      <c r="S478" s="977"/>
      <c r="T478" s="977"/>
      <c r="U478" s="977"/>
      <c r="V478" s="977"/>
      <c r="W478" s="977"/>
      <c r="X478" s="977"/>
      <c r="Y478" s="977"/>
    </row>
    <row r="479" spans="1:25" x14ac:dyDescent="0.2">
      <c r="A479" s="976"/>
      <c r="B479" s="976"/>
      <c r="C479" s="976"/>
      <c r="D479" s="976"/>
      <c r="E479" s="976"/>
      <c r="R479" s="977"/>
      <c r="S479" s="977"/>
      <c r="T479" s="977"/>
      <c r="U479" s="977"/>
      <c r="V479" s="977"/>
      <c r="W479" s="977"/>
      <c r="X479" s="977"/>
      <c r="Y479" s="977"/>
    </row>
    <row r="480" spans="1:25" x14ac:dyDescent="0.2">
      <c r="A480" s="976"/>
      <c r="B480" s="976"/>
      <c r="C480" s="976"/>
      <c r="D480" s="976"/>
      <c r="E480" s="976"/>
      <c r="R480" s="977"/>
      <c r="S480" s="977"/>
      <c r="T480" s="977"/>
      <c r="U480" s="977"/>
      <c r="V480" s="977"/>
      <c r="W480" s="977"/>
      <c r="X480" s="977"/>
      <c r="Y480" s="977"/>
    </row>
    <row r="481" spans="1:25" x14ac:dyDescent="0.2">
      <c r="A481" s="976"/>
      <c r="B481" s="976"/>
      <c r="C481" s="976"/>
      <c r="D481" s="976"/>
      <c r="E481" s="976"/>
      <c r="R481" s="977"/>
      <c r="S481" s="977"/>
      <c r="T481" s="977"/>
      <c r="U481" s="977"/>
      <c r="V481" s="977"/>
      <c r="W481" s="977"/>
      <c r="X481" s="977"/>
      <c r="Y481" s="977"/>
    </row>
    <row r="482" spans="1:25" x14ac:dyDescent="0.2">
      <c r="A482" s="976"/>
      <c r="B482" s="976"/>
      <c r="C482" s="976"/>
      <c r="D482" s="976"/>
      <c r="E482" s="976"/>
      <c r="R482" s="977"/>
      <c r="S482" s="977"/>
      <c r="T482" s="977"/>
      <c r="U482" s="977"/>
      <c r="V482" s="977"/>
      <c r="W482" s="977"/>
      <c r="X482" s="977"/>
      <c r="Y482" s="977"/>
    </row>
    <row r="483" spans="1:25" x14ac:dyDescent="0.2">
      <c r="A483" s="976"/>
      <c r="B483" s="976"/>
      <c r="C483" s="976"/>
      <c r="D483" s="976"/>
      <c r="E483" s="976"/>
      <c r="R483" s="977"/>
      <c r="S483" s="977"/>
      <c r="T483" s="977"/>
      <c r="U483" s="977"/>
      <c r="V483" s="977"/>
      <c r="W483" s="977"/>
      <c r="X483" s="977"/>
      <c r="Y483" s="977"/>
    </row>
    <row r="484" spans="1:25" x14ac:dyDescent="0.2">
      <c r="A484" s="976"/>
      <c r="B484" s="976"/>
      <c r="C484" s="976"/>
      <c r="D484" s="976"/>
      <c r="E484" s="976"/>
      <c r="R484" s="977"/>
      <c r="S484" s="977"/>
      <c r="T484" s="977"/>
      <c r="U484" s="977"/>
      <c r="V484" s="977"/>
      <c r="W484" s="977"/>
      <c r="X484" s="977"/>
      <c r="Y484" s="977"/>
    </row>
    <row r="485" spans="1:25" x14ac:dyDescent="0.2">
      <c r="A485" s="976"/>
      <c r="B485" s="976"/>
      <c r="C485" s="976"/>
      <c r="D485" s="976"/>
      <c r="E485" s="976"/>
      <c r="R485" s="977"/>
      <c r="S485" s="977"/>
      <c r="T485" s="977"/>
      <c r="U485" s="977"/>
      <c r="V485" s="977"/>
      <c r="W485" s="977"/>
      <c r="X485" s="977"/>
      <c r="Y485" s="977"/>
    </row>
    <row r="486" spans="1:25" x14ac:dyDescent="0.2">
      <c r="A486" s="976"/>
      <c r="B486" s="976"/>
      <c r="C486" s="976"/>
      <c r="D486" s="976"/>
      <c r="E486" s="976"/>
      <c r="R486" s="977"/>
      <c r="S486" s="977"/>
      <c r="T486" s="977"/>
      <c r="U486" s="977"/>
      <c r="V486" s="977"/>
      <c r="W486" s="977"/>
      <c r="X486" s="977"/>
      <c r="Y486" s="977"/>
    </row>
    <row r="487" spans="1:25" x14ac:dyDescent="0.2">
      <c r="A487" s="976"/>
      <c r="B487" s="976"/>
      <c r="C487" s="976"/>
      <c r="D487" s="976"/>
      <c r="E487" s="976"/>
      <c r="R487" s="977"/>
      <c r="S487" s="977"/>
      <c r="T487" s="977"/>
      <c r="U487" s="977"/>
      <c r="V487" s="977"/>
      <c r="W487" s="977"/>
      <c r="X487" s="977"/>
      <c r="Y487" s="977"/>
    </row>
    <row r="488" spans="1:25" x14ac:dyDescent="0.2">
      <c r="A488" s="976"/>
      <c r="B488" s="976"/>
      <c r="C488" s="976"/>
      <c r="D488" s="976"/>
      <c r="E488" s="976"/>
      <c r="R488" s="977"/>
      <c r="S488" s="977"/>
      <c r="T488" s="977"/>
      <c r="U488" s="977"/>
      <c r="V488" s="977"/>
      <c r="W488" s="977"/>
      <c r="X488" s="977"/>
      <c r="Y488" s="977"/>
    </row>
    <row r="489" spans="1:25" x14ac:dyDescent="0.2">
      <c r="A489" s="976"/>
      <c r="B489" s="976"/>
      <c r="C489" s="976"/>
      <c r="D489" s="976"/>
      <c r="E489" s="976"/>
      <c r="R489" s="977"/>
      <c r="S489" s="977"/>
      <c r="T489" s="977"/>
      <c r="U489" s="977"/>
      <c r="V489" s="977"/>
      <c r="W489" s="977"/>
      <c r="X489" s="977"/>
      <c r="Y489" s="977"/>
    </row>
    <row r="490" spans="1:25" x14ac:dyDescent="0.2">
      <c r="A490" s="976"/>
      <c r="B490" s="976"/>
      <c r="C490" s="976"/>
      <c r="D490" s="976"/>
      <c r="E490" s="976"/>
      <c r="R490" s="977"/>
      <c r="S490" s="977"/>
      <c r="T490" s="977"/>
      <c r="U490" s="977"/>
      <c r="V490" s="977"/>
      <c r="W490" s="977"/>
      <c r="X490" s="977"/>
      <c r="Y490" s="977"/>
    </row>
    <row r="491" spans="1:25" x14ac:dyDescent="0.2">
      <c r="A491" s="976"/>
      <c r="B491" s="976"/>
      <c r="C491" s="976"/>
      <c r="D491" s="976"/>
      <c r="E491" s="976"/>
      <c r="R491" s="977"/>
      <c r="S491" s="977"/>
      <c r="T491" s="977"/>
      <c r="U491" s="977"/>
      <c r="V491" s="977"/>
      <c r="W491" s="977"/>
      <c r="X491" s="977"/>
      <c r="Y491" s="977"/>
    </row>
    <row r="492" spans="1:25" x14ac:dyDescent="0.2">
      <c r="A492" s="976"/>
      <c r="B492" s="976"/>
      <c r="C492" s="976"/>
      <c r="D492" s="976"/>
      <c r="E492" s="976"/>
      <c r="R492" s="977"/>
      <c r="S492" s="977"/>
      <c r="T492" s="977"/>
      <c r="U492" s="977"/>
      <c r="V492" s="977"/>
      <c r="W492" s="977"/>
      <c r="X492" s="977"/>
      <c r="Y492" s="977"/>
    </row>
    <row r="493" spans="1:25" x14ac:dyDescent="0.2">
      <c r="A493" s="976"/>
      <c r="B493" s="976"/>
      <c r="C493" s="976"/>
      <c r="D493" s="976"/>
      <c r="E493" s="976"/>
      <c r="R493" s="977"/>
      <c r="S493" s="977"/>
      <c r="T493" s="977"/>
      <c r="U493" s="977"/>
      <c r="V493" s="977"/>
      <c r="W493" s="977"/>
      <c r="X493" s="977"/>
      <c r="Y493" s="977"/>
    </row>
    <row r="494" spans="1:25" x14ac:dyDescent="0.2">
      <c r="A494" s="976"/>
      <c r="B494" s="976"/>
      <c r="C494" s="976"/>
      <c r="D494" s="976"/>
      <c r="E494" s="976"/>
      <c r="R494" s="977"/>
      <c r="S494" s="977"/>
      <c r="T494" s="977"/>
      <c r="U494" s="977"/>
      <c r="V494" s="977"/>
      <c r="W494" s="977"/>
      <c r="X494" s="977"/>
      <c r="Y494" s="977"/>
    </row>
    <row r="495" spans="1:25" x14ac:dyDescent="0.2">
      <c r="A495" s="976"/>
      <c r="B495" s="976"/>
      <c r="C495" s="976"/>
      <c r="D495" s="976"/>
      <c r="E495" s="976"/>
      <c r="R495" s="977"/>
      <c r="S495" s="977"/>
      <c r="T495" s="977"/>
      <c r="U495" s="977"/>
      <c r="V495" s="977"/>
      <c r="W495" s="977"/>
      <c r="X495" s="977"/>
      <c r="Y495" s="977"/>
    </row>
    <row r="496" spans="1:25" x14ac:dyDescent="0.2">
      <c r="A496" s="976"/>
      <c r="B496" s="976"/>
      <c r="C496" s="976"/>
      <c r="D496" s="976"/>
      <c r="E496" s="976"/>
      <c r="R496" s="977"/>
      <c r="S496" s="977"/>
      <c r="T496" s="977"/>
      <c r="U496" s="977"/>
      <c r="V496" s="977"/>
      <c r="W496" s="977"/>
      <c r="X496" s="977"/>
      <c r="Y496" s="977"/>
    </row>
    <row r="497" spans="1:25" x14ac:dyDescent="0.2">
      <c r="A497" s="976"/>
      <c r="B497" s="976"/>
      <c r="C497" s="976"/>
      <c r="D497" s="976"/>
      <c r="E497" s="976"/>
      <c r="R497" s="977"/>
      <c r="S497" s="977"/>
      <c r="T497" s="977"/>
      <c r="U497" s="977"/>
      <c r="V497" s="977"/>
      <c r="W497" s="977"/>
      <c r="X497" s="977"/>
      <c r="Y497" s="977"/>
    </row>
    <row r="498" spans="1:25" x14ac:dyDescent="0.2">
      <c r="A498" s="976"/>
      <c r="B498" s="976"/>
      <c r="C498" s="976"/>
      <c r="D498" s="976"/>
      <c r="E498" s="976"/>
      <c r="R498" s="977"/>
      <c r="S498" s="977"/>
      <c r="T498" s="977"/>
      <c r="U498" s="977"/>
      <c r="V498" s="977"/>
      <c r="W498" s="977"/>
      <c r="X498" s="977"/>
      <c r="Y498" s="977"/>
    </row>
    <row r="499" spans="1:25" x14ac:dyDescent="0.2">
      <c r="A499" s="976"/>
      <c r="B499" s="976"/>
      <c r="C499" s="976"/>
      <c r="D499" s="976"/>
      <c r="E499" s="976"/>
      <c r="R499" s="977"/>
      <c r="S499" s="977"/>
      <c r="T499" s="977"/>
      <c r="U499" s="977"/>
      <c r="V499" s="977"/>
      <c r="W499" s="977"/>
      <c r="X499" s="977"/>
      <c r="Y499" s="977"/>
    </row>
    <row r="500" spans="1:25" x14ac:dyDescent="0.2">
      <c r="A500" s="976"/>
      <c r="B500" s="976"/>
      <c r="C500" s="976"/>
      <c r="D500" s="976"/>
      <c r="E500" s="976"/>
      <c r="R500" s="977"/>
      <c r="S500" s="977"/>
      <c r="T500" s="977"/>
      <c r="U500" s="977"/>
      <c r="V500" s="977"/>
      <c r="W500" s="977"/>
      <c r="X500" s="977"/>
      <c r="Y500" s="977"/>
    </row>
    <row r="501" spans="1:25" x14ac:dyDescent="0.2">
      <c r="A501" s="976"/>
      <c r="B501" s="976"/>
      <c r="C501" s="976"/>
      <c r="D501" s="976"/>
      <c r="E501" s="976"/>
      <c r="R501" s="977"/>
      <c r="S501" s="977"/>
      <c r="T501" s="977"/>
      <c r="U501" s="977"/>
      <c r="V501" s="977"/>
      <c r="W501" s="977"/>
      <c r="X501" s="977"/>
      <c r="Y501" s="977"/>
    </row>
    <row r="502" spans="1:25" x14ac:dyDescent="0.2">
      <c r="A502" s="976"/>
      <c r="B502" s="976"/>
      <c r="C502" s="976"/>
      <c r="D502" s="976"/>
      <c r="E502" s="976"/>
      <c r="R502" s="977"/>
      <c r="S502" s="977"/>
      <c r="T502" s="977"/>
      <c r="U502" s="977"/>
      <c r="V502" s="977"/>
      <c r="W502" s="977"/>
      <c r="X502" s="977"/>
      <c r="Y502" s="977"/>
    </row>
    <row r="503" spans="1:25" x14ac:dyDescent="0.2">
      <c r="A503" s="976"/>
      <c r="B503" s="976"/>
      <c r="C503" s="976"/>
      <c r="D503" s="976"/>
      <c r="E503" s="976"/>
      <c r="R503" s="977"/>
      <c r="S503" s="977"/>
      <c r="T503" s="977"/>
      <c r="U503" s="977"/>
      <c r="V503" s="977"/>
      <c r="W503" s="977"/>
      <c r="X503" s="977"/>
      <c r="Y503" s="977"/>
    </row>
    <row r="504" spans="1:25" x14ac:dyDescent="0.2">
      <c r="A504" s="976"/>
      <c r="B504" s="976"/>
      <c r="C504" s="976"/>
      <c r="D504" s="976"/>
      <c r="E504" s="976"/>
      <c r="R504" s="977"/>
      <c r="S504" s="977"/>
      <c r="T504" s="977"/>
      <c r="U504" s="977"/>
      <c r="V504" s="977"/>
      <c r="W504" s="977"/>
      <c r="X504" s="977"/>
      <c r="Y504" s="977"/>
    </row>
    <row r="505" spans="1:25" x14ac:dyDescent="0.2">
      <c r="A505" s="976"/>
      <c r="B505" s="976"/>
      <c r="C505" s="976"/>
      <c r="D505" s="976"/>
      <c r="E505" s="976"/>
      <c r="R505" s="977"/>
      <c r="S505" s="977"/>
      <c r="T505" s="977"/>
      <c r="U505" s="977"/>
      <c r="V505" s="977"/>
      <c r="W505" s="977"/>
      <c r="X505" s="977"/>
      <c r="Y505" s="977"/>
    </row>
    <row r="506" spans="1:25" x14ac:dyDescent="0.2">
      <c r="A506" s="976"/>
      <c r="B506" s="976"/>
      <c r="C506" s="976"/>
      <c r="D506" s="976"/>
      <c r="E506" s="976"/>
      <c r="R506" s="977"/>
      <c r="S506" s="977"/>
      <c r="T506" s="977"/>
      <c r="U506" s="977"/>
      <c r="V506" s="977"/>
      <c r="W506" s="977"/>
      <c r="X506" s="977"/>
      <c r="Y506" s="977"/>
    </row>
    <row r="507" spans="1:25" x14ac:dyDescent="0.2">
      <c r="A507" s="976"/>
      <c r="B507" s="976"/>
      <c r="C507" s="976"/>
      <c r="D507" s="976"/>
      <c r="E507" s="976"/>
      <c r="R507" s="977"/>
      <c r="S507" s="977"/>
      <c r="T507" s="977"/>
      <c r="U507" s="977"/>
      <c r="V507" s="977"/>
      <c r="W507" s="977"/>
      <c r="X507" s="977"/>
      <c r="Y507" s="977"/>
    </row>
    <row r="508" spans="1:25" x14ac:dyDescent="0.2">
      <c r="A508" s="976"/>
      <c r="B508" s="976"/>
      <c r="C508" s="976"/>
      <c r="D508" s="976"/>
      <c r="E508" s="976"/>
      <c r="R508" s="977"/>
      <c r="S508" s="977"/>
      <c r="T508" s="977"/>
      <c r="U508" s="977"/>
      <c r="V508" s="977"/>
      <c r="W508" s="977"/>
      <c r="X508" s="977"/>
      <c r="Y508" s="977"/>
    </row>
    <row r="509" spans="1:25" x14ac:dyDescent="0.2">
      <c r="A509" s="976"/>
      <c r="B509" s="976"/>
      <c r="C509" s="976"/>
      <c r="D509" s="976"/>
      <c r="E509" s="976"/>
      <c r="R509" s="977"/>
      <c r="S509" s="977"/>
      <c r="T509" s="977"/>
      <c r="U509" s="977"/>
      <c r="V509" s="977"/>
      <c r="W509" s="977"/>
      <c r="X509" s="977"/>
      <c r="Y509" s="977"/>
    </row>
    <row r="510" spans="1:25" x14ac:dyDescent="0.2">
      <c r="A510" s="976"/>
      <c r="B510" s="976"/>
      <c r="C510" s="976"/>
      <c r="D510" s="976"/>
      <c r="E510" s="976"/>
      <c r="R510" s="977"/>
      <c r="S510" s="977"/>
      <c r="T510" s="977"/>
      <c r="U510" s="977"/>
      <c r="V510" s="977"/>
      <c r="W510" s="977"/>
      <c r="X510" s="977"/>
      <c r="Y510" s="977"/>
    </row>
    <row r="511" spans="1:25" x14ac:dyDescent="0.2">
      <c r="A511" s="976"/>
      <c r="B511" s="976"/>
      <c r="C511" s="976"/>
      <c r="D511" s="976"/>
      <c r="E511" s="976"/>
      <c r="R511" s="977"/>
      <c r="S511" s="977"/>
      <c r="T511" s="977"/>
      <c r="U511" s="977"/>
      <c r="V511" s="977"/>
      <c r="W511" s="977"/>
      <c r="X511" s="977"/>
      <c r="Y511" s="977"/>
    </row>
    <row r="512" spans="1:25" x14ac:dyDescent="0.2">
      <c r="A512" s="976"/>
      <c r="B512" s="976"/>
      <c r="C512" s="976"/>
      <c r="D512" s="976"/>
      <c r="E512" s="976"/>
      <c r="R512" s="977"/>
      <c r="S512" s="977"/>
      <c r="T512" s="977"/>
      <c r="U512" s="977"/>
      <c r="V512" s="977"/>
      <c r="W512" s="977"/>
      <c r="X512" s="977"/>
      <c r="Y512" s="977"/>
    </row>
    <row r="513" spans="1:25" x14ac:dyDescent="0.2">
      <c r="A513" s="976"/>
      <c r="B513" s="976"/>
      <c r="C513" s="976"/>
      <c r="D513" s="976"/>
      <c r="E513" s="976"/>
      <c r="R513" s="977"/>
      <c r="S513" s="977"/>
      <c r="T513" s="977"/>
      <c r="U513" s="977"/>
      <c r="V513" s="977"/>
      <c r="W513" s="977"/>
      <c r="X513" s="977"/>
      <c r="Y513" s="977"/>
    </row>
    <row r="514" spans="1:25" x14ac:dyDescent="0.2">
      <c r="A514" s="976"/>
      <c r="B514" s="976"/>
      <c r="C514" s="976"/>
      <c r="D514" s="976"/>
      <c r="E514" s="976"/>
      <c r="R514" s="977"/>
      <c r="S514" s="977"/>
      <c r="T514" s="977"/>
      <c r="U514" s="977"/>
      <c r="V514" s="977"/>
      <c r="W514" s="977"/>
      <c r="X514" s="977"/>
      <c r="Y514" s="977"/>
    </row>
    <row r="515" spans="1:25" x14ac:dyDescent="0.2">
      <c r="A515" s="976"/>
      <c r="B515" s="976"/>
      <c r="C515" s="976"/>
      <c r="D515" s="976"/>
      <c r="E515" s="976"/>
      <c r="R515" s="977"/>
      <c r="S515" s="977"/>
      <c r="T515" s="977"/>
      <c r="U515" s="977"/>
      <c r="V515" s="977"/>
      <c r="W515" s="977"/>
      <c r="X515" s="977"/>
      <c r="Y515" s="977"/>
    </row>
    <row r="516" spans="1:25" x14ac:dyDescent="0.2">
      <c r="A516" s="976"/>
      <c r="B516" s="976"/>
      <c r="C516" s="976"/>
      <c r="D516" s="976"/>
      <c r="E516" s="976"/>
      <c r="R516" s="977"/>
      <c r="S516" s="977"/>
      <c r="T516" s="977"/>
      <c r="U516" s="977"/>
      <c r="V516" s="977"/>
      <c r="W516" s="977"/>
      <c r="X516" s="977"/>
      <c r="Y516" s="977"/>
    </row>
    <row r="517" spans="1:25" x14ac:dyDescent="0.2">
      <c r="A517" s="976"/>
      <c r="B517" s="976"/>
      <c r="C517" s="976"/>
      <c r="D517" s="976"/>
      <c r="E517" s="976"/>
      <c r="R517" s="977"/>
      <c r="S517" s="977"/>
      <c r="T517" s="977"/>
      <c r="U517" s="977"/>
      <c r="V517" s="977"/>
      <c r="W517" s="977"/>
      <c r="X517" s="977"/>
      <c r="Y517" s="977"/>
    </row>
    <row r="518" spans="1:25" x14ac:dyDescent="0.2">
      <c r="A518" s="976"/>
      <c r="B518" s="976"/>
      <c r="C518" s="976"/>
      <c r="D518" s="976"/>
      <c r="E518" s="976"/>
      <c r="R518" s="977"/>
      <c r="S518" s="977"/>
      <c r="T518" s="977"/>
      <c r="U518" s="977"/>
      <c r="V518" s="977"/>
      <c r="W518" s="977"/>
      <c r="X518" s="977"/>
      <c r="Y518" s="977"/>
    </row>
    <row r="519" spans="1:25" x14ac:dyDescent="0.2">
      <c r="A519" s="976"/>
      <c r="B519" s="976"/>
      <c r="C519" s="976"/>
      <c r="D519" s="976"/>
      <c r="E519" s="976"/>
      <c r="R519" s="977"/>
      <c r="S519" s="977"/>
      <c r="T519" s="977"/>
      <c r="U519" s="977"/>
      <c r="V519" s="977"/>
      <c r="W519" s="977"/>
      <c r="X519" s="977"/>
      <c r="Y519" s="977"/>
    </row>
    <row r="520" spans="1:25" x14ac:dyDescent="0.2">
      <c r="A520" s="976"/>
      <c r="B520" s="976"/>
      <c r="C520" s="976"/>
      <c r="D520" s="976"/>
      <c r="E520" s="976"/>
      <c r="R520" s="977"/>
      <c r="S520" s="977"/>
      <c r="T520" s="977"/>
      <c r="U520" s="977"/>
      <c r="V520" s="977"/>
      <c r="W520" s="977"/>
      <c r="X520" s="977"/>
      <c r="Y520" s="977"/>
    </row>
    <row r="521" spans="1:25" x14ac:dyDescent="0.2">
      <c r="A521" s="976"/>
      <c r="B521" s="976"/>
      <c r="C521" s="976"/>
      <c r="D521" s="976"/>
      <c r="E521" s="976"/>
      <c r="R521" s="977"/>
      <c r="S521" s="977"/>
      <c r="T521" s="977"/>
      <c r="U521" s="977"/>
      <c r="V521" s="977"/>
      <c r="W521" s="977"/>
      <c r="X521" s="977"/>
      <c r="Y521" s="977"/>
    </row>
    <row r="522" spans="1:25" x14ac:dyDescent="0.2">
      <c r="A522" s="976"/>
      <c r="B522" s="976"/>
      <c r="C522" s="976"/>
      <c r="D522" s="976"/>
      <c r="E522" s="976"/>
      <c r="R522" s="977"/>
      <c r="S522" s="977"/>
      <c r="T522" s="977"/>
      <c r="U522" s="977"/>
      <c r="V522" s="977"/>
      <c r="W522" s="977"/>
      <c r="X522" s="977"/>
      <c r="Y522" s="977"/>
    </row>
    <row r="523" spans="1:25" x14ac:dyDescent="0.2">
      <c r="A523" s="976"/>
      <c r="B523" s="976"/>
      <c r="C523" s="976"/>
      <c r="D523" s="976"/>
      <c r="E523" s="976"/>
      <c r="R523" s="977"/>
      <c r="S523" s="977"/>
      <c r="T523" s="977"/>
      <c r="U523" s="977"/>
      <c r="V523" s="977"/>
      <c r="W523" s="977"/>
      <c r="X523" s="977"/>
      <c r="Y523" s="977"/>
    </row>
    <row r="524" spans="1:25" x14ac:dyDescent="0.2">
      <c r="A524" s="976"/>
      <c r="B524" s="976"/>
      <c r="C524" s="976"/>
      <c r="D524" s="976"/>
      <c r="E524" s="976"/>
      <c r="R524" s="977"/>
      <c r="S524" s="977"/>
      <c r="T524" s="977"/>
      <c r="U524" s="977"/>
      <c r="V524" s="977"/>
      <c r="W524" s="977"/>
      <c r="X524" s="977"/>
      <c r="Y524" s="977"/>
    </row>
    <row r="525" spans="1:25" x14ac:dyDescent="0.2">
      <c r="A525" s="976"/>
      <c r="B525" s="976"/>
      <c r="C525" s="976"/>
      <c r="D525" s="976"/>
      <c r="E525" s="976"/>
      <c r="R525" s="977"/>
      <c r="S525" s="977"/>
      <c r="T525" s="977"/>
      <c r="U525" s="977"/>
      <c r="V525" s="977"/>
      <c r="W525" s="977"/>
      <c r="X525" s="977"/>
      <c r="Y525" s="977"/>
    </row>
    <row r="526" spans="1:25" x14ac:dyDescent="0.2">
      <c r="A526" s="976"/>
      <c r="B526" s="976"/>
      <c r="C526" s="976"/>
      <c r="D526" s="976"/>
      <c r="E526" s="976"/>
      <c r="R526" s="977"/>
      <c r="S526" s="977"/>
      <c r="T526" s="977"/>
      <c r="U526" s="977"/>
      <c r="V526" s="977"/>
      <c r="W526" s="977"/>
      <c r="X526" s="977"/>
      <c r="Y526" s="977"/>
    </row>
    <row r="527" spans="1:25" x14ac:dyDescent="0.2">
      <c r="A527" s="976"/>
      <c r="B527" s="976"/>
      <c r="C527" s="976"/>
      <c r="D527" s="976"/>
      <c r="E527" s="976"/>
      <c r="R527" s="977"/>
      <c r="S527" s="977"/>
      <c r="T527" s="977"/>
      <c r="U527" s="977"/>
      <c r="V527" s="977"/>
      <c r="W527" s="977"/>
      <c r="X527" s="977"/>
      <c r="Y527" s="977"/>
    </row>
    <row r="528" spans="1:25" x14ac:dyDescent="0.2">
      <c r="A528" s="976"/>
      <c r="B528" s="976"/>
      <c r="C528" s="976"/>
      <c r="D528" s="976"/>
      <c r="E528" s="976"/>
      <c r="R528" s="977"/>
      <c r="S528" s="977"/>
      <c r="T528" s="977"/>
      <c r="U528" s="977"/>
      <c r="V528" s="977"/>
      <c r="W528" s="977"/>
      <c r="X528" s="977"/>
      <c r="Y528" s="977"/>
    </row>
    <row r="529" spans="1:25" x14ac:dyDescent="0.2">
      <c r="A529" s="976"/>
      <c r="B529" s="976"/>
      <c r="C529" s="976"/>
      <c r="D529" s="976"/>
      <c r="E529" s="976"/>
      <c r="R529" s="977"/>
      <c r="S529" s="977"/>
      <c r="T529" s="977"/>
      <c r="U529" s="977"/>
      <c r="V529" s="977"/>
      <c r="W529" s="977"/>
      <c r="X529" s="977"/>
      <c r="Y529" s="977"/>
    </row>
    <row r="530" spans="1:25" x14ac:dyDescent="0.2">
      <c r="A530" s="976"/>
      <c r="B530" s="976"/>
      <c r="C530" s="976"/>
      <c r="D530" s="976"/>
      <c r="E530" s="976"/>
      <c r="R530" s="977"/>
      <c r="S530" s="977"/>
      <c r="T530" s="977"/>
      <c r="U530" s="977"/>
      <c r="V530" s="977"/>
      <c r="W530" s="977"/>
      <c r="X530" s="977"/>
      <c r="Y530" s="977"/>
    </row>
    <row r="531" spans="1:25" x14ac:dyDescent="0.2">
      <c r="A531" s="976"/>
      <c r="B531" s="976"/>
      <c r="C531" s="976"/>
      <c r="D531" s="976"/>
      <c r="E531" s="976"/>
      <c r="R531" s="977"/>
      <c r="S531" s="977"/>
      <c r="T531" s="977"/>
      <c r="U531" s="977"/>
      <c r="V531" s="977"/>
      <c r="W531" s="977"/>
      <c r="X531" s="977"/>
      <c r="Y531" s="977"/>
    </row>
    <row r="532" spans="1:25" x14ac:dyDescent="0.2">
      <c r="A532" s="976"/>
      <c r="B532" s="976"/>
      <c r="C532" s="976"/>
      <c r="D532" s="976"/>
      <c r="E532" s="976"/>
      <c r="R532" s="977"/>
      <c r="S532" s="977"/>
      <c r="T532" s="977"/>
      <c r="U532" s="977"/>
      <c r="V532" s="977"/>
      <c r="W532" s="977"/>
      <c r="X532" s="977"/>
      <c r="Y532" s="977"/>
    </row>
    <row r="533" spans="1:25" x14ac:dyDescent="0.2">
      <c r="A533" s="976"/>
      <c r="B533" s="976"/>
      <c r="C533" s="976"/>
      <c r="D533" s="976"/>
      <c r="E533" s="976"/>
      <c r="R533" s="977"/>
      <c r="S533" s="977"/>
      <c r="T533" s="977"/>
      <c r="U533" s="977"/>
      <c r="V533" s="977"/>
      <c r="W533" s="977"/>
      <c r="X533" s="977"/>
      <c r="Y533" s="977"/>
    </row>
    <row r="534" spans="1:25" x14ac:dyDescent="0.2">
      <c r="A534" s="976"/>
      <c r="B534" s="976"/>
      <c r="C534" s="976"/>
      <c r="D534" s="976"/>
      <c r="E534" s="976"/>
      <c r="R534" s="977"/>
      <c r="S534" s="977"/>
      <c r="T534" s="977"/>
      <c r="U534" s="977"/>
      <c r="V534" s="977"/>
      <c r="W534" s="977"/>
      <c r="X534" s="977"/>
      <c r="Y534" s="977"/>
    </row>
    <row r="535" spans="1:25" x14ac:dyDescent="0.2">
      <c r="A535" s="976"/>
      <c r="B535" s="976"/>
      <c r="C535" s="976"/>
      <c r="D535" s="976"/>
      <c r="E535" s="976"/>
      <c r="R535" s="977"/>
      <c r="S535" s="977"/>
      <c r="T535" s="977"/>
      <c r="U535" s="977"/>
      <c r="V535" s="977"/>
      <c r="W535" s="977"/>
      <c r="X535" s="977"/>
      <c r="Y535" s="977"/>
    </row>
    <row r="536" spans="1:25" x14ac:dyDescent="0.2">
      <c r="A536" s="976"/>
      <c r="B536" s="976"/>
      <c r="C536" s="976"/>
      <c r="D536" s="976"/>
      <c r="E536" s="976"/>
      <c r="R536" s="977"/>
      <c r="S536" s="977"/>
      <c r="T536" s="977"/>
      <c r="U536" s="977"/>
      <c r="V536" s="977"/>
      <c r="W536" s="977"/>
      <c r="X536" s="977"/>
      <c r="Y536" s="977"/>
    </row>
    <row r="537" spans="1:25" x14ac:dyDescent="0.2">
      <c r="A537" s="976"/>
      <c r="B537" s="976"/>
      <c r="C537" s="976"/>
      <c r="D537" s="976"/>
      <c r="E537" s="976"/>
      <c r="R537" s="977"/>
      <c r="S537" s="977"/>
      <c r="T537" s="977"/>
      <c r="U537" s="977"/>
      <c r="V537" s="977"/>
      <c r="W537" s="977"/>
      <c r="X537" s="977"/>
      <c r="Y537" s="977"/>
    </row>
    <row r="538" spans="1:25" x14ac:dyDescent="0.2">
      <c r="A538" s="976"/>
      <c r="B538" s="976"/>
      <c r="C538" s="976"/>
      <c r="D538" s="976"/>
      <c r="E538" s="976"/>
      <c r="R538" s="977"/>
      <c r="S538" s="977"/>
      <c r="T538" s="977"/>
      <c r="U538" s="977"/>
      <c r="V538" s="977"/>
      <c r="W538" s="977"/>
      <c r="X538" s="977"/>
      <c r="Y538" s="977"/>
    </row>
    <row r="539" spans="1:25" x14ac:dyDescent="0.2">
      <c r="A539" s="976"/>
      <c r="B539" s="976"/>
      <c r="C539" s="976"/>
      <c r="D539" s="976"/>
      <c r="E539" s="976"/>
      <c r="R539" s="977"/>
      <c r="S539" s="977"/>
      <c r="T539" s="977"/>
      <c r="U539" s="977"/>
      <c r="V539" s="977"/>
      <c r="W539" s="977"/>
      <c r="X539" s="977"/>
      <c r="Y539" s="977"/>
    </row>
    <row r="540" spans="1:25" x14ac:dyDescent="0.2">
      <c r="A540" s="976"/>
      <c r="B540" s="976"/>
      <c r="C540" s="976"/>
      <c r="D540" s="976"/>
      <c r="E540" s="976"/>
      <c r="R540" s="977"/>
      <c r="S540" s="977"/>
      <c r="T540" s="977"/>
      <c r="U540" s="977"/>
      <c r="V540" s="977"/>
      <c r="W540" s="977"/>
      <c r="X540" s="977"/>
      <c r="Y540" s="977"/>
    </row>
    <row r="541" spans="1:25" x14ac:dyDescent="0.2">
      <c r="A541" s="976"/>
      <c r="B541" s="976"/>
      <c r="C541" s="976"/>
      <c r="D541" s="976"/>
      <c r="E541" s="976"/>
      <c r="R541" s="977"/>
      <c r="S541" s="977"/>
      <c r="T541" s="977"/>
      <c r="U541" s="977"/>
      <c r="V541" s="977"/>
      <c r="W541" s="977"/>
      <c r="X541" s="977"/>
      <c r="Y541" s="977"/>
    </row>
    <row r="542" spans="1:25" x14ac:dyDescent="0.2">
      <c r="A542" s="976"/>
      <c r="B542" s="976"/>
      <c r="C542" s="976"/>
      <c r="D542" s="976"/>
      <c r="E542" s="976"/>
      <c r="R542" s="977"/>
      <c r="S542" s="977"/>
      <c r="T542" s="977"/>
      <c r="U542" s="977"/>
      <c r="V542" s="977"/>
      <c r="W542" s="977"/>
      <c r="X542" s="977"/>
      <c r="Y542" s="977"/>
    </row>
    <row r="543" spans="1:25" x14ac:dyDescent="0.2">
      <c r="A543" s="976"/>
      <c r="B543" s="976"/>
      <c r="C543" s="976"/>
      <c r="D543" s="976"/>
      <c r="E543" s="976"/>
      <c r="R543" s="977"/>
      <c r="S543" s="977"/>
      <c r="T543" s="977"/>
      <c r="U543" s="977"/>
      <c r="V543" s="977"/>
      <c r="W543" s="977"/>
      <c r="X543" s="977"/>
      <c r="Y543" s="977"/>
    </row>
    <row r="544" spans="1:25" x14ac:dyDescent="0.2">
      <c r="A544" s="976"/>
      <c r="B544" s="976"/>
      <c r="C544" s="976"/>
      <c r="D544" s="976"/>
      <c r="E544" s="976"/>
      <c r="R544" s="977"/>
      <c r="S544" s="977"/>
      <c r="T544" s="977"/>
      <c r="U544" s="977"/>
      <c r="V544" s="977"/>
      <c r="W544" s="977"/>
      <c r="X544" s="977"/>
      <c r="Y544" s="977"/>
    </row>
    <row r="545" spans="1:25" x14ac:dyDescent="0.2">
      <c r="A545" s="976"/>
      <c r="B545" s="976"/>
      <c r="C545" s="976"/>
      <c r="D545" s="976"/>
      <c r="E545" s="976"/>
      <c r="R545" s="977"/>
      <c r="S545" s="977"/>
      <c r="T545" s="977"/>
      <c r="U545" s="977"/>
      <c r="V545" s="977"/>
      <c r="W545" s="977"/>
      <c r="X545" s="977"/>
      <c r="Y545" s="977"/>
    </row>
    <row r="546" spans="1:25" x14ac:dyDescent="0.2">
      <c r="A546" s="976"/>
      <c r="B546" s="976"/>
      <c r="C546" s="976"/>
      <c r="D546" s="976"/>
      <c r="E546" s="976"/>
      <c r="R546" s="977"/>
      <c r="S546" s="977"/>
      <c r="T546" s="977"/>
      <c r="U546" s="977"/>
      <c r="V546" s="977"/>
      <c r="W546" s="977"/>
      <c r="X546" s="977"/>
      <c r="Y546" s="977"/>
    </row>
    <row r="547" spans="1:25" x14ac:dyDescent="0.2">
      <c r="A547" s="976"/>
      <c r="B547" s="976"/>
      <c r="C547" s="976"/>
      <c r="D547" s="976"/>
      <c r="E547" s="976"/>
      <c r="R547" s="977"/>
      <c r="S547" s="977"/>
      <c r="T547" s="977"/>
      <c r="U547" s="977"/>
      <c r="V547" s="977"/>
      <c r="W547" s="977"/>
      <c r="X547" s="977"/>
      <c r="Y547" s="977"/>
    </row>
    <row r="548" spans="1:25" x14ac:dyDescent="0.2">
      <c r="A548" s="976"/>
      <c r="B548" s="976"/>
      <c r="C548" s="976"/>
      <c r="D548" s="976"/>
      <c r="E548" s="976"/>
      <c r="R548" s="977"/>
      <c r="S548" s="977"/>
      <c r="T548" s="977"/>
      <c r="U548" s="977"/>
      <c r="V548" s="977"/>
      <c r="W548" s="977"/>
      <c r="X548" s="977"/>
      <c r="Y548" s="977"/>
    </row>
    <row r="549" spans="1:25" x14ac:dyDescent="0.2">
      <c r="A549" s="976"/>
      <c r="B549" s="976"/>
      <c r="C549" s="976"/>
      <c r="D549" s="976"/>
      <c r="E549" s="976"/>
      <c r="R549" s="977"/>
      <c r="S549" s="977"/>
      <c r="T549" s="977"/>
      <c r="U549" s="977"/>
      <c r="V549" s="977"/>
      <c r="W549" s="977"/>
      <c r="X549" s="977"/>
      <c r="Y549" s="977"/>
    </row>
    <row r="550" spans="1:25" x14ac:dyDescent="0.2">
      <c r="A550" s="976"/>
      <c r="B550" s="976"/>
      <c r="C550" s="976"/>
      <c r="D550" s="976"/>
      <c r="E550" s="976"/>
      <c r="R550" s="977"/>
      <c r="S550" s="977"/>
      <c r="T550" s="977"/>
      <c r="U550" s="977"/>
      <c r="V550" s="977"/>
      <c r="W550" s="977"/>
      <c r="X550" s="977"/>
      <c r="Y550" s="977"/>
    </row>
    <row r="551" spans="1:25" x14ac:dyDescent="0.2">
      <c r="A551" s="976"/>
      <c r="B551" s="976"/>
      <c r="C551" s="976"/>
      <c r="D551" s="976"/>
      <c r="E551" s="976"/>
      <c r="R551" s="977"/>
      <c r="S551" s="977"/>
      <c r="T551" s="977"/>
      <c r="U551" s="977"/>
      <c r="V551" s="977"/>
      <c r="W551" s="977"/>
      <c r="X551" s="977"/>
      <c r="Y551" s="977"/>
    </row>
    <row r="552" spans="1:25" x14ac:dyDescent="0.2">
      <c r="A552" s="976"/>
      <c r="B552" s="976"/>
      <c r="C552" s="976"/>
      <c r="D552" s="976"/>
      <c r="E552" s="976"/>
      <c r="R552" s="977"/>
      <c r="S552" s="977"/>
      <c r="T552" s="977"/>
      <c r="U552" s="977"/>
      <c r="V552" s="977"/>
      <c r="W552" s="977"/>
      <c r="X552" s="977"/>
      <c r="Y552" s="977"/>
    </row>
    <row r="553" spans="1:25" x14ac:dyDescent="0.2">
      <c r="A553" s="976"/>
      <c r="B553" s="976"/>
      <c r="C553" s="976"/>
      <c r="D553" s="976"/>
      <c r="E553" s="976"/>
      <c r="R553" s="977"/>
      <c r="S553" s="977"/>
      <c r="T553" s="977"/>
      <c r="U553" s="977"/>
      <c r="V553" s="977"/>
      <c r="W553" s="977"/>
      <c r="X553" s="977"/>
      <c r="Y553" s="977"/>
    </row>
    <row r="554" spans="1:25" x14ac:dyDescent="0.2">
      <c r="A554" s="976"/>
      <c r="B554" s="976"/>
      <c r="C554" s="976"/>
      <c r="D554" s="976"/>
      <c r="E554" s="976"/>
      <c r="R554" s="977"/>
      <c r="S554" s="977"/>
      <c r="T554" s="977"/>
      <c r="U554" s="977"/>
      <c r="V554" s="977"/>
      <c r="W554" s="977"/>
      <c r="X554" s="977"/>
      <c r="Y554" s="977"/>
    </row>
    <row r="555" spans="1:25" x14ac:dyDescent="0.2">
      <c r="A555" s="976"/>
      <c r="B555" s="976"/>
      <c r="C555" s="976"/>
      <c r="D555" s="976"/>
      <c r="E555" s="976"/>
      <c r="R555" s="977"/>
      <c r="S555" s="977"/>
      <c r="T555" s="977"/>
      <c r="U555" s="977"/>
      <c r="V555" s="977"/>
      <c r="W555" s="977"/>
      <c r="X555" s="977"/>
      <c r="Y555" s="977"/>
    </row>
    <row r="556" spans="1:25" x14ac:dyDescent="0.2">
      <c r="A556" s="976"/>
      <c r="B556" s="976"/>
      <c r="C556" s="976"/>
      <c r="D556" s="976"/>
      <c r="E556" s="976"/>
      <c r="R556" s="977"/>
      <c r="S556" s="977"/>
      <c r="T556" s="977"/>
      <c r="U556" s="977"/>
      <c r="V556" s="977"/>
      <c r="W556" s="977"/>
      <c r="X556" s="977"/>
      <c r="Y556" s="977"/>
    </row>
    <row r="557" spans="1:25" x14ac:dyDescent="0.2">
      <c r="A557" s="976"/>
      <c r="B557" s="976"/>
      <c r="C557" s="976"/>
      <c r="D557" s="976"/>
      <c r="E557" s="976"/>
      <c r="R557" s="977"/>
      <c r="S557" s="977"/>
      <c r="T557" s="977"/>
      <c r="U557" s="977"/>
      <c r="V557" s="977"/>
      <c r="W557" s="977"/>
      <c r="X557" s="977"/>
      <c r="Y557" s="977"/>
    </row>
    <row r="558" spans="1:25" x14ac:dyDescent="0.2">
      <c r="A558" s="976"/>
      <c r="B558" s="976"/>
      <c r="C558" s="976"/>
      <c r="D558" s="976"/>
      <c r="E558" s="976"/>
      <c r="R558" s="977"/>
      <c r="S558" s="977"/>
      <c r="T558" s="977"/>
      <c r="U558" s="977"/>
      <c r="V558" s="977"/>
      <c r="W558" s="977"/>
      <c r="X558" s="977"/>
      <c r="Y558" s="977"/>
    </row>
    <row r="559" spans="1:25" x14ac:dyDescent="0.2">
      <c r="A559" s="976"/>
      <c r="B559" s="976"/>
      <c r="C559" s="976"/>
      <c r="D559" s="976"/>
      <c r="E559" s="976"/>
      <c r="R559" s="977"/>
      <c r="S559" s="977"/>
      <c r="T559" s="977"/>
      <c r="U559" s="977"/>
      <c r="V559" s="977"/>
      <c r="W559" s="977"/>
      <c r="X559" s="977"/>
      <c r="Y559" s="977"/>
    </row>
    <row r="560" spans="1:25" x14ac:dyDescent="0.2">
      <c r="A560" s="976"/>
      <c r="B560" s="976"/>
      <c r="C560" s="976"/>
      <c r="D560" s="976"/>
      <c r="E560" s="976"/>
      <c r="R560" s="977"/>
      <c r="S560" s="977"/>
      <c r="T560" s="977"/>
      <c r="U560" s="977"/>
      <c r="V560" s="977"/>
      <c r="W560" s="977"/>
      <c r="X560" s="977"/>
      <c r="Y560" s="977"/>
    </row>
    <row r="561" spans="1:25" x14ac:dyDescent="0.2">
      <c r="A561" s="976"/>
      <c r="B561" s="976"/>
      <c r="C561" s="976"/>
      <c r="D561" s="976"/>
      <c r="E561" s="976"/>
      <c r="R561" s="977"/>
      <c r="S561" s="977"/>
      <c r="T561" s="977"/>
      <c r="U561" s="977"/>
      <c r="V561" s="977"/>
      <c r="W561" s="977"/>
      <c r="X561" s="977"/>
      <c r="Y561" s="977"/>
    </row>
    <row r="562" spans="1:25" x14ac:dyDescent="0.2">
      <c r="A562" s="976"/>
      <c r="B562" s="976"/>
      <c r="C562" s="976"/>
      <c r="D562" s="976"/>
      <c r="E562" s="976"/>
      <c r="R562" s="977"/>
      <c r="S562" s="977"/>
      <c r="T562" s="977"/>
      <c r="U562" s="977"/>
      <c r="V562" s="977"/>
      <c r="W562" s="977"/>
      <c r="X562" s="977"/>
      <c r="Y562" s="977"/>
    </row>
    <row r="563" spans="1:25" x14ac:dyDescent="0.2">
      <c r="A563" s="976"/>
      <c r="B563" s="976"/>
      <c r="C563" s="976"/>
      <c r="D563" s="976"/>
      <c r="E563" s="976"/>
      <c r="R563" s="977"/>
      <c r="S563" s="977"/>
      <c r="T563" s="977"/>
      <c r="U563" s="977"/>
      <c r="V563" s="977"/>
      <c r="W563" s="977"/>
      <c r="X563" s="977"/>
      <c r="Y563" s="977"/>
    </row>
    <row r="564" spans="1:25" x14ac:dyDescent="0.2">
      <c r="A564" s="976"/>
      <c r="B564" s="976"/>
      <c r="C564" s="976"/>
      <c r="D564" s="976"/>
      <c r="E564" s="976"/>
      <c r="R564" s="977"/>
      <c r="S564" s="977"/>
      <c r="T564" s="977"/>
      <c r="U564" s="977"/>
      <c r="V564" s="977"/>
      <c r="W564" s="977"/>
      <c r="X564" s="977"/>
      <c r="Y564" s="977"/>
    </row>
    <row r="565" spans="1:25" x14ac:dyDescent="0.2">
      <c r="A565" s="976"/>
      <c r="B565" s="976"/>
      <c r="C565" s="976"/>
      <c r="D565" s="976"/>
      <c r="E565" s="976"/>
      <c r="R565" s="977"/>
      <c r="S565" s="977"/>
      <c r="T565" s="977"/>
      <c r="U565" s="977"/>
      <c r="V565" s="977"/>
      <c r="W565" s="977"/>
      <c r="X565" s="977"/>
      <c r="Y565" s="977"/>
    </row>
    <row r="566" spans="1:25" x14ac:dyDescent="0.2">
      <c r="A566" s="976"/>
      <c r="B566" s="976"/>
      <c r="C566" s="976"/>
      <c r="D566" s="976"/>
      <c r="E566" s="976"/>
      <c r="R566" s="977"/>
      <c r="S566" s="977"/>
      <c r="T566" s="977"/>
      <c r="U566" s="977"/>
      <c r="V566" s="977"/>
      <c r="W566" s="977"/>
      <c r="X566" s="977"/>
      <c r="Y566" s="977"/>
    </row>
    <row r="567" spans="1:25" x14ac:dyDescent="0.2">
      <c r="A567" s="976"/>
      <c r="B567" s="976"/>
      <c r="C567" s="976"/>
      <c r="D567" s="976"/>
      <c r="E567" s="976"/>
      <c r="R567" s="977"/>
      <c r="S567" s="977"/>
      <c r="T567" s="977"/>
      <c r="U567" s="977"/>
      <c r="V567" s="977"/>
      <c r="W567" s="977"/>
      <c r="X567" s="977"/>
      <c r="Y567" s="977"/>
    </row>
    <row r="568" spans="1:25" x14ac:dyDescent="0.2">
      <c r="A568" s="976"/>
      <c r="B568" s="976"/>
      <c r="C568" s="976"/>
      <c r="D568" s="976"/>
      <c r="E568" s="976"/>
      <c r="R568" s="977"/>
      <c r="S568" s="977"/>
      <c r="T568" s="977"/>
      <c r="U568" s="977"/>
      <c r="V568" s="977"/>
      <c r="W568" s="977"/>
      <c r="X568" s="977"/>
      <c r="Y568" s="977"/>
    </row>
    <row r="569" spans="1:25" x14ac:dyDescent="0.2">
      <c r="A569" s="976"/>
      <c r="B569" s="976"/>
      <c r="C569" s="976"/>
      <c r="D569" s="976"/>
      <c r="E569" s="976"/>
      <c r="R569" s="977"/>
      <c r="S569" s="977"/>
      <c r="T569" s="977"/>
      <c r="U569" s="977"/>
      <c r="V569" s="977"/>
      <c r="W569" s="977"/>
      <c r="X569" s="977"/>
      <c r="Y569" s="977"/>
    </row>
    <row r="570" spans="1:25" x14ac:dyDescent="0.2">
      <c r="A570" s="976"/>
      <c r="B570" s="976"/>
      <c r="C570" s="976"/>
      <c r="D570" s="976"/>
      <c r="E570" s="976"/>
      <c r="R570" s="977"/>
      <c r="S570" s="977"/>
      <c r="T570" s="977"/>
      <c r="U570" s="977"/>
      <c r="V570" s="977"/>
      <c r="W570" s="977"/>
      <c r="X570" s="977"/>
      <c r="Y570" s="977"/>
    </row>
    <row r="571" spans="1:25" x14ac:dyDescent="0.2">
      <c r="A571" s="976"/>
      <c r="B571" s="976"/>
      <c r="C571" s="976"/>
      <c r="D571" s="976"/>
      <c r="E571" s="976"/>
      <c r="R571" s="977"/>
      <c r="S571" s="977"/>
      <c r="T571" s="977"/>
      <c r="U571" s="977"/>
      <c r="V571" s="977"/>
      <c r="W571" s="977"/>
      <c r="X571" s="977"/>
      <c r="Y571" s="977"/>
    </row>
    <row r="572" spans="1:25" x14ac:dyDescent="0.2">
      <c r="A572" s="976"/>
      <c r="B572" s="976"/>
      <c r="C572" s="976"/>
      <c r="D572" s="976"/>
      <c r="E572" s="976"/>
      <c r="R572" s="977"/>
      <c r="S572" s="977"/>
      <c r="T572" s="977"/>
      <c r="U572" s="977"/>
      <c r="V572" s="977"/>
      <c r="W572" s="977"/>
      <c r="X572" s="977"/>
      <c r="Y572" s="977"/>
    </row>
    <row r="573" spans="1:25" x14ac:dyDescent="0.2">
      <c r="A573" s="976"/>
      <c r="B573" s="976"/>
      <c r="C573" s="976"/>
      <c r="D573" s="976"/>
      <c r="E573" s="976"/>
      <c r="R573" s="977"/>
      <c r="S573" s="977"/>
      <c r="T573" s="977"/>
      <c r="U573" s="977"/>
      <c r="V573" s="977"/>
      <c r="W573" s="977"/>
      <c r="X573" s="977"/>
      <c r="Y573" s="977"/>
    </row>
    <row r="574" spans="1:25" x14ac:dyDescent="0.2">
      <c r="A574" s="976"/>
      <c r="B574" s="976"/>
      <c r="C574" s="976"/>
      <c r="D574" s="976"/>
      <c r="E574" s="976"/>
      <c r="R574" s="977"/>
      <c r="S574" s="977"/>
      <c r="T574" s="977"/>
      <c r="U574" s="977"/>
      <c r="V574" s="977"/>
      <c r="W574" s="977"/>
      <c r="X574" s="977"/>
      <c r="Y574" s="977"/>
    </row>
    <row r="575" spans="1:25" x14ac:dyDescent="0.2">
      <c r="A575" s="976"/>
      <c r="B575" s="976"/>
      <c r="C575" s="976"/>
      <c r="D575" s="976"/>
      <c r="E575" s="976"/>
      <c r="R575" s="977"/>
      <c r="S575" s="977"/>
      <c r="T575" s="977"/>
      <c r="U575" s="977"/>
      <c r="V575" s="977"/>
      <c r="W575" s="977"/>
      <c r="X575" s="977"/>
      <c r="Y575" s="977"/>
    </row>
    <row r="576" spans="1:25" x14ac:dyDescent="0.2">
      <c r="A576" s="976"/>
      <c r="B576" s="976"/>
      <c r="C576" s="976"/>
      <c r="D576" s="976"/>
      <c r="E576" s="976"/>
      <c r="R576" s="977"/>
      <c r="S576" s="977"/>
      <c r="T576" s="977"/>
      <c r="U576" s="977"/>
      <c r="V576" s="977"/>
      <c r="W576" s="977"/>
      <c r="X576" s="977"/>
      <c r="Y576" s="977"/>
    </row>
    <row r="577" spans="1:25" x14ac:dyDescent="0.2">
      <c r="A577" s="976"/>
      <c r="B577" s="976"/>
      <c r="C577" s="976"/>
      <c r="D577" s="976"/>
      <c r="E577" s="976"/>
      <c r="R577" s="977"/>
      <c r="S577" s="977"/>
      <c r="T577" s="977"/>
      <c r="U577" s="977"/>
      <c r="V577" s="977"/>
      <c r="W577" s="977"/>
      <c r="X577" s="977"/>
      <c r="Y577" s="977"/>
    </row>
    <row r="578" spans="1:25" x14ac:dyDescent="0.2">
      <c r="A578" s="976"/>
      <c r="B578" s="976"/>
      <c r="C578" s="976"/>
      <c r="D578" s="976"/>
      <c r="E578" s="976"/>
      <c r="R578" s="977"/>
      <c r="S578" s="977"/>
      <c r="T578" s="977"/>
      <c r="U578" s="977"/>
      <c r="V578" s="977"/>
      <c r="W578" s="977"/>
      <c r="X578" s="977"/>
      <c r="Y578" s="977"/>
    </row>
    <row r="579" spans="1:25" x14ac:dyDescent="0.2">
      <c r="A579" s="976"/>
      <c r="B579" s="976"/>
      <c r="C579" s="976"/>
      <c r="D579" s="976"/>
      <c r="E579" s="976"/>
      <c r="R579" s="977"/>
      <c r="S579" s="977"/>
      <c r="T579" s="977"/>
      <c r="U579" s="977"/>
      <c r="V579" s="977"/>
      <c r="W579" s="977"/>
      <c r="X579" s="977"/>
      <c r="Y579" s="977"/>
    </row>
    <row r="580" spans="1:25" x14ac:dyDescent="0.2">
      <c r="A580" s="976"/>
      <c r="B580" s="976"/>
      <c r="C580" s="976"/>
      <c r="D580" s="976"/>
      <c r="E580" s="976"/>
      <c r="R580" s="977"/>
      <c r="S580" s="977"/>
      <c r="T580" s="977"/>
      <c r="U580" s="977"/>
      <c r="V580" s="977"/>
      <c r="W580" s="977"/>
      <c r="X580" s="977"/>
      <c r="Y580" s="977"/>
    </row>
    <row r="581" spans="1:25" x14ac:dyDescent="0.2">
      <c r="A581" s="976"/>
      <c r="B581" s="976"/>
      <c r="C581" s="976"/>
      <c r="D581" s="976"/>
      <c r="E581" s="976"/>
      <c r="R581" s="977"/>
      <c r="S581" s="977"/>
      <c r="T581" s="977"/>
      <c r="U581" s="977"/>
      <c r="V581" s="977"/>
      <c r="W581" s="977"/>
      <c r="X581" s="977"/>
      <c r="Y581" s="977"/>
    </row>
    <row r="582" spans="1:25" x14ac:dyDescent="0.2">
      <c r="A582" s="976"/>
      <c r="B582" s="976"/>
      <c r="C582" s="976"/>
      <c r="D582" s="976"/>
      <c r="E582" s="976"/>
      <c r="R582" s="977"/>
      <c r="S582" s="977"/>
      <c r="T582" s="977"/>
      <c r="U582" s="977"/>
      <c r="V582" s="977"/>
      <c r="W582" s="977"/>
      <c r="X582" s="977"/>
      <c r="Y582" s="977"/>
    </row>
    <row r="583" spans="1:25" x14ac:dyDescent="0.2">
      <c r="A583" s="976"/>
      <c r="B583" s="976"/>
      <c r="C583" s="976"/>
      <c r="D583" s="976"/>
      <c r="E583" s="976"/>
      <c r="R583" s="977"/>
      <c r="S583" s="977"/>
      <c r="T583" s="977"/>
      <c r="U583" s="977"/>
      <c r="V583" s="977"/>
      <c r="W583" s="977"/>
      <c r="X583" s="977"/>
      <c r="Y583" s="977"/>
    </row>
    <row r="584" spans="1:25" x14ac:dyDescent="0.2">
      <c r="A584" s="976"/>
      <c r="B584" s="976"/>
      <c r="C584" s="976"/>
      <c r="D584" s="976"/>
      <c r="E584" s="976"/>
      <c r="R584" s="977"/>
      <c r="S584" s="977"/>
      <c r="T584" s="977"/>
      <c r="U584" s="977"/>
      <c r="V584" s="977"/>
      <c r="W584" s="977"/>
      <c r="X584" s="977"/>
      <c r="Y584" s="977"/>
    </row>
    <row r="585" spans="1:25" x14ac:dyDescent="0.2">
      <c r="A585" s="976"/>
      <c r="B585" s="976"/>
      <c r="C585" s="976"/>
      <c r="D585" s="976"/>
      <c r="E585" s="976"/>
      <c r="R585" s="977"/>
      <c r="S585" s="977"/>
      <c r="T585" s="977"/>
      <c r="U585" s="977"/>
      <c r="V585" s="977"/>
      <c r="W585" s="977"/>
      <c r="X585" s="977"/>
      <c r="Y585" s="977"/>
    </row>
    <row r="586" spans="1:25" x14ac:dyDescent="0.2">
      <c r="A586" s="976"/>
      <c r="B586" s="976"/>
      <c r="C586" s="976"/>
      <c r="D586" s="976"/>
      <c r="E586" s="976"/>
      <c r="R586" s="977"/>
      <c r="S586" s="977"/>
      <c r="T586" s="977"/>
      <c r="U586" s="977"/>
      <c r="V586" s="977"/>
      <c r="W586" s="977"/>
      <c r="X586" s="977"/>
      <c r="Y586" s="977"/>
    </row>
    <row r="587" spans="1:25" x14ac:dyDescent="0.2">
      <c r="A587" s="976"/>
      <c r="B587" s="976"/>
      <c r="C587" s="976"/>
      <c r="D587" s="976"/>
      <c r="E587" s="976"/>
      <c r="R587" s="977"/>
      <c r="S587" s="977"/>
      <c r="T587" s="977"/>
      <c r="U587" s="977"/>
      <c r="V587" s="977"/>
      <c r="W587" s="977"/>
      <c r="X587" s="977"/>
      <c r="Y587" s="977"/>
    </row>
    <row r="588" spans="1:25" x14ac:dyDescent="0.2">
      <c r="A588" s="976"/>
      <c r="B588" s="976"/>
      <c r="C588" s="976"/>
      <c r="D588" s="976"/>
      <c r="E588" s="976"/>
      <c r="R588" s="977"/>
      <c r="S588" s="977"/>
      <c r="T588" s="977"/>
      <c r="U588" s="977"/>
      <c r="V588" s="977"/>
      <c r="W588" s="977"/>
      <c r="X588" s="977"/>
      <c r="Y588" s="977"/>
    </row>
    <row r="589" spans="1:25" x14ac:dyDescent="0.2">
      <c r="A589" s="976"/>
      <c r="B589" s="976"/>
      <c r="C589" s="976"/>
      <c r="D589" s="976"/>
      <c r="E589" s="976"/>
      <c r="R589" s="977"/>
      <c r="S589" s="977"/>
      <c r="T589" s="977"/>
      <c r="U589" s="977"/>
      <c r="V589" s="977"/>
      <c r="W589" s="977"/>
      <c r="X589" s="977"/>
      <c r="Y589" s="977"/>
    </row>
    <row r="590" spans="1:25" x14ac:dyDescent="0.2">
      <c r="A590" s="976"/>
      <c r="B590" s="976"/>
      <c r="C590" s="976"/>
      <c r="D590" s="976"/>
      <c r="E590" s="976"/>
      <c r="R590" s="977"/>
      <c r="S590" s="977"/>
      <c r="T590" s="977"/>
      <c r="U590" s="977"/>
      <c r="V590" s="977"/>
      <c r="W590" s="977"/>
      <c r="X590" s="977"/>
      <c r="Y590" s="977"/>
    </row>
    <row r="591" spans="1:25" x14ac:dyDescent="0.2">
      <c r="A591" s="976"/>
      <c r="B591" s="976"/>
      <c r="C591" s="976"/>
      <c r="D591" s="976"/>
      <c r="E591" s="976"/>
      <c r="R591" s="977"/>
      <c r="S591" s="977"/>
      <c r="T591" s="977"/>
      <c r="U591" s="977"/>
      <c r="V591" s="977"/>
      <c r="W591" s="977"/>
      <c r="X591" s="977"/>
      <c r="Y591" s="977"/>
    </row>
    <row r="592" spans="1:25" x14ac:dyDescent="0.2">
      <c r="A592" s="976"/>
      <c r="B592" s="976"/>
      <c r="C592" s="976"/>
      <c r="D592" s="976"/>
      <c r="E592" s="976"/>
      <c r="R592" s="977"/>
      <c r="S592" s="977"/>
      <c r="T592" s="977"/>
      <c r="U592" s="977"/>
      <c r="V592" s="977"/>
      <c r="W592" s="977"/>
      <c r="X592" s="977"/>
      <c r="Y592" s="977"/>
    </row>
    <row r="593" spans="1:25" x14ac:dyDescent="0.2">
      <c r="A593" s="976"/>
      <c r="B593" s="976"/>
      <c r="C593" s="976"/>
      <c r="D593" s="976"/>
      <c r="E593" s="976"/>
      <c r="R593" s="977"/>
      <c r="S593" s="977"/>
      <c r="T593" s="977"/>
      <c r="U593" s="977"/>
      <c r="V593" s="977"/>
      <c r="W593" s="977"/>
      <c r="X593" s="977"/>
      <c r="Y593" s="977"/>
    </row>
    <row r="594" spans="1:25" x14ac:dyDescent="0.2">
      <c r="A594" s="976"/>
      <c r="B594" s="976"/>
      <c r="C594" s="976"/>
      <c r="D594" s="976"/>
      <c r="E594" s="976"/>
      <c r="R594" s="977"/>
      <c r="S594" s="977"/>
      <c r="T594" s="977"/>
      <c r="U594" s="977"/>
      <c r="V594" s="977"/>
      <c r="W594" s="977"/>
      <c r="X594" s="977"/>
      <c r="Y594" s="977"/>
    </row>
    <row r="595" spans="1:25" x14ac:dyDescent="0.2">
      <c r="A595" s="976"/>
      <c r="B595" s="976"/>
      <c r="C595" s="976"/>
      <c r="D595" s="976"/>
      <c r="E595" s="976"/>
      <c r="R595" s="977"/>
      <c r="S595" s="977"/>
      <c r="T595" s="977"/>
      <c r="U595" s="977"/>
      <c r="V595" s="977"/>
      <c r="W595" s="977"/>
      <c r="X595" s="977"/>
      <c r="Y595" s="977"/>
    </row>
    <row r="596" spans="1:25" x14ac:dyDescent="0.2">
      <c r="A596" s="976"/>
      <c r="B596" s="976"/>
      <c r="C596" s="976"/>
      <c r="D596" s="976"/>
      <c r="E596" s="976"/>
      <c r="R596" s="977"/>
      <c r="S596" s="977"/>
      <c r="T596" s="977"/>
      <c r="U596" s="977"/>
      <c r="V596" s="977"/>
      <c r="W596" s="977"/>
      <c r="X596" s="977"/>
      <c r="Y596" s="977"/>
    </row>
    <row r="597" spans="1:25" x14ac:dyDescent="0.2">
      <c r="A597" s="976"/>
      <c r="B597" s="976"/>
      <c r="C597" s="976"/>
      <c r="D597" s="976"/>
      <c r="E597" s="976"/>
      <c r="R597" s="977"/>
      <c r="S597" s="977"/>
      <c r="T597" s="977"/>
      <c r="U597" s="977"/>
      <c r="V597" s="977"/>
      <c r="W597" s="977"/>
      <c r="X597" s="977"/>
      <c r="Y597" s="977"/>
    </row>
    <row r="598" spans="1:25" x14ac:dyDescent="0.2">
      <c r="A598" s="976"/>
      <c r="B598" s="976"/>
      <c r="C598" s="976"/>
      <c r="D598" s="976"/>
      <c r="E598" s="976"/>
      <c r="R598" s="977"/>
      <c r="S598" s="977"/>
      <c r="T598" s="977"/>
      <c r="U598" s="977"/>
      <c r="V598" s="977"/>
      <c r="W598" s="977"/>
      <c r="X598" s="977"/>
      <c r="Y598" s="977"/>
    </row>
    <row r="599" spans="1:25" x14ac:dyDescent="0.2">
      <c r="A599" s="976"/>
      <c r="B599" s="976"/>
      <c r="C599" s="976"/>
      <c r="D599" s="976"/>
      <c r="E599" s="976"/>
      <c r="R599" s="977"/>
      <c r="S599" s="977"/>
      <c r="T599" s="977"/>
      <c r="U599" s="977"/>
      <c r="V599" s="977"/>
      <c r="W599" s="977"/>
      <c r="X599" s="977"/>
      <c r="Y599" s="977"/>
    </row>
    <row r="600" spans="1:25" x14ac:dyDescent="0.2">
      <c r="A600" s="976"/>
      <c r="B600" s="976"/>
      <c r="C600" s="976"/>
      <c r="D600" s="976"/>
      <c r="E600" s="976"/>
      <c r="R600" s="977"/>
      <c r="S600" s="977"/>
      <c r="T600" s="977"/>
      <c r="U600" s="977"/>
      <c r="V600" s="977"/>
      <c r="W600" s="977"/>
      <c r="X600" s="977"/>
      <c r="Y600" s="977"/>
    </row>
    <row r="601" spans="1:25" x14ac:dyDescent="0.2">
      <c r="A601" s="976"/>
      <c r="B601" s="976"/>
      <c r="C601" s="976"/>
      <c r="D601" s="976"/>
      <c r="E601" s="976"/>
      <c r="R601" s="977"/>
      <c r="S601" s="977"/>
      <c r="T601" s="977"/>
      <c r="U601" s="977"/>
      <c r="V601" s="977"/>
      <c r="W601" s="977"/>
      <c r="X601" s="977"/>
      <c r="Y601" s="977"/>
    </row>
    <row r="602" spans="1:25" x14ac:dyDescent="0.2">
      <c r="A602" s="976"/>
      <c r="B602" s="976"/>
      <c r="C602" s="976"/>
      <c r="D602" s="976"/>
      <c r="E602" s="976"/>
      <c r="R602" s="977"/>
      <c r="S602" s="977"/>
      <c r="T602" s="977"/>
      <c r="U602" s="977"/>
      <c r="V602" s="977"/>
      <c r="W602" s="977"/>
      <c r="X602" s="977"/>
      <c r="Y602" s="977"/>
    </row>
    <row r="603" spans="1:25" x14ac:dyDescent="0.2">
      <c r="A603" s="976"/>
      <c r="B603" s="976"/>
      <c r="C603" s="976"/>
      <c r="D603" s="976"/>
      <c r="E603" s="976"/>
      <c r="R603" s="977"/>
      <c r="S603" s="977"/>
      <c r="T603" s="977"/>
      <c r="U603" s="977"/>
      <c r="V603" s="977"/>
      <c r="W603" s="977"/>
      <c r="X603" s="977"/>
      <c r="Y603" s="977"/>
    </row>
    <row r="604" spans="1:25" x14ac:dyDescent="0.2">
      <c r="A604" s="976"/>
      <c r="B604" s="976"/>
      <c r="C604" s="976"/>
      <c r="D604" s="976"/>
      <c r="E604" s="976"/>
      <c r="R604" s="977"/>
      <c r="S604" s="977"/>
      <c r="T604" s="977"/>
      <c r="U604" s="977"/>
      <c r="V604" s="977"/>
      <c r="W604" s="977"/>
      <c r="X604" s="977"/>
      <c r="Y604" s="977"/>
    </row>
    <row r="605" spans="1:25" x14ac:dyDescent="0.2">
      <c r="A605" s="976"/>
      <c r="B605" s="976"/>
      <c r="C605" s="976"/>
      <c r="D605" s="976"/>
      <c r="E605" s="976"/>
      <c r="R605" s="977"/>
      <c r="S605" s="977"/>
      <c r="T605" s="977"/>
      <c r="U605" s="977"/>
      <c r="V605" s="977"/>
      <c r="W605" s="977"/>
      <c r="X605" s="977"/>
      <c r="Y605" s="977"/>
    </row>
    <row r="606" spans="1:25" x14ac:dyDescent="0.2">
      <c r="A606" s="976"/>
      <c r="B606" s="976"/>
      <c r="C606" s="976"/>
      <c r="D606" s="976"/>
      <c r="E606" s="976"/>
      <c r="R606" s="977"/>
      <c r="S606" s="977"/>
      <c r="T606" s="977"/>
      <c r="U606" s="977"/>
      <c r="V606" s="977"/>
      <c r="W606" s="977"/>
      <c r="X606" s="977"/>
      <c r="Y606" s="977"/>
    </row>
    <row r="607" spans="1:25" x14ac:dyDescent="0.2">
      <c r="A607" s="976"/>
      <c r="B607" s="976"/>
      <c r="C607" s="976"/>
      <c r="D607" s="976"/>
      <c r="E607" s="976"/>
      <c r="R607" s="977"/>
      <c r="S607" s="977"/>
      <c r="T607" s="977"/>
      <c r="U607" s="977"/>
      <c r="V607" s="977"/>
      <c r="W607" s="977"/>
      <c r="X607" s="977"/>
      <c r="Y607" s="977"/>
    </row>
    <row r="608" spans="1:25" x14ac:dyDescent="0.2">
      <c r="A608" s="976"/>
      <c r="B608" s="976"/>
      <c r="C608" s="976"/>
      <c r="D608" s="976"/>
      <c r="E608" s="976"/>
      <c r="R608" s="977"/>
      <c r="S608" s="977"/>
      <c r="T608" s="977"/>
      <c r="U608" s="977"/>
      <c r="V608" s="977"/>
      <c r="W608" s="977"/>
      <c r="X608" s="977"/>
      <c r="Y608" s="977"/>
    </row>
    <row r="609" spans="1:25" x14ac:dyDescent="0.2">
      <c r="A609" s="976"/>
      <c r="B609" s="976"/>
      <c r="C609" s="976"/>
      <c r="D609" s="976"/>
      <c r="E609" s="976"/>
      <c r="R609" s="977"/>
      <c r="S609" s="977"/>
      <c r="T609" s="977"/>
      <c r="U609" s="977"/>
      <c r="V609" s="977"/>
      <c r="W609" s="977"/>
      <c r="X609" s="977"/>
      <c r="Y609" s="977"/>
    </row>
    <row r="610" spans="1:25" x14ac:dyDescent="0.2">
      <c r="A610" s="976"/>
      <c r="B610" s="976"/>
      <c r="C610" s="976"/>
      <c r="D610" s="976"/>
      <c r="E610" s="976"/>
      <c r="R610" s="977"/>
      <c r="S610" s="977"/>
      <c r="T610" s="977"/>
      <c r="U610" s="977"/>
      <c r="V610" s="977"/>
      <c r="W610" s="977"/>
      <c r="X610" s="977"/>
      <c r="Y610" s="977"/>
    </row>
    <row r="611" spans="1:25" x14ac:dyDescent="0.2">
      <c r="A611" s="976"/>
      <c r="B611" s="976"/>
      <c r="C611" s="976"/>
      <c r="D611" s="976"/>
      <c r="E611" s="976"/>
      <c r="R611" s="977"/>
      <c r="S611" s="977"/>
      <c r="T611" s="977"/>
      <c r="U611" s="977"/>
      <c r="V611" s="977"/>
      <c r="W611" s="977"/>
      <c r="X611" s="977"/>
      <c r="Y611" s="977"/>
    </row>
    <row r="612" spans="1:25" x14ac:dyDescent="0.2">
      <c r="A612" s="976"/>
      <c r="B612" s="976"/>
      <c r="C612" s="976"/>
      <c r="D612" s="976"/>
      <c r="E612" s="976"/>
      <c r="R612" s="977"/>
      <c r="S612" s="977"/>
      <c r="T612" s="977"/>
      <c r="U612" s="977"/>
      <c r="V612" s="977"/>
      <c r="W612" s="977"/>
      <c r="X612" s="977"/>
      <c r="Y612" s="977"/>
    </row>
    <row r="613" spans="1:25" x14ac:dyDescent="0.2">
      <c r="A613" s="976"/>
      <c r="B613" s="976"/>
      <c r="C613" s="976"/>
      <c r="D613" s="976"/>
      <c r="E613" s="976"/>
      <c r="R613" s="977"/>
      <c r="S613" s="977"/>
      <c r="T613" s="977"/>
      <c r="U613" s="977"/>
      <c r="V613" s="977"/>
      <c r="W613" s="977"/>
      <c r="X613" s="977"/>
      <c r="Y613" s="977"/>
    </row>
    <row r="614" spans="1:25" x14ac:dyDescent="0.2">
      <c r="A614" s="976"/>
      <c r="B614" s="976"/>
      <c r="C614" s="976"/>
      <c r="D614" s="976"/>
      <c r="E614" s="976"/>
      <c r="R614" s="977"/>
      <c r="S614" s="977"/>
      <c r="T614" s="977"/>
      <c r="U614" s="977"/>
      <c r="V614" s="977"/>
      <c r="W614" s="977"/>
      <c r="X614" s="977"/>
      <c r="Y614" s="977"/>
    </row>
    <row r="615" spans="1:25" x14ac:dyDescent="0.2">
      <c r="A615" s="976"/>
      <c r="B615" s="976"/>
      <c r="C615" s="976"/>
      <c r="D615" s="976"/>
      <c r="E615" s="976"/>
      <c r="R615" s="977"/>
      <c r="S615" s="977"/>
      <c r="T615" s="977"/>
      <c r="U615" s="977"/>
      <c r="V615" s="977"/>
      <c r="W615" s="977"/>
      <c r="X615" s="977"/>
      <c r="Y615" s="977"/>
    </row>
    <row r="616" spans="1:25" x14ac:dyDescent="0.2">
      <c r="A616" s="976"/>
      <c r="B616" s="976"/>
      <c r="C616" s="976"/>
      <c r="D616" s="976"/>
      <c r="E616" s="976"/>
      <c r="R616" s="977"/>
      <c r="S616" s="977"/>
      <c r="T616" s="977"/>
      <c r="U616" s="977"/>
      <c r="V616" s="977"/>
      <c r="W616" s="977"/>
      <c r="X616" s="977"/>
      <c r="Y616" s="977"/>
    </row>
    <row r="617" spans="1:25" x14ac:dyDescent="0.2">
      <c r="A617" s="976"/>
      <c r="B617" s="976"/>
      <c r="C617" s="976"/>
      <c r="D617" s="976"/>
      <c r="E617" s="976"/>
      <c r="R617" s="977"/>
      <c r="S617" s="977"/>
      <c r="T617" s="977"/>
      <c r="U617" s="977"/>
      <c r="V617" s="977"/>
      <c r="W617" s="977"/>
      <c r="X617" s="977"/>
      <c r="Y617" s="977"/>
    </row>
    <row r="618" spans="1:25" x14ac:dyDescent="0.2">
      <c r="A618" s="976"/>
      <c r="B618" s="976"/>
      <c r="C618" s="976"/>
      <c r="D618" s="976"/>
      <c r="E618" s="976"/>
      <c r="R618" s="977"/>
      <c r="S618" s="977"/>
      <c r="T618" s="977"/>
      <c r="U618" s="977"/>
      <c r="V618" s="977"/>
      <c r="W618" s="977"/>
      <c r="X618" s="977"/>
      <c r="Y618" s="977"/>
    </row>
    <row r="619" spans="1:25" x14ac:dyDescent="0.2">
      <c r="A619" s="976"/>
      <c r="B619" s="976"/>
      <c r="C619" s="976"/>
      <c r="D619" s="976"/>
      <c r="E619" s="976"/>
      <c r="R619" s="977"/>
      <c r="S619" s="977"/>
      <c r="T619" s="977"/>
      <c r="U619" s="977"/>
      <c r="V619" s="977"/>
      <c r="W619" s="977"/>
      <c r="X619" s="977"/>
      <c r="Y619" s="977"/>
    </row>
    <row r="620" spans="1:25" x14ac:dyDescent="0.2">
      <c r="A620" s="976"/>
      <c r="B620" s="976"/>
      <c r="C620" s="976"/>
      <c r="D620" s="976"/>
      <c r="E620" s="976"/>
      <c r="R620" s="977"/>
      <c r="S620" s="977"/>
      <c r="T620" s="977"/>
      <c r="U620" s="977"/>
      <c r="V620" s="977"/>
      <c r="W620" s="977"/>
      <c r="X620" s="977"/>
      <c r="Y620" s="977"/>
    </row>
    <row r="621" spans="1:25" x14ac:dyDescent="0.2">
      <c r="A621" s="976"/>
      <c r="B621" s="976"/>
      <c r="C621" s="976"/>
      <c r="D621" s="976"/>
      <c r="E621" s="976"/>
      <c r="R621" s="977"/>
      <c r="S621" s="977"/>
      <c r="T621" s="977"/>
      <c r="U621" s="977"/>
      <c r="V621" s="977"/>
      <c r="W621" s="977"/>
      <c r="X621" s="977"/>
      <c r="Y621" s="977"/>
    </row>
    <row r="622" spans="1:25" x14ac:dyDescent="0.2">
      <c r="A622" s="976"/>
      <c r="B622" s="976"/>
      <c r="C622" s="976"/>
      <c r="D622" s="976"/>
      <c r="E622" s="976"/>
      <c r="R622" s="977"/>
      <c r="S622" s="977"/>
      <c r="T622" s="977"/>
      <c r="U622" s="977"/>
      <c r="V622" s="977"/>
      <c r="W622" s="977"/>
      <c r="X622" s="977"/>
      <c r="Y622" s="977"/>
    </row>
    <row r="623" spans="1:25" x14ac:dyDescent="0.2">
      <c r="A623" s="976"/>
      <c r="B623" s="976"/>
      <c r="C623" s="976"/>
      <c r="D623" s="976"/>
      <c r="E623" s="976"/>
      <c r="R623" s="977"/>
      <c r="S623" s="977"/>
      <c r="T623" s="977"/>
      <c r="U623" s="977"/>
      <c r="V623" s="977"/>
      <c r="W623" s="977"/>
      <c r="X623" s="977"/>
      <c r="Y623" s="977"/>
    </row>
    <row r="624" spans="1:25" x14ac:dyDescent="0.2">
      <c r="A624" s="976"/>
      <c r="B624" s="976"/>
      <c r="C624" s="976"/>
      <c r="D624" s="976"/>
      <c r="E624" s="976"/>
      <c r="R624" s="977"/>
      <c r="S624" s="977"/>
      <c r="T624" s="977"/>
      <c r="U624" s="977"/>
      <c r="V624" s="977"/>
      <c r="W624" s="977"/>
      <c r="X624" s="977"/>
      <c r="Y624" s="977"/>
    </row>
    <row r="625" spans="1:25" x14ac:dyDescent="0.2">
      <c r="A625" s="976"/>
      <c r="B625" s="976"/>
      <c r="C625" s="976"/>
      <c r="D625" s="976"/>
      <c r="E625" s="976"/>
      <c r="R625" s="977"/>
      <c r="S625" s="977"/>
      <c r="T625" s="977"/>
      <c r="U625" s="977"/>
      <c r="V625" s="977"/>
      <c r="W625" s="977"/>
      <c r="X625" s="977"/>
      <c r="Y625" s="977"/>
    </row>
    <row r="626" spans="1:25" x14ac:dyDescent="0.2">
      <c r="A626" s="976"/>
      <c r="B626" s="976"/>
      <c r="C626" s="976"/>
      <c r="D626" s="976"/>
      <c r="E626" s="976"/>
      <c r="R626" s="977"/>
      <c r="S626" s="977"/>
      <c r="T626" s="977"/>
      <c r="U626" s="977"/>
      <c r="V626" s="977"/>
      <c r="W626" s="977"/>
      <c r="X626" s="977"/>
      <c r="Y626" s="977"/>
    </row>
    <row r="627" spans="1:25" x14ac:dyDescent="0.2">
      <c r="A627" s="976"/>
      <c r="B627" s="976"/>
      <c r="C627" s="976"/>
      <c r="D627" s="976"/>
      <c r="E627" s="976"/>
      <c r="R627" s="977"/>
      <c r="S627" s="977"/>
      <c r="T627" s="977"/>
      <c r="U627" s="977"/>
      <c r="V627" s="977"/>
      <c r="W627" s="977"/>
      <c r="X627" s="977"/>
      <c r="Y627" s="977"/>
    </row>
    <row r="628" spans="1:25" x14ac:dyDescent="0.2">
      <c r="A628" s="976"/>
      <c r="B628" s="976"/>
      <c r="C628" s="976"/>
      <c r="D628" s="976"/>
      <c r="E628" s="976"/>
      <c r="R628" s="977"/>
      <c r="S628" s="977"/>
      <c r="T628" s="977"/>
      <c r="U628" s="977"/>
      <c r="V628" s="977"/>
      <c r="W628" s="977"/>
      <c r="X628" s="977"/>
      <c r="Y628" s="977"/>
    </row>
    <row r="629" spans="1:25" x14ac:dyDescent="0.2">
      <c r="A629" s="976"/>
      <c r="B629" s="976"/>
      <c r="C629" s="976"/>
      <c r="D629" s="976"/>
      <c r="E629" s="976"/>
      <c r="R629" s="977"/>
      <c r="S629" s="977"/>
      <c r="T629" s="977"/>
      <c r="U629" s="977"/>
      <c r="V629" s="977"/>
      <c r="W629" s="977"/>
      <c r="X629" s="977"/>
      <c r="Y629" s="977"/>
    </row>
    <row r="630" spans="1:25" x14ac:dyDescent="0.2">
      <c r="A630" s="976"/>
      <c r="B630" s="976"/>
      <c r="C630" s="976"/>
      <c r="D630" s="976"/>
      <c r="E630" s="976"/>
      <c r="R630" s="977"/>
      <c r="S630" s="977"/>
      <c r="T630" s="977"/>
      <c r="U630" s="977"/>
      <c r="V630" s="977"/>
      <c r="W630" s="977"/>
      <c r="X630" s="977"/>
      <c r="Y630" s="977"/>
    </row>
    <row r="631" spans="1:25" x14ac:dyDescent="0.2">
      <c r="A631" s="976"/>
      <c r="B631" s="976"/>
      <c r="C631" s="976"/>
      <c r="D631" s="976"/>
      <c r="E631" s="976"/>
      <c r="R631" s="977"/>
      <c r="S631" s="977"/>
      <c r="T631" s="977"/>
      <c r="U631" s="977"/>
      <c r="V631" s="977"/>
      <c r="W631" s="977"/>
      <c r="X631" s="977"/>
      <c r="Y631" s="977"/>
    </row>
    <row r="632" spans="1:25" x14ac:dyDescent="0.2">
      <c r="A632" s="976"/>
      <c r="B632" s="976"/>
      <c r="C632" s="976"/>
      <c r="D632" s="976"/>
      <c r="E632" s="976"/>
      <c r="R632" s="977"/>
      <c r="S632" s="977"/>
      <c r="T632" s="977"/>
      <c r="U632" s="977"/>
      <c r="V632" s="977"/>
      <c r="W632" s="977"/>
      <c r="X632" s="977"/>
      <c r="Y632" s="977"/>
    </row>
    <row r="633" spans="1:25" x14ac:dyDescent="0.2">
      <c r="A633" s="976"/>
      <c r="B633" s="976"/>
      <c r="C633" s="976"/>
      <c r="D633" s="976"/>
      <c r="E633" s="976"/>
      <c r="R633" s="977"/>
      <c r="S633" s="977"/>
      <c r="T633" s="977"/>
      <c r="U633" s="977"/>
      <c r="V633" s="977"/>
      <c r="W633" s="977"/>
      <c r="X633" s="977"/>
      <c r="Y633" s="977"/>
    </row>
    <row r="634" spans="1:25" x14ac:dyDescent="0.2">
      <c r="A634" s="976"/>
      <c r="B634" s="976"/>
      <c r="C634" s="976"/>
      <c r="D634" s="976"/>
      <c r="E634" s="976"/>
      <c r="R634" s="977"/>
      <c r="S634" s="977"/>
      <c r="T634" s="977"/>
      <c r="U634" s="977"/>
      <c r="V634" s="977"/>
      <c r="W634" s="977"/>
      <c r="X634" s="977"/>
      <c r="Y634" s="977"/>
    </row>
    <row r="635" spans="1:25" x14ac:dyDescent="0.2">
      <c r="A635" s="976"/>
      <c r="B635" s="976"/>
      <c r="C635" s="976"/>
      <c r="D635" s="976"/>
      <c r="E635" s="976"/>
      <c r="R635" s="977"/>
      <c r="S635" s="977"/>
      <c r="T635" s="977"/>
      <c r="U635" s="977"/>
      <c r="V635" s="977"/>
      <c r="W635" s="977"/>
      <c r="X635" s="977"/>
      <c r="Y635" s="977"/>
    </row>
    <row r="636" spans="1:25" x14ac:dyDescent="0.2">
      <c r="A636" s="976"/>
      <c r="B636" s="976"/>
      <c r="C636" s="976"/>
      <c r="D636" s="976"/>
      <c r="E636" s="976"/>
      <c r="R636" s="977"/>
      <c r="S636" s="977"/>
      <c r="T636" s="977"/>
      <c r="U636" s="977"/>
      <c r="V636" s="977"/>
      <c r="W636" s="977"/>
      <c r="X636" s="977"/>
      <c r="Y636" s="977"/>
    </row>
    <row r="637" spans="1:25" x14ac:dyDescent="0.2">
      <c r="A637" s="976"/>
      <c r="B637" s="976"/>
      <c r="C637" s="976"/>
      <c r="D637" s="976"/>
      <c r="E637" s="976"/>
      <c r="R637" s="977"/>
      <c r="S637" s="977"/>
      <c r="T637" s="977"/>
      <c r="U637" s="977"/>
      <c r="V637" s="977"/>
      <c r="W637" s="977"/>
      <c r="X637" s="977"/>
      <c r="Y637" s="977"/>
    </row>
    <row r="638" spans="1:25" x14ac:dyDescent="0.2">
      <c r="A638" s="976"/>
      <c r="B638" s="976"/>
      <c r="C638" s="976"/>
      <c r="D638" s="976"/>
      <c r="E638" s="976"/>
      <c r="R638" s="977"/>
      <c r="S638" s="977"/>
      <c r="T638" s="977"/>
      <c r="U638" s="977"/>
      <c r="V638" s="977"/>
      <c r="W638" s="977"/>
      <c r="X638" s="977"/>
      <c r="Y638" s="977"/>
    </row>
    <row r="639" spans="1:25" x14ac:dyDescent="0.2">
      <c r="A639" s="976"/>
      <c r="B639" s="976"/>
      <c r="C639" s="976"/>
      <c r="D639" s="976"/>
      <c r="E639" s="976"/>
      <c r="R639" s="977"/>
      <c r="S639" s="977"/>
      <c r="T639" s="977"/>
      <c r="U639" s="977"/>
      <c r="V639" s="977"/>
      <c r="W639" s="977"/>
      <c r="X639" s="977"/>
      <c r="Y639" s="977"/>
    </row>
    <row r="640" spans="1:25" x14ac:dyDescent="0.2">
      <c r="A640" s="976"/>
      <c r="B640" s="976"/>
      <c r="C640" s="976"/>
      <c r="D640" s="976"/>
      <c r="E640" s="976"/>
      <c r="R640" s="977"/>
      <c r="S640" s="977"/>
      <c r="T640" s="977"/>
      <c r="U640" s="977"/>
      <c r="V640" s="977"/>
      <c r="W640" s="977"/>
      <c r="X640" s="977"/>
      <c r="Y640" s="977"/>
    </row>
    <row r="641" spans="1:25" x14ac:dyDescent="0.2">
      <c r="A641" s="976"/>
      <c r="B641" s="976"/>
      <c r="C641" s="976"/>
      <c r="D641" s="976"/>
      <c r="E641" s="976"/>
      <c r="R641" s="977"/>
      <c r="S641" s="977"/>
      <c r="T641" s="977"/>
      <c r="U641" s="977"/>
      <c r="V641" s="977"/>
      <c r="W641" s="977"/>
      <c r="X641" s="977"/>
      <c r="Y641" s="977"/>
    </row>
    <row r="642" spans="1:25" x14ac:dyDescent="0.2">
      <c r="A642" s="976"/>
      <c r="B642" s="976"/>
      <c r="C642" s="976"/>
      <c r="D642" s="976"/>
      <c r="E642" s="976"/>
      <c r="R642" s="977"/>
      <c r="S642" s="977"/>
      <c r="T642" s="977"/>
      <c r="U642" s="977"/>
      <c r="V642" s="977"/>
      <c r="W642" s="977"/>
      <c r="X642" s="977"/>
      <c r="Y642" s="977"/>
    </row>
    <row r="643" spans="1:25" x14ac:dyDescent="0.2">
      <c r="A643" s="976"/>
      <c r="B643" s="976"/>
      <c r="C643" s="976"/>
      <c r="D643" s="976"/>
      <c r="E643" s="976"/>
      <c r="R643" s="977"/>
      <c r="S643" s="977"/>
      <c r="T643" s="977"/>
      <c r="U643" s="977"/>
      <c r="V643" s="977"/>
      <c r="W643" s="977"/>
      <c r="X643" s="977"/>
      <c r="Y643" s="977"/>
    </row>
    <row r="644" spans="1:25" x14ac:dyDescent="0.2">
      <c r="A644" s="976"/>
      <c r="B644" s="976"/>
      <c r="C644" s="976"/>
      <c r="D644" s="976"/>
      <c r="E644" s="976"/>
      <c r="R644" s="977"/>
      <c r="S644" s="977"/>
      <c r="T644" s="977"/>
      <c r="U644" s="977"/>
      <c r="V644" s="977"/>
      <c r="W644" s="977"/>
      <c r="X644" s="977"/>
      <c r="Y644" s="977"/>
    </row>
    <row r="645" spans="1:25" x14ac:dyDescent="0.2">
      <c r="A645" s="976"/>
      <c r="B645" s="976"/>
      <c r="C645" s="976"/>
      <c r="D645" s="976"/>
      <c r="E645" s="976"/>
      <c r="R645" s="977"/>
      <c r="S645" s="977"/>
      <c r="T645" s="977"/>
      <c r="U645" s="977"/>
      <c r="V645" s="977"/>
      <c r="W645" s="977"/>
      <c r="X645" s="977"/>
      <c r="Y645" s="977"/>
    </row>
    <row r="646" spans="1:25" x14ac:dyDescent="0.2">
      <c r="A646" s="976"/>
      <c r="B646" s="976"/>
      <c r="C646" s="976"/>
      <c r="D646" s="976"/>
      <c r="E646" s="976"/>
      <c r="R646" s="977"/>
      <c r="S646" s="977"/>
      <c r="T646" s="977"/>
      <c r="U646" s="977"/>
      <c r="V646" s="977"/>
      <c r="W646" s="977"/>
      <c r="X646" s="977"/>
      <c r="Y646" s="977"/>
    </row>
    <row r="647" spans="1:25" x14ac:dyDescent="0.2">
      <c r="A647" s="976"/>
      <c r="B647" s="976"/>
      <c r="C647" s="976"/>
      <c r="D647" s="976"/>
      <c r="E647" s="976"/>
      <c r="R647" s="977"/>
      <c r="S647" s="977"/>
      <c r="T647" s="977"/>
      <c r="U647" s="977"/>
      <c r="V647" s="977"/>
      <c r="W647" s="977"/>
      <c r="X647" s="977"/>
      <c r="Y647" s="977"/>
    </row>
    <row r="648" spans="1:25" x14ac:dyDescent="0.2">
      <c r="A648" s="976"/>
      <c r="B648" s="976"/>
      <c r="C648" s="976"/>
      <c r="D648" s="976"/>
      <c r="E648" s="976"/>
      <c r="R648" s="977"/>
      <c r="S648" s="977"/>
      <c r="T648" s="977"/>
      <c r="U648" s="977"/>
      <c r="V648" s="977"/>
      <c r="W648" s="977"/>
      <c r="X648" s="977"/>
      <c r="Y648" s="977"/>
    </row>
    <row r="649" spans="1:25" x14ac:dyDescent="0.2">
      <c r="A649" s="976"/>
      <c r="B649" s="976"/>
      <c r="C649" s="976"/>
      <c r="D649" s="976"/>
      <c r="E649" s="976"/>
      <c r="R649" s="977"/>
      <c r="S649" s="977"/>
      <c r="T649" s="977"/>
      <c r="U649" s="977"/>
      <c r="V649" s="977"/>
      <c r="W649" s="977"/>
      <c r="X649" s="977"/>
      <c r="Y649" s="977"/>
    </row>
    <row r="650" spans="1:25" x14ac:dyDescent="0.2">
      <c r="A650" s="976"/>
      <c r="B650" s="976"/>
      <c r="C650" s="976"/>
      <c r="D650" s="976"/>
      <c r="E650" s="976"/>
      <c r="R650" s="977"/>
      <c r="S650" s="977"/>
      <c r="T650" s="977"/>
      <c r="U650" s="977"/>
      <c r="V650" s="977"/>
      <c r="W650" s="977"/>
      <c r="X650" s="977"/>
      <c r="Y650" s="977"/>
    </row>
    <row r="651" spans="1:25" x14ac:dyDescent="0.2">
      <c r="A651" s="976"/>
      <c r="B651" s="976"/>
      <c r="C651" s="976"/>
      <c r="D651" s="976"/>
      <c r="E651" s="976"/>
      <c r="R651" s="977"/>
      <c r="S651" s="977"/>
      <c r="T651" s="977"/>
      <c r="U651" s="977"/>
      <c r="V651" s="977"/>
      <c r="W651" s="977"/>
      <c r="X651" s="977"/>
      <c r="Y651" s="977"/>
    </row>
    <row r="652" spans="1:25" x14ac:dyDescent="0.2">
      <c r="A652" s="976"/>
      <c r="B652" s="976"/>
      <c r="C652" s="976"/>
      <c r="D652" s="976"/>
      <c r="E652" s="976"/>
      <c r="R652" s="977"/>
      <c r="S652" s="977"/>
      <c r="T652" s="977"/>
      <c r="U652" s="977"/>
      <c r="V652" s="977"/>
      <c r="W652" s="977"/>
      <c r="X652" s="977"/>
      <c r="Y652" s="977"/>
    </row>
    <row r="653" spans="1:25" x14ac:dyDescent="0.2">
      <c r="A653" s="976"/>
      <c r="B653" s="976"/>
      <c r="C653" s="976"/>
      <c r="D653" s="976"/>
      <c r="E653" s="976"/>
      <c r="R653" s="977"/>
      <c r="S653" s="977"/>
      <c r="T653" s="977"/>
      <c r="U653" s="977"/>
      <c r="V653" s="977"/>
      <c r="W653" s="977"/>
      <c r="X653" s="977"/>
      <c r="Y653" s="977"/>
    </row>
    <row r="654" spans="1:25" x14ac:dyDescent="0.2">
      <c r="A654" s="976"/>
      <c r="B654" s="976"/>
      <c r="C654" s="976"/>
      <c r="D654" s="976"/>
      <c r="E654" s="976"/>
      <c r="R654" s="977"/>
      <c r="S654" s="977"/>
      <c r="T654" s="977"/>
      <c r="U654" s="977"/>
      <c r="V654" s="977"/>
      <c r="W654" s="977"/>
      <c r="X654" s="977"/>
      <c r="Y654" s="977"/>
    </row>
    <row r="655" spans="1:25" x14ac:dyDescent="0.2">
      <c r="A655" s="976"/>
      <c r="B655" s="976"/>
      <c r="C655" s="976"/>
      <c r="D655" s="976"/>
      <c r="E655" s="976"/>
      <c r="R655" s="977"/>
      <c r="S655" s="977"/>
      <c r="T655" s="977"/>
      <c r="U655" s="977"/>
      <c r="V655" s="977"/>
      <c r="W655" s="977"/>
      <c r="X655" s="977"/>
      <c r="Y655" s="977"/>
    </row>
    <row r="656" spans="1:25" x14ac:dyDescent="0.2">
      <c r="A656" s="976"/>
      <c r="B656" s="976"/>
      <c r="C656" s="976"/>
      <c r="D656" s="976"/>
      <c r="E656" s="976"/>
      <c r="R656" s="977"/>
      <c r="S656" s="977"/>
      <c r="T656" s="977"/>
      <c r="U656" s="977"/>
      <c r="V656" s="977"/>
      <c r="W656" s="977"/>
      <c r="X656" s="977"/>
      <c r="Y656" s="977"/>
    </row>
    <row r="657" spans="1:25" x14ac:dyDescent="0.2">
      <c r="A657" s="976"/>
      <c r="B657" s="976"/>
      <c r="C657" s="976"/>
      <c r="D657" s="976"/>
      <c r="E657" s="976"/>
      <c r="R657" s="977"/>
      <c r="S657" s="977"/>
      <c r="T657" s="977"/>
      <c r="U657" s="977"/>
      <c r="V657" s="977"/>
      <c r="W657" s="977"/>
      <c r="X657" s="977"/>
      <c r="Y657" s="977"/>
    </row>
    <row r="658" spans="1:25" x14ac:dyDescent="0.2">
      <c r="A658" s="976"/>
      <c r="B658" s="976"/>
      <c r="C658" s="976"/>
      <c r="D658" s="976"/>
      <c r="E658" s="976"/>
      <c r="R658" s="977"/>
      <c r="S658" s="977"/>
      <c r="T658" s="977"/>
      <c r="U658" s="977"/>
      <c r="V658" s="977"/>
      <c r="W658" s="977"/>
      <c r="X658" s="977"/>
      <c r="Y658" s="977"/>
    </row>
    <row r="659" spans="1:25" x14ac:dyDescent="0.2">
      <c r="A659" s="976"/>
      <c r="B659" s="976"/>
      <c r="C659" s="976"/>
      <c r="D659" s="976"/>
      <c r="E659" s="976"/>
      <c r="R659" s="977"/>
      <c r="S659" s="977"/>
      <c r="T659" s="977"/>
      <c r="U659" s="977"/>
      <c r="V659" s="977"/>
      <c r="W659" s="977"/>
      <c r="X659" s="977"/>
      <c r="Y659" s="977"/>
    </row>
    <row r="660" spans="1:25" x14ac:dyDescent="0.2">
      <c r="A660" s="976"/>
      <c r="B660" s="976"/>
      <c r="C660" s="976"/>
      <c r="D660" s="976"/>
      <c r="E660" s="976"/>
      <c r="R660" s="977"/>
      <c r="S660" s="977"/>
      <c r="T660" s="977"/>
      <c r="U660" s="977"/>
      <c r="V660" s="977"/>
      <c r="W660" s="977"/>
      <c r="X660" s="977"/>
      <c r="Y660" s="977"/>
    </row>
    <row r="661" spans="1:25" x14ac:dyDescent="0.2">
      <c r="A661" s="976"/>
      <c r="B661" s="976"/>
      <c r="C661" s="976"/>
      <c r="D661" s="976"/>
      <c r="E661" s="976"/>
      <c r="R661" s="977"/>
      <c r="S661" s="977"/>
      <c r="T661" s="977"/>
      <c r="U661" s="977"/>
      <c r="V661" s="977"/>
      <c r="W661" s="977"/>
      <c r="X661" s="977"/>
      <c r="Y661" s="977"/>
    </row>
    <row r="662" spans="1:25" x14ac:dyDescent="0.2">
      <c r="A662" s="976"/>
      <c r="B662" s="976"/>
      <c r="C662" s="976"/>
      <c r="D662" s="976"/>
      <c r="E662" s="976"/>
      <c r="R662" s="977"/>
      <c r="S662" s="977"/>
      <c r="T662" s="977"/>
      <c r="U662" s="977"/>
      <c r="V662" s="977"/>
      <c r="W662" s="977"/>
      <c r="X662" s="977"/>
      <c r="Y662" s="977"/>
    </row>
    <row r="663" spans="1:25" x14ac:dyDescent="0.2">
      <c r="A663" s="976"/>
      <c r="B663" s="976"/>
      <c r="C663" s="976"/>
      <c r="D663" s="976"/>
      <c r="E663" s="976"/>
      <c r="R663" s="977"/>
      <c r="S663" s="977"/>
      <c r="T663" s="977"/>
      <c r="U663" s="977"/>
      <c r="V663" s="977"/>
      <c r="W663" s="977"/>
      <c r="X663" s="977"/>
      <c r="Y663" s="977"/>
    </row>
    <row r="664" spans="1:25" x14ac:dyDescent="0.2">
      <c r="A664" s="976"/>
      <c r="B664" s="976"/>
      <c r="C664" s="976"/>
      <c r="D664" s="976"/>
      <c r="E664" s="976"/>
      <c r="R664" s="977"/>
      <c r="S664" s="977"/>
      <c r="T664" s="977"/>
      <c r="U664" s="977"/>
      <c r="V664" s="977"/>
      <c r="W664" s="977"/>
      <c r="X664" s="977"/>
      <c r="Y664" s="977"/>
    </row>
    <row r="665" spans="1:25" x14ac:dyDescent="0.2">
      <c r="A665" s="976"/>
      <c r="B665" s="976"/>
      <c r="C665" s="976"/>
      <c r="D665" s="976"/>
      <c r="E665" s="976"/>
      <c r="R665" s="977"/>
      <c r="S665" s="977"/>
      <c r="T665" s="977"/>
      <c r="U665" s="977"/>
      <c r="V665" s="977"/>
      <c r="W665" s="977"/>
      <c r="X665" s="977"/>
      <c r="Y665" s="977"/>
    </row>
    <row r="666" spans="1:25" x14ac:dyDescent="0.2">
      <c r="A666" s="976"/>
      <c r="B666" s="976"/>
      <c r="C666" s="976"/>
      <c r="D666" s="976"/>
      <c r="E666" s="976"/>
      <c r="R666" s="977"/>
      <c r="S666" s="977"/>
      <c r="T666" s="977"/>
      <c r="U666" s="977"/>
      <c r="V666" s="977"/>
      <c r="W666" s="977"/>
      <c r="X666" s="977"/>
      <c r="Y666" s="977"/>
    </row>
    <row r="667" spans="1:25" x14ac:dyDescent="0.2">
      <c r="A667" s="976"/>
      <c r="B667" s="976"/>
      <c r="C667" s="976"/>
      <c r="D667" s="976"/>
      <c r="E667" s="976"/>
      <c r="R667" s="977"/>
      <c r="S667" s="977"/>
      <c r="T667" s="977"/>
      <c r="U667" s="977"/>
      <c r="V667" s="977"/>
      <c r="W667" s="977"/>
      <c r="X667" s="977"/>
      <c r="Y667" s="977"/>
    </row>
    <row r="668" spans="1:25" x14ac:dyDescent="0.2">
      <c r="A668" s="976"/>
      <c r="B668" s="976"/>
      <c r="C668" s="976"/>
      <c r="D668" s="976"/>
      <c r="E668" s="976"/>
      <c r="R668" s="977"/>
      <c r="S668" s="977"/>
      <c r="T668" s="977"/>
      <c r="U668" s="977"/>
      <c r="V668" s="977"/>
      <c r="W668" s="977"/>
      <c r="X668" s="977"/>
      <c r="Y668" s="977"/>
    </row>
    <row r="669" spans="1:25" x14ac:dyDescent="0.2">
      <c r="A669" s="976"/>
      <c r="B669" s="976"/>
      <c r="C669" s="976"/>
      <c r="D669" s="976"/>
      <c r="E669" s="976"/>
      <c r="R669" s="977"/>
      <c r="S669" s="977"/>
      <c r="T669" s="977"/>
      <c r="U669" s="977"/>
      <c r="V669" s="977"/>
      <c r="W669" s="977"/>
      <c r="X669" s="977"/>
      <c r="Y669" s="977"/>
    </row>
    <row r="670" spans="1:25" x14ac:dyDescent="0.2">
      <c r="A670" s="976"/>
      <c r="B670" s="976"/>
      <c r="C670" s="976"/>
      <c r="D670" s="976"/>
      <c r="E670" s="976"/>
      <c r="R670" s="977"/>
      <c r="S670" s="977"/>
      <c r="T670" s="977"/>
      <c r="U670" s="977"/>
      <c r="V670" s="977"/>
      <c r="W670" s="977"/>
      <c r="X670" s="977"/>
      <c r="Y670" s="977"/>
    </row>
    <row r="671" spans="1:25" x14ac:dyDescent="0.2">
      <c r="A671" s="976"/>
      <c r="B671" s="976"/>
      <c r="C671" s="976"/>
      <c r="D671" s="976"/>
      <c r="E671" s="976"/>
      <c r="R671" s="977"/>
      <c r="S671" s="977"/>
      <c r="T671" s="977"/>
      <c r="U671" s="977"/>
      <c r="V671" s="977"/>
      <c r="W671" s="977"/>
      <c r="X671" s="977"/>
      <c r="Y671" s="977"/>
    </row>
    <row r="672" spans="1:25" x14ac:dyDescent="0.2">
      <c r="A672" s="976"/>
      <c r="B672" s="976"/>
      <c r="C672" s="976"/>
      <c r="D672" s="976"/>
      <c r="E672" s="976"/>
      <c r="R672" s="977"/>
      <c r="S672" s="977"/>
      <c r="T672" s="977"/>
      <c r="U672" s="977"/>
      <c r="V672" s="977"/>
      <c r="W672" s="977"/>
      <c r="X672" s="977"/>
      <c r="Y672" s="977"/>
    </row>
    <row r="673" spans="1:25" x14ac:dyDescent="0.2">
      <c r="A673" s="976"/>
      <c r="B673" s="976"/>
      <c r="C673" s="976"/>
      <c r="D673" s="976"/>
      <c r="E673" s="976"/>
      <c r="R673" s="977"/>
      <c r="S673" s="977"/>
      <c r="T673" s="977"/>
      <c r="U673" s="977"/>
      <c r="V673" s="977"/>
      <c r="W673" s="977"/>
      <c r="X673" s="977"/>
      <c r="Y673" s="977"/>
    </row>
    <row r="674" spans="1:25" x14ac:dyDescent="0.2">
      <c r="A674" s="976"/>
      <c r="B674" s="976"/>
      <c r="C674" s="976"/>
      <c r="D674" s="976"/>
      <c r="E674" s="976"/>
      <c r="R674" s="977"/>
      <c r="S674" s="977"/>
      <c r="T674" s="977"/>
      <c r="U674" s="977"/>
      <c r="V674" s="977"/>
      <c r="W674" s="977"/>
      <c r="X674" s="977"/>
      <c r="Y674" s="977"/>
    </row>
    <row r="675" spans="1:25" x14ac:dyDescent="0.2">
      <c r="A675" s="976"/>
      <c r="B675" s="976"/>
      <c r="C675" s="976"/>
      <c r="D675" s="976"/>
      <c r="E675" s="976"/>
      <c r="R675" s="977"/>
      <c r="S675" s="977"/>
      <c r="T675" s="977"/>
      <c r="U675" s="977"/>
      <c r="V675" s="977"/>
      <c r="W675" s="977"/>
      <c r="X675" s="977"/>
      <c r="Y675" s="977"/>
    </row>
    <row r="676" spans="1:25" x14ac:dyDescent="0.2">
      <c r="A676" s="976"/>
      <c r="B676" s="976"/>
      <c r="C676" s="976"/>
      <c r="D676" s="976"/>
      <c r="E676" s="976"/>
      <c r="R676" s="977"/>
      <c r="S676" s="977"/>
      <c r="T676" s="977"/>
      <c r="U676" s="977"/>
      <c r="V676" s="977"/>
      <c r="W676" s="977"/>
      <c r="X676" s="977"/>
      <c r="Y676" s="977"/>
    </row>
    <row r="677" spans="1:25" x14ac:dyDescent="0.2">
      <c r="A677" s="976"/>
      <c r="B677" s="976"/>
      <c r="C677" s="976"/>
      <c r="D677" s="976"/>
      <c r="E677" s="976"/>
      <c r="R677" s="977"/>
      <c r="S677" s="977"/>
      <c r="T677" s="977"/>
      <c r="U677" s="977"/>
      <c r="V677" s="977"/>
      <c r="W677" s="977"/>
      <c r="X677" s="977"/>
      <c r="Y677" s="977"/>
    </row>
    <row r="678" spans="1:25" x14ac:dyDescent="0.2">
      <c r="A678" s="976"/>
      <c r="B678" s="976"/>
      <c r="C678" s="976"/>
      <c r="D678" s="976"/>
      <c r="E678" s="976"/>
      <c r="R678" s="977"/>
      <c r="S678" s="977"/>
      <c r="T678" s="977"/>
      <c r="U678" s="977"/>
      <c r="V678" s="977"/>
      <c r="W678" s="977"/>
      <c r="X678" s="977"/>
      <c r="Y678" s="977"/>
    </row>
    <row r="679" spans="1:25" x14ac:dyDescent="0.2">
      <c r="A679" s="976"/>
      <c r="B679" s="976"/>
      <c r="C679" s="976"/>
      <c r="D679" s="976"/>
      <c r="E679" s="976"/>
      <c r="R679" s="977"/>
      <c r="S679" s="977"/>
      <c r="T679" s="977"/>
      <c r="U679" s="977"/>
      <c r="V679" s="977"/>
      <c r="W679" s="977"/>
      <c r="X679" s="977"/>
      <c r="Y679" s="977"/>
    </row>
    <row r="680" spans="1:25" x14ac:dyDescent="0.2">
      <c r="A680" s="976"/>
      <c r="B680" s="976"/>
      <c r="C680" s="976"/>
      <c r="D680" s="976"/>
      <c r="E680" s="976"/>
      <c r="R680" s="977"/>
      <c r="S680" s="977"/>
      <c r="T680" s="977"/>
      <c r="U680" s="977"/>
      <c r="V680" s="977"/>
      <c r="W680" s="977"/>
      <c r="X680" s="977"/>
      <c r="Y680" s="977"/>
    </row>
    <row r="681" spans="1:25" x14ac:dyDescent="0.2">
      <c r="A681" s="976"/>
      <c r="B681" s="976"/>
      <c r="C681" s="976"/>
      <c r="D681" s="976"/>
      <c r="E681" s="976"/>
      <c r="R681" s="977"/>
      <c r="S681" s="977"/>
      <c r="T681" s="977"/>
      <c r="U681" s="977"/>
      <c r="V681" s="977"/>
      <c r="W681" s="977"/>
      <c r="X681" s="977"/>
      <c r="Y681" s="977"/>
    </row>
    <row r="682" spans="1:25" x14ac:dyDescent="0.2">
      <c r="A682" s="976"/>
      <c r="B682" s="976"/>
      <c r="C682" s="976"/>
      <c r="D682" s="976"/>
      <c r="E682" s="976"/>
      <c r="R682" s="977"/>
      <c r="S682" s="977"/>
      <c r="T682" s="977"/>
      <c r="U682" s="977"/>
      <c r="V682" s="977"/>
      <c r="W682" s="977"/>
      <c r="X682" s="977"/>
      <c r="Y682" s="977"/>
    </row>
    <row r="683" spans="1:25" x14ac:dyDescent="0.2">
      <c r="A683" s="976"/>
      <c r="B683" s="976"/>
      <c r="C683" s="976"/>
      <c r="D683" s="976"/>
      <c r="E683" s="976"/>
      <c r="R683" s="977"/>
      <c r="S683" s="977"/>
      <c r="T683" s="977"/>
      <c r="U683" s="977"/>
      <c r="V683" s="977"/>
      <c r="W683" s="977"/>
      <c r="X683" s="977"/>
      <c r="Y683" s="977"/>
    </row>
    <row r="684" spans="1:25" x14ac:dyDescent="0.2">
      <c r="A684" s="976"/>
      <c r="B684" s="976"/>
      <c r="C684" s="976"/>
      <c r="D684" s="976"/>
      <c r="E684" s="976"/>
      <c r="R684" s="977"/>
      <c r="S684" s="977"/>
      <c r="T684" s="977"/>
      <c r="U684" s="977"/>
      <c r="V684" s="977"/>
      <c r="W684" s="977"/>
      <c r="X684" s="977"/>
      <c r="Y684" s="977"/>
    </row>
    <row r="685" spans="1:25" x14ac:dyDescent="0.2">
      <c r="A685" s="976"/>
      <c r="B685" s="976"/>
      <c r="C685" s="976"/>
      <c r="D685" s="976"/>
      <c r="E685" s="976"/>
      <c r="R685" s="977"/>
      <c r="S685" s="977"/>
      <c r="T685" s="977"/>
      <c r="U685" s="977"/>
      <c r="V685" s="977"/>
      <c r="W685" s="977"/>
      <c r="X685" s="977"/>
      <c r="Y685" s="977"/>
    </row>
    <row r="686" spans="1:25" x14ac:dyDescent="0.2">
      <c r="A686" s="976"/>
      <c r="B686" s="976"/>
      <c r="C686" s="976"/>
      <c r="D686" s="976"/>
      <c r="E686" s="976"/>
      <c r="R686" s="977"/>
      <c r="S686" s="977"/>
      <c r="T686" s="977"/>
      <c r="U686" s="977"/>
      <c r="V686" s="977"/>
      <c r="W686" s="977"/>
      <c r="X686" s="977"/>
      <c r="Y686" s="977"/>
    </row>
    <row r="687" spans="1:25" x14ac:dyDescent="0.2">
      <c r="A687" s="976"/>
      <c r="B687" s="976"/>
      <c r="C687" s="976"/>
      <c r="D687" s="976"/>
      <c r="E687" s="976"/>
      <c r="R687" s="977"/>
      <c r="S687" s="977"/>
      <c r="T687" s="977"/>
      <c r="U687" s="977"/>
      <c r="V687" s="977"/>
      <c r="W687" s="977"/>
      <c r="X687" s="977"/>
      <c r="Y687" s="977"/>
    </row>
    <row r="688" spans="1:25" x14ac:dyDescent="0.2">
      <c r="A688" s="976"/>
      <c r="B688" s="976"/>
      <c r="C688" s="976"/>
      <c r="D688" s="976"/>
      <c r="E688" s="976"/>
      <c r="R688" s="977"/>
      <c r="S688" s="977"/>
      <c r="T688" s="977"/>
      <c r="U688" s="977"/>
      <c r="V688" s="977"/>
      <c r="W688" s="977"/>
      <c r="X688" s="977"/>
      <c r="Y688" s="977"/>
    </row>
    <row r="689" spans="1:25" x14ac:dyDescent="0.2">
      <c r="A689" s="976"/>
      <c r="B689" s="976"/>
      <c r="C689" s="976"/>
      <c r="D689" s="976"/>
      <c r="E689" s="976"/>
      <c r="R689" s="977"/>
      <c r="S689" s="977"/>
      <c r="T689" s="977"/>
      <c r="U689" s="977"/>
      <c r="V689" s="977"/>
      <c r="W689" s="977"/>
      <c r="X689" s="977"/>
      <c r="Y689" s="977"/>
    </row>
    <row r="690" spans="1:25" x14ac:dyDescent="0.2">
      <c r="A690" s="976"/>
      <c r="B690" s="976"/>
      <c r="C690" s="976"/>
      <c r="D690" s="976"/>
      <c r="E690" s="976"/>
      <c r="R690" s="977"/>
      <c r="S690" s="977"/>
      <c r="T690" s="977"/>
      <c r="U690" s="977"/>
      <c r="V690" s="977"/>
      <c r="W690" s="977"/>
      <c r="X690" s="977"/>
      <c r="Y690" s="977"/>
    </row>
    <row r="691" spans="1:25" x14ac:dyDescent="0.2">
      <c r="A691" s="976"/>
      <c r="B691" s="976"/>
      <c r="C691" s="976"/>
      <c r="D691" s="976"/>
      <c r="E691" s="976"/>
      <c r="R691" s="977"/>
      <c r="S691" s="977"/>
      <c r="T691" s="977"/>
      <c r="U691" s="977"/>
      <c r="V691" s="977"/>
      <c r="W691" s="977"/>
      <c r="X691" s="977"/>
      <c r="Y691" s="977"/>
    </row>
    <row r="692" spans="1:25" x14ac:dyDescent="0.2">
      <c r="A692" s="976"/>
      <c r="B692" s="976"/>
      <c r="C692" s="976"/>
      <c r="D692" s="976"/>
      <c r="E692" s="976"/>
      <c r="R692" s="977"/>
      <c r="S692" s="977"/>
      <c r="T692" s="977"/>
      <c r="U692" s="977"/>
      <c r="V692" s="977"/>
      <c r="W692" s="977"/>
      <c r="X692" s="977"/>
      <c r="Y692" s="977"/>
    </row>
    <row r="693" spans="1:25" x14ac:dyDescent="0.2">
      <c r="A693" s="976"/>
      <c r="B693" s="976"/>
      <c r="C693" s="976"/>
      <c r="D693" s="976"/>
      <c r="E693" s="976"/>
      <c r="R693" s="977"/>
      <c r="S693" s="977"/>
      <c r="T693" s="977"/>
      <c r="U693" s="977"/>
      <c r="V693" s="977"/>
      <c r="W693" s="977"/>
      <c r="X693" s="977"/>
      <c r="Y693" s="977"/>
    </row>
    <row r="694" spans="1:25" x14ac:dyDescent="0.2">
      <c r="A694" s="976"/>
      <c r="B694" s="976"/>
      <c r="C694" s="976"/>
      <c r="D694" s="976"/>
      <c r="E694" s="976"/>
      <c r="R694" s="977"/>
      <c r="S694" s="977"/>
      <c r="T694" s="977"/>
      <c r="U694" s="977"/>
      <c r="V694" s="977"/>
      <c r="W694" s="977"/>
      <c r="X694" s="977"/>
      <c r="Y694" s="977"/>
    </row>
    <row r="695" spans="1:25" x14ac:dyDescent="0.2">
      <c r="A695" s="976"/>
      <c r="B695" s="976"/>
      <c r="C695" s="976"/>
      <c r="D695" s="976"/>
      <c r="E695" s="976"/>
      <c r="R695" s="977"/>
      <c r="S695" s="977"/>
      <c r="T695" s="977"/>
      <c r="U695" s="977"/>
      <c r="V695" s="977"/>
      <c r="W695" s="977"/>
      <c r="X695" s="977"/>
      <c r="Y695" s="977"/>
    </row>
    <row r="696" spans="1:25" x14ac:dyDescent="0.2">
      <c r="A696" s="976"/>
      <c r="B696" s="976"/>
      <c r="C696" s="976"/>
      <c r="D696" s="976"/>
      <c r="E696" s="976"/>
      <c r="R696" s="977"/>
      <c r="S696" s="977"/>
      <c r="T696" s="977"/>
      <c r="U696" s="977"/>
      <c r="V696" s="977"/>
      <c r="W696" s="977"/>
      <c r="X696" s="977"/>
      <c r="Y696" s="977"/>
    </row>
    <row r="697" spans="1:25" x14ac:dyDescent="0.2">
      <c r="A697" s="976"/>
      <c r="B697" s="976"/>
      <c r="C697" s="976"/>
      <c r="D697" s="976"/>
      <c r="E697" s="976"/>
      <c r="R697" s="977"/>
      <c r="S697" s="977"/>
      <c r="T697" s="977"/>
      <c r="U697" s="977"/>
      <c r="V697" s="977"/>
      <c r="W697" s="977"/>
      <c r="X697" s="977"/>
      <c r="Y697" s="977"/>
    </row>
    <row r="698" spans="1:25" x14ac:dyDescent="0.2">
      <c r="A698" s="976"/>
      <c r="B698" s="976"/>
      <c r="C698" s="976"/>
      <c r="D698" s="976"/>
      <c r="E698" s="976"/>
      <c r="R698" s="977"/>
      <c r="S698" s="977"/>
      <c r="T698" s="977"/>
      <c r="U698" s="977"/>
      <c r="V698" s="977"/>
      <c r="W698" s="977"/>
      <c r="X698" s="977"/>
      <c r="Y698" s="977"/>
    </row>
    <row r="699" spans="1:25" x14ac:dyDescent="0.2">
      <c r="A699" s="976"/>
      <c r="B699" s="976"/>
      <c r="C699" s="976"/>
      <c r="D699" s="976"/>
      <c r="E699" s="976"/>
      <c r="R699" s="977"/>
      <c r="S699" s="977"/>
      <c r="T699" s="977"/>
      <c r="U699" s="977"/>
      <c r="V699" s="977"/>
      <c r="W699" s="977"/>
      <c r="X699" s="977"/>
      <c r="Y699" s="977"/>
    </row>
    <row r="700" spans="1:25" x14ac:dyDescent="0.2">
      <c r="A700" s="976"/>
      <c r="B700" s="976"/>
      <c r="C700" s="976"/>
      <c r="D700" s="976"/>
      <c r="E700" s="976"/>
      <c r="R700" s="977"/>
      <c r="S700" s="977"/>
      <c r="T700" s="977"/>
      <c r="U700" s="977"/>
      <c r="V700" s="977"/>
      <c r="W700" s="977"/>
      <c r="X700" s="977"/>
      <c r="Y700" s="977"/>
    </row>
    <row r="701" spans="1:25" x14ac:dyDescent="0.2">
      <c r="A701" s="976"/>
      <c r="B701" s="976"/>
      <c r="C701" s="976"/>
      <c r="D701" s="976"/>
      <c r="E701" s="976"/>
      <c r="R701" s="977"/>
      <c r="S701" s="977"/>
      <c r="T701" s="977"/>
      <c r="U701" s="977"/>
      <c r="V701" s="977"/>
      <c r="W701" s="977"/>
      <c r="X701" s="977"/>
      <c r="Y701" s="977"/>
    </row>
    <row r="702" spans="1:25" x14ac:dyDescent="0.2">
      <c r="A702" s="976"/>
      <c r="B702" s="976"/>
      <c r="C702" s="976"/>
      <c r="D702" s="976"/>
      <c r="E702" s="976"/>
      <c r="R702" s="977"/>
      <c r="S702" s="977"/>
      <c r="T702" s="977"/>
      <c r="U702" s="977"/>
      <c r="V702" s="977"/>
      <c r="W702" s="977"/>
      <c r="X702" s="977"/>
      <c r="Y702" s="977"/>
    </row>
    <row r="703" spans="1:25" x14ac:dyDescent="0.2">
      <c r="A703" s="976"/>
      <c r="B703" s="976"/>
      <c r="C703" s="976"/>
      <c r="D703" s="976"/>
      <c r="E703" s="976"/>
      <c r="R703" s="977"/>
      <c r="S703" s="977"/>
      <c r="T703" s="977"/>
      <c r="U703" s="977"/>
      <c r="V703" s="977"/>
      <c r="W703" s="977"/>
      <c r="X703" s="977"/>
      <c r="Y703" s="977"/>
    </row>
    <row r="704" spans="1:25" x14ac:dyDescent="0.2">
      <c r="A704" s="976"/>
      <c r="B704" s="976"/>
      <c r="C704" s="976"/>
      <c r="D704" s="976"/>
      <c r="E704" s="976"/>
      <c r="R704" s="977"/>
      <c r="S704" s="977"/>
      <c r="T704" s="977"/>
      <c r="U704" s="977"/>
      <c r="V704" s="977"/>
      <c r="W704" s="977"/>
      <c r="X704" s="977"/>
      <c r="Y704" s="977"/>
    </row>
    <row r="705" spans="1:25" x14ac:dyDescent="0.2">
      <c r="A705" s="976"/>
      <c r="B705" s="976"/>
      <c r="C705" s="976"/>
      <c r="D705" s="976"/>
      <c r="E705" s="976"/>
      <c r="R705" s="977"/>
      <c r="S705" s="977"/>
      <c r="T705" s="977"/>
      <c r="U705" s="977"/>
      <c r="V705" s="977"/>
      <c r="W705" s="977"/>
      <c r="X705" s="977"/>
      <c r="Y705" s="977"/>
    </row>
    <row r="706" spans="1:25" x14ac:dyDescent="0.2">
      <c r="A706" s="976"/>
      <c r="B706" s="976"/>
      <c r="C706" s="976"/>
      <c r="D706" s="976"/>
      <c r="E706" s="976"/>
      <c r="R706" s="977"/>
      <c r="S706" s="977"/>
      <c r="T706" s="977"/>
      <c r="U706" s="977"/>
      <c r="V706" s="977"/>
      <c r="W706" s="977"/>
      <c r="X706" s="977"/>
      <c r="Y706" s="977"/>
    </row>
    <row r="707" spans="1:25" x14ac:dyDescent="0.2">
      <c r="A707" s="976"/>
      <c r="B707" s="976"/>
      <c r="C707" s="976"/>
      <c r="D707" s="976"/>
      <c r="E707" s="976"/>
      <c r="R707" s="977"/>
      <c r="S707" s="977"/>
      <c r="T707" s="977"/>
      <c r="U707" s="977"/>
      <c r="V707" s="977"/>
      <c r="W707" s="977"/>
      <c r="X707" s="977"/>
      <c r="Y707" s="977"/>
    </row>
    <row r="708" spans="1:25" x14ac:dyDescent="0.2">
      <c r="A708" s="976"/>
      <c r="B708" s="976"/>
      <c r="C708" s="976"/>
      <c r="D708" s="976"/>
      <c r="E708" s="976"/>
      <c r="R708" s="977"/>
      <c r="S708" s="977"/>
      <c r="T708" s="977"/>
      <c r="U708" s="977"/>
      <c r="V708" s="977"/>
      <c r="W708" s="977"/>
      <c r="X708" s="977"/>
      <c r="Y708" s="977"/>
    </row>
    <row r="709" spans="1:25" x14ac:dyDescent="0.2">
      <c r="A709" s="976"/>
      <c r="B709" s="976"/>
      <c r="C709" s="976"/>
      <c r="D709" s="976"/>
      <c r="E709" s="976"/>
      <c r="R709" s="977"/>
      <c r="S709" s="977"/>
      <c r="T709" s="977"/>
      <c r="U709" s="977"/>
      <c r="V709" s="977"/>
      <c r="W709" s="977"/>
      <c r="X709" s="977"/>
      <c r="Y709" s="977"/>
    </row>
    <row r="710" spans="1:25" x14ac:dyDescent="0.2">
      <c r="A710" s="976"/>
      <c r="B710" s="976"/>
      <c r="C710" s="976"/>
      <c r="D710" s="976"/>
      <c r="E710" s="976"/>
      <c r="R710" s="977"/>
      <c r="S710" s="977"/>
      <c r="T710" s="977"/>
      <c r="U710" s="977"/>
      <c r="V710" s="977"/>
      <c r="W710" s="977"/>
      <c r="X710" s="977"/>
      <c r="Y710" s="977"/>
    </row>
    <row r="711" spans="1:25" x14ac:dyDescent="0.2">
      <c r="A711" s="976"/>
      <c r="B711" s="976"/>
      <c r="C711" s="976"/>
      <c r="D711" s="976"/>
      <c r="E711" s="976"/>
      <c r="R711" s="977"/>
      <c r="S711" s="977"/>
      <c r="T711" s="977"/>
      <c r="U711" s="977"/>
      <c r="V711" s="977"/>
      <c r="W711" s="977"/>
      <c r="X711" s="977"/>
      <c r="Y711" s="977"/>
    </row>
    <row r="712" spans="1:25" x14ac:dyDescent="0.2">
      <c r="A712" s="976"/>
      <c r="B712" s="976"/>
      <c r="C712" s="976"/>
      <c r="D712" s="976"/>
      <c r="E712" s="976"/>
      <c r="R712" s="977"/>
      <c r="S712" s="977"/>
      <c r="T712" s="977"/>
      <c r="U712" s="977"/>
      <c r="V712" s="977"/>
      <c r="W712" s="977"/>
      <c r="X712" s="977"/>
      <c r="Y712" s="977"/>
    </row>
    <row r="713" spans="1:25" x14ac:dyDescent="0.2">
      <c r="A713" s="976"/>
      <c r="B713" s="976"/>
      <c r="C713" s="976"/>
      <c r="D713" s="976"/>
      <c r="E713" s="976"/>
      <c r="R713" s="977"/>
      <c r="S713" s="977"/>
      <c r="T713" s="977"/>
      <c r="U713" s="977"/>
      <c r="V713" s="977"/>
      <c r="W713" s="977"/>
      <c r="X713" s="977"/>
      <c r="Y713" s="977"/>
    </row>
    <row r="714" spans="1:25" x14ac:dyDescent="0.2">
      <c r="A714" s="976"/>
      <c r="B714" s="976"/>
      <c r="C714" s="976"/>
      <c r="D714" s="976"/>
      <c r="E714" s="976"/>
      <c r="R714" s="977"/>
      <c r="S714" s="977"/>
      <c r="T714" s="977"/>
      <c r="U714" s="977"/>
      <c r="V714" s="977"/>
      <c r="W714" s="977"/>
      <c r="X714" s="977"/>
      <c r="Y714" s="977"/>
    </row>
    <row r="715" spans="1:25" x14ac:dyDescent="0.2">
      <c r="A715" s="976"/>
      <c r="B715" s="976"/>
      <c r="C715" s="976"/>
      <c r="D715" s="976"/>
      <c r="E715" s="976"/>
      <c r="R715" s="977"/>
      <c r="S715" s="977"/>
      <c r="T715" s="977"/>
      <c r="U715" s="977"/>
      <c r="V715" s="977"/>
      <c r="W715" s="977"/>
      <c r="X715" s="977"/>
      <c r="Y715" s="977"/>
    </row>
    <row r="716" spans="1:25" x14ac:dyDescent="0.2">
      <c r="A716" s="976"/>
      <c r="B716" s="976"/>
      <c r="C716" s="976"/>
      <c r="D716" s="976"/>
      <c r="E716" s="976"/>
      <c r="R716" s="977"/>
      <c r="S716" s="977"/>
      <c r="T716" s="977"/>
      <c r="U716" s="977"/>
      <c r="V716" s="977"/>
      <c r="W716" s="977"/>
      <c r="X716" s="977"/>
      <c r="Y716" s="977"/>
    </row>
    <row r="717" spans="1:25" x14ac:dyDescent="0.2">
      <c r="A717" s="976"/>
      <c r="B717" s="976"/>
      <c r="C717" s="976"/>
      <c r="D717" s="976"/>
      <c r="E717" s="976"/>
      <c r="R717" s="977"/>
      <c r="S717" s="977"/>
      <c r="T717" s="977"/>
      <c r="U717" s="977"/>
      <c r="V717" s="977"/>
      <c r="W717" s="977"/>
      <c r="X717" s="977"/>
      <c r="Y717" s="977"/>
    </row>
    <row r="718" spans="1:25" x14ac:dyDescent="0.2">
      <c r="A718" s="976"/>
      <c r="B718" s="976"/>
      <c r="C718" s="976"/>
      <c r="D718" s="976"/>
      <c r="E718" s="976"/>
      <c r="R718" s="977"/>
      <c r="S718" s="977"/>
      <c r="T718" s="977"/>
      <c r="U718" s="977"/>
      <c r="V718" s="977"/>
      <c r="W718" s="977"/>
      <c r="X718" s="977"/>
      <c r="Y718" s="977"/>
    </row>
    <row r="719" spans="1:25" x14ac:dyDescent="0.2">
      <c r="A719" s="976"/>
      <c r="B719" s="976"/>
      <c r="C719" s="976"/>
      <c r="D719" s="976"/>
      <c r="E719" s="976"/>
      <c r="R719" s="977"/>
      <c r="S719" s="977"/>
      <c r="T719" s="977"/>
      <c r="U719" s="977"/>
      <c r="V719" s="977"/>
      <c r="W719" s="977"/>
      <c r="X719" s="977"/>
      <c r="Y719" s="977"/>
    </row>
    <row r="720" spans="1:25" x14ac:dyDescent="0.2">
      <c r="A720" s="976"/>
      <c r="B720" s="976"/>
      <c r="C720" s="976"/>
      <c r="D720" s="976"/>
      <c r="E720" s="976"/>
      <c r="R720" s="977"/>
      <c r="S720" s="977"/>
      <c r="T720" s="977"/>
      <c r="U720" s="977"/>
      <c r="V720" s="977"/>
      <c r="W720" s="977"/>
      <c r="X720" s="977"/>
      <c r="Y720" s="977"/>
    </row>
    <row r="721" spans="1:25" x14ac:dyDescent="0.2">
      <c r="A721" s="976"/>
      <c r="B721" s="976"/>
      <c r="C721" s="976"/>
      <c r="D721" s="976"/>
      <c r="E721" s="976"/>
      <c r="R721" s="977"/>
      <c r="S721" s="977"/>
      <c r="T721" s="977"/>
      <c r="U721" s="977"/>
      <c r="V721" s="977"/>
      <c r="W721" s="977"/>
      <c r="X721" s="977"/>
      <c r="Y721" s="977"/>
    </row>
    <row r="722" spans="1:25" x14ac:dyDescent="0.2">
      <c r="A722" s="976"/>
      <c r="B722" s="976"/>
      <c r="C722" s="976"/>
      <c r="D722" s="976"/>
      <c r="E722" s="976"/>
      <c r="R722" s="977"/>
      <c r="S722" s="977"/>
      <c r="T722" s="977"/>
      <c r="U722" s="977"/>
      <c r="V722" s="977"/>
      <c r="W722" s="977"/>
      <c r="X722" s="977"/>
      <c r="Y722" s="977"/>
    </row>
    <row r="723" spans="1:25" x14ac:dyDescent="0.2">
      <c r="A723" s="976"/>
      <c r="B723" s="976"/>
      <c r="C723" s="976"/>
      <c r="D723" s="976"/>
      <c r="E723" s="976"/>
      <c r="R723" s="977"/>
      <c r="S723" s="977"/>
      <c r="T723" s="977"/>
      <c r="U723" s="977"/>
      <c r="V723" s="977"/>
      <c r="W723" s="977"/>
      <c r="X723" s="977"/>
      <c r="Y723" s="977"/>
    </row>
    <row r="724" spans="1:25" x14ac:dyDescent="0.2">
      <c r="A724" s="976"/>
      <c r="B724" s="976"/>
      <c r="C724" s="976"/>
      <c r="D724" s="976"/>
      <c r="E724" s="976"/>
      <c r="R724" s="977"/>
      <c r="S724" s="977"/>
      <c r="T724" s="977"/>
      <c r="U724" s="977"/>
      <c r="V724" s="977"/>
      <c r="W724" s="977"/>
      <c r="X724" s="977"/>
      <c r="Y724" s="977"/>
    </row>
    <row r="725" spans="1:25" x14ac:dyDescent="0.2">
      <c r="A725" s="976"/>
      <c r="B725" s="976"/>
      <c r="C725" s="976"/>
      <c r="D725" s="976"/>
      <c r="E725" s="976"/>
      <c r="R725" s="977"/>
      <c r="S725" s="977"/>
      <c r="T725" s="977"/>
      <c r="U725" s="977"/>
      <c r="V725" s="977"/>
      <c r="W725" s="977"/>
      <c r="X725" s="977"/>
      <c r="Y725" s="977"/>
    </row>
    <row r="726" spans="1:25" x14ac:dyDescent="0.2">
      <c r="A726" s="976"/>
      <c r="B726" s="976"/>
      <c r="C726" s="976"/>
      <c r="D726" s="976"/>
      <c r="E726" s="976"/>
      <c r="R726" s="977"/>
      <c r="S726" s="977"/>
      <c r="T726" s="977"/>
      <c r="U726" s="977"/>
      <c r="V726" s="977"/>
      <c r="W726" s="977"/>
      <c r="X726" s="977"/>
      <c r="Y726" s="977"/>
    </row>
    <row r="727" spans="1:25" x14ac:dyDescent="0.2">
      <c r="A727" s="976"/>
      <c r="B727" s="976"/>
      <c r="C727" s="976"/>
      <c r="D727" s="976"/>
      <c r="E727" s="976"/>
      <c r="R727" s="977"/>
      <c r="S727" s="977"/>
      <c r="T727" s="977"/>
      <c r="U727" s="977"/>
      <c r="V727" s="977"/>
      <c r="W727" s="977"/>
      <c r="X727" s="977"/>
      <c r="Y727" s="977"/>
    </row>
    <row r="728" spans="1:25" x14ac:dyDescent="0.2">
      <c r="A728" s="976"/>
      <c r="B728" s="976"/>
      <c r="C728" s="976"/>
      <c r="D728" s="976"/>
      <c r="E728" s="976"/>
      <c r="R728" s="977"/>
      <c r="S728" s="977"/>
      <c r="T728" s="977"/>
      <c r="U728" s="977"/>
      <c r="V728" s="977"/>
      <c r="W728" s="977"/>
      <c r="X728" s="977"/>
      <c r="Y728" s="977"/>
    </row>
    <row r="729" spans="1:25" x14ac:dyDescent="0.2">
      <c r="A729" s="976"/>
      <c r="B729" s="976"/>
      <c r="C729" s="976"/>
      <c r="D729" s="976"/>
      <c r="E729" s="976"/>
      <c r="R729" s="977"/>
      <c r="S729" s="977"/>
      <c r="T729" s="977"/>
      <c r="U729" s="977"/>
      <c r="V729" s="977"/>
      <c r="W729" s="977"/>
      <c r="X729" s="977"/>
      <c r="Y729" s="977"/>
    </row>
    <row r="730" spans="1:25" x14ac:dyDescent="0.2">
      <c r="A730" s="976"/>
      <c r="B730" s="976"/>
      <c r="C730" s="976"/>
      <c r="D730" s="976"/>
      <c r="E730" s="976"/>
      <c r="R730" s="977"/>
      <c r="S730" s="977"/>
      <c r="T730" s="977"/>
      <c r="U730" s="977"/>
      <c r="V730" s="977"/>
      <c r="W730" s="977"/>
      <c r="X730" s="977"/>
      <c r="Y730" s="977"/>
    </row>
    <row r="731" spans="1:25" x14ac:dyDescent="0.2">
      <c r="A731" s="976"/>
      <c r="B731" s="976"/>
      <c r="C731" s="976"/>
      <c r="D731" s="976"/>
      <c r="E731" s="976"/>
      <c r="R731" s="977"/>
      <c r="S731" s="977"/>
      <c r="T731" s="977"/>
      <c r="U731" s="977"/>
      <c r="V731" s="977"/>
      <c r="W731" s="977"/>
      <c r="X731" s="977"/>
      <c r="Y731" s="977"/>
    </row>
    <row r="732" spans="1:25" x14ac:dyDescent="0.2">
      <c r="A732" s="976"/>
      <c r="B732" s="976"/>
      <c r="C732" s="976"/>
      <c r="D732" s="976"/>
      <c r="E732" s="976"/>
      <c r="R732" s="977"/>
      <c r="S732" s="977"/>
      <c r="T732" s="977"/>
      <c r="U732" s="977"/>
      <c r="V732" s="977"/>
      <c r="W732" s="977"/>
      <c r="X732" s="977"/>
      <c r="Y732" s="977"/>
    </row>
    <row r="733" spans="1:25" x14ac:dyDescent="0.2">
      <c r="A733" s="976"/>
      <c r="B733" s="976"/>
      <c r="C733" s="976"/>
      <c r="D733" s="976"/>
      <c r="E733" s="976"/>
      <c r="R733" s="977"/>
      <c r="S733" s="977"/>
      <c r="T733" s="977"/>
      <c r="U733" s="977"/>
      <c r="V733" s="977"/>
      <c r="W733" s="977"/>
      <c r="X733" s="977"/>
      <c r="Y733" s="977"/>
    </row>
    <row r="734" spans="1:25" x14ac:dyDescent="0.2">
      <c r="A734" s="976"/>
      <c r="B734" s="976"/>
      <c r="C734" s="976"/>
      <c r="D734" s="976"/>
      <c r="E734" s="976"/>
      <c r="R734" s="977"/>
      <c r="S734" s="977"/>
      <c r="T734" s="977"/>
      <c r="U734" s="977"/>
      <c r="V734" s="977"/>
      <c r="W734" s="977"/>
      <c r="X734" s="977"/>
      <c r="Y734" s="977"/>
    </row>
    <row r="735" spans="1:25" x14ac:dyDescent="0.2">
      <c r="A735" s="976"/>
      <c r="B735" s="976"/>
      <c r="C735" s="976"/>
      <c r="D735" s="976"/>
      <c r="E735" s="976"/>
      <c r="R735" s="977"/>
      <c r="S735" s="977"/>
      <c r="T735" s="977"/>
      <c r="U735" s="977"/>
      <c r="V735" s="977"/>
      <c r="W735" s="977"/>
      <c r="X735" s="977"/>
      <c r="Y735" s="977"/>
    </row>
    <row r="736" spans="1:25" x14ac:dyDescent="0.2">
      <c r="A736" s="976"/>
      <c r="B736" s="976"/>
      <c r="C736" s="976"/>
      <c r="D736" s="976"/>
      <c r="E736" s="976"/>
      <c r="R736" s="977"/>
      <c r="S736" s="977"/>
      <c r="T736" s="977"/>
      <c r="U736" s="977"/>
      <c r="V736" s="977"/>
      <c r="W736" s="977"/>
      <c r="X736" s="977"/>
      <c r="Y736" s="977"/>
    </row>
    <row r="737" spans="1:25" x14ac:dyDescent="0.2">
      <c r="A737" s="976"/>
      <c r="B737" s="976"/>
      <c r="C737" s="976"/>
      <c r="D737" s="976"/>
      <c r="E737" s="976"/>
      <c r="R737" s="977"/>
      <c r="S737" s="977"/>
      <c r="T737" s="977"/>
      <c r="U737" s="977"/>
      <c r="V737" s="977"/>
      <c r="W737" s="977"/>
      <c r="X737" s="977"/>
      <c r="Y737" s="977"/>
    </row>
    <row r="738" spans="1:25" x14ac:dyDescent="0.2">
      <c r="A738" s="976"/>
      <c r="B738" s="976"/>
      <c r="C738" s="976"/>
      <c r="D738" s="976"/>
      <c r="E738" s="976"/>
      <c r="R738" s="977"/>
      <c r="S738" s="977"/>
      <c r="T738" s="977"/>
      <c r="U738" s="977"/>
      <c r="V738" s="977"/>
      <c r="W738" s="977"/>
      <c r="X738" s="977"/>
      <c r="Y738" s="977"/>
    </row>
    <row r="739" spans="1:25" x14ac:dyDescent="0.2">
      <c r="A739" s="976"/>
      <c r="B739" s="976"/>
      <c r="C739" s="976"/>
      <c r="D739" s="976"/>
      <c r="E739" s="976"/>
      <c r="R739" s="977"/>
      <c r="S739" s="977"/>
      <c r="T739" s="977"/>
      <c r="U739" s="977"/>
      <c r="V739" s="977"/>
      <c r="W739" s="977"/>
      <c r="X739" s="977"/>
      <c r="Y739" s="977"/>
    </row>
    <row r="740" spans="1:25" x14ac:dyDescent="0.2">
      <c r="A740" s="976"/>
      <c r="B740" s="976"/>
      <c r="C740" s="976"/>
      <c r="D740" s="976"/>
      <c r="E740" s="976"/>
      <c r="R740" s="977"/>
      <c r="S740" s="977"/>
      <c r="T740" s="977"/>
      <c r="U740" s="977"/>
      <c r="V740" s="977"/>
      <c r="W740" s="977"/>
      <c r="X740" s="977"/>
      <c r="Y740" s="977"/>
    </row>
    <row r="741" spans="1:25" x14ac:dyDescent="0.2">
      <c r="A741" s="976"/>
      <c r="B741" s="976"/>
      <c r="C741" s="976"/>
      <c r="D741" s="976"/>
      <c r="E741" s="976"/>
      <c r="R741" s="977"/>
      <c r="S741" s="977"/>
      <c r="T741" s="977"/>
      <c r="U741" s="977"/>
      <c r="V741" s="977"/>
      <c r="W741" s="977"/>
      <c r="X741" s="977"/>
      <c r="Y741" s="977"/>
    </row>
    <row r="742" spans="1:25" x14ac:dyDescent="0.2">
      <c r="A742" s="976"/>
      <c r="B742" s="976"/>
      <c r="C742" s="976"/>
      <c r="D742" s="976"/>
      <c r="E742" s="976"/>
      <c r="R742" s="977"/>
      <c r="S742" s="977"/>
      <c r="T742" s="977"/>
      <c r="U742" s="977"/>
      <c r="V742" s="977"/>
      <c r="W742" s="977"/>
      <c r="X742" s="977"/>
      <c r="Y742" s="977"/>
    </row>
    <row r="743" spans="1:25" x14ac:dyDescent="0.2">
      <c r="A743" s="976"/>
      <c r="B743" s="976"/>
      <c r="C743" s="976"/>
      <c r="D743" s="976"/>
      <c r="E743" s="976"/>
      <c r="R743" s="977"/>
      <c r="S743" s="977"/>
      <c r="T743" s="977"/>
      <c r="U743" s="977"/>
      <c r="V743" s="977"/>
      <c r="W743" s="977"/>
      <c r="X743" s="977"/>
      <c r="Y743" s="977"/>
    </row>
    <row r="744" spans="1:25" x14ac:dyDescent="0.2">
      <c r="A744" s="976"/>
      <c r="B744" s="976"/>
      <c r="C744" s="976"/>
      <c r="D744" s="976"/>
      <c r="E744" s="976"/>
      <c r="R744" s="977"/>
      <c r="S744" s="977"/>
      <c r="T744" s="977"/>
      <c r="U744" s="977"/>
      <c r="V744" s="977"/>
      <c r="W744" s="977"/>
      <c r="X744" s="977"/>
      <c r="Y744" s="977"/>
    </row>
    <row r="745" spans="1:25" x14ac:dyDescent="0.2">
      <c r="A745" s="976"/>
      <c r="B745" s="976"/>
      <c r="C745" s="976"/>
      <c r="D745" s="976"/>
      <c r="E745" s="976"/>
      <c r="R745" s="977"/>
      <c r="S745" s="977"/>
      <c r="T745" s="977"/>
      <c r="U745" s="977"/>
      <c r="V745" s="977"/>
      <c r="W745" s="977"/>
      <c r="X745" s="977"/>
      <c r="Y745" s="977"/>
    </row>
    <row r="746" spans="1:25" x14ac:dyDescent="0.2">
      <c r="A746" s="976"/>
      <c r="B746" s="976"/>
      <c r="C746" s="976"/>
      <c r="D746" s="976"/>
      <c r="E746" s="976"/>
      <c r="R746" s="977"/>
      <c r="S746" s="977"/>
      <c r="T746" s="977"/>
      <c r="U746" s="977"/>
      <c r="V746" s="977"/>
      <c r="W746" s="977"/>
      <c r="X746" s="977"/>
      <c r="Y746" s="977"/>
    </row>
    <row r="747" spans="1:25" x14ac:dyDescent="0.2">
      <c r="A747" s="976"/>
      <c r="B747" s="976"/>
      <c r="C747" s="976"/>
      <c r="D747" s="976"/>
      <c r="E747" s="976"/>
      <c r="R747" s="977"/>
      <c r="S747" s="977"/>
      <c r="T747" s="977"/>
      <c r="U747" s="977"/>
      <c r="V747" s="977"/>
      <c r="W747" s="977"/>
      <c r="X747" s="977"/>
      <c r="Y747" s="977"/>
    </row>
    <row r="748" spans="1:25" x14ac:dyDescent="0.2">
      <c r="A748" s="976"/>
      <c r="B748" s="976"/>
      <c r="C748" s="976"/>
      <c r="D748" s="976"/>
      <c r="E748" s="976"/>
      <c r="R748" s="977"/>
      <c r="S748" s="977"/>
      <c r="T748" s="977"/>
      <c r="U748" s="977"/>
      <c r="V748" s="977"/>
      <c r="W748" s="977"/>
      <c r="X748" s="977"/>
      <c r="Y748" s="977"/>
    </row>
    <row r="749" spans="1:25" x14ac:dyDescent="0.2">
      <c r="A749" s="976"/>
      <c r="B749" s="976"/>
      <c r="C749" s="976"/>
      <c r="D749" s="976"/>
      <c r="E749" s="976"/>
      <c r="R749" s="977"/>
      <c r="S749" s="977"/>
      <c r="T749" s="977"/>
      <c r="U749" s="977"/>
      <c r="V749" s="977"/>
      <c r="W749" s="977"/>
      <c r="X749" s="977"/>
      <c r="Y749" s="977"/>
    </row>
    <row r="750" spans="1:25" x14ac:dyDescent="0.2">
      <c r="A750" s="976"/>
      <c r="B750" s="976"/>
      <c r="C750" s="976"/>
      <c r="D750" s="976"/>
      <c r="E750" s="976"/>
      <c r="R750" s="977"/>
      <c r="S750" s="977"/>
      <c r="T750" s="977"/>
      <c r="U750" s="977"/>
      <c r="V750" s="977"/>
      <c r="W750" s="977"/>
      <c r="X750" s="977"/>
      <c r="Y750" s="977"/>
    </row>
    <row r="751" spans="1:25" x14ac:dyDescent="0.2">
      <c r="A751" s="976"/>
      <c r="B751" s="976"/>
      <c r="C751" s="976"/>
      <c r="D751" s="976"/>
      <c r="E751" s="976"/>
      <c r="R751" s="977"/>
      <c r="S751" s="977"/>
      <c r="T751" s="977"/>
      <c r="U751" s="977"/>
      <c r="V751" s="977"/>
      <c r="W751" s="977"/>
      <c r="X751" s="977"/>
      <c r="Y751" s="977"/>
    </row>
    <row r="752" spans="1:25" x14ac:dyDescent="0.2">
      <c r="A752" s="976"/>
      <c r="B752" s="976"/>
      <c r="C752" s="976"/>
      <c r="D752" s="976"/>
      <c r="E752" s="976"/>
      <c r="R752" s="977"/>
      <c r="S752" s="977"/>
      <c r="T752" s="977"/>
      <c r="U752" s="977"/>
      <c r="V752" s="977"/>
      <c r="W752" s="977"/>
      <c r="X752" s="977"/>
      <c r="Y752" s="977"/>
    </row>
    <row r="753" spans="1:25" x14ac:dyDescent="0.2">
      <c r="A753" s="976"/>
      <c r="B753" s="976"/>
      <c r="C753" s="976"/>
      <c r="D753" s="976"/>
      <c r="E753" s="976"/>
      <c r="R753" s="977"/>
      <c r="S753" s="977"/>
      <c r="T753" s="977"/>
      <c r="U753" s="977"/>
      <c r="V753" s="977"/>
      <c r="W753" s="977"/>
      <c r="X753" s="977"/>
      <c r="Y753" s="977"/>
    </row>
    <row r="754" spans="1:25" x14ac:dyDescent="0.2">
      <c r="A754" s="976"/>
      <c r="B754" s="976"/>
      <c r="C754" s="976"/>
      <c r="D754" s="976"/>
      <c r="E754" s="976"/>
      <c r="R754" s="977"/>
      <c r="S754" s="977"/>
      <c r="T754" s="977"/>
      <c r="U754" s="977"/>
      <c r="V754" s="977"/>
      <c r="W754" s="977"/>
      <c r="X754" s="977"/>
      <c r="Y754" s="977"/>
    </row>
    <row r="755" spans="1:25" x14ac:dyDescent="0.2">
      <c r="A755" s="976"/>
      <c r="B755" s="976"/>
      <c r="C755" s="976"/>
      <c r="D755" s="976"/>
      <c r="E755" s="976"/>
      <c r="R755" s="977"/>
      <c r="S755" s="977"/>
      <c r="T755" s="977"/>
      <c r="U755" s="977"/>
      <c r="V755" s="977"/>
      <c r="W755" s="977"/>
      <c r="X755" s="977"/>
      <c r="Y755" s="977"/>
    </row>
    <row r="756" spans="1:25" x14ac:dyDescent="0.2">
      <c r="A756" s="976"/>
      <c r="B756" s="976"/>
      <c r="C756" s="976"/>
      <c r="D756" s="976"/>
      <c r="E756" s="976"/>
      <c r="R756" s="977"/>
      <c r="S756" s="977"/>
      <c r="T756" s="977"/>
      <c r="U756" s="977"/>
      <c r="V756" s="977"/>
      <c r="W756" s="977"/>
      <c r="X756" s="977"/>
      <c r="Y756" s="977"/>
    </row>
    <row r="757" spans="1:25" x14ac:dyDescent="0.2">
      <c r="A757" s="976"/>
      <c r="B757" s="976"/>
      <c r="C757" s="976"/>
      <c r="D757" s="976"/>
      <c r="E757" s="976"/>
      <c r="R757" s="977"/>
      <c r="S757" s="977"/>
      <c r="T757" s="977"/>
      <c r="U757" s="977"/>
      <c r="V757" s="977"/>
      <c r="W757" s="977"/>
      <c r="X757" s="977"/>
      <c r="Y757" s="977"/>
    </row>
    <row r="758" spans="1:25" x14ac:dyDescent="0.2">
      <c r="A758" s="976"/>
      <c r="B758" s="976"/>
      <c r="C758" s="976"/>
      <c r="D758" s="976"/>
      <c r="E758" s="976"/>
      <c r="R758" s="977"/>
      <c r="S758" s="977"/>
      <c r="T758" s="977"/>
      <c r="U758" s="977"/>
      <c r="V758" s="977"/>
      <c r="W758" s="977"/>
      <c r="X758" s="977"/>
      <c r="Y758" s="977"/>
    </row>
    <row r="759" spans="1:25" x14ac:dyDescent="0.2">
      <c r="A759" s="976"/>
      <c r="B759" s="976"/>
      <c r="C759" s="976"/>
      <c r="D759" s="976"/>
      <c r="E759" s="976"/>
      <c r="R759" s="977"/>
      <c r="S759" s="977"/>
      <c r="T759" s="977"/>
      <c r="U759" s="977"/>
      <c r="V759" s="977"/>
      <c r="W759" s="977"/>
      <c r="X759" s="977"/>
      <c r="Y759" s="977"/>
    </row>
    <row r="760" spans="1:25" x14ac:dyDescent="0.2">
      <c r="A760" s="976"/>
      <c r="B760" s="976"/>
      <c r="C760" s="976"/>
      <c r="D760" s="976"/>
      <c r="E760" s="976"/>
      <c r="R760" s="977"/>
      <c r="S760" s="977"/>
      <c r="T760" s="977"/>
      <c r="U760" s="977"/>
      <c r="V760" s="977"/>
      <c r="W760" s="977"/>
      <c r="X760" s="977"/>
      <c r="Y760" s="977"/>
    </row>
    <row r="761" spans="1:25" x14ac:dyDescent="0.2">
      <c r="A761" s="976"/>
      <c r="B761" s="976"/>
      <c r="C761" s="976"/>
      <c r="D761" s="976"/>
      <c r="E761" s="976"/>
      <c r="R761" s="977"/>
      <c r="S761" s="977"/>
      <c r="T761" s="977"/>
      <c r="U761" s="977"/>
      <c r="V761" s="977"/>
      <c r="W761" s="977"/>
      <c r="X761" s="977"/>
      <c r="Y761" s="977"/>
    </row>
    <row r="762" spans="1:25" x14ac:dyDescent="0.2">
      <c r="A762" s="976"/>
      <c r="B762" s="976"/>
      <c r="C762" s="976"/>
      <c r="D762" s="976"/>
      <c r="E762" s="976"/>
      <c r="R762" s="977"/>
      <c r="S762" s="977"/>
      <c r="T762" s="977"/>
      <c r="U762" s="977"/>
      <c r="V762" s="977"/>
      <c r="W762" s="977"/>
      <c r="X762" s="977"/>
      <c r="Y762" s="977"/>
    </row>
    <row r="763" spans="1:25" x14ac:dyDescent="0.2">
      <c r="A763" s="976"/>
      <c r="B763" s="976"/>
      <c r="C763" s="976"/>
      <c r="D763" s="976"/>
      <c r="E763" s="976"/>
      <c r="R763" s="977"/>
      <c r="S763" s="977"/>
      <c r="T763" s="977"/>
      <c r="U763" s="977"/>
      <c r="V763" s="977"/>
      <c r="W763" s="977"/>
      <c r="X763" s="977"/>
      <c r="Y763" s="977"/>
    </row>
    <row r="764" spans="1:25" x14ac:dyDescent="0.2">
      <c r="A764" s="976"/>
      <c r="B764" s="976"/>
      <c r="C764" s="976"/>
      <c r="D764" s="976"/>
      <c r="E764" s="976"/>
      <c r="R764" s="977"/>
      <c r="S764" s="977"/>
      <c r="T764" s="977"/>
      <c r="U764" s="977"/>
      <c r="V764" s="977"/>
      <c r="W764" s="977"/>
      <c r="X764" s="977"/>
      <c r="Y764" s="977"/>
    </row>
    <row r="765" spans="1:25" x14ac:dyDescent="0.2">
      <c r="A765" s="976"/>
      <c r="B765" s="976"/>
      <c r="C765" s="976"/>
      <c r="D765" s="976"/>
      <c r="E765" s="976"/>
      <c r="R765" s="977"/>
      <c r="S765" s="977"/>
      <c r="T765" s="977"/>
      <c r="U765" s="977"/>
      <c r="V765" s="977"/>
      <c r="W765" s="977"/>
      <c r="X765" s="977"/>
      <c r="Y765" s="977"/>
    </row>
    <row r="766" spans="1:25" x14ac:dyDescent="0.2">
      <c r="A766" s="976"/>
      <c r="B766" s="976"/>
      <c r="C766" s="976"/>
      <c r="D766" s="976"/>
      <c r="E766" s="976"/>
      <c r="R766" s="977"/>
      <c r="S766" s="977"/>
      <c r="T766" s="977"/>
      <c r="U766" s="977"/>
      <c r="V766" s="977"/>
      <c r="W766" s="977"/>
      <c r="X766" s="977"/>
      <c r="Y766" s="977"/>
    </row>
    <row r="767" spans="1:25" x14ac:dyDescent="0.2">
      <c r="A767" s="976"/>
      <c r="B767" s="976"/>
      <c r="C767" s="976"/>
      <c r="D767" s="976"/>
      <c r="E767" s="976"/>
      <c r="R767" s="977"/>
      <c r="S767" s="977"/>
      <c r="T767" s="977"/>
      <c r="U767" s="977"/>
      <c r="V767" s="977"/>
      <c r="W767" s="977"/>
      <c r="X767" s="977"/>
      <c r="Y767" s="977"/>
    </row>
    <row r="768" spans="1:25" x14ac:dyDescent="0.2">
      <c r="A768" s="976"/>
      <c r="B768" s="976"/>
      <c r="C768" s="976"/>
      <c r="D768" s="976"/>
      <c r="E768" s="976"/>
      <c r="R768" s="977"/>
      <c r="S768" s="977"/>
      <c r="T768" s="977"/>
      <c r="U768" s="977"/>
      <c r="V768" s="977"/>
      <c r="W768" s="977"/>
      <c r="X768" s="977"/>
      <c r="Y768" s="977"/>
    </row>
    <row r="769" spans="1:25" x14ac:dyDescent="0.2">
      <c r="A769" s="976"/>
      <c r="B769" s="976"/>
      <c r="C769" s="976"/>
      <c r="D769" s="976"/>
      <c r="E769" s="976"/>
      <c r="R769" s="977"/>
      <c r="S769" s="977"/>
      <c r="T769" s="977"/>
      <c r="U769" s="977"/>
      <c r="V769" s="977"/>
      <c r="W769" s="977"/>
      <c r="X769" s="977"/>
      <c r="Y769" s="977"/>
    </row>
    <row r="770" spans="1:25" x14ac:dyDescent="0.2">
      <c r="A770" s="976"/>
      <c r="B770" s="976"/>
      <c r="C770" s="976"/>
      <c r="D770" s="976"/>
      <c r="E770" s="976"/>
      <c r="R770" s="977"/>
      <c r="S770" s="977"/>
      <c r="T770" s="977"/>
      <c r="U770" s="977"/>
      <c r="V770" s="977"/>
      <c r="W770" s="977"/>
      <c r="X770" s="977"/>
      <c r="Y770" s="977"/>
    </row>
    <row r="771" spans="1:25" x14ac:dyDescent="0.2">
      <c r="A771" s="976"/>
      <c r="B771" s="976"/>
      <c r="C771" s="976"/>
      <c r="D771" s="976"/>
      <c r="E771" s="976"/>
      <c r="R771" s="977"/>
      <c r="S771" s="977"/>
      <c r="T771" s="977"/>
      <c r="U771" s="977"/>
      <c r="V771" s="977"/>
      <c r="W771" s="977"/>
      <c r="X771" s="977"/>
      <c r="Y771" s="977"/>
    </row>
    <row r="772" spans="1:25" x14ac:dyDescent="0.2">
      <c r="A772" s="976"/>
      <c r="B772" s="976"/>
      <c r="C772" s="976"/>
      <c r="D772" s="976"/>
      <c r="E772" s="976"/>
      <c r="R772" s="977"/>
      <c r="S772" s="977"/>
      <c r="T772" s="977"/>
      <c r="U772" s="977"/>
      <c r="V772" s="977"/>
      <c r="W772" s="977"/>
      <c r="X772" s="977"/>
      <c r="Y772" s="977"/>
    </row>
    <row r="773" spans="1:25" x14ac:dyDescent="0.2">
      <c r="A773" s="976"/>
      <c r="B773" s="976"/>
      <c r="C773" s="976"/>
      <c r="D773" s="976"/>
      <c r="E773" s="976"/>
      <c r="R773" s="977"/>
      <c r="S773" s="977"/>
      <c r="T773" s="977"/>
      <c r="U773" s="977"/>
      <c r="V773" s="977"/>
      <c r="W773" s="977"/>
      <c r="X773" s="977"/>
      <c r="Y773" s="977"/>
    </row>
    <row r="774" spans="1:25" x14ac:dyDescent="0.2">
      <c r="A774" s="976"/>
      <c r="B774" s="976"/>
      <c r="C774" s="976"/>
      <c r="D774" s="976"/>
      <c r="E774" s="976"/>
      <c r="R774" s="977"/>
      <c r="S774" s="977"/>
      <c r="T774" s="977"/>
      <c r="U774" s="977"/>
      <c r="V774" s="977"/>
      <c r="W774" s="977"/>
      <c r="X774" s="977"/>
      <c r="Y774" s="977"/>
    </row>
    <row r="775" spans="1:25" x14ac:dyDescent="0.2">
      <c r="A775" s="976"/>
      <c r="B775" s="976"/>
      <c r="C775" s="976"/>
      <c r="D775" s="976"/>
      <c r="E775" s="976"/>
      <c r="R775" s="977"/>
      <c r="S775" s="977"/>
      <c r="T775" s="977"/>
      <c r="U775" s="977"/>
      <c r="V775" s="977"/>
      <c r="W775" s="977"/>
      <c r="X775" s="977"/>
      <c r="Y775" s="977"/>
    </row>
    <row r="776" spans="1:25" x14ac:dyDescent="0.2">
      <c r="A776" s="976"/>
      <c r="B776" s="976"/>
      <c r="C776" s="976"/>
      <c r="D776" s="976"/>
      <c r="E776" s="976"/>
      <c r="R776" s="977"/>
      <c r="S776" s="977"/>
      <c r="T776" s="977"/>
      <c r="U776" s="977"/>
      <c r="V776" s="977"/>
      <c r="W776" s="977"/>
      <c r="X776" s="977"/>
      <c r="Y776" s="977"/>
    </row>
    <row r="777" spans="1:25" x14ac:dyDescent="0.2">
      <c r="A777" s="976"/>
      <c r="B777" s="976"/>
      <c r="C777" s="976"/>
      <c r="D777" s="976"/>
      <c r="E777" s="976"/>
      <c r="R777" s="977"/>
      <c r="S777" s="977"/>
      <c r="T777" s="977"/>
      <c r="U777" s="977"/>
      <c r="V777" s="977"/>
      <c r="W777" s="977"/>
      <c r="X777" s="977"/>
      <c r="Y777" s="977"/>
    </row>
    <row r="778" spans="1:25" x14ac:dyDescent="0.2">
      <c r="A778" s="976"/>
      <c r="B778" s="976"/>
      <c r="C778" s="976"/>
      <c r="D778" s="976"/>
      <c r="E778" s="976"/>
      <c r="R778" s="977"/>
      <c r="S778" s="977"/>
      <c r="T778" s="977"/>
      <c r="U778" s="977"/>
      <c r="V778" s="977"/>
      <c r="W778" s="977"/>
      <c r="X778" s="977"/>
      <c r="Y778" s="977"/>
    </row>
    <row r="779" spans="1:25" x14ac:dyDescent="0.2">
      <c r="A779" s="976"/>
      <c r="B779" s="976"/>
      <c r="C779" s="976"/>
      <c r="D779" s="976"/>
      <c r="E779" s="976"/>
      <c r="R779" s="977"/>
      <c r="S779" s="977"/>
      <c r="T779" s="977"/>
      <c r="U779" s="977"/>
      <c r="V779" s="977"/>
      <c r="W779" s="977"/>
      <c r="X779" s="977"/>
      <c r="Y779" s="977"/>
    </row>
    <row r="780" spans="1:25" x14ac:dyDescent="0.2">
      <c r="A780" s="976"/>
      <c r="B780" s="976"/>
      <c r="C780" s="976"/>
      <c r="D780" s="976"/>
      <c r="E780" s="976"/>
      <c r="R780" s="977"/>
      <c r="S780" s="977"/>
      <c r="T780" s="977"/>
      <c r="U780" s="977"/>
      <c r="V780" s="977"/>
      <c r="W780" s="977"/>
      <c r="X780" s="977"/>
      <c r="Y780" s="977"/>
    </row>
    <row r="781" spans="1:25" x14ac:dyDescent="0.2">
      <c r="A781" s="976"/>
      <c r="B781" s="976"/>
      <c r="C781" s="976"/>
      <c r="D781" s="976"/>
      <c r="E781" s="976"/>
      <c r="R781" s="977"/>
      <c r="S781" s="977"/>
      <c r="T781" s="977"/>
      <c r="U781" s="977"/>
      <c r="V781" s="977"/>
      <c r="W781" s="977"/>
      <c r="X781" s="977"/>
      <c r="Y781" s="977"/>
    </row>
    <row r="782" spans="1:25" x14ac:dyDescent="0.2">
      <c r="A782" s="976"/>
      <c r="B782" s="976"/>
      <c r="C782" s="976"/>
      <c r="D782" s="976"/>
      <c r="E782" s="976"/>
      <c r="R782" s="977"/>
      <c r="S782" s="977"/>
      <c r="T782" s="977"/>
      <c r="U782" s="977"/>
      <c r="V782" s="977"/>
      <c r="W782" s="977"/>
      <c r="X782" s="977"/>
      <c r="Y782" s="977"/>
    </row>
    <row r="783" spans="1:25" x14ac:dyDescent="0.2">
      <c r="A783" s="976"/>
      <c r="B783" s="976"/>
      <c r="C783" s="976"/>
      <c r="D783" s="976"/>
      <c r="E783" s="976"/>
      <c r="R783" s="977"/>
      <c r="S783" s="977"/>
      <c r="T783" s="977"/>
      <c r="U783" s="977"/>
      <c r="V783" s="977"/>
      <c r="W783" s="977"/>
      <c r="X783" s="977"/>
      <c r="Y783" s="977"/>
    </row>
    <row r="784" spans="1:25" x14ac:dyDescent="0.2">
      <c r="A784" s="976"/>
      <c r="B784" s="976"/>
      <c r="C784" s="976"/>
      <c r="D784" s="976"/>
      <c r="E784" s="976"/>
      <c r="R784" s="977"/>
      <c r="S784" s="977"/>
      <c r="T784" s="977"/>
      <c r="U784" s="977"/>
      <c r="V784" s="977"/>
      <c r="W784" s="977"/>
      <c r="X784" s="977"/>
      <c r="Y784" s="977"/>
    </row>
    <row r="785" spans="1:25" x14ac:dyDescent="0.2">
      <c r="A785" s="976"/>
      <c r="B785" s="976"/>
      <c r="C785" s="976"/>
      <c r="D785" s="976"/>
      <c r="E785" s="976"/>
      <c r="R785" s="977"/>
      <c r="S785" s="977"/>
      <c r="T785" s="977"/>
      <c r="U785" s="977"/>
      <c r="V785" s="977"/>
      <c r="W785" s="977"/>
      <c r="X785" s="977"/>
      <c r="Y785" s="977"/>
    </row>
    <row r="786" spans="1:25" x14ac:dyDescent="0.2">
      <c r="A786" s="976"/>
      <c r="B786" s="976"/>
      <c r="C786" s="976"/>
      <c r="D786" s="976"/>
      <c r="E786" s="976"/>
      <c r="R786" s="977"/>
      <c r="S786" s="977"/>
      <c r="T786" s="977"/>
      <c r="U786" s="977"/>
      <c r="V786" s="977"/>
      <c r="W786" s="977"/>
      <c r="X786" s="977"/>
      <c r="Y786" s="977"/>
    </row>
    <row r="787" spans="1:25" x14ac:dyDescent="0.2">
      <c r="A787" s="976"/>
      <c r="B787" s="976"/>
      <c r="C787" s="976"/>
      <c r="D787" s="976"/>
      <c r="E787" s="976"/>
      <c r="R787" s="977"/>
      <c r="S787" s="977"/>
      <c r="T787" s="977"/>
      <c r="U787" s="977"/>
      <c r="V787" s="977"/>
      <c r="W787" s="977"/>
      <c r="X787" s="977"/>
      <c r="Y787" s="977"/>
    </row>
    <row r="788" spans="1:25" x14ac:dyDescent="0.2">
      <c r="A788" s="976"/>
      <c r="B788" s="976"/>
      <c r="C788" s="976"/>
      <c r="D788" s="976"/>
      <c r="E788" s="976"/>
      <c r="R788" s="977"/>
      <c r="S788" s="977"/>
      <c r="T788" s="977"/>
      <c r="U788" s="977"/>
      <c r="V788" s="977"/>
      <c r="W788" s="977"/>
      <c r="X788" s="977"/>
      <c r="Y788" s="977"/>
    </row>
    <row r="789" spans="1:25" x14ac:dyDescent="0.2">
      <c r="A789" s="976"/>
      <c r="B789" s="976"/>
      <c r="C789" s="976"/>
      <c r="D789" s="976"/>
      <c r="E789" s="976"/>
      <c r="R789" s="977"/>
      <c r="S789" s="977"/>
      <c r="T789" s="977"/>
      <c r="U789" s="977"/>
      <c r="V789" s="977"/>
      <c r="W789" s="977"/>
      <c r="X789" s="977"/>
      <c r="Y789" s="977"/>
    </row>
    <row r="790" spans="1:25" x14ac:dyDescent="0.2">
      <c r="A790" s="976"/>
      <c r="B790" s="976"/>
      <c r="C790" s="976"/>
      <c r="D790" s="976"/>
      <c r="E790" s="976"/>
      <c r="R790" s="977"/>
      <c r="S790" s="977"/>
      <c r="T790" s="977"/>
      <c r="U790" s="977"/>
      <c r="V790" s="977"/>
      <c r="W790" s="977"/>
      <c r="X790" s="977"/>
      <c r="Y790" s="977"/>
    </row>
    <row r="791" spans="1:25" x14ac:dyDescent="0.2">
      <c r="A791" s="976"/>
      <c r="B791" s="976"/>
      <c r="C791" s="976"/>
      <c r="D791" s="976"/>
      <c r="E791" s="976"/>
      <c r="R791" s="977"/>
      <c r="S791" s="977"/>
      <c r="T791" s="977"/>
      <c r="U791" s="977"/>
      <c r="V791" s="977"/>
      <c r="W791" s="977"/>
      <c r="X791" s="977"/>
      <c r="Y791" s="977"/>
    </row>
    <row r="792" spans="1:25" x14ac:dyDescent="0.2">
      <c r="A792" s="976"/>
      <c r="B792" s="976"/>
      <c r="C792" s="976"/>
      <c r="D792" s="976"/>
      <c r="E792" s="976"/>
      <c r="R792" s="977"/>
      <c r="S792" s="977"/>
      <c r="T792" s="977"/>
      <c r="U792" s="977"/>
      <c r="V792" s="977"/>
      <c r="W792" s="977"/>
      <c r="X792" s="977"/>
      <c r="Y792" s="977"/>
    </row>
    <row r="793" spans="1:25" x14ac:dyDescent="0.2">
      <c r="A793" s="976"/>
      <c r="B793" s="976"/>
      <c r="C793" s="976"/>
      <c r="D793" s="976"/>
      <c r="E793" s="976"/>
      <c r="R793" s="977"/>
      <c r="S793" s="977"/>
      <c r="T793" s="977"/>
      <c r="U793" s="977"/>
      <c r="V793" s="977"/>
      <c r="W793" s="977"/>
      <c r="X793" s="977"/>
      <c r="Y793" s="977"/>
    </row>
    <row r="794" spans="1:25" x14ac:dyDescent="0.2">
      <c r="A794" s="976"/>
      <c r="B794" s="976"/>
      <c r="C794" s="976"/>
      <c r="D794" s="976"/>
      <c r="E794" s="976"/>
      <c r="R794" s="977"/>
      <c r="S794" s="977"/>
      <c r="T794" s="977"/>
      <c r="U794" s="977"/>
      <c r="V794" s="977"/>
      <c r="W794" s="977"/>
      <c r="X794" s="977"/>
      <c r="Y794" s="977"/>
    </row>
    <row r="795" spans="1:25" x14ac:dyDescent="0.2">
      <c r="A795" s="976"/>
      <c r="B795" s="976"/>
      <c r="C795" s="976"/>
      <c r="D795" s="976"/>
      <c r="E795" s="976"/>
      <c r="R795" s="977"/>
      <c r="S795" s="977"/>
      <c r="T795" s="977"/>
      <c r="U795" s="977"/>
      <c r="V795" s="977"/>
      <c r="W795" s="977"/>
      <c r="X795" s="977"/>
      <c r="Y795" s="977"/>
    </row>
    <row r="796" spans="1:25" x14ac:dyDescent="0.2">
      <c r="A796" s="976"/>
      <c r="B796" s="976"/>
      <c r="C796" s="976"/>
      <c r="D796" s="976"/>
      <c r="E796" s="976"/>
      <c r="R796" s="977"/>
      <c r="S796" s="977"/>
      <c r="T796" s="977"/>
      <c r="U796" s="977"/>
      <c r="V796" s="977"/>
      <c r="W796" s="977"/>
      <c r="X796" s="977"/>
      <c r="Y796" s="977"/>
    </row>
    <row r="797" spans="1:25" x14ac:dyDescent="0.2">
      <c r="A797" s="976"/>
      <c r="B797" s="976"/>
      <c r="C797" s="976"/>
      <c r="D797" s="976"/>
      <c r="E797" s="976"/>
      <c r="R797" s="977"/>
      <c r="S797" s="977"/>
      <c r="T797" s="977"/>
      <c r="U797" s="977"/>
      <c r="V797" s="977"/>
      <c r="W797" s="977"/>
      <c r="X797" s="977"/>
      <c r="Y797" s="977"/>
    </row>
    <row r="798" spans="1:25" x14ac:dyDescent="0.2">
      <c r="A798" s="976"/>
      <c r="B798" s="976"/>
      <c r="C798" s="976"/>
      <c r="D798" s="976"/>
      <c r="E798" s="976"/>
      <c r="R798" s="977"/>
      <c r="S798" s="977"/>
      <c r="T798" s="977"/>
      <c r="U798" s="977"/>
      <c r="V798" s="977"/>
      <c r="W798" s="977"/>
      <c r="X798" s="977"/>
      <c r="Y798" s="977"/>
    </row>
    <row r="799" spans="1:25" x14ac:dyDescent="0.2">
      <c r="A799" s="976"/>
      <c r="B799" s="976"/>
      <c r="C799" s="976"/>
      <c r="D799" s="976"/>
      <c r="E799" s="976"/>
      <c r="R799" s="977"/>
      <c r="S799" s="977"/>
      <c r="T799" s="977"/>
      <c r="U799" s="977"/>
      <c r="V799" s="977"/>
      <c r="W799" s="977"/>
      <c r="X799" s="977"/>
      <c r="Y799" s="977"/>
    </row>
    <row r="800" spans="1:25" x14ac:dyDescent="0.2">
      <c r="A800" s="976"/>
      <c r="B800" s="976"/>
      <c r="C800" s="976"/>
      <c r="D800" s="976"/>
      <c r="E800" s="976"/>
      <c r="R800" s="977"/>
      <c r="S800" s="977"/>
      <c r="T800" s="977"/>
      <c r="U800" s="977"/>
      <c r="V800" s="977"/>
      <c r="W800" s="977"/>
      <c r="X800" s="977"/>
      <c r="Y800" s="977"/>
    </row>
    <row r="801" spans="1:25" x14ac:dyDescent="0.2">
      <c r="A801" s="976"/>
      <c r="B801" s="976"/>
      <c r="C801" s="976"/>
      <c r="D801" s="976"/>
      <c r="E801" s="976"/>
      <c r="R801" s="977"/>
      <c r="S801" s="977"/>
      <c r="T801" s="977"/>
      <c r="U801" s="977"/>
      <c r="V801" s="977"/>
      <c r="W801" s="977"/>
      <c r="X801" s="977"/>
      <c r="Y801" s="977"/>
    </row>
    <row r="802" spans="1:25" x14ac:dyDescent="0.2">
      <c r="A802" s="976"/>
      <c r="B802" s="976"/>
      <c r="C802" s="976"/>
      <c r="D802" s="976"/>
      <c r="E802" s="976"/>
      <c r="R802" s="977"/>
      <c r="S802" s="977"/>
      <c r="T802" s="977"/>
      <c r="U802" s="977"/>
      <c r="V802" s="977"/>
      <c r="W802" s="977"/>
      <c r="X802" s="977"/>
      <c r="Y802" s="977"/>
    </row>
    <row r="803" spans="1:25" x14ac:dyDescent="0.2">
      <c r="A803" s="976"/>
      <c r="B803" s="976"/>
      <c r="C803" s="976"/>
      <c r="D803" s="976"/>
      <c r="E803" s="976"/>
      <c r="R803" s="977"/>
      <c r="S803" s="977"/>
      <c r="T803" s="977"/>
      <c r="U803" s="977"/>
      <c r="V803" s="977"/>
      <c r="W803" s="977"/>
      <c r="X803" s="977"/>
      <c r="Y803" s="977"/>
    </row>
    <row r="804" spans="1:25" x14ac:dyDescent="0.2">
      <c r="A804" s="976"/>
      <c r="B804" s="976"/>
      <c r="C804" s="976"/>
      <c r="D804" s="976"/>
      <c r="E804" s="976"/>
      <c r="R804" s="977"/>
      <c r="S804" s="977"/>
      <c r="T804" s="977"/>
      <c r="U804" s="977"/>
      <c r="V804" s="977"/>
      <c r="W804" s="977"/>
      <c r="X804" s="977"/>
      <c r="Y804" s="977"/>
    </row>
    <row r="805" spans="1:25" x14ac:dyDescent="0.2">
      <c r="A805" s="976"/>
      <c r="B805" s="976"/>
      <c r="C805" s="976"/>
      <c r="D805" s="976"/>
      <c r="E805" s="976"/>
      <c r="R805" s="977"/>
      <c r="S805" s="977"/>
      <c r="T805" s="977"/>
      <c r="U805" s="977"/>
      <c r="V805" s="977"/>
      <c r="W805" s="977"/>
      <c r="X805" s="977"/>
      <c r="Y805" s="977"/>
    </row>
    <row r="806" spans="1:25" x14ac:dyDescent="0.2">
      <c r="A806" s="976"/>
      <c r="B806" s="976"/>
      <c r="C806" s="976"/>
      <c r="D806" s="976"/>
      <c r="E806" s="976"/>
      <c r="R806" s="977"/>
      <c r="S806" s="977"/>
      <c r="T806" s="977"/>
      <c r="U806" s="977"/>
      <c r="V806" s="977"/>
      <c r="W806" s="977"/>
      <c r="X806" s="977"/>
      <c r="Y806" s="977"/>
    </row>
    <row r="807" spans="1:25" x14ac:dyDescent="0.2">
      <c r="A807" s="976"/>
      <c r="B807" s="976"/>
      <c r="C807" s="976"/>
      <c r="D807" s="976"/>
      <c r="E807" s="976"/>
      <c r="R807" s="977"/>
      <c r="S807" s="977"/>
      <c r="T807" s="977"/>
      <c r="U807" s="977"/>
      <c r="V807" s="977"/>
      <c r="W807" s="977"/>
      <c r="X807" s="977"/>
      <c r="Y807" s="977"/>
    </row>
    <row r="808" spans="1:25" x14ac:dyDescent="0.2">
      <c r="A808" s="976"/>
      <c r="B808" s="976"/>
      <c r="C808" s="976"/>
      <c r="D808" s="976"/>
      <c r="E808" s="976"/>
      <c r="R808" s="977"/>
      <c r="S808" s="977"/>
      <c r="T808" s="977"/>
      <c r="U808" s="977"/>
      <c r="V808" s="977"/>
      <c r="W808" s="977"/>
      <c r="X808" s="977"/>
      <c r="Y808" s="977"/>
    </row>
    <row r="809" spans="1:25" x14ac:dyDescent="0.2">
      <c r="A809" s="976"/>
      <c r="B809" s="976"/>
      <c r="C809" s="976"/>
      <c r="D809" s="976"/>
      <c r="E809" s="976"/>
      <c r="R809" s="977"/>
      <c r="S809" s="977"/>
      <c r="T809" s="977"/>
      <c r="U809" s="977"/>
      <c r="V809" s="977"/>
      <c r="W809" s="977"/>
      <c r="X809" s="977"/>
      <c r="Y809" s="977"/>
    </row>
    <row r="810" spans="1:25" x14ac:dyDescent="0.2">
      <c r="A810" s="976"/>
      <c r="B810" s="976"/>
      <c r="C810" s="976"/>
      <c r="D810" s="976"/>
      <c r="E810" s="976"/>
      <c r="R810" s="977"/>
      <c r="S810" s="977"/>
      <c r="T810" s="977"/>
      <c r="U810" s="977"/>
      <c r="V810" s="977"/>
      <c r="W810" s="977"/>
      <c r="X810" s="977"/>
      <c r="Y810" s="977"/>
    </row>
    <row r="811" spans="1:25" x14ac:dyDescent="0.2">
      <c r="A811" s="976"/>
      <c r="B811" s="976"/>
      <c r="C811" s="976"/>
      <c r="D811" s="976"/>
      <c r="E811" s="976"/>
      <c r="R811" s="977"/>
      <c r="S811" s="977"/>
      <c r="T811" s="977"/>
      <c r="U811" s="977"/>
      <c r="V811" s="977"/>
      <c r="W811" s="977"/>
      <c r="X811" s="977"/>
      <c r="Y811" s="977"/>
    </row>
    <row r="812" spans="1:25" x14ac:dyDescent="0.2">
      <c r="A812" s="976"/>
      <c r="B812" s="976"/>
      <c r="C812" s="976"/>
      <c r="D812" s="976"/>
      <c r="E812" s="976"/>
      <c r="R812" s="977"/>
      <c r="S812" s="977"/>
      <c r="T812" s="977"/>
      <c r="U812" s="977"/>
      <c r="V812" s="977"/>
      <c r="W812" s="977"/>
      <c r="X812" s="977"/>
      <c r="Y812" s="977"/>
    </row>
    <row r="813" spans="1:25" x14ac:dyDescent="0.2">
      <c r="A813" s="976"/>
      <c r="B813" s="976"/>
      <c r="C813" s="976"/>
      <c r="D813" s="976"/>
      <c r="E813" s="976"/>
      <c r="R813" s="977"/>
      <c r="S813" s="977"/>
      <c r="T813" s="977"/>
      <c r="U813" s="977"/>
      <c r="V813" s="977"/>
      <c r="W813" s="977"/>
      <c r="X813" s="977"/>
      <c r="Y813" s="977"/>
    </row>
    <row r="814" spans="1:25" x14ac:dyDescent="0.2">
      <c r="A814" s="976"/>
      <c r="B814" s="976"/>
      <c r="C814" s="976"/>
      <c r="D814" s="976"/>
      <c r="E814" s="976"/>
      <c r="R814" s="977"/>
      <c r="S814" s="977"/>
      <c r="T814" s="977"/>
      <c r="U814" s="977"/>
      <c r="V814" s="977"/>
      <c r="W814" s="977"/>
      <c r="X814" s="977"/>
      <c r="Y814" s="977"/>
    </row>
    <row r="815" spans="1:25" x14ac:dyDescent="0.2">
      <c r="A815" s="976"/>
      <c r="B815" s="976"/>
      <c r="C815" s="976"/>
      <c r="D815" s="976"/>
      <c r="E815" s="976"/>
      <c r="R815" s="977"/>
      <c r="S815" s="977"/>
      <c r="T815" s="977"/>
      <c r="U815" s="977"/>
      <c r="V815" s="977"/>
      <c r="W815" s="977"/>
      <c r="X815" s="977"/>
      <c r="Y815" s="977"/>
    </row>
    <row r="816" spans="1:25" x14ac:dyDescent="0.2">
      <c r="A816" s="976"/>
      <c r="B816" s="976"/>
      <c r="C816" s="976"/>
      <c r="D816" s="976"/>
      <c r="E816" s="976"/>
      <c r="R816" s="977"/>
      <c r="S816" s="977"/>
      <c r="T816" s="977"/>
      <c r="U816" s="977"/>
      <c r="V816" s="977"/>
      <c r="W816" s="977"/>
      <c r="X816" s="977"/>
      <c r="Y816" s="977"/>
    </row>
    <row r="817" spans="1:25" x14ac:dyDescent="0.2">
      <c r="A817" s="976"/>
      <c r="B817" s="976"/>
      <c r="C817" s="976"/>
      <c r="D817" s="976"/>
      <c r="E817" s="976"/>
      <c r="R817" s="977"/>
      <c r="S817" s="977"/>
      <c r="T817" s="977"/>
      <c r="U817" s="977"/>
      <c r="V817" s="977"/>
      <c r="W817" s="977"/>
      <c r="X817" s="977"/>
      <c r="Y817" s="977"/>
    </row>
    <row r="818" spans="1:25" x14ac:dyDescent="0.2">
      <c r="A818" s="976"/>
      <c r="B818" s="976"/>
      <c r="C818" s="976"/>
      <c r="D818" s="976"/>
      <c r="E818" s="976"/>
      <c r="R818" s="977"/>
      <c r="S818" s="977"/>
      <c r="T818" s="977"/>
      <c r="U818" s="977"/>
      <c r="V818" s="977"/>
      <c r="W818" s="977"/>
      <c r="X818" s="977"/>
      <c r="Y818" s="977"/>
    </row>
    <row r="819" spans="1:25" x14ac:dyDescent="0.2">
      <c r="A819" s="976"/>
      <c r="B819" s="976"/>
      <c r="C819" s="976"/>
      <c r="D819" s="976"/>
      <c r="E819" s="976"/>
      <c r="R819" s="977"/>
      <c r="S819" s="977"/>
      <c r="T819" s="977"/>
      <c r="U819" s="977"/>
      <c r="V819" s="977"/>
      <c r="W819" s="977"/>
      <c r="X819" s="977"/>
      <c r="Y819" s="977"/>
    </row>
    <row r="820" spans="1:25" x14ac:dyDescent="0.2">
      <c r="A820" s="976"/>
      <c r="B820" s="976"/>
      <c r="C820" s="976"/>
      <c r="D820" s="976"/>
      <c r="E820" s="976"/>
      <c r="R820" s="977"/>
      <c r="S820" s="977"/>
      <c r="T820" s="977"/>
      <c r="U820" s="977"/>
      <c r="V820" s="977"/>
      <c r="W820" s="977"/>
      <c r="X820" s="977"/>
      <c r="Y820" s="977"/>
    </row>
    <row r="821" spans="1:25" x14ac:dyDescent="0.2">
      <c r="A821" s="976"/>
      <c r="B821" s="976"/>
      <c r="C821" s="976"/>
      <c r="D821" s="976"/>
      <c r="E821" s="976"/>
      <c r="R821" s="977"/>
      <c r="S821" s="977"/>
      <c r="T821" s="977"/>
      <c r="U821" s="977"/>
      <c r="V821" s="977"/>
      <c r="W821" s="977"/>
      <c r="X821" s="977"/>
      <c r="Y821" s="977"/>
    </row>
    <row r="822" spans="1:25" x14ac:dyDescent="0.2">
      <c r="A822" s="976"/>
      <c r="B822" s="976"/>
      <c r="C822" s="976"/>
      <c r="D822" s="976"/>
      <c r="E822" s="976"/>
      <c r="R822" s="977"/>
      <c r="S822" s="977"/>
      <c r="T822" s="977"/>
      <c r="U822" s="977"/>
      <c r="V822" s="977"/>
      <c r="W822" s="977"/>
      <c r="X822" s="977"/>
      <c r="Y822" s="977"/>
    </row>
    <row r="823" spans="1:25" x14ac:dyDescent="0.2">
      <c r="A823" s="976"/>
      <c r="B823" s="976"/>
      <c r="C823" s="976"/>
      <c r="D823" s="976"/>
      <c r="E823" s="976"/>
      <c r="R823" s="977"/>
      <c r="S823" s="977"/>
      <c r="T823" s="977"/>
      <c r="U823" s="977"/>
      <c r="V823" s="977"/>
      <c r="W823" s="977"/>
      <c r="X823" s="977"/>
      <c r="Y823" s="977"/>
    </row>
    <row r="824" spans="1:25" x14ac:dyDescent="0.2">
      <c r="A824" s="976"/>
      <c r="B824" s="976"/>
      <c r="C824" s="976"/>
      <c r="D824" s="976"/>
      <c r="E824" s="976"/>
      <c r="R824" s="977"/>
      <c r="S824" s="977"/>
      <c r="T824" s="977"/>
      <c r="U824" s="977"/>
      <c r="V824" s="977"/>
      <c r="W824" s="977"/>
      <c r="X824" s="977"/>
      <c r="Y824" s="977"/>
    </row>
    <row r="825" spans="1:25" x14ac:dyDescent="0.2">
      <c r="A825" s="976"/>
      <c r="B825" s="976"/>
      <c r="C825" s="976"/>
      <c r="D825" s="976"/>
      <c r="E825" s="976"/>
      <c r="R825" s="977"/>
      <c r="S825" s="977"/>
      <c r="T825" s="977"/>
      <c r="U825" s="977"/>
      <c r="V825" s="977"/>
      <c r="W825" s="977"/>
      <c r="X825" s="977"/>
      <c r="Y825" s="977"/>
    </row>
    <row r="826" spans="1:25" x14ac:dyDescent="0.2">
      <c r="A826" s="976"/>
      <c r="B826" s="976"/>
      <c r="C826" s="976"/>
      <c r="D826" s="976"/>
      <c r="E826" s="976"/>
      <c r="R826" s="977"/>
      <c r="S826" s="977"/>
      <c r="T826" s="977"/>
      <c r="U826" s="977"/>
      <c r="V826" s="977"/>
      <c r="W826" s="977"/>
      <c r="X826" s="977"/>
      <c r="Y826" s="977"/>
    </row>
    <row r="827" spans="1:25" x14ac:dyDescent="0.2">
      <c r="A827" s="976"/>
      <c r="B827" s="976"/>
      <c r="C827" s="976"/>
      <c r="D827" s="976"/>
      <c r="E827" s="976"/>
      <c r="R827" s="977"/>
      <c r="S827" s="977"/>
      <c r="T827" s="977"/>
      <c r="U827" s="977"/>
      <c r="V827" s="977"/>
      <c r="W827" s="977"/>
      <c r="X827" s="977"/>
      <c r="Y827" s="977"/>
    </row>
    <row r="828" spans="1:25" x14ac:dyDescent="0.2">
      <c r="A828" s="976"/>
      <c r="B828" s="976"/>
      <c r="C828" s="976"/>
      <c r="D828" s="976"/>
      <c r="E828" s="976"/>
      <c r="R828" s="977"/>
      <c r="S828" s="977"/>
      <c r="T828" s="977"/>
      <c r="U828" s="977"/>
      <c r="V828" s="977"/>
      <c r="W828" s="977"/>
      <c r="X828" s="977"/>
      <c r="Y828" s="977"/>
    </row>
    <row r="829" spans="1:25" x14ac:dyDescent="0.2">
      <c r="A829" s="976"/>
      <c r="B829" s="976"/>
      <c r="C829" s="976"/>
      <c r="D829" s="976"/>
      <c r="E829" s="976"/>
      <c r="R829" s="977"/>
      <c r="S829" s="977"/>
      <c r="T829" s="977"/>
      <c r="U829" s="977"/>
      <c r="V829" s="977"/>
      <c r="W829" s="977"/>
      <c r="X829" s="977"/>
      <c r="Y829" s="977"/>
    </row>
    <row r="830" spans="1:25" x14ac:dyDescent="0.2">
      <c r="A830" s="976"/>
      <c r="B830" s="976"/>
      <c r="C830" s="976"/>
      <c r="D830" s="976"/>
      <c r="E830" s="976"/>
      <c r="R830" s="977"/>
      <c r="S830" s="977"/>
      <c r="T830" s="977"/>
      <c r="U830" s="977"/>
      <c r="V830" s="977"/>
      <c r="W830" s="977"/>
      <c r="X830" s="977"/>
      <c r="Y830" s="977"/>
    </row>
    <row r="831" spans="1:25" x14ac:dyDescent="0.2">
      <c r="A831" s="976"/>
      <c r="B831" s="976"/>
      <c r="C831" s="976"/>
      <c r="D831" s="976"/>
      <c r="E831" s="976"/>
      <c r="R831" s="977"/>
      <c r="S831" s="977"/>
      <c r="T831" s="977"/>
      <c r="U831" s="977"/>
      <c r="V831" s="977"/>
      <c r="W831" s="977"/>
      <c r="X831" s="977"/>
      <c r="Y831" s="977"/>
    </row>
    <row r="832" spans="1:25" x14ac:dyDescent="0.2">
      <c r="A832" s="976"/>
      <c r="B832" s="976"/>
      <c r="C832" s="976"/>
      <c r="D832" s="976"/>
      <c r="E832" s="976"/>
      <c r="R832" s="977"/>
      <c r="S832" s="977"/>
      <c r="T832" s="977"/>
      <c r="U832" s="977"/>
      <c r="V832" s="977"/>
      <c r="W832" s="977"/>
      <c r="X832" s="977"/>
      <c r="Y832" s="977"/>
    </row>
    <row r="833" spans="1:25" x14ac:dyDescent="0.2">
      <c r="A833" s="976"/>
      <c r="B833" s="976"/>
      <c r="C833" s="976"/>
      <c r="D833" s="976"/>
      <c r="E833" s="976"/>
      <c r="R833" s="977"/>
      <c r="S833" s="977"/>
      <c r="T833" s="977"/>
      <c r="U833" s="977"/>
      <c r="V833" s="977"/>
      <c r="W833" s="977"/>
      <c r="X833" s="977"/>
      <c r="Y833" s="977"/>
    </row>
    <row r="834" spans="1:25" x14ac:dyDescent="0.2">
      <c r="A834" s="976"/>
      <c r="B834" s="976"/>
      <c r="C834" s="976"/>
      <c r="D834" s="976"/>
      <c r="E834" s="976"/>
      <c r="R834" s="977"/>
      <c r="S834" s="977"/>
      <c r="T834" s="977"/>
      <c r="U834" s="977"/>
      <c r="V834" s="977"/>
      <c r="W834" s="977"/>
      <c r="X834" s="977"/>
      <c r="Y834" s="977"/>
    </row>
    <row r="835" spans="1:25" x14ac:dyDescent="0.2">
      <c r="A835" s="976"/>
      <c r="B835" s="976"/>
      <c r="C835" s="976"/>
      <c r="D835" s="976"/>
      <c r="E835" s="976"/>
      <c r="R835" s="977"/>
      <c r="S835" s="977"/>
      <c r="T835" s="977"/>
      <c r="U835" s="977"/>
      <c r="V835" s="977"/>
      <c r="W835" s="977"/>
      <c r="X835" s="977"/>
      <c r="Y835" s="977"/>
    </row>
    <row r="836" spans="1:25" x14ac:dyDescent="0.2">
      <c r="A836" s="976"/>
      <c r="B836" s="976"/>
      <c r="C836" s="976"/>
      <c r="D836" s="976"/>
      <c r="E836" s="976"/>
      <c r="R836" s="977"/>
      <c r="S836" s="977"/>
      <c r="T836" s="977"/>
      <c r="U836" s="977"/>
      <c r="V836" s="977"/>
      <c r="W836" s="977"/>
      <c r="X836" s="977"/>
      <c r="Y836" s="977"/>
    </row>
    <row r="837" spans="1:25" x14ac:dyDescent="0.2">
      <c r="A837" s="976"/>
      <c r="B837" s="976"/>
      <c r="C837" s="976"/>
      <c r="D837" s="976"/>
      <c r="E837" s="976"/>
      <c r="R837" s="977"/>
      <c r="S837" s="977"/>
      <c r="T837" s="977"/>
      <c r="U837" s="977"/>
      <c r="V837" s="977"/>
      <c r="W837" s="977"/>
      <c r="X837" s="977"/>
      <c r="Y837" s="977"/>
    </row>
    <row r="838" spans="1:25" x14ac:dyDescent="0.2">
      <c r="A838" s="976"/>
      <c r="B838" s="976"/>
      <c r="C838" s="976"/>
      <c r="D838" s="976"/>
      <c r="E838" s="976"/>
      <c r="R838" s="977"/>
      <c r="S838" s="977"/>
      <c r="T838" s="977"/>
      <c r="U838" s="977"/>
      <c r="V838" s="977"/>
      <c r="W838" s="977"/>
      <c r="X838" s="977"/>
      <c r="Y838" s="977"/>
    </row>
    <row r="839" spans="1:25" x14ac:dyDescent="0.2">
      <c r="A839" s="976"/>
      <c r="B839" s="976"/>
      <c r="C839" s="976"/>
      <c r="D839" s="976"/>
      <c r="E839" s="976"/>
      <c r="R839" s="977"/>
      <c r="S839" s="977"/>
      <c r="T839" s="977"/>
      <c r="U839" s="977"/>
      <c r="V839" s="977"/>
      <c r="W839" s="977"/>
      <c r="X839" s="977"/>
      <c r="Y839" s="977"/>
    </row>
    <row r="840" spans="1:25" x14ac:dyDescent="0.2">
      <c r="A840" s="976"/>
      <c r="B840" s="976"/>
      <c r="C840" s="976"/>
      <c r="D840" s="976"/>
      <c r="E840" s="976"/>
      <c r="R840" s="977"/>
      <c r="S840" s="977"/>
      <c r="T840" s="977"/>
      <c r="U840" s="977"/>
      <c r="V840" s="977"/>
      <c r="W840" s="977"/>
      <c r="X840" s="977"/>
      <c r="Y840" s="977"/>
    </row>
    <row r="841" spans="1:25" x14ac:dyDescent="0.2">
      <c r="A841" s="976"/>
      <c r="B841" s="976"/>
      <c r="C841" s="976"/>
      <c r="D841" s="976"/>
      <c r="E841" s="976"/>
      <c r="R841" s="977"/>
      <c r="S841" s="977"/>
      <c r="T841" s="977"/>
      <c r="U841" s="977"/>
      <c r="V841" s="977"/>
      <c r="W841" s="977"/>
      <c r="X841" s="977"/>
      <c r="Y841" s="977"/>
    </row>
    <row r="842" spans="1:25" x14ac:dyDescent="0.2">
      <c r="A842" s="976"/>
      <c r="B842" s="976"/>
      <c r="C842" s="976"/>
      <c r="D842" s="976"/>
      <c r="E842" s="976"/>
      <c r="R842" s="977"/>
      <c r="S842" s="977"/>
      <c r="T842" s="977"/>
      <c r="U842" s="977"/>
      <c r="V842" s="977"/>
      <c r="W842" s="977"/>
      <c r="X842" s="977"/>
      <c r="Y842" s="977"/>
    </row>
    <row r="843" spans="1:25" x14ac:dyDescent="0.2">
      <c r="A843" s="976"/>
      <c r="B843" s="976"/>
      <c r="C843" s="976"/>
      <c r="D843" s="976"/>
      <c r="E843" s="976"/>
      <c r="R843" s="977"/>
      <c r="S843" s="977"/>
      <c r="T843" s="977"/>
      <c r="U843" s="977"/>
      <c r="V843" s="977"/>
      <c r="W843" s="977"/>
      <c r="X843" s="977"/>
      <c r="Y843" s="977"/>
    </row>
    <row r="844" spans="1:25" x14ac:dyDescent="0.2">
      <c r="A844" s="976"/>
      <c r="B844" s="976"/>
      <c r="C844" s="976"/>
      <c r="D844" s="976"/>
      <c r="E844" s="976"/>
      <c r="R844" s="977"/>
      <c r="S844" s="977"/>
      <c r="T844" s="977"/>
      <c r="U844" s="977"/>
      <c r="V844" s="977"/>
      <c r="W844" s="977"/>
      <c r="X844" s="977"/>
      <c r="Y844" s="977"/>
    </row>
    <row r="845" spans="1:25" x14ac:dyDescent="0.2">
      <c r="A845" s="976"/>
      <c r="B845" s="976"/>
      <c r="C845" s="976"/>
      <c r="D845" s="976"/>
      <c r="E845" s="976"/>
      <c r="R845" s="977"/>
      <c r="S845" s="977"/>
      <c r="T845" s="977"/>
      <c r="U845" s="977"/>
      <c r="V845" s="977"/>
      <c r="W845" s="977"/>
      <c r="X845" s="977"/>
      <c r="Y845" s="977"/>
    </row>
    <row r="846" spans="1:25" x14ac:dyDescent="0.2">
      <c r="A846" s="976"/>
      <c r="B846" s="976"/>
      <c r="C846" s="976"/>
      <c r="D846" s="976"/>
      <c r="E846" s="976"/>
      <c r="R846" s="977"/>
      <c r="S846" s="977"/>
      <c r="T846" s="977"/>
      <c r="U846" s="977"/>
      <c r="V846" s="977"/>
      <c r="W846" s="977"/>
      <c r="X846" s="977"/>
      <c r="Y846" s="977"/>
    </row>
    <row r="847" spans="1:25" x14ac:dyDescent="0.2">
      <c r="A847" s="976"/>
      <c r="B847" s="976"/>
      <c r="C847" s="976"/>
      <c r="D847" s="976"/>
      <c r="E847" s="976"/>
      <c r="R847" s="977"/>
      <c r="S847" s="977"/>
      <c r="T847" s="977"/>
      <c r="U847" s="977"/>
      <c r="V847" s="977"/>
      <c r="W847" s="977"/>
      <c r="X847" s="977"/>
      <c r="Y847" s="977"/>
    </row>
    <row r="848" spans="1:25" x14ac:dyDescent="0.2">
      <c r="A848" s="976"/>
      <c r="B848" s="976"/>
      <c r="C848" s="976"/>
      <c r="D848" s="976"/>
      <c r="E848" s="976"/>
      <c r="R848" s="977"/>
      <c r="S848" s="977"/>
      <c r="T848" s="977"/>
      <c r="U848" s="977"/>
      <c r="V848" s="977"/>
      <c r="W848" s="977"/>
      <c r="X848" s="977"/>
      <c r="Y848" s="977"/>
    </row>
    <row r="849" spans="1:25" x14ac:dyDescent="0.2">
      <c r="A849" s="976"/>
      <c r="B849" s="976"/>
      <c r="C849" s="976"/>
      <c r="D849" s="976"/>
      <c r="E849" s="976"/>
      <c r="R849" s="977"/>
      <c r="S849" s="977"/>
      <c r="T849" s="977"/>
      <c r="U849" s="977"/>
      <c r="V849" s="977"/>
      <c r="W849" s="977"/>
      <c r="X849" s="977"/>
      <c r="Y849" s="977"/>
    </row>
    <row r="850" spans="1:25" x14ac:dyDescent="0.2">
      <c r="A850" s="976"/>
      <c r="B850" s="976"/>
      <c r="C850" s="976"/>
      <c r="D850" s="976"/>
      <c r="E850" s="976"/>
      <c r="R850" s="977"/>
      <c r="S850" s="977"/>
      <c r="T850" s="977"/>
      <c r="U850" s="977"/>
      <c r="V850" s="977"/>
      <c r="W850" s="977"/>
      <c r="X850" s="977"/>
      <c r="Y850" s="977"/>
    </row>
    <row r="851" spans="1:25" x14ac:dyDescent="0.2">
      <c r="A851" s="976"/>
      <c r="B851" s="976"/>
      <c r="C851" s="976"/>
      <c r="D851" s="976"/>
      <c r="E851" s="976"/>
      <c r="R851" s="977"/>
      <c r="S851" s="977"/>
      <c r="T851" s="977"/>
      <c r="U851" s="977"/>
      <c r="V851" s="977"/>
      <c r="W851" s="977"/>
      <c r="X851" s="977"/>
      <c r="Y851" s="977"/>
    </row>
    <row r="852" spans="1:25" x14ac:dyDescent="0.2">
      <c r="A852" s="976"/>
      <c r="B852" s="976"/>
      <c r="C852" s="976"/>
      <c r="D852" s="976"/>
      <c r="E852" s="976"/>
      <c r="R852" s="977"/>
      <c r="S852" s="977"/>
      <c r="T852" s="977"/>
      <c r="U852" s="977"/>
      <c r="V852" s="977"/>
      <c r="W852" s="977"/>
      <c r="X852" s="977"/>
      <c r="Y852" s="977"/>
    </row>
    <row r="853" spans="1:25" x14ac:dyDescent="0.2">
      <c r="A853" s="976"/>
      <c r="B853" s="976"/>
      <c r="C853" s="976"/>
      <c r="D853" s="976"/>
      <c r="E853" s="976"/>
      <c r="R853" s="977"/>
      <c r="S853" s="977"/>
      <c r="T853" s="977"/>
      <c r="U853" s="977"/>
      <c r="V853" s="977"/>
      <c r="W853" s="977"/>
      <c r="X853" s="977"/>
      <c r="Y853" s="977"/>
    </row>
    <row r="854" spans="1:25" x14ac:dyDescent="0.2">
      <c r="A854" s="976"/>
      <c r="B854" s="976"/>
      <c r="C854" s="976"/>
      <c r="D854" s="976"/>
      <c r="E854" s="976"/>
      <c r="R854" s="977"/>
      <c r="S854" s="977"/>
      <c r="T854" s="977"/>
      <c r="U854" s="977"/>
      <c r="V854" s="977"/>
      <c r="W854" s="977"/>
      <c r="X854" s="977"/>
      <c r="Y854" s="977"/>
    </row>
    <row r="855" spans="1:25" x14ac:dyDescent="0.2">
      <c r="A855" s="976"/>
      <c r="B855" s="976"/>
      <c r="C855" s="976"/>
      <c r="D855" s="976"/>
      <c r="E855" s="976"/>
      <c r="R855" s="977"/>
      <c r="S855" s="977"/>
      <c r="T855" s="977"/>
      <c r="U855" s="977"/>
      <c r="V855" s="977"/>
      <c r="W855" s="977"/>
      <c r="X855" s="977"/>
      <c r="Y855" s="977"/>
    </row>
    <row r="856" spans="1:25" x14ac:dyDescent="0.2">
      <c r="A856" s="976"/>
      <c r="B856" s="976"/>
      <c r="C856" s="976"/>
      <c r="D856" s="976"/>
      <c r="E856" s="976"/>
      <c r="R856" s="977"/>
      <c r="S856" s="977"/>
      <c r="T856" s="977"/>
      <c r="U856" s="977"/>
      <c r="V856" s="977"/>
      <c r="W856" s="977"/>
      <c r="X856" s="977"/>
      <c r="Y856" s="977"/>
    </row>
    <row r="857" spans="1:25" x14ac:dyDescent="0.2">
      <c r="A857" s="976"/>
      <c r="B857" s="976"/>
      <c r="C857" s="976"/>
      <c r="D857" s="976"/>
      <c r="E857" s="976"/>
      <c r="R857" s="977"/>
      <c r="S857" s="977"/>
      <c r="T857" s="977"/>
      <c r="U857" s="977"/>
      <c r="V857" s="977"/>
      <c r="W857" s="977"/>
      <c r="X857" s="977"/>
      <c r="Y857" s="977"/>
    </row>
    <row r="858" spans="1:25" x14ac:dyDescent="0.2">
      <c r="A858" s="976"/>
      <c r="B858" s="976"/>
      <c r="C858" s="976"/>
      <c r="D858" s="976"/>
      <c r="E858" s="976"/>
      <c r="R858" s="977"/>
      <c r="S858" s="977"/>
      <c r="T858" s="977"/>
      <c r="U858" s="977"/>
      <c r="V858" s="977"/>
      <c r="W858" s="977"/>
      <c r="X858" s="977"/>
      <c r="Y858" s="977"/>
    </row>
    <row r="859" spans="1:25" x14ac:dyDescent="0.2">
      <c r="A859" s="976"/>
      <c r="B859" s="976"/>
      <c r="C859" s="976"/>
      <c r="D859" s="976"/>
      <c r="E859" s="976"/>
      <c r="R859" s="977"/>
      <c r="S859" s="977"/>
      <c r="T859" s="977"/>
      <c r="U859" s="977"/>
      <c r="V859" s="977"/>
      <c r="W859" s="977"/>
      <c r="X859" s="977"/>
      <c r="Y859" s="977"/>
    </row>
    <row r="860" spans="1:25" x14ac:dyDescent="0.2">
      <c r="A860" s="976"/>
      <c r="B860" s="976"/>
      <c r="C860" s="976"/>
      <c r="D860" s="976"/>
      <c r="E860" s="976"/>
      <c r="R860" s="977"/>
      <c r="S860" s="977"/>
      <c r="T860" s="977"/>
      <c r="U860" s="977"/>
      <c r="V860" s="977"/>
      <c r="W860" s="977"/>
      <c r="X860" s="977"/>
      <c r="Y860" s="977"/>
    </row>
    <row r="861" spans="1:25" x14ac:dyDescent="0.2">
      <c r="A861" s="976"/>
      <c r="B861" s="976"/>
      <c r="C861" s="976"/>
      <c r="D861" s="976"/>
      <c r="E861" s="976"/>
      <c r="R861" s="977"/>
      <c r="S861" s="977"/>
      <c r="T861" s="977"/>
      <c r="U861" s="977"/>
      <c r="V861" s="977"/>
      <c r="W861" s="977"/>
      <c r="X861" s="977"/>
      <c r="Y861" s="977"/>
    </row>
    <row r="862" spans="1:25" x14ac:dyDescent="0.2">
      <c r="A862" s="976"/>
      <c r="B862" s="976"/>
      <c r="C862" s="976"/>
      <c r="D862" s="976"/>
      <c r="E862" s="976"/>
      <c r="R862" s="977"/>
      <c r="S862" s="977"/>
      <c r="T862" s="977"/>
      <c r="U862" s="977"/>
      <c r="V862" s="977"/>
      <c r="W862" s="977"/>
      <c r="X862" s="977"/>
      <c r="Y862" s="977"/>
    </row>
    <row r="863" spans="1:25" x14ac:dyDescent="0.2">
      <c r="A863" s="976"/>
      <c r="B863" s="976"/>
      <c r="C863" s="976"/>
      <c r="D863" s="976"/>
      <c r="E863" s="976"/>
      <c r="R863" s="977"/>
      <c r="S863" s="977"/>
      <c r="T863" s="977"/>
      <c r="U863" s="977"/>
      <c r="V863" s="977"/>
      <c r="W863" s="977"/>
      <c r="X863" s="977"/>
      <c r="Y863" s="977"/>
    </row>
    <row r="864" spans="1:25" x14ac:dyDescent="0.2">
      <c r="A864" s="976"/>
      <c r="B864" s="976"/>
      <c r="C864" s="976"/>
      <c r="D864" s="976"/>
      <c r="E864" s="976"/>
      <c r="R864" s="977"/>
      <c r="S864" s="977"/>
      <c r="T864" s="977"/>
      <c r="U864" s="977"/>
      <c r="V864" s="977"/>
      <c r="W864" s="977"/>
      <c r="X864" s="977"/>
      <c r="Y864" s="977"/>
    </row>
    <row r="865" spans="1:25" x14ac:dyDescent="0.2">
      <c r="A865" s="976"/>
      <c r="B865" s="976"/>
      <c r="C865" s="976"/>
      <c r="D865" s="976"/>
      <c r="E865" s="976"/>
      <c r="R865" s="977"/>
      <c r="S865" s="977"/>
      <c r="T865" s="977"/>
      <c r="U865" s="977"/>
      <c r="V865" s="977"/>
      <c r="W865" s="977"/>
      <c r="X865" s="977"/>
      <c r="Y865" s="977"/>
    </row>
    <row r="866" spans="1:25" x14ac:dyDescent="0.2">
      <c r="A866" s="976"/>
      <c r="B866" s="976"/>
      <c r="C866" s="976"/>
      <c r="D866" s="976"/>
      <c r="E866" s="976"/>
      <c r="R866" s="977"/>
      <c r="S866" s="977"/>
      <c r="T866" s="977"/>
      <c r="U866" s="977"/>
      <c r="V866" s="977"/>
      <c r="W866" s="977"/>
      <c r="X866" s="977"/>
      <c r="Y866" s="977"/>
    </row>
    <row r="867" spans="1:25" x14ac:dyDescent="0.2">
      <c r="A867" s="976"/>
      <c r="B867" s="976"/>
      <c r="C867" s="976"/>
      <c r="D867" s="976"/>
      <c r="E867" s="976"/>
      <c r="R867" s="977"/>
      <c r="S867" s="977"/>
      <c r="T867" s="977"/>
      <c r="U867" s="977"/>
      <c r="V867" s="977"/>
      <c r="W867" s="977"/>
      <c r="X867" s="977"/>
      <c r="Y867" s="977"/>
    </row>
    <row r="868" spans="1:25" x14ac:dyDescent="0.2">
      <c r="A868" s="976"/>
      <c r="B868" s="976"/>
      <c r="C868" s="976"/>
      <c r="D868" s="976"/>
      <c r="E868" s="976"/>
      <c r="R868" s="977"/>
      <c r="S868" s="977"/>
      <c r="T868" s="977"/>
      <c r="U868" s="977"/>
      <c r="V868" s="977"/>
      <c r="W868" s="977"/>
      <c r="X868" s="977"/>
      <c r="Y868" s="977"/>
    </row>
    <row r="869" spans="1:25" x14ac:dyDescent="0.2">
      <c r="A869" s="976"/>
      <c r="B869" s="976"/>
      <c r="C869" s="976"/>
      <c r="D869" s="976"/>
      <c r="E869" s="976"/>
      <c r="R869" s="977"/>
      <c r="S869" s="977"/>
      <c r="T869" s="977"/>
      <c r="U869" s="977"/>
      <c r="V869" s="977"/>
      <c r="W869" s="977"/>
      <c r="X869" s="977"/>
      <c r="Y869" s="977"/>
    </row>
    <row r="870" spans="1:25" x14ac:dyDescent="0.2">
      <c r="A870" s="976"/>
      <c r="B870" s="976"/>
      <c r="C870" s="976"/>
      <c r="D870" s="976"/>
      <c r="E870" s="976"/>
      <c r="R870" s="977"/>
      <c r="S870" s="977"/>
      <c r="T870" s="977"/>
      <c r="U870" s="977"/>
      <c r="V870" s="977"/>
      <c r="W870" s="977"/>
      <c r="X870" s="977"/>
      <c r="Y870" s="977"/>
    </row>
    <row r="871" spans="1:25" x14ac:dyDescent="0.2">
      <c r="A871" s="976"/>
      <c r="B871" s="976"/>
      <c r="C871" s="976"/>
      <c r="D871" s="976"/>
      <c r="E871" s="976"/>
      <c r="R871" s="977"/>
      <c r="S871" s="977"/>
      <c r="T871" s="977"/>
      <c r="U871" s="977"/>
      <c r="V871" s="977"/>
      <c r="W871" s="977"/>
      <c r="X871" s="977"/>
      <c r="Y871" s="977"/>
    </row>
    <row r="872" spans="1:25" x14ac:dyDescent="0.2">
      <c r="A872" s="976"/>
      <c r="B872" s="976"/>
      <c r="C872" s="976"/>
      <c r="D872" s="976"/>
      <c r="E872" s="976"/>
      <c r="R872" s="977"/>
      <c r="S872" s="977"/>
      <c r="T872" s="977"/>
      <c r="U872" s="977"/>
      <c r="V872" s="977"/>
      <c r="W872" s="977"/>
      <c r="X872" s="977"/>
      <c r="Y872" s="977"/>
    </row>
    <row r="873" spans="1:25" x14ac:dyDescent="0.2">
      <c r="A873" s="976"/>
      <c r="B873" s="976"/>
      <c r="C873" s="976"/>
      <c r="D873" s="976"/>
      <c r="E873" s="976"/>
      <c r="R873" s="977"/>
      <c r="S873" s="977"/>
      <c r="T873" s="977"/>
      <c r="U873" s="977"/>
      <c r="V873" s="977"/>
      <c r="W873" s="977"/>
      <c r="X873" s="977"/>
      <c r="Y873" s="977"/>
    </row>
    <row r="874" spans="1:25" x14ac:dyDescent="0.2">
      <c r="A874" s="976"/>
      <c r="B874" s="976"/>
      <c r="C874" s="976"/>
      <c r="D874" s="976"/>
      <c r="E874" s="976"/>
      <c r="R874" s="977"/>
      <c r="S874" s="977"/>
      <c r="T874" s="977"/>
      <c r="U874" s="977"/>
      <c r="V874" s="977"/>
      <c r="W874" s="977"/>
      <c r="X874" s="977"/>
      <c r="Y874" s="977"/>
    </row>
    <row r="875" spans="1:25" x14ac:dyDescent="0.2">
      <c r="A875" s="976"/>
      <c r="B875" s="976"/>
      <c r="C875" s="976"/>
      <c r="D875" s="976"/>
      <c r="E875" s="976"/>
      <c r="R875" s="977"/>
      <c r="S875" s="977"/>
      <c r="T875" s="977"/>
      <c r="U875" s="977"/>
      <c r="V875" s="977"/>
      <c r="W875" s="977"/>
      <c r="X875" s="977"/>
      <c r="Y875" s="977"/>
    </row>
    <row r="876" spans="1:25" x14ac:dyDescent="0.2">
      <c r="A876" s="976"/>
      <c r="B876" s="976"/>
      <c r="C876" s="976"/>
      <c r="D876" s="976"/>
      <c r="E876" s="976"/>
      <c r="R876" s="977"/>
      <c r="S876" s="977"/>
      <c r="T876" s="977"/>
      <c r="U876" s="977"/>
      <c r="V876" s="977"/>
      <c r="W876" s="977"/>
      <c r="X876" s="977"/>
      <c r="Y876" s="977"/>
    </row>
    <row r="877" spans="1:25" x14ac:dyDescent="0.2">
      <c r="A877" s="976"/>
      <c r="B877" s="976"/>
      <c r="C877" s="976"/>
      <c r="D877" s="976"/>
      <c r="E877" s="976"/>
      <c r="R877" s="977"/>
      <c r="S877" s="977"/>
      <c r="T877" s="977"/>
      <c r="U877" s="977"/>
      <c r="V877" s="977"/>
      <c r="W877" s="977"/>
      <c r="X877" s="977"/>
      <c r="Y877" s="977"/>
    </row>
    <row r="878" spans="1:25" x14ac:dyDescent="0.2">
      <c r="A878" s="976"/>
      <c r="B878" s="976"/>
      <c r="C878" s="976"/>
      <c r="D878" s="976"/>
      <c r="E878" s="976"/>
      <c r="R878" s="977"/>
      <c r="S878" s="977"/>
      <c r="T878" s="977"/>
      <c r="U878" s="977"/>
      <c r="V878" s="977"/>
      <c r="W878" s="977"/>
      <c r="X878" s="977"/>
      <c r="Y878" s="977"/>
    </row>
    <row r="879" spans="1:25" x14ac:dyDescent="0.2">
      <c r="A879" s="976"/>
      <c r="B879" s="976"/>
      <c r="C879" s="976"/>
      <c r="D879" s="976"/>
      <c r="E879" s="976"/>
      <c r="R879" s="977"/>
      <c r="S879" s="977"/>
      <c r="T879" s="977"/>
      <c r="U879" s="977"/>
      <c r="V879" s="977"/>
      <c r="W879" s="977"/>
      <c r="X879" s="977"/>
      <c r="Y879" s="977"/>
    </row>
    <row r="880" spans="1:25" x14ac:dyDescent="0.2">
      <c r="A880" s="976"/>
      <c r="B880" s="976"/>
      <c r="C880" s="976"/>
      <c r="D880" s="976"/>
      <c r="E880" s="976"/>
      <c r="R880" s="977"/>
      <c r="S880" s="977"/>
      <c r="T880" s="977"/>
      <c r="U880" s="977"/>
      <c r="V880" s="977"/>
      <c r="W880" s="977"/>
      <c r="X880" s="977"/>
      <c r="Y880" s="977"/>
    </row>
    <row r="881" spans="1:25" x14ac:dyDescent="0.2">
      <c r="A881" s="976"/>
      <c r="B881" s="976"/>
      <c r="C881" s="976"/>
      <c r="D881" s="976"/>
      <c r="E881" s="976"/>
      <c r="R881" s="977"/>
      <c r="S881" s="977"/>
      <c r="T881" s="977"/>
      <c r="U881" s="977"/>
      <c r="V881" s="977"/>
      <c r="W881" s="977"/>
      <c r="X881" s="977"/>
      <c r="Y881" s="977"/>
    </row>
    <row r="882" spans="1:25" x14ac:dyDescent="0.2">
      <c r="A882" s="976"/>
      <c r="B882" s="976"/>
      <c r="C882" s="976"/>
      <c r="D882" s="976"/>
      <c r="E882" s="976"/>
      <c r="R882" s="977"/>
      <c r="S882" s="977"/>
      <c r="T882" s="977"/>
      <c r="U882" s="977"/>
      <c r="V882" s="977"/>
      <c r="W882" s="977"/>
      <c r="X882" s="977"/>
      <c r="Y882" s="977"/>
    </row>
    <row r="883" spans="1:25" x14ac:dyDescent="0.2">
      <c r="A883" s="976"/>
      <c r="B883" s="976"/>
      <c r="C883" s="976"/>
      <c r="D883" s="976"/>
      <c r="E883" s="976"/>
      <c r="R883" s="977"/>
      <c r="S883" s="977"/>
      <c r="T883" s="977"/>
      <c r="U883" s="977"/>
      <c r="V883" s="977"/>
      <c r="W883" s="977"/>
      <c r="X883" s="977"/>
      <c r="Y883" s="977"/>
    </row>
    <row r="884" spans="1:25" x14ac:dyDescent="0.2">
      <c r="A884" s="976"/>
      <c r="B884" s="976"/>
      <c r="C884" s="976"/>
      <c r="D884" s="976"/>
      <c r="E884" s="976"/>
      <c r="R884" s="977"/>
      <c r="S884" s="977"/>
      <c r="T884" s="977"/>
      <c r="U884" s="977"/>
      <c r="V884" s="977"/>
      <c r="W884" s="977"/>
      <c r="X884" s="977"/>
      <c r="Y884" s="977"/>
    </row>
    <row r="885" spans="1:25" x14ac:dyDescent="0.2">
      <c r="A885" s="976"/>
      <c r="B885" s="976"/>
      <c r="C885" s="976"/>
      <c r="D885" s="976"/>
      <c r="E885" s="976"/>
      <c r="R885" s="977"/>
      <c r="S885" s="977"/>
      <c r="T885" s="977"/>
      <c r="U885" s="977"/>
      <c r="V885" s="977"/>
      <c r="W885" s="977"/>
      <c r="X885" s="977"/>
      <c r="Y885" s="977"/>
    </row>
    <row r="886" spans="1:25" x14ac:dyDescent="0.2">
      <c r="A886" s="976"/>
      <c r="B886" s="976"/>
      <c r="C886" s="976"/>
      <c r="D886" s="976"/>
      <c r="E886" s="976"/>
      <c r="R886" s="977"/>
      <c r="S886" s="977"/>
      <c r="T886" s="977"/>
      <c r="U886" s="977"/>
      <c r="V886" s="977"/>
      <c r="W886" s="977"/>
      <c r="X886" s="977"/>
      <c r="Y886" s="977"/>
    </row>
    <row r="887" spans="1:25" x14ac:dyDescent="0.2">
      <c r="A887" s="976"/>
      <c r="B887" s="976"/>
      <c r="C887" s="976"/>
      <c r="D887" s="976"/>
      <c r="E887" s="976"/>
      <c r="R887" s="977"/>
      <c r="S887" s="977"/>
      <c r="T887" s="977"/>
      <c r="U887" s="977"/>
      <c r="V887" s="977"/>
      <c r="W887" s="977"/>
      <c r="X887" s="977"/>
      <c r="Y887" s="977"/>
    </row>
    <row r="888" spans="1:25" x14ac:dyDescent="0.2">
      <c r="A888" s="976"/>
      <c r="B888" s="976"/>
      <c r="C888" s="976"/>
      <c r="D888" s="976"/>
      <c r="E888" s="976"/>
      <c r="R888" s="977"/>
      <c r="S888" s="977"/>
      <c r="T888" s="977"/>
      <c r="U888" s="977"/>
      <c r="V888" s="977"/>
      <c r="W888" s="977"/>
      <c r="X888" s="977"/>
      <c r="Y888" s="977"/>
    </row>
    <row r="889" spans="1:25" x14ac:dyDescent="0.2">
      <c r="A889" s="976"/>
      <c r="B889" s="976"/>
      <c r="C889" s="976"/>
      <c r="D889" s="976"/>
      <c r="E889" s="976"/>
      <c r="R889" s="977"/>
      <c r="S889" s="977"/>
      <c r="T889" s="977"/>
      <c r="U889" s="977"/>
      <c r="V889" s="977"/>
      <c r="W889" s="977"/>
      <c r="X889" s="977"/>
      <c r="Y889" s="977"/>
    </row>
    <row r="890" spans="1:25" x14ac:dyDescent="0.2">
      <c r="A890" s="976"/>
      <c r="B890" s="976"/>
      <c r="C890" s="976"/>
      <c r="D890" s="976"/>
      <c r="E890" s="976"/>
      <c r="R890" s="977"/>
      <c r="S890" s="977"/>
      <c r="T890" s="977"/>
      <c r="U890" s="977"/>
      <c r="V890" s="977"/>
      <c r="W890" s="977"/>
      <c r="X890" s="977"/>
      <c r="Y890" s="977"/>
    </row>
    <row r="891" spans="1:25" x14ac:dyDescent="0.2">
      <c r="A891" s="976"/>
      <c r="B891" s="976"/>
      <c r="C891" s="976"/>
      <c r="D891" s="976"/>
      <c r="E891" s="976"/>
      <c r="R891" s="977"/>
      <c r="S891" s="977"/>
      <c r="T891" s="977"/>
      <c r="U891" s="977"/>
      <c r="V891" s="977"/>
      <c r="W891" s="977"/>
      <c r="X891" s="977"/>
      <c r="Y891" s="977"/>
    </row>
    <row r="892" spans="1:25" x14ac:dyDescent="0.2">
      <c r="A892" s="976"/>
      <c r="B892" s="976"/>
      <c r="C892" s="976"/>
      <c r="D892" s="976"/>
      <c r="E892" s="976"/>
      <c r="R892" s="977"/>
      <c r="S892" s="977"/>
      <c r="T892" s="977"/>
      <c r="U892" s="977"/>
      <c r="V892" s="977"/>
      <c r="W892" s="977"/>
      <c r="X892" s="977"/>
      <c r="Y892" s="977"/>
    </row>
    <row r="893" spans="1:25" x14ac:dyDescent="0.2">
      <c r="A893" s="976"/>
      <c r="B893" s="976"/>
      <c r="C893" s="976"/>
      <c r="D893" s="976"/>
      <c r="E893" s="976"/>
      <c r="R893" s="977"/>
      <c r="S893" s="977"/>
      <c r="T893" s="977"/>
      <c r="U893" s="977"/>
      <c r="V893" s="977"/>
      <c r="W893" s="977"/>
      <c r="X893" s="977"/>
      <c r="Y893" s="977"/>
    </row>
    <row r="894" spans="1:25" x14ac:dyDescent="0.2">
      <c r="A894" s="976"/>
      <c r="B894" s="976"/>
      <c r="C894" s="976"/>
      <c r="D894" s="976"/>
      <c r="E894" s="976"/>
      <c r="R894" s="977"/>
      <c r="S894" s="977"/>
      <c r="T894" s="977"/>
      <c r="U894" s="977"/>
      <c r="V894" s="977"/>
      <c r="W894" s="977"/>
      <c r="X894" s="977"/>
      <c r="Y894" s="977"/>
    </row>
    <row r="895" spans="1:25" x14ac:dyDescent="0.2">
      <c r="A895" s="976"/>
      <c r="B895" s="976"/>
      <c r="C895" s="976"/>
      <c r="D895" s="976"/>
      <c r="E895" s="976"/>
      <c r="R895" s="977"/>
      <c r="S895" s="977"/>
      <c r="T895" s="977"/>
      <c r="U895" s="977"/>
      <c r="V895" s="977"/>
      <c r="W895" s="977"/>
      <c r="X895" s="977"/>
      <c r="Y895" s="977"/>
    </row>
    <row r="896" spans="1:25" x14ac:dyDescent="0.2">
      <c r="A896" s="976"/>
      <c r="B896" s="976"/>
      <c r="C896" s="976"/>
      <c r="D896" s="976"/>
      <c r="E896" s="976"/>
      <c r="R896" s="977"/>
      <c r="S896" s="977"/>
      <c r="T896" s="977"/>
      <c r="U896" s="977"/>
      <c r="V896" s="977"/>
      <c r="W896" s="977"/>
      <c r="X896" s="977"/>
      <c r="Y896" s="977"/>
    </row>
    <row r="897" spans="1:25" x14ac:dyDescent="0.2">
      <c r="A897" s="976"/>
      <c r="B897" s="976"/>
      <c r="C897" s="976"/>
      <c r="D897" s="976"/>
      <c r="E897" s="976"/>
      <c r="R897" s="977"/>
      <c r="S897" s="977"/>
      <c r="T897" s="977"/>
      <c r="U897" s="977"/>
      <c r="V897" s="977"/>
      <c r="W897" s="977"/>
      <c r="X897" s="977"/>
      <c r="Y897" s="977"/>
    </row>
    <row r="898" spans="1:25" x14ac:dyDescent="0.2">
      <c r="A898" s="976"/>
      <c r="B898" s="976"/>
      <c r="C898" s="976"/>
      <c r="D898" s="976"/>
      <c r="E898" s="976"/>
      <c r="R898" s="977"/>
      <c r="S898" s="977"/>
      <c r="T898" s="977"/>
      <c r="U898" s="977"/>
      <c r="V898" s="977"/>
      <c r="W898" s="977"/>
      <c r="X898" s="977"/>
      <c r="Y898" s="977"/>
    </row>
    <row r="899" spans="1:25" x14ac:dyDescent="0.2">
      <c r="A899" s="976"/>
      <c r="B899" s="976"/>
      <c r="C899" s="976"/>
      <c r="D899" s="976"/>
      <c r="E899" s="976"/>
      <c r="R899" s="977"/>
      <c r="S899" s="977"/>
      <c r="T899" s="977"/>
      <c r="U899" s="977"/>
      <c r="V899" s="977"/>
      <c r="W899" s="977"/>
      <c r="X899" s="977"/>
      <c r="Y899" s="977"/>
    </row>
    <row r="900" spans="1:25" x14ac:dyDescent="0.2">
      <c r="A900" s="976"/>
      <c r="B900" s="976"/>
      <c r="C900" s="976"/>
      <c r="D900" s="976"/>
      <c r="E900" s="976"/>
      <c r="R900" s="977"/>
      <c r="S900" s="977"/>
      <c r="T900" s="977"/>
      <c r="U900" s="977"/>
      <c r="V900" s="977"/>
      <c r="W900" s="977"/>
      <c r="X900" s="977"/>
      <c r="Y900" s="977"/>
    </row>
    <row r="901" spans="1:25" x14ac:dyDescent="0.2">
      <c r="A901" s="976"/>
      <c r="B901" s="976"/>
      <c r="C901" s="976"/>
      <c r="D901" s="976"/>
      <c r="E901" s="976"/>
      <c r="R901" s="977"/>
      <c r="S901" s="977"/>
      <c r="T901" s="977"/>
      <c r="U901" s="977"/>
      <c r="V901" s="977"/>
      <c r="W901" s="977"/>
      <c r="X901" s="977"/>
      <c r="Y901" s="977"/>
    </row>
    <row r="902" spans="1:25" x14ac:dyDescent="0.2">
      <c r="A902" s="976"/>
      <c r="B902" s="976"/>
      <c r="C902" s="976"/>
      <c r="D902" s="976"/>
      <c r="E902" s="976"/>
      <c r="R902" s="977"/>
      <c r="S902" s="977"/>
      <c r="T902" s="977"/>
      <c r="U902" s="977"/>
      <c r="V902" s="977"/>
      <c r="W902" s="977"/>
      <c r="X902" s="977"/>
      <c r="Y902" s="977"/>
    </row>
    <row r="903" spans="1:25" x14ac:dyDescent="0.2">
      <c r="A903" s="976"/>
      <c r="B903" s="976"/>
      <c r="C903" s="976"/>
      <c r="D903" s="976"/>
      <c r="E903" s="976"/>
      <c r="R903" s="977"/>
      <c r="S903" s="977"/>
      <c r="T903" s="977"/>
      <c r="U903" s="977"/>
      <c r="V903" s="977"/>
      <c r="W903" s="977"/>
      <c r="X903" s="977"/>
      <c r="Y903" s="977"/>
    </row>
    <row r="904" spans="1:25" x14ac:dyDescent="0.2">
      <c r="A904" s="976"/>
      <c r="B904" s="976"/>
      <c r="C904" s="976"/>
      <c r="D904" s="976"/>
      <c r="E904" s="976"/>
      <c r="R904" s="977"/>
      <c r="S904" s="977"/>
      <c r="T904" s="977"/>
      <c r="U904" s="977"/>
      <c r="V904" s="977"/>
      <c r="W904" s="977"/>
      <c r="X904" s="977"/>
      <c r="Y904" s="977"/>
    </row>
    <row r="905" spans="1:25" x14ac:dyDescent="0.2">
      <c r="A905" s="976"/>
      <c r="B905" s="976"/>
      <c r="C905" s="976"/>
      <c r="D905" s="976"/>
      <c r="E905" s="976"/>
      <c r="R905" s="977"/>
      <c r="S905" s="977"/>
      <c r="T905" s="977"/>
      <c r="U905" s="977"/>
      <c r="V905" s="977"/>
      <c r="W905" s="977"/>
      <c r="X905" s="977"/>
      <c r="Y905" s="977"/>
    </row>
    <row r="906" spans="1:25" x14ac:dyDescent="0.2">
      <c r="A906" s="976"/>
      <c r="B906" s="976"/>
      <c r="C906" s="976"/>
      <c r="D906" s="976"/>
      <c r="E906" s="976"/>
      <c r="R906" s="977"/>
      <c r="S906" s="977"/>
      <c r="T906" s="977"/>
      <c r="U906" s="977"/>
      <c r="V906" s="977"/>
      <c r="W906" s="977"/>
      <c r="X906" s="977"/>
      <c r="Y906" s="977"/>
    </row>
    <row r="907" spans="1:25" x14ac:dyDescent="0.2">
      <c r="A907" s="976"/>
      <c r="B907" s="976"/>
      <c r="C907" s="976"/>
      <c r="D907" s="976"/>
      <c r="E907" s="976"/>
      <c r="R907" s="977"/>
      <c r="S907" s="977"/>
      <c r="T907" s="977"/>
      <c r="U907" s="977"/>
      <c r="V907" s="977"/>
      <c r="W907" s="977"/>
      <c r="X907" s="977"/>
      <c r="Y907" s="977"/>
    </row>
    <row r="908" spans="1:25" x14ac:dyDescent="0.2">
      <c r="A908" s="976"/>
      <c r="B908" s="976"/>
      <c r="C908" s="976"/>
      <c r="D908" s="976"/>
      <c r="E908" s="976"/>
      <c r="R908" s="977"/>
      <c r="S908" s="977"/>
      <c r="T908" s="977"/>
      <c r="U908" s="977"/>
      <c r="V908" s="977"/>
      <c r="W908" s="977"/>
      <c r="X908" s="977"/>
      <c r="Y908" s="977"/>
    </row>
    <row r="909" spans="1:25" x14ac:dyDescent="0.2">
      <c r="A909" s="976"/>
      <c r="B909" s="976"/>
      <c r="C909" s="976"/>
      <c r="D909" s="976"/>
      <c r="E909" s="976"/>
      <c r="R909" s="977"/>
      <c r="S909" s="977"/>
      <c r="T909" s="977"/>
      <c r="U909" s="977"/>
      <c r="V909" s="977"/>
      <c r="W909" s="977"/>
      <c r="X909" s="977"/>
      <c r="Y909" s="977"/>
    </row>
    <row r="910" spans="1:25" x14ac:dyDescent="0.2">
      <c r="A910" s="976"/>
      <c r="B910" s="976"/>
      <c r="C910" s="976"/>
      <c r="D910" s="976"/>
      <c r="E910" s="976"/>
      <c r="R910" s="977"/>
      <c r="S910" s="977"/>
      <c r="T910" s="977"/>
      <c r="U910" s="977"/>
      <c r="V910" s="977"/>
      <c r="W910" s="977"/>
      <c r="X910" s="977"/>
      <c r="Y910" s="977"/>
    </row>
    <row r="911" spans="1:25" x14ac:dyDescent="0.2">
      <c r="A911" s="976"/>
      <c r="B911" s="976"/>
      <c r="C911" s="976"/>
      <c r="D911" s="976"/>
      <c r="E911" s="976"/>
      <c r="R911" s="977"/>
      <c r="S911" s="977"/>
      <c r="T911" s="977"/>
      <c r="U911" s="977"/>
      <c r="V911" s="977"/>
      <c r="W911" s="977"/>
      <c r="X911" s="977"/>
      <c r="Y911" s="977"/>
    </row>
    <row r="912" spans="1:25" x14ac:dyDescent="0.2">
      <c r="A912" s="976"/>
      <c r="B912" s="976"/>
      <c r="C912" s="976"/>
      <c r="D912" s="976"/>
      <c r="E912" s="976"/>
      <c r="R912" s="977"/>
      <c r="S912" s="977"/>
      <c r="T912" s="977"/>
      <c r="U912" s="977"/>
      <c r="V912" s="977"/>
      <c r="W912" s="977"/>
      <c r="X912" s="977"/>
      <c r="Y912" s="977"/>
    </row>
    <row r="913" spans="1:25" x14ac:dyDescent="0.2">
      <c r="A913" s="976"/>
      <c r="B913" s="976"/>
      <c r="C913" s="976"/>
      <c r="D913" s="976"/>
      <c r="E913" s="976"/>
      <c r="R913" s="977"/>
      <c r="S913" s="977"/>
      <c r="T913" s="977"/>
      <c r="U913" s="977"/>
      <c r="V913" s="977"/>
      <c r="W913" s="977"/>
      <c r="X913" s="977"/>
      <c r="Y913" s="977"/>
    </row>
    <row r="914" spans="1:25" x14ac:dyDescent="0.2">
      <c r="A914" s="976"/>
      <c r="B914" s="976"/>
      <c r="C914" s="976"/>
      <c r="D914" s="976"/>
      <c r="E914" s="976"/>
      <c r="R914" s="977"/>
      <c r="S914" s="977"/>
      <c r="T914" s="977"/>
      <c r="U914" s="977"/>
      <c r="V914" s="977"/>
      <c r="W914" s="977"/>
      <c r="X914" s="977"/>
      <c r="Y914" s="977"/>
    </row>
    <row r="915" spans="1:25" x14ac:dyDescent="0.2">
      <c r="A915" s="976"/>
      <c r="B915" s="976"/>
      <c r="C915" s="976"/>
      <c r="D915" s="976"/>
      <c r="E915" s="976"/>
      <c r="R915" s="977"/>
      <c r="S915" s="977"/>
      <c r="T915" s="977"/>
      <c r="U915" s="977"/>
      <c r="V915" s="977"/>
      <c r="W915" s="977"/>
      <c r="X915" s="977"/>
      <c r="Y915" s="977"/>
    </row>
    <row r="916" spans="1:25" x14ac:dyDescent="0.2">
      <c r="A916" s="976"/>
      <c r="B916" s="976"/>
      <c r="C916" s="976"/>
      <c r="D916" s="976"/>
      <c r="E916" s="976"/>
      <c r="R916" s="977"/>
      <c r="S916" s="977"/>
      <c r="T916" s="977"/>
      <c r="U916" s="977"/>
      <c r="V916" s="977"/>
      <c r="W916" s="977"/>
      <c r="X916" s="977"/>
      <c r="Y916" s="977"/>
    </row>
    <row r="917" spans="1:25" x14ac:dyDescent="0.2">
      <c r="A917" s="976"/>
      <c r="B917" s="976"/>
      <c r="C917" s="976"/>
      <c r="D917" s="976"/>
      <c r="E917" s="976"/>
      <c r="R917" s="977"/>
      <c r="S917" s="977"/>
      <c r="T917" s="977"/>
      <c r="U917" s="977"/>
      <c r="V917" s="977"/>
      <c r="W917" s="977"/>
      <c r="X917" s="977"/>
      <c r="Y917" s="977"/>
    </row>
    <row r="918" spans="1:25" x14ac:dyDescent="0.2">
      <c r="A918" s="976"/>
      <c r="B918" s="976"/>
      <c r="C918" s="976"/>
      <c r="D918" s="976"/>
      <c r="E918" s="976"/>
      <c r="R918" s="977"/>
      <c r="S918" s="977"/>
      <c r="T918" s="977"/>
      <c r="U918" s="977"/>
      <c r="V918" s="977"/>
      <c r="W918" s="977"/>
      <c r="X918" s="977"/>
      <c r="Y918" s="977"/>
    </row>
    <row r="919" spans="1:25" x14ac:dyDescent="0.2">
      <c r="A919" s="976"/>
      <c r="B919" s="976"/>
      <c r="C919" s="976"/>
      <c r="D919" s="976"/>
      <c r="E919" s="976"/>
      <c r="R919" s="977"/>
      <c r="S919" s="977"/>
      <c r="T919" s="977"/>
      <c r="U919" s="977"/>
      <c r="V919" s="977"/>
      <c r="W919" s="977"/>
      <c r="X919" s="977"/>
      <c r="Y919" s="977"/>
    </row>
    <row r="920" spans="1:25" x14ac:dyDescent="0.2">
      <c r="A920" s="976"/>
      <c r="B920" s="976"/>
      <c r="C920" s="976"/>
      <c r="D920" s="976"/>
      <c r="E920" s="976"/>
      <c r="R920" s="977"/>
      <c r="S920" s="977"/>
      <c r="T920" s="977"/>
      <c r="U920" s="977"/>
      <c r="V920" s="977"/>
      <c r="W920" s="977"/>
      <c r="X920" s="977"/>
      <c r="Y920" s="977"/>
    </row>
    <row r="921" spans="1:25" x14ac:dyDescent="0.2">
      <c r="A921" s="976"/>
      <c r="B921" s="976"/>
      <c r="C921" s="976"/>
      <c r="D921" s="976"/>
      <c r="E921" s="976"/>
      <c r="R921" s="977"/>
      <c r="S921" s="977"/>
      <c r="T921" s="977"/>
      <c r="U921" s="977"/>
      <c r="V921" s="977"/>
      <c r="W921" s="977"/>
      <c r="X921" s="977"/>
      <c r="Y921" s="977"/>
    </row>
    <row r="922" spans="1:25" x14ac:dyDescent="0.2">
      <c r="A922" s="976"/>
      <c r="B922" s="976"/>
      <c r="C922" s="976"/>
      <c r="D922" s="976"/>
      <c r="E922" s="976"/>
      <c r="R922" s="977"/>
      <c r="S922" s="977"/>
      <c r="T922" s="977"/>
      <c r="U922" s="977"/>
      <c r="V922" s="977"/>
      <c r="W922" s="977"/>
      <c r="X922" s="977"/>
      <c r="Y922" s="977"/>
    </row>
    <row r="923" spans="1:25" x14ac:dyDescent="0.2">
      <c r="A923" s="976"/>
      <c r="B923" s="976"/>
      <c r="C923" s="976"/>
      <c r="D923" s="976"/>
      <c r="E923" s="976"/>
      <c r="R923" s="977"/>
      <c r="S923" s="977"/>
      <c r="T923" s="977"/>
      <c r="U923" s="977"/>
      <c r="V923" s="977"/>
      <c r="W923" s="977"/>
      <c r="X923" s="977"/>
      <c r="Y923" s="977"/>
    </row>
    <row r="924" spans="1:25" x14ac:dyDescent="0.2">
      <c r="A924" s="976"/>
      <c r="B924" s="976"/>
      <c r="C924" s="976"/>
      <c r="D924" s="976"/>
      <c r="E924" s="976"/>
      <c r="R924" s="977"/>
      <c r="S924" s="977"/>
      <c r="T924" s="977"/>
      <c r="U924" s="977"/>
      <c r="V924" s="977"/>
      <c r="W924" s="977"/>
      <c r="X924" s="977"/>
      <c r="Y924" s="977"/>
    </row>
    <row r="925" spans="1:25" x14ac:dyDescent="0.2">
      <c r="A925" s="976"/>
      <c r="B925" s="976"/>
      <c r="C925" s="976"/>
      <c r="D925" s="976"/>
      <c r="E925" s="976"/>
      <c r="R925" s="977"/>
      <c r="S925" s="977"/>
      <c r="T925" s="977"/>
      <c r="U925" s="977"/>
      <c r="V925" s="977"/>
      <c r="W925" s="977"/>
      <c r="X925" s="977"/>
      <c r="Y925" s="977"/>
    </row>
    <row r="926" spans="1:25" x14ac:dyDescent="0.2">
      <c r="A926" s="976"/>
      <c r="B926" s="976"/>
      <c r="C926" s="976"/>
      <c r="D926" s="976"/>
      <c r="E926" s="976"/>
      <c r="R926" s="977"/>
      <c r="S926" s="977"/>
      <c r="T926" s="977"/>
      <c r="U926" s="977"/>
      <c r="V926" s="977"/>
      <c r="W926" s="977"/>
      <c r="X926" s="977"/>
      <c r="Y926" s="977"/>
    </row>
    <row r="927" spans="1:25" x14ac:dyDescent="0.2">
      <c r="A927" s="976"/>
      <c r="B927" s="976"/>
      <c r="C927" s="976"/>
      <c r="D927" s="976"/>
      <c r="E927" s="976"/>
      <c r="R927" s="977"/>
      <c r="S927" s="977"/>
      <c r="T927" s="977"/>
      <c r="U927" s="977"/>
      <c r="V927" s="977"/>
      <c r="W927" s="977"/>
      <c r="X927" s="977"/>
      <c r="Y927" s="977"/>
    </row>
    <row r="928" spans="1:25" x14ac:dyDescent="0.2">
      <c r="A928" s="976"/>
      <c r="B928" s="976"/>
      <c r="C928" s="976"/>
      <c r="D928" s="976"/>
      <c r="E928" s="976"/>
      <c r="R928" s="977"/>
      <c r="S928" s="977"/>
      <c r="T928" s="977"/>
      <c r="U928" s="977"/>
      <c r="V928" s="977"/>
      <c r="W928" s="977"/>
      <c r="X928" s="977"/>
      <c r="Y928" s="977"/>
    </row>
    <row r="929" spans="1:25" x14ac:dyDescent="0.2">
      <c r="A929" s="976"/>
      <c r="B929" s="976"/>
      <c r="C929" s="976"/>
      <c r="D929" s="976"/>
      <c r="E929" s="976"/>
      <c r="R929" s="977"/>
      <c r="S929" s="977"/>
      <c r="T929" s="977"/>
      <c r="U929" s="977"/>
      <c r="V929" s="977"/>
      <c r="W929" s="977"/>
      <c r="X929" s="977"/>
      <c r="Y929" s="977"/>
    </row>
    <row r="930" spans="1:25" x14ac:dyDescent="0.2">
      <c r="A930" s="976"/>
      <c r="B930" s="976"/>
      <c r="C930" s="976"/>
      <c r="D930" s="976"/>
      <c r="E930" s="976"/>
      <c r="R930" s="977"/>
      <c r="S930" s="977"/>
      <c r="T930" s="977"/>
      <c r="U930" s="977"/>
      <c r="V930" s="977"/>
      <c r="W930" s="977"/>
      <c r="X930" s="977"/>
      <c r="Y930" s="977"/>
    </row>
    <row r="931" spans="1:25" x14ac:dyDescent="0.2">
      <c r="A931" s="976"/>
      <c r="B931" s="976"/>
      <c r="C931" s="976"/>
      <c r="D931" s="976"/>
      <c r="E931" s="976"/>
      <c r="R931" s="977"/>
      <c r="S931" s="977"/>
      <c r="T931" s="977"/>
      <c r="U931" s="977"/>
      <c r="V931" s="977"/>
      <c r="W931" s="977"/>
      <c r="X931" s="977"/>
      <c r="Y931" s="977"/>
    </row>
    <row r="932" spans="1:25" x14ac:dyDescent="0.2">
      <c r="A932" s="976"/>
      <c r="B932" s="976"/>
      <c r="C932" s="976"/>
      <c r="D932" s="976"/>
      <c r="E932" s="976"/>
      <c r="R932" s="977"/>
      <c r="S932" s="977"/>
      <c r="T932" s="977"/>
      <c r="U932" s="977"/>
      <c r="V932" s="977"/>
      <c r="W932" s="977"/>
      <c r="X932" s="977"/>
      <c r="Y932" s="977"/>
    </row>
    <row r="933" spans="1:25" x14ac:dyDescent="0.2">
      <c r="A933" s="976"/>
      <c r="B933" s="976"/>
      <c r="C933" s="976"/>
      <c r="D933" s="976"/>
      <c r="E933" s="976"/>
      <c r="R933" s="977"/>
      <c r="S933" s="977"/>
      <c r="T933" s="977"/>
      <c r="U933" s="977"/>
      <c r="V933" s="977"/>
      <c r="W933" s="977"/>
      <c r="X933" s="977"/>
      <c r="Y933" s="977"/>
    </row>
    <row r="934" spans="1:25" x14ac:dyDescent="0.2">
      <c r="A934" s="976"/>
      <c r="B934" s="976"/>
      <c r="C934" s="976"/>
      <c r="D934" s="976"/>
      <c r="E934" s="976"/>
      <c r="R934" s="977"/>
      <c r="S934" s="977"/>
      <c r="T934" s="977"/>
      <c r="U934" s="977"/>
      <c r="V934" s="977"/>
      <c r="W934" s="977"/>
      <c r="X934" s="977"/>
      <c r="Y934" s="977"/>
    </row>
    <row r="935" spans="1:25" x14ac:dyDescent="0.2">
      <c r="A935" s="976"/>
      <c r="B935" s="976"/>
      <c r="C935" s="976"/>
      <c r="D935" s="976"/>
      <c r="E935" s="976"/>
      <c r="R935" s="977"/>
      <c r="S935" s="977"/>
      <c r="T935" s="977"/>
      <c r="U935" s="977"/>
      <c r="V935" s="977"/>
      <c r="W935" s="977"/>
      <c r="X935" s="977"/>
      <c r="Y935" s="977"/>
    </row>
    <row r="936" spans="1:25" x14ac:dyDescent="0.2">
      <c r="A936" s="976"/>
      <c r="B936" s="976"/>
      <c r="C936" s="976"/>
      <c r="D936" s="976"/>
      <c r="E936" s="976"/>
      <c r="R936" s="977"/>
      <c r="S936" s="977"/>
      <c r="T936" s="977"/>
      <c r="U936" s="977"/>
      <c r="V936" s="977"/>
      <c r="W936" s="977"/>
      <c r="X936" s="977"/>
      <c r="Y936" s="977"/>
    </row>
    <row r="937" spans="1:25" x14ac:dyDescent="0.2">
      <c r="A937" s="976"/>
      <c r="B937" s="976"/>
      <c r="C937" s="976"/>
      <c r="D937" s="976"/>
      <c r="E937" s="976"/>
      <c r="R937" s="977"/>
      <c r="S937" s="977"/>
      <c r="T937" s="977"/>
      <c r="U937" s="977"/>
      <c r="V937" s="977"/>
      <c r="W937" s="977"/>
      <c r="X937" s="977"/>
      <c r="Y937" s="977"/>
    </row>
    <row r="938" spans="1:25" x14ac:dyDescent="0.2">
      <c r="A938" s="976"/>
      <c r="B938" s="976"/>
      <c r="C938" s="976"/>
      <c r="D938" s="976"/>
      <c r="E938" s="976"/>
      <c r="R938" s="977"/>
      <c r="S938" s="977"/>
      <c r="T938" s="977"/>
      <c r="U938" s="977"/>
      <c r="V938" s="977"/>
      <c r="W938" s="977"/>
      <c r="X938" s="977"/>
      <c r="Y938" s="977"/>
    </row>
    <row r="939" spans="1:25" x14ac:dyDescent="0.2">
      <c r="A939" s="976"/>
      <c r="B939" s="976"/>
      <c r="C939" s="976"/>
      <c r="D939" s="976"/>
      <c r="E939" s="976"/>
      <c r="R939" s="977"/>
      <c r="S939" s="977"/>
      <c r="T939" s="977"/>
      <c r="U939" s="977"/>
      <c r="V939" s="977"/>
      <c r="W939" s="977"/>
      <c r="X939" s="977"/>
      <c r="Y939" s="977"/>
    </row>
    <row r="940" spans="1:25" x14ac:dyDescent="0.2">
      <c r="A940" s="976"/>
      <c r="B940" s="976"/>
      <c r="C940" s="976"/>
      <c r="D940" s="976"/>
      <c r="E940" s="976"/>
      <c r="R940" s="977"/>
      <c r="S940" s="977"/>
      <c r="T940" s="977"/>
      <c r="U940" s="977"/>
      <c r="V940" s="977"/>
      <c r="W940" s="977"/>
      <c r="X940" s="977"/>
      <c r="Y940" s="977"/>
    </row>
    <row r="941" spans="1:25" x14ac:dyDescent="0.2">
      <c r="A941" s="976"/>
      <c r="B941" s="976"/>
      <c r="C941" s="976"/>
      <c r="D941" s="976"/>
      <c r="E941" s="976"/>
      <c r="R941" s="977"/>
      <c r="S941" s="977"/>
      <c r="T941" s="977"/>
      <c r="U941" s="977"/>
      <c r="V941" s="977"/>
      <c r="W941" s="977"/>
      <c r="X941" s="977"/>
      <c r="Y941" s="977"/>
    </row>
    <row r="942" spans="1:25" x14ac:dyDescent="0.2">
      <c r="A942" s="976"/>
      <c r="B942" s="976"/>
      <c r="C942" s="976"/>
      <c r="D942" s="976"/>
      <c r="E942" s="976"/>
      <c r="R942" s="977"/>
      <c r="S942" s="977"/>
      <c r="T942" s="977"/>
      <c r="U942" s="977"/>
      <c r="V942" s="977"/>
      <c r="W942" s="977"/>
      <c r="X942" s="977"/>
      <c r="Y942" s="977"/>
    </row>
    <row r="943" spans="1:25" x14ac:dyDescent="0.2">
      <c r="A943" s="976"/>
      <c r="B943" s="976"/>
      <c r="C943" s="976"/>
      <c r="D943" s="976"/>
      <c r="E943" s="976"/>
      <c r="R943" s="977"/>
      <c r="S943" s="977"/>
      <c r="T943" s="977"/>
      <c r="U943" s="977"/>
      <c r="V943" s="977"/>
      <c r="W943" s="977"/>
      <c r="X943" s="977"/>
      <c r="Y943" s="977"/>
    </row>
    <row r="944" spans="1:25" x14ac:dyDescent="0.2">
      <c r="A944" s="976"/>
      <c r="B944" s="976"/>
      <c r="C944" s="976"/>
      <c r="D944" s="976"/>
      <c r="E944" s="976"/>
      <c r="R944" s="977"/>
      <c r="S944" s="977"/>
      <c r="T944" s="977"/>
      <c r="U944" s="977"/>
      <c r="V944" s="977"/>
      <c r="W944" s="977"/>
      <c r="X944" s="977"/>
      <c r="Y944" s="977"/>
    </row>
    <row r="945" spans="1:25" x14ac:dyDescent="0.2">
      <c r="A945" s="976"/>
      <c r="B945" s="976"/>
      <c r="C945" s="976"/>
      <c r="D945" s="976"/>
      <c r="E945" s="976"/>
      <c r="R945" s="977"/>
      <c r="S945" s="977"/>
      <c r="T945" s="977"/>
      <c r="U945" s="977"/>
      <c r="V945" s="977"/>
      <c r="W945" s="977"/>
      <c r="X945" s="977"/>
      <c r="Y945" s="977"/>
    </row>
    <row r="946" spans="1:25" x14ac:dyDescent="0.2">
      <c r="A946" s="976"/>
      <c r="B946" s="976"/>
      <c r="C946" s="976"/>
      <c r="D946" s="976"/>
      <c r="E946" s="976"/>
      <c r="R946" s="977"/>
      <c r="S946" s="977"/>
      <c r="T946" s="977"/>
      <c r="U946" s="977"/>
      <c r="V946" s="977"/>
      <c r="W946" s="977"/>
      <c r="X946" s="977"/>
      <c r="Y946" s="977"/>
    </row>
    <row r="947" spans="1:25" x14ac:dyDescent="0.2">
      <c r="A947" s="976"/>
      <c r="B947" s="976"/>
      <c r="C947" s="976"/>
      <c r="D947" s="976"/>
      <c r="E947" s="976"/>
      <c r="R947" s="977"/>
      <c r="S947" s="977"/>
      <c r="T947" s="977"/>
      <c r="U947" s="977"/>
      <c r="V947" s="977"/>
      <c r="W947" s="977"/>
      <c r="X947" s="977"/>
      <c r="Y947" s="977"/>
    </row>
    <row r="948" spans="1:25" x14ac:dyDescent="0.2">
      <c r="A948" s="976"/>
      <c r="B948" s="976"/>
      <c r="C948" s="976"/>
      <c r="D948" s="976"/>
      <c r="E948" s="976"/>
      <c r="R948" s="977"/>
      <c r="S948" s="977"/>
      <c r="T948" s="977"/>
      <c r="U948" s="977"/>
      <c r="V948" s="977"/>
      <c r="W948" s="977"/>
      <c r="X948" s="977"/>
      <c r="Y948" s="977"/>
    </row>
    <row r="949" spans="1:25" x14ac:dyDescent="0.2">
      <c r="A949" s="976"/>
      <c r="B949" s="976"/>
      <c r="C949" s="976"/>
      <c r="D949" s="976"/>
      <c r="E949" s="976"/>
      <c r="R949" s="977"/>
      <c r="S949" s="977"/>
      <c r="T949" s="977"/>
      <c r="U949" s="977"/>
      <c r="V949" s="977"/>
      <c r="W949" s="977"/>
      <c r="X949" s="977"/>
      <c r="Y949" s="977"/>
    </row>
    <row r="950" spans="1:25" x14ac:dyDescent="0.2">
      <c r="A950" s="976"/>
      <c r="B950" s="976"/>
      <c r="C950" s="976"/>
      <c r="D950" s="976"/>
      <c r="E950" s="976"/>
      <c r="R950" s="977"/>
      <c r="S950" s="977"/>
      <c r="T950" s="977"/>
      <c r="U950" s="977"/>
      <c r="V950" s="977"/>
      <c r="W950" s="977"/>
      <c r="X950" s="977"/>
      <c r="Y950" s="977"/>
    </row>
    <row r="951" spans="1:25" x14ac:dyDescent="0.2">
      <c r="A951" s="976"/>
      <c r="B951" s="976"/>
      <c r="C951" s="976"/>
      <c r="D951" s="976"/>
      <c r="E951" s="976"/>
      <c r="R951" s="977"/>
      <c r="S951" s="977"/>
      <c r="T951" s="977"/>
      <c r="U951" s="977"/>
      <c r="V951" s="977"/>
      <c r="W951" s="977"/>
      <c r="X951" s="977"/>
      <c r="Y951" s="977"/>
    </row>
    <row r="952" spans="1:25" x14ac:dyDescent="0.2">
      <c r="A952" s="976"/>
      <c r="B952" s="976"/>
      <c r="C952" s="976"/>
      <c r="D952" s="976"/>
      <c r="E952" s="976"/>
      <c r="R952" s="977"/>
      <c r="S952" s="977"/>
      <c r="T952" s="977"/>
      <c r="U952" s="977"/>
      <c r="V952" s="977"/>
      <c r="W952" s="977"/>
      <c r="X952" s="977"/>
      <c r="Y952" s="977"/>
    </row>
    <row r="953" spans="1:25" x14ac:dyDescent="0.2">
      <c r="A953" s="976"/>
      <c r="B953" s="976"/>
      <c r="C953" s="976"/>
      <c r="D953" s="976"/>
      <c r="E953" s="976"/>
      <c r="R953" s="977"/>
      <c r="S953" s="977"/>
      <c r="T953" s="977"/>
      <c r="U953" s="977"/>
      <c r="V953" s="977"/>
      <c r="W953" s="977"/>
      <c r="X953" s="977"/>
      <c r="Y953" s="977"/>
    </row>
    <row r="954" spans="1:25" x14ac:dyDescent="0.2">
      <c r="A954" s="976"/>
      <c r="B954" s="976"/>
      <c r="C954" s="976"/>
      <c r="D954" s="976"/>
      <c r="E954" s="976"/>
      <c r="R954" s="977"/>
      <c r="S954" s="977"/>
      <c r="T954" s="977"/>
      <c r="U954" s="977"/>
      <c r="V954" s="977"/>
      <c r="W954" s="977"/>
      <c r="X954" s="977"/>
      <c r="Y954" s="977"/>
    </row>
    <row r="955" spans="1:25" x14ac:dyDescent="0.2">
      <c r="A955" s="976"/>
      <c r="B955" s="976"/>
      <c r="C955" s="976"/>
      <c r="D955" s="976"/>
      <c r="E955" s="976"/>
      <c r="R955" s="977"/>
      <c r="S955" s="977"/>
      <c r="T955" s="977"/>
      <c r="U955" s="977"/>
      <c r="V955" s="977"/>
      <c r="W955" s="977"/>
      <c r="X955" s="977"/>
      <c r="Y955" s="977"/>
    </row>
    <row r="956" spans="1:25" x14ac:dyDescent="0.2">
      <c r="A956" s="976"/>
      <c r="B956" s="976"/>
      <c r="C956" s="976"/>
      <c r="D956" s="976"/>
      <c r="E956" s="976"/>
      <c r="R956" s="977"/>
      <c r="S956" s="977"/>
      <c r="T956" s="977"/>
      <c r="U956" s="977"/>
      <c r="V956" s="977"/>
      <c r="W956" s="977"/>
      <c r="X956" s="977"/>
      <c r="Y956" s="977"/>
    </row>
    <row r="957" spans="1:25" x14ac:dyDescent="0.2">
      <c r="A957" s="976"/>
      <c r="B957" s="976"/>
      <c r="C957" s="976"/>
      <c r="D957" s="976"/>
      <c r="E957" s="976"/>
      <c r="R957" s="977"/>
      <c r="S957" s="977"/>
      <c r="T957" s="977"/>
      <c r="U957" s="977"/>
      <c r="V957" s="977"/>
      <c r="W957" s="977"/>
      <c r="X957" s="977"/>
      <c r="Y957" s="977"/>
    </row>
    <row r="958" spans="1:25" x14ac:dyDescent="0.2">
      <c r="A958" s="976"/>
      <c r="B958" s="976"/>
      <c r="C958" s="976"/>
      <c r="D958" s="976"/>
      <c r="E958" s="976"/>
      <c r="R958" s="977"/>
      <c r="S958" s="977"/>
      <c r="T958" s="977"/>
      <c r="U958" s="977"/>
      <c r="V958" s="977"/>
      <c r="W958" s="977"/>
      <c r="X958" s="977"/>
      <c r="Y958" s="977"/>
    </row>
    <row r="959" spans="1:25" x14ac:dyDescent="0.2">
      <c r="A959" s="976"/>
      <c r="B959" s="976"/>
      <c r="C959" s="976"/>
      <c r="D959" s="976"/>
      <c r="E959" s="976"/>
      <c r="R959" s="977"/>
      <c r="S959" s="977"/>
      <c r="T959" s="977"/>
      <c r="U959" s="977"/>
      <c r="V959" s="977"/>
      <c r="W959" s="977"/>
      <c r="X959" s="977"/>
      <c r="Y959" s="977"/>
    </row>
    <row r="960" spans="1:25" x14ac:dyDescent="0.2">
      <c r="A960" s="976"/>
      <c r="B960" s="976"/>
      <c r="C960" s="976"/>
      <c r="D960" s="976"/>
      <c r="E960" s="976"/>
      <c r="R960" s="977"/>
      <c r="S960" s="977"/>
      <c r="T960" s="977"/>
      <c r="U960" s="977"/>
      <c r="V960" s="977"/>
      <c r="W960" s="977"/>
      <c r="X960" s="977"/>
      <c r="Y960" s="977"/>
    </row>
    <row r="961" spans="1:25" x14ac:dyDescent="0.2">
      <c r="A961" s="976"/>
      <c r="B961" s="976"/>
      <c r="C961" s="976"/>
      <c r="D961" s="976"/>
      <c r="E961" s="976"/>
      <c r="R961" s="977"/>
      <c r="S961" s="977"/>
      <c r="T961" s="977"/>
      <c r="U961" s="977"/>
      <c r="V961" s="977"/>
      <c r="W961" s="977"/>
      <c r="X961" s="977"/>
      <c r="Y961" s="977"/>
    </row>
    <row r="962" spans="1:25" x14ac:dyDescent="0.2">
      <c r="A962" s="976"/>
      <c r="B962" s="976"/>
      <c r="C962" s="976"/>
      <c r="D962" s="976"/>
      <c r="E962" s="976"/>
      <c r="R962" s="977"/>
      <c r="S962" s="977"/>
      <c r="T962" s="977"/>
      <c r="U962" s="977"/>
      <c r="V962" s="977"/>
      <c r="W962" s="977"/>
      <c r="X962" s="977"/>
      <c r="Y962" s="977"/>
    </row>
    <row r="963" spans="1:25" x14ac:dyDescent="0.2">
      <c r="A963" s="976"/>
      <c r="B963" s="976"/>
      <c r="C963" s="976"/>
      <c r="D963" s="976"/>
      <c r="E963" s="976"/>
      <c r="R963" s="977"/>
      <c r="S963" s="977"/>
      <c r="T963" s="977"/>
      <c r="U963" s="977"/>
      <c r="V963" s="977"/>
      <c r="W963" s="977"/>
      <c r="X963" s="977"/>
      <c r="Y963" s="977"/>
    </row>
    <row r="964" spans="1:25" x14ac:dyDescent="0.2">
      <c r="A964" s="976"/>
      <c r="B964" s="976"/>
      <c r="C964" s="976"/>
      <c r="D964" s="976"/>
      <c r="E964" s="976"/>
      <c r="R964" s="977"/>
      <c r="S964" s="977"/>
      <c r="T964" s="977"/>
      <c r="U964" s="977"/>
      <c r="V964" s="977"/>
      <c r="W964" s="977"/>
      <c r="X964" s="977"/>
      <c r="Y964" s="977"/>
    </row>
    <row r="965" spans="1:25" x14ac:dyDescent="0.2">
      <c r="A965" s="976"/>
      <c r="B965" s="976"/>
      <c r="C965" s="976"/>
      <c r="D965" s="976"/>
      <c r="E965" s="976"/>
      <c r="R965" s="977"/>
      <c r="S965" s="977"/>
      <c r="T965" s="977"/>
      <c r="U965" s="977"/>
      <c r="V965" s="977"/>
      <c r="W965" s="977"/>
      <c r="X965" s="977"/>
      <c r="Y965" s="977"/>
    </row>
    <row r="966" spans="1:25" x14ac:dyDescent="0.2">
      <c r="A966" s="976"/>
      <c r="B966" s="976"/>
      <c r="C966" s="976"/>
      <c r="D966" s="976"/>
      <c r="E966" s="976"/>
      <c r="R966" s="977"/>
      <c r="S966" s="977"/>
      <c r="T966" s="977"/>
      <c r="U966" s="977"/>
      <c r="V966" s="977"/>
      <c r="W966" s="977"/>
      <c r="X966" s="977"/>
      <c r="Y966" s="977"/>
    </row>
    <row r="967" spans="1:25" x14ac:dyDescent="0.2">
      <c r="A967" s="976"/>
      <c r="B967" s="976"/>
      <c r="C967" s="976"/>
      <c r="D967" s="976"/>
      <c r="E967" s="976"/>
      <c r="R967" s="977"/>
      <c r="S967" s="977"/>
      <c r="T967" s="977"/>
      <c r="U967" s="977"/>
      <c r="V967" s="977"/>
      <c r="W967" s="977"/>
      <c r="X967" s="977"/>
      <c r="Y967" s="977"/>
    </row>
    <row r="968" spans="1:25" x14ac:dyDescent="0.2">
      <c r="A968" s="976"/>
      <c r="B968" s="976"/>
      <c r="C968" s="976"/>
      <c r="D968" s="976"/>
      <c r="E968" s="976"/>
      <c r="R968" s="977"/>
      <c r="S968" s="977"/>
      <c r="T968" s="977"/>
      <c r="U968" s="977"/>
      <c r="V968" s="977"/>
      <c r="W968" s="977"/>
      <c r="X968" s="977"/>
      <c r="Y968" s="977"/>
    </row>
    <row r="969" spans="1:25" x14ac:dyDescent="0.2">
      <c r="A969" s="976"/>
      <c r="B969" s="976"/>
      <c r="C969" s="976"/>
      <c r="D969" s="976"/>
      <c r="E969" s="976"/>
      <c r="R969" s="977"/>
      <c r="S969" s="977"/>
      <c r="T969" s="977"/>
      <c r="U969" s="977"/>
      <c r="V969" s="977"/>
      <c r="W969" s="977"/>
      <c r="X969" s="977"/>
      <c r="Y969" s="977"/>
    </row>
    <row r="970" spans="1:25" x14ac:dyDescent="0.2">
      <c r="A970" s="976"/>
      <c r="B970" s="976"/>
      <c r="C970" s="976"/>
      <c r="D970" s="976"/>
      <c r="E970" s="976"/>
      <c r="R970" s="977"/>
      <c r="S970" s="977"/>
      <c r="T970" s="977"/>
      <c r="U970" s="977"/>
      <c r="V970" s="977"/>
      <c r="W970" s="977"/>
      <c r="X970" s="977"/>
      <c r="Y970" s="977"/>
    </row>
    <row r="971" spans="1:25" x14ac:dyDescent="0.2">
      <c r="A971" s="976"/>
      <c r="B971" s="976"/>
      <c r="C971" s="976"/>
      <c r="D971" s="976"/>
      <c r="E971" s="976"/>
      <c r="R971" s="977"/>
      <c r="S971" s="977"/>
      <c r="T971" s="977"/>
      <c r="U971" s="977"/>
      <c r="V971" s="977"/>
      <c r="W971" s="977"/>
      <c r="X971" s="977"/>
      <c r="Y971" s="977"/>
    </row>
    <row r="972" spans="1:25" x14ac:dyDescent="0.2">
      <c r="A972" s="976"/>
      <c r="B972" s="976"/>
      <c r="C972" s="976"/>
      <c r="D972" s="976"/>
      <c r="E972" s="976"/>
      <c r="R972" s="977"/>
      <c r="S972" s="977"/>
      <c r="T972" s="977"/>
      <c r="U972" s="977"/>
      <c r="V972" s="977"/>
      <c r="W972" s="977"/>
      <c r="X972" s="977"/>
      <c r="Y972" s="977"/>
    </row>
    <row r="973" spans="1:25" x14ac:dyDescent="0.2">
      <c r="A973" s="976"/>
      <c r="B973" s="976"/>
      <c r="C973" s="976"/>
      <c r="D973" s="976"/>
      <c r="E973" s="976"/>
      <c r="R973" s="977"/>
      <c r="S973" s="977"/>
      <c r="T973" s="977"/>
      <c r="U973" s="977"/>
      <c r="V973" s="977"/>
      <c r="W973" s="977"/>
      <c r="X973" s="977"/>
      <c r="Y973" s="977"/>
    </row>
    <row r="974" spans="1:25" x14ac:dyDescent="0.2">
      <c r="A974" s="976"/>
      <c r="B974" s="976"/>
      <c r="C974" s="976"/>
      <c r="D974" s="976"/>
      <c r="E974" s="976"/>
      <c r="R974" s="977"/>
      <c r="S974" s="977"/>
      <c r="T974" s="977"/>
      <c r="U974" s="977"/>
      <c r="V974" s="977"/>
      <c r="W974" s="977"/>
      <c r="X974" s="977"/>
      <c r="Y974" s="977"/>
    </row>
    <row r="975" spans="1:25" x14ac:dyDescent="0.2">
      <c r="A975" s="976"/>
      <c r="B975" s="976"/>
      <c r="C975" s="976"/>
      <c r="D975" s="976"/>
      <c r="E975" s="976"/>
      <c r="R975" s="977"/>
      <c r="S975" s="977"/>
      <c r="T975" s="977"/>
      <c r="U975" s="977"/>
      <c r="V975" s="977"/>
      <c r="W975" s="977"/>
      <c r="X975" s="977"/>
      <c r="Y975" s="977"/>
    </row>
    <row r="976" spans="1:25" x14ac:dyDescent="0.2">
      <c r="A976" s="976"/>
      <c r="B976" s="976"/>
      <c r="C976" s="976"/>
      <c r="D976" s="976"/>
      <c r="E976" s="976"/>
      <c r="R976" s="977"/>
      <c r="S976" s="977"/>
      <c r="T976" s="977"/>
      <c r="U976" s="977"/>
      <c r="V976" s="977"/>
      <c r="W976" s="977"/>
      <c r="X976" s="977"/>
      <c r="Y976" s="977"/>
    </row>
    <row r="977" spans="1:25" x14ac:dyDescent="0.2">
      <c r="A977" s="976"/>
      <c r="B977" s="976"/>
      <c r="C977" s="976"/>
      <c r="D977" s="976"/>
      <c r="E977" s="976"/>
      <c r="R977" s="977"/>
      <c r="S977" s="977"/>
      <c r="T977" s="977"/>
      <c r="U977" s="977"/>
      <c r="V977" s="977"/>
      <c r="W977" s="977"/>
      <c r="X977" s="977"/>
      <c r="Y977" s="977"/>
    </row>
    <row r="978" spans="1:25" x14ac:dyDescent="0.2">
      <c r="A978" s="976"/>
      <c r="B978" s="976"/>
      <c r="C978" s="976"/>
      <c r="D978" s="976"/>
      <c r="E978" s="976"/>
      <c r="R978" s="977"/>
      <c r="S978" s="977"/>
      <c r="T978" s="977"/>
      <c r="U978" s="977"/>
      <c r="V978" s="977"/>
      <c r="W978" s="977"/>
      <c r="X978" s="977"/>
      <c r="Y978" s="977"/>
    </row>
    <row r="979" spans="1:25" x14ac:dyDescent="0.2">
      <c r="A979" s="976"/>
      <c r="B979" s="976"/>
      <c r="C979" s="976"/>
      <c r="D979" s="976"/>
      <c r="E979" s="976"/>
      <c r="R979" s="977"/>
      <c r="S979" s="977"/>
      <c r="T979" s="977"/>
      <c r="U979" s="977"/>
      <c r="V979" s="977"/>
      <c r="W979" s="977"/>
      <c r="X979" s="977"/>
      <c r="Y979" s="977"/>
    </row>
    <row r="980" spans="1:25" x14ac:dyDescent="0.2">
      <c r="A980" s="976"/>
      <c r="B980" s="976"/>
      <c r="C980" s="976"/>
      <c r="D980" s="976"/>
      <c r="E980" s="976"/>
      <c r="R980" s="977"/>
      <c r="S980" s="977"/>
      <c r="T980" s="977"/>
      <c r="U980" s="977"/>
      <c r="V980" s="977"/>
      <c r="W980" s="977"/>
      <c r="X980" s="977"/>
      <c r="Y980" s="977"/>
    </row>
    <row r="981" spans="1:25" x14ac:dyDescent="0.2">
      <c r="A981" s="976"/>
      <c r="B981" s="976"/>
      <c r="C981" s="976"/>
      <c r="D981" s="976"/>
      <c r="E981" s="976"/>
      <c r="R981" s="977"/>
      <c r="S981" s="977"/>
      <c r="T981" s="977"/>
      <c r="U981" s="977"/>
      <c r="V981" s="977"/>
      <c r="W981" s="977"/>
      <c r="X981" s="977"/>
      <c r="Y981" s="977"/>
    </row>
    <row r="982" spans="1:25" x14ac:dyDescent="0.2">
      <c r="A982" s="976"/>
      <c r="B982" s="976"/>
      <c r="C982" s="976"/>
      <c r="D982" s="976"/>
      <c r="E982" s="976"/>
      <c r="R982" s="977"/>
      <c r="S982" s="977"/>
      <c r="T982" s="977"/>
      <c r="U982" s="977"/>
      <c r="V982" s="977"/>
      <c r="W982" s="977"/>
      <c r="X982" s="977"/>
      <c r="Y982" s="977"/>
    </row>
    <row r="983" spans="1:25" x14ac:dyDescent="0.2">
      <c r="A983" s="976"/>
      <c r="B983" s="976"/>
      <c r="C983" s="976"/>
      <c r="D983" s="976"/>
      <c r="E983" s="976"/>
      <c r="R983" s="977"/>
      <c r="S983" s="977"/>
      <c r="T983" s="977"/>
      <c r="U983" s="977"/>
      <c r="V983" s="977"/>
      <c r="W983" s="977"/>
      <c r="X983" s="977"/>
      <c r="Y983" s="977"/>
    </row>
    <row r="984" spans="1:25" x14ac:dyDescent="0.2">
      <c r="A984" s="976"/>
      <c r="B984" s="976"/>
      <c r="C984" s="976"/>
      <c r="D984" s="976"/>
      <c r="E984" s="976"/>
      <c r="R984" s="977"/>
      <c r="S984" s="977"/>
      <c r="T984" s="977"/>
      <c r="U984" s="977"/>
      <c r="V984" s="977"/>
      <c r="W984" s="977"/>
      <c r="X984" s="977"/>
      <c r="Y984" s="977"/>
    </row>
    <row r="985" spans="1:25" x14ac:dyDescent="0.2">
      <c r="A985" s="976"/>
      <c r="B985" s="976"/>
      <c r="C985" s="976"/>
      <c r="D985" s="976"/>
      <c r="E985" s="976"/>
      <c r="R985" s="977"/>
      <c r="S985" s="977"/>
      <c r="T985" s="977"/>
      <c r="U985" s="977"/>
      <c r="V985" s="977"/>
      <c r="W985" s="977"/>
      <c r="X985" s="977"/>
      <c r="Y985" s="977"/>
    </row>
    <row r="986" spans="1:25" x14ac:dyDescent="0.2">
      <c r="A986" s="976"/>
      <c r="B986" s="976"/>
      <c r="C986" s="976"/>
      <c r="D986" s="976"/>
      <c r="E986" s="976"/>
      <c r="R986" s="977"/>
      <c r="S986" s="977"/>
      <c r="T986" s="977"/>
      <c r="U986" s="977"/>
      <c r="V986" s="977"/>
      <c r="W986" s="977"/>
      <c r="X986" s="977"/>
      <c r="Y986" s="977"/>
    </row>
    <row r="987" spans="1:25" x14ac:dyDescent="0.2">
      <c r="A987" s="976"/>
      <c r="B987" s="976"/>
      <c r="C987" s="976"/>
      <c r="D987" s="976"/>
      <c r="E987" s="976"/>
      <c r="R987" s="977"/>
      <c r="S987" s="977"/>
      <c r="T987" s="977"/>
      <c r="U987" s="977"/>
      <c r="V987" s="977"/>
      <c r="W987" s="977"/>
      <c r="X987" s="977"/>
      <c r="Y987" s="977"/>
    </row>
    <row r="988" spans="1:25" x14ac:dyDescent="0.2">
      <c r="A988" s="976"/>
      <c r="B988" s="976"/>
      <c r="C988" s="976"/>
      <c r="D988" s="976"/>
      <c r="E988" s="976"/>
      <c r="R988" s="977"/>
      <c r="S988" s="977"/>
      <c r="T988" s="977"/>
      <c r="U988" s="977"/>
      <c r="V988" s="977"/>
      <c r="W988" s="977"/>
      <c r="X988" s="977"/>
      <c r="Y988" s="977"/>
    </row>
    <row r="989" spans="1:25" x14ac:dyDescent="0.2">
      <c r="A989" s="976"/>
      <c r="B989" s="976"/>
      <c r="C989" s="976"/>
      <c r="D989" s="976"/>
      <c r="E989" s="976"/>
      <c r="R989" s="977"/>
      <c r="S989" s="977"/>
      <c r="T989" s="977"/>
      <c r="U989" s="977"/>
      <c r="V989" s="977"/>
      <c r="W989" s="977"/>
      <c r="X989" s="977"/>
      <c r="Y989" s="977"/>
    </row>
    <row r="990" spans="1:25" x14ac:dyDescent="0.2">
      <c r="A990" s="976"/>
      <c r="B990" s="976"/>
      <c r="C990" s="976"/>
      <c r="D990" s="976"/>
      <c r="E990" s="976"/>
      <c r="R990" s="977"/>
      <c r="S990" s="977"/>
      <c r="T990" s="977"/>
      <c r="U990" s="977"/>
      <c r="V990" s="977"/>
      <c r="W990" s="977"/>
      <c r="X990" s="977"/>
      <c r="Y990" s="977"/>
    </row>
    <row r="991" spans="1:25" x14ac:dyDescent="0.2">
      <c r="A991" s="976"/>
      <c r="B991" s="976"/>
      <c r="C991" s="976"/>
      <c r="D991" s="976"/>
      <c r="E991" s="976"/>
      <c r="R991" s="977"/>
      <c r="S991" s="977"/>
      <c r="T991" s="977"/>
      <c r="U991" s="977"/>
      <c r="V991" s="977"/>
      <c r="W991" s="977"/>
      <c r="X991" s="977"/>
      <c r="Y991" s="977"/>
    </row>
    <row r="992" spans="1:25" x14ac:dyDescent="0.2">
      <c r="A992" s="976"/>
      <c r="B992" s="976"/>
      <c r="C992" s="976"/>
      <c r="D992" s="976"/>
      <c r="E992" s="976"/>
      <c r="R992" s="977"/>
      <c r="S992" s="977"/>
      <c r="T992" s="977"/>
      <c r="U992" s="977"/>
      <c r="V992" s="977"/>
      <c r="W992" s="977"/>
      <c r="X992" s="977"/>
      <c r="Y992" s="977"/>
    </row>
    <row r="993" spans="1:25" x14ac:dyDescent="0.2">
      <c r="A993" s="976"/>
      <c r="B993" s="976"/>
      <c r="C993" s="976"/>
      <c r="D993" s="976"/>
      <c r="E993" s="976"/>
      <c r="R993" s="977"/>
      <c r="S993" s="977"/>
      <c r="T993" s="977"/>
      <c r="U993" s="977"/>
      <c r="V993" s="977"/>
      <c r="W993" s="977"/>
      <c r="X993" s="977"/>
      <c r="Y993" s="977"/>
    </row>
    <row r="994" spans="1:25" x14ac:dyDescent="0.2">
      <c r="A994" s="976"/>
      <c r="B994" s="976"/>
      <c r="C994" s="976"/>
      <c r="D994" s="976"/>
      <c r="E994" s="976"/>
      <c r="R994" s="977"/>
      <c r="S994" s="977"/>
      <c r="T994" s="977"/>
      <c r="U994" s="977"/>
      <c r="V994" s="977"/>
      <c r="W994" s="977"/>
      <c r="X994" s="977"/>
      <c r="Y994" s="977"/>
    </row>
    <row r="995" spans="1:25" x14ac:dyDescent="0.2">
      <c r="A995" s="976"/>
      <c r="B995" s="976"/>
      <c r="C995" s="976"/>
      <c r="D995" s="976"/>
      <c r="E995" s="976"/>
      <c r="R995" s="977"/>
      <c r="S995" s="977"/>
      <c r="T995" s="977"/>
      <c r="U995" s="977"/>
      <c r="V995" s="977"/>
      <c r="W995" s="977"/>
      <c r="X995" s="977"/>
      <c r="Y995" s="977"/>
    </row>
    <row r="996" spans="1:25" x14ac:dyDescent="0.2">
      <c r="A996" s="976"/>
      <c r="B996" s="976"/>
      <c r="C996" s="976"/>
      <c r="D996" s="976"/>
      <c r="E996" s="976"/>
      <c r="R996" s="977"/>
      <c r="S996" s="977"/>
      <c r="T996" s="977"/>
      <c r="U996" s="977"/>
      <c r="V996" s="977"/>
      <c r="W996" s="977"/>
      <c r="X996" s="977"/>
      <c r="Y996" s="977"/>
    </row>
    <row r="997" spans="1:25" x14ac:dyDescent="0.2">
      <c r="A997" s="976"/>
      <c r="B997" s="976"/>
      <c r="C997" s="976"/>
      <c r="D997" s="976"/>
      <c r="E997" s="976"/>
      <c r="R997" s="977"/>
      <c r="S997" s="977"/>
      <c r="T997" s="977"/>
      <c r="U997" s="977"/>
      <c r="V997" s="977"/>
      <c r="W997" s="977"/>
      <c r="X997" s="977"/>
      <c r="Y997" s="977"/>
    </row>
    <row r="998" spans="1:25" x14ac:dyDescent="0.2">
      <c r="A998" s="976"/>
      <c r="B998" s="976"/>
      <c r="C998" s="976"/>
      <c r="D998" s="976"/>
      <c r="E998" s="976"/>
      <c r="R998" s="977"/>
      <c r="S998" s="977"/>
      <c r="T998" s="977"/>
      <c r="U998" s="977"/>
      <c r="V998" s="977"/>
      <c r="W998" s="977"/>
      <c r="X998" s="977"/>
      <c r="Y998" s="977"/>
    </row>
    <row r="999" spans="1:25" x14ac:dyDescent="0.2">
      <c r="A999" s="976"/>
      <c r="B999" s="976"/>
      <c r="C999" s="976"/>
      <c r="D999" s="976"/>
      <c r="E999" s="976"/>
      <c r="R999" s="977"/>
      <c r="S999" s="977"/>
      <c r="T999" s="977"/>
      <c r="U999" s="977"/>
      <c r="V999" s="977"/>
      <c r="W999" s="977"/>
      <c r="X999" s="977"/>
      <c r="Y999" s="977"/>
    </row>
    <row r="1000" spans="1:25" x14ac:dyDescent="0.2">
      <c r="A1000" s="976"/>
      <c r="B1000" s="976"/>
      <c r="C1000" s="976"/>
      <c r="D1000" s="976"/>
      <c r="E1000" s="976"/>
      <c r="R1000" s="977"/>
      <c r="S1000" s="977"/>
      <c r="T1000" s="977"/>
      <c r="U1000" s="977"/>
      <c r="V1000" s="977"/>
      <c r="W1000" s="977"/>
      <c r="X1000" s="977"/>
      <c r="Y1000" s="977"/>
    </row>
    <row r="1001" spans="1:25" x14ac:dyDescent="0.2">
      <c r="A1001" s="976"/>
      <c r="B1001" s="976"/>
      <c r="C1001" s="976"/>
      <c r="D1001" s="976"/>
      <c r="E1001" s="976"/>
      <c r="R1001" s="977"/>
      <c r="S1001" s="977"/>
      <c r="T1001" s="977"/>
      <c r="U1001" s="977"/>
      <c r="V1001" s="977"/>
      <c r="W1001" s="977"/>
      <c r="X1001" s="977"/>
      <c r="Y1001" s="977"/>
    </row>
    <row r="1002" spans="1:25" x14ac:dyDescent="0.2">
      <c r="A1002" s="976"/>
      <c r="B1002" s="976"/>
      <c r="C1002" s="976"/>
      <c r="D1002" s="976"/>
      <c r="E1002" s="976"/>
      <c r="R1002" s="977"/>
      <c r="S1002" s="977"/>
      <c r="T1002" s="977"/>
      <c r="U1002" s="977"/>
      <c r="V1002" s="977"/>
      <c r="W1002" s="977"/>
      <c r="X1002" s="977"/>
      <c r="Y1002" s="977"/>
    </row>
    <row r="1003" spans="1:25" x14ac:dyDescent="0.2">
      <c r="A1003" s="976"/>
      <c r="B1003" s="976"/>
      <c r="C1003" s="976"/>
      <c r="D1003" s="976"/>
      <c r="E1003" s="976"/>
      <c r="R1003" s="977"/>
      <c r="S1003" s="977"/>
      <c r="T1003" s="977"/>
      <c r="U1003" s="977"/>
      <c r="V1003" s="977"/>
      <c r="W1003" s="977"/>
      <c r="X1003" s="977"/>
      <c r="Y1003" s="977"/>
    </row>
    <row r="1004" spans="1:25" x14ac:dyDescent="0.2">
      <c r="A1004" s="976"/>
      <c r="B1004" s="976"/>
      <c r="C1004" s="976"/>
      <c r="D1004" s="976"/>
      <c r="E1004" s="976"/>
      <c r="R1004" s="977"/>
      <c r="S1004" s="977"/>
      <c r="T1004" s="977"/>
      <c r="U1004" s="977"/>
      <c r="V1004" s="977"/>
      <c r="W1004" s="977"/>
      <c r="X1004" s="977"/>
      <c r="Y1004" s="977"/>
    </row>
    <row r="1005" spans="1:25" x14ac:dyDescent="0.2">
      <c r="A1005" s="976"/>
      <c r="B1005" s="976"/>
      <c r="C1005" s="976"/>
      <c r="D1005" s="976"/>
      <c r="E1005" s="976"/>
      <c r="R1005" s="977"/>
      <c r="S1005" s="977"/>
      <c r="T1005" s="977"/>
      <c r="U1005" s="977"/>
      <c r="V1005" s="977"/>
      <c r="W1005" s="977"/>
      <c r="X1005" s="977"/>
      <c r="Y1005" s="977"/>
    </row>
    <row r="1006" spans="1:25" x14ac:dyDescent="0.2">
      <c r="A1006" s="976"/>
      <c r="B1006" s="976"/>
      <c r="C1006" s="976"/>
      <c r="D1006" s="976"/>
      <c r="E1006" s="976"/>
      <c r="R1006" s="977"/>
      <c r="S1006" s="977"/>
      <c r="T1006" s="977"/>
      <c r="U1006" s="977"/>
      <c r="V1006" s="977"/>
      <c r="W1006" s="977"/>
      <c r="X1006" s="977"/>
      <c r="Y1006" s="977"/>
    </row>
    <row r="1007" spans="1:25" x14ac:dyDescent="0.2">
      <c r="A1007" s="976"/>
      <c r="B1007" s="976"/>
      <c r="C1007" s="976"/>
      <c r="D1007" s="976"/>
      <c r="E1007" s="976"/>
      <c r="R1007" s="977"/>
      <c r="S1007" s="977"/>
      <c r="T1007" s="977"/>
      <c r="U1007" s="977"/>
      <c r="V1007" s="977"/>
      <c r="W1007" s="977"/>
      <c r="X1007" s="977"/>
      <c r="Y1007" s="977"/>
    </row>
    <row r="1008" spans="1:25" x14ac:dyDescent="0.2">
      <c r="A1008" s="976"/>
      <c r="B1008" s="976"/>
      <c r="C1008" s="976"/>
      <c r="D1008" s="976"/>
      <c r="E1008" s="976"/>
      <c r="R1008" s="977"/>
      <c r="S1008" s="977"/>
      <c r="T1008" s="977"/>
      <c r="U1008" s="977"/>
      <c r="V1008" s="977"/>
      <c r="W1008" s="977"/>
      <c r="X1008" s="977"/>
      <c r="Y1008" s="977"/>
    </row>
    <row r="1009" spans="1:25" x14ac:dyDescent="0.2">
      <c r="A1009" s="976"/>
      <c r="B1009" s="976"/>
      <c r="C1009" s="976"/>
      <c r="D1009" s="976"/>
      <c r="E1009" s="976"/>
      <c r="R1009" s="977"/>
      <c r="S1009" s="977"/>
      <c r="T1009" s="977"/>
      <c r="U1009" s="977"/>
      <c r="V1009" s="977"/>
      <c r="W1009" s="977"/>
      <c r="X1009" s="977"/>
      <c r="Y1009" s="977"/>
    </row>
    <row r="1010" spans="1:25" x14ac:dyDescent="0.2">
      <c r="A1010" s="976"/>
      <c r="B1010" s="976"/>
      <c r="C1010" s="976"/>
      <c r="D1010" s="976"/>
      <c r="E1010" s="976"/>
      <c r="R1010" s="977"/>
      <c r="S1010" s="977"/>
      <c r="T1010" s="977"/>
      <c r="U1010" s="977"/>
      <c r="V1010" s="977"/>
      <c r="W1010" s="977"/>
      <c r="X1010" s="977"/>
      <c r="Y1010" s="977"/>
    </row>
    <row r="1011" spans="1:25" x14ac:dyDescent="0.2">
      <c r="A1011" s="976"/>
      <c r="B1011" s="976"/>
      <c r="C1011" s="976"/>
      <c r="D1011" s="976"/>
      <c r="E1011" s="976"/>
      <c r="R1011" s="977"/>
      <c r="S1011" s="977"/>
      <c r="T1011" s="977"/>
      <c r="U1011" s="977"/>
      <c r="V1011" s="977"/>
      <c r="W1011" s="977"/>
      <c r="X1011" s="977"/>
      <c r="Y1011" s="977"/>
    </row>
    <row r="1012" spans="1:25" x14ac:dyDescent="0.2">
      <c r="A1012" s="976"/>
      <c r="B1012" s="976"/>
      <c r="C1012" s="976"/>
      <c r="D1012" s="976"/>
      <c r="E1012" s="976"/>
      <c r="R1012" s="977"/>
      <c r="S1012" s="977"/>
      <c r="T1012" s="977"/>
      <c r="U1012" s="977"/>
      <c r="V1012" s="977"/>
      <c r="W1012" s="977"/>
      <c r="X1012" s="977"/>
      <c r="Y1012" s="977"/>
    </row>
    <row r="1013" spans="1:25" x14ac:dyDescent="0.2">
      <c r="A1013" s="976"/>
      <c r="B1013" s="976"/>
      <c r="C1013" s="976"/>
      <c r="D1013" s="976"/>
      <c r="E1013" s="976"/>
      <c r="R1013" s="977"/>
      <c r="S1013" s="977"/>
      <c r="T1013" s="977"/>
      <c r="U1013" s="977"/>
      <c r="V1013" s="977"/>
      <c r="W1013" s="977"/>
      <c r="X1013" s="977"/>
      <c r="Y1013" s="977"/>
    </row>
    <row r="1014" spans="1:25" x14ac:dyDescent="0.2">
      <c r="A1014" s="976"/>
      <c r="B1014" s="976"/>
      <c r="C1014" s="976"/>
      <c r="D1014" s="976"/>
      <c r="E1014" s="976"/>
      <c r="R1014" s="977"/>
      <c r="S1014" s="977"/>
      <c r="T1014" s="977"/>
      <c r="U1014" s="977"/>
      <c r="V1014" s="977"/>
      <c r="W1014" s="977"/>
      <c r="X1014" s="977"/>
      <c r="Y1014" s="977"/>
    </row>
    <row r="1015" spans="1:25" x14ac:dyDescent="0.2">
      <c r="A1015" s="976"/>
      <c r="B1015" s="976"/>
      <c r="C1015" s="976"/>
      <c r="D1015" s="976"/>
      <c r="E1015" s="976"/>
      <c r="R1015" s="977"/>
      <c r="S1015" s="977"/>
      <c r="T1015" s="977"/>
      <c r="U1015" s="977"/>
      <c r="V1015" s="977"/>
      <c r="W1015" s="977"/>
      <c r="X1015" s="977"/>
      <c r="Y1015" s="977"/>
    </row>
    <row r="1016" spans="1:25" x14ac:dyDescent="0.2">
      <c r="A1016" s="976"/>
      <c r="B1016" s="976"/>
      <c r="C1016" s="976"/>
      <c r="D1016" s="976"/>
      <c r="E1016" s="976"/>
      <c r="R1016" s="977"/>
      <c r="S1016" s="977"/>
      <c r="T1016" s="977"/>
      <c r="U1016" s="977"/>
      <c r="V1016" s="977"/>
      <c r="W1016" s="977"/>
      <c r="X1016" s="977"/>
      <c r="Y1016" s="977"/>
    </row>
    <row r="1017" spans="1:25" x14ac:dyDescent="0.2">
      <c r="A1017" s="976"/>
      <c r="B1017" s="976"/>
      <c r="C1017" s="976"/>
      <c r="D1017" s="976"/>
      <c r="E1017" s="976"/>
      <c r="R1017" s="977"/>
      <c r="S1017" s="977"/>
      <c r="T1017" s="977"/>
      <c r="U1017" s="977"/>
      <c r="V1017" s="977"/>
      <c r="W1017" s="977"/>
      <c r="X1017" s="977"/>
      <c r="Y1017" s="977"/>
    </row>
    <row r="1018" spans="1:25" x14ac:dyDescent="0.2">
      <c r="A1018" s="976"/>
      <c r="B1018" s="976"/>
      <c r="C1018" s="976"/>
      <c r="D1018" s="976"/>
      <c r="E1018" s="976"/>
      <c r="R1018" s="977"/>
      <c r="S1018" s="977"/>
      <c r="T1018" s="977"/>
      <c r="U1018" s="977"/>
      <c r="V1018" s="977"/>
      <c r="W1018" s="977"/>
      <c r="X1018" s="977"/>
      <c r="Y1018" s="977"/>
    </row>
    <row r="1019" spans="1:25" x14ac:dyDescent="0.2">
      <c r="A1019" s="976"/>
      <c r="B1019" s="976"/>
      <c r="C1019" s="976"/>
      <c r="D1019" s="976"/>
      <c r="E1019" s="976"/>
      <c r="R1019" s="977"/>
      <c r="S1019" s="977"/>
      <c r="T1019" s="977"/>
      <c r="U1019" s="977"/>
      <c r="V1019" s="977"/>
      <c r="W1019" s="977"/>
      <c r="X1019" s="977"/>
      <c r="Y1019" s="977"/>
    </row>
    <row r="1020" spans="1:25" x14ac:dyDescent="0.2">
      <c r="A1020" s="976"/>
      <c r="B1020" s="976"/>
      <c r="C1020" s="976"/>
      <c r="D1020" s="976"/>
      <c r="E1020" s="976"/>
      <c r="R1020" s="977"/>
      <c r="S1020" s="977"/>
      <c r="T1020" s="977"/>
      <c r="U1020" s="977"/>
      <c r="V1020" s="977"/>
      <c r="W1020" s="977"/>
      <c r="X1020" s="977"/>
      <c r="Y1020" s="977"/>
    </row>
    <row r="1021" spans="1:25" x14ac:dyDescent="0.2">
      <c r="A1021" s="976"/>
      <c r="B1021" s="976"/>
      <c r="C1021" s="976"/>
      <c r="D1021" s="976"/>
      <c r="E1021" s="976"/>
      <c r="R1021" s="977"/>
      <c r="S1021" s="977"/>
      <c r="T1021" s="977"/>
      <c r="U1021" s="977"/>
      <c r="V1021" s="977"/>
      <c r="W1021" s="977"/>
      <c r="X1021" s="977"/>
      <c r="Y1021" s="977"/>
    </row>
    <row r="1022" spans="1:25" x14ac:dyDescent="0.2">
      <c r="A1022" s="976"/>
      <c r="B1022" s="976"/>
      <c r="C1022" s="976"/>
      <c r="D1022" s="976"/>
      <c r="E1022" s="976"/>
      <c r="R1022" s="977"/>
      <c r="S1022" s="977"/>
      <c r="T1022" s="977"/>
      <c r="U1022" s="977"/>
      <c r="V1022" s="977"/>
      <c r="W1022" s="977"/>
      <c r="X1022" s="977"/>
      <c r="Y1022" s="977"/>
    </row>
    <row r="1023" spans="1:25" x14ac:dyDescent="0.2">
      <c r="A1023" s="976"/>
      <c r="B1023" s="976"/>
      <c r="C1023" s="976"/>
      <c r="D1023" s="976"/>
      <c r="E1023" s="976"/>
      <c r="R1023" s="977"/>
      <c r="S1023" s="977"/>
      <c r="T1023" s="977"/>
      <c r="U1023" s="977"/>
      <c r="V1023" s="977"/>
      <c r="W1023" s="977"/>
      <c r="X1023" s="977"/>
      <c r="Y1023" s="977"/>
    </row>
    <row r="1024" spans="1:25" x14ac:dyDescent="0.2">
      <c r="A1024" s="976"/>
      <c r="B1024" s="976"/>
      <c r="C1024" s="976"/>
      <c r="D1024" s="976"/>
      <c r="E1024" s="976"/>
      <c r="R1024" s="977"/>
      <c r="S1024" s="977"/>
      <c r="T1024" s="977"/>
      <c r="U1024" s="977"/>
      <c r="V1024" s="977"/>
      <c r="W1024" s="977"/>
      <c r="X1024" s="977"/>
      <c r="Y1024" s="977"/>
    </row>
    <row r="1025" spans="1:25" x14ac:dyDescent="0.2">
      <c r="A1025" s="976"/>
      <c r="B1025" s="976"/>
      <c r="C1025" s="976"/>
      <c r="D1025" s="976"/>
      <c r="E1025" s="976"/>
      <c r="R1025" s="977"/>
      <c r="S1025" s="977"/>
      <c r="T1025" s="977"/>
      <c r="U1025" s="977"/>
      <c r="V1025" s="977"/>
      <c r="W1025" s="977"/>
      <c r="X1025" s="977"/>
      <c r="Y1025" s="977"/>
    </row>
    <row r="1026" spans="1:25" x14ac:dyDescent="0.2">
      <c r="A1026" s="976"/>
      <c r="B1026" s="976"/>
      <c r="C1026" s="976"/>
      <c r="D1026" s="976"/>
      <c r="E1026" s="976"/>
      <c r="R1026" s="977"/>
      <c r="S1026" s="977"/>
      <c r="T1026" s="977"/>
      <c r="U1026" s="977"/>
      <c r="V1026" s="977"/>
      <c r="W1026" s="977"/>
      <c r="X1026" s="977"/>
      <c r="Y1026" s="977"/>
    </row>
    <row r="1027" spans="1:25" x14ac:dyDescent="0.2">
      <c r="A1027" s="976"/>
      <c r="B1027" s="976"/>
      <c r="C1027" s="976"/>
      <c r="D1027" s="976"/>
      <c r="E1027" s="976"/>
      <c r="R1027" s="977"/>
      <c r="S1027" s="977"/>
      <c r="T1027" s="977"/>
      <c r="U1027" s="977"/>
      <c r="V1027" s="977"/>
      <c r="W1027" s="977"/>
      <c r="X1027" s="977"/>
      <c r="Y1027" s="977"/>
    </row>
    <row r="1028" spans="1:25" x14ac:dyDescent="0.2">
      <c r="A1028" s="976"/>
      <c r="B1028" s="976"/>
      <c r="C1028" s="976"/>
      <c r="D1028" s="976"/>
      <c r="E1028" s="976"/>
      <c r="R1028" s="977"/>
      <c r="S1028" s="977"/>
      <c r="T1028" s="977"/>
      <c r="U1028" s="977"/>
      <c r="V1028" s="977"/>
      <c r="W1028" s="977"/>
      <c r="X1028" s="977"/>
      <c r="Y1028" s="977"/>
    </row>
    <row r="1029" spans="1:25" x14ac:dyDescent="0.2">
      <c r="A1029" s="976"/>
      <c r="B1029" s="976"/>
      <c r="C1029" s="976"/>
      <c r="D1029" s="976"/>
      <c r="E1029" s="976"/>
      <c r="R1029" s="977"/>
      <c r="S1029" s="977"/>
      <c r="T1029" s="977"/>
      <c r="U1029" s="977"/>
      <c r="V1029" s="977"/>
      <c r="W1029" s="977"/>
      <c r="X1029" s="977"/>
      <c r="Y1029" s="977"/>
    </row>
    <row r="1030" spans="1:25" x14ac:dyDescent="0.2">
      <c r="A1030" s="976"/>
      <c r="B1030" s="976"/>
      <c r="C1030" s="976"/>
      <c r="D1030" s="976"/>
      <c r="E1030" s="976"/>
      <c r="R1030" s="977"/>
      <c r="S1030" s="977"/>
      <c r="T1030" s="977"/>
      <c r="U1030" s="977"/>
      <c r="V1030" s="977"/>
      <c r="W1030" s="977"/>
      <c r="X1030" s="977"/>
      <c r="Y1030" s="977"/>
    </row>
    <row r="1031" spans="1:25" x14ac:dyDescent="0.2">
      <c r="A1031" s="976"/>
      <c r="B1031" s="976"/>
      <c r="C1031" s="976"/>
      <c r="D1031" s="976"/>
      <c r="E1031" s="976"/>
      <c r="R1031" s="977"/>
      <c r="S1031" s="977"/>
      <c r="T1031" s="977"/>
      <c r="U1031" s="977"/>
      <c r="V1031" s="977"/>
      <c r="W1031" s="977"/>
      <c r="X1031" s="977"/>
      <c r="Y1031" s="977"/>
    </row>
    <row r="1032" spans="1:25" x14ac:dyDescent="0.2">
      <c r="A1032" s="976"/>
      <c r="B1032" s="976"/>
      <c r="C1032" s="976"/>
      <c r="D1032" s="976"/>
      <c r="E1032" s="976"/>
      <c r="R1032" s="977"/>
      <c r="S1032" s="977"/>
      <c r="T1032" s="977"/>
      <c r="U1032" s="977"/>
      <c r="V1032" s="977"/>
      <c r="W1032" s="977"/>
      <c r="X1032" s="977"/>
      <c r="Y1032" s="977"/>
    </row>
    <row r="1033" spans="1:25" x14ac:dyDescent="0.2">
      <c r="A1033" s="976"/>
      <c r="B1033" s="976"/>
      <c r="C1033" s="976"/>
      <c r="D1033" s="976"/>
      <c r="E1033" s="976"/>
      <c r="R1033" s="977"/>
      <c r="S1033" s="977"/>
      <c r="T1033" s="977"/>
      <c r="U1033" s="977"/>
      <c r="V1033" s="977"/>
      <c r="W1033" s="977"/>
      <c r="X1033" s="977"/>
      <c r="Y1033" s="977"/>
    </row>
    <row r="1034" spans="1:25" x14ac:dyDescent="0.2">
      <c r="A1034" s="976"/>
      <c r="B1034" s="976"/>
      <c r="C1034" s="976"/>
      <c r="D1034" s="976"/>
      <c r="E1034" s="976"/>
      <c r="R1034" s="977"/>
      <c r="S1034" s="977"/>
      <c r="T1034" s="977"/>
      <c r="U1034" s="977"/>
      <c r="V1034" s="977"/>
      <c r="W1034" s="977"/>
      <c r="X1034" s="977"/>
      <c r="Y1034" s="977"/>
    </row>
    <row r="1035" spans="1:25" x14ac:dyDescent="0.2">
      <c r="A1035" s="976"/>
      <c r="B1035" s="976"/>
      <c r="C1035" s="976"/>
      <c r="D1035" s="976"/>
      <c r="E1035" s="976"/>
      <c r="R1035" s="977"/>
      <c r="S1035" s="977"/>
      <c r="T1035" s="977"/>
      <c r="U1035" s="977"/>
      <c r="V1035" s="977"/>
      <c r="W1035" s="977"/>
      <c r="X1035" s="977"/>
      <c r="Y1035" s="977"/>
    </row>
    <row r="1036" spans="1:25" x14ac:dyDescent="0.2">
      <c r="A1036" s="976"/>
      <c r="B1036" s="976"/>
      <c r="C1036" s="976"/>
      <c r="D1036" s="976"/>
      <c r="E1036" s="976"/>
      <c r="R1036" s="977"/>
      <c r="S1036" s="977"/>
      <c r="T1036" s="977"/>
      <c r="U1036" s="977"/>
      <c r="V1036" s="977"/>
      <c r="W1036" s="977"/>
      <c r="X1036" s="977"/>
      <c r="Y1036" s="977"/>
    </row>
    <row r="1037" spans="1:25" x14ac:dyDescent="0.2">
      <c r="A1037" s="976"/>
      <c r="B1037" s="976"/>
      <c r="C1037" s="976"/>
      <c r="D1037" s="976"/>
      <c r="E1037" s="976"/>
      <c r="R1037" s="977"/>
      <c r="S1037" s="977"/>
      <c r="T1037" s="977"/>
      <c r="U1037" s="977"/>
      <c r="V1037" s="977"/>
      <c r="W1037" s="977"/>
      <c r="X1037" s="977"/>
      <c r="Y1037" s="977"/>
    </row>
    <row r="1038" spans="1:25" x14ac:dyDescent="0.2">
      <c r="A1038" s="976"/>
      <c r="B1038" s="976"/>
      <c r="C1038" s="976"/>
      <c r="D1038" s="976"/>
      <c r="E1038" s="976"/>
      <c r="R1038" s="977"/>
      <c r="S1038" s="977"/>
      <c r="T1038" s="977"/>
      <c r="U1038" s="977"/>
      <c r="V1038" s="977"/>
      <c r="W1038" s="977"/>
      <c r="X1038" s="977"/>
      <c r="Y1038" s="977"/>
    </row>
    <row r="1039" spans="1:25" x14ac:dyDescent="0.2">
      <c r="A1039" s="976"/>
      <c r="B1039" s="976"/>
      <c r="C1039" s="976"/>
      <c r="D1039" s="976"/>
      <c r="E1039" s="976"/>
      <c r="R1039" s="977"/>
      <c r="S1039" s="977"/>
      <c r="T1039" s="977"/>
      <c r="U1039" s="977"/>
      <c r="V1039" s="977"/>
      <c r="W1039" s="977"/>
      <c r="X1039" s="977"/>
      <c r="Y1039" s="977"/>
    </row>
    <row r="1040" spans="1:25" x14ac:dyDescent="0.2">
      <c r="A1040" s="976"/>
      <c r="B1040" s="976"/>
      <c r="C1040" s="976"/>
      <c r="D1040" s="976"/>
      <c r="E1040" s="976"/>
      <c r="R1040" s="977"/>
      <c r="S1040" s="977"/>
      <c r="T1040" s="977"/>
      <c r="U1040" s="977"/>
      <c r="V1040" s="977"/>
      <c r="W1040" s="977"/>
      <c r="X1040" s="977"/>
      <c r="Y1040" s="977"/>
    </row>
    <row r="1041" spans="1:25" x14ac:dyDescent="0.2">
      <c r="A1041" s="976"/>
      <c r="B1041" s="976"/>
      <c r="C1041" s="976"/>
      <c r="D1041" s="976"/>
      <c r="E1041" s="976"/>
      <c r="R1041" s="977"/>
      <c r="S1041" s="977"/>
      <c r="T1041" s="977"/>
      <c r="U1041" s="977"/>
      <c r="V1041" s="977"/>
      <c r="W1041" s="977"/>
      <c r="X1041" s="977"/>
      <c r="Y1041" s="977"/>
    </row>
    <row r="1042" spans="1:25" x14ac:dyDescent="0.2">
      <c r="A1042" s="976"/>
      <c r="B1042" s="976"/>
      <c r="C1042" s="976"/>
      <c r="D1042" s="976"/>
      <c r="E1042" s="976"/>
      <c r="R1042" s="977"/>
      <c r="S1042" s="977"/>
      <c r="T1042" s="977"/>
      <c r="U1042" s="977"/>
      <c r="V1042" s="977"/>
      <c r="W1042" s="977"/>
      <c r="X1042" s="977"/>
      <c r="Y1042" s="977"/>
    </row>
    <row r="1043" spans="1:25" x14ac:dyDescent="0.2">
      <c r="A1043" s="976"/>
      <c r="B1043" s="976"/>
      <c r="C1043" s="976"/>
      <c r="D1043" s="976"/>
      <c r="E1043" s="976"/>
      <c r="R1043" s="977"/>
      <c r="S1043" s="977"/>
      <c r="T1043" s="977"/>
      <c r="U1043" s="977"/>
      <c r="V1043" s="977"/>
      <c r="W1043" s="977"/>
      <c r="X1043" s="977"/>
      <c r="Y1043" s="977"/>
    </row>
    <row r="1044" spans="1:25" x14ac:dyDescent="0.2">
      <c r="A1044" s="976"/>
      <c r="B1044" s="976"/>
      <c r="C1044" s="976"/>
      <c r="D1044" s="976"/>
      <c r="E1044" s="976"/>
      <c r="R1044" s="977"/>
      <c r="S1044" s="977"/>
      <c r="T1044" s="977"/>
      <c r="U1044" s="977"/>
      <c r="V1044" s="977"/>
      <c r="W1044" s="977"/>
      <c r="X1044" s="977"/>
      <c r="Y1044" s="977"/>
    </row>
    <row r="1045" spans="1:25" x14ac:dyDescent="0.2">
      <c r="A1045" s="976"/>
      <c r="B1045" s="976"/>
      <c r="C1045" s="976"/>
      <c r="D1045" s="976"/>
      <c r="E1045" s="976"/>
      <c r="R1045" s="977"/>
      <c r="S1045" s="977"/>
      <c r="T1045" s="977"/>
      <c r="U1045" s="977"/>
      <c r="V1045" s="977"/>
      <c r="W1045" s="977"/>
      <c r="X1045" s="977"/>
      <c r="Y1045" s="977"/>
    </row>
    <row r="1046" spans="1:25" x14ac:dyDescent="0.2">
      <c r="A1046" s="976"/>
      <c r="B1046" s="976"/>
      <c r="C1046" s="976"/>
      <c r="D1046" s="976"/>
      <c r="E1046" s="976"/>
      <c r="R1046" s="977"/>
      <c r="S1046" s="977"/>
      <c r="T1046" s="977"/>
      <c r="U1046" s="977"/>
      <c r="V1046" s="977"/>
      <c r="W1046" s="977"/>
      <c r="X1046" s="977"/>
      <c r="Y1046" s="977"/>
    </row>
    <row r="1047" spans="1:25" x14ac:dyDescent="0.2">
      <c r="A1047" s="976"/>
      <c r="B1047" s="976"/>
      <c r="C1047" s="976"/>
      <c r="D1047" s="976"/>
      <c r="E1047" s="976"/>
      <c r="R1047" s="977"/>
      <c r="S1047" s="977"/>
      <c r="T1047" s="977"/>
      <c r="U1047" s="977"/>
      <c r="V1047" s="977"/>
      <c r="W1047" s="977"/>
      <c r="X1047" s="977"/>
      <c r="Y1047" s="977"/>
    </row>
    <row r="1048" spans="1:25" x14ac:dyDescent="0.2">
      <c r="A1048" s="976"/>
      <c r="B1048" s="976"/>
      <c r="C1048" s="976"/>
      <c r="D1048" s="976"/>
      <c r="E1048" s="976"/>
      <c r="R1048" s="977"/>
      <c r="S1048" s="977"/>
      <c r="T1048" s="977"/>
      <c r="U1048" s="977"/>
      <c r="V1048" s="977"/>
      <c r="W1048" s="977"/>
      <c r="X1048" s="977"/>
      <c r="Y1048" s="977"/>
    </row>
    <row r="1049" spans="1:25" x14ac:dyDescent="0.2">
      <c r="A1049" s="976"/>
      <c r="B1049" s="976"/>
      <c r="C1049" s="976"/>
      <c r="D1049" s="976"/>
      <c r="E1049" s="976"/>
      <c r="R1049" s="977"/>
      <c r="S1049" s="977"/>
      <c r="T1049" s="977"/>
      <c r="U1049" s="977"/>
      <c r="V1049" s="977"/>
      <c r="W1049" s="977"/>
      <c r="X1049" s="977"/>
      <c r="Y1049" s="977"/>
    </row>
    <row r="1050" spans="1:25" x14ac:dyDescent="0.2">
      <c r="A1050" s="976"/>
      <c r="B1050" s="976"/>
      <c r="C1050" s="976"/>
      <c r="D1050" s="976"/>
      <c r="E1050" s="976"/>
      <c r="R1050" s="977"/>
      <c r="S1050" s="977"/>
      <c r="T1050" s="977"/>
      <c r="U1050" s="977"/>
      <c r="V1050" s="977"/>
      <c r="W1050" s="977"/>
      <c r="X1050" s="977"/>
      <c r="Y1050" s="977"/>
    </row>
    <row r="1051" spans="1:25" x14ac:dyDescent="0.2">
      <c r="A1051" s="976"/>
      <c r="B1051" s="976"/>
      <c r="C1051" s="976"/>
      <c r="D1051" s="976"/>
      <c r="E1051" s="976"/>
      <c r="R1051" s="977"/>
      <c r="S1051" s="977"/>
      <c r="T1051" s="977"/>
      <c r="U1051" s="977"/>
      <c r="V1051" s="977"/>
      <c r="W1051" s="977"/>
      <c r="X1051" s="977"/>
      <c r="Y1051" s="977"/>
    </row>
    <row r="1052" spans="1:25" x14ac:dyDescent="0.2">
      <c r="A1052" s="976"/>
      <c r="B1052" s="976"/>
      <c r="C1052" s="976"/>
      <c r="D1052" s="976"/>
      <c r="E1052" s="976"/>
      <c r="R1052" s="977"/>
      <c r="S1052" s="977"/>
      <c r="T1052" s="977"/>
      <c r="U1052" s="977"/>
      <c r="V1052" s="977"/>
      <c r="W1052" s="977"/>
      <c r="X1052" s="977"/>
      <c r="Y1052" s="977"/>
    </row>
    <row r="1053" spans="1:25" x14ac:dyDescent="0.2">
      <c r="A1053" s="976"/>
      <c r="B1053" s="976"/>
      <c r="C1053" s="976"/>
      <c r="D1053" s="976"/>
      <c r="E1053" s="976"/>
      <c r="R1053" s="977"/>
      <c r="S1053" s="977"/>
      <c r="T1053" s="977"/>
      <c r="U1053" s="977"/>
      <c r="V1053" s="977"/>
      <c r="W1053" s="977"/>
      <c r="X1053" s="977"/>
      <c r="Y1053" s="977"/>
    </row>
    <row r="1054" spans="1:25" x14ac:dyDescent="0.2">
      <c r="A1054" s="976"/>
      <c r="B1054" s="976"/>
      <c r="C1054" s="976"/>
      <c r="D1054" s="976"/>
      <c r="E1054" s="976"/>
      <c r="R1054" s="977"/>
      <c r="S1054" s="977"/>
      <c r="T1054" s="977"/>
      <c r="U1054" s="977"/>
      <c r="V1054" s="977"/>
      <c r="W1054" s="977"/>
      <c r="X1054" s="977"/>
      <c r="Y1054" s="977"/>
    </row>
    <row r="1055" spans="1:25" x14ac:dyDescent="0.2">
      <c r="A1055" s="976"/>
      <c r="B1055" s="976"/>
      <c r="C1055" s="976"/>
      <c r="D1055" s="976"/>
      <c r="E1055" s="976"/>
      <c r="R1055" s="977"/>
      <c r="S1055" s="977"/>
      <c r="T1055" s="977"/>
      <c r="U1055" s="977"/>
      <c r="V1055" s="977"/>
      <c r="W1055" s="977"/>
      <c r="X1055" s="977"/>
      <c r="Y1055" s="977"/>
    </row>
    <row r="1056" spans="1:25" x14ac:dyDescent="0.2">
      <c r="A1056" s="976"/>
      <c r="B1056" s="976"/>
      <c r="C1056" s="976"/>
      <c r="D1056" s="976"/>
      <c r="E1056" s="976"/>
      <c r="R1056" s="977"/>
      <c r="S1056" s="977"/>
      <c r="T1056" s="977"/>
      <c r="U1056" s="977"/>
      <c r="V1056" s="977"/>
      <c r="W1056" s="977"/>
      <c r="X1056" s="977"/>
      <c r="Y1056" s="977"/>
    </row>
    <row r="1057" spans="1:25" x14ac:dyDescent="0.2">
      <c r="A1057" s="976"/>
      <c r="B1057" s="976"/>
      <c r="C1057" s="976"/>
      <c r="D1057" s="976"/>
      <c r="E1057" s="976"/>
      <c r="R1057" s="977"/>
      <c r="S1057" s="977"/>
      <c r="T1057" s="977"/>
      <c r="U1057" s="977"/>
      <c r="V1057" s="977"/>
      <c r="W1057" s="977"/>
      <c r="X1057" s="977"/>
      <c r="Y1057" s="977"/>
    </row>
    <row r="1058" spans="1:25" x14ac:dyDescent="0.2">
      <c r="A1058" s="976"/>
      <c r="B1058" s="976"/>
      <c r="C1058" s="976"/>
      <c r="D1058" s="976"/>
      <c r="E1058" s="976"/>
      <c r="R1058" s="977"/>
      <c r="S1058" s="977"/>
      <c r="T1058" s="977"/>
      <c r="U1058" s="977"/>
      <c r="V1058" s="977"/>
      <c r="W1058" s="977"/>
      <c r="X1058" s="977"/>
      <c r="Y1058" s="977"/>
    </row>
    <row r="1059" spans="1:25" x14ac:dyDescent="0.2">
      <c r="A1059" s="976"/>
      <c r="B1059" s="976"/>
      <c r="C1059" s="976"/>
      <c r="D1059" s="976"/>
      <c r="E1059" s="976"/>
      <c r="R1059" s="977"/>
      <c r="S1059" s="977"/>
      <c r="T1059" s="977"/>
      <c r="U1059" s="977"/>
      <c r="V1059" s="977"/>
      <c r="W1059" s="977"/>
      <c r="X1059" s="977"/>
      <c r="Y1059" s="977"/>
    </row>
    <row r="1060" spans="1:25" x14ac:dyDescent="0.2">
      <c r="A1060" s="976"/>
      <c r="B1060" s="976"/>
      <c r="C1060" s="976"/>
      <c r="D1060" s="976"/>
      <c r="E1060" s="976"/>
      <c r="R1060" s="977"/>
      <c r="S1060" s="977"/>
      <c r="T1060" s="977"/>
      <c r="U1060" s="977"/>
      <c r="V1060" s="977"/>
      <c r="W1060" s="977"/>
      <c r="X1060" s="977"/>
      <c r="Y1060" s="977"/>
    </row>
    <row r="1061" spans="1:25" x14ac:dyDescent="0.2">
      <c r="A1061" s="976"/>
      <c r="B1061" s="976"/>
      <c r="C1061" s="976"/>
      <c r="D1061" s="976"/>
      <c r="E1061" s="976"/>
      <c r="R1061" s="977"/>
      <c r="S1061" s="977"/>
      <c r="T1061" s="977"/>
      <c r="U1061" s="977"/>
      <c r="V1061" s="977"/>
      <c r="W1061" s="977"/>
      <c r="X1061" s="977"/>
      <c r="Y1061" s="977"/>
    </row>
    <row r="1062" spans="1:25" x14ac:dyDescent="0.2">
      <c r="A1062" s="976"/>
      <c r="B1062" s="976"/>
      <c r="C1062" s="976"/>
      <c r="D1062" s="976"/>
      <c r="E1062" s="976"/>
      <c r="R1062" s="977"/>
      <c r="S1062" s="977"/>
      <c r="T1062" s="977"/>
      <c r="U1062" s="977"/>
      <c r="V1062" s="977"/>
      <c r="W1062" s="977"/>
      <c r="X1062" s="977"/>
      <c r="Y1062" s="977"/>
    </row>
    <row r="1063" spans="1:25" x14ac:dyDescent="0.2">
      <c r="A1063" s="976"/>
      <c r="B1063" s="976"/>
      <c r="C1063" s="976"/>
      <c r="D1063" s="976"/>
      <c r="E1063" s="976"/>
      <c r="R1063" s="977"/>
      <c r="S1063" s="977"/>
      <c r="T1063" s="977"/>
      <c r="U1063" s="977"/>
      <c r="V1063" s="977"/>
      <c r="W1063" s="977"/>
      <c r="X1063" s="977"/>
      <c r="Y1063" s="977"/>
    </row>
    <row r="1064" spans="1:25" x14ac:dyDescent="0.2">
      <c r="A1064" s="976"/>
      <c r="B1064" s="976"/>
      <c r="C1064" s="976"/>
      <c r="D1064" s="976"/>
      <c r="E1064" s="976"/>
      <c r="R1064" s="977"/>
      <c r="S1064" s="977"/>
      <c r="T1064" s="977"/>
      <c r="U1064" s="977"/>
      <c r="V1064" s="977"/>
      <c r="W1064" s="977"/>
      <c r="X1064" s="977"/>
      <c r="Y1064" s="977"/>
    </row>
    <row r="1065" spans="1:25" x14ac:dyDescent="0.2">
      <c r="A1065" s="976"/>
      <c r="B1065" s="976"/>
      <c r="C1065" s="976"/>
      <c r="D1065" s="976"/>
      <c r="E1065" s="976"/>
      <c r="R1065" s="977"/>
      <c r="S1065" s="977"/>
      <c r="T1065" s="977"/>
      <c r="U1065" s="977"/>
      <c r="V1065" s="977"/>
      <c r="W1065" s="977"/>
      <c r="X1065" s="977"/>
      <c r="Y1065" s="977"/>
    </row>
    <row r="1066" spans="1:25" x14ac:dyDescent="0.2">
      <c r="A1066" s="976"/>
      <c r="B1066" s="976"/>
      <c r="C1066" s="976"/>
      <c r="D1066" s="976"/>
      <c r="E1066" s="976"/>
      <c r="R1066" s="977"/>
      <c r="S1066" s="977"/>
      <c r="T1066" s="977"/>
      <c r="U1066" s="977"/>
      <c r="V1066" s="977"/>
      <c r="W1066" s="977"/>
      <c r="X1066" s="977"/>
      <c r="Y1066" s="977"/>
    </row>
    <row r="1067" spans="1:25" x14ac:dyDescent="0.2">
      <c r="A1067" s="976"/>
      <c r="B1067" s="976"/>
      <c r="C1067" s="976"/>
      <c r="D1067" s="976"/>
      <c r="E1067" s="976"/>
      <c r="R1067" s="977"/>
      <c r="S1067" s="977"/>
      <c r="T1067" s="977"/>
      <c r="U1067" s="977"/>
      <c r="V1067" s="977"/>
      <c r="W1067" s="977"/>
      <c r="X1067" s="977"/>
      <c r="Y1067" s="977"/>
    </row>
    <row r="1068" spans="1:25" x14ac:dyDescent="0.2">
      <c r="A1068" s="976"/>
      <c r="B1068" s="976"/>
      <c r="C1068" s="976"/>
      <c r="D1068" s="976"/>
      <c r="E1068" s="976"/>
      <c r="R1068" s="977"/>
      <c r="S1068" s="977"/>
      <c r="T1068" s="977"/>
      <c r="U1068" s="977"/>
      <c r="V1068" s="977"/>
      <c r="W1068" s="977"/>
      <c r="X1068" s="977"/>
      <c r="Y1068" s="977"/>
    </row>
    <row r="1069" spans="1:25" x14ac:dyDescent="0.2">
      <c r="A1069" s="976"/>
      <c r="B1069" s="976"/>
      <c r="C1069" s="976"/>
      <c r="D1069" s="976"/>
      <c r="E1069" s="976"/>
      <c r="R1069" s="977"/>
      <c r="S1069" s="977"/>
      <c r="T1069" s="977"/>
      <c r="U1069" s="977"/>
      <c r="V1069" s="977"/>
      <c r="W1069" s="977"/>
      <c r="X1069" s="977"/>
      <c r="Y1069" s="977"/>
    </row>
    <row r="1070" spans="1:25" x14ac:dyDescent="0.2">
      <c r="A1070" s="976"/>
      <c r="B1070" s="976"/>
      <c r="C1070" s="976"/>
      <c r="D1070" s="976"/>
      <c r="E1070" s="976"/>
      <c r="R1070" s="977"/>
      <c r="S1070" s="977"/>
      <c r="T1070" s="977"/>
      <c r="U1070" s="977"/>
      <c r="V1070" s="977"/>
      <c r="W1070" s="977"/>
      <c r="X1070" s="977"/>
      <c r="Y1070" s="977"/>
    </row>
    <row r="1071" spans="1:25" x14ac:dyDescent="0.2">
      <c r="A1071" s="976"/>
      <c r="B1071" s="976"/>
      <c r="C1071" s="976"/>
      <c r="D1071" s="976"/>
      <c r="E1071" s="976"/>
      <c r="R1071" s="977"/>
      <c r="S1071" s="977"/>
      <c r="T1071" s="977"/>
      <c r="U1071" s="977"/>
      <c r="V1071" s="977"/>
      <c r="W1071" s="977"/>
      <c r="X1071" s="977"/>
      <c r="Y1071" s="977"/>
    </row>
    <row r="1072" spans="1:25" x14ac:dyDescent="0.2">
      <c r="A1072" s="976"/>
      <c r="B1072" s="976"/>
      <c r="C1072" s="976"/>
      <c r="D1072" s="976"/>
      <c r="E1072" s="976"/>
      <c r="R1072" s="977"/>
      <c r="S1072" s="977"/>
      <c r="T1072" s="977"/>
      <c r="U1072" s="977"/>
      <c r="V1072" s="977"/>
      <c r="W1072" s="977"/>
      <c r="X1072" s="977"/>
      <c r="Y1072" s="977"/>
    </row>
    <row r="1073" spans="1:25" x14ac:dyDescent="0.2">
      <c r="A1073" s="976"/>
      <c r="B1073" s="976"/>
      <c r="C1073" s="976"/>
      <c r="D1073" s="976"/>
      <c r="E1073" s="976"/>
      <c r="R1073" s="977"/>
      <c r="S1073" s="977"/>
      <c r="T1073" s="977"/>
      <c r="U1073" s="977"/>
      <c r="V1073" s="977"/>
      <c r="W1073" s="977"/>
      <c r="X1073" s="977"/>
      <c r="Y1073" s="977"/>
    </row>
    <row r="1074" spans="1:25" x14ac:dyDescent="0.2">
      <c r="A1074" s="976"/>
      <c r="B1074" s="976"/>
      <c r="C1074" s="976"/>
      <c r="D1074" s="976"/>
      <c r="E1074" s="976"/>
      <c r="R1074" s="977"/>
      <c r="S1074" s="977"/>
      <c r="T1074" s="977"/>
      <c r="U1074" s="977"/>
      <c r="V1074" s="977"/>
      <c r="W1074" s="977"/>
      <c r="X1074" s="977"/>
      <c r="Y1074" s="977"/>
    </row>
    <row r="1075" spans="1:25" x14ac:dyDescent="0.2">
      <c r="A1075" s="976"/>
      <c r="B1075" s="976"/>
      <c r="C1075" s="976"/>
      <c r="D1075" s="976"/>
      <c r="E1075" s="976"/>
      <c r="R1075" s="977"/>
      <c r="S1075" s="977"/>
      <c r="T1075" s="977"/>
      <c r="U1075" s="977"/>
      <c r="V1075" s="977"/>
      <c r="W1075" s="977"/>
      <c r="X1075" s="977"/>
      <c r="Y1075" s="977"/>
    </row>
    <row r="1076" spans="1:25" x14ac:dyDescent="0.2">
      <c r="A1076" s="976"/>
      <c r="B1076" s="976"/>
      <c r="C1076" s="976"/>
      <c r="D1076" s="976"/>
      <c r="E1076" s="976"/>
      <c r="R1076" s="977"/>
      <c r="S1076" s="977"/>
      <c r="T1076" s="977"/>
      <c r="U1076" s="977"/>
      <c r="V1076" s="977"/>
      <c r="W1076" s="977"/>
      <c r="X1076" s="977"/>
      <c r="Y1076" s="977"/>
    </row>
    <row r="1077" spans="1:25" x14ac:dyDescent="0.2">
      <c r="A1077" s="976"/>
      <c r="B1077" s="976"/>
      <c r="C1077" s="976"/>
      <c r="D1077" s="976"/>
      <c r="E1077" s="976"/>
      <c r="R1077" s="977"/>
      <c r="S1077" s="977"/>
      <c r="T1077" s="977"/>
      <c r="U1077" s="977"/>
      <c r="V1077" s="977"/>
      <c r="W1077" s="977"/>
      <c r="X1077" s="977"/>
      <c r="Y1077" s="977"/>
    </row>
    <row r="1078" spans="1:25" x14ac:dyDescent="0.2">
      <c r="A1078" s="976"/>
      <c r="B1078" s="976"/>
      <c r="C1078" s="976"/>
      <c r="D1078" s="976"/>
      <c r="E1078" s="976"/>
      <c r="R1078" s="977"/>
      <c r="S1078" s="977"/>
      <c r="T1078" s="977"/>
      <c r="U1078" s="977"/>
      <c r="V1078" s="977"/>
      <c r="W1078" s="977"/>
      <c r="X1078" s="977"/>
      <c r="Y1078" s="977"/>
    </row>
    <row r="1079" spans="1:25" x14ac:dyDescent="0.2">
      <c r="A1079" s="976"/>
      <c r="B1079" s="976"/>
      <c r="C1079" s="976"/>
      <c r="D1079" s="976"/>
      <c r="E1079" s="976"/>
      <c r="R1079" s="977"/>
      <c r="S1079" s="977"/>
      <c r="T1079" s="977"/>
      <c r="U1079" s="977"/>
      <c r="V1079" s="977"/>
      <c r="W1079" s="977"/>
      <c r="X1079" s="977"/>
      <c r="Y1079" s="977"/>
    </row>
    <row r="1080" spans="1:25" x14ac:dyDescent="0.2">
      <c r="A1080" s="976"/>
      <c r="B1080" s="976"/>
      <c r="C1080" s="976"/>
      <c r="D1080" s="976"/>
      <c r="E1080" s="976"/>
      <c r="R1080" s="977"/>
      <c r="S1080" s="977"/>
      <c r="T1080" s="977"/>
      <c r="U1080" s="977"/>
      <c r="V1080" s="977"/>
      <c r="W1080" s="977"/>
      <c r="X1080" s="977"/>
      <c r="Y1080" s="977"/>
    </row>
    <row r="1081" spans="1:25" x14ac:dyDescent="0.2">
      <c r="A1081" s="976"/>
      <c r="B1081" s="976"/>
      <c r="C1081" s="976"/>
      <c r="D1081" s="976"/>
      <c r="E1081" s="976"/>
      <c r="R1081" s="977"/>
      <c r="S1081" s="977"/>
      <c r="T1081" s="977"/>
      <c r="U1081" s="977"/>
      <c r="V1081" s="977"/>
      <c r="W1081" s="977"/>
      <c r="X1081" s="977"/>
      <c r="Y1081" s="977"/>
    </row>
    <row r="1082" spans="1:25" x14ac:dyDescent="0.2">
      <c r="A1082" s="976"/>
      <c r="B1082" s="976"/>
      <c r="C1082" s="976"/>
      <c r="D1082" s="976"/>
      <c r="E1082" s="976"/>
      <c r="R1082" s="977"/>
      <c r="S1082" s="977"/>
      <c r="T1082" s="977"/>
      <c r="U1082" s="977"/>
      <c r="V1082" s="977"/>
      <c r="W1082" s="977"/>
      <c r="X1082" s="977"/>
      <c r="Y1082" s="977"/>
    </row>
    <row r="1083" spans="1:25" x14ac:dyDescent="0.2">
      <c r="A1083" s="976"/>
      <c r="B1083" s="976"/>
      <c r="C1083" s="976"/>
      <c r="D1083" s="976"/>
      <c r="E1083" s="976"/>
      <c r="R1083" s="977"/>
      <c r="S1083" s="977"/>
      <c r="T1083" s="977"/>
      <c r="U1083" s="977"/>
      <c r="V1083" s="977"/>
      <c r="W1083" s="977"/>
      <c r="X1083" s="977"/>
      <c r="Y1083" s="977"/>
    </row>
    <row r="1084" spans="1:25" x14ac:dyDescent="0.2">
      <c r="A1084" s="976"/>
      <c r="B1084" s="976"/>
      <c r="C1084" s="976"/>
      <c r="D1084" s="976"/>
      <c r="E1084" s="976"/>
      <c r="R1084" s="977"/>
      <c r="S1084" s="977"/>
      <c r="T1084" s="977"/>
      <c r="U1084" s="977"/>
      <c r="V1084" s="977"/>
      <c r="W1084" s="977"/>
      <c r="X1084" s="977"/>
      <c r="Y1084" s="977"/>
    </row>
    <row r="1085" spans="1:25" x14ac:dyDescent="0.2">
      <c r="A1085" s="976"/>
      <c r="B1085" s="976"/>
      <c r="C1085" s="976"/>
      <c r="D1085" s="976"/>
      <c r="E1085" s="976"/>
      <c r="R1085" s="977"/>
      <c r="S1085" s="977"/>
      <c r="T1085" s="977"/>
      <c r="U1085" s="977"/>
      <c r="V1085" s="977"/>
      <c r="W1085" s="977"/>
      <c r="X1085" s="977"/>
      <c r="Y1085" s="977"/>
    </row>
    <row r="1086" spans="1:25" x14ac:dyDescent="0.2">
      <c r="A1086" s="976"/>
      <c r="B1086" s="976"/>
      <c r="C1086" s="976"/>
      <c r="D1086" s="976"/>
      <c r="E1086" s="976"/>
      <c r="R1086" s="977"/>
      <c r="S1086" s="977"/>
      <c r="T1086" s="977"/>
      <c r="U1086" s="977"/>
      <c r="V1086" s="977"/>
      <c r="W1086" s="977"/>
      <c r="X1086" s="977"/>
      <c r="Y1086" s="977"/>
    </row>
    <row r="1087" spans="1:25" x14ac:dyDescent="0.2">
      <c r="A1087" s="976"/>
      <c r="B1087" s="976"/>
      <c r="C1087" s="976"/>
      <c r="D1087" s="976"/>
      <c r="E1087" s="976"/>
      <c r="R1087" s="977"/>
      <c r="S1087" s="977"/>
      <c r="T1087" s="977"/>
      <c r="U1087" s="977"/>
      <c r="V1087" s="977"/>
      <c r="W1087" s="977"/>
      <c r="X1087" s="977"/>
      <c r="Y1087" s="977"/>
    </row>
    <row r="1088" spans="1:25" x14ac:dyDescent="0.2">
      <c r="A1088" s="976"/>
      <c r="B1088" s="976"/>
      <c r="C1088" s="976"/>
      <c r="D1088" s="976"/>
      <c r="E1088" s="976"/>
      <c r="R1088" s="977"/>
      <c r="S1088" s="977"/>
      <c r="T1088" s="977"/>
      <c r="U1088" s="977"/>
      <c r="V1088" s="977"/>
      <c r="W1088" s="977"/>
      <c r="X1088" s="977"/>
      <c r="Y1088" s="977"/>
    </row>
    <row r="1089" spans="1:25" x14ac:dyDescent="0.2">
      <c r="A1089" s="976"/>
      <c r="B1089" s="976"/>
      <c r="C1089" s="976"/>
      <c r="D1089" s="976"/>
      <c r="E1089" s="976"/>
      <c r="R1089" s="977"/>
      <c r="S1089" s="977"/>
      <c r="T1089" s="977"/>
      <c r="U1089" s="977"/>
      <c r="V1089" s="977"/>
      <c r="W1089" s="977"/>
      <c r="X1089" s="977"/>
      <c r="Y1089" s="977"/>
    </row>
    <row r="1090" spans="1:25" x14ac:dyDescent="0.2">
      <c r="A1090" s="976"/>
      <c r="B1090" s="976"/>
      <c r="C1090" s="976"/>
      <c r="D1090" s="976"/>
      <c r="E1090" s="976"/>
      <c r="R1090" s="977"/>
      <c r="S1090" s="977"/>
      <c r="T1090" s="977"/>
      <c r="U1090" s="977"/>
      <c r="V1090" s="977"/>
      <c r="W1090" s="977"/>
      <c r="X1090" s="977"/>
      <c r="Y1090" s="977"/>
    </row>
    <row r="1091" spans="1:25" x14ac:dyDescent="0.2">
      <c r="A1091" s="976"/>
      <c r="B1091" s="976"/>
      <c r="C1091" s="976"/>
      <c r="D1091" s="976"/>
      <c r="E1091" s="976"/>
      <c r="R1091" s="977"/>
      <c r="S1091" s="977"/>
      <c r="T1091" s="977"/>
      <c r="U1091" s="977"/>
      <c r="V1091" s="977"/>
      <c r="W1091" s="977"/>
      <c r="X1091" s="977"/>
      <c r="Y1091" s="977"/>
    </row>
    <row r="1092" spans="1:25" x14ac:dyDescent="0.2">
      <c r="A1092" s="976"/>
      <c r="B1092" s="976"/>
      <c r="C1092" s="976"/>
      <c r="D1092" s="976"/>
      <c r="E1092" s="976"/>
      <c r="R1092" s="977"/>
      <c r="S1092" s="977"/>
      <c r="T1092" s="977"/>
      <c r="U1092" s="977"/>
      <c r="V1092" s="977"/>
      <c r="W1092" s="977"/>
      <c r="X1092" s="977"/>
      <c r="Y1092" s="977"/>
    </row>
    <row r="1093" spans="1:25" x14ac:dyDescent="0.2">
      <c r="A1093" s="976"/>
      <c r="B1093" s="976"/>
      <c r="C1093" s="976"/>
      <c r="D1093" s="976"/>
      <c r="E1093" s="976"/>
      <c r="R1093" s="977"/>
      <c r="S1093" s="977"/>
      <c r="T1093" s="977"/>
      <c r="U1093" s="977"/>
      <c r="V1093" s="977"/>
      <c r="W1093" s="977"/>
      <c r="X1093" s="977"/>
      <c r="Y1093" s="977"/>
    </row>
    <row r="1094" spans="1:25" x14ac:dyDescent="0.2">
      <c r="A1094" s="976"/>
      <c r="B1094" s="976"/>
      <c r="C1094" s="976"/>
      <c r="D1094" s="976"/>
      <c r="E1094" s="976"/>
      <c r="R1094" s="977"/>
      <c r="S1094" s="977"/>
      <c r="T1094" s="977"/>
      <c r="U1094" s="977"/>
      <c r="V1094" s="977"/>
      <c r="W1094" s="977"/>
      <c r="X1094" s="977"/>
      <c r="Y1094" s="977"/>
    </row>
    <row r="1095" spans="1:25" x14ac:dyDescent="0.2">
      <c r="A1095" s="976"/>
      <c r="B1095" s="976"/>
      <c r="C1095" s="976"/>
      <c r="D1095" s="976"/>
      <c r="E1095" s="976"/>
      <c r="R1095" s="977"/>
      <c r="S1095" s="977"/>
      <c r="T1095" s="977"/>
      <c r="U1095" s="977"/>
      <c r="V1095" s="977"/>
      <c r="W1095" s="977"/>
      <c r="X1095" s="977"/>
      <c r="Y1095" s="977"/>
    </row>
    <row r="1096" spans="1:25" x14ac:dyDescent="0.2">
      <c r="A1096" s="976"/>
      <c r="B1096" s="976"/>
      <c r="C1096" s="976"/>
      <c r="D1096" s="976"/>
      <c r="E1096" s="976"/>
      <c r="R1096" s="977"/>
      <c r="S1096" s="977"/>
      <c r="T1096" s="977"/>
      <c r="U1096" s="977"/>
      <c r="V1096" s="977"/>
      <c r="W1096" s="977"/>
      <c r="X1096" s="977"/>
      <c r="Y1096" s="977"/>
    </row>
    <row r="1097" spans="1:25" x14ac:dyDescent="0.2">
      <c r="A1097" s="976"/>
      <c r="B1097" s="976"/>
      <c r="C1097" s="976"/>
      <c r="D1097" s="976"/>
      <c r="E1097" s="976"/>
      <c r="R1097" s="977"/>
      <c r="S1097" s="977"/>
      <c r="T1097" s="977"/>
      <c r="U1097" s="977"/>
      <c r="V1097" s="977"/>
      <c r="W1097" s="977"/>
      <c r="X1097" s="977"/>
      <c r="Y1097" s="977"/>
    </row>
    <row r="1098" spans="1:25" x14ac:dyDescent="0.2">
      <c r="A1098" s="976"/>
      <c r="B1098" s="976"/>
      <c r="C1098" s="976"/>
      <c r="D1098" s="976"/>
      <c r="E1098" s="976"/>
      <c r="R1098" s="977"/>
      <c r="S1098" s="977"/>
      <c r="T1098" s="977"/>
      <c r="U1098" s="977"/>
      <c r="V1098" s="977"/>
      <c r="W1098" s="977"/>
      <c r="X1098" s="977"/>
      <c r="Y1098" s="977"/>
    </row>
    <row r="1099" spans="1:25" x14ac:dyDescent="0.2">
      <c r="A1099" s="976"/>
      <c r="B1099" s="976"/>
      <c r="C1099" s="976"/>
      <c r="D1099" s="976"/>
      <c r="E1099" s="976"/>
      <c r="R1099" s="977"/>
      <c r="S1099" s="977"/>
      <c r="T1099" s="977"/>
      <c r="U1099" s="977"/>
      <c r="V1099" s="977"/>
      <c r="W1099" s="977"/>
      <c r="X1099" s="977"/>
      <c r="Y1099" s="977"/>
    </row>
    <row r="1100" spans="1:25" x14ac:dyDescent="0.2">
      <c r="A1100" s="976"/>
      <c r="B1100" s="976"/>
      <c r="C1100" s="976"/>
      <c r="D1100" s="976"/>
      <c r="E1100" s="976"/>
      <c r="R1100" s="977"/>
      <c r="S1100" s="977"/>
      <c r="T1100" s="977"/>
      <c r="U1100" s="977"/>
      <c r="V1100" s="977"/>
      <c r="W1100" s="977"/>
      <c r="X1100" s="977"/>
      <c r="Y1100" s="977"/>
    </row>
    <row r="1101" spans="1:25" x14ac:dyDescent="0.2">
      <c r="A1101" s="976"/>
      <c r="B1101" s="976"/>
      <c r="C1101" s="976"/>
      <c r="D1101" s="976"/>
      <c r="E1101" s="976"/>
      <c r="R1101" s="977"/>
      <c r="S1101" s="977"/>
      <c r="T1101" s="977"/>
      <c r="U1101" s="977"/>
      <c r="V1101" s="977"/>
      <c r="W1101" s="977"/>
      <c r="X1101" s="977"/>
      <c r="Y1101" s="977"/>
    </row>
    <row r="1102" spans="1:25" x14ac:dyDescent="0.2">
      <c r="A1102" s="976"/>
      <c r="B1102" s="976"/>
      <c r="C1102" s="976"/>
      <c r="D1102" s="976"/>
      <c r="E1102" s="976"/>
      <c r="R1102" s="977"/>
      <c r="S1102" s="977"/>
      <c r="T1102" s="977"/>
      <c r="U1102" s="977"/>
      <c r="V1102" s="977"/>
      <c r="W1102" s="977"/>
      <c r="X1102" s="977"/>
      <c r="Y1102" s="977"/>
    </row>
    <row r="1103" spans="1:25" x14ac:dyDescent="0.2">
      <c r="A1103" s="976"/>
      <c r="B1103" s="976"/>
      <c r="C1103" s="976"/>
      <c r="D1103" s="976"/>
      <c r="E1103" s="976"/>
      <c r="R1103" s="977"/>
      <c r="S1103" s="977"/>
      <c r="T1103" s="977"/>
      <c r="U1103" s="977"/>
      <c r="V1103" s="977"/>
      <c r="W1103" s="977"/>
      <c r="X1103" s="977"/>
      <c r="Y1103" s="977"/>
    </row>
    <row r="1104" spans="1:25" x14ac:dyDescent="0.2">
      <c r="A1104" s="976"/>
      <c r="B1104" s="976"/>
      <c r="C1104" s="976"/>
      <c r="D1104" s="976"/>
      <c r="E1104" s="976"/>
      <c r="R1104" s="977"/>
      <c r="S1104" s="977"/>
      <c r="T1104" s="977"/>
      <c r="U1104" s="977"/>
      <c r="V1104" s="977"/>
      <c r="W1104" s="977"/>
      <c r="X1104" s="977"/>
      <c r="Y1104" s="977"/>
    </row>
    <row r="1105" spans="1:25" x14ac:dyDescent="0.2">
      <c r="A1105" s="976"/>
      <c r="B1105" s="976"/>
      <c r="C1105" s="976"/>
      <c r="D1105" s="976"/>
      <c r="E1105" s="976"/>
      <c r="R1105" s="977"/>
      <c r="S1105" s="977"/>
      <c r="T1105" s="977"/>
      <c r="U1105" s="977"/>
      <c r="V1105" s="977"/>
      <c r="W1105" s="977"/>
      <c r="X1105" s="977"/>
      <c r="Y1105" s="977"/>
    </row>
    <row r="1106" spans="1:25" x14ac:dyDescent="0.2">
      <c r="A1106" s="976"/>
      <c r="B1106" s="976"/>
      <c r="C1106" s="976"/>
      <c r="D1106" s="976"/>
      <c r="E1106" s="976"/>
      <c r="R1106" s="977"/>
      <c r="S1106" s="977"/>
      <c r="T1106" s="977"/>
      <c r="U1106" s="977"/>
      <c r="V1106" s="977"/>
      <c r="W1106" s="977"/>
      <c r="X1106" s="977"/>
      <c r="Y1106" s="977"/>
    </row>
    <row r="1107" spans="1:25" x14ac:dyDescent="0.2">
      <c r="A1107" s="976"/>
      <c r="B1107" s="976"/>
      <c r="C1107" s="976"/>
      <c r="D1107" s="976"/>
      <c r="E1107" s="976"/>
      <c r="R1107" s="977"/>
      <c r="S1107" s="977"/>
      <c r="T1107" s="977"/>
      <c r="U1107" s="977"/>
      <c r="V1107" s="977"/>
      <c r="W1107" s="977"/>
      <c r="X1107" s="977"/>
      <c r="Y1107" s="977"/>
    </row>
    <row r="1108" spans="1:25" x14ac:dyDescent="0.2">
      <c r="A1108" s="976"/>
      <c r="B1108" s="976"/>
      <c r="C1108" s="976"/>
      <c r="D1108" s="976"/>
      <c r="E1108" s="976"/>
      <c r="R1108" s="977"/>
      <c r="S1108" s="977"/>
      <c r="T1108" s="977"/>
      <c r="U1108" s="977"/>
      <c r="V1108" s="977"/>
      <c r="W1108" s="977"/>
      <c r="X1108" s="977"/>
      <c r="Y1108" s="977"/>
    </row>
    <row r="1109" spans="1:25" x14ac:dyDescent="0.2">
      <c r="A1109" s="976"/>
      <c r="B1109" s="976"/>
      <c r="C1109" s="976"/>
      <c r="D1109" s="976"/>
      <c r="E1109" s="976"/>
      <c r="R1109" s="977"/>
      <c r="S1109" s="977"/>
      <c r="T1109" s="977"/>
      <c r="U1109" s="977"/>
      <c r="V1109" s="977"/>
      <c r="W1109" s="977"/>
      <c r="X1109" s="977"/>
      <c r="Y1109" s="977"/>
    </row>
    <row r="1110" spans="1:25" x14ac:dyDescent="0.2">
      <c r="A1110" s="976"/>
      <c r="B1110" s="976"/>
      <c r="C1110" s="976"/>
      <c r="D1110" s="976"/>
      <c r="E1110" s="976"/>
      <c r="R1110" s="977"/>
      <c r="S1110" s="977"/>
      <c r="T1110" s="977"/>
      <c r="U1110" s="977"/>
      <c r="V1110" s="977"/>
      <c r="W1110" s="977"/>
      <c r="X1110" s="977"/>
      <c r="Y1110" s="977"/>
    </row>
    <row r="1111" spans="1:25" x14ac:dyDescent="0.2">
      <c r="A1111" s="976"/>
      <c r="B1111" s="976"/>
      <c r="C1111" s="976"/>
      <c r="D1111" s="976"/>
      <c r="E1111" s="976"/>
      <c r="R1111" s="977"/>
      <c r="S1111" s="977"/>
      <c r="T1111" s="977"/>
      <c r="U1111" s="977"/>
      <c r="V1111" s="977"/>
      <c r="W1111" s="977"/>
      <c r="X1111" s="977"/>
      <c r="Y1111" s="977"/>
    </row>
    <row r="1112" spans="1:25" x14ac:dyDescent="0.2">
      <c r="A1112" s="976"/>
      <c r="B1112" s="976"/>
      <c r="C1112" s="976"/>
      <c r="D1112" s="976"/>
      <c r="E1112" s="976"/>
      <c r="R1112" s="977"/>
      <c r="S1112" s="977"/>
      <c r="T1112" s="977"/>
      <c r="U1112" s="977"/>
      <c r="V1112" s="977"/>
      <c r="W1112" s="977"/>
      <c r="X1112" s="977"/>
      <c r="Y1112" s="977"/>
    </row>
    <row r="1113" spans="1:25" x14ac:dyDescent="0.2">
      <c r="A1113" s="976"/>
      <c r="B1113" s="976"/>
      <c r="C1113" s="976"/>
      <c r="D1113" s="976"/>
      <c r="E1113" s="976"/>
      <c r="R1113" s="977"/>
      <c r="S1113" s="977"/>
      <c r="T1113" s="977"/>
      <c r="U1113" s="977"/>
      <c r="V1113" s="977"/>
      <c r="W1113" s="977"/>
      <c r="X1113" s="977"/>
      <c r="Y1113" s="977"/>
    </row>
    <row r="1114" spans="1:25" x14ac:dyDescent="0.2">
      <c r="A1114" s="976"/>
      <c r="B1114" s="976"/>
      <c r="C1114" s="976"/>
      <c r="D1114" s="976"/>
      <c r="E1114" s="976"/>
      <c r="R1114" s="977"/>
      <c r="S1114" s="977"/>
      <c r="T1114" s="977"/>
      <c r="U1114" s="977"/>
      <c r="V1114" s="977"/>
      <c r="W1114" s="977"/>
      <c r="X1114" s="977"/>
      <c r="Y1114" s="977"/>
    </row>
    <row r="1115" spans="1:25" x14ac:dyDescent="0.2">
      <c r="A1115" s="976"/>
      <c r="B1115" s="976"/>
      <c r="C1115" s="976"/>
      <c r="D1115" s="976"/>
      <c r="E1115" s="976"/>
      <c r="R1115" s="977"/>
      <c r="S1115" s="977"/>
      <c r="T1115" s="977"/>
      <c r="U1115" s="977"/>
      <c r="V1115" s="977"/>
      <c r="W1115" s="977"/>
      <c r="X1115" s="977"/>
      <c r="Y1115" s="977"/>
    </row>
    <row r="1116" spans="1:25" x14ac:dyDescent="0.2">
      <c r="A1116" s="976"/>
      <c r="B1116" s="976"/>
      <c r="C1116" s="976"/>
      <c r="D1116" s="976"/>
      <c r="E1116" s="976"/>
      <c r="R1116" s="977"/>
      <c r="S1116" s="977"/>
      <c r="T1116" s="977"/>
      <c r="U1116" s="977"/>
      <c r="V1116" s="977"/>
      <c r="W1116" s="977"/>
      <c r="X1116" s="977"/>
      <c r="Y1116" s="977"/>
    </row>
    <row r="1117" spans="1:25" x14ac:dyDescent="0.2">
      <c r="A1117" s="976"/>
      <c r="B1117" s="976"/>
      <c r="C1117" s="976"/>
      <c r="D1117" s="976"/>
      <c r="E1117" s="976"/>
      <c r="R1117" s="977"/>
      <c r="S1117" s="977"/>
      <c r="T1117" s="977"/>
      <c r="U1117" s="977"/>
      <c r="V1117" s="977"/>
      <c r="W1117" s="977"/>
      <c r="X1117" s="977"/>
      <c r="Y1117" s="977"/>
    </row>
    <row r="1118" spans="1:25" x14ac:dyDescent="0.2">
      <c r="A1118" s="976"/>
      <c r="B1118" s="976"/>
      <c r="C1118" s="976"/>
      <c r="D1118" s="976"/>
      <c r="E1118" s="976"/>
      <c r="R1118" s="977"/>
      <c r="S1118" s="977"/>
      <c r="T1118" s="977"/>
      <c r="U1118" s="977"/>
      <c r="V1118" s="977"/>
      <c r="W1118" s="977"/>
      <c r="X1118" s="977"/>
      <c r="Y1118" s="977"/>
    </row>
    <row r="1119" spans="1:25" x14ac:dyDescent="0.2">
      <c r="A1119" s="976"/>
      <c r="B1119" s="976"/>
      <c r="C1119" s="976"/>
      <c r="D1119" s="976"/>
      <c r="E1119" s="976"/>
      <c r="R1119" s="977"/>
      <c r="S1119" s="977"/>
      <c r="T1119" s="977"/>
      <c r="U1119" s="977"/>
      <c r="V1119" s="977"/>
      <c r="W1119" s="977"/>
      <c r="X1119" s="977"/>
      <c r="Y1119" s="977"/>
    </row>
    <row r="1120" spans="1:25" x14ac:dyDescent="0.2">
      <c r="A1120" s="976"/>
      <c r="B1120" s="976"/>
      <c r="C1120" s="976"/>
      <c r="D1120" s="976"/>
      <c r="E1120" s="976"/>
      <c r="R1120" s="977"/>
      <c r="S1120" s="977"/>
      <c r="T1120" s="977"/>
      <c r="U1120" s="977"/>
      <c r="V1120" s="977"/>
      <c r="W1120" s="977"/>
      <c r="X1120" s="977"/>
      <c r="Y1120" s="977"/>
    </row>
    <row r="1121" spans="1:25" x14ac:dyDescent="0.2">
      <c r="A1121" s="976"/>
      <c r="B1121" s="976"/>
      <c r="C1121" s="976"/>
      <c r="D1121" s="976"/>
      <c r="E1121" s="976"/>
      <c r="R1121" s="977"/>
      <c r="S1121" s="977"/>
      <c r="T1121" s="977"/>
      <c r="U1121" s="977"/>
      <c r="V1121" s="977"/>
      <c r="W1121" s="977"/>
      <c r="X1121" s="977"/>
      <c r="Y1121" s="977"/>
    </row>
    <row r="1122" spans="1:25" x14ac:dyDescent="0.2">
      <c r="A1122" s="976"/>
      <c r="B1122" s="976"/>
      <c r="C1122" s="976"/>
      <c r="D1122" s="976"/>
      <c r="E1122" s="976"/>
      <c r="R1122" s="977"/>
      <c r="S1122" s="977"/>
      <c r="T1122" s="977"/>
      <c r="U1122" s="977"/>
      <c r="V1122" s="977"/>
      <c r="W1122" s="977"/>
      <c r="X1122" s="977"/>
      <c r="Y1122" s="977"/>
    </row>
    <row r="1123" spans="1:25" x14ac:dyDescent="0.2">
      <c r="A1123" s="976"/>
      <c r="B1123" s="976"/>
      <c r="C1123" s="976"/>
      <c r="D1123" s="976"/>
      <c r="E1123" s="976"/>
      <c r="R1123" s="977"/>
      <c r="S1123" s="977"/>
      <c r="T1123" s="977"/>
      <c r="U1123" s="977"/>
      <c r="V1123" s="977"/>
      <c r="W1123" s="977"/>
      <c r="X1123" s="977"/>
      <c r="Y1123" s="977"/>
    </row>
    <row r="1124" spans="1:25" x14ac:dyDescent="0.2">
      <c r="A1124" s="976"/>
      <c r="B1124" s="976"/>
      <c r="C1124" s="976"/>
      <c r="D1124" s="976"/>
      <c r="E1124" s="976"/>
      <c r="R1124" s="977"/>
      <c r="S1124" s="977"/>
      <c r="T1124" s="977"/>
      <c r="U1124" s="977"/>
      <c r="V1124" s="977"/>
      <c r="W1124" s="977"/>
      <c r="X1124" s="977"/>
      <c r="Y1124" s="977"/>
    </row>
    <row r="1125" spans="1:25" x14ac:dyDescent="0.2">
      <c r="A1125" s="976"/>
      <c r="B1125" s="976"/>
      <c r="C1125" s="976"/>
      <c r="D1125" s="976"/>
      <c r="E1125" s="976"/>
      <c r="R1125" s="977"/>
      <c r="S1125" s="977"/>
      <c r="T1125" s="977"/>
      <c r="U1125" s="977"/>
      <c r="V1125" s="977"/>
      <c r="W1125" s="977"/>
      <c r="X1125" s="977"/>
      <c r="Y1125" s="977"/>
    </row>
    <row r="1126" spans="1:25" x14ac:dyDescent="0.2">
      <c r="A1126" s="976"/>
      <c r="B1126" s="976"/>
      <c r="C1126" s="976"/>
      <c r="D1126" s="976"/>
      <c r="E1126" s="976"/>
      <c r="R1126" s="977"/>
      <c r="S1126" s="977"/>
      <c r="T1126" s="977"/>
      <c r="U1126" s="977"/>
      <c r="V1126" s="977"/>
      <c r="W1126" s="977"/>
      <c r="X1126" s="977"/>
      <c r="Y1126" s="977"/>
    </row>
    <row r="1127" spans="1:25" x14ac:dyDescent="0.2">
      <c r="A1127" s="976"/>
      <c r="B1127" s="976"/>
      <c r="C1127" s="976"/>
      <c r="D1127" s="976"/>
      <c r="E1127" s="976"/>
      <c r="R1127" s="977"/>
      <c r="S1127" s="977"/>
      <c r="T1127" s="977"/>
      <c r="U1127" s="977"/>
      <c r="V1127" s="977"/>
      <c r="W1127" s="977"/>
      <c r="X1127" s="977"/>
      <c r="Y1127" s="977"/>
    </row>
    <row r="1128" spans="1:25" x14ac:dyDescent="0.2">
      <c r="A1128" s="976"/>
      <c r="B1128" s="976"/>
      <c r="C1128" s="976"/>
      <c r="D1128" s="976"/>
      <c r="E1128" s="976"/>
      <c r="R1128" s="977"/>
      <c r="S1128" s="977"/>
      <c r="T1128" s="977"/>
      <c r="U1128" s="977"/>
      <c r="V1128" s="977"/>
      <c r="W1128" s="977"/>
      <c r="X1128" s="977"/>
      <c r="Y1128" s="977"/>
    </row>
    <row r="1129" spans="1:25" x14ac:dyDescent="0.2">
      <c r="A1129" s="976"/>
      <c r="B1129" s="976"/>
      <c r="C1129" s="976"/>
      <c r="D1129" s="976"/>
      <c r="E1129" s="976"/>
      <c r="R1129" s="977"/>
      <c r="S1129" s="977"/>
      <c r="T1129" s="977"/>
      <c r="U1129" s="977"/>
      <c r="V1129" s="977"/>
      <c r="W1129" s="977"/>
      <c r="X1129" s="977"/>
      <c r="Y1129" s="977"/>
    </row>
    <row r="1130" spans="1:25" x14ac:dyDescent="0.2">
      <c r="A1130" s="976"/>
      <c r="B1130" s="976"/>
      <c r="C1130" s="976"/>
      <c r="D1130" s="976"/>
      <c r="E1130" s="976"/>
      <c r="R1130" s="977"/>
      <c r="S1130" s="977"/>
      <c r="T1130" s="977"/>
      <c r="U1130" s="977"/>
      <c r="V1130" s="977"/>
      <c r="W1130" s="977"/>
      <c r="X1130" s="977"/>
      <c r="Y1130" s="977"/>
    </row>
    <row r="1131" spans="1:25" x14ac:dyDescent="0.2">
      <c r="A1131" s="976"/>
      <c r="B1131" s="976"/>
      <c r="C1131" s="976"/>
      <c r="D1131" s="976"/>
      <c r="E1131" s="976"/>
      <c r="R1131" s="977"/>
      <c r="S1131" s="977"/>
      <c r="T1131" s="977"/>
      <c r="U1131" s="977"/>
      <c r="V1131" s="977"/>
      <c r="W1131" s="977"/>
      <c r="X1131" s="977"/>
      <c r="Y1131" s="977"/>
    </row>
    <row r="1132" spans="1:25" x14ac:dyDescent="0.2">
      <c r="A1132" s="976"/>
      <c r="B1132" s="976"/>
      <c r="C1132" s="976"/>
      <c r="D1132" s="976"/>
      <c r="E1132" s="976"/>
      <c r="R1132" s="977"/>
      <c r="S1132" s="977"/>
      <c r="T1132" s="977"/>
      <c r="U1132" s="977"/>
      <c r="V1132" s="977"/>
      <c r="W1132" s="977"/>
      <c r="X1132" s="977"/>
      <c r="Y1132" s="977"/>
    </row>
    <row r="1133" spans="1:25" x14ac:dyDescent="0.2">
      <c r="A1133" s="976"/>
      <c r="B1133" s="976"/>
      <c r="C1133" s="976"/>
      <c r="D1133" s="976"/>
      <c r="E1133" s="976"/>
      <c r="R1133" s="977"/>
      <c r="S1133" s="977"/>
      <c r="T1133" s="977"/>
      <c r="U1133" s="977"/>
      <c r="V1133" s="977"/>
      <c r="W1133" s="977"/>
      <c r="X1133" s="977"/>
      <c r="Y1133" s="977"/>
    </row>
    <row r="1134" spans="1:25" x14ac:dyDescent="0.2">
      <c r="A1134" s="976"/>
      <c r="B1134" s="976"/>
      <c r="C1134" s="976"/>
      <c r="D1134" s="976"/>
      <c r="E1134" s="976"/>
      <c r="R1134" s="977"/>
      <c r="S1134" s="977"/>
      <c r="T1134" s="977"/>
      <c r="U1134" s="977"/>
      <c r="V1134" s="977"/>
      <c r="W1134" s="977"/>
      <c r="X1134" s="977"/>
      <c r="Y1134" s="977"/>
    </row>
    <row r="1135" spans="1:25" x14ac:dyDescent="0.2">
      <c r="A1135" s="976"/>
      <c r="B1135" s="976"/>
      <c r="C1135" s="976"/>
      <c r="D1135" s="976"/>
      <c r="E1135" s="976"/>
      <c r="R1135" s="977"/>
      <c r="S1135" s="977"/>
      <c r="T1135" s="977"/>
      <c r="U1135" s="977"/>
      <c r="V1135" s="977"/>
      <c r="W1135" s="977"/>
      <c r="X1135" s="977"/>
      <c r="Y1135" s="977"/>
    </row>
    <row r="1136" spans="1:25" x14ac:dyDescent="0.2">
      <c r="A1136" s="976"/>
      <c r="B1136" s="976"/>
      <c r="C1136" s="976"/>
      <c r="D1136" s="976"/>
      <c r="E1136" s="976"/>
      <c r="R1136" s="977"/>
      <c r="S1136" s="977"/>
      <c r="T1136" s="977"/>
      <c r="U1136" s="977"/>
      <c r="V1136" s="977"/>
      <c r="W1136" s="977"/>
      <c r="X1136" s="977"/>
      <c r="Y1136" s="977"/>
    </row>
    <row r="1137" spans="1:25" x14ac:dyDescent="0.2">
      <c r="A1137" s="976"/>
      <c r="B1137" s="976"/>
      <c r="C1137" s="976"/>
      <c r="D1137" s="976"/>
      <c r="E1137" s="976"/>
      <c r="R1137" s="977"/>
      <c r="S1137" s="977"/>
      <c r="T1137" s="977"/>
      <c r="U1137" s="977"/>
      <c r="V1137" s="977"/>
      <c r="W1137" s="977"/>
      <c r="X1137" s="977"/>
      <c r="Y1137" s="977"/>
    </row>
    <row r="1138" spans="1:25" x14ac:dyDescent="0.2">
      <c r="A1138" s="976"/>
      <c r="B1138" s="976"/>
      <c r="C1138" s="976"/>
      <c r="D1138" s="976"/>
      <c r="E1138" s="976"/>
      <c r="R1138" s="977"/>
      <c r="S1138" s="977"/>
      <c r="T1138" s="977"/>
      <c r="U1138" s="977"/>
      <c r="V1138" s="977"/>
      <c r="W1138" s="977"/>
      <c r="X1138" s="977"/>
      <c r="Y1138" s="977"/>
    </row>
    <row r="1139" spans="1:25" x14ac:dyDescent="0.2">
      <c r="A1139" s="976"/>
      <c r="B1139" s="976"/>
      <c r="C1139" s="976"/>
      <c r="D1139" s="976"/>
      <c r="E1139" s="976"/>
      <c r="R1139" s="977"/>
      <c r="S1139" s="977"/>
      <c r="T1139" s="977"/>
      <c r="U1139" s="977"/>
      <c r="V1139" s="977"/>
      <c r="W1139" s="977"/>
      <c r="X1139" s="977"/>
      <c r="Y1139" s="977"/>
    </row>
    <row r="1140" spans="1:25" x14ac:dyDescent="0.2">
      <c r="A1140" s="976"/>
      <c r="B1140" s="976"/>
      <c r="C1140" s="976"/>
      <c r="D1140" s="976"/>
      <c r="E1140" s="976"/>
      <c r="R1140" s="977"/>
      <c r="S1140" s="977"/>
      <c r="T1140" s="977"/>
      <c r="U1140" s="977"/>
      <c r="V1140" s="977"/>
      <c r="W1140" s="977"/>
      <c r="X1140" s="977"/>
      <c r="Y1140" s="977"/>
    </row>
    <row r="1141" spans="1:25" x14ac:dyDescent="0.2">
      <c r="A1141" s="976"/>
      <c r="B1141" s="976"/>
      <c r="C1141" s="976"/>
      <c r="D1141" s="976"/>
      <c r="E1141" s="976"/>
      <c r="R1141" s="977"/>
      <c r="S1141" s="977"/>
      <c r="T1141" s="977"/>
      <c r="U1141" s="977"/>
      <c r="V1141" s="977"/>
      <c r="W1141" s="977"/>
      <c r="X1141" s="977"/>
      <c r="Y1141" s="977"/>
    </row>
    <row r="1142" spans="1:25" x14ac:dyDescent="0.2">
      <c r="A1142" s="976"/>
      <c r="B1142" s="976"/>
      <c r="C1142" s="976"/>
      <c r="D1142" s="976"/>
      <c r="E1142" s="976"/>
      <c r="R1142" s="977"/>
      <c r="S1142" s="977"/>
      <c r="T1142" s="977"/>
      <c r="U1142" s="977"/>
      <c r="V1142" s="977"/>
      <c r="W1142" s="977"/>
      <c r="X1142" s="977"/>
      <c r="Y1142" s="977"/>
    </row>
    <row r="1143" spans="1:25" x14ac:dyDescent="0.2">
      <c r="A1143" s="976"/>
      <c r="B1143" s="976"/>
      <c r="C1143" s="976"/>
      <c r="D1143" s="976"/>
      <c r="E1143" s="976"/>
      <c r="R1143" s="977"/>
      <c r="S1143" s="977"/>
      <c r="T1143" s="977"/>
      <c r="U1143" s="977"/>
      <c r="V1143" s="977"/>
      <c r="W1143" s="977"/>
      <c r="X1143" s="977"/>
      <c r="Y1143" s="977"/>
    </row>
    <row r="1144" spans="1:25" x14ac:dyDescent="0.2">
      <c r="A1144" s="976"/>
      <c r="B1144" s="976"/>
      <c r="C1144" s="976"/>
      <c r="D1144" s="976"/>
      <c r="E1144" s="976"/>
      <c r="R1144" s="977"/>
      <c r="S1144" s="977"/>
      <c r="T1144" s="977"/>
      <c r="U1144" s="977"/>
      <c r="V1144" s="977"/>
      <c r="W1144" s="977"/>
      <c r="X1144" s="977"/>
      <c r="Y1144" s="977"/>
    </row>
    <row r="1145" spans="1:25" x14ac:dyDescent="0.2">
      <c r="A1145" s="976"/>
      <c r="B1145" s="976"/>
      <c r="C1145" s="976"/>
      <c r="D1145" s="976"/>
      <c r="E1145" s="976"/>
      <c r="R1145" s="977"/>
      <c r="S1145" s="977"/>
      <c r="T1145" s="977"/>
      <c r="U1145" s="977"/>
      <c r="V1145" s="977"/>
      <c r="W1145" s="977"/>
      <c r="X1145" s="977"/>
      <c r="Y1145" s="977"/>
    </row>
    <row r="1146" spans="1:25" x14ac:dyDescent="0.2">
      <c r="A1146" s="976"/>
      <c r="B1146" s="976"/>
      <c r="C1146" s="976"/>
      <c r="D1146" s="976"/>
      <c r="E1146" s="976"/>
      <c r="R1146" s="977"/>
      <c r="S1146" s="977"/>
      <c r="T1146" s="977"/>
      <c r="U1146" s="977"/>
      <c r="V1146" s="977"/>
      <c r="W1146" s="977"/>
      <c r="X1146" s="977"/>
      <c r="Y1146" s="977"/>
    </row>
    <row r="1147" spans="1:25" x14ac:dyDescent="0.2">
      <c r="A1147" s="976"/>
      <c r="B1147" s="976"/>
      <c r="C1147" s="976"/>
      <c r="D1147" s="976"/>
      <c r="E1147" s="976"/>
      <c r="R1147" s="977"/>
      <c r="S1147" s="977"/>
      <c r="T1147" s="977"/>
      <c r="U1147" s="977"/>
      <c r="V1147" s="977"/>
      <c r="W1147" s="977"/>
      <c r="X1147" s="977"/>
      <c r="Y1147" s="977"/>
    </row>
    <row r="1148" spans="1:25" x14ac:dyDescent="0.2">
      <c r="A1148" s="976"/>
      <c r="B1148" s="976"/>
      <c r="C1148" s="976"/>
      <c r="D1148" s="976"/>
      <c r="E1148" s="976"/>
      <c r="R1148" s="977"/>
      <c r="S1148" s="977"/>
      <c r="T1148" s="977"/>
      <c r="U1148" s="977"/>
      <c r="V1148" s="977"/>
      <c r="W1148" s="977"/>
      <c r="X1148" s="977"/>
      <c r="Y1148" s="977"/>
    </row>
    <row r="1149" spans="1:25" x14ac:dyDescent="0.2">
      <c r="A1149" s="976"/>
      <c r="B1149" s="976"/>
      <c r="C1149" s="976"/>
      <c r="D1149" s="976"/>
      <c r="E1149" s="976"/>
      <c r="R1149" s="977"/>
      <c r="S1149" s="977"/>
      <c r="T1149" s="977"/>
      <c r="U1149" s="977"/>
      <c r="V1149" s="977"/>
      <c r="W1149" s="977"/>
      <c r="X1149" s="977"/>
      <c r="Y1149" s="977"/>
    </row>
    <row r="1150" spans="1:25" x14ac:dyDescent="0.2">
      <c r="A1150" s="976"/>
      <c r="B1150" s="976"/>
      <c r="C1150" s="976"/>
      <c r="D1150" s="976"/>
      <c r="E1150" s="976"/>
      <c r="R1150" s="977"/>
      <c r="S1150" s="977"/>
      <c r="T1150" s="977"/>
      <c r="U1150" s="977"/>
      <c r="V1150" s="977"/>
      <c r="W1150" s="977"/>
      <c r="X1150" s="977"/>
      <c r="Y1150" s="977"/>
    </row>
    <row r="1151" spans="1:25" x14ac:dyDescent="0.2">
      <c r="A1151" s="976"/>
      <c r="B1151" s="976"/>
      <c r="C1151" s="976"/>
      <c r="D1151" s="976"/>
      <c r="E1151" s="976"/>
      <c r="R1151" s="977"/>
      <c r="S1151" s="977"/>
      <c r="T1151" s="977"/>
      <c r="U1151" s="977"/>
      <c r="V1151" s="977"/>
      <c r="W1151" s="977"/>
      <c r="X1151" s="977"/>
      <c r="Y1151" s="977"/>
    </row>
    <row r="1152" spans="1:25" x14ac:dyDescent="0.2">
      <c r="A1152" s="976"/>
      <c r="B1152" s="976"/>
      <c r="C1152" s="976"/>
      <c r="D1152" s="976"/>
      <c r="E1152" s="976"/>
      <c r="R1152" s="977"/>
      <c r="S1152" s="977"/>
      <c r="T1152" s="977"/>
      <c r="U1152" s="977"/>
      <c r="V1152" s="977"/>
      <c r="W1152" s="977"/>
      <c r="X1152" s="977"/>
      <c r="Y1152" s="977"/>
    </row>
    <row r="1153" spans="1:25" x14ac:dyDescent="0.2">
      <c r="A1153" s="976"/>
      <c r="B1153" s="976"/>
      <c r="C1153" s="976"/>
      <c r="D1153" s="976"/>
      <c r="E1153" s="976"/>
      <c r="R1153" s="977"/>
      <c r="S1153" s="977"/>
      <c r="T1153" s="977"/>
      <c r="U1153" s="977"/>
      <c r="V1153" s="977"/>
      <c r="W1153" s="977"/>
      <c r="X1153" s="977"/>
      <c r="Y1153" s="977"/>
    </row>
    <row r="1154" spans="1:25" x14ac:dyDescent="0.2">
      <c r="A1154" s="976"/>
      <c r="B1154" s="976"/>
      <c r="C1154" s="976"/>
      <c r="D1154" s="976"/>
      <c r="E1154" s="976"/>
      <c r="R1154" s="977"/>
      <c r="S1154" s="977"/>
      <c r="T1154" s="977"/>
      <c r="U1154" s="977"/>
      <c r="V1154" s="977"/>
      <c r="W1154" s="977"/>
      <c r="X1154" s="977"/>
      <c r="Y1154" s="977"/>
    </row>
    <row r="1155" spans="1:25" x14ac:dyDescent="0.2">
      <c r="A1155" s="976"/>
      <c r="B1155" s="976"/>
      <c r="C1155" s="976"/>
      <c r="D1155" s="976"/>
      <c r="E1155" s="976"/>
      <c r="R1155" s="977"/>
      <c r="S1155" s="977"/>
      <c r="T1155" s="977"/>
      <c r="U1155" s="977"/>
      <c r="V1155" s="977"/>
      <c r="W1155" s="977"/>
      <c r="X1155" s="977"/>
      <c r="Y1155" s="977"/>
    </row>
    <row r="1156" spans="1:25" x14ac:dyDescent="0.2">
      <c r="A1156" s="976"/>
      <c r="B1156" s="976"/>
      <c r="C1156" s="976"/>
      <c r="D1156" s="976"/>
      <c r="E1156" s="976"/>
      <c r="R1156" s="977"/>
      <c r="S1156" s="977"/>
      <c r="T1156" s="977"/>
      <c r="U1156" s="977"/>
      <c r="V1156" s="977"/>
      <c r="W1156" s="977"/>
      <c r="X1156" s="977"/>
      <c r="Y1156" s="977"/>
    </row>
    <row r="1157" spans="1:25" x14ac:dyDescent="0.2">
      <c r="A1157" s="976"/>
      <c r="B1157" s="976"/>
      <c r="C1157" s="976"/>
      <c r="D1157" s="976"/>
      <c r="E1157" s="976"/>
      <c r="R1157" s="977"/>
      <c r="S1157" s="977"/>
      <c r="T1157" s="977"/>
      <c r="U1157" s="977"/>
      <c r="V1157" s="977"/>
      <c r="W1157" s="977"/>
      <c r="X1157" s="977"/>
      <c r="Y1157" s="977"/>
    </row>
    <row r="1158" spans="1:25" x14ac:dyDescent="0.2">
      <c r="A1158" s="976"/>
      <c r="B1158" s="976"/>
      <c r="C1158" s="976"/>
      <c r="D1158" s="976"/>
      <c r="E1158" s="976"/>
      <c r="R1158" s="977"/>
      <c r="S1158" s="977"/>
      <c r="T1158" s="977"/>
      <c r="U1158" s="977"/>
      <c r="V1158" s="977"/>
      <c r="W1158" s="977"/>
      <c r="X1158" s="977"/>
      <c r="Y1158" s="977"/>
    </row>
    <row r="1159" spans="1:25" x14ac:dyDescent="0.2">
      <c r="A1159" s="976"/>
      <c r="B1159" s="976"/>
      <c r="C1159" s="976"/>
      <c r="D1159" s="976"/>
      <c r="E1159" s="976"/>
      <c r="R1159" s="977"/>
      <c r="S1159" s="977"/>
      <c r="T1159" s="977"/>
      <c r="U1159" s="977"/>
      <c r="V1159" s="977"/>
      <c r="W1159" s="977"/>
      <c r="X1159" s="977"/>
      <c r="Y1159" s="977"/>
    </row>
    <row r="1160" spans="1:25" x14ac:dyDescent="0.2">
      <c r="A1160" s="976"/>
      <c r="B1160" s="976"/>
      <c r="C1160" s="976"/>
      <c r="D1160" s="976"/>
      <c r="E1160" s="976"/>
      <c r="R1160" s="977"/>
      <c r="S1160" s="977"/>
      <c r="T1160" s="977"/>
      <c r="U1160" s="977"/>
      <c r="V1160" s="977"/>
      <c r="W1160" s="977"/>
      <c r="X1160" s="977"/>
      <c r="Y1160" s="977"/>
    </row>
    <row r="1161" spans="1:25" x14ac:dyDescent="0.2">
      <c r="A1161" s="976"/>
      <c r="B1161" s="976"/>
      <c r="C1161" s="976"/>
      <c r="D1161" s="976"/>
      <c r="E1161" s="976"/>
      <c r="R1161" s="977"/>
      <c r="S1161" s="977"/>
      <c r="T1161" s="977"/>
      <c r="U1161" s="977"/>
      <c r="V1161" s="977"/>
      <c r="W1161" s="977"/>
      <c r="X1161" s="977"/>
      <c r="Y1161" s="977"/>
    </row>
    <row r="1162" spans="1:25" x14ac:dyDescent="0.2">
      <c r="A1162" s="976"/>
      <c r="B1162" s="976"/>
      <c r="C1162" s="976"/>
      <c r="D1162" s="976"/>
      <c r="E1162" s="976"/>
      <c r="R1162" s="977"/>
      <c r="S1162" s="977"/>
      <c r="T1162" s="977"/>
      <c r="U1162" s="977"/>
      <c r="V1162" s="977"/>
      <c r="W1162" s="977"/>
      <c r="X1162" s="977"/>
      <c r="Y1162" s="977"/>
    </row>
    <row r="1163" spans="1:25" x14ac:dyDescent="0.2">
      <c r="A1163" s="976"/>
      <c r="B1163" s="976"/>
      <c r="C1163" s="976"/>
      <c r="D1163" s="976"/>
      <c r="E1163" s="976"/>
      <c r="R1163" s="977"/>
      <c r="S1163" s="977"/>
      <c r="T1163" s="977"/>
      <c r="U1163" s="977"/>
      <c r="V1163" s="977"/>
      <c r="W1163" s="977"/>
      <c r="X1163" s="977"/>
      <c r="Y1163" s="977"/>
    </row>
    <row r="1164" spans="1:25" x14ac:dyDescent="0.2">
      <c r="A1164" s="976"/>
      <c r="B1164" s="976"/>
      <c r="C1164" s="976"/>
      <c r="D1164" s="976"/>
      <c r="E1164" s="976"/>
      <c r="R1164" s="977"/>
      <c r="S1164" s="977"/>
      <c r="T1164" s="977"/>
      <c r="U1164" s="977"/>
      <c r="V1164" s="977"/>
      <c r="W1164" s="977"/>
      <c r="X1164" s="977"/>
      <c r="Y1164" s="977"/>
    </row>
    <row r="1165" spans="1:25" x14ac:dyDescent="0.2">
      <c r="A1165" s="976"/>
      <c r="B1165" s="976"/>
      <c r="C1165" s="976"/>
      <c r="D1165" s="976"/>
      <c r="E1165" s="976"/>
      <c r="R1165" s="977"/>
      <c r="S1165" s="977"/>
      <c r="T1165" s="977"/>
      <c r="U1165" s="977"/>
      <c r="V1165" s="977"/>
      <c r="W1165" s="977"/>
      <c r="X1165" s="977"/>
      <c r="Y1165" s="977"/>
    </row>
    <row r="1166" spans="1:25" x14ac:dyDescent="0.2">
      <c r="A1166" s="976"/>
      <c r="B1166" s="976"/>
      <c r="C1166" s="976"/>
      <c r="D1166" s="976"/>
      <c r="E1166" s="976"/>
      <c r="R1166" s="977"/>
      <c r="S1166" s="977"/>
      <c r="T1166" s="977"/>
      <c r="U1166" s="977"/>
      <c r="V1166" s="977"/>
      <c r="W1166" s="977"/>
      <c r="X1166" s="977"/>
      <c r="Y1166" s="977"/>
    </row>
    <row r="1167" spans="1:25" x14ac:dyDescent="0.2">
      <c r="A1167" s="976"/>
      <c r="B1167" s="976"/>
      <c r="C1167" s="976"/>
      <c r="D1167" s="976"/>
      <c r="E1167" s="976"/>
      <c r="R1167" s="977"/>
      <c r="S1167" s="977"/>
      <c r="T1167" s="977"/>
      <c r="U1167" s="977"/>
      <c r="V1167" s="977"/>
      <c r="W1167" s="977"/>
      <c r="X1167" s="977"/>
      <c r="Y1167" s="977"/>
    </row>
    <row r="1168" spans="1:25" x14ac:dyDescent="0.2">
      <c r="A1168" s="976"/>
      <c r="B1168" s="976"/>
      <c r="C1168" s="976"/>
      <c r="D1168" s="976"/>
      <c r="E1168" s="976"/>
      <c r="R1168" s="977"/>
      <c r="S1168" s="977"/>
      <c r="T1168" s="977"/>
      <c r="U1168" s="977"/>
      <c r="V1168" s="977"/>
      <c r="W1168" s="977"/>
      <c r="X1168" s="977"/>
      <c r="Y1168" s="977"/>
    </row>
    <row r="1169" spans="1:25" x14ac:dyDescent="0.2">
      <c r="A1169" s="976"/>
      <c r="B1169" s="976"/>
      <c r="C1169" s="976"/>
      <c r="D1169" s="976"/>
      <c r="E1169" s="976"/>
      <c r="R1169" s="977"/>
      <c r="S1169" s="977"/>
      <c r="T1169" s="977"/>
      <c r="U1169" s="977"/>
      <c r="V1169" s="977"/>
      <c r="W1169" s="977"/>
      <c r="X1169" s="977"/>
      <c r="Y1169" s="977"/>
    </row>
    <row r="1170" spans="1:25" x14ac:dyDescent="0.2">
      <c r="A1170" s="976"/>
      <c r="B1170" s="976"/>
      <c r="C1170" s="976"/>
      <c r="D1170" s="976"/>
      <c r="E1170" s="976"/>
      <c r="R1170" s="977"/>
      <c r="S1170" s="977"/>
      <c r="T1170" s="977"/>
      <c r="U1170" s="977"/>
      <c r="V1170" s="977"/>
      <c r="W1170" s="977"/>
      <c r="X1170" s="977"/>
      <c r="Y1170" s="977"/>
    </row>
    <row r="1171" spans="1:25" x14ac:dyDescent="0.2">
      <c r="A1171" s="976"/>
      <c r="B1171" s="976"/>
      <c r="C1171" s="976"/>
      <c r="D1171" s="976"/>
      <c r="E1171" s="976"/>
      <c r="R1171" s="977"/>
      <c r="S1171" s="977"/>
      <c r="T1171" s="977"/>
      <c r="U1171" s="977"/>
      <c r="V1171" s="977"/>
      <c r="W1171" s="977"/>
      <c r="X1171" s="977"/>
      <c r="Y1171" s="977"/>
    </row>
    <row r="1172" spans="1:25" x14ac:dyDescent="0.2">
      <c r="A1172" s="976"/>
      <c r="B1172" s="976"/>
      <c r="C1172" s="976"/>
      <c r="D1172" s="976"/>
      <c r="E1172" s="976"/>
      <c r="R1172" s="977"/>
      <c r="S1172" s="977"/>
      <c r="T1172" s="977"/>
      <c r="U1172" s="977"/>
      <c r="V1172" s="977"/>
      <c r="W1172" s="977"/>
      <c r="X1172" s="977"/>
      <c r="Y1172" s="977"/>
    </row>
    <row r="1173" spans="1:25" x14ac:dyDescent="0.2">
      <c r="A1173" s="976"/>
      <c r="B1173" s="976"/>
      <c r="C1173" s="976"/>
      <c r="D1173" s="976"/>
      <c r="E1173" s="976"/>
      <c r="R1173" s="977"/>
      <c r="S1173" s="977"/>
      <c r="T1173" s="977"/>
      <c r="U1173" s="977"/>
      <c r="V1173" s="977"/>
      <c r="W1173" s="977"/>
      <c r="X1173" s="977"/>
      <c r="Y1173" s="977"/>
    </row>
    <row r="1174" spans="1:25" x14ac:dyDescent="0.2">
      <c r="A1174" s="976"/>
      <c r="B1174" s="976"/>
      <c r="C1174" s="976"/>
      <c r="D1174" s="976"/>
      <c r="E1174" s="976"/>
      <c r="R1174" s="977"/>
      <c r="S1174" s="977"/>
      <c r="T1174" s="977"/>
      <c r="U1174" s="977"/>
      <c r="V1174" s="977"/>
      <c r="W1174" s="977"/>
      <c r="X1174" s="977"/>
      <c r="Y1174" s="977"/>
    </row>
    <row r="1175" spans="1:25" x14ac:dyDescent="0.2">
      <c r="A1175" s="976"/>
      <c r="B1175" s="976"/>
      <c r="C1175" s="976"/>
      <c r="D1175" s="976"/>
      <c r="E1175" s="976"/>
      <c r="R1175" s="977"/>
      <c r="S1175" s="977"/>
      <c r="T1175" s="977"/>
      <c r="U1175" s="977"/>
      <c r="V1175" s="977"/>
      <c r="W1175" s="977"/>
      <c r="X1175" s="977"/>
      <c r="Y1175" s="977"/>
    </row>
    <row r="1176" spans="1:25" x14ac:dyDescent="0.2">
      <c r="A1176" s="976"/>
      <c r="B1176" s="976"/>
      <c r="C1176" s="976"/>
      <c r="D1176" s="976"/>
      <c r="E1176" s="976"/>
      <c r="R1176" s="977"/>
      <c r="S1176" s="977"/>
      <c r="T1176" s="977"/>
      <c r="U1176" s="977"/>
      <c r="V1176" s="977"/>
      <c r="W1176" s="977"/>
      <c r="X1176" s="977"/>
      <c r="Y1176" s="977"/>
    </row>
    <row r="1177" spans="1:25" x14ac:dyDescent="0.2">
      <c r="A1177" s="976"/>
      <c r="B1177" s="976"/>
      <c r="C1177" s="976"/>
      <c r="D1177" s="976"/>
      <c r="E1177" s="976"/>
      <c r="R1177" s="977"/>
      <c r="S1177" s="977"/>
      <c r="T1177" s="977"/>
      <c r="U1177" s="977"/>
      <c r="V1177" s="977"/>
      <c r="W1177" s="977"/>
      <c r="X1177" s="977"/>
      <c r="Y1177" s="977"/>
    </row>
    <row r="1178" spans="1:25" x14ac:dyDescent="0.2">
      <c r="A1178" s="976"/>
      <c r="B1178" s="976"/>
      <c r="C1178" s="976"/>
      <c r="D1178" s="976"/>
      <c r="E1178" s="976"/>
      <c r="R1178" s="977"/>
      <c r="S1178" s="977"/>
      <c r="T1178" s="977"/>
      <c r="U1178" s="977"/>
      <c r="V1178" s="977"/>
      <c r="W1178" s="977"/>
      <c r="X1178" s="977"/>
      <c r="Y1178" s="977"/>
    </row>
    <row r="1179" spans="1:25" x14ac:dyDescent="0.2">
      <c r="A1179" s="976"/>
      <c r="B1179" s="976"/>
      <c r="C1179" s="976"/>
      <c r="D1179" s="976"/>
      <c r="E1179" s="976"/>
      <c r="R1179" s="977"/>
      <c r="S1179" s="977"/>
      <c r="T1179" s="977"/>
      <c r="U1179" s="977"/>
      <c r="V1179" s="977"/>
      <c r="W1179" s="977"/>
      <c r="X1179" s="977"/>
      <c r="Y1179" s="977"/>
    </row>
    <row r="1180" spans="1:25" x14ac:dyDescent="0.2">
      <c r="A1180" s="976"/>
      <c r="B1180" s="976"/>
      <c r="C1180" s="976"/>
      <c r="D1180" s="976"/>
      <c r="E1180" s="976"/>
      <c r="R1180" s="977"/>
      <c r="S1180" s="977"/>
      <c r="T1180" s="977"/>
      <c r="U1180" s="977"/>
      <c r="V1180" s="977"/>
      <c r="W1180" s="977"/>
      <c r="X1180" s="977"/>
      <c r="Y1180" s="977"/>
    </row>
    <row r="1181" spans="1:25" x14ac:dyDescent="0.2">
      <c r="A1181" s="976"/>
      <c r="B1181" s="976"/>
      <c r="C1181" s="976"/>
      <c r="D1181" s="976"/>
      <c r="E1181" s="976"/>
      <c r="R1181" s="977"/>
      <c r="S1181" s="977"/>
      <c r="T1181" s="977"/>
      <c r="U1181" s="977"/>
      <c r="V1181" s="977"/>
      <c r="W1181" s="977"/>
      <c r="X1181" s="977"/>
      <c r="Y1181" s="977"/>
    </row>
    <row r="1182" spans="1:25" x14ac:dyDescent="0.2">
      <c r="A1182" s="976"/>
      <c r="B1182" s="976"/>
      <c r="C1182" s="976"/>
      <c r="D1182" s="976"/>
      <c r="E1182" s="976"/>
      <c r="R1182" s="977"/>
      <c r="S1182" s="977"/>
      <c r="T1182" s="977"/>
      <c r="U1182" s="977"/>
      <c r="V1182" s="977"/>
      <c r="W1182" s="977"/>
      <c r="X1182" s="977"/>
      <c r="Y1182" s="977"/>
    </row>
    <row r="1183" spans="1:25" x14ac:dyDescent="0.2">
      <c r="A1183" s="976"/>
      <c r="B1183" s="976"/>
      <c r="C1183" s="976"/>
      <c r="D1183" s="976"/>
      <c r="E1183" s="976"/>
      <c r="R1183" s="977"/>
      <c r="S1183" s="977"/>
      <c r="T1183" s="977"/>
      <c r="U1183" s="977"/>
      <c r="V1183" s="977"/>
      <c r="W1183" s="977"/>
      <c r="X1183" s="977"/>
      <c r="Y1183" s="977"/>
    </row>
    <row r="1184" spans="1:25" x14ac:dyDescent="0.2">
      <c r="A1184" s="976"/>
      <c r="B1184" s="976"/>
      <c r="C1184" s="976"/>
      <c r="D1184" s="976"/>
      <c r="E1184" s="976"/>
      <c r="R1184" s="977"/>
      <c r="S1184" s="977"/>
      <c r="T1184" s="977"/>
      <c r="U1184" s="977"/>
      <c r="V1184" s="977"/>
      <c r="W1184" s="977"/>
      <c r="X1184" s="977"/>
      <c r="Y1184" s="977"/>
    </row>
    <row r="1185" spans="1:25" x14ac:dyDescent="0.2">
      <c r="A1185" s="976"/>
      <c r="B1185" s="976"/>
      <c r="C1185" s="976"/>
      <c r="D1185" s="976"/>
      <c r="E1185" s="976"/>
      <c r="R1185" s="977"/>
      <c r="S1185" s="977"/>
      <c r="T1185" s="977"/>
      <c r="U1185" s="977"/>
      <c r="V1185" s="977"/>
      <c r="W1185" s="977"/>
      <c r="X1185" s="977"/>
      <c r="Y1185" s="977"/>
    </row>
    <row r="1186" spans="1:25" x14ac:dyDescent="0.2">
      <c r="A1186" s="976"/>
      <c r="B1186" s="976"/>
      <c r="C1186" s="976"/>
      <c r="D1186" s="976"/>
      <c r="E1186" s="976"/>
      <c r="R1186" s="977"/>
      <c r="S1186" s="977"/>
      <c r="T1186" s="977"/>
      <c r="U1186" s="977"/>
      <c r="V1186" s="977"/>
      <c r="W1186" s="977"/>
      <c r="X1186" s="977"/>
      <c r="Y1186" s="977"/>
    </row>
    <row r="1187" spans="1:25" x14ac:dyDescent="0.2">
      <c r="A1187" s="976"/>
      <c r="B1187" s="976"/>
      <c r="C1187" s="976"/>
      <c r="D1187" s="976"/>
      <c r="E1187" s="976"/>
      <c r="R1187" s="977"/>
      <c r="S1187" s="977"/>
      <c r="T1187" s="977"/>
      <c r="U1187" s="977"/>
      <c r="V1187" s="977"/>
      <c r="W1187" s="977"/>
      <c r="X1187" s="977"/>
      <c r="Y1187" s="977"/>
    </row>
    <row r="1188" spans="1:25" x14ac:dyDescent="0.2">
      <c r="A1188" s="976"/>
      <c r="B1188" s="976"/>
      <c r="C1188" s="976"/>
      <c r="D1188" s="976"/>
      <c r="E1188" s="976"/>
      <c r="R1188" s="977"/>
      <c r="S1188" s="977"/>
      <c r="T1188" s="977"/>
      <c r="U1188" s="977"/>
      <c r="V1188" s="977"/>
      <c r="W1188" s="977"/>
      <c r="X1188" s="977"/>
      <c r="Y1188" s="977"/>
    </row>
    <row r="1189" spans="1:25" x14ac:dyDescent="0.2">
      <c r="A1189" s="976"/>
      <c r="B1189" s="976"/>
      <c r="C1189" s="976"/>
      <c r="D1189" s="976"/>
      <c r="E1189" s="976"/>
      <c r="R1189" s="977"/>
      <c r="S1189" s="977"/>
      <c r="T1189" s="977"/>
      <c r="U1189" s="977"/>
      <c r="V1189" s="977"/>
      <c r="W1189" s="977"/>
      <c r="X1189" s="977"/>
      <c r="Y1189" s="977"/>
    </row>
    <row r="1190" spans="1:25" x14ac:dyDescent="0.2">
      <c r="A1190" s="976"/>
      <c r="B1190" s="976"/>
      <c r="C1190" s="976"/>
      <c r="D1190" s="976"/>
      <c r="E1190" s="976"/>
      <c r="R1190" s="977"/>
      <c r="S1190" s="977"/>
      <c r="T1190" s="977"/>
      <c r="U1190" s="977"/>
      <c r="V1190" s="977"/>
      <c r="W1190" s="977"/>
      <c r="X1190" s="977"/>
      <c r="Y1190" s="977"/>
    </row>
    <row r="1191" spans="1:25" x14ac:dyDescent="0.2">
      <c r="A1191" s="976"/>
      <c r="B1191" s="976"/>
      <c r="C1191" s="976"/>
      <c r="D1191" s="976"/>
      <c r="E1191" s="976"/>
      <c r="R1191" s="977"/>
      <c r="S1191" s="977"/>
      <c r="T1191" s="977"/>
      <c r="U1191" s="977"/>
      <c r="V1191" s="977"/>
      <c r="W1191" s="977"/>
      <c r="X1191" s="977"/>
      <c r="Y1191" s="977"/>
    </row>
    <row r="1192" spans="1:25" x14ac:dyDescent="0.2">
      <c r="A1192" s="976"/>
      <c r="B1192" s="976"/>
      <c r="C1192" s="976"/>
      <c r="D1192" s="976"/>
      <c r="E1192" s="976"/>
      <c r="R1192" s="977"/>
      <c r="S1192" s="977"/>
      <c r="T1192" s="977"/>
      <c r="U1192" s="977"/>
      <c r="V1192" s="977"/>
      <c r="W1192" s="977"/>
      <c r="X1192" s="977"/>
      <c r="Y1192" s="977"/>
    </row>
    <row r="1193" spans="1:25" x14ac:dyDescent="0.2">
      <c r="A1193" s="976"/>
      <c r="B1193" s="976"/>
      <c r="C1193" s="976"/>
      <c r="D1193" s="976"/>
      <c r="E1193" s="976"/>
      <c r="R1193" s="977"/>
      <c r="S1193" s="977"/>
      <c r="T1193" s="977"/>
      <c r="U1193" s="977"/>
      <c r="V1193" s="977"/>
      <c r="W1193" s="977"/>
      <c r="X1193" s="977"/>
      <c r="Y1193" s="977"/>
    </row>
    <row r="1194" spans="1:25" x14ac:dyDescent="0.2">
      <c r="A1194" s="976"/>
      <c r="B1194" s="976"/>
      <c r="C1194" s="976"/>
      <c r="D1194" s="976"/>
      <c r="E1194" s="976"/>
      <c r="R1194" s="977"/>
      <c r="S1194" s="977"/>
      <c r="T1194" s="977"/>
      <c r="U1194" s="977"/>
      <c r="V1194" s="977"/>
      <c r="W1194" s="977"/>
      <c r="X1194" s="977"/>
      <c r="Y1194" s="977"/>
    </row>
    <row r="1195" spans="1:25" x14ac:dyDescent="0.2">
      <c r="A1195" s="976"/>
      <c r="B1195" s="976"/>
      <c r="C1195" s="976"/>
      <c r="D1195" s="976"/>
      <c r="E1195" s="976"/>
      <c r="R1195" s="977"/>
      <c r="S1195" s="977"/>
      <c r="T1195" s="977"/>
      <c r="U1195" s="977"/>
      <c r="V1195" s="977"/>
      <c r="W1195" s="977"/>
      <c r="X1195" s="977"/>
      <c r="Y1195" s="977"/>
    </row>
    <row r="1196" spans="1:25" x14ac:dyDescent="0.2">
      <c r="A1196" s="976"/>
      <c r="B1196" s="976"/>
      <c r="C1196" s="976"/>
      <c r="D1196" s="976"/>
      <c r="E1196" s="976"/>
      <c r="R1196" s="977"/>
      <c r="S1196" s="977"/>
      <c r="T1196" s="977"/>
      <c r="U1196" s="977"/>
      <c r="V1196" s="977"/>
      <c r="W1196" s="977"/>
      <c r="X1196" s="977"/>
      <c r="Y1196" s="977"/>
    </row>
    <row r="1197" spans="1:25" x14ac:dyDescent="0.2">
      <c r="A1197" s="976"/>
      <c r="B1197" s="976"/>
      <c r="C1197" s="976"/>
      <c r="D1197" s="976"/>
      <c r="E1197" s="976"/>
      <c r="R1197" s="977"/>
      <c r="S1197" s="977"/>
      <c r="T1197" s="977"/>
      <c r="U1197" s="977"/>
      <c r="V1197" s="977"/>
      <c r="W1197" s="977"/>
      <c r="X1197" s="977"/>
      <c r="Y1197" s="977"/>
    </row>
    <row r="1198" spans="1:25" x14ac:dyDescent="0.2">
      <c r="A1198" s="976"/>
      <c r="B1198" s="976"/>
      <c r="C1198" s="976"/>
      <c r="D1198" s="976"/>
      <c r="E1198" s="976"/>
      <c r="R1198" s="977"/>
      <c r="S1198" s="977"/>
      <c r="T1198" s="977"/>
      <c r="U1198" s="977"/>
      <c r="V1198" s="977"/>
      <c r="W1198" s="977"/>
      <c r="X1198" s="977"/>
      <c r="Y1198" s="977"/>
    </row>
    <row r="1199" spans="1:25" x14ac:dyDescent="0.2">
      <c r="A1199" s="976"/>
      <c r="B1199" s="976"/>
      <c r="C1199" s="976"/>
      <c r="D1199" s="976"/>
      <c r="E1199" s="976"/>
      <c r="R1199" s="977"/>
      <c r="S1199" s="977"/>
      <c r="T1199" s="977"/>
      <c r="U1199" s="977"/>
      <c r="V1199" s="977"/>
      <c r="W1199" s="977"/>
      <c r="X1199" s="977"/>
      <c r="Y1199" s="977"/>
    </row>
    <row r="1200" spans="1:25" x14ac:dyDescent="0.2">
      <c r="A1200" s="976"/>
      <c r="B1200" s="976"/>
      <c r="C1200" s="976"/>
      <c r="D1200" s="976"/>
      <c r="E1200" s="976"/>
      <c r="R1200" s="977"/>
      <c r="S1200" s="977"/>
      <c r="T1200" s="977"/>
      <c r="U1200" s="977"/>
      <c r="V1200" s="977"/>
      <c r="W1200" s="977"/>
      <c r="X1200" s="977"/>
      <c r="Y1200" s="977"/>
    </row>
    <row r="1201" spans="1:25" x14ac:dyDescent="0.2">
      <c r="A1201" s="976"/>
      <c r="B1201" s="976"/>
      <c r="C1201" s="976"/>
      <c r="D1201" s="976"/>
      <c r="E1201" s="976"/>
      <c r="R1201" s="977"/>
      <c r="S1201" s="977"/>
      <c r="T1201" s="977"/>
      <c r="U1201" s="977"/>
      <c r="V1201" s="977"/>
      <c r="W1201" s="977"/>
      <c r="X1201" s="977"/>
      <c r="Y1201" s="977"/>
    </row>
    <row r="1202" spans="1:25" x14ac:dyDescent="0.2">
      <c r="A1202" s="976"/>
      <c r="B1202" s="976"/>
      <c r="C1202" s="976"/>
      <c r="D1202" s="976"/>
      <c r="E1202" s="976"/>
      <c r="R1202" s="977"/>
      <c r="S1202" s="977"/>
      <c r="T1202" s="977"/>
      <c r="U1202" s="977"/>
      <c r="V1202" s="977"/>
      <c r="W1202" s="977"/>
      <c r="X1202" s="977"/>
      <c r="Y1202" s="977"/>
    </row>
    <row r="1203" spans="1:25" x14ac:dyDescent="0.2">
      <c r="A1203" s="976"/>
      <c r="B1203" s="976"/>
      <c r="C1203" s="976"/>
      <c r="D1203" s="976"/>
      <c r="E1203" s="976"/>
      <c r="R1203" s="977"/>
      <c r="S1203" s="977"/>
      <c r="T1203" s="977"/>
      <c r="U1203" s="977"/>
      <c r="V1203" s="977"/>
      <c r="W1203" s="977"/>
      <c r="X1203" s="977"/>
      <c r="Y1203" s="977"/>
    </row>
    <row r="1204" spans="1:25" x14ac:dyDescent="0.2">
      <c r="A1204" s="976"/>
      <c r="B1204" s="976"/>
      <c r="C1204" s="976"/>
      <c r="D1204" s="976"/>
      <c r="E1204" s="976"/>
      <c r="R1204" s="977"/>
      <c r="S1204" s="977"/>
      <c r="T1204" s="977"/>
      <c r="U1204" s="977"/>
      <c r="V1204" s="977"/>
      <c r="W1204" s="977"/>
      <c r="X1204" s="977"/>
      <c r="Y1204" s="977"/>
    </row>
    <row r="1205" spans="1:25" x14ac:dyDescent="0.2">
      <c r="A1205" s="976"/>
      <c r="B1205" s="976"/>
      <c r="C1205" s="976"/>
      <c r="D1205" s="976"/>
      <c r="E1205" s="976"/>
      <c r="R1205" s="977"/>
      <c r="S1205" s="977"/>
      <c r="T1205" s="977"/>
      <c r="U1205" s="977"/>
      <c r="V1205" s="977"/>
      <c r="W1205" s="977"/>
      <c r="X1205" s="977"/>
      <c r="Y1205" s="977"/>
    </row>
    <row r="1206" spans="1:25" x14ac:dyDescent="0.2">
      <c r="A1206" s="976"/>
      <c r="B1206" s="976"/>
      <c r="C1206" s="976"/>
      <c r="D1206" s="976"/>
      <c r="E1206" s="976"/>
      <c r="R1206" s="977"/>
      <c r="S1206" s="977"/>
      <c r="T1206" s="977"/>
      <c r="U1206" s="977"/>
      <c r="V1206" s="977"/>
      <c r="W1206" s="977"/>
      <c r="X1206" s="977"/>
      <c r="Y1206" s="977"/>
    </row>
    <row r="1207" spans="1:25" x14ac:dyDescent="0.2">
      <c r="A1207" s="976"/>
      <c r="B1207" s="976"/>
      <c r="C1207" s="976"/>
      <c r="D1207" s="976"/>
      <c r="E1207" s="976"/>
      <c r="R1207" s="977"/>
      <c r="S1207" s="977"/>
      <c r="T1207" s="977"/>
      <c r="U1207" s="977"/>
      <c r="V1207" s="977"/>
      <c r="W1207" s="977"/>
      <c r="X1207" s="977"/>
      <c r="Y1207" s="977"/>
    </row>
    <row r="1208" spans="1:25" x14ac:dyDescent="0.2">
      <c r="A1208" s="976"/>
      <c r="B1208" s="976"/>
      <c r="C1208" s="976"/>
      <c r="D1208" s="976"/>
      <c r="E1208" s="976"/>
      <c r="R1208" s="977"/>
      <c r="S1208" s="977"/>
      <c r="T1208" s="977"/>
      <c r="U1208" s="977"/>
      <c r="V1208" s="977"/>
      <c r="W1208" s="977"/>
      <c r="X1208" s="977"/>
      <c r="Y1208" s="977"/>
    </row>
    <row r="1209" spans="1:25" x14ac:dyDescent="0.2">
      <c r="A1209" s="976"/>
      <c r="B1209" s="976"/>
      <c r="C1209" s="976"/>
      <c r="D1209" s="976"/>
      <c r="E1209" s="976"/>
      <c r="R1209" s="977"/>
      <c r="S1209" s="977"/>
      <c r="T1209" s="977"/>
      <c r="U1209" s="977"/>
      <c r="V1209" s="977"/>
      <c r="W1209" s="977"/>
      <c r="X1209" s="977"/>
      <c r="Y1209" s="977"/>
    </row>
    <row r="1210" spans="1:25" x14ac:dyDescent="0.2">
      <c r="A1210" s="976"/>
      <c r="B1210" s="976"/>
      <c r="C1210" s="976"/>
      <c r="D1210" s="976"/>
      <c r="E1210" s="976"/>
      <c r="R1210" s="977"/>
      <c r="S1210" s="977"/>
      <c r="T1210" s="977"/>
      <c r="U1210" s="977"/>
      <c r="V1210" s="977"/>
      <c r="W1210" s="977"/>
      <c r="X1210" s="977"/>
      <c r="Y1210" s="977"/>
    </row>
    <row r="1211" spans="1:25" x14ac:dyDescent="0.2">
      <c r="A1211" s="976"/>
      <c r="B1211" s="976"/>
      <c r="C1211" s="976"/>
      <c r="D1211" s="976"/>
      <c r="E1211" s="976"/>
      <c r="R1211" s="977"/>
      <c r="S1211" s="977"/>
      <c r="T1211" s="977"/>
      <c r="U1211" s="977"/>
      <c r="V1211" s="977"/>
      <c r="W1211" s="977"/>
      <c r="X1211" s="977"/>
      <c r="Y1211" s="977"/>
    </row>
    <row r="1212" spans="1:25" x14ac:dyDescent="0.2">
      <c r="A1212" s="976"/>
      <c r="B1212" s="976"/>
      <c r="C1212" s="976"/>
      <c r="D1212" s="976"/>
      <c r="E1212" s="976"/>
      <c r="R1212" s="977"/>
      <c r="S1212" s="977"/>
      <c r="T1212" s="977"/>
      <c r="U1212" s="977"/>
      <c r="V1212" s="977"/>
      <c r="W1212" s="977"/>
      <c r="X1212" s="977"/>
      <c r="Y1212" s="977"/>
    </row>
    <row r="1213" spans="1:25" x14ac:dyDescent="0.2">
      <c r="A1213" s="976"/>
      <c r="B1213" s="976"/>
      <c r="C1213" s="976"/>
      <c r="D1213" s="976"/>
      <c r="E1213" s="976"/>
      <c r="R1213" s="977"/>
      <c r="S1213" s="977"/>
      <c r="T1213" s="977"/>
      <c r="U1213" s="977"/>
      <c r="V1213" s="977"/>
      <c r="W1213" s="977"/>
      <c r="X1213" s="977"/>
      <c r="Y1213" s="977"/>
    </row>
    <row r="1214" spans="1:25" x14ac:dyDescent="0.2">
      <c r="A1214" s="976"/>
      <c r="B1214" s="976"/>
      <c r="C1214" s="976"/>
      <c r="D1214" s="976"/>
      <c r="E1214" s="976"/>
      <c r="R1214" s="977"/>
      <c r="S1214" s="977"/>
      <c r="T1214" s="977"/>
      <c r="U1214" s="977"/>
      <c r="V1214" s="977"/>
      <c r="W1214" s="977"/>
      <c r="X1214" s="977"/>
      <c r="Y1214" s="977"/>
    </row>
    <row r="1215" spans="1:25" x14ac:dyDescent="0.2">
      <c r="A1215" s="976"/>
      <c r="B1215" s="976"/>
      <c r="C1215" s="976"/>
      <c r="D1215" s="976"/>
      <c r="E1215" s="976"/>
      <c r="R1215" s="977"/>
      <c r="S1215" s="977"/>
      <c r="T1215" s="977"/>
      <c r="U1215" s="977"/>
      <c r="V1215" s="977"/>
      <c r="W1215" s="977"/>
      <c r="X1215" s="977"/>
      <c r="Y1215" s="977"/>
    </row>
    <row r="1216" spans="1:25" x14ac:dyDescent="0.2">
      <c r="A1216" s="976"/>
      <c r="B1216" s="976"/>
      <c r="C1216" s="976"/>
      <c r="D1216" s="976"/>
      <c r="E1216" s="976"/>
      <c r="R1216" s="977"/>
      <c r="S1216" s="977"/>
      <c r="T1216" s="977"/>
      <c r="U1216" s="977"/>
      <c r="V1216" s="977"/>
      <c r="W1216" s="977"/>
      <c r="X1216" s="977"/>
      <c r="Y1216" s="977"/>
    </row>
    <row r="1217" spans="1:25" x14ac:dyDescent="0.2">
      <c r="A1217" s="976"/>
      <c r="B1217" s="976"/>
      <c r="C1217" s="976"/>
      <c r="D1217" s="976"/>
      <c r="E1217" s="976"/>
      <c r="R1217" s="977"/>
      <c r="S1217" s="977"/>
      <c r="T1217" s="977"/>
      <c r="U1217" s="977"/>
      <c r="V1217" s="977"/>
      <c r="W1217" s="977"/>
      <c r="X1217" s="977"/>
      <c r="Y1217" s="977"/>
    </row>
    <row r="1218" spans="1:25" x14ac:dyDescent="0.2">
      <c r="A1218" s="976"/>
      <c r="B1218" s="976"/>
      <c r="C1218" s="976"/>
      <c r="D1218" s="976"/>
      <c r="E1218" s="976"/>
      <c r="R1218" s="977"/>
      <c r="S1218" s="977"/>
      <c r="T1218" s="977"/>
      <c r="U1218" s="977"/>
      <c r="V1218" s="977"/>
      <c r="W1218" s="977"/>
      <c r="X1218" s="977"/>
      <c r="Y1218" s="977"/>
    </row>
    <row r="1219" spans="1:25" x14ac:dyDescent="0.2">
      <c r="A1219" s="976"/>
      <c r="B1219" s="976"/>
      <c r="C1219" s="976"/>
      <c r="D1219" s="976"/>
      <c r="E1219" s="976"/>
      <c r="R1219" s="977"/>
      <c r="S1219" s="977"/>
      <c r="T1219" s="977"/>
      <c r="U1219" s="977"/>
      <c r="V1219" s="977"/>
      <c r="W1219" s="977"/>
      <c r="X1219" s="977"/>
      <c r="Y1219" s="977"/>
    </row>
    <row r="1220" spans="1:25" x14ac:dyDescent="0.2">
      <c r="A1220" s="976"/>
      <c r="B1220" s="976"/>
      <c r="C1220" s="976"/>
      <c r="D1220" s="976"/>
      <c r="E1220" s="976"/>
      <c r="R1220" s="977"/>
      <c r="S1220" s="977"/>
      <c r="T1220" s="977"/>
      <c r="U1220" s="977"/>
      <c r="V1220" s="977"/>
      <c r="W1220" s="977"/>
      <c r="X1220" s="977"/>
      <c r="Y1220" s="977"/>
    </row>
    <row r="1221" spans="1:25" x14ac:dyDescent="0.2">
      <c r="A1221" s="976"/>
      <c r="B1221" s="976"/>
      <c r="C1221" s="976"/>
      <c r="D1221" s="976"/>
      <c r="E1221" s="976"/>
      <c r="R1221" s="977"/>
      <c r="S1221" s="977"/>
      <c r="T1221" s="977"/>
      <c r="U1221" s="977"/>
      <c r="V1221" s="977"/>
      <c r="W1221" s="977"/>
      <c r="X1221" s="977"/>
      <c r="Y1221" s="977"/>
    </row>
    <row r="1222" spans="1:25" x14ac:dyDescent="0.2">
      <c r="A1222" s="976"/>
      <c r="B1222" s="976"/>
      <c r="C1222" s="976"/>
      <c r="D1222" s="976"/>
      <c r="E1222" s="976"/>
      <c r="R1222" s="977"/>
      <c r="S1222" s="977"/>
      <c r="T1222" s="977"/>
      <c r="U1222" s="977"/>
      <c r="V1222" s="977"/>
      <c r="W1222" s="977"/>
      <c r="X1222" s="977"/>
      <c r="Y1222" s="977"/>
    </row>
    <row r="1223" spans="1:25" x14ac:dyDescent="0.2">
      <c r="A1223" s="976"/>
      <c r="B1223" s="976"/>
      <c r="C1223" s="976"/>
      <c r="D1223" s="976"/>
      <c r="E1223" s="976"/>
      <c r="R1223" s="977"/>
      <c r="S1223" s="977"/>
      <c r="T1223" s="977"/>
      <c r="U1223" s="977"/>
      <c r="V1223" s="977"/>
      <c r="W1223" s="977"/>
      <c r="X1223" s="977"/>
      <c r="Y1223" s="977"/>
    </row>
    <row r="1224" spans="1:25" x14ac:dyDescent="0.2">
      <c r="A1224" s="976"/>
      <c r="B1224" s="976"/>
      <c r="C1224" s="976"/>
      <c r="D1224" s="976"/>
      <c r="E1224" s="976"/>
      <c r="R1224" s="977"/>
      <c r="S1224" s="977"/>
      <c r="T1224" s="977"/>
      <c r="U1224" s="977"/>
      <c r="V1224" s="977"/>
      <c r="W1224" s="977"/>
      <c r="X1224" s="977"/>
      <c r="Y1224" s="977"/>
    </row>
    <row r="1225" spans="1:25" x14ac:dyDescent="0.2">
      <c r="A1225" s="976"/>
      <c r="B1225" s="976"/>
      <c r="C1225" s="976"/>
      <c r="D1225" s="976"/>
      <c r="E1225" s="976"/>
      <c r="R1225" s="977"/>
      <c r="S1225" s="977"/>
      <c r="T1225" s="977"/>
      <c r="U1225" s="977"/>
      <c r="V1225" s="977"/>
      <c r="W1225" s="977"/>
      <c r="X1225" s="977"/>
      <c r="Y1225" s="977"/>
    </row>
    <row r="1226" spans="1:25" x14ac:dyDescent="0.2">
      <c r="A1226" s="976"/>
      <c r="B1226" s="976"/>
      <c r="C1226" s="976"/>
      <c r="D1226" s="976"/>
      <c r="E1226" s="976"/>
      <c r="R1226" s="977"/>
      <c r="S1226" s="977"/>
      <c r="T1226" s="977"/>
      <c r="U1226" s="977"/>
      <c r="V1226" s="977"/>
      <c r="W1226" s="977"/>
      <c r="X1226" s="977"/>
      <c r="Y1226" s="977"/>
    </row>
    <row r="1227" spans="1:25" x14ac:dyDescent="0.2">
      <c r="A1227" s="976"/>
      <c r="B1227" s="976"/>
      <c r="C1227" s="976"/>
      <c r="D1227" s="976"/>
      <c r="E1227" s="976"/>
      <c r="R1227" s="977"/>
      <c r="S1227" s="977"/>
      <c r="T1227" s="977"/>
      <c r="U1227" s="977"/>
      <c r="V1227" s="977"/>
      <c r="W1227" s="977"/>
      <c r="X1227" s="977"/>
      <c r="Y1227" s="977"/>
    </row>
    <row r="1228" spans="1:25" x14ac:dyDescent="0.2">
      <c r="A1228" s="976"/>
      <c r="B1228" s="976"/>
      <c r="C1228" s="976"/>
      <c r="D1228" s="976"/>
      <c r="E1228" s="976"/>
      <c r="R1228" s="977"/>
      <c r="S1228" s="977"/>
      <c r="T1228" s="977"/>
      <c r="U1228" s="977"/>
      <c r="V1228" s="977"/>
      <c r="W1228" s="977"/>
      <c r="X1228" s="977"/>
      <c r="Y1228" s="977"/>
    </row>
    <row r="1229" spans="1:25" x14ac:dyDescent="0.2">
      <c r="A1229" s="976"/>
      <c r="B1229" s="976"/>
      <c r="C1229" s="976"/>
      <c r="D1229" s="976"/>
      <c r="E1229" s="976"/>
      <c r="R1229" s="977"/>
      <c r="S1229" s="977"/>
      <c r="T1229" s="977"/>
      <c r="U1229" s="977"/>
      <c r="V1229" s="977"/>
      <c r="W1229" s="977"/>
      <c r="X1229" s="977"/>
      <c r="Y1229" s="977"/>
    </row>
    <row r="1230" spans="1:25" x14ac:dyDescent="0.2">
      <c r="A1230" s="976"/>
      <c r="B1230" s="976"/>
      <c r="C1230" s="976"/>
      <c r="D1230" s="976"/>
      <c r="E1230" s="976"/>
      <c r="R1230" s="977"/>
      <c r="S1230" s="977"/>
      <c r="T1230" s="977"/>
      <c r="U1230" s="977"/>
      <c r="V1230" s="977"/>
      <c r="W1230" s="977"/>
      <c r="X1230" s="977"/>
      <c r="Y1230" s="977"/>
    </row>
    <row r="1231" spans="1:25" x14ac:dyDescent="0.2">
      <c r="A1231" s="976"/>
      <c r="B1231" s="976"/>
      <c r="C1231" s="976"/>
      <c r="D1231" s="976"/>
      <c r="E1231" s="976"/>
      <c r="R1231" s="977"/>
      <c r="S1231" s="977"/>
      <c r="T1231" s="977"/>
      <c r="U1231" s="977"/>
      <c r="V1231" s="977"/>
      <c r="W1231" s="977"/>
      <c r="X1231" s="977"/>
      <c r="Y1231" s="977"/>
    </row>
    <row r="1232" spans="1:25" x14ac:dyDescent="0.2">
      <c r="A1232" s="976"/>
      <c r="B1232" s="976"/>
      <c r="C1232" s="976"/>
      <c r="D1232" s="976"/>
      <c r="E1232" s="976"/>
      <c r="R1232" s="977"/>
      <c r="S1232" s="977"/>
      <c r="T1232" s="977"/>
      <c r="U1232" s="977"/>
      <c r="V1232" s="977"/>
      <c r="W1232" s="977"/>
      <c r="X1232" s="977"/>
      <c r="Y1232" s="977"/>
    </row>
    <row r="1233" spans="1:25" x14ac:dyDescent="0.2">
      <c r="A1233" s="976"/>
      <c r="B1233" s="976"/>
      <c r="C1233" s="976"/>
      <c r="D1233" s="976"/>
      <c r="E1233" s="976"/>
      <c r="R1233" s="977"/>
      <c r="S1233" s="977"/>
      <c r="T1233" s="977"/>
      <c r="U1233" s="977"/>
      <c r="V1233" s="977"/>
      <c r="W1233" s="977"/>
      <c r="X1233" s="977"/>
      <c r="Y1233" s="977"/>
    </row>
    <row r="1234" spans="1:25" x14ac:dyDescent="0.2">
      <c r="A1234" s="976"/>
      <c r="B1234" s="976"/>
      <c r="C1234" s="976"/>
      <c r="D1234" s="976"/>
      <c r="E1234" s="976"/>
      <c r="R1234" s="977"/>
      <c r="S1234" s="977"/>
      <c r="T1234" s="977"/>
      <c r="U1234" s="977"/>
      <c r="V1234" s="977"/>
      <c r="W1234" s="977"/>
      <c r="X1234" s="977"/>
      <c r="Y1234" s="977"/>
    </row>
    <row r="1235" spans="1:25" x14ac:dyDescent="0.2">
      <c r="A1235" s="976"/>
      <c r="B1235" s="976"/>
      <c r="C1235" s="976"/>
      <c r="D1235" s="976"/>
      <c r="E1235" s="976"/>
      <c r="R1235" s="977"/>
      <c r="S1235" s="977"/>
      <c r="T1235" s="977"/>
      <c r="U1235" s="977"/>
      <c r="V1235" s="977"/>
      <c r="W1235" s="977"/>
      <c r="X1235" s="977"/>
      <c r="Y1235" s="977"/>
    </row>
    <row r="1236" spans="1:25" x14ac:dyDescent="0.2">
      <c r="A1236" s="976"/>
      <c r="B1236" s="976"/>
      <c r="C1236" s="976"/>
      <c r="D1236" s="976"/>
      <c r="E1236" s="976"/>
      <c r="R1236" s="977"/>
      <c r="S1236" s="977"/>
      <c r="T1236" s="977"/>
      <c r="U1236" s="977"/>
      <c r="V1236" s="977"/>
      <c r="W1236" s="977"/>
      <c r="X1236" s="977"/>
      <c r="Y1236" s="977"/>
    </row>
    <row r="1237" spans="1:25" x14ac:dyDescent="0.2">
      <c r="A1237" s="976"/>
      <c r="B1237" s="976"/>
      <c r="C1237" s="976"/>
      <c r="D1237" s="976"/>
      <c r="E1237" s="976"/>
      <c r="R1237" s="977"/>
      <c r="S1237" s="977"/>
      <c r="T1237" s="977"/>
      <c r="U1237" s="977"/>
      <c r="V1237" s="977"/>
      <c r="W1237" s="977"/>
      <c r="X1237" s="977"/>
      <c r="Y1237" s="977"/>
    </row>
    <row r="1238" spans="1:25" x14ac:dyDescent="0.2">
      <c r="A1238" s="976"/>
      <c r="B1238" s="976"/>
      <c r="C1238" s="976"/>
      <c r="D1238" s="976"/>
      <c r="E1238" s="976"/>
      <c r="R1238" s="977"/>
      <c r="S1238" s="977"/>
      <c r="T1238" s="977"/>
      <c r="U1238" s="977"/>
      <c r="V1238" s="977"/>
      <c r="W1238" s="977"/>
      <c r="X1238" s="977"/>
      <c r="Y1238" s="977"/>
    </row>
    <row r="1239" spans="1:25" x14ac:dyDescent="0.2">
      <c r="A1239" s="976"/>
      <c r="B1239" s="976"/>
      <c r="C1239" s="976"/>
      <c r="D1239" s="976"/>
      <c r="E1239" s="976"/>
      <c r="R1239" s="977"/>
      <c r="S1239" s="977"/>
      <c r="T1239" s="977"/>
      <c r="U1239" s="977"/>
      <c r="V1239" s="977"/>
      <c r="W1239" s="977"/>
      <c r="X1239" s="977"/>
      <c r="Y1239" s="977"/>
    </row>
    <row r="1240" spans="1:25" x14ac:dyDescent="0.2">
      <c r="A1240" s="976"/>
      <c r="B1240" s="976"/>
      <c r="C1240" s="976"/>
      <c r="D1240" s="976"/>
      <c r="E1240" s="976"/>
      <c r="R1240" s="977"/>
      <c r="S1240" s="977"/>
      <c r="T1240" s="977"/>
      <c r="U1240" s="977"/>
      <c r="V1240" s="977"/>
      <c r="W1240" s="977"/>
      <c r="X1240" s="977"/>
      <c r="Y1240" s="977"/>
    </row>
    <row r="1241" spans="1:25" x14ac:dyDescent="0.2">
      <c r="A1241" s="976"/>
      <c r="B1241" s="976"/>
      <c r="C1241" s="976"/>
      <c r="D1241" s="976"/>
      <c r="E1241" s="976"/>
      <c r="R1241" s="977"/>
      <c r="S1241" s="977"/>
      <c r="T1241" s="977"/>
      <c r="U1241" s="977"/>
      <c r="V1241" s="977"/>
      <c r="W1241" s="977"/>
      <c r="X1241" s="977"/>
      <c r="Y1241" s="977"/>
    </row>
    <row r="1242" spans="1:25" x14ac:dyDescent="0.2">
      <c r="A1242" s="976"/>
      <c r="B1242" s="976"/>
      <c r="C1242" s="976"/>
      <c r="D1242" s="976"/>
      <c r="E1242" s="976"/>
      <c r="R1242" s="977"/>
      <c r="S1242" s="977"/>
      <c r="T1242" s="977"/>
      <c r="U1242" s="977"/>
      <c r="V1242" s="977"/>
      <c r="W1242" s="977"/>
      <c r="X1242" s="977"/>
      <c r="Y1242" s="977"/>
    </row>
    <row r="1243" spans="1:25" x14ac:dyDescent="0.2">
      <c r="A1243" s="976"/>
      <c r="B1243" s="976"/>
      <c r="C1243" s="976"/>
      <c r="D1243" s="976"/>
      <c r="E1243" s="976"/>
      <c r="R1243" s="977"/>
      <c r="S1243" s="977"/>
      <c r="T1243" s="977"/>
      <c r="U1243" s="977"/>
      <c r="V1243" s="977"/>
      <c r="W1243" s="977"/>
      <c r="X1243" s="977"/>
      <c r="Y1243" s="977"/>
    </row>
    <row r="1244" spans="1:25" x14ac:dyDescent="0.2">
      <c r="A1244" s="976"/>
      <c r="B1244" s="976"/>
      <c r="C1244" s="976"/>
      <c r="D1244" s="976"/>
      <c r="E1244" s="976"/>
      <c r="R1244" s="977"/>
      <c r="S1244" s="977"/>
      <c r="T1244" s="977"/>
      <c r="U1244" s="977"/>
      <c r="V1244" s="977"/>
      <c r="W1244" s="977"/>
      <c r="X1244" s="977"/>
      <c r="Y1244" s="977"/>
    </row>
    <row r="1245" spans="1:25" x14ac:dyDescent="0.2">
      <c r="A1245" s="976"/>
      <c r="B1245" s="976"/>
      <c r="C1245" s="976"/>
      <c r="D1245" s="976"/>
      <c r="E1245" s="976"/>
      <c r="R1245" s="977"/>
      <c r="S1245" s="977"/>
      <c r="T1245" s="977"/>
      <c r="U1245" s="977"/>
      <c r="V1245" s="977"/>
      <c r="W1245" s="977"/>
      <c r="X1245" s="977"/>
      <c r="Y1245" s="977"/>
    </row>
    <row r="1246" spans="1:25" x14ac:dyDescent="0.2">
      <c r="A1246" s="976"/>
      <c r="B1246" s="976"/>
      <c r="C1246" s="976"/>
      <c r="D1246" s="976"/>
      <c r="E1246" s="976"/>
      <c r="R1246" s="977"/>
      <c r="S1246" s="977"/>
      <c r="T1246" s="977"/>
      <c r="U1246" s="977"/>
      <c r="V1246" s="977"/>
      <c r="W1246" s="977"/>
      <c r="X1246" s="977"/>
      <c r="Y1246" s="977"/>
    </row>
    <row r="1247" spans="1:25" x14ac:dyDescent="0.2">
      <c r="A1247" s="976"/>
      <c r="B1247" s="976"/>
      <c r="C1247" s="976"/>
      <c r="D1247" s="976"/>
      <c r="E1247" s="976"/>
      <c r="R1247" s="977"/>
      <c r="S1247" s="977"/>
      <c r="T1247" s="977"/>
      <c r="U1247" s="977"/>
      <c r="V1247" s="977"/>
      <c r="W1247" s="977"/>
      <c r="X1247" s="977"/>
      <c r="Y1247" s="977"/>
    </row>
    <row r="1248" spans="1:25" x14ac:dyDescent="0.2">
      <c r="A1248" s="976"/>
      <c r="B1248" s="976"/>
      <c r="C1248" s="976"/>
      <c r="D1248" s="976"/>
      <c r="E1248" s="976"/>
      <c r="R1248" s="977"/>
      <c r="S1248" s="977"/>
      <c r="T1248" s="977"/>
      <c r="U1248" s="977"/>
      <c r="V1248" s="977"/>
      <c r="W1248" s="977"/>
      <c r="X1248" s="977"/>
      <c r="Y1248" s="977"/>
    </row>
    <row r="1249" spans="1:25" x14ac:dyDescent="0.2">
      <c r="A1249" s="976"/>
      <c r="B1249" s="976"/>
      <c r="C1249" s="976"/>
      <c r="D1249" s="976"/>
      <c r="E1249" s="976"/>
      <c r="R1249" s="977"/>
      <c r="S1249" s="977"/>
      <c r="T1249" s="977"/>
      <c r="U1249" s="977"/>
      <c r="V1249" s="977"/>
      <c r="W1249" s="977"/>
      <c r="X1249" s="977"/>
      <c r="Y1249" s="977"/>
    </row>
    <row r="1250" spans="1:25" x14ac:dyDescent="0.2">
      <c r="A1250" s="976"/>
      <c r="B1250" s="976"/>
      <c r="C1250" s="976"/>
      <c r="D1250" s="976"/>
      <c r="E1250" s="976"/>
      <c r="R1250" s="977"/>
      <c r="S1250" s="977"/>
      <c r="T1250" s="977"/>
      <c r="U1250" s="977"/>
      <c r="V1250" s="977"/>
      <c r="W1250" s="977"/>
      <c r="X1250" s="977"/>
      <c r="Y1250" s="977"/>
    </row>
    <row r="1251" spans="1:25" x14ac:dyDescent="0.2">
      <c r="A1251" s="976"/>
      <c r="B1251" s="976"/>
      <c r="C1251" s="976"/>
      <c r="D1251" s="976"/>
      <c r="E1251" s="976"/>
      <c r="R1251" s="977"/>
      <c r="S1251" s="977"/>
      <c r="T1251" s="977"/>
      <c r="U1251" s="977"/>
      <c r="V1251" s="977"/>
      <c r="W1251" s="977"/>
      <c r="X1251" s="977"/>
      <c r="Y1251" s="977"/>
    </row>
    <row r="1252" spans="1:25" x14ac:dyDescent="0.2">
      <c r="A1252" s="976"/>
      <c r="B1252" s="976"/>
      <c r="C1252" s="976"/>
      <c r="D1252" s="976"/>
      <c r="E1252" s="976"/>
      <c r="R1252" s="977"/>
      <c r="S1252" s="977"/>
      <c r="T1252" s="977"/>
      <c r="U1252" s="977"/>
      <c r="V1252" s="977"/>
      <c r="W1252" s="977"/>
      <c r="X1252" s="977"/>
      <c r="Y1252" s="977"/>
    </row>
    <row r="1253" spans="1:25" x14ac:dyDescent="0.2">
      <c r="A1253" s="976"/>
      <c r="B1253" s="976"/>
      <c r="C1253" s="976"/>
      <c r="D1253" s="976"/>
      <c r="E1253" s="976"/>
      <c r="R1253" s="977"/>
      <c r="S1253" s="977"/>
      <c r="T1253" s="977"/>
      <c r="U1253" s="977"/>
      <c r="V1253" s="977"/>
      <c r="W1253" s="977"/>
      <c r="X1253" s="977"/>
      <c r="Y1253" s="977"/>
    </row>
    <row r="1254" spans="1:25" x14ac:dyDescent="0.2">
      <c r="A1254" s="976"/>
      <c r="B1254" s="976"/>
      <c r="C1254" s="976"/>
      <c r="D1254" s="976"/>
      <c r="E1254" s="976"/>
      <c r="R1254" s="977"/>
      <c r="S1254" s="977"/>
      <c r="T1254" s="977"/>
      <c r="U1254" s="977"/>
      <c r="V1254" s="977"/>
      <c r="W1254" s="977"/>
      <c r="X1254" s="977"/>
      <c r="Y1254" s="977"/>
    </row>
    <row r="1255" spans="1:25" x14ac:dyDescent="0.2">
      <c r="A1255" s="976"/>
      <c r="B1255" s="976"/>
      <c r="C1255" s="976"/>
      <c r="D1255" s="976"/>
      <c r="E1255" s="976"/>
      <c r="R1255" s="977"/>
      <c r="S1255" s="977"/>
      <c r="T1255" s="977"/>
      <c r="U1255" s="977"/>
      <c r="V1255" s="977"/>
      <c r="W1255" s="977"/>
      <c r="X1255" s="977"/>
      <c r="Y1255" s="977"/>
    </row>
    <row r="1256" spans="1:25" x14ac:dyDescent="0.2">
      <c r="A1256" s="976"/>
      <c r="B1256" s="976"/>
      <c r="C1256" s="976"/>
      <c r="D1256" s="976"/>
      <c r="E1256" s="976"/>
      <c r="R1256" s="977"/>
      <c r="S1256" s="977"/>
      <c r="T1256" s="977"/>
      <c r="U1256" s="977"/>
      <c r="V1256" s="977"/>
      <c r="W1256" s="977"/>
      <c r="X1256" s="977"/>
      <c r="Y1256" s="977"/>
    </row>
    <row r="1257" spans="1:25" x14ac:dyDescent="0.2">
      <c r="A1257" s="976"/>
      <c r="B1257" s="976"/>
      <c r="C1257" s="976"/>
      <c r="D1257" s="976"/>
      <c r="E1257" s="976"/>
      <c r="R1257" s="977"/>
      <c r="S1257" s="977"/>
      <c r="T1257" s="977"/>
      <c r="U1257" s="977"/>
      <c r="V1257" s="977"/>
      <c r="W1257" s="977"/>
      <c r="X1257" s="977"/>
      <c r="Y1257" s="977"/>
    </row>
    <row r="1258" spans="1:25" x14ac:dyDescent="0.2">
      <c r="A1258" s="976"/>
      <c r="B1258" s="976"/>
      <c r="C1258" s="976"/>
      <c r="D1258" s="976"/>
      <c r="E1258" s="976"/>
      <c r="R1258" s="977"/>
      <c r="S1258" s="977"/>
      <c r="T1258" s="977"/>
      <c r="U1258" s="977"/>
      <c r="V1258" s="977"/>
      <c r="W1258" s="977"/>
      <c r="X1258" s="977"/>
      <c r="Y1258" s="977"/>
    </row>
    <row r="1259" spans="1:25" x14ac:dyDescent="0.2">
      <c r="A1259" s="976"/>
      <c r="B1259" s="976"/>
      <c r="C1259" s="976"/>
      <c r="D1259" s="976"/>
      <c r="E1259" s="976"/>
      <c r="R1259" s="977"/>
      <c r="S1259" s="977"/>
      <c r="T1259" s="977"/>
      <c r="U1259" s="977"/>
      <c r="V1259" s="977"/>
      <c r="W1259" s="977"/>
      <c r="X1259" s="977"/>
      <c r="Y1259" s="977"/>
    </row>
    <row r="1260" spans="1:25" x14ac:dyDescent="0.2">
      <c r="A1260" s="976"/>
      <c r="B1260" s="976"/>
      <c r="C1260" s="976"/>
      <c r="D1260" s="976"/>
      <c r="E1260" s="976"/>
      <c r="R1260" s="977"/>
      <c r="S1260" s="977"/>
      <c r="T1260" s="977"/>
      <c r="U1260" s="977"/>
      <c r="V1260" s="977"/>
      <c r="W1260" s="977"/>
      <c r="X1260" s="977"/>
      <c r="Y1260" s="977"/>
    </row>
    <row r="1261" spans="1:25" x14ac:dyDescent="0.2">
      <c r="A1261" s="976"/>
      <c r="B1261" s="976"/>
      <c r="C1261" s="976"/>
      <c r="D1261" s="976"/>
      <c r="E1261" s="976"/>
      <c r="R1261" s="977"/>
      <c r="S1261" s="977"/>
      <c r="T1261" s="977"/>
      <c r="U1261" s="977"/>
      <c r="V1261" s="977"/>
      <c r="W1261" s="977"/>
      <c r="X1261" s="977"/>
      <c r="Y1261" s="977"/>
    </row>
    <row r="1262" spans="1:25" x14ac:dyDescent="0.2">
      <c r="A1262" s="976"/>
      <c r="B1262" s="976"/>
      <c r="C1262" s="976"/>
      <c r="D1262" s="976"/>
      <c r="E1262" s="976"/>
      <c r="R1262" s="977"/>
      <c r="S1262" s="977"/>
      <c r="T1262" s="977"/>
      <c r="U1262" s="977"/>
      <c r="V1262" s="977"/>
      <c r="W1262" s="977"/>
      <c r="X1262" s="977"/>
      <c r="Y1262" s="977"/>
    </row>
    <row r="1263" spans="1:25" x14ac:dyDescent="0.2">
      <c r="A1263" s="976"/>
      <c r="B1263" s="976"/>
      <c r="C1263" s="976"/>
      <c r="D1263" s="976"/>
      <c r="E1263" s="976"/>
      <c r="R1263" s="977"/>
      <c r="S1263" s="977"/>
      <c r="T1263" s="977"/>
      <c r="U1263" s="977"/>
      <c r="V1263" s="977"/>
      <c r="W1263" s="977"/>
      <c r="X1263" s="977"/>
      <c r="Y1263" s="977"/>
    </row>
    <row r="1264" spans="1:25" x14ac:dyDescent="0.2">
      <c r="A1264" s="976"/>
      <c r="B1264" s="976"/>
      <c r="C1264" s="976"/>
      <c r="D1264" s="976"/>
      <c r="E1264" s="976"/>
      <c r="R1264" s="977"/>
      <c r="S1264" s="977"/>
      <c r="T1264" s="977"/>
      <c r="U1264" s="977"/>
      <c r="V1264" s="977"/>
      <c r="W1264" s="977"/>
      <c r="X1264" s="977"/>
      <c r="Y1264" s="977"/>
    </row>
    <row r="1265" spans="1:25" x14ac:dyDescent="0.2">
      <c r="A1265" s="976"/>
      <c r="B1265" s="976"/>
      <c r="C1265" s="976"/>
      <c r="D1265" s="976"/>
      <c r="E1265" s="976"/>
      <c r="R1265" s="977"/>
      <c r="S1265" s="977"/>
      <c r="T1265" s="977"/>
      <c r="U1265" s="977"/>
      <c r="V1265" s="977"/>
      <c r="W1265" s="977"/>
      <c r="X1265" s="977"/>
      <c r="Y1265" s="977"/>
    </row>
    <row r="1266" spans="1:25" x14ac:dyDescent="0.2">
      <c r="A1266" s="976"/>
      <c r="B1266" s="976"/>
      <c r="C1266" s="976"/>
      <c r="D1266" s="976"/>
      <c r="E1266" s="976"/>
      <c r="R1266" s="977"/>
      <c r="S1266" s="977"/>
      <c r="T1266" s="977"/>
      <c r="U1266" s="977"/>
      <c r="V1266" s="977"/>
      <c r="W1266" s="977"/>
      <c r="X1266" s="977"/>
      <c r="Y1266" s="977"/>
    </row>
    <row r="1267" spans="1:25" x14ac:dyDescent="0.2">
      <c r="A1267" s="976"/>
      <c r="B1267" s="976"/>
      <c r="C1267" s="976"/>
      <c r="D1267" s="976"/>
      <c r="E1267" s="976"/>
      <c r="R1267" s="977"/>
      <c r="S1267" s="977"/>
      <c r="T1267" s="977"/>
      <c r="U1267" s="977"/>
      <c r="V1267" s="977"/>
      <c r="W1267" s="977"/>
      <c r="X1267" s="977"/>
      <c r="Y1267" s="977"/>
    </row>
    <row r="1268" spans="1:25" x14ac:dyDescent="0.2">
      <c r="A1268" s="976"/>
      <c r="B1268" s="976"/>
      <c r="C1268" s="976"/>
      <c r="D1268" s="976"/>
      <c r="E1268" s="976"/>
      <c r="R1268" s="977"/>
      <c r="S1268" s="977"/>
      <c r="T1268" s="977"/>
      <c r="U1268" s="977"/>
      <c r="V1268" s="977"/>
      <c r="W1268" s="977"/>
      <c r="X1268" s="977"/>
      <c r="Y1268" s="977"/>
    </row>
    <row r="1269" spans="1:25" x14ac:dyDescent="0.2">
      <c r="A1269" s="976"/>
      <c r="B1269" s="976"/>
      <c r="C1269" s="976"/>
      <c r="D1269" s="976"/>
      <c r="E1269" s="976"/>
      <c r="R1269" s="977"/>
      <c r="S1269" s="977"/>
      <c r="T1269" s="977"/>
      <c r="U1269" s="977"/>
      <c r="V1269" s="977"/>
      <c r="W1269" s="977"/>
      <c r="X1269" s="977"/>
      <c r="Y1269" s="977"/>
    </row>
    <row r="1270" spans="1:25" x14ac:dyDescent="0.2">
      <c r="A1270" s="976"/>
      <c r="B1270" s="976"/>
      <c r="C1270" s="976"/>
      <c r="D1270" s="976"/>
      <c r="E1270" s="976"/>
      <c r="R1270" s="977"/>
      <c r="S1270" s="977"/>
      <c r="T1270" s="977"/>
      <c r="U1270" s="977"/>
      <c r="V1270" s="977"/>
      <c r="W1270" s="977"/>
      <c r="X1270" s="977"/>
      <c r="Y1270" s="977"/>
    </row>
    <row r="1271" spans="1:25" x14ac:dyDescent="0.2">
      <c r="A1271" s="976"/>
      <c r="B1271" s="976"/>
      <c r="C1271" s="976"/>
      <c r="D1271" s="976"/>
      <c r="E1271" s="976"/>
      <c r="R1271" s="977"/>
      <c r="S1271" s="977"/>
      <c r="T1271" s="977"/>
      <c r="U1271" s="977"/>
      <c r="V1271" s="977"/>
      <c r="W1271" s="977"/>
      <c r="X1271" s="977"/>
      <c r="Y1271" s="977"/>
    </row>
    <row r="1272" spans="1:25" x14ac:dyDescent="0.2">
      <c r="A1272" s="976"/>
      <c r="B1272" s="976"/>
      <c r="C1272" s="976"/>
      <c r="D1272" s="976"/>
      <c r="E1272" s="976"/>
      <c r="R1272" s="977"/>
      <c r="S1272" s="977"/>
      <c r="T1272" s="977"/>
      <c r="U1272" s="977"/>
      <c r="V1272" s="977"/>
      <c r="W1272" s="977"/>
      <c r="X1272" s="977"/>
      <c r="Y1272" s="977"/>
    </row>
    <row r="1273" spans="1:25" x14ac:dyDescent="0.2">
      <c r="A1273" s="976"/>
      <c r="B1273" s="976"/>
      <c r="C1273" s="976"/>
      <c r="D1273" s="976"/>
      <c r="E1273" s="976"/>
      <c r="R1273" s="977"/>
      <c r="S1273" s="977"/>
      <c r="T1273" s="977"/>
      <c r="U1273" s="977"/>
      <c r="V1273" s="977"/>
      <c r="W1273" s="977"/>
      <c r="X1273" s="977"/>
      <c r="Y1273" s="977"/>
    </row>
    <row r="1274" spans="1:25" x14ac:dyDescent="0.2">
      <c r="A1274" s="976"/>
      <c r="B1274" s="976"/>
      <c r="C1274" s="976"/>
      <c r="D1274" s="976"/>
      <c r="E1274" s="976"/>
      <c r="R1274" s="977"/>
      <c r="S1274" s="977"/>
      <c r="T1274" s="977"/>
      <c r="U1274" s="977"/>
      <c r="V1274" s="977"/>
      <c r="W1274" s="977"/>
      <c r="X1274" s="977"/>
      <c r="Y1274" s="977"/>
    </row>
    <row r="1275" spans="1:25" x14ac:dyDescent="0.2">
      <c r="A1275" s="976"/>
      <c r="B1275" s="976"/>
      <c r="C1275" s="976"/>
      <c r="D1275" s="976"/>
      <c r="E1275" s="976"/>
      <c r="R1275" s="977"/>
      <c r="S1275" s="977"/>
      <c r="T1275" s="977"/>
      <c r="U1275" s="977"/>
      <c r="V1275" s="977"/>
      <c r="W1275" s="977"/>
      <c r="X1275" s="977"/>
      <c r="Y1275" s="977"/>
    </row>
    <row r="1276" spans="1:25" x14ac:dyDescent="0.2">
      <c r="A1276" s="976"/>
      <c r="B1276" s="976"/>
      <c r="C1276" s="976"/>
      <c r="D1276" s="976"/>
      <c r="E1276" s="976"/>
      <c r="R1276" s="977"/>
      <c r="S1276" s="977"/>
      <c r="T1276" s="977"/>
      <c r="U1276" s="977"/>
      <c r="V1276" s="977"/>
      <c r="W1276" s="977"/>
      <c r="X1276" s="977"/>
      <c r="Y1276" s="977"/>
    </row>
    <row r="1277" spans="1:25" x14ac:dyDescent="0.2">
      <c r="A1277" s="976"/>
      <c r="B1277" s="976"/>
      <c r="C1277" s="976"/>
      <c r="D1277" s="976"/>
      <c r="E1277" s="976"/>
      <c r="R1277" s="977"/>
      <c r="S1277" s="977"/>
      <c r="T1277" s="977"/>
      <c r="U1277" s="977"/>
      <c r="V1277" s="977"/>
      <c r="W1277" s="977"/>
      <c r="X1277" s="977"/>
      <c r="Y1277" s="977"/>
    </row>
    <row r="1278" spans="1:25" x14ac:dyDescent="0.2">
      <c r="A1278" s="976"/>
      <c r="B1278" s="976"/>
      <c r="C1278" s="976"/>
      <c r="D1278" s="976"/>
      <c r="E1278" s="976"/>
      <c r="R1278" s="977"/>
      <c r="S1278" s="977"/>
      <c r="T1278" s="977"/>
      <c r="U1278" s="977"/>
      <c r="V1278" s="977"/>
      <c r="W1278" s="977"/>
      <c r="X1278" s="977"/>
      <c r="Y1278" s="977"/>
    </row>
    <row r="1279" spans="1:25" x14ac:dyDescent="0.2">
      <c r="A1279" s="976"/>
      <c r="B1279" s="976"/>
      <c r="C1279" s="976"/>
      <c r="D1279" s="976"/>
      <c r="E1279" s="976"/>
      <c r="R1279" s="977"/>
      <c r="S1279" s="977"/>
      <c r="T1279" s="977"/>
      <c r="U1279" s="977"/>
      <c r="V1279" s="977"/>
      <c r="W1279" s="977"/>
      <c r="X1279" s="977"/>
      <c r="Y1279" s="977"/>
    </row>
    <row r="1280" spans="1:25" x14ac:dyDescent="0.2">
      <c r="A1280" s="976"/>
      <c r="B1280" s="976"/>
      <c r="C1280" s="976"/>
      <c r="D1280" s="976"/>
      <c r="E1280" s="976"/>
      <c r="R1280" s="977"/>
      <c r="S1280" s="977"/>
      <c r="T1280" s="977"/>
      <c r="U1280" s="977"/>
      <c r="V1280" s="977"/>
      <c r="W1280" s="977"/>
      <c r="X1280" s="977"/>
      <c r="Y1280" s="977"/>
    </row>
    <row r="1281" spans="1:25" x14ac:dyDescent="0.2">
      <c r="A1281" s="976"/>
      <c r="B1281" s="976"/>
      <c r="C1281" s="976"/>
      <c r="D1281" s="976"/>
      <c r="E1281" s="976"/>
      <c r="R1281" s="977"/>
      <c r="S1281" s="977"/>
      <c r="T1281" s="977"/>
      <c r="U1281" s="977"/>
      <c r="V1281" s="977"/>
      <c r="W1281" s="977"/>
      <c r="X1281" s="977"/>
      <c r="Y1281" s="977"/>
    </row>
    <row r="1282" spans="1:25" x14ac:dyDescent="0.2">
      <c r="A1282" s="976"/>
      <c r="B1282" s="976"/>
      <c r="C1282" s="976"/>
      <c r="D1282" s="976"/>
      <c r="E1282" s="976"/>
      <c r="R1282" s="977"/>
      <c r="S1282" s="977"/>
      <c r="T1282" s="977"/>
      <c r="U1282" s="977"/>
      <c r="V1282" s="977"/>
      <c r="W1282" s="977"/>
      <c r="X1282" s="977"/>
      <c r="Y1282" s="977"/>
    </row>
    <row r="1283" spans="1:25" x14ac:dyDescent="0.2">
      <c r="A1283" s="976"/>
      <c r="B1283" s="976"/>
      <c r="C1283" s="976"/>
      <c r="D1283" s="976"/>
      <c r="E1283" s="976"/>
      <c r="R1283" s="977"/>
      <c r="S1283" s="977"/>
      <c r="T1283" s="977"/>
      <c r="U1283" s="977"/>
      <c r="V1283" s="977"/>
      <c r="W1283" s="977"/>
      <c r="X1283" s="977"/>
      <c r="Y1283" s="977"/>
    </row>
    <row r="1284" spans="1:25" x14ac:dyDescent="0.2">
      <c r="A1284" s="976"/>
      <c r="B1284" s="976"/>
      <c r="C1284" s="976"/>
      <c r="D1284" s="976"/>
      <c r="E1284" s="976"/>
      <c r="R1284" s="977"/>
      <c r="S1284" s="977"/>
      <c r="T1284" s="977"/>
      <c r="U1284" s="977"/>
      <c r="V1284" s="977"/>
      <c r="W1284" s="977"/>
      <c r="X1284" s="977"/>
      <c r="Y1284" s="977"/>
    </row>
    <row r="1285" spans="1:25" x14ac:dyDescent="0.2">
      <c r="A1285" s="976"/>
      <c r="B1285" s="976"/>
      <c r="C1285" s="976"/>
      <c r="D1285" s="976"/>
      <c r="E1285" s="976"/>
      <c r="R1285" s="977"/>
      <c r="S1285" s="977"/>
      <c r="T1285" s="977"/>
      <c r="U1285" s="977"/>
      <c r="V1285" s="977"/>
      <c r="W1285" s="977"/>
      <c r="X1285" s="977"/>
      <c r="Y1285" s="977"/>
    </row>
    <row r="1286" spans="1:25" x14ac:dyDescent="0.2">
      <c r="A1286" s="976"/>
      <c r="B1286" s="976"/>
      <c r="C1286" s="976"/>
      <c r="D1286" s="976"/>
      <c r="E1286" s="976"/>
      <c r="R1286" s="977"/>
      <c r="S1286" s="977"/>
      <c r="T1286" s="977"/>
      <c r="U1286" s="977"/>
      <c r="V1286" s="977"/>
      <c r="W1286" s="977"/>
      <c r="X1286" s="977"/>
      <c r="Y1286" s="977"/>
    </row>
    <row r="1287" spans="1:25" x14ac:dyDescent="0.2">
      <c r="A1287" s="976"/>
      <c r="B1287" s="976"/>
      <c r="C1287" s="976"/>
      <c r="D1287" s="976"/>
      <c r="E1287" s="976"/>
      <c r="R1287" s="977"/>
      <c r="S1287" s="977"/>
      <c r="T1287" s="977"/>
      <c r="U1287" s="977"/>
      <c r="V1287" s="977"/>
      <c r="W1287" s="977"/>
      <c r="X1287" s="977"/>
      <c r="Y1287" s="977"/>
    </row>
    <row r="1288" spans="1:25" x14ac:dyDescent="0.2">
      <c r="A1288" s="976"/>
      <c r="B1288" s="976"/>
      <c r="C1288" s="976"/>
      <c r="D1288" s="976"/>
      <c r="E1288" s="976"/>
      <c r="R1288" s="977"/>
      <c r="S1288" s="977"/>
      <c r="T1288" s="977"/>
      <c r="U1288" s="977"/>
      <c r="V1288" s="977"/>
      <c r="W1288" s="977"/>
      <c r="X1288" s="977"/>
      <c r="Y1288" s="977"/>
    </row>
    <row r="1289" spans="1:25" x14ac:dyDescent="0.2">
      <c r="A1289" s="976"/>
      <c r="B1289" s="976"/>
      <c r="C1289" s="976"/>
      <c r="D1289" s="976"/>
      <c r="E1289" s="976"/>
      <c r="R1289" s="977"/>
      <c r="S1289" s="977"/>
      <c r="T1289" s="977"/>
      <c r="U1289" s="977"/>
      <c r="V1289" s="977"/>
      <c r="W1289" s="977"/>
      <c r="X1289" s="977"/>
      <c r="Y1289" s="977"/>
    </row>
    <row r="1290" spans="1:25" x14ac:dyDescent="0.2">
      <c r="A1290" s="976"/>
      <c r="B1290" s="976"/>
      <c r="C1290" s="976"/>
      <c r="D1290" s="976"/>
      <c r="E1290" s="976"/>
      <c r="R1290" s="977"/>
      <c r="S1290" s="977"/>
      <c r="T1290" s="977"/>
      <c r="U1290" s="977"/>
      <c r="V1290" s="977"/>
      <c r="W1290" s="977"/>
      <c r="X1290" s="977"/>
      <c r="Y1290" s="977"/>
    </row>
    <row r="1291" spans="1:25" x14ac:dyDescent="0.2">
      <c r="A1291" s="976"/>
      <c r="B1291" s="976"/>
      <c r="C1291" s="976"/>
      <c r="D1291" s="976"/>
      <c r="E1291" s="976"/>
      <c r="R1291" s="977"/>
      <c r="S1291" s="977"/>
      <c r="T1291" s="977"/>
      <c r="U1291" s="977"/>
      <c r="V1291" s="977"/>
      <c r="W1291" s="977"/>
      <c r="X1291" s="977"/>
      <c r="Y1291" s="977"/>
    </row>
    <row r="1292" spans="1:25" x14ac:dyDescent="0.2">
      <c r="A1292" s="976"/>
      <c r="B1292" s="976"/>
      <c r="C1292" s="976"/>
      <c r="D1292" s="976"/>
      <c r="E1292" s="976"/>
      <c r="R1292" s="977"/>
      <c r="S1292" s="977"/>
      <c r="T1292" s="977"/>
      <c r="U1292" s="977"/>
      <c r="V1292" s="977"/>
      <c r="W1292" s="977"/>
      <c r="X1292" s="977"/>
      <c r="Y1292" s="977"/>
    </row>
    <row r="1293" spans="1:25" x14ac:dyDescent="0.2">
      <c r="A1293" s="976"/>
      <c r="B1293" s="976"/>
      <c r="C1293" s="976"/>
      <c r="D1293" s="976"/>
      <c r="E1293" s="976"/>
      <c r="R1293" s="977"/>
      <c r="S1293" s="977"/>
      <c r="T1293" s="977"/>
      <c r="U1293" s="977"/>
      <c r="V1293" s="977"/>
      <c r="W1293" s="977"/>
      <c r="X1293" s="977"/>
      <c r="Y1293" s="977"/>
    </row>
    <row r="1294" spans="1:25" x14ac:dyDescent="0.2">
      <c r="A1294" s="976"/>
      <c r="B1294" s="976"/>
      <c r="C1294" s="976"/>
      <c r="D1294" s="976"/>
      <c r="E1294" s="976"/>
      <c r="R1294" s="977"/>
      <c r="S1294" s="977"/>
      <c r="T1294" s="977"/>
      <c r="U1294" s="977"/>
      <c r="V1294" s="977"/>
      <c r="W1294" s="977"/>
      <c r="X1294" s="977"/>
      <c r="Y1294" s="977"/>
    </row>
    <row r="1295" spans="1:25" x14ac:dyDescent="0.2">
      <c r="A1295" s="976"/>
      <c r="B1295" s="976"/>
      <c r="C1295" s="976"/>
      <c r="D1295" s="976"/>
      <c r="E1295" s="976"/>
      <c r="R1295" s="977"/>
      <c r="S1295" s="977"/>
      <c r="T1295" s="977"/>
      <c r="U1295" s="977"/>
      <c r="V1295" s="977"/>
      <c r="W1295" s="977"/>
      <c r="X1295" s="977"/>
      <c r="Y1295" s="977"/>
    </row>
    <row r="1296" spans="1:25" x14ac:dyDescent="0.2">
      <c r="A1296" s="976"/>
      <c r="B1296" s="976"/>
      <c r="C1296" s="976"/>
      <c r="D1296" s="976"/>
      <c r="E1296" s="976"/>
      <c r="R1296" s="977"/>
      <c r="S1296" s="977"/>
      <c r="T1296" s="977"/>
      <c r="U1296" s="977"/>
      <c r="V1296" s="977"/>
      <c r="W1296" s="977"/>
      <c r="X1296" s="977"/>
      <c r="Y1296" s="977"/>
    </row>
    <row r="1297" spans="1:25" x14ac:dyDescent="0.2">
      <c r="A1297" s="976"/>
      <c r="B1297" s="976"/>
      <c r="C1297" s="976"/>
      <c r="D1297" s="976"/>
      <c r="E1297" s="976"/>
      <c r="R1297" s="977"/>
      <c r="S1297" s="977"/>
      <c r="T1297" s="977"/>
      <c r="U1297" s="977"/>
      <c r="V1297" s="977"/>
      <c r="W1297" s="977"/>
      <c r="X1297" s="977"/>
      <c r="Y1297" s="977"/>
    </row>
    <row r="1298" spans="1:25" x14ac:dyDescent="0.2">
      <c r="A1298" s="976"/>
      <c r="B1298" s="976"/>
      <c r="C1298" s="976"/>
      <c r="D1298" s="976"/>
      <c r="E1298" s="976"/>
      <c r="R1298" s="977"/>
      <c r="S1298" s="977"/>
      <c r="T1298" s="977"/>
      <c r="U1298" s="977"/>
      <c r="V1298" s="977"/>
      <c r="W1298" s="977"/>
      <c r="X1298" s="977"/>
      <c r="Y1298" s="977"/>
    </row>
    <row r="1299" spans="1:25" x14ac:dyDescent="0.2">
      <c r="A1299" s="976"/>
      <c r="B1299" s="976"/>
      <c r="C1299" s="976"/>
      <c r="D1299" s="976"/>
      <c r="E1299" s="976"/>
      <c r="R1299" s="977"/>
      <c r="S1299" s="977"/>
      <c r="T1299" s="977"/>
      <c r="U1299" s="977"/>
      <c r="V1299" s="977"/>
      <c r="W1299" s="977"/>
      <c r="X1299" s="977"/>
      <c r="Y1299" s="977"/>
    </row>
    <row r="1300" spans="1:25" x14ac:dyDescent="0.2">
      <c r="A1300" s="976"/>
      <c r="B1300" s="976"/>
      <c r="C1300" s="976"/>
      <c r="D1300" s="976"/>
      <c r="E1300" s="976"/>
      <c r="R1300" s="977"/>
      <c r="S1300" s="977"/>
      <c r="T1300" s="977"/>
      <c r="U1300" s="977"/>
      <c r="V1300" s="977"/>
      <c r="W1300" s="977"/>
      <c r="X1300" s="977"/>
      <c r="Y1300" s="977"/>
    </row>
    <row r="1301" spans="1:25" x14ac:dyDescent="0.2">
      <c r="A1301" s="976"/>
      <c r="B1301" s="976"/>
      <c r="C1301" s="976"/>
      <c r="D1301" s="976"/>
      <c r="E1301" s="976"/>
      <c r="R1301" s="977"/>
      <c r="S1301" s="977"/>
      <c r="T1301" s="977"/>
      <c r="U1301" s="977"/>
      <c r="V1301" s="977"/>
      <c r="W1301" s="977"/>
      <c r="X1301" s="977"/>
      <c r="Y1301" s="977"/>
    </row>
    <row r="1302" spans="1:25" x14ac:dyDescent="0.2">
      <c r="A1302" s="976"/>
      <c r="B1302" s="976"/>
      <c r="C1302" s="976"/>
      <c r="D1302" s="976"/>
      <c r="E1302" s="976"/>
      <c r="R1302" s="977"/>
      <c r="S1302" s="977"/>
      <c r="T1302" s="977"/>
      <c r="U1302" s="977"/>
      <c r="V1302" s="977"/>
      <c r="W1302" s="977"/>
      <c r="X1302" s="977"/>
      <c r="Y1302" s="977"/>
    </row>
    <row r="1303" spans="1:25" x14ac:dyDescent="0.2">
      <c r="A1303" s="976"/>
      <c r="B1303" s="976"/>
      <c r="C1303" s="976"/>
      <c r="D1303" s="976"/>
      <c r="E1303" s="976"/>
      <c r="R1303" s="977"/>
      <c r="S1303" s="977"/>
      <c r="T1303" s="977"/>
      <c r="U1303" s="977"/>
      <c r="V1303" s="977"/>
      <c r="W1303" s="977"/>
      <c r="X1303" s="977"/>
      <c r="Y1303" s="977"/>
    </row>
    <row r="1304" spans="1:25" x14ac:dyDescent="0.2">
      <c r="A1304" s="976"/>
      <c r="B1304" s="976"/>
      <c r="C1304" s="976"/>
      <c r="D1304" s="976"/>
      <c r="E1304" s="976"/>
      <c r="R1304" s="977"/>
      <c r="S1304" s="977"/>
      <c r="T1304" s="977"/>
      <c r="U1304" s="977"/>
      <c r="V1304" s="977"/>
      <c r="W1304" s="977"/>
      <c r="X1304" s="977"/>
      <c r="Y1304" s="977"/>
    </row>
    <row r="1305" spans="1:25" x14ac:dyDescent="0.2">
      <c r="A1305" s="976"/>
      <c r="B1305" s="976"/>
      <c r="C1305" s="976"/>
      <c r="D1305" s="976"/>
      <c r="E1305" s="976"/>
      <c r="R1305" s="977"/>
      <c r="S1305" s="977"/>
      <c r="T1305" s="977"/>
      <c r="U1305" s="977"/>
      <c r="V1305" s="977"/>
      <c r="W1305" s="977"/>
      <c r="X1305" s="977"/>
      <c r="Y1305" s="977"/>
    </row>
    <row r="1306" spans="1:25" x14ac:dyDescent="0.2">
      <c r="A1306" s="976"/>
      <c r="B1306" s="976"/>
      <c r="C1306" s="976"/>
      <c r="D1306" s="976"/>
      <c r="E1306" s="976"/>
      <c r="R1306" s="977"/>
      <c r="S1306" s="977"/>
      <c r="T1306" s="977"/>
      <c r="U1306" s="977"/>
      <c r="V1306" s="977"/>
      <c r="W1306" s="977"/>
      <c r="X1306" s="977"/>
      <c r="Y1306" s="977"/>
    </row>
    <row r="1307" spans="1:25" x14ac:dyDescent="0.2">
      <c r="A1307" s="976"/>
      <c r="B1307" s="976"/>
      <c r="C1307" s="976"/>
      <c r="D1307" s="976"/>
      <c r="E1307" s="976"/>
      <c r="R1307" s="977"/>
      <c r="S1307" s="977"/>
      <c r="T1307" s="977"/>
      <c r="U1307" s="977"/>
      <c r="V1307" s="977"/>
      <c r="W1307" s="977"/>
      <c r="X1307" s="977"/>
      <c r="Y1307" s="977"/>
    </row>
    <row r="1308" spans="1:25" x14ac:dyDescent="0.2">
      <c r="A1308" s="976"/>
      <c r="B1308" s="976"/>
      <c r="C1308" s="976"/>
      <c r="D1308" s="976"/>
      <c r="E1308" s="976"/>
      <c r="R1308" s="977"/>
      <c r="S1308" s="977"/>
      <c r="T1308" s="977"/>
      <c r="U1308" s="977"/>
      <c r="V1308" s="977"/>
      <c r="W1308" s="977"/>
      <c r="X1308" s="977"/>
      <c r="Y1308" s="977"/>
    </row>
    <row r="1309" spans="1:25" x14ac:dyDescent="0.2">
      <c r="A1309" s="976"/>
      <c r="B1309" s="976"/>
      <c r="C1309" s="976"/>
      <c r="D1309" s="976"/>
      <c r="E1309" s="976"/>
      <c r="R1309" s="977"/>
      <c r="S1309" s="977"/>
      <c r="T1309" s="977"/>
      <c r="U1309" s="977"/>
      <c r="V1309" s="977"/>
      <c r="W1309" s="977"/>
      <c r="X1309" s="977"/>
      <c r="Y1309" s="977"/>
    </row>
    <row r="1310" spans="1:25" x14ac:dyDescent="0.2">
      <c r="A1310" s="976"/>
      <c r="B1310" s="976"/>
      <c r="C1310" s="976"/>
      <c r="D1310" s="976"/>
      <c r="E1310" s="976"/>
      <c r="R1310" s="977"/>
      <c r="S1310" s="977"/>
      <c r="T1310" s="977"/>
      <c r="U1310" s="977"/>
      <c r="V1310" s="977"/>
      <c r="W1310" s="977"/>
      <c r="X1310" s="977"/>
      <c r="Y1310" s="977"/>
    </row>
    <row r="1311" spans="1:25" x14ac:dyDescent="0.2">
      <c r="A1311" s="976"/>
      <c r="B1311" s="976"/>
      <c r="C1311" s="976"/>
      <c r="D1311" s="976"/>
      <c r="E1311" s="976"/>
      <c r="R1311" s="977"/>
      <c r="S1311" s="977"/>
      <c r="T1311" s="977"/>
      <c r="U1311" s="977"/>
      <c r="V1311" s="977"/>
      <c r="W1311" s="977"/>
      <c r="X1311" s="977"/>
      <c r="Y1311" s="977"/>
    </row>
    <row r="1312" spans="1:25" x14ac:dyDescent="0.2">
      <c r="A1312" s="976"/>
      <c r="B1312" s="976"/>
      <c r="C1312" s="976"/>
      <c r="D1312" s="976"/>
      <c r="E1312" s="976"/>
      <c r="R1312" s="977"/>
      <c r="S1312" s="977"/>
      <c r="T1312" s="977"/>
      <c r="U1312" s="977"/>
      <c r="V1312" s="977"/>
      <c r="W1312" s="977"/>
      <c r="X1312" s="977"/>
      <c r="Y1312" s="977"/>
    </row>
    <row r="1313" spans="1:25" x14ac:dyDescent="0.2">
      <c r="A1313" s="976"/>
      <c r="B1313" s="976"/>
      <c r="C1313" s="976"/>
      <c r="D1313" s="976"/>
      <c r="E1313" s="976"/>
      <c r="R1313" s="977"/>
      <c r="S1313" s="977"/>
      <c r="T1313" s="977"/>
      <c r="U1313" s="977"/>
      <c r="V1313" s="977"/>
      <c r="W1313" s="977"/>
      <c r="X1313" s="977"/>
      <c r="Y1313" s="977"/>
    </row>
    <row r="1314" spans="1:25" x14ac:dyDescent="0.2">
      <c r="A1314" s="976"/>
      <c r="B1314" s="976"/>
      <c r="C1314" s="976"/>
      <c r="D1314" s="976"/>
      <c r="E1314" s="976"/>
      <c r="R1314" s="977"/>
      <c r="S1314" s="977"/>
      <c r="T1314" s="977"/>
      <c r="U1314" s="977"/>
      <c r="V1314" s="977"/>
      <c r="W1314" s="977"/>
      <c r="X1314" s="977"/>
      <c r="Y1314" s="977"/>
    </row>
    <row r="1315" spans="1:25" x14ac:dyDescent="0.2">
      <c r="A1315" s="976"/>
      <c r="B1315" s="976"/>
      <c r="C1315" s="976"/>
      <c r="D1315" s="976"/>
      <c r="E1315" s="976"/>
      <c r="R1315" s="977"/>
      <c r="S1315" s="977"/>
      <c r="T1315" s="977"/>
      <c r="U1315" s="977"/>
      <c r="V1315" s="977"/>
      <c r="W1315" s="977"/>
      <c r="X1315" s="977"/>
      <c r="Y1315" s="977"/>
    </row>
    <row r="1316" spans="1:25" x14ac:dyDescent="0.2">
      <c r="A1316" s="976"/>
      <c r="B1316" s="976"/>
      <c r="C1316" s="976"/>
      <c r="D1316" s="976"/>
      <c r="E1316" s="976"/>
      <c r="R1316" s="977"/>
      <c r="S1316" s="977"/>
      <c r="T1316" s="977"/>
      <c r="U1316" s="977"/>
      <c r="V1316" s="977"/>
      <c r="W1316" s="977"/>
      <c r="X1316" s="977"/>
      <c r="Y1316" s="977"/>
    </row>
    <row r="1317" spans="1:25" x14ac:dyDescent="0.2">
      <c r="A1317" s="976"/>
      <c r="B1317" s="976"/>
      <c r="C1317" s="976"/>
      <c r="D1317" s="976"/>
      <c r="E1317" s="976"/>
      <c r="R1317" s="977"/>
      <c r="S1317" s="977"/>
      <c r="T1317" s="977"/>
      <c r="U1317" s="977"/>
      <c r="V1317" s="977"/>
      <c r="W1317" s="977"/>
      <c r="X1317" s="977"/>
      <c r="Y1317" s="977"/>
    </row>
    <row r="1318" spans="1:25" x14ac:dyDescent="0.2">
      <c r="A1318" s="976"/>
      <c r="B1318" s="976"/>
      <c r="C1318" s="976"/>
      <c r="D1318" s="976"/>
      <c r="E1318" s="976"/>
      <c r="R1318" s="977"/>
      <c r="S1318" s="977"/>
      <c r="T1318" s="977"/>
      <c r="U1318" s="977"/>
      <c r="V1318" s="977"/>
      <c r="W1318" s="977"/>
      <c r="X1318" s="977"/>
      <c r="Y1318" s="977"/>
    </row>
    <row r="1319" spans="1:25" x14ac:dyDescent="0.2">
      <c r="A1319" s="976"/>
      <c r="B1319" s="976"/>
      <c r="C1319" s="976"/>
      <c r="D1319" s="976"/>
      <c r="E1319" s="976"/>
      <c r="R1319" s="977"/>
      <c r="S1319" s="977"/>
      <c r="T1319" s="977"/>
      <c r="U1319" s="977"/>
      <c r="V1319" s="977"/>
      <c r="W1319" s="977"/>
      <c r="X1319" s="977"/>
      <c r="Y1319" s="977"/>
    </row>
    <row r="1320" spans="1:25" x14ac:dyDescent="0.2">
      <c r="A1320" s="976"/>
      <c r="B1320" s="976"/>
      <c r="C1320" s="976"/>
      <c r="D1320" s="976"/>
      <c r="E1320" s="976"/>
      <c r="R1320" s="977"/>
      <c r="S1320" s="977"/>
      <c r="T1320" s="977"/>
      <c r="U1320" s="977"/>
      <c r="V1320" s="977"/>
      <c r="W1320" s="977"/>
      <c r="X1320" s="977"/>
      <c r="Y1320" s="977"/>
    </row>
    <row r="1321" spans="1:25" x14ac:dyDescent="0.2">
      <c r="A1321" s="976"/>
      <c r="B1321" s="976"/>
      <c r="C1321" s="976"/>
      <c r="D1321" s="976"/>
      <c r="E1321" s="976"/>
      <c r="R1321" s="977"/>
      <c r="S1321" s="977"/>
      <c r="T1321" s="977"/>
      <c r="U1321" s="977"/>
      <c r="V1321" s="977"/>
      <c r="W1321" s="977"/>
      <c r="X1321" s="977"/>
      <c r="Y1321" s="977"/>
    </row>
    <row r="1322" spans="1:25" x14ac:dyDescent="0.2">
      <c r="A1322" s="976"/>
      <c r="B1322" s="976"/>
      <c r="C1322" s="976"/>
      <c r="D1322" s="976"/>
      <c r="E1322" s="976"/>
      <c r="R1322" s="977"/>
      <c r="S1322" s="977"/>
      <c r="T1322" s="977"/>
      <c r="U1322" s="977"/>
      <c r="V1322" s="977"/>
      <c r="W1322" s="977"/>
      <c r="X1322" s="977"/>
      <c r="Y1322" s="977"/>
    </row>
    <row r="1323" spans="1:25" x14ac:dyDescent="0.2">
      <c r="A1323" s="976"/>
      <c r="B1323" s="976"/>
      <c r="C1323" s="976"/>
      <c r="D1323" s="976"/>
      <c r="E1323" s="976"/>
      <c r="R1323" s="977"/>
      <c r="S1323" s="977"/>
      <c r="T1323" s="977"/>
      <c r="U1323" s="977"/>
      <c r="V1323" s="977"/>
      <c r="W1323" s="977"/>
      <c r="X1323" s="977"/>
      <c r="Y1323" s="977"/>
    </row>
    <row r="1324" spans="1:25" x14ac:dyDescent="0.2">
      <c r="A1324" s="976"/>
      <c r="B1324" s="976"/>
      <c r="C1324" s="976"/>
      <c r="D1324" s="976"/>
      <c r="E1324" s="976"/>
      <c r="R1324" s="977"/>
      <c r="S1324" s="977"/>
      <c r="T1324" s="977"/>
      <c r="U1324" s="977"/>
      <c r="V1324" s="977"/>
      <c r="W1324" s="977"/>
      <c r="X1324" s="977"/>
      <c r="Y1324" s="977"/>
    </row>
    <row r="1325" spans="1:25" x14ac:dyDescent="0.2">
      <c r="A1325" s="976"/>
      <c r="B1325" s="976"/>
      <c r="C1325" s="976"/>
      <c r="D1325" s="976"/>
      <c r="E1325" s="976"/>
      <c r="R1325" s="977"/>
      <c r="S1325" s="977"/>
      <c r="T1325" s="977"/>
      <c r="U1325" s="977"/>
      <c r="V1325" s="977"/>
      <c r="W1325" s="977"/>
      <c r="X1325" s="977"/>
      <c r="Y1325" s="977"/>
    </row>
    <row r="1326" spans="1:25" x14ac:dyDescent="0.2">
      <c r="A1326" s="976"/>
      <c r="B1326" s="976"/>
      <c r="C1326" s="976"/>
      <c r="D1326" s="976"/>
      <c r="E1326" s="976"/>
      <c r="R1326" s="977"/>
      <c r="S1326" s="977"/>
      <c r="T1326" s="977"/>
      <c r="U1326" s="977"/>
      <c r="V1326" s="977"/>
      <c r="W1326" s="977"/>
      <c r="X1326" s="977"/>
      <c r="Y1326" s="977"/>
    </row>
    <row r="1327" spans="1:25" x14ac:dyDescent="0.2">
      <c r="A1327" s="976"/>
      <c r="B1327" s="976"/>
      <c r="C1327" s="976"/>
      <c r="D1327" s="976"/>
      <c r="E1327" s="976"/>
      <c r="R1327" s="977"/>
      <c r="S1327" s="977"/>
      <c r="T1327" s="977"/>
      <c r="U1327" s="977"/>
      <c r="V1327" s="977"/>
      <c r="W1327" s="977"/>
      <c r="X1327" s="977"/>
      <c r="Y1327" s="977"/>
    </row>
    <row r="1328" spans="1:25" x14ac:dyDescent="0.2">
      <c r="A1328" s="976"/>
      <c r="B1328" s="976"/>
      <c r="C1328" s="976"/>
      <c r="D1328" s="976"/>
      <c r="E1328" s="976"/>
      <c r="R1328" s="977"/>
      <c r="S1328" s="977"/>
      <c r="T1328" s="977"/>
      <c r="U1328" s="977"/>
      <c r="V1328" s="977"/>
      <c r="W1328" s="977"/>
      <c r="X1328" s="977"/>
      <c r="Y1328" s="977"/>
    </row>
    <row r="1329" spans="1:25" x14ac:dyDescent="0.2">
      <c r="A1329" s="976"/>
      <c r="B1329" s="976"/>
      <c r="C1329" s="976"/>
      <c r="D1329" s="976"/>
      <c r="E1329" s="976"/>
      <c r="R1329" s="977"/>
      <c r="S1329" s="977"/>
      <c r="T1329" s="977"/>
      <c r="U1329" s="977"/>
      <c r="V1329" s="977"/>
      <c r="W1329" s="977"/>
      <c r="X1329" s="977"/>
      <c r="Y1329" s="977"/>
    </row>
    <row r="1330" spans="1:25" x14ac:dyDescent="0.2">
      <c r="A1330" s="976"/>
      <c r="B1330" s="976"/>
      <c r="C1330" s="976"/>
      <c r="D1330" s="976"/>
      <c r="E1330" s="976"/>
      <c r="R1330" s="977"/>
      <c r="S1330" s="977"/>
      <c r="T1330" s="977"/>
      <c r="U1330" s="977"/>
      <c r="V1330" s="977"/>
      <c r="W1330" s="977"/>
      <c r="X1330" s="977"/>
      <c r="Y1330" s="977"/>
    </row>
    <row r="1331" spans="1:25" x14ac:dyDescent="0.2">
      <c r="A1331" s="976"/>
      <c r="B1331" s="976"/>
      <c r="C1331" s="976"/>
      <c r="D1331" s="976"/>
      <c r="E1331" s="976"/>
      <c r="R1331" s="977"/>
      <c r="S1331" s="977"/>
      <c r="T1331" s="977"/>
      <c r="U1331" s="977"/>
      <c r="V1331" s="977"/>
      <c r="W1331" s="977"/>
      <c r="X1331" s="977"/>
      <c r="Y1331" s="977"/>
    </row>
    <row r="1332" spans="1:25" x14ac:dyDescent="0.2">
      <c r="A1332" s="976"/>
      <c r="B1332" s="976"/>
      <c r="C1332" s="976"/>
      <c r="D1332" s="976"/>
      <c r="E1332" s="976"/>
      <c r="R1332" s="977"/>
      <c r="S1332" s="977"/>
      <c r="T1332" s="977"/>
      <c r="U1332" s="977"/>
      <c r="V1332" s="977"/>
      <c r="W1332" s="977"/>
      <c r="X1332" s="977"/>
      <c r="Y1332" s="977"/>
    </row>
    <row r="1333" spans="1:25" x14ac:dyDescent="0.2">
      <c r="A1333" s="976"/>
      <c r="B1333" s="976"/>
      <c r="C1333" s="976"/>
      <c r="D1333" s="976"/>
      <c r="E1333" s="976"/>
      <c r="R1333" s="977"/>
      <c r="S1333" s="977"/>
      <c r="T1333" s="977"/>
      <c r="U1333" s="977"/>
      <c r="V1333" s="977"/>
      <c r="W1333" s="977"/>
      <c r="X1333" s="977"/>
      <c r="Y1333" s="977"/>
    </row>
    <row r="1334" spans="1:25" x14ac:dyDescent="0.2">
      <c r="A1334" s="976"/>
      <c r="B1334" s="976"/>
      <c r="C1334" s="976"/>
      <c r="D1334" s="976"/>
      <c r="E1334" s="976"/>
      <c r="R1334" s="977"/>
      <c r="S1334" s="977"/>
      <c r="T1334" s="977"/>
      <c r="U1334" s="977"/>
      <c r="V1334" s="977"/>
      <c r="W1334" s="977"/>
      <c r="X1334" s="977"/>
      <c r="Y1334" s="977"/>
    </row>
    <row r="1335" spans="1:25" x14ac:dyDescent="0.2">
      <c r="A1335" s="976"/>
      <c r="B1335" s="976"/>
      <c r="C1335" s="976"/>
      <c r="D1335" s="976"/>
      <c r="E1335" s="976"/>
      <c r="R1335" s="977"/>
      <c r="S1335" s="977"/>
      <c r="T1335" s="977"/>
      <c r="U1335" s="977"/>
      <c r="V1335" s="977"/>
      <c r="W1335" s="977"/>
      <c r="X1335" s="977"/>
      <c r="Y1335" s="977"/>
    </row>
    <row r="1336" spans="1:25" x14ac:dyDescent="0.2">
      <c r="A1336" s="976"/>
      <c r="B1336" s="976"/>
      <c r="C1336" s="976"/>
      <c r="D1336" s="976"/>
      <c r="E1336" s="976"/>
      <c r="R1336" s="977"/>
      <c r="S1336" s="977"/>
      <c r="T1336" s="977"/>
      <c r="U1336" s="977"/>
      <c r="V1336" s="977"/>
      <c r="W1336" s="977"/>
      <c r="X1336" s="977"/>
      <c r="Y1336" s="977"/>
    </row>
    <row r="1337" spans="1:25" x14ac:dyDescent="0.2">
      <c r="A1337" s="976"/>
      <c r="B1337" s="976"/>
      <c r="C1337" s="976"/>
      <c r="D1337" s="976"/>
      <c r="E1337" s="976"/>
      <c r="R1337" s="977"/>
      <c r="S1337" s="977"/>
      <c r="T1337" s="977"/>
      <c r="U1337" s="977"/>
      <c r="V1337" s="977"/>
      <c r="W1337" s="977"/>
      <c r="X1337" s="977"/>
      <c r="Y1337" s="977"/>
    </row>
    <row r="1338" spans="1:25" x14ac:dyDescent="0.2">
      <c r="A1338" s="976"/>
      <c r="B1338" s="976"/>
      <c r="C1338" s="976"/>
      <c r="D1338" s="976"/>
      <c r="E1338" s="976"/>
      <c r="R1338" s="977"/>
      <c r="S1338" s="977"/>
      <c r="T1338" s="977"/>
      <c r="U1338" s="977"/>
      <c r="V1338" s="977"/>
      <c r="W1338" s="977"/>
      <c r="X1338" s="977"/>
      <c r="Y1338" s="977"/>
    </row>
    <row r="1339" spans="1:25" x14ac:dyDescent="0.2">
      <c r="A1339" s="976"/>
      <c r="B1339" s="976"/>
      <c r="C1339" s="976"/>
      <c r="D1339" s="976"/>
      <c r="E1339" s="976"/>
      <c r="R1339" s="977"/>
      <c r="S1339" s="977"/>
      <c r="T1339" s="977"/>
      <c r="U1339" s="977"/>
      <c r="V1339" s="977"/>
      <c r="W1339" s="977"/>
      <c r="X1339" s="977"/>
      <c r="Y1339" s="977"/>
    </row>
    <row r="1340" spans="1:25" x14ac:dyDescent="0.2">
      <c r="A1340" s="976"/>
      <c r="B1340" s="976"/>
      <c r="C1340" s="976"/>
      <c r="D1340" s="976"/>
      <c r="E1340" s="976"/>
      <c r="R1340" s="977"/>
      <c r="S1340" s="977"/>
      <c r="T1340" s="977"/>
      <c r="U1340" s="977"/>
      <c r="V1340" s="977"/>
      <c r="W1340" s="977"/>
      <c r="X1340" s="977"/>
      <c r="Y1340" s="977"/>
    </row>
    <row r="1341" spans="1:25" x14ac:dyDescent="0.2">
      <c r="A1341" s="976"/>
      <c r="B1341" s="976"/>
      <c r="C1341" s="976"/>
      <c r="D1341" s="976"/>
      <c r="E1341" s="976"/>
      <c r="R1341" s="977"/>
      <c r="S1341" s="977"/>
      <c r="T1341" s="977"/>
      <c r="U1341" s="977"/>
      <c r="V1341" s="977"/>
      <c r="W1341" s="977"/>
      <c r="X1341" s="977"/>
      <c r="Y1341" s="977"/>
    </row>
    <row r="1342" spans="1:25" x14ac:dyDescent="0.2">
      <c r="A1342" s="976"/>
      <c r="B1342" s="976"/>
      <c r="C1342" s="976"/>
      <c r="D1342" s="976"/>
      <c r="E1342" s="976"/>
      <c r="R1342" s="977"/>
      <c r="S1342" s="977"/>
      <c r="T1342" s="977"/>
      <c r="U1342" s="977"/>
      <c r="V1342" s="977"/>
      <c r="W1342" s="977"/>
      <c r="X1342" s="977"/>
      <c r="Y1342" s="977"/>
    </row>
    <row r="1343" spans="1:25" x14ac:dyDescent="0.2">
      <c r="A1343" s="976"/>
      <c r="B1343" s="976"/>
      <c r="C1343" s="976"/>
      <c r="D1343" s="976"/>
      <c r="E1343" s="976"/>
      <c r="R1343" s="977"/>
      <c r="S1343" s="977"/>
      <c r="T1343" s="977"/>
      <c r="U1343" s="977"/>
      <c r="V1343" s="977"/>
      <c r="W1343" s="977"/>
      <c r="X1343" s="977"/>
      <c r="Y1343" s="977"/>
    </row>
    <row r="1344" spans="1:25" x14ac:dyDescent="0.2">
      <c r="A1344" s="976"/>
      <c r="B1344" s="976"/>
      <c r="C1344" s="976"/>
      <c r="D1344" s="976"/>
      <c r="E1344" s="976"/>
      <c r="R1344" s="977"/>
      <c r="S1344" s="977"/>
      <c r="T1344" s="977"/>
      <c r="U1344" s="977"/>
      <c r="V1344" s="977"/>
      <c r="W1344" s="977"/>
      <c r="X1344" s="977"/>
      <c r="Y1344" s="977"/>
    </row>
    <row r="1345" spans="1:25" x14ac:dyDescent="0.2">
      <c r="A1345" s="976"/>
      <c r="B1345" s="976"/>
      <c r="C1345" s="976"/>
      <c r="D1345" s="976"/>
      <c r="E1345" s="976"/>
      <c r="R1345" s="977"/>
      <c r="S1345" s="977"/>
      <c r="T1345" s="977"/>
      <c r="U1345" s="977"/>
      <c r="V1345" s="977"/>
      <c r="W1345" s="977"/>
      <c r="X1345" s="977"/>
      <c r="Y1345" s="977"/>
    </row>
    <row r="1346" spans="1:25" x14ac:dyDescent="0.2">
      <c r="A1346" s="976"/>
      <c r="B1346" s="976"/>
      <c r="C1346" s="976"/>
      <c r="D1346" s="976"/>
      <c r="E1346" s="976"/>
      <c r="R1346" s="977"/>
      <c r="S1346" s="977"/>
      <c r="T1346" s="977"/>
      <c r="U1346" s="977"/>
      <c r="V1346" s="977"/>
      <c r="W1346" s="977"/>
      <c r="X1346" s="977"/>
      <c r="Y1346" s="977"/>
    </row>
    <row r="1347" spans="1:25" x14ac:dyDescent="0.2">
      <c r="A1347" s="976"/>
      <c r="B1347" s="976"/>
      <c r="C1347" s="976"/>
      <c r="D1347" s="976"/>
      <c r="E1347" s="976"/>
      <c r="R1347" s="977"/>
      <c r="S1347" s="977"/>
      <c r="T1347" s="977"/>
      <c r="U1347" s="977"/>
      <c r="V1347" s="977"/>
      <c r="W1347" s="977"/>
      <c r="X1347" s="977"/>
      <c r="Y1347" s="977"/>
    </row>
    <row r="1348" spans="1:25" x14ac:dyDescent="0.2">
      <c r="A1348" s="976"/>
      <c r="B1348" s="976"/>
      <c r="C1348" s="976"/>
      <c r="D1348" s="976"/>
      <c r="E1348" s="976"/>
      <c r="R1348" s="977"/>
      <c r="S1348" s="977"/>
      <c r="T1348" s="977"/>
      <c r="U1348" s="977"/>
      <c r="V1348" s="977"/>
      <c r="W1348" s="977"/>
      <c r="X1348" s="977"/>
      <c r="Y1348" s="977"/>
    </row>
    <row r="1349" spans="1:25" x14ac:dyDescent="0.2">
      <c r="A1349" s="976"/>
      <c r="B1349" s="976"/>
      <c r="C1349" s="976"/>
      <c r="D1349" s="976"/>
      <c r="E1349" s="976"/>
      <c r="R1349" s="977"/>
      <c r="S1349" s="977"/>
      <c r="T1349" s="977"/>
      <c r="U1349" s="977"/>
      <c r="V1349" s="977"/>
      <c r="W1349" s="977"/>
      <c r="X1349" s="977"/>
      <c r="Y1349" s="977"/>
    </row>
    <row r="1350" spans="1:25" x14ac:dyDescent="0.2">
      <c r="A1350" s="976"/>
      <c r="B1350" s="976"/>
      <c r="C1350" s="976"/>
      <c r="D1350" s="976"/>
      <c r="E1350" s="976"/>
      <c r="R1350" s="977"/>
      <c r="S1350" s="977"/>
      <c r="T1350" s="977"/>
      <c r="U1350" s="977"/>
      <c r="V1350" s="977"/>
      <c r="W1350" s="977"/>
      <c r="X1350" s="977"/>
      <c r="Y1350" s="977"/>
    </row>
    <row r="1351" spans="1:25" x14ac:dyDescent="0.2">
      <c r="A1351" s="976"/>
      <c r="B1351" s="976"/>
      <c r="C1351" s="976"/>
      <c r="D1351" s="976"/>
      <c r="E1351" s="976"/>
      <c r="R1351" s="977"/>
      <c r="S1351" s="977"/>
      <c r="T1351" s="977"/>
      <c r="U1351" s="977"/>
      <c r="V1351" s="977"/>
      <c r="W1351" s="977"/>
      <c r="X1351" s="977"/>
      <c r="Y1351" s="977"/>
    </row>
    <row r="1352" spans="1:25" x14ac:dyDescent="0.2">
      <c r="A1352" s="976"/>
      <c r="B1352" s="976"/>
      <c r="C1352" s="976"/>
      <c r="D1352" s="976"/>
      <c r="E1352" s="976"/>
      <c r="R1352" s="977"/>
      <c r="S1352" s="977"/>
      <c r="T1352" s="977"/>
      <c r="U1352" s="977"/>
      <c r="V1352" s="977"/>
      <c r="W1352" s="977"/>
      <c r="X1352" s="977"/>
      <c r="Y1352" s="977"/>
    </row>
    <row r="1353" spans="1:25" x14ac:dyDescent="0.2">
      <c r="A1353" s="976"/>
      <c r="B1353" s="976"/>
      <c r="C1353" s="976"/>
      <c r="D1353" s="976"/>
      <c r="E1353" s="976"/>
      <c r="R1353" s="977"/>
      <c r="S1353" s="977"/>
      <c r="T1353" s="977"/>
      <c r="U1353" s="977"/>
      <c r="V1353" s="977"/>
      <c r="W1353" s="977"/>
      <c r="X1353" s="977"/>
      <c r="Y1353" s="977"/>
    </row>
    <row r="1354" spans="1:25" x14ac:dyDescent="0.2">
      <c r="A1354" s="976"/>
      <c r="B1354" s="976"/>
      <c r="C1354" s="976"/>
      <c r="D1354" s="976"/>
      <c r="E1354" s="976"/>
      <c r="R1354" s="977"/>
      <c r="S1354" s="977"/>
      <c r="T1354" s="977"/>
      <c r="U1354" s="977"/>
      <c r="V1354" s="977"/>
      <c r="W1354" s="977"/>
      <c r="X1354" s="977"/>
      <c r="Y1354" s="977"/>
    </row>
    <row r="1355" spans="1:25" x14ac:dyDescent="0.2">
      <c r="A1355" s="976"/>
      <c r="B1355" s="976"/>
      <c r="C1355" s="976"/>
      <c r="D1355" s="976"/>
      <c r="E1355" s="976"/>
      <c r="R1355" s="977"/>
      <c r="S1355" s="977"/>
      <c r="T1355" s="977"/>
      <c r="U1355" s="977"/>
      <c r="V1355" s="977"/>
      <c r="W1355" s="977"/>
      <c r="X1355" s="977"/>
      <c r="Y1355" s="977"/>
    </row>
    <row r="1356" spans="1:25" x14ac:dyDescent="0.2">
      <c r="A1356" s="976"/>
      <c r="B1356" s="976"/>
      <c r="C1356" s="976"/>
      <c r="D1356" s="976"/>
      <c r="E1356" s="976"/>
      <c r="R1356" s="977"/>
      <c r="S1356" s="977"/>
      <c r="T1356" s="977"/>
      <c r="U1356" s="977"/>
      <c r="V1356" s="977"/>
      <c r="W1356" s="977"/>
      <c r="X1356" s="977"/>
      <c r="Y1356" s="977"/>
    </row>
    <row r="1357" spans="1:25" x14ac:dyDescent="0.2">
      <c r="A1357" s="976"/>
      <c r="B1357" s="976"/>
      <c r="C1357" s="976"/>
      <c r="D1357" s="976"/>
      <c r="E1357" s="976"/>
      <c r="R1357" s="977"/>
      <c r="S1357" s="977"/>
      <c r="T1357" s="977"/>
      <c r="U1357" s="977"/>
      <c r="V1357" s="977"/>
      <c r="W1357" s="977"/>
      <c r="X1357" s="977"/>
      <c r="Y1357" s="977"/>
    </row>
    <row r="1358" spans="1:25" x14ac:dyDescent="0.2">
      <c r="A1358" s="976"/>
      <c r="B1358" s="976"/>
      <c r="C1358" s="976"/>
      <c r="D1358" s="976"/>
      <c r="E1358" s="976"/>
      <c r="R1358" s="977"/>
      <c r="S1358" s="977"/>
      <c r="T1358" s="977"/>
      <c r="U1358" s="977"/>
      <c r="V1358" s="977"/>
      <c r="W1358" s="977"/>
      <c r="X1358" s="977"/>
      <c r="Y1358" s="977"/>
    </row>
    <row r="1359" spans="1:25" x14ac:dyDescent="0.2">
      <c r="A1359" s="976"/>
      <c r="B1359" s="976"/>
      <c r="C1359" s="976"/>
      <c r="D1359" s="976"/>
      <c r="E1359" s="976"/>
      <c r="R1359" s="977"/>
      <c r="S1359" s="977"/>
      <c r="T1359" s="977"/>
      <c r="U1359" s="977"/>
      <c r="V1359" s="977"/>
      <c r="W1359" s="977"/>
      <c r="X1359" s="977"/>
      <c r="Y1359" s="977"/>
    </row>
    <row r="1360" spans="1:25" x14ac:dyDescent="0.2">
      <c r="A1360" s="976"/>
      <c r="B1360" s="976"/>
      <c r="C1360" s="976"/>
      <c r="D1360" s="976"/>
      <c r="E1360" s="976"/>
      <c r="R1360" s="977"/>
      <c r="S1360" s="977"/>
      <c r="T1360" s="977"/>
      <c r="U1360" s="977"/>
      <c r="V1360" s="977"/>
      <c r="W1360" s="977"/>
      <c r="X1360" s="977"/>
      <c r="Y1360" s="977"/>
    </row>
    <row r="1361" spans="1:25" x14ac:dyDescent="0.2">
      <c r="A1361" s="976"/>
      <c r="B1361" s="976"/>
      <c r="C1361" s="976"/>
      <c r="D1361" s="976"/>
      <c r="E1361" s="976"/>
      <c r="R1361" s="977"/>
      <c r="S1361" s="977"/>
      <c r="T1361" s="977"/>
      <c r="U1361" s="977"/>
      <c r="V1361" s="977"/>
      <c r="W1361" s="977"/>
      <c r="X1361" s="977"/>
      <c r="Y1361" s="977"/>
    </row>
    <row r="1362" spans="1:25" x14ac:dyDescent="0.2">
      <c r="A1362" s="976"/>
      <c r="B1362" s="976"/>
      <c r="C1362" s="976"/>
      <c r="D1362" s="976"/>
      <c r="E1362" s="976"/>
      <c r="R1362" s="977"/>
      <c r="S1362" s="977"/>
      <c r="T1362" s="977"/>
      <c r="U1362" s="977"/>
      <c r="V1362" s="977"/>
      <c r="W1362" s="977"/>
      <c r="X1362" s="977"/>
      <c r="Y1362" s="977"/>
    </row>
    <row r="1363" spans="1:25" x14ac:dyDescent="0.2">
      <c r="A1363" s="976"/>
      <c r="B1363" s="976"/>
      <c r="C1363" s="976"/>
      <c r="D1363" s="976"/>
      <c r="E1363" s="976"/>
      <c r="R1363" s="977"/>
      <c r="S1363" s="977"/>
      <c r="T1363" s="977"/>
      <c r="U1363" s="977"/>
      <c r="V1363" s="977"/>
      <c r="W1363" s="977"/>
      <c r="X1363" s="977"/>
      <c r="Y1363" s="977"/>
    </row>
    <row r="1364" spans="1:25" x14ac:dyDescent="0.2">
      <c r="A1364" s="976"/>
      <c r="B1364" s="976"/>
      <c r="C1364" s="976"/>
      <c r="D1364" s="976"/>
      <c r="E1364" s="976"/>
      <c r="R1364" s="977"/>
      <c r="S1364" s="977"/>
      <c r="T1364" s="977"/>
      <c r="U1364" s="977"/>
      <c r="V1364" s="977"/>
      <c r="W1364" s="977"/>
      <c r="X1364" s="977"/>
      <c r="Y1364" s="977"/>
    </row>
    <row r="1365" spans="1:25" x14ac:dyDescent="0.2">
      <c r="A1365" s="976"/>
      <c r="B1365" s="976"/>
      <c r="C1365" s="976"/>
      <c r="D1365" s="976"/>
      <c r="E1365" s="976"/>
      <c r="R1365" s="977"/>
      <c r="S1365" s="977"/>
      <c r="T1365" s="977"/>
      <c r="U1365" s="977"/>
      <c r="V1365" s="977"/>
      <c r="W1365" s="977"/>
      <c r="X1365" s="977"/>
      <c r="Y1365" s="977"/>
    </row>
    <row r="1366" spans="1:25" x14ac:dyDescent="0.2">
      <c r="A1366" s="976"/>
      <c r="B1366" s="976"/>
      <c r="C1366" s="976"/>
      <c r="D1366" s="976"/>
      <c r="E1366" s="976"/>
      <c r="R1366" s="977"/>
      <c r="S1366" s="977"/>
      <c r="T1366" s="977"/>
      <c r="U1366" s="977"/>
      <c r="V1366" s="977"/>
      <c r="W1366" s="977"/>
      <c r="X1366" s="977"/>
      <c r="Y1366" s="977"/>
    </row>
    <row r="1367" spans="1:25" x14ac:dyDescent="0.2">
      <c r="A1367" s="976"/>
      <c r="B1367" s="976"/>
      <c r="C1367" s="976"/>
      <c r="D1367" s="976"/>
      <c r="E1367" s="976"/>
      <c r="R1367" s="977"/>
      <c r="S1367" s="977"/>
      <c r="T1367" s="977"/>
      <c r="U1367" s="977"/>
      <c r="V1367" s="977"/>
      <c r="W1367" s="977"/>
      <c r="X1367" s="977"/>
      <c r="Y1367" s="977"/>
    </row>
    <row r="1368" spans="1:25" x14ac:dyDescent="0.2">
      <c r="A1368" s="976"/>
      <c r="B1368" s="976"/>
      <c r="C1368" s="976"/>
      <c r="D1368" s="976"/>
      <c r="E1368" s="976"/>
      <c r="R1368" s="977"/>
      <c r="S1368" s="977"/>
      <c r="T1368" s="977"/>
      <c r="U1368" s="977"/>
      <c r="V1368" s="977"/>
      <c r="W1368" s="977"/>
      <c r="X1368" s="977"/>
      <c r="Y1368" s="977"/>
    </row>
    <row r="1369" spans="1:25" x14ac:dyDescent="0.2">
      <c r="A1369" s="976"/>
      <c r="B1369" s="976"/>
      <c r="C1369" s="976"/>
      <c r="D1369" s="976"/>
      <c r="E1369" s="976"/>
      <c r="R1369" s="977"/>
      <c r="S1369" s="977"/>
      <c r="T1369" s="977"/>
      <c r="U1369" s="977"/>
      <c r="V1369" s="977"/>
      <c r="W1369" s="977"/>
      <c r="X1369" s="977"/>
      <c r="Y1369" s="977"/>
    </row>
    <row r="1370" spans="1:25" x14ac:dyDescent="0.2">
      <c r="A1370" s="976"/>
      <c r="B1370" s="976"/>
      <c r="C1370" s="976"/>
      <c r="D1370" s="976"/>
      <c r="E1370" s="976"/>
      <c r="R1370" s="977"/>
      <c r="S1370" s="977"/>
      <c r="T1370" s="977"/>
      <c r="U1370" s="977"/>
      <c r="V1370" s="977"/>
      <c r="W1370" s="977"/>
      <c r="X1370" s="977"/>
      <c r="Y1370" s="977"/>
    </row>
    <row r="1371" spans="1:25" x14ac:dyDescent="0.2">
      <c r="A1371" s="976"/>
      <c r="B1371" s="976"/>
      <c r="C1371" s="976"/>
      <c r="D1371" s="976"/>
      <c r="E1371" s="976"/>
      <c r="R1371" s="977"/>
      <c r="S1371" s="977"/>
      <c r="T1371" s="977"/>
      <c r="U1371" s="977"/>
      <c r="V1371" s="977"/>
      <c r="W1371" s="977"/>
      <c r="X1371" s="977"/>
      <c r="Y1371" s="977"/>
    </row>
    <row r="1372" spans="1:25" x14ac:dyDescent="0.2">
      <c r="A1372" s="976"/>
      <c r="B1372" s="976"/>
      <c r="C1372" s="976"/>
      <c r="D1372" s="976"/>
      <c r="E1372" s="976"/>
      <c r="R1372" s="977"/>
      <c r="S1372" s="977"/>
      <c r="T1372" s="977"/>
      <c r="U1372" s="977"/>
      <c r="V1372" s="977"/>
      <c r="W1372" s="977"/>
      <c r="X1372" s="977"/>
      <c r="Y1372" s="977"/>
    </row>
    <row r="1373" spans="1:25" x14ac:dyDescent="0.2">
      <c r="A1373" s="976"/>
      <c r="B1373" s="976"/>
      <c r="C1373" s="976"/>
      <c r="D1373" s="976"/>
      <c r="E1373" s="976"/>
      <c r="R1373" s="977"/>
      <c r="S1373" s="977"/>
      <c r="T1373" s="977"/>
      <c r="U1373" s="977"/>
      <c r="V1373" s="977"/>
      <c r="W1373" s="977"/>
      <c r="X1373" s="977"/>
      <c r="Y1373" s="977"/>
    </row>
    <row r="1374" spans="1:25" x14ac:dyDescent="0.2">
      <c r="A1374" s="976"/>
      <c r="B1374" s="976"/>
      <c r="C1374" s="976"/>
      <c r="D1374" s="976"/>
      <c r="E1374" s="976"/>
      <c r="R1374" s="977"/>
      <c r="S1374" s="977"/>
      <c r="T1374" s="977"/>
      <c r="U1374" s="977"/>
      <c r="V1374" s="977"/>
      <c r="W1374" s="977"/>
      <c r="X1374" s="977"/>
      <c r="Y1374" s="977"/>
    </row>
    <row r="1375" spans="1:25" x14ac:dyDescent="0.2">
      <c r="A1375" s="976"/>
      <c r="B1375" s="976"/>
      <c r="C1375" s="976"/>
      <c r="D1375" s="976"/>
      <c r="E1375" s="976"/>
      <c r="R1375" s="977"/>
      <c r="S1375" s="977"/>
      <c r="T1375" s="977"/>
      <c r="U1375" s="977"/>
      <c r="V1375" s="977"/>
      <c r="W1375" s="977"/>
      <c r="X1375" s="977"/>
      <c r="Y1375" s="977"/>
    </row>
    <row r="1376" spans="1:25" x14ac:dyDescent="0.2">
      <c r="A1376" s="976"/>
      <c r="B1376" s="976"/>
      <c r="C1376" s="976"/>
      <c r="D1376" s="976"/>
      <c r="E1376" s="976"/>
      <c r="R1376" s="977"/>
      <c r="S1376" s="977"/>
      <c r="T1376" s="977"/>
      <c r="U1376" s="977"/>
      <c r="V1376" s="977"/>
      <c r="W1376" s="977"/>
      <c r="X1376" s="977"/>
      <c r="Y1376" s="977"/>
    </row>
    <row r="1377" spans="1:25" x14ac:dyDescent="0.2">
      <c r="A1377" s="976"/>
      <c r="B1377" s="976"/>
      <c r="C1377" s="976"/>
      <c r="D1377" s="976"/>
      <c r="E1377" s="976"/>
      <c r="R1377" s="977"/>
      <c r="S1377" s="977"/>
      <c r="T1377" s="977"/>
      <c r="U1377" s="977"/>
      <c r="V1377" s="977"/>
      <c r="W1377" s="977"/>
      <c r="X1377" s="977"/>
      <c r="Y1377" s="977"/>
    </row>
    <row r="1378" spans="1:25" x14ac:dyDescent="0.2">
      <c r="A1378" s="976"/>
      <c r="B1378" s="976"/>
      <c r="C1378" s="976"/>
      <c r="D1378" s="976"/>
      <c r="E1378" s="976"/>
      <c r="R1378" s="977"/>
      <c r="S1378" s="977"/>
      <c r="T1378" s="977"/>
      <c r="U1378" s="977"/>
      <c r="V1378" s="977"/>
      <c r="W1378" s="977"/>
      <c r="X1378" s="977"/>
      <c r="Y1378" s="977"/>
    </row>
    <row r="1379" spans="1:25" x14ac:dyDescent="0.2">
      <c r="A1379" s="976"/>
      <c r="B1379" s="976"/>
      <c r="C1379" s="976"/>
      <c r="D1379" s="976"/>
      <c r="E1379" s="976"/>
      <c r="R1379" s="977"/>
      <c r="S1379" s="977"/>
      <c r="T1379" s="977"/>
      <c r="U1379" s="977"/>
      <c r="V1379" s="977"/>
      <c r="W1379" s="977"/>
      <c r="X1379" s="977"/>
      <c r="Y1379" s="977"/>
    </row>
    <row r="1380" spans="1:25" x14ac:dyDescent="0.2">
      <c r="A1380" s="976"/>
      <c r="B1380" s="976"/>
      <c r="C1380" s="976"/>
      <c r="D1380" s="976"/>
      <c r="E1380" s="976"/>
      <c r="R1380" s="977"/>
      <c r="S1380" s="977"/>
      <c r="T1380" s="977"/>
      <c r="U1380" s="977"/>
      <c r="V1380" s="977"/>
      <c r="W1380" s="977"/>
      <c r="X1380" s="977"/>
      <c r="Y1380" s="977"/>
    </row>
    <row r="1381" spans="1:25" x14ac:dyDescent="0.2">
      <c r="A1381" s="976"/>
      <c r="B1381" s="976"/>
      <c r="C1381" s="976"/>
      <c r="D1381" s="976"/>
      <c r="E1381" s="976"/>
      <c r="R1381" s="977"/>
      <c r="S1381" s="977"/>
      <c r="T1381" s="977"/>
      <c r="U1381" s="977"/>
      <c r="V1381" s="977"/>
      <c r="W1381" s="977"/>
      <c r="X1381" s="977"/>
      <c r="Y1381" s="977"/>
    </row>
    <row r="1382" spans="1:25" x14ac:dyDescent="0.2">
      <c r="A1382" s="976"/>
      <c r="B1382" s="976"/>
      <c r="C1382" s="976"/>
      <c r="D1382" s="976"/>
      <c r="E1382" s="976"/>
      <c r="R1382" s="977"/>
      <c r="S1382" s="977"/>
      <c r="T1382" s="977"/>
      <c r="U1382" s="977"/>
      <c r="V1382" s="977"/>
      <c r="W1382" s="977"/>
      <c r="X1382" s="977"/>
      <c r="Y1382" s="977"/>
    </row>
    <row r="1383" spans="1:25" x14ac:dyDescent="0.2">
      <c r="A1383" s="976"/>
      <c r="B1383" s="976"/>
      <c r="C1383" s="976"/>
      <c r="D1383" s="976"/>
      <c r="E1383" s="976"/>
      <c r="R1383" s="977"/>
      <c r="S1383" s="977"/>
      <c r="T1383" s="977"/>
      <c r="U1383" s="977"/>
      <c r="V1383" s="977"/>
      <c r="W1383" s="977"/>
      <c r="X1383" s="977"/>
      <c r="Y1383" s="977"/>
    </row>
    <row r="1384" spans="1:25" x14ac:dyDescent="0.2">
      <c r="A1384" s="976"/>
      <c r="B1384" s="976"/>
      <c r="C1384" s="976"/>
      <c r="D1384" s="976"/>
      <c r="E1384" s="976"/>
      <c r="R1384" s="977"/>
      <c r="S1384" s="977"/>
      <c r="T1384" s="977"/>
      <c r="U1384" s="977"/>
      <c r="V1384" s="977"/>
      <c r="W1384" s="977"/>
      <c r="X1384" s="977"/>
      <c r="Y1384" s="977"/>
    </row>
    <row r="1385" spans="1:25" x14ac:dyDescent="0.2">
      <c r="A1385" s="976"/>
      <c r="B1385" s="976"/>
      <c r="C1385" s="976"/>
      <c r="D1385" s="976"/>
      <c r="E1385" s="976"/>
      <c r="R1385" s="977"/>
      <c r="S1385" s="977"/>
      <c r="T1385" s="977"/>
      <c r="U1385" s="977"/>
      <c r="V1385" s="977"/>
      <c r="W1385" s="977"/>
      <c r="X1385" s="977"/>
      <c r="Y1385" s="977"/>
    </row>
    <row r="1386" spans="1:25" x14ac:dyDescent="0.2">
      <c r="A1386" s="976"/>
      <c r="B1386" s="976"/>
      <c r="C1386" s="976"/>
      <c r="D1386" s="976"/>
      <c r="E1386" s="976"/>
      <c r="R1386" s="977"/>
      <c r="S1386" s="977"/>
      <c r="T1386" s="977"/>
      <c r="U1386" s="977"/>
      <c r="V1386" s="977"/>
      <c r="W1386" s="977"/>
      <c r="X1386" s="977"/>
      <c r="Y1386" s="977"/>
    </row>
    <row r="1387" spans="1:25" x14ac:dyDescent="0.2">
      <c r="A1387" s="976"/>
      <c r="B1387" s="976"/>
      <c r="C1387" s="976"/>
      <c r="D1387" s="976"/>
      <c r="E1387" s="976"/>
      <c r="R1387" s="977"/>
      <c r="S1387" s="977"/>
      <c r="T1387" s="977"/>
      <c r="U1387" s="977"/>
      <c r="V1387" s="977"/>
      <c r="W1387" s="977"/>
      <c r="X1387" s="977"/>
      <c r="Y1387" s="977"/>
    </row>
    <row r="1388" spans="1:25" x14ac:dyDescent="0.2">
      <c r="A1388" s="976"/>
      <c r="B1388" s="976"/>
      <c r="C1388" s="976"/>
      <c r="D1388" s="976"/>
      <c r="E1388" s="976"/>
      <c r="R1388" s="977"/>
      <c r="S1388" s="977"/>
      <c r="T1388" s="977"/>
      <c r="U1388" s="977"/>
      <c r="V1388" s="977"/>
      <c r="W1388" s="977"/>
      <c r="X1388" s="977"/>
      <c r="Y1388" s="977"/>
    </row>
    <row r="1389" spans="1:25" x14ac:dyDescent="0.2">
      <c r="A1389" s="976"/>
      <c r="B1389" s="976"/>
      <c r="C1389" s="976"/>
      <c r="D1389" s="976"/>
      <c r="E1389" s="976"/>
      <c r="R1389" s="977"/>
      <c r="S1389" s="977"/>
      <c r="T1389" s="977"/>
      <c r="U1389" s="977"/>
      <c r="V1389" s="977"/>
      <c r="W1389" s="977"/>
      <c r="X1389" s="977"/>
      <c r="Y1389" s="977"/>
    </row>
    <row r="1390" spans="1:25" x14ac:dyDescent="0.2">
      <c r="A1390" s="976"/>
      <c r="B1390" s="976"/>
      <c r="C1390" s="976"/>
      <c r="D1390" s="976"/>
      <c r="E1390" s="976"/>
      <c r="R1390" s="977"/>
      <c r="S1390" s="977"/>
      <c r="T1390" s="977"/>
      <c r="U1390" s="977"/>
      <c r="V1390" s="977"/>
      <c r="W1390" s="977"/>
      <c r="X1390" s="977"/>
      <c r="Y1390" s="977"/>
    </row>
    <row r="1391" spans="1:25" x14ac:dyDescent="0.2">
      <c r="A1391" s="976"/>
      <c r="B1391" s="976"/>
      <c r="C1391" s="976"/>
      <c r="D1391" s="976"/>
      <c r="E1391" s="976"/>
      <c r="R1391" s="977"/>
      <c r="S1391" s="977"/>
      <c r="T1391" s="977"/>
      <c r="U1391" s="977"/>
      <c r="V1391" s="977"/>
      <c r="W1391" s="977"/>
      <c r="X1391" s="977"/>
      <c r="Y1391" s="977"/>
    </row>
    <row r="1392" spans="1:25" x14ac:dyDescent="0.2">
      <c r="A1392" s="976"/>
      <c r="B1392" s="976"/>
      <c r="C1392" s="976"/>
      <c r="D1392" s="976"/>
      <c r="E1392" s="976"/>
      <c r="R1392" s="977"/>
      <c r="S1392" s="977"/>
      <c r="T1392" s="977"/>
      <c r="U1392" s="977"/>
      <c r="V1392" s="977"/>
      <c r="W1392" s="977"/>
      <c r="X1392" s="977"/>
      <c r="Y1392" s="977"/>
    </row>
    <row r="1393" spans="1:25" x14ac:dyDescent="0.2">
      <c r="A1393" s="976"/>
      <c r="B1393" s="976"/>
      <c r="C1393" s="976"/>
      <c r="D1393" s="976"/>
      <c r="E1393" s="976"/>
      <c r="R1393" s="977"/>
      <c r="S1393" s="977"/>
      <c r="T1393" s="977"/>
      <c r="U1393" s="977"/>
      <c r="V1393" s="977"/>
      <c r="W1393" s="977"/>
      <c r="X1393" s="977"/>
      <c r="Y1393" s="977"/>
    </row>
    <row r="1394" spans="1:25" x14ac:dyDescent="0.2">
      <c r="A1394" s="976"/>
      <c r="B1394" s="976"/>
      <c r="C1394" s="976"/>
      <c r="D1394" s="976"/>
      <c r="E1394" s="976"/>
      <c r="R1394" s="977"/>
      <c r="S1394" s="977"/>
      <c r="T1394" s="977"/>
      <c r="U1394" s="977"/>
      <c r="V1394" s="977"/>
      <c r="W1394" s="977"/>
      <c r="X1394" s="977"/>
      <c r="Y1394" s="977"/>
    </row>
    <row r="1395" spans="1:25" x14ac:dyDescent="0.2">
      <c r="A1395" s="976"/>
      <c r="B1395" s="976"/>
      <c r="C1395" s="976"/>
      <c r="D1395" s="976"/>
      <c r="E1395" s="976"/>
      <c r="R1395" s="977"/>
      <c r="S1395" s="977"/>
      <c r="T1395" s="977"/>
      <c r="U1395" s="977"/>
      <c r="V1395" s="977"/>
      <c r="W1395" s="977"/>
      <c r="X1395" s="977"/>
      <c r="Y1395" s="977"/>
    </row>
    <row r="1396" spans="1:25" x14ac:dyDescent="0.2">
      <c r="A1396" s="976"/>
      <c r="B1396" s="976"/>
      <c r="C1396" s="976"/>
      <c r="D1396" s="976"/>
      <c r="E1396" s="976"/>
      <c r="R1396" s="977"/>
      <c r="S1396" s="977"/>
      <c r="T1396" s="977"/>
      <c r="U1396" s="977"/>
      <c r="V1396" s="977"/>
      <c r="W1396" s="977"/>
      <c r="X1396" s="977"/>
      <c r="Y1396" s="977"/>
    </row>
    <row r="1397" spans="1:25" x14ac:dyDescent="0.2">
      <c r="A1397" s="976"/>
      <c r="B1397" s="976"/>
      <c r="C1397" s="976"/>
      <c r="D1397" s="976"/>
      <c r="E1397" s="976"/>
      <c r="R1397" s="977"/>
      <c r="S1397" s="977"/>
      <c r="T1397" s="977"/>
      <c r="U1397" s="977"/>
      <c r="V1397" s="977"/>
      <c r="W1397" s="977"/>
      <c r="X1397" s="977"/>
      <c r="Y1397" s="977"/>
    </row>
    <row r="1398" spans="1:25" x14ac:dyDescent="0.2">
      <c r="A1398" s="976"/>
      <c r="B1398" s="976"/>
      <c r="C1398" s="976"/>
      <c r="D1398" s="976"/>
      <c r="E1398" s="976"/>
      <c r="R1398" s="977"/>
      <c r="S1398" s="977"/>
      <c r="T1398" s="977"/>
      <c r="U1398" s="977"/>
      <c r="V1398" s="977"/>
      <c r="W1398" s="977"/>
      <c r="X1398" s="977"/>
      <c r="Y1398" s="977"/>
    </row>
    <row r="1399" spans="1:25" x14ac:dyDescent="0.2">
      <c r="A1399" s="976"/>
      <c r="B1399" s="976"/>
      <c r="C1399" s="976"/>
      <c r="D1399" s="976"/>
      <c r="E1399" s="976"/>
      <c r="R1399" s="977"/>
      <c r="S1399" s="977"/>
      <c r="T1399" s="977"/>
      <c r="U1399" s="977"/>
      <c r="V1399" s="977"/>
      <c r="W1399" s="977"/>
      <c r="X1399" s="977"/>
      <c r="Y1399" s="977"/>
    </row>
    <row r="1400" spans="1:25" x14ac:dyDescent="0.2">
      <c r="A1400" s="976"/>
      <c r="B1400" s="976"/>
      <c r="C1400" s="976"/>
      <c r="D1400" s="976"/>
      <c r="E1400" s="976"/>
      <c r="R1400" s="977"/>
      <c r="S1400" s="977"/>
      <c r="T1400" s="977"/>
      <c r="U1400" s="977"/>
      <c r="V1400" s="977"/>
      <c r="W1400" s="977"/>
      <c r="X1400" s="977"/>
      <c r="Y1400" s="977"/>
    </row>
    <row r="1401" spans="1:25" x14ac:dyDescent="0.2">
      <c r="A1401" s="976"/>
      <c r="B1401" s="976"/>
      <c r="C1401" s="976"/>
      <c r="D1401" s="976"/>
      <c r="E1401" s="976"/>
      <c r="R1401" s="977"/>
      <c r="S1401" s="977"/>
      <c r="T1401" s="977"/>
      <c r="U1401" s="977"/>
      <c r="V1401" s="977"/>
      <c r="W1401" s="977"/>
      <c r="X1401" s="977"/>
      <c r="Y1401" s="977"/>
    </row>
    <row r="1402" spans="1:25" x14ac:dyDescent="0.2">
      <c r="A1402" s="976"/>
      <c r="B1402" s="976"/>
      <c r="C1402" s="976"/>
      <c r="D1402" s="976"/>
      <c r="E1402" s="976"/>
      <c r="R1402" s="977"/>
      <c r="S1402" s="977"/>
      <c r="T1402" s="977"/>
      <c r="U1402" s="977"/>
      <c r="V1402" s="977"/>
      <c r="W1402" s="977"/>
      <c r="X1402" s="977"/>
      <c r="Y1402" s="977"/>
    </row>
    <row r="1403" spans="1:25" x14ac:dyDescent="0.2">
      <c r="A1403" s="976"/>
      <c r="B1403" s="976"/>
      <c r="C1403" s="976"/>
      <c r="D1403" s="976"/>
      <c r="E1403" s="976"/>
      <c r="R1403" s="977"/>
      <c r="S1403" s="977"/>
      <c r="T1403" s="977"/>
      <c r="U1403" s="977"/>
      <c r="V1403" s="977"/>
      <c r="W1403" s="977"/>
      <c r="X1403" s="977"/>
      <c r="Y1403" s="977"/>
    </row>
    <row r="1404" spans="1:25" x14ac:dyDescent="0.2">
      <c r="A1404" s="976"/>
      <c r="B1404" s="976"/>
      <c r="C1404" s="976"/>
      <c r="D1404" s="976"/>
      <c r="E1404" s="976"/>
      <c r="R1404" s="977"/>
      <c r="S1404" s="977"/>
      <c r="T1404" s="977"/>
      <c r="U1404" s="977"/>
      <c r="V1404" s="977"/>
      <c r="W1404" s="977"/>
      <c r="X1404" s="977"/>
      <c r="Y1404" s="977"/>
    </row>
    <row r="1405" spans="1:25" x14ac:dyDescent="0.2">
      <c r="A1405" s="976"/>
      <c r="B1405" s="976"/>
      <c r="C1405" s="976"/>
      <c r="D1405" s="976"/>
      <c r="E1405" s="976"/>
      <c r="R1405" s="977"/>
      <c r="S1405" s="977"/>
      <c r="T1405" s="977"/>
      <c r="U1405" s="977"/>
      <c r="V1405" s="977"/>
      <c r="W1405" s="977"/>
      <c r="X1405" s="977"/>
      <c r="Y1405" s="977"/>
    </row>
    <row r="1406" spans="1:25" x14ac:dyDescent="0.2">
      <c r="A1406" s="976"/>
      <c r="B1406" s="976"/>
      <c r="C1406" s="976"/>
      <c r="D1406" s="976"/>
      <c r="E1406" s="976"/>
      <c r="R1406" s="977"/>
      <c r="S1406" s="977"/>
      <c r="T1406" s="977"/>
      <c r="U1406" s="977"/>
      <c r="V1406" s="977"/>
      <c r="W1406" s="977"/>
      <c r="X1406" s="977"/>
      <c r="Y1406" s="977"/>
    </row>
    <row r="1407" spans="1:25" x14ac:dyDescent="0.2">
      <c r="A1407" s="976"/>
      <c r="B1407" s="976"/>
      <c r="C1407" s="976"/>
      <c r="D1407" s="976"/>
      <c r="E1407" s="976"/>
      <c r="R1407" s="977"/>
      <c r="S1407" s="977"/>
      <c r="T1407" s="977"/>
      <c r="U1407" s="977"/>
      <c r="V1407" s="977"/>
      <c r="W1407" s="977"/>
      <c r="X1407" s="977"/>
      <c r="Y1407" s="977"/>
    </row>
    <row r="1408" spans="1:25" x14ac:dyDescent="0.2">
      <c r="A1408" s="976"/>
      <c r="B1408" s="976"/>
      <c r="C1408" s="976"/>
      <c r="D1408" s="976"/>
      <c r="E1408" s="976"/>
      <c r="R1408" s="977"/>
      <c r="S1408" s="977"/>
      <c r="T1408" s="977"/>
      <c r="U1408" s="977"/>
      <c r="V1408" s="977"/>
      <c r="W1408" s="977"/>
      <c r="X1408" s="977"/>
      <c r="Y1408" s="977"/>
    </row>
    <row r="1409" spans="1:25" x14ac:dyDescent="0.2">
      <c r="A1409" s="976"/>
      <c r="B1409" s="976"/>
      <c r="C1409" s="976"/>
      <c r="D1409" s="976"/>
      <c r="E1409" s="976"/>
      <c r="R1409" s="977"/>
      <c r="S1409" s="977"/>
      <c r="T1409" s="977"/>
      <c r="U1409" s="977"/>
      <c r="V1409" s="977"/>
      <c r="W1409" s="977"/>
      <c r="X1409" s="977"/>
      <c r="Y1409" s="977"/>
    </row>
    <row r="1410" spans="1:25" x14ac:dyDescent="0.2">
      <c r="A1410" s="976"/>
      <c r="B1410" s="976"/>
      <c r="C1410" s="976"/>
      <c r="D1410" s="976"/>
      <c r="E1410" s="976"/>
      <c r="R1410" s="977"/>
      <c r="S1410" s="977"/>
      <c r="T1410" s="977"/>
      <c r="U1410" s="977"/>
      <c r="V1410" s="977"/>
      <c r="W1410" s="977"/>
      <c r="X1410" s="977"/>
      <c r="Y1410" s="977"/>
    </row>
    <row r="1411" spans="1:25" x14ac:dyDescent="0.2">
      <c r="A1411" s="976"/>
      <c r="B1411" s="976"/>
      <c r="C1411" s="976"/>
      <c r="D1411" s="976"/>
      <c r="E1411" s="976"/>
      <c r="R1411" s="977"/>
      <c r="S1411" s="977"/>
      <c r="T1411" s="977"/>
      <c r="U1411" s="977"/>
      <c r="V1411" s="977"/>
      <c r="W1411" s="977"/>
      <c r="X1411" s="977"/>
      <c r="Y1411" s="977"/>
    </row>
    <row r="1412" spans="1:25" x14ac:dyDescent="0.2">
      <c r="A1412" s="976"/>
      <c r="B1412" s="976"/>
      <c r="C1412" s="976"/>
      <c r="D1412" s="976"/>
      <c r="E1412" s="976"/>
      <c r="R1412" s="977"/>
      <c r="S1412" s="977"/>
      <c r="T1412" s="977"/>
      <c r="U1412" s="977"/>
      <c r="V1412" s="977"/>
      <c r="W1412" s="977"/>
      <c r="X1412" s="977"/>
      <c r="Y1412" s="977"/>
    </row>
    <row r="1413" spans="1:25" x14ac:dyDescent="0.2">
      <c r="A1413" s="976"/>
      <c r="B1413" s="976"/>
      <c r="C1413" s="976"/>
      <c r="D1413" s="976"/>
      <c r="E1413" s="976"/>
      <c r="R1413" s="977"/>
      <c r="S1413" s="977"/>
      <c r="T1413" s="977"/>
      <c r="U1413" s="977"/>
      <c r="V1413" s="977"/>
      <c r="W1413" s="977"/>
      <c r="X1413" s="977"/>
      <c r="Y1413" s="977"/>
    </row>
    <row r="1414" spans="1:25" x14ac:dyDescent="0.2">
      <c r="A1414" s="976"/>
      <c r="B1414" s="976"/>
      <c r="C1414" s="976"/>
      <c r="D1414" s="976"/>
      <c r="E1414" s="976"/>
      <c r="R1414" s="977"/>
      <c r="S1414" s="977"/>
      <c r="T1414" s="977"/>
      <c r="U1414" s="977"/>
      <c r="V1414" s="977"/>
      <c r="W1414" s="977"/>
      <c r="X1414" s="977"/>
      <c r="Y1414" s="977"/>
    </row>
    <row r="1415" spans="1:25" x14ac:dyDescent="0.2">
      <c r="A1415" s="976"/>
      <c r="B1415" s="976"/>
      <c r="C1415" s="976"/>
      <c r="D1415" s="976"/>
      <c r="E1415" s="976"/>
      <c r="R1415" s="977"/>
      <c r="S1415" s="977"/>
      <c r="T1415" s="977"/>
      <c r="U1415" s="977"/>
      <c r="V1415" s="977"/>
      <c r="W1415" s="977"/>
      <c r="X1415" s="977"/>
      <c r="Y1415" s="977"/>
    </row>
    <row r="1416" spans="1:25" x14ac:dyDescent="0.2">
      <c r="A1416" s="976"/>
      <c r="B1416" s="976"/>
      <c r="C1416" s="976"/>
      <c r="D1416" s="976"/>
      <c r="E1416" s="976"/>
      <c r="R1416" s="977"/>
      <c r="S1416" s="977"/>
      <c r="T1416" s="977"/>
      <c r="U1416" s="977"/>
      <c r="V1416" s="977"/>
      <c r="W1416" s="977"/>
      <c r="X1416" s="977"/>
      <c r="Y1416" s="977"/>
    </row>
    <row r="1417" spans="1:25" x14ac:dyDescent="0.2">
      <c r="A1417" s="976"/>
      <c r="B1417" s="976"/>
      <c r="C1417" s="976"/>
      <c r="D1417" s="976"/>
      <c r="E1417" s="976"/>
      <c r="R1417" s="977"/>
      <c r="S1417" s="977"/>
      <c r="T1417" s="977"/>
      <c r="U1417" s="977"/>
      <c r="V1417" s="977"/>
      <c r="W1417" s="977"/>
      <c r="X1417" s="977"/>
      <c r="Y1417" s="977"/>
    </row>
    <row r="1418" spans="1:25" x14ac:dyDescent="0.2">
      <c r="A1418" s="976"/>
      <c r="B1418" s="976"/>
      <c r="C1418" s="976"/>
      <c r="D1418" s="976"/>
      <c r="E1418" s="976"/>
      <c r="R1418" s="977"/>
      <c r="S1418" s="977"/>
      <c r="T1418" s="977"/>
      <c r="U1418" s="977"/>
      <c r="V1418" s="977"/>
      <c r="W1418" s="977"/>
      <c r="X1418" s="977"/>
      <c r="Y1418" s="977"/>
    </row>
    <row r="1419" spans="1:25" x14ac:dyDescent="0.2">
      <c r="A1419" s="976"/>
      <c r="B1419" s="976"/>
      <c r="C1419" s="976"/>
      <c r="D1419" s="976"/>
      <c r="E1419" s="976"/>
      <c r="R1419" s="977"/>
      <c r="S1419" s="977"/>
      <c r="T1419" s="977"/>
      <c r="U1419" s="977"/>
      <c r="V1419" s="977"/>
      <c r="W1419" s="977"/>
      <c r="X1419" s="977"/>
      <c r="Y1419" s="977"/>
    </row>
    <row r="1420" spans="1:25" x14ac:dyDescent="0.2">
      <c r="A1420" s="976"/>
      <c r="B1420" s="976"/>
      <c r="C1420" s="976"/>
      <c r="D1420" s="976"/>
      <c r="E1420" s="976"/>
      <c r="R1420" s="977"/>
      <c r="S1420" s="977"/>
      <c r="T1420" s="977"/>
      <c r="U1420" s="977"/>
      <c r="V1420" s="977"/>
      <c r="W1420" s="977"/>
      <c r="X1420" s="977"/>
      <c r="Y1420" s="977"/>
    </row>
    <row r="1421" spans="1:25" x14ac:dyDescent="0.2">
      <c r="A1421" s="976"/>
      <c r="B1421" s="976"/>
      <c r="C1421" s="976"/>
      <c r="D1421" s="976"/>
      <c r="E1421" s="976"/>
      <c r="R1421" s="977"/>
      <c r="S1421" s="977"/>
      <c r="T1421" s="977"/>
      <c r="U1421" s="977"/>
      <c r="V1421" s="977"/>
      <c r="W1421" s="977"/>
      <c r="X1421" s="977"/>
      <c r="Y1421" s="977"/>
    </row>
    <row r="1422" spans="1:25" x14ac:dyDescent="0.2">
      <c r="A1422" s="976"/>
      <c r="B1422" s="976"/>
      <c r="C1422" s="976"/>
      <c r="D1422" s="976"/>
      <c r="E1422" s="976"/>
      <c r="R1422" s="977"/>
      <c r="S1422" s="977"/>
      <c r="T1422" s="977"/>
      <c r="U1422" s="977"/>
      <c r="V1422" s="977"/>
      <c r="W1422" s="977"/>
      <c r="X1422" s="977"/>
      <c r="Y1422" s="977"/>
    </row>
    <row r="1423" spans="1:25" x14ac:dyDescent="0.2">
      <c r="A1423" s="976"/>
      <c r="B1423" s="976"/>
      <c r="C1423" s="976"/>
      <c r="D1423" s="976"/>
      <c r="E1423" s="976"/>
      <c r="R1423" s="977"/>
      <c r="S1423" s="977"/>
      <c r="T1423" s="977"/>
      <c r="U1423" s="977"/>
      <c r="V1423" s="977"/>
      <c r="W1423" s="977"/>
      <c r="X1423" s="977"/>
      <c r="Y1423" s="977"/>
    </row>
    <row r="1424" spans="1:25" x14ac:dyDescent="0.2">
      <c r="A1424" s="976"/>
      <c r="B1424" s="976"/>
      <c r="C1424" s="976"/>
      <c r="D1424" s="976"/>
      <c r="E1424" s="976"/>
      <c r="R1424" s="977"/>
      <c r="S1424" s="977"/>
      <c r="T1424" s="977"/>
      <c r="U1424" s="977"/>
      <c r="V1424" s="977"/>
      <c r="W1424" s="977"/>
      <c r="X1424" s="977"/>
      <c r="Y1424" s="977"/>
    </row>
    <row r="1425" spans="1:25" x14ac:dyDescent="0.2">
      <c r="A1425" s="976"/>
      <c r="B1425" s="976"/>
      <c r="C1425" s="976"/>
      <c r="D1425" s="976"/>
      <c r="E1425" s="976"/>
      <c r="R1425" s="977"/>
      <c r="S1425" s="977"/>
      <c r="T1425" s="977"/>
      <c r="U1425" s="977"/>
      <c r="V1425" s="977"/>
      <c r="W1425" s="977"/>
      <c r="X1425" s="977"/>
      <c r="Y1425" s="977"/>
    </row>
    <row r="1426" spans="1:25" x14ac:dyDescent="0.2">
      <c r="A1426" s="976"/>
      <c r="B1426" s="976"/>
      <c r="C1426" s="976"/>
      <c r="D1426" s="976"/>
      <c r="E1426" s="976"/>
      <c r="R1426" s="977"/>
      <c r="S1426" s="977"/>
      <c r="T1426" s="977"/>
      <c r="U1426" s="977"/>
      <c r="V1426" s="977"/>
      <c r="W1426" s="977"/>
      <c r="X1426" s="977"/>
      <c r="Y1426" s="977"/>
    </row>
    <row r="1427" spans="1:25" x14ac:dyDescent="0.2">
      <c r="A1427" s="976"/>
      <c r="B1427" s="976"/>
      <c r="C1427" s="976"/>
      <c r="D1427" s="976"/>
      <c r="E1427" s="976"/>
      <c r="R1427" s="977"/>
      <c r="S1427" s="977"/>
      <c r="T1427" s="977"/>
      <c r="U1427" s="977"/>
      <c r="V1427" s="977"/>
      <c r="W1427" s="977"/>
      <c r="X1427" s="977"/>
      <c r="Y1427" s="977"/>
    </row>
    <row r="1428" spans="1:25" x14ac:dyDescent="0.2">
      <c r="A1428" s="976"/>
      <c r="B1428" s="976"/>
      <c r="C1428" s="976"/>
      <c r="D1428" s="976"/>
      <c r="E1428" s="976"/>
      <c r="R1428" s="977"/>
      <c r="S1428" s="977"/>
      <c r="T1428" s="977"/>
      <c r="U1428" s="977"/>
      <c r="V1428" s="977"/>
      <c r="W1428" s="977"/>
      <c r="X1428" s="977"/>
      <c r="Y1428" s="977"/>
    </row>
    <row r="1429" spans="1:25" x14ac:dyDescent="0.2">
      <c r="A1429" s="976"/>
      <c r="B1429" s="976"/>
      <c r="C1429" s="976"/>
      <c r="D1429" s="976"/>
      <c r="E1429" s="976"/>
      <c r="R1429" s="977"/>
      <c r="S1429" s="977"/>
      <c r="T1429" s="977"/>
      <c r="U1429" s="977"/>
      <c r="V1429" s="977"/>
      <c r="W1429" s="977"/>
      <c r="X1429" s="977"/>
      <c r="Y1429" s="977"/>
    </row>
    <row r="1430" spans="1:25" x14ac:dyDescent="0.2">
      <c r="A1430" s="976"/>
      <c r="B1430" s="976"/>
      <c r="C1430" s="976"/>
      <c r="D1430" s="976"/>
      <c r="E1430" s="976"/>
      <c r="R1430" s="977"/>
      <c r="S1430" s="977"/>
      <c r="T1430" s="977"/>
      <c r="U1430" s="977"/>
      <c r="V1430" s="977"/>
      <c r="W1430" s="977"/>
      <c r="X1430" s="977"/>
      <c r="Y1430" s="977"/>
    </row>
    <row r="1431" spans="1:25" x14ac:dyDescent="0.2">
      <c r="A1431" s="976"/>
      <c r="B1431" s="976"/>
      <c r="C1431" s="976"/>
      <c r="D1431" s="976"/>
      <c r="E1431" s="976"/>
      <c r="R1431" s="977"/>
      <c r="S1431" s="977"/>
      <c r="T1431" s="977"/>
      <c r="U1431" s="977"/>
      <c r="V1431" s="977"/>
      <c r="W1431" s="977"/>
      <c r="X1431" s="977"/>
      <c r="Y1431" s="977"/>
    </row>
    <row r="1432" spans="1:25" x14ac:dyDescent="0.2">
      <c r="A1432" s="976"/>
      <c r="B1432" s="976"/>
      <c r="C1432" s="976"/>
      <c r="D1432" s="976"/>
      <c r="E1432" s="976"/>
      <c r="R1432" s="977"/>
      <c r="S1432" s="977"/>
      <c r="T1432" s="977"/>
      <c r="U1432" s="977"/>
      <c r="V1432" s="977"/>
      <c r="W1432" s="977"/>
      <c r="X1432" s="977"/>
      <c r="Y1432" s="977"/>
    </row>
    <row r="1433" spans="1:25" x14ac:dyDescent="0.2">
      <c r="A1433" s="976"/>
      <c r="B1433" s="976"/>
      <c r="C1433" s="976"/>
      <c r="D1433" s="976"/>
      <c r="E1433" s="976"/>
      <c r="R1433" s="977"/>
      <c r="S1433" s="977"/>
      <c r="T1433" s="977"/>
      <c r="U1433" s="977"/>
      <c r="V1433" s="977"/>
      <c r="W1433" s="977"/>
      <c r="X1433" s="977"/>
      <c r="Y1433" s="977"/>
    </row>
    <row r="1434" spans="1:25" x14ac:dyDescent="0.2">
      <c r="A1434" s="976"/>
      <c r="B1434" s="976"/>
      <c r="C1434" s="976"/>
      <c r="D1434" s="976"/>
      <c r="E1434" s="976"/>
      <c r="R1434" s="977"/>
      <c r="S1434" s="977"/>
      <c r="T1434" s="977"/>
      <c r="U1434" s="977"/>
      <c r="V1434" s="977"/>
      <c r="W1434" s="977"/>
      <c r="X1434" s="977"/>
      <c r="Y1434" s="977"/>
    </row>
    <row r="1435" spans="1:25" x14ac:dyDescent="0.2">
      <c r="A1435" s="976"/>
      <c r="B1435" s="976"/>
      <c r="C1435" s="976"/>
      <c r="D1435" s="976"/>
      <c r="E1435" s="976"/>
      <c r="R1435" s="977"/>
      <c r="S1435" s="977"/>
      <c r="T1435" s="977"/>
      <c r="U1435" s="977"/>
      <c r="V1435" s="977"/>
      <c r="W1435" s="977"/>
      <c r="X1435" s="977"/>
      <c r="Y1435" s="977"/>
    </row>
    <row r="1436" spans="1:25" x14ac:dyDescent="0.2">
      <c r="A1436" s="976"/>
      <c r="B1436" s="976"/>
      <c r="C1436" s="976"/>
      <c r="D1436" s="976"/>
      <c r="E1436" s="976"/>
      <c r="R1436" s="977"/>
      <c r="S1436" s="977"/>
      <c r="T1436" s="977"/>
      <c r="U1436" s="977"/>
      <c r="V1436" s="977"/>
      <c r="W1436" s="977"/>
      <c r="X1436" s="977"/>
      <c r="Y1436" s="977"/>
    </row>
    <row r="1437" spans="1:25" x14ac:dyDescent="0.2">
      <c r="A1437" s="976"/>
      <c r="B1437" s="976"/>
      <c r="C1437" s="976"/>
      <c r="D1437" s="976"/>
      <c r="E1437" s="976"/>
      <c r="R1437" s="977"/>
      <c r="S1437" s="977"/>
      <c r="T1437" s="977"/>
      <c r="U1437" s="977"/>
      <c r="V1437" s="977"/>
      <c r="W1437" s="977"/>
      <c r="X1437" s="977"/>
      <c r="Y1437" s="977"/>
    </row>
    <row r="1438" spans="1:25" x14ac:dyDescent="0.2">
      <c r="A1438" s="976"/>
      <c r="B1438" s="976"/>
      <c r="C1438" s="976"/>
      <c r="D1438" s="976"/>
      <c r="E1438" s="976"/>
      <c r="R1438" s="977"/>
      <c r="S1438" s="977"/>
      <c r="T1438" s="977"/>
      <c r="U1438" s="977"/>
      <c r="V1438" s="977"/>
      <c r="W1438" s="977"/>
      <c r="X1438" s="977"/>
      <c r="Y1438" s="977"/>
    </row>
    <row r="1439" spans="1:25" x14ac:dyDescent="0.2">
      <c r="A1439" s="976"/>
      <c r="B1439" s="976"/>
      <c r="C1439" s="976"/>
      <c r="D1439" s="976"/>
      <c r="E1439" s="976"/>
      <c r="R1439" s="977"/>
      <c r="S1439" s="977"/>
      <c r="T1439" s="977"/>
      <c r="U1439" s="977"/>
      <c r="V1439" s="977"/>
      <c r="W1439" s="977"/>
      <c r="X1439" s="977"/>
      <c r="Y1439" s="977"/>
    </row>
    <row r="1440" spans="1:25" x14ac:dyDescent="0.2">
      <c r="A1440" s="976"/>
      <c r="B1440" s="976"/>
      <c r="C1440" s="976"/>
      <c r="D1440" s="976"/>
      <c r="E1440" s="976"/>
      <c r="R1440" s="977"/>
      <c r="S1440" s="977"/>
      <c r="T1440" s="977"/>
      <c r="U1440" s="977"/>
      <c r="V1440" s="977"/>
      <c r="W1440" s="977"/>
      <c r="X1440" s="977"/>
      <c r="Y1440" s="977"/>
    </row>
    <row r="1441" spans="1:25" x14ac:dyDescent="0.2">
      <c r="A1441" s="976"/>
      <c r="B1441" s="976"/>
      <c r="C1441" s="976"/>
      <c r="D1441" s="976"/>
      <c r="E1441" s="976"/>
      <c r="R1441" s="977"/>
      <c r="S1441" s="977"/>
      <c r="T1441" s="977"/>
      <c r="U1441" s="977"/>
      <c r="V1441" s="977"/>
      <c r="W1441" s="977"/>
      <c r="X1441" s="977"/>
      <c r="Y1441" s="977"/>
    </row>
    <row r="1442" spans="1:25" x14ac:dyDescent="0.2">
      <c r="A1442" s="976"/>
      <c r="B1442" s="976"/>
      <c r="C1442" s="976"/>
      <c r="D1442" s="976"/>
      <c r="E1442" s="976"/>
      <c r="R1442" s="977"/>
      <c r="S1442" s="977"/>
      <c r="T1442" s="977"/>
      <c r="U1442" s="977"/>
      <c r="V1442" s="977"/>
      <c r="W1442" s="977"/>
      <c r="X1442" s="977"/>
      <c r="Y1442" s="977"/>
    </row>
    <row r="1443" spans="1:25" x14ac:dyDescent="0.2">
      <c r="A1443" s="976"/>
      <c r="B1443" s="976"/>
      <c r="C1443" s="976"/>
      <c r="D1443" s="976"/>
      <c r="E1443" s="976"/>
      <c r="R1443" s="977"/>
      <c r="S1443" s="977"/>
      <c r="T1443" s="977"/>
      <c r="U1443" s="977"/>
      <c r="V1443" s="977"/>
      <c r="W1443" s="977"/>
      <c r="X1443" s="977"/>
      <c r="Y1443" s="977"/>
    </row>
    <row r="1444" spans="1:25" x14ac:dyDescent="0.2">
      <c r="A1444" s="976"/>
      <c r="B1444" s="976"/>
      <c r="C1444" s="976"/>
      <c r="D1444" s="976"/>
      <c r="E1444" s="976"/>
      <c r="R1444" s="977"/>
      <c r="S1444" s="977"/>
      <c r="T1444" s="977"/>
      <c r="U1444" s="977"/>
      <c r="V1444" s="977"/>
      <c r="W1444" s="977"/>
      <c r="X1444" s="977"/>
      <c r="Y1444" s="977"/>
    </row>
    <row r="1445" spans="1:25" x14ac:dyDescent="0.2">
      <c r="A1445" s="976"/>
      <c r="B1445" s="976"/>
      <c r="C1445" s="976"/>
      <c r="D1445" s="976"/>
      <c r="E1445" s="976"/>
      <c r="R1445" s="977"/>
      <c r="S1445" s="977"/>
      <c r="T1445" s="977"/>
      <c r="U1445" s="977"/>
      <c r="V1445" s="977"/>
      <c r="W1445" s="977"/>
      <c r="X1445" s="977"/>
      <c r="Y1445" s="977"/>
    </row>
    <row r="1446" spans="1:25" x14ac:dyDescent="0.2">
      <c r="A1446" s="976"/>
      <c r="B1446" s="976"/>
      <c r="C1446" s="976"/>
      <c r="D1446" s="976"/>
      <c r="E1446" s="976"/>
      <c r="R1446" s="977"/>
      <c r="S1446" s="977"/>
      <c r="T1446" s="977"/>
      <c r="U1446" s="977"/>
      <c r="V1446" s="977"/>
      <c r="W1446" s="977"/>
      <c r="X1446" s="977"/>
      <c r="Y1446" s="977"/>
    </row>
    <row r="1447" spans="1:25" x14ac:dyDescent="0.2">
      <c r="A1447" s="976"/>
      <c r="B1447" s="976"/>
      <c r="C1447" s="976"/>
      <c r="D1447" s="976"/>
      <c r="E1447" s="976"/>
      <c r="R1447" s="977"/>
      <c r="S1447" s="977"/>
      <c r="T1447" s="977"/>
      <c r="U1447" s="977"/>
      <c r="V1447" s="977"/>
      <c r="W1447" s="977"/>
      <c r="X1447" s="977"/>
      <c r="Y1447" s="977"/>
    </row>
    <row r="1448" spans="1:25" x14ac:dyDescent="0.2">
      <c r="A1448" s="976"/>
      <c r="B1448" s="976"/>
      <c r="C1448" s="976"/>
      <c r="D1448" s="976"/>
      <c r="E1448" s="976"/>
      <c r="R1448" s="977"/>
      <c r="S1448" s="977"/>
      <c r="T1448" s="977"/>
      <c r="U1448" s="977"/>
      <c r="V1448" s="977"/>
      <c r="W1448" s="977"/>
      <c r="X1448" s="977"/>
      <c r="Y1448" s="977"/>
    </row>
    <row r="1449" spans="1:25" x14ac:dyDescent="0.2">
      <c r="A1449" s="976"/>
      <c r="B1449" s="976"/>
      <c r="C1449" s="976"/>
      <c r="D1449" s="976"/>
      <c r="E1449" s="976"/>
      <c r="R1449" s="977"/>
      <c r="S1449" s="977"/>
      <c r="T1449" s="977"/>
      <c r="U1449" s="977"/>
      <c r="V1449" s="977"/>
      <c r="W1449" s="977"/>
      <c r="X1449" s="977"/>
      <c r="Y1449" s="977"/>
    </row>
    <row r="1450" spans="1:25" x14ac:dyDescent="0.2">
      <c r="A1450" s="976"/>
      <c r="B1450" s="976"/>
      <c r="C1450" s="976"/>
      <c r="D1450" s="976"/>
      <c r="E1450" s="976"/>
      <c r="R1450" s="977"/>
      <c r="S1450" s="977"/>
      <c r="T1450" s="977"/>
      <c r="U1450" s="977"/>
      <c r="V1450" s="977"/>
      <c r="W1450" s="977"/>
      <c r="X1450" s="977"/>
      <c r="Y1450" s="977"/>
    </row>
    <row r="1451" spans="1:25" x14ac:dyDescent="0.2">
      <c r="A1451" s="976"/>
      <c r="B1451" s="976"/>
      <c r="C1451" s="976"/>
      <c r="D1451" s="976"/>
      <c r="E1451" s="976"/>
      <c r="R1451" s="977"/>
      <c r="S1451" s="977"/>
      <c r="T1451" s="977"/>
      <c r="U1451" s="977"/>
      <c r="V1451" s="977"/>
      <c r="W1451" s="977"/>
      <c r="X1451" s="977"/>
      <c r="Y1451" s="977"/>
    </row>
    <row r="1452" spans="1:25" x14ac:dyDescent="0.2">
      <c r="A1452" s="976"/>
      <c r="B1452" s="976"/>
      <c r="C1452" s="976"/>
      <c r="D1452" s="976"/>
      <c r="E1452" s="976"/>
      <c r="R1452" s="977"/>
      <c r="S1452" s="977"/>
      <c r="T1452" s="977"/>
      <c r="U1452" s="977"/>
      <c r="V1452" s="977"/>
      <c r="W1452" s="977"/>
      <c r="X1452" s="977"/>
      <c r="Y1452" s="977"/>
    </row>
    <row r="1453" spans="1:25" x14ac:dyDescent="0.2">
      <c r="A1453" s="976"/>
      <c r="B1453" s="976"/>
      <c r="C1453" s="976"/>
      <c r="D1453" s="976"/>
      <c r="E1453" s="976"/>
      <c r="R1453" s="977"/>
      <c r="S1453" s="977"/>
      <c r="T1453" s="977"/>
      <c r="U1453" s="977"/>
      <c r="V1453" s="977"/>
      <c r="W1453" s="977"/>
      <c r="X1453" s="977"/>
      <c r="Y1453" s="977"/>
    </row>
    <row r="1454" spans="1:25" x14ac:dyDescent="0.2">
      <c r="A1454" s="976"/>
      <c r="B1454" s="976"/>
      <c r="C1454" s="976"/>
      <c r="D1454" s="976"/>
      <c r="E1454" s="976"/>
      <c r="R1454" s="977"/>
      <c r="S1454" s="977"/>
      <c r="T1454" s="977"/>
      <c r="U1454" s="977"/>
      <c r="V1454" s="977"/>
      <c r="W1454" s="977"/>
      <c r="X1454" s="977"/>
      <c r="Y1454" s="977"/>
    </row>
    <row r="1455" spans="1:25" x14ac:dyDescent="0.2">
      <c r="A1455" s="976"/>
      <c r="B1455" s="976"/>
      <c r="C1455" s="976"/>
      <c r="D1455" s="976"/>
      <c r="E1455" s="976"/>
      <c r="R1455" s="977"/>
      <c r="S1455" s="977"/>
      <c r="T1455" s="977"/>
      <c r="U1455" s="977"/>
      <c r="V1455" s="977"/>
      <c r="W1455" s="977"/>
      <c r="X1455" s="977"/>
      <c r="Y1455" s="977"/>
    </row>
    <row r="1456" spans="1:25" x14ac:dyDescent="0.2">
      <c r="A1456" s="976"/>
      <c r="B1456" s="976"/>
      <c r="C1456" s="976"/>
      <c r="D1456" s="976"/>
      <c r="E1456" s="976"/>
      <c r="R1456" s="977"/>
      <c r="S1456" s="977"/>
      <c r="T1456" s="977"/>
      <c r="U1456" s="977"/>
      <c r="V1456" s="977"/>
      <c r="W1456" s="977"/>
      <c r="X1456" s="977"/>
      <c r="Y1456" s="977"/>
    </row>
    <row r="1457" spans="1:25" x14ac:dyDescent="0.2">
      <c r="A1457" s="976"/>
      <c r="B1457" s="976"/>
      <c r="C1457" s="976"/>
      <c r="D1457" s="976"/>
      <c r="E1457" s="976"/>
      <c r="R1457" s="977"/>
      <c r="S1457" s="977"/>
      <c r="T1457" s="977"/>
      <c r="U1457" s="977"/>
      <c r="V1457" s="977"/>
      <c r="W1457" s="977"/>
      <c r="X1457" s="977"/>
      <c r="Y1457" s="977"/>
    </row>
    <row r="1458" spans="1:25" x14ac:dyDescent="0.2">
      <c r="A1458" s="976"/>
      <c r="B1458" s="976"/>
      <c r="C1458" s="976"/>
      <c r="D1458" s="976"/>
      <c r="E1458" s="976"/>
      <c r="R1458" s="977"/>
      <c r="S1458" s="977"/>
      <c r="T1458" s="977"/>
      <c r="U1458" s="977"/>
      <c r="V1458" s="977"/>
      <c r="W1458" s="977"/>
      <c r="X1458" s="977"/>
      <c r="Y1458" s="977"/>
    </row>
    <row r="1459" spans="1:25" x14ac:dyDescent="0.2">
      <c r="A1459" s="976"/>
      <c r="B1459" s="976"/>
      <c r="C1459" s="976"/>
      <c r="D1459" s="976"/>
      <c r="E1459" s="976"/>
      <c r="R1459" s="977"/>
      <c r="S1459" s="977"/>
      <c r="T1459" s="977"/>
      <c r="U1459" s="977"/>
      <c r="V1459" s="977"/>
      <c r="W1459" s="977"/>
      <c r="X1459" s="977"/>
      <c r="Y1459" s="977"/>
    </row>
    <row r="1460" spans="1:25" x14ac:dyDescent="0.2">
      <c r="A1460" s="976"/>
      <c r="B1460" s="976"/>
      <c r="C1460" s="976"/>
      <c r="D1460" s="976"/>
      <c r="E1460" s="976"/>
      <c r="R1460" s="977"/>
      <c r="S1460" s="977"/>
      <c r="T1460" s="977"/>
      <c r="U1460" s="977"/>
      <c r="V1460" s="977"/>
      <c r="W1460" s="977"/>
      <c r="X1460" s="977"/>
      <c r="Y1460" s="977"/>
    </row>
    <row r="1461" spans="1:25" x14ac:dyDescent="0.2">
      <c r="A1461" s="976"/>
      <c r="B1461" s="976"/>
      <c r="C1461" s="976"/>
      <c r="D1461" s="976"/>
      <c r="E1461" s="976"/>
      <c r="R1461" s="977"/>
      <c r="S1461" s="977"/>
      <c r="T1461" s="977"/>
      <c r="U1461" s="977"/>
      <c r="V1461" s="977"/>
      <c r="W1461" s="977"/>
      <c r="X1461" s="977"/>
      <c r="Y1461" s="977"/>
    </row>
    <row r="1462" spans="1:25" x14ac:dyDescent="0.2">
      <c r="A1462" s="976"/>
      <c r="B1462" s="976"/>
      <c r="C1462" s="976"/>
      <c r="D1462" s="976"/>
      <c r="E1462" s="976"/>
      <c r="R1462" s="977"/>
      <c r="S1462" s="977"/>
      <c r="T1462" s="977"/>
      <c r="U1462" s="977"/>
      <c r="V1462" s="977"/>
      <c r="W1462" s="977"/>
      <c r="X1462" s="977"/>
      <c r="Y1462" s="977"/>
    </row>
    <row r="1463" spans="1:25" x14ac:dyDescent="0.2">
      <c r="A1463" s="976"/>
      <c r="B1463" s="976"/>
      <c r="C1463" s="976"/>
      <c r="D1463" s="976"/>
      <c r="E1463" s="976"/>
      <c r="R1463" s="977"/>
      <c r="S1463" s="977"/>
      <c r="T1463" s="977"/>
      <c r="U1463" s="977"/>
      <c r="V1463" s="977"/>
      <c r="W1463" s="977"/>
      <c r="X1463" s="977"/>
      <c r="Y1463" s="977"/>
    </row>
    <row r="1464" spans="1:25" x14ac:dyDescent="0.2">
      <c r="A1464" s="976"/>
      <c r="B1464" s="976"/>
      <c r="C1464" s="976"/>
      <c r="D1464" s="976"/>
      <c r="E1464" s="976"/>
      <c r="R1464" s="977"/>
      <c r="S1464" s="977"/>
      <c r="T1464" s="977"/>
      <c r="U1464" s="977"/>
      <c r="V1464" s="977"/>
      <c r="W1464" s="977"/>
      <c r="X1464" s="977"/>
      <c r="Y1464" s="977"/>
    </row>
    <row r="1465" spans="1:25" x14ac:dyDescent="0.2">
      <c r="A1465" s="976"/>
      <c r="B1465" s="976"/>
      <c r="C1465" s="976"/>
      <c r="D1465" s="976"/>
      <c r="E1465" s="976"/>
      <c r="R1465" s="977"/>
      <c r="S1465" s="977"/>
      <c r="T1465" s="977"/>
      <c r="U1465" s="977"/>
      <c r="V1465" s="977"/>
      <c r="W1465" s="977"/>
      <c r="X1465" s="977"/>
      <c r="Y1465" s="977"/>
    </row>
    <row r="1466" spans="1:25" x14ac:dyDescent="0.2">
      <c r="A1466" s="976"/>
      <c r="B1466" s="976"/>
      <c r="C1466" s="976"/>
      <c r="D1466" s="976"/>
      <c r="E1466" s="976"/>
      <c r="R1466" s="977"/>
      <c r="S1466" s="977"/>
      <c r="T1466" s="977"/>
      <c r="U1466" s="977"/>
      <c r="V1466" s="977"/>
      <c r="W1466" s="977"/>
      <c r="X1466" s="977"/>
      <c r="Y1466" s="977"/>
    </row>
    <row r="1467" spans="1:25" x14ac:dyDescent="0.2">
      <c r="A1467" s="976"/>
      <c r="B1467" s="976"/>
      <c r="C1467" s="976"/>
      <c r="D1467" s="976"/>
      <c r="E1467" s="976"/>
      <c r="R1467" s="977"/>
      <c r="S1467" s="977"/>
      <c r="T1467" s="977"/>
      <c r="U1467" s="977"/>
      <c r="V1467" s="977"/>
      <c r="W1467" s="977"/>
      <c r="X1467" s="977"/>
      <c r="Y1467" s="977"/>
    </row>
    <row r="1468" spans="1:25" x14ac:dyDescent="0.2">
      <c r="A1468" s="976"/>
      <c r="B1468" s="976"/>
      <c r="C1468" s="976"/>
      <c r="D1468" s="976"/>
      <c r="E1468" s="976"/>
      <c r="R1468" s="977"/>
      <c r="S1468" s="977"/>
      <c r="T1468" s="977"/>
      <c r="U1468" s="977"/>
      <c r="V1468" s="977"/>
      <c r="W1468" s="977"/>
      <c r="X1468" s="977"/>
      <c r="Y1468" s="977"/>
    </row>
    <row r="1469" spans="1:25" x14ac:dyDescent="0.2">
      <c r="A1469" s="976"/>
      <c r="B1469" s="976"/>
      <c r="C1469" s="976"/>
      <c r="D1469" s="976"/>
      <c r="E1469" s="976"/>
      <c r="R1469" s="977"/>
      <c r="S1469" s="977"/>
      <c r="T1469" s="977"/>
      <c r="U1469" s="977"/>
      <c r="V1469" s="977"/>
      <c r="W1469" s="977"/>
      <c r="X1469" s="977"/>
      <c r="Y1469" s="977"/>
    </row>
    <row r="1470" spans="1:25" x14ac:dyDescent="0.2">
      <c r="A1470" s="976"/>
      <c r="B1470" s="976"/>
      <c r="C1470" s="976"/>
      <c r="D1470" s="976"/>
      <c r="E1470" s="976"/>
      <c r="R1470" s="977"/>
      <c r="S1470" s="977"/>
      <c r="T1470" s="977"/>
      <c r="U1470" s="977"/>
      <c r="V1470" s="977"/>
      <c r="W1470" s="977"/>
      <c r="X1470" s="977"/>
      <c r="Y1470" s="977"/>
    </row>
    <row r="1471" spans="1:25" x14ac:dyDescent="0.2">
      <c r="A1471" s="976"/>
      <c r="B1471" s="976"/>
      <c r="C1471" s="976"/>
      <c r="D1471" s="976"/>
      <c r="E1471" s="976"/>
      <c r="R1471" s="977"/>
      <c r="S1471" s="977"/>
      <c r="T1471" s="977"/>
      <c r="U1471" s="977"/>
      <c r="V1471" s="977"/>
      <c r="W1471" s="977"/>
      <c r="X1471" s="977"/>
      <c r="Y1471" s="977"/>
    </row>
    <row r="1472" spans="1:25" x14ac:dyDescent="0.2">
      <c r="A1472" s="976"/>
      <c r="B1472" s="976"/>
      <c r="C1472" s="976"/>
      <c r="D1472" s="976"/>
      <c r="E1472" s="976"/>
      <c r="R1472" s="977"/>
      <c r="S1472" s="977"/>
      <c r="T1472" s="977"/>
      <c r="U1472" s="977"/>
      <c r="V1472" s="977"/>
      <c r="W1472" s="977"/>
      <c r="X1472" s="977"/>
      <c r="Y1472" s="977"/>
    </row>
    <row r="1473" spans="1:25" x14ac:dyDescent="0.2">
      <c r="A1473" s="976"/>
      <c r="B1473" s="976"/>
      <c r="C1473" s="976"/>
      <c r="D1473" s="976"/>
      <c r="E1473" s="976"/>
      <c r="R1473" s="977"/>
      <c r="S1473" s="977"/>
      <c r="T1473" s="977"/>
      <c r="U1473" s="977"/>
      <c r="V1473" s="977"/>
      <c r="W1473" s="977"/>
      <c r="X1473" s="977"/>
      <c r="Y1473" s="977"/>
    </row>
    <row r="1474" spans="1:25" x14ac:dyDescent="0.2">
      <c r="A1474" s="976"/>
      <c r="B1474" s="976"/>
      <c r="C1474" s="976"/>
      <c r="D1474" s="976"/>
      <c r="E1474" s="976"/>
      <c r="R1474" s="977"/>
      <c r="S1474" s="977"/>
      <c r="T1474" s="977"/>
      <c r="U1474" s="977"/>
      <c r="V1474" s="977"/>
      <c r="W1474" s="977"/>
      <c r="X1474" s="977"/>
      <c r="Y1474" s="977"/>
    </row>
    <row r="1475" spans="1:25" x14ac:dyDescent="0.2">
      <c r="A1475" s="976"/>
      <c r="B1475" s="976"/>
      <c r="C1475" s="976"/>
      <c r="D1475" s="976"/>
      <c r="E1475" s="976"/>
      <c r="R1475" s="977"/>
      <c r="S1475" s="977"/>
      <c r="T1475" s="977"/>
      <c r="U1475" s="977"/>
      <c r="V1475" s="977"/>
      <c r="W1475" s="977"/>
      <c r="X1475" s="977"/>
      <c r="Y1475" s="977"/>
    </row>
    <row r="1476" spans="1:25" x14ac:dyDescent="0.2">
      <c r="A1476" s="976"/>
      <c r="B1476" s="976"/>
      <c r="C1476" s="976"/>
      <c r="D1476" s="976"/>
      <c r="E1476" s="976"/>
      <c r="R1476" s="977"/>
      <c r="S1476" s="977"/>
      <c r="T1476" s="977"/>
      <c r="U1476" s="977"/>
      <c r="V1476" s="977"/>
      <c r="W1476" s="977"/>
      <c r="X1476" s="977"/>
      <c r="Y1476" s="977"/>
    </row>
    <row r="1477" spans="1:25" x14ac:dyDescent="0.2">
      <c r="A1477" s="976"/>
      <c r="B1477" s="976"/>
      <c r="C1477" s="976"/>
      <c r="D1477" s="976"/>
      <c r="E1477" s="976"/>
      <c r="R1477" s="977"/>
      <c r="S1477" s="977"/>
      <c r="T1477" s="977"/>
      <c r="U1477" s="977"/>
      <c r="V1477" s="977"/>
      <c r="W1477" s="977"/>
      <c r="X1477" s="977"/>
      <c r="Y1477" s="977"/>
    </row>
    <row r="1478" spans="1:25" x14ac:dyDescent="0.2">
      <c r="A1478" s="976"/>
      <c r="B1478" s="976"/>
      <c r="C1478" s="976"/>
      <c r="D1478" s="976"/>
      <c r="E1478" s="976"/>
      <c r="R1478" s="977"/>
      <c r="S1478" s="977"/>
      <c r="T1478" s="977"/>
      <c r="U1478" s="977"/>
      <c r="V1478" s="977"/>
      <c r="W1478" s="977"/>
      <c r="X1478" s="977"/>
      <c r="Y1478" s="977"/>
    </row>
    <row r="1479" spans="1:25" x14ac:dyDescent="0.2">
      <c r="A1479" s="976"/>
      <c r="B1479" s="976"/>
      <c r="C1479" s="976"/>
      <c r="D1479" s="976"/>
      <c r="E1479" s="976"/>
      <c r="R1479" s="977"/>
      <c r="S1479" s="977"/>
      <c r="T1479" s="977"/>
      <c r="U1479" s="977"/>
      <c r="V1479" s="977"/>
      <c r="W1479" s="977"/>
      <c r="X1479" s="977"/>
      <c r="Y1479" s="977"/>
    </row>
    <row r="1480" spans="1:25" x14ac:dyDescent="0.2">
      <c r="A1480" s="976"/>
      <c r="B1480" s="976"/>
      <c r="C1480" s="976"/>
      <c r="D1480" s="976"/>
      <c r="E1480" s="976"/>
      <c r="R1480" s="977"/>
      <c r="S1480" s="977"/>
      <c r="T1480" s="977"/>
      <c r="U1480" s="977"/>
      <c r="V1480" s="977"/>
      <c r="W1480" s="977"/>
      <c r="X1480" s="977"/>
      <c r="Y1480" s="977"/>
    </row>
    <row r="1481" spans="1:25" x14ac:dyDescent="0.2">
      <c r="A1481" s="976"/>
      <c r="B1481" s="976"/>
      <c r="C1481" s="976"/>
      <c r="D1481" s="976"/>
      <c r="E1481" s="976"/>
      <c r="R1481" s="977"/>
      <c r="S1481" s="977"/>
      <c r="T1481" s="977"/>
      <c r="U1481" s="977"/>
      <c r="V1481" s="977"/>
      <c r="W1481" s="977"/>
      <c r="X1481" s="977"/>
      <c r="Y1481" s="977"/>
    </row>
    <row r="1482" spans="1:25" x14ac:dyDescent="0.2">
      <c r="A1482" s="976"/>
      <c r="B1482" s="976"/>
      <c r="C1482" s="976"/>
      <c r="D1482" s="976"/>
      <c r="E1482" s="976"/>
      <c r="R1482" s="977"/>
      <c r="S1482" s="977"/>
      <c r="T1482" s="977"/>
      <c r="U1482" s="977"/>
      <c r="V1482" s="977"/>
      <c r="W1482" s="977"/>
      <c r="X1482" s="977"/>
      <c r="Y1482" s="977"/>
    </row>
    <row r="1483" spans="1:25" x14ac:dyDescent="0.2">
      <c r="A1483" s="976"/>
      <c r="B1483" s="976"/>
      <c r="C1483" s="976"/>
      <c r="D1483" s="976"/>
      <c r="E1483" s="976"/>
      <c r="R1483" s="977"/>
      <c r="S1483" s="977"/>
      <c r="T1483" s="977"/>
      <c r="U1483" s="977"/>
      <c r="V1483" s="977"/>
      <c r="W1483" s="977"/>
      <c r="X1483" s="977"/>
      <c r="Y1483" s="977"/>
    </row>
    <row r="1484" spans="1:25" x14ac:dyDescent="0.2">
      <c r="A1484" s="976"/>
      <c r="B1484" s="976"/>
      <c r="C1484" s="976"/>
      <c r="D1484" s="976"/>
      <c r="E1484" s="976"/>
      <c r="R1484" s="977"/>
      <c r="S1484" s="977"/>
      <c r="T1484" s="977"/>
      <c r="U1484" s="977"/>
      <c r="V1484" s="977"/>
      <c r="W1484" s="977"/>
      <c r="X1484" s="977"/>
      <c r="Y1484" s="977"/>
    </row>
    <row r="1485" spans="1:25" x14ac:dyDescent="0.2">
      <c r="A1485" s="976"/>
      <c r="B1485" s="976"/>
      <c r="C1485" s="976"/>
      <c r="D1485" s="976"/>
      <c r="E1485" s="976"/>
      <c r="R1485" s="977"/>
      <c r="S1485" s="977"/>
      <c r="T1485" s="977"/>
      <c r="U1485" s="977"/>
      <c r="V1485" s="977"/>
      <c r="W1485" s="977"/>
      <c r="X1485" s="977"/>
      <c r="Y1485" s="977"/>
    </row>
    <row r="1486" spans="1:25" x14ac:dyDescent="0.2">
      <c r="A1486" s="976"/>
      <c r="B1486" s="976"/>
      <c r="C1486" s="976"/>
      <c r="D1486" s="976"/>
      <c r="E1486" s="976"/>
      <c r="R1486" s="977"/>
      <c r="S1486" s="977"/>
      <c r="T1486" s="977"/>
      <c r="U1486" s="977"/>
      <c r="V1486" s="977"/>
      <c r="W1486" s="977"/>
      <c r="X1486" s="977"/>
      <c r="Y1486" s="977"/>
    </row>
    <row r="1487" spans="1:25" x14ac:dyDescent="0.2">
      <c r="A1487" s="976"/>
      <c r="B1487" s="976"/>
      <c r="C1487" s="976"/>
      <c r="D1487" s="976"/>
      <c r="E1487" s="976"/>
      <c r="R1487" s="977"/>
      <c r="S1487" s="977"/>
      <c r="T1487" s="977"/>
      <c r="U1487" s="977"/>
      <c r="V1487" s="977"/>
      <c r="W1487" s="977"/>
      <c r="X1487" s="977"/>
      <c r="Y1487" s="977"/>
    </row>
    <row r="1488" spans="1:25" x14ac:dyDescent="0.2">
      <c r="A1488" s="976"/>
      <c r="B1488" s="976"/>
      <c r="C1488" s="976"/>
      <c r="D1488" s="976"/>
      <c r="E1488" s="976"/>
      <c r="R1488" s="977"/>
      <c r="S1488" s="977"/>
      <c r="T1488" s="977"/>
      <c r="U1488" s="977"/>
      <c r="V1488" s="977"/>
      <c r="W1488" s="977"/>
      <c r="X1488" s="977"/>
      <c r="Y1488" s="977"/>
    </row>
    <row r="1489" spans="1:25" x14ac:dyDescent="0.2">
      <c r="A1489" s="976"/>
      <c r="B1489" s="976"/>
      <c r="C1489" s="976"/>
      <c r="D1489" s="976"/>
      <c r="E1489" s="976"/>
      <c r="R1489" s="977"/>
      <c r="S1489" s="977"/>
      <c r="T1489" s="977"/>
      <c r="U1489" s="977"/>
      <c r="V1489" s="977"/>
      <c r="W1489" s="977"/>
      <c r="X1489" s="977"/>
      <c r="Y1489" s="977"/>
    </row>
    <row r="1490" spans="1:25" x14ac:dyDescent="0.2">
      <c r="A1490" s="976"/>
      <c r="B1490" s="976"/>
      <c r="C1490" s="976"/>
      <c r="D1490" s="976"/>
      <c r="E1490" s="976"/>
      <c r="R1490" s="977"/>
      <c r="S1490" s="977"/>
      <c r="T1490" s="977"/>
      <c r="U1490" s="977"/>
      <c r="V1490" s="977"/>
      <c r="W1490" s="977"/>
      <c r="X1490" s="977"/>
      <c r="Y1490" s="977"/>
    </row>
    <row r="1491" spans="1:25" x14ac:dyDescent="0.2">
      <c r="A1491" s="976"/>
      <c r="B1491" s="976"/>
      <c r="C1491" s="976"/>
      <c r="D1491" s="976"/>
      <c r="E1491" s="976"/>
      <c r="R1491" s="977"/>
      <c r="S1491" s="977"/>
      <c r="T1491" s="977"/>
      <c r="U1491" s="977"/>
      <c r="V1491" s="977"/>
      <c r="W1491" s="977"/>
      <c r="X1491" s="977"/>
      <c r="Y1491" s="977"/>
    </row>
    <row r="1492" spans="1:25" x14ac:dyDescent="0.2">
      <c r="A1492" s="976"/>
      <c r="B1492" s="976"/>
      <c r="C1492" s="976"/>
      <c r="D1492" s="976"/>
      <c r="E1492" s="976"/>
      <c r="R1492" s="977"/>
      <c r="S1492" s="977"/>
      <c r="T1492" s="977"/>
      <c r="U1492" s="977"/>
      <c r="V1492" s="977"/>
      <c r="W1492" s="977"/>
      <c r="X1492" s="977"/>
      <c r="Y1492" s="977"/>
    </row>
    <row r="1493" spans="1:25" x14ac:dyDescent="0.2">
      <c r="A1493" s="976"/>
      <c r="B1493" s="976"/>
      <c r="C1493" s="976"/>
      <c r="D1493" s="976"/>
      <c r="E1493" s="976"/>
      <c r="R1493" s="977"/>
      <c r="S1493" s="977"/>
      <c r="T1493" s="977"/>
      <c r="U1493" s="977"/>
      <c r="V1493" s="977"/>
      <c r="W1493" s="977"/>
      <c r="X1493" s="977"/>
      <c r="Y1493" s="977"/>
    </row>
    <row r="1494" spans="1:25" x14ac:dyDescent="0.2">
      <c r="A1494" s="976"/>
      <c r="B1494" s="976"/>
      <c r="C1494" s="976"/>
      <c r="D1494" s="976"/>
      <c r="E1494" s="976"/>
      <c r="R1494" s="977"/>
      <c r="S1494" s="977"/>
      <c r="T1494" s="977"/>
      <c r="U1494" s="977"/>
      <c r="V1494" s="977"/>
      <c r="W1494" s="977"/>
      <c r="X1494" s="977"/>
      <c r="Y1494" s="977"/>
    </row>
    <row r="1495" spans="1:25" x14ac:dyDescent="0.2">
      <c r="A1495" s="976"/>
      <c r="B1495" s="976"/>
      <c r="C1495" s="976"/>
      <c r="D1495" s="976"/>
      <c r="E1495" s="976"/>
      <c r="R1495" s="977"/>
      <c r="S1495" s="977"/>
      <c r="T1495" s="977"/>
      <c r="U1495" s="977"/>
      <c r="V1495" s="977"/>
      <c r="W1495" s="977"/>
      <c r="X1495" s="977"/>
      <c r="Y1495" s="977"/>
    </row>
    <row r="1496" spans="1:25" x14ac:dyDescent="0.2">
      <c r="A1496" s="976"/>
      <c r="B1496" s="976"/>
      <c r="C1496" s="976"/>
      <c r="D1496" s="976"/>
      <c r="E1496" s="976"/>
      <c r="R1496" s="977"/>
      <c r="S1496" s="977"/>
      <c r="T1496" s="977"/>
      <c r="U1496" s="977"/>
      <c r="V1496" s="977"/>
      <c r="W1496" s="977"/>
      <c r="X1496" s="977"/>
      <c r="Y1496" s="977"/>
    </row>
    <row r="1497" spans="1:25" x14ac:dyDescent="0.2">
      <c r="A1497" s="976"/>
      <c r="B1497" s="976"/>
      <c r="C1497" s="976"/>
      <c r="D1497" s="976"/>
      <c r="E1497" s="976"/>
      <c r="R1497" s="977"/>
      <c r="S1497" s="977"/>
      <c r="T1497" s="977"/>
      <c r="U1497" s="977"/>
      <c r="V1497" s="977"/>
      <c r="W1497" s="977"/>
      <c r="X1497" s="977"/>
      <c r="Y1497" s="977"/>
    </row>
    <row r="1498" spans="1:25" x14ac:dyDescent="0.2">
      <c r="A1498" s="976"/>
      <c r="B1498" s="976"/>
      <c r="C1498" s="976"/>
      <c r="D1498" s="976"/>
      <c r="E1498" s="976"/>
      <c r="R1498" s="977"/>
      <c r="S1498" s="977"/>
      <c r="T1498" s="977"/>
      <c r="U1498" s="977"/>
      <c r="V1498" s="977"/>
      <c r="W1498" s="977"/>
      <c r="X1498" s="977"/>
      <c r="Y1498" s="977"/>
    </row>
    <row r="1499" spans="1:25" x14ac:dyDescent="0.2">
      <c r="A1499" s="976"/>
      <c r="B1499" s="976"/>
      <c r="C1499" s="976"/>
      <c r="D1499" s="976"/>
      <c r="E1499" s="976"/>
      <c r="R1499" s="977"/>
      <c r="S1499" s="977"/>
      <c r="T1499" s="977"/>
      <c r="U1499" s="977"/>
      <c r="V1499" s="977"/>
      <c r="W1499" s="977"/>
      <c r="X1499" s="977"/>
      <c r="Y1499" s="977"/>
    </row>
    <row r="1500" spans="1:25" x14ac:dyDescent="0.2">
      <c r="A1500" s="976"/>
      <c r="B1500" s="976"/>
      <c r="C1500" s="976"/>
      <c r="D1500" s="976"/>
      <c r="E1500" s="976"/>
      <c r="R1500" s="977"/>
      <c r="S1500" s="977"/>
      <c r="T1500" s="977"/>
      <c r="U1500" s="977"/>
      <c r="V1500" s="977"/>
      <c r="W1500" s="977"/>
      <c r="X1500" s="977"/>
      <c r="Y1500" s="977"/>
    </row>
    <row r="1501" spans="1:25" x14ac:dyDescent="0.2">
      <c r="A1501" s="976"/>
      <c r="B1501" s="976"/>
      <c r="C1501" s="976"/>
      <c r="D1501" s="976"/>
      <c r="E1501" s="976"/>
      <c r="R1501" s="977"/>
      <c r="S1501" s="977"/>
      <c r="T1501" s="977"/>
      <c r="U1501" s="977"/>
      <c r="V1501" s="977"/>
      <c r="W1501" s="977"/>
      <c r="X1501" s="977"/>
      <c r="Y1501" s="977"/>
    </row>
    <row r="1502" spans="1:25" x14ac:dyDescent="0.2">
      <c r="A1502" s="976"/>
      <c r="B1502" s="976"/>
      <c r="C1502" s="976"/>
      <c r="D1502" s="976"/>
      <c r="E1502" s="976"/>
      <c r="R1502" s="977"/>
      <c r="S1502" s="977"/>
      <c r="T1502" s="977"/>
      <c r="U1502" s="977"/>
      <c r="V1502" s="977"/>
      <c r="W1502" s="977"/>
      <c r="X1502" s="977"/>
      <c r="Y1502" s="977"/>
    </row>
    <row r="1503" spans="1:25" x14ac:dyDescent="0.2">
      <c r="A1503" s="976"/>
      <c r="B1503" s="976"/>
      <c r="C1503" s="976"/>
      <c r="D1503" s="976"/>
      <c r="E1503" s="976"/>
      <c r="R1503" s="977"/>
      <c r="S1503" s="977"/>
      <c r="T1503" s="977"/>
      <c r="U1503" s="977"/>
      <c r="V1503" s="977"/>
      <c r="W1503" s="977"/>
      <c r="X1503" s="977"/>
      <c r="Y1503" s="977"/>
    </row>
    <row r="1504" spans="1:25" x14ac:dyDescent="0.2">
      <c r="A1504" s="976"/>
      <c r="B1504" s="976"/>
      <c r="C1504" s="976"/>
      <c r="D1504" s="976"/>
      <c r="E1504" s="976"/>
      <c r="R1504" s="977"/>
      <c r="S1504" s="977"/>
      <c r="T1504" s="977"/>
      <c r="U1504" s="977"/>
      <c r="V1504" s="977"/>
      <c r="W1504" s="977"/>
      <c r="X1504" s="977"/>
      <c r="Y1504" s="977"/>
    </row>
    <row r="1505" spans="1:25" x14ac:dyDescent="0.2">
      <c r="A1505" s="976"/>
      <c r="B1505" s="976"/>
      <c r="C1505" s="976"/>
      <c r="D1505" s="976"/>
      <c r="E1505" s="976"/>
      <c r="R1505" s="977"/>
      <c r="S1505" s="977"/>
      <c r="T1505" s="977"/>
      <c r="U1505" s="977"/>
      <c r="V1505" s="977"/>
      <c r="W1505" s="977"/>
      <c r="X1505" s="977"/>
      <c r="Y1505" s="977"/>
    </row>
    <row r="1506" spans="1:25" x14ac:dyDescent="0.2">
      <c r="A1506" s="976"/>
      <c r="B1506" s="976"/>
      <c r="C1506" s="976"/>
      <c r="D1506" s="976"/>
      <c r="E1506" s="976"/>
      <c r="R1506" s="977"/>
      <c r="S1506" s="977"/>
      <c r="T1506" s="977"/>
      <c r="U1506" s="977"/>
      <c r="V1506" s="977"/>
      <c r="W1506" s="977"/>
      <c r="X1506" s="977"/>
      <c r="Y1506" s="977"/>
    </row>
    <row r="1507" spans="1:25" x14ac:dyDescent="0.2">
      <c r="A1507" s="976"/>
      <c r="B1507" s="976"/>
      <c r="C1507" s="976"/>
      <c r="D1507" s="976"/>
      <c r="E1507" s="976"/>
      <c r="R1507" s="977"/>
      <c r="S1507" s="977"/>
      <c r="T1507" s="977"/>
      <c r="U1507" s="977"/>
      <c r="V1507" s="977"/>
      <c r="W1507" s="977"/>
      <c r="X1507" s="977"/>
      <c r="Y1507" s="977"/>
    </row>
    <row r="1508" spans="1:25" x14ac:dyDescent="0.2">
      <c r="A1508" s="976"/>
      <c r="B1508" s="976"/>
      <c r="C1508" s="976"/>
      <c r="D1508" s="976"/>
      <c r="E1508" s="976"/>
      <c r="R1508" s="977"/>
      <c r="S1508" s="977"/>
      <c r="T1508" s="977"/>
      <c r="U1508" s="977"/>
      <c r="V1508" s="977"/>
      <c r="W1508" s="977"/>
      <c r="X1508" s="977"/>
      <c r="Y1508" s="977"/>
    </row>
    <row r="1509" spans="1:25" x14ac:dyDescent="0.2">
      <c r="A1509" s="976"/>
      <c r="B1509" s="976"/>
      <c r="C1509" s="976"/>
      <c r="D1509" s="976"/>
      <c r="E1509" s="976"/>
      <c r="R1509" s="977"/>
      <c r="S1509" s="977"/>
      <c r="T1509" s="977"/>
      <c r="U1509" s="977"/>
      <c r="V1509" s="977"/>
      <c r="W1509" s="977"/>
      <c r="X1509" s="977"/>
      <c r="Y1509" s="977"/>
    </row>
    <row r="1510" spans="1:25" x14ac:dyDescent="0.2">
      <c r="A1510" s="976"/>
      <c r="B1510" s="976"/>
      <c r="C1510" s="976"/>
      <c r="D1510" s="976"/>
      <c r="E1510" s="976"/>
      <c r="R1510" s="977"/>
      <c r="S1510" s="977"/>
      <c r="T1510" s="977"/>
      <c r="U1510" s="977"/>
      <c r="V1510" s="977"/>
      <c r="W1510" s="977"/>
      <c r="X1510" s="977"/>
      <c r="Y1510" s="977"/>
    </row>
    <row r="1511" spans="1:25" x14ac:dyDescent="0.2">
      <c r="A1511" s="976"/>
      <c r="B1511" s="976"/>
      <c r="C1511" s="976"/>
      <c r="D1511" s="976"/>
      <c r="E1511" s="976"/>
      <c r="R1511" s="977"/>
      <c r="S1511" s="977"/>
      <c r="T1511" s="977"/>
      <c r="U1511" s="977"/>
      <c r="V1511" s="977"/>
      <c r="W1511" s="977"/>
      <c r="X1511" s="977"/>
      <c r="Y1511" s="977"/>
    </row>
    <row r="1512" spans="1:25" x14ac:dyDescent="0.2">
      <c r="A1512" s="976"/>
      <c r="B1512" s="976"/>
      <c r="C1512" s="976"/>
      <c r="D1512" s="976"/>
      <c r="E1512" s="976"/>
      <c r="R1512" s="977"/>
      <c r="S1512" s="977"/>
      <c r="T1512" s="977"/>
      <c r="U1512" s="977"/>
      <c r="V1512" s="977"/>
      <c r="W1512" s="977"/>
      <c r="X1512" s="977"/>
      <c r="Y1512" s="977"/>
    </row>
    <row r="1513" spans="1:25" x14ac:dyDescent="0.2">
      <c r="A1513" s="976"/>
      <c r="B1513" s="976"/>
      <c r="C1513" s="976"/>
      <c r="D1513" s="976"/>
      <c r="E1513" s="976"/>
      <c r="R1513" s="977"/>
      <c r="S1513" s="977"/>
      <c r="T1513" s="977"/>
      <c r="U1513" s="977"/>
      <c r="V1513" s="977"/>
      <c r="W1513" s="977"/>
      <c r="X1513" s="977"/>
      <c r="Y1513" s="977"/>
    </row>
    <row r="1514" spans="1:25" x14ac:dyDescent="0.2">
      <c r="A1514" s="976"/>
      <c r="B1514" s="976"/>
      <c r="C1514" s="976"/>
      <c r="D1514" s="976"/>
      <c r="E1514" s="976"/>
      <c r="R1514" s="977"/>
      <c r="S1514" s="977"/>
      <c r="T1514" s="977"/>
      <c r="U1514" s="977"/>
      <c r="V1514" s="977"/>
      <c r="W1514" s="977"/>
      <c r="X1514" s="977"/>
      <c r="Y1514" s="977"/>
    </row>
    <row r="1515" spans="1:25" x14ac:dyDescent="0.2">
      <c r="A1515" s="976"/>
      <c r="B1515" s="976"/>
      <c r="C1515" s="976"/>
      <c r="D1515" s="976"/>
      <c r="E1515" s="976"/>
      <c r="R1515" s="977"/>
      <c r="S1515" s="977"/>
      <c r="T1515" s="977"/>
      <c r="U1515" s="977"/>
      <c r="V1515" s="977"/>
      <c r="W1515" s="977"/>
      <c r="X1515" s="977"/>
      <c r="Y1515" s="977"/>
    </row>
    <row r="1516" spans="1:25" x14ac:dyDescent="0.2">
      <c r="A1516" s="976"/>
      <c r="B1516" s="976"/>
      <c r="C1516" s="976"/>
      <c r="D1516" s="976"/>
      <c r="E1516" s="976"/>
      <c r="R1516" s="977"/>
      <c r="S1516" s="977"/>
      <c r="T1516" s="977"/>
      <c r="U1516" s="977"/>
      <c r="V1516" s="977"/>
      <c r="W1516" s="977"/>
      <c r="X1516" s="977"/>
      <c r="Y1516" s="977"/>
    </row>
    <row r="1517" spans="1:25" x14ac:dyDescent="0.2">
      <c r="A1517" s="976"/>
      <c r="B1517" s="976"/>
      <c r="C1517" s="976"/>
      <c r="D1517" s="976"/>
      <c r="E1517" s="976"/>
      <c r="R1517" s="977"/>
      <c r="S1517" s="977"/>
      <c r="T1517" s="977"/>
      <c r="U1517" s="977"/>
      <c r="V1517" s="977"/>
      <c r="W1517" s="977"/>
      <c r="X1517" s="977"/>
      <c r="Y1517" s="977"/>
    </row>
    <row r="1518" spans="1:25" x14ac:dyDescent="0.2">
      <c r="A1518" s="976"/>
      <c r="B1518" s="976"/>
      <c r="C1518" s="976"/>
      <c r="D1518" s="976"/>
      <c r="E1518" s="976"/>
      <c r="R1518" s="977"/>
      <c r="S1518" s="977"/>
      <c r="T1518" s="977"/>
      <c r="U1518" s="977"/>
      <c r="V1518" s="977"/>
      <c r="W1518" s="977"/>
      <c r="X1518" s="977"/>
      <c r="Y1518" s="977"/>
    </row>
    <row r="1519" spans="1:25" x14ac:dyDescent="0.2">
      <c r="A1519" s="976"/>
      <c r="B1519" s="976"/>
      <c r="C1519" s="976"/>
      <c r="D1519" s="976"/>
      <c r="E1519" s="976"/>
      <c r="R1519" s="977"/>
      <c r="S1519" s="977"/>
      <c r="T1519" s="977"/>
      <c r="U1519" s="977"/>
      <c r="V1519" s="977"/>
      <c r="W1519" s="977"/>
      <c r="X1519" s="977"/>
      <c r="Y1519" s="977"/>
    </row>
    <row r="1520" spans="1:25" x14ac:dyDescent="0.2">
      <c r="A1520" s="976"/>
      <c r="B1520" s="976"/>
      <c r="C1520" s="976"/>
      <c r="D1520" s="976"/>
      <c r="E1520" s="976"/>
      <c r="R1520" s="977"/>
      <c r="S1520" s="977"/>
      <c r="T1520" s="977"/>
      <c r="U1520" s="977"/>
      <c r="V1520" s="977"/>
      <c r="W1520" s="977"/>
      <c r="X1520" s="977"/>
      <c r="Y1520" s="977"/>
    </row>
    <row r="1521" spans="1:25" x14ac:dyDescent="0.2">
      <c r="A1521" s="976"/>
      <c r="B1521" s="976"/>
      <c r="C1521" s="976"/>
      <c r="D1521" s="976"/>
      <c r="E1521" s="976"/>
      <c r="R1521" s="977"/>
      <c r="S1521" s="977"/>
      <c r="T1521" s="977"/>
      <c r="U1521" s="977"/>
      <c r="V1521" s="977"/>
      <c r="W1521" s="977"/>
      <c r="X1521" s="977"/>
      <c r="Y1521" s="977"/>
    </row>
    <row r="1522" spans="1:25" x14ac:dyDescent="0.2">
      <c r="A1522" s="976"/>
      <c r="B1522" s="976"/>
      <c r="C1522" s="976"/>
      <c r="D1522" s="976"/>
      <c r="E1522" s="976"/>
      <c r="R1522" s="977"/>
      <c r="S1522" s="977"/>
      <c r="T1522" s="977"/>
      <c r="U1522" s="977"/>
      <c r="V1522" s="977"/>
      <c r="W1522" s="977"/>
      <c r="X1522" s="977"/>
      <c r="Y1522" s="977"/>
    </row>
    <row r="1523" spans="1:25" x14ac:dyDescent="0.2">
      <c r="A1523" s="976"/>
      <c r="B1523" s="976"/>
      <c r="C1523" s="976"/>
      <c r="D1523" s="976"/>
      <c r="E1523" s="976"/>
      <c r="R1523" s="977"/>
      <c r="S1523" s="977"/>
      <c r="T1523" s="977"/>
      <c r="U1523" s="977"/>
      <c r="V1523" s="977"/>
      <c r="W1523" s="977"/>
      <c r="X1523" s="977"/>
      <c r="Y1523" s="977"/>
    </row>
    <row r="1524" spans="1:25" x14ac:dyDescent="0.2">
      <c r="A1524" s="976"/>
      <c r="B1524" s="976"/>
      <c r="C1524" s="976"/>
      <c r="D1524" s="976"/>
      <c r="E1524" s="976"/>
      <c r="R1524" s="977"/>
      <c r="S1524" s="977"/>
      <c r="T1524" s="977"/>
      <c r="U1524" s="977"/>
      <c r="V1524" s="977"/>
      <c r="W1524" s="977"/>
      <c r="X1524" s="977"/>
      <c r="Y1524" s="977"/>
    </row>
    <row r="1525" spans="1:25" x14ac:dyDescent="0.2">
      <c r="A1525" s="976"/>
      <c r="B1525" s="976"/>
      <c r="C1525" s="976"/>
      <c r="D1525" s="976"/>
      <c r="E1525" s="976"/>
      <c r="R1525" s="977"/>
      <c r="S1525" s="977"/>
      <c r="T1525" s="977"/>
      <c r="U1525" s="977"/>
      <c r="V1525" s="977"/>
      <c r="W1525" s="977"/>
      <c r="X1525" s="977"/>
      <c r="Y1525" s="977"/>
    </row>
    <row r="1526" spans="1:25" x14ac:dyDescent="0.2">
      <c r="A1526" s="976"/>
      <c r="B1526" s="976"/>
      <c r="C1526" s="976"/>
      <c r="D1526" s="976"/>
      <c r="E1526" s="976"/>
      <c r="R1526" s="977"/>
      <c r="S1526" s="977"/>
      <c r="T1526" s="977"/>
      <c r="U1526" s="977"/>
      <c r="V1526" s="977"/>
      <c r="W1526" s="977"/>
      <c r="X1526" s="977"/>
      <c r="Y1526" s="977"/>
    </row>
    <row r="1527" spans="1:25" x14ac:dyDescent="0.2">
      <c r="A1527" s="976"/>
      <c r="B1527" s="976"/>
      <c r="C1527" s="976"/>
      <c r="D1527" s="976"/>
      <c r="E1527" s="976"/>
      <c r="R1527" s="977"/>
      <c r="S1527" s="977"/>
      <c r="T1527" s="977"/>
      <c r="U1527" s="977"/>
      <c r="V1527" s="977"/>
      <c r="W1527" s="977"/>
      <c r="X1527" s="977"/>
      <c r="Y1527" s="977"/>
    </row>
    <row r="1528" spans="1:25" x14ac:dyDescent="0.2">
      <c r="A1528" s="976"/>
      <c r="B1528" s="976"/>
      <c r="C1528" s="976"/>
      <c r="D1528" s="976"/>
      <c r="E1528" s="976"/>
      <c r="R1528" s="977"/>
      <c r="S1528" s="977"/>
      <c r="T1528" s="977"/>
      <c r="U1528" s="977"/>
      <c r="V1528" s="977"/>
      <c r="W1528" s="977"/>
      <c r="X1528" s="977"/>
      <c r="Y1528" s="977"/>
    </row>
    <row r="1529" spans="1:25" x14ac:dyDescent="0.2">
      <c r="A1529" s="976"/>
      <c r="B1529" s="976"/>
      <c r="C1529" s="976"/>
      <c r="D1529" s="976"/>
      <c r="E1529" s="976"/>
      <c r="R1529" s="977"/>
      <c r="S1529" s="977"/>
      <c r="T1529" s="977"/>
      <c r="U1529" s="977"/>
      <c r="V1529" s="977"/>
      <c r="W1529" s="977"/>
      <c r="X1529" s="977"/>
      <c r="Y1529" s="977"/>
    </row>
    <row r="1530" spans="1:25" x14ac:dyDescent="0.2">
      <c r="A1530" s="976"/>
      <c r="B1530" s="976"/>
      <c r="C1530" s="976"/>
      <c r="D1530" s="976"/>
      <c r="E1530" s="976"/>
      <c r="R1530" s="977"/>
      <c r="S1530" s="977"/>
      <c r="T1530" s="977"/>
      <c r="U1530" s="977"/>
      <c r="V1530" s="977"/>
      <c r="W1530" s="977"/>
      <c r="X1530" s="977"/>
      <c r="Y1530" s="977"/>
    </row>
    <row r="1531" spans="1:25" x14ac:dyDescent="0.2">
      <c r="A1531" s="976"/>
      <c r="B1531" s="976"/>
      <c r="C1531" s="976"/>
      <c r="D1531" s="976"/>
      <c r="E1531" s="976"/>
      <c r="R1531" s="977"/>
      <c r="S1531" s="977"/>
      <c r="T1531" s="977"/>
      <c r="U1531" s="977"/>
      <c r="V1531" s="977"/>
      <c r="W1531" s="977"/>
      <c r="X1531" s="977"/>
      <c r="Y1531" s="977"/>
    </row>
    <row r="1532" spans="1:25" x14ac:dyDescent="0.2">
      <c r="A1532" s="976"/>
      <c r="B1532" s="976"/>
      <c r="C1532" s="976"/>
      <c r="D1532" s="976"/>
      <c r="E1532" s="976"/>
      <c r="R1532" s="977"/>
      <c r="S1532" s="977"/>
      <c r="T1532" s="977"/>
      <c r="U1532" s="977"/>
      <c r="V1532" s="977"/>
      <c r="W1532" s="977"/>
      <c r="X1532" s="977"/>
      <c r="Y1532" s="977"/>
    </row>
    <row r="1533" spans="1:25" x14ac:dyDescent="0.2">
      <c r="A1533" s="976"/>
      <c r="B1533" s="976"/>
      <c r="C1533" s="976"/>
      <c r="D1533" s="976"/>
      <c r="E1533" s="976"/>
      <c r="R1533" s="977"/>
      <c r="S1533" s="977"/>
      <c r="T1533" s="977"/>
      <c r="U1533" s="977"/>
      <c r="V1533" s="977"/>
      <c r="W1533" s="977"/>
      <c r="X1533" s="977"/>
      <c r="Y1533" s="977"/>
    </row>
    <row r="1534" spans="1:25" x14ac:dyDescent="0.2">
      <c r="A1534" s="976"/>
      <c r="B1534" s="976"/>
      <c r="C1534" s="976"/>
      <c r="D1534" s="976"/>
      <c r="E1534" s="976"/>
      <c r="R1534" s="977"/>
      <c r="S1534" s="977"/>
      <c r="T1534" s="977"/>
      <c r="U1534" s="977"/>
      <c r="V1534" s="977"/>
      <c r="W1534" s="977"/>
      <c r="X1534" s="977"/>
      <c r="Y1534" s="977"/>
    </row>
    <row r="1535" spans="1:25" x14ac:dyDescent="0.2">
      <c r="A1535" s="976"/>
      <c r="B1535" s="976"/>
      <c r="C1535" s="976"/>
      <c r="D1535" s="976"/>
      <c r="E1535" s="976"/>
      <c r="R1535" s="977"/>
      <c r="S1535" s="977"/>
      <c r="T1535" s="977"/>
      <c r="U1535" s="977"/>
      <c r="V1535" s="977"/>
      <c r="W1535" s="977"/>
      <c r="X1535" s="977"/>
      <c r="Y1535" s="977"/>
    </row>
    <row r="1536" spans="1:25" x14ac:dyDescent="0.2">
      <c r="A1536" s="976"/>
      <c r="B1536" s="976"/>
      <c r="C1536" s="976"/>
      <c r="D1536" s="976"/>
      <c r="E1536" s="976"/>
      <c r="R1536" s="977"/>
      <c r="S1536" s="977"/>
      <c r="T1536" s="977"/>
      <c r="U1536" s="977"/>
      <c r="V1536" s="977"/>
      <c r="W1536" s="977"/>
      <c r="X1536" s="977"/>
      <c r="Y1536" s="977"/>
    </row>
    <row r="1537" spans="1:25" x14ac:dyDescent="0.2">
      <c r="A1537" s="976"/>
      <c r="B1537" s="976"/>
      <c r="C1537" s="976"/>
      <c r="D1537" s="976"/>
      <c r="E1537" s="976"/>
      <c r="R1537" s="977"/>
      <c r="S1537" s="977"/>
      <c r="T1537" s="977"/>
      <c r="U1537" s="977"/>
      <c r="V1537" s="977"/>
      <c r="W1537" s="977"/>
      <c r="X1537" s="977"/>
      <c r="Y1537" s="977"/>
    </row>
    <row r="1538" spans="1:25" x14ac:dyDescent="0.2">
      <c r="A1538" s="976"/>
      <c r="B1538" s="976"/>
      <c r="C1538" s="976"/>
      <c r="D1538" s="976"/>
      <c r="E1538" s="976"/>
      <c r="R1538" s="977"/>
      <c r="S1538" s="977"/>
      <c r="T1538" s="977"/>
      <c r="U1538" s="977"/>
      <c r="V1538" s="977"/>
      <c r="W1538" s="977"/>
      <c r="X1538" s="977"/>
      <c r="Y1538" s="977"/>
    </row>
    <row r="1539" spans="1:25" x14ac:dyDescent="0.2">
      <c r="A1539" s="976"/>
      <c r="B1539" s="976"/>
      <c r="C1539" s="976"/>
      <c r="D1539" s="976"/>
      <c r="E1539" s="976"/>
      <c r="R1539" s="977"/>
      <c r="S1539" s="977"/>
      <c r="T1539" s="977"/>
      <c r="U1539" s="977"/>
      <c r="V1539" s="977"/>
      <c r="W1539" s="977"/>
      <c r="X1539" s="977"/>
      <c r="Y1539" s="977"/>
    </row>
    <row r="1540" spans="1:25" x14ac:dyDescent="0.2">
      <c r="A1540" s="976"/>
      <c r="B1540" s="976"/>
      <c r="C1540" s="976"/>
      <c r="D1540" s="976"/>
      <c r="E1540" s="976"/>
      <c r="R1540" s="977"/>
      <c r="S1540" s="977"/>
      <c r="T1540" s="977"/>
      <c r="U1540" s="977"/>
      <c r="V1540" s="977"/>
      <c r="W1540" s="977"/>
      <c r="X1540" s="977"/>
      <c r="Y1540" s="977"/>
    </row>
    <row r="1541" spans="1:25" x14ac:dyDescent="0.2">
      <c r="A1541" s="976"/>
      <c r="B1541" s="976"/>
      <c r="C1541" s="976"/>
      <c r="D1541" s="976"/>
      <c r="E1541" s="976"/>
      <c r="R1541" s="977"/>
      <c r="S1541" s="977"/>
      <c r="T1541" s="977"/>
      <c r="U1541" s="977"/>
      <c r="V1541" s="977"/>
      <c r="W1541" s="977"/>
      <c r="X1541" s="977"/>
      <c r="Y1541" s="977"/>
    </row>
    <row r="1542" spans="1:25" x14ac:dyDescent="0.2">
      <c r="A1542" s="976"/>
      <c r="B1542" s="976"/>
      <c r="C1542" s="976"/>
      <c r="D1542" s="976"/>
      <c r="E1542" s="976"/>
      <c r="R1542" s="977"/>
      <c r="S1542" s="977"/>
      <c r="T1542" s="977"/>
      <c r="U1542" s="977"/>
      <c r="V1542" s="977"/>
      <c r="W1542" s="977"/>
      <c r="X1542" s="977"/>
      <c r="Y1542" s="977"/>
    </row>
    <row r="1543" spans="1:25" x14ac:dyDescent="0.2">
      <c r="A1543" s="976"/>
      <c r="B1543" s="976"/>
      <c r="C1543" s="976"/>
      <c r="D1543" s="976"/>
      <c r="E1543" s="976"/>
      <c r="R1543" s="977"/>
      <c r="S1543" s="977"/>
      <c r="T1543" s="977"/>
      <c r="U1543" s="977"/>
      <c r="V1543" s="977"/>
      <c r="W1543" s="977"/>
      <c r="X1543" s="977"/>
      <c r="Y1543" s="977"/>
    </row>
    <row r="1544" spans="1:25" x14ac:dyDescent="0.2">
      <c r="A1544" s="976"/>
      <c r="B1544" s="976"/>
      <c r="C1544" s="976"/>
      <c r="D1544" s="976"/>
      <c r="E1544" s="976"/>
      <c r="R1544" s="977"/>
      <c r="S1544" s="977"/>
      <c r="T1544" s="977"/>
      <c r="U1544" s="977"/>
      <c r="V1544" s="977"/>
      <c r="W1544" s="977"/>
      <c r="X1544" s="977"/>
      <c r="Y1544" s="977"/>
    </row>
    <row r="1545" spans="1:25" x14ac:dyDescent="0.2">
      <c r="A1545" s="976"/>
      <c r="B1545" s="976"/>
      <c r="C1545" s="976"/>
      <c r="D1545" s="976"/>
      <c r="E1545" s="976"/>
      <c r="R1545" s="977"/>
      <c r="S1545" s="977"/>
      <c r="T1545" s="977"/>
      <c r="U1545" s="977"/>
      <c r="V1545" s="977"/>
      <c r="W1545" s="977"/>
      <c r="X1545" s="977"/>
      <c r="Y1545" s="977"/>
    </row>
    <row r="1546" spans="1:25" x14ac:dyDescent="0.2">
      <c r="A1546" s="976"/>
      <c r="B1546" s="976"/>
      <c r="C1546" s="976"/>
      <c r="D1546" s="976"/>
      <c r="E1546" s="976"/>
      <c r="R1546" s="977"/>
      <c r="S1546" s="977"/>
      <c r="T1546" s="977"/>
      <c r="U1546" s="977"/>
      <c r="V1546" s="977"/>
      <c r="W1546" s="977"/>
      <c r="X1546" s="977"/>
      <c r="Y1546" s="977"/>
    </row>
    <row r="1547" spans="1:25" x14ac:dyDescent="0.2">
      <c r="A1547" s="976"/>
      <c r="B1547" s="976"/>
      <c r="C1547" s="976"/>
      <c r="D1547" s="976"/>
      <c r="E1547" s="976"/>
      <c r="R1547" s="977"/>
      <c r="S1547" s="977"/>
      <c r="T1547" s="977"/>
      <c r="U1547" s="977"/>
      <c r="V1547" s="977"/>
      <c r="W1547" s="977"/>
      <c r="X1547" s="977"/>
      <c r="Y1547" s="977"/>
    </row>
    <row r="1548" spans="1:25" x14ac:dyDescent="0.2">
      <c r="A1548" s="976"/>
      <c r="B1548" s="976"/>
      <c r="C1548" s="976"/>
      <c r="D1548" s="976"/>
      <c r="E1548" s="976"/>
      <c r="R1548" s="977"/>
      <c r="S1548" s="977"/>
      <c r="T1548" s="977"/>
      <c r="U1548" s="977"/>
      <c r="V1548" s="977"/>
      <c r="W1548" s="977"/>
      <c r="X1548" s="977"/>
      <c r="Y1548" s="977"/>
    </row>
    <row r="1549" spans="1:25" x14ac:dyDescent="0.2">
      <c r="A1549" s="976"/>
      <c r="B1549" s="976"/>
      <c r="C1549" s="976"/>
      <c r="D1549" s="976"/>
      <c r="E1549" s="976"/>
      <c r="R1549" s="977"/>
      <c r="S1549" s="977"/>
      <c r="T1549" s="977"/>
      <c r="U1549" s="977"/>
      <c r="V1549" s="977"/>
      <c r="W1549" s="977"/>
      <c r="X1549" s="977"/>
      <c r="Y1549" s="977"/>
    </row>
    <row r="1550" spans="1:25" x14ac:dyDescent="0.2">
      <c r="A1550" s="976"/>
      <c r="B1550" s="976"/>
      <c r="C1550" s="976"/>
      <c r="D1550" s="976"/>
      <c r="E1550" s="976"/>
      <c r="R1550" s="977"/>
      <c r="S1550" s="977"/>
      <c r="T1550" s="977"/>
      <c r="U1550" s="977"/>
      <c r="V1550" s="977"/>
      <c r="W1550" s="977"/>
      <c r="X1550" s="977"/>
      <c r="Y1550" s="977"/>
    </row>
    <row r="1551" spans="1:25" x14ac:dyDescent="0.2">
      <c r="A1551" s="976"/>
      <c r="B1551" s="976"/>
      <c r="C1551" s="976"/>
      <c r="D1551" s="976"/>
      <c r="E1551" s="976"/>
      <c r="R1551" s="977"/>
      <c r="S1551" s="977"/>
      <c r="T1551" s="977"/>
      <c r="U1551" s="977"/>
      <c r="V1551" s="977"/>
      <c r="W1551" s="977"/>
      <c r="X1551" s="977"/>
      <c r="Y1551" s="977"/>
    </row>
    <row r="1552" spans="1:25" x14ac:dyDescent="0.2">
      <c r="A1552" s="976"/>
      <c r="B1552" s="976"/>
      <c r="C1552" s="976"/>
      <c r="D1552" s="976"/>
      <c r="E1552" s="976"/>
      <c r="R1552" s="977"/>
      <c r="S1552" s="977"/>
      <c r="T1552" s="977"/>
      <c r="U1552" s="977"/>
      <c r="V1552" s="977"/>
      <c r="W1552" s="977"/>
      <c r="X1552" s="977"/>
      <c r="Y1552" s="977"/>
    </row>
    <row r="1553" spans="1:25" x14ac:dyDescent="0.2">
      <c r="A1553" s="976"/>
      <c r="B1553" s="976"/>
      <c r="C1553" s="976"/>
      <c r="D1553" s="976"/>
      <c r="E1553" s="976"/>
      <c r="R1553" s="977"/>
      <c r="S1553" s="977"/>
      <c r="T1553" s="977"/>
      <c r="U1553" s="977"/>
      <c r="V1553" s="977"/>
      <c r="W1553" s="977"/>
      <c r="X1553" s="977"/>
      <c r="Y1553" s="977"/>
    </row>
    <row r="1554" spans="1:25" x14ac:dyDescent="0.2">
      <c r="A1554" s="976"/>
      <c r="B1554" s="976"/>
      <c r="C1554" s="976"/>
      <c r="D1554" s="976"/>
      <c r="E1554" s="976"/>
      <c r="R1554" s="977"/>
      <c r="S1554" s="977"/>
      <c r="T1554" s="977"/>
      <c r="U1554" s="977"/>
      <c r="V1554" s="977"/>
      <c r="W1554" s="977"/>
      <c r="X1554" s="977"/>
      <c r="Y1554" s="977"/>
    </row>
    <row r="1555" spans="1:25" x14ac:dyDescent="0.2">
      <c r="A1555" s="976"/>
      <c r="B1555" s="976"/>
      <c r="C1555" s="976"/>
      <c r="D1555" s="976"/>
      <c r="E1555" s="976"/>
      <c r="R1555" s="977"/>
      <c r="S1555" s="977"/>
      <c r="T1555" s="977"/>
      <c r="U1555" s="977"/>
      <c r="V1555" s="977"/>
      <c r="W1555" s="977"/>
      <c r="X1555" s="977"/>
      <c r="Y1555" s="977"/>
    </row>
    <row r="1556" spans="1:25" x14ac:dyDescent="0.2">
      <c r="A1556" s="976"/>
      <c r="B1556" s="976"/>
      <c r="C1556" s="976"/>
      <c r="D1556" s="976"/>
      <c r="E1556" s="976"/>
      <c r="R1556" s="977"/>
      <c r="S1556" s="977"/>
      <c r="T1556" s="977"/>
      <c r="U1556" s="977"/>
      <c r="V1556" s="977"/>
      <c r="W1556" s="977"/>
      <c r="X1556" s="977"/>
      <c r="Y1556" s="977"/>
    </row>
    <row r="1557" spans="1:25" x14ac:dyDescent="0.2">
      <c r="A1557" s="976"/>
      <c r="B1557" s="976"/>
      <c r="C1557" s="976"/>
      <c r="D1557" s="976"/>
      <c r="E1557" s="976"/>
      <c r="R1557" s="977"/>
      <c r="S1557" s="977"/>
      <c r="T1557" s="977"/>
      <c r="U1557" s="977"/>
      <c r="V1557" s="977"/>
      <c r="W1557" s="977"/>
      <c r="X1557" s="977"/>
      <c r="Y1557" s="977"/>
    </row>
    <row r="1558" spans="1:25" x14ac:dyDescent="0.2">
      <c r="A1558" s="976"/>
      <c r="B1558" s="976"/>
      <c r="C1558" s="976"/>
      <c r="D1558" s="976"/>
      <c r="E1558" s="976"/>
      <c r="R1558" s="977"/>
      <c r="S1558" s="977"/>
      <c r="T1558" s="977"/>
      <c r="U1558" s="977"/>
      <c r="V1558" s="977"/>
      <c r="W1558" s="977"/>
      <c r="X1558" s="977"/>
      <c r="Y1558" s="977"/>
    </row>
    <row r="1559" spans="1:25" x14ac:dyDescent="0.2">
      <c r="A1559" s="976"/>
      <c r="B1559" s="976"/>
      <c r="C1559" s="976"/>
      <c r="D1559" s="976"/>
      <c r="E1559" s="976"/>
      <c r="R1559" s="977"/>
      <c r="S1559" s="977"/>
      <c r="T1559" s="977"/>
      <c r="U1559" s="977"/>
      <c r="V1559" s="977"/>
      <c r="W1559" s="977"/>
      <c r="X1559" s="977"/>
      <c r="Y1559" s="977"/>
    </row>
    <row r="1560" spans="1:25" x14ac:dyDescent="0.2">
      <c r="A1560" s="976"/>
      <c r="B1560" s="976"/>
      <c r="C1560" s="976"/>
      <c r="D1560" s="976"/>
      <c r="E1560" s="976"/>
      <c r="R1560" s="977"/>
      <c r="S1560" s="977"/>
      <c r="T1560" s="977"/>
      <c r="U1560" s="977"/>
      <c r="V1560" s="977"/>
      <c r="W1560" s="977"/>
      <c r="X1560" s="977"/>
      <c r="Y1560" s="977"/>
    </row>
    <row r="1561" spans="1:25" x14ac:dyDescent="0.2">
      <c r="A1561" s="976"/>
      <c r="B1561" s="976"/>
      <c r="C1561" s="976"/>
      <c r="D1561" s="976"/>
      <c r="E1561" s="976"/>
      <c r="R1561" s="977"/>
      <c r="S1561" s="977"/>
      <c r="T1561" s="977"/>
      <c r="U1561" s="977"/>
      <c r="V1561" s="977"/>
      <c r="W1561" s="977"/>
      <c r="X1561" s="977"/>
      <c r="Y1561" s="977"/>
    </row>
    <row r="1562" spans="1:25" x14ac:dyDescent="0.2">
      <c r="A1562" s="976"/>
      <c r="B1562" s="976"/>
      <c r="C1562" s="976"/>
      <c r="D1562" s="976"/>
      <c r="E1562" s="976"/>
      <c r="R1562" s="977"/>
      <c r="S1562" s="977"/>
      <c r="T1562" s="977"/>
      <c r="U1562" s="977"/>
      <c r="V1562" s="977"/>
      <c r="W1562" s="977"/>
      <c r="X1562" s="977"/>
      <c r="Y1562" s="977"/>
    </row>
    <row r="1563" spans="1:25" x14ac:dyDescent="0.2">
      <c r="A1563" s="976"/>
      <c r="B1563" s="976"/>
      <c r="C1563" s="976"/>
      <c r="D1563" s="976"/>
      <c r="E1563" s="976"/>
      <c r="R1563" s="977"/>
      <c r="S1563" s="977"/>
      <c r="T1563" s="977"/>
      <c r="U1563" s="977"/>
      <c r="V1563" s="977"/>
      <c r="W1563" s="977"/>
      <c r="X1563" s="977"/>
      <c r="Y1563" s="977"/>
    </row>
    <row r="1564" spans="1:25" x14ac:dyDescent="0.2">
      <c r="A1564" s="976"/>
      <c r="B1564" s="976"/>
      <c r="C1564" s="976"/>
      <c r="D1564" s="976"/>
      <c r="E1564" s="976"/>
      <c r="R1564" s="977"/>
      <c r="S1564" s="977"/>
      <c r="T1564" s="977"/>
      <c r="U1564" s="977"/>
      <c r="V1564" s="977"/>
      <c r="W1564" s="977"/>
      <c r="X1564" s="977"/>
      <c r="Y1564" s="977"/>
    </row>
    <row r="1565" spans="1:25" x14ac:dyDescent="0.2">
      <c r="A1565" s="976"/>
      <c r="B1565" s="976"/>
      <c r="C1565" s="976"/>
      <c r="D1565" s="976"/>
      <c r="E1565" s="976"/>
      <c r="R1565" s="977"/>
      <c r="S1565" s="977"/>
      <c r="T1565" s="977"/>
      <c r="U1565" s="977"/>
      <c r="V1565" s="977"/>
      <c r="W1565" s="977"/>
      <c r="X1565" s="977"/>
      <c r="Y1565" s="977"/>
    </row>
    <row r="1566" spans="1:25" x14ac:dyDescent="0.2">
      <c r="A1566" s="976"/>
      <c r="B1566" s="976"/>
      <c r="C1566" s="976"/>
      <c r="D1566" s="976"/>
      <c r="E1566" s="976"/>
      <c r="R1566" s="977"/>
      <c r="S1566" s="977"/>
      <c r="T1566" s="977"/>
      <c r="U1566" s="977"/>
      <c r="V1566" s="977"/>
      <c r="W1566" s="977"/>
      <c r="X1566" s="977"/>
      <c r="Y1566" s="977"/>
    </row>
    <row r="1567" spans="1:25" x14ac:dyDescent="0.2">
      <c r="A1567" s="976"/>
      <c r="B1567" s="976"/>
      <c r="C1567" s="976"/>
      <c r="D1567" s="976"/>
      <c r="E1567" s="976"/>
      <c r="R1567" s="977"/>
      <c r="S1567" s="977"/>
      <c r="T1567" s="977"/>
      <c r="U1567" s="977"/>
      <c r="V1567" s="977"/>
      <c r="W1567" s="977"/>
      <c r="X1567" s="977"/>
      <c r="Y1567" s="977"/>
    </row>
    <row r="1568" spans="1:25" x14ac:dyDescent="0.2">
      <c r="A1568" s="976"/>
      <c r="B1568" s="976"/>
      <c r="C1568" s="976"/>
      <c r="D1568" s="976"/>
      <c r="E1568" s="976"/>
      <c r="R1568" s="977"/>
      <c r="S1568" s="977"/>
      <c r="T1568" s="977"/>
      <c r="U1568" s="977"/>
      <c r="V1568" s="977"/>
      <c r="W1568" s="977"/>
      <c r="X1568" s="977"/>
      <c r="Y1568" s="977"/>
    </row>
    <row r="1569" spans="1:25" x14ac:dyDescent="0.2">
      <c r="A1569" s="976"/>
      <c r="B1569" s="976"/>
      <c r="C1569" s="976"/>
      <c r="D1569" s="976"/>
      <c r="E1569" s="976"/>
      <c r="R1569" s="977"/>
      <c r="S1569" s="977"/>
      <c r="T1569" s="977"/>
      <c r="U1569" s="977"/>
      <c r="V1569" s="977"/>
      <c r="W1569" s="977"/>
      <c r="X1569" s="977"/>
      <c r="Y1569" s="977"/>
    </row>
    <row r="1570" spans="1:25" x14ac:dyDescent="0.2">
      <c r="A1570" s="976"/>
      <c r="B1570" s="976"/>
      <c r="C1570" s="976"/>
      <c r="D1570" s="976"/>
      <c r="E1570" s="976"/>
      <c r="R1570" s="977"/>
      <c r="S1570" s="977"/>
      <c r="T1570" s="977"/>
      <c r="U1570" s="977"/>
      <c r="V1570" s="977"/>
      <c r="W1570" s="977"/>
      <c r="X1570" s="977"/>
      <c r="Y1570" s="977"/>
    </row>
    <row r="1571" spans="1:25" x14ac:dyDescent="0.2">
      <c r="A1571" s="976"/>
      <c r="B1571" s="976"/>
      <c r="C1571" s="976"/>
      <c r="D1571" s="976"/>
      <c r="E1571" s="976"/>
      <c r="R1571" s="977"/>
      <c r="S1571" s="977"/>
      <c r="T1571" s="977"/>
      <c r="U1571" s="977"/>
      <c r="V1571" s="977"/>
      <c r="W1571" s="977"/>
      <c r="X1571" s="977"/>
      <c r="Y1571" s="977"/>
    </row>
    <row r="1572" spans="1:25" x14ac:dyDescent="0.2">
      <c r="A1572" s="976"/>
      <c r="B1572" s="976"/>
      <c r="C1572" s="976"/>
      <c r="D1572" s="976"/>
      <c r="E1572" s="976"/>
      <c r="R1572" s="977"/>
      <c r="S1572" s="977"/>
      <c r="T1572" s="977"/>
      <c r="U1572" s="977"/>
      <c r="V1572" s="977"/>
      <c r="W1572" s="977"/>
      <c r="X1572" s="977"/>
      <c r="Y1572" s="977"/>
    </row>
    <row r="1573" spans="1:25" x14ac:dyDescent="0.2">
      <c r="A1573" s="976"/>
      <c r="B1573" s="976"/>
      <c r="C1573" s="976"/>
      <c r="D1573" s="976"/>
      <c r="E1573" s="976"/>
      <c r="R1573" s="977"/>
      <c r="S1573" s="977"/>
      <c r="T1573" s="977"/>
      <c r="U1573" s="977"/>
      <c r="V1573" s="977"/>
      <c r="W1573" s="977"/>
      <c r="X1573" s="977"/>
      <c r="Y1573" s="977"/>
    </row>
    <row r="1574" spans="1:25" x14ac:dyDescent="0.2">
      <c r="A1574" s="976"/>
      <c r="B1574" s="976"/>
      <c r="C1574" s="976"/>
      <c r="D1574" s="976"/>
      <c r="E1574" s="976"/>
      <c r="R1574" s="977"/>
      <c r="S1574" s="977"/>
      <c r="T1574" s="977"/>
      <c r="U1574" s="977"/>
      <c r="V1574" s="977"/>
      <c r="W1574" s="977"/>
      <c r="X1574" s="977"/>
      <c r="Y1574" s="977"/>
    </row>
    <row r="1575" spans="1:25" x14ac:dyDescent="0.2">
      <c r="A1575" s="976"/>
      <c r="B1575" s="976"/>
      <c r="C1575" s="976"/>
      <c r="D1575" s="976"/>
      <c r="E1575" s="976"/>
      <c r="R1575" s="977"/>
      <c r="S1575" s="977"/>
      <c r="T1575" s="977"/>
      <c r="U1575" s="977"/>
      <c r="V1575" s="977"/>
      <c r="W1575" s="977"/>
      <c r="X1575" s="977"/>
      <c r="Y1575" s="977"/>
    </row>
    <row r="1576" spans="1:25" x14ac:dyDescent="0.2">
      <c r="A1576" s="976"/>
      <c r="B1576" s="976"/>
      <c r="C1576" s="976"/>
      <c r="D1576" s="976"/>
      <c r="E1576" s="976"/>
      <c r="R1576" s="977"/>
      <c r="S1576" s="977"/>
      <c r="T1576" s="977"/>
      <c r="U1576" s="977"/>
      <c r="V1576" s="977"/>
      <c r="W1576" s="977"/>
      <c r="X1576" s="977"/>
      <c r="Y1576" s="977"/>
    </row>
    <row r="1577" spans="1:25" x14ac:dyDescent="0.2">
      <c r="A1577" s="976"/>
      <c r="B1577" s="976"/>
      <c r="C1577" s="976"/>
      <c r="D1577" s="976"/>
      <c r="E1577" s="976"/>
      <c r="R1577" s="977"/>
      <c r="S1577" s="977"/>
      <c r="T1577" s="977"/>
      <c r="U1577" s="977"/>
      <c r="V1577" s="977"/>
      <c r="W1577" s="977"/>
      <c r="X1577" s="977"/>
      <c r="Y1577" s="977"/>
    </row>
    <row r="1578" spans="1:25" x14ac:dyDescent="0.2">
      <c r="A1578" s="976"/>
      <c r="B1578" s="976"/>
      <c r="C1578" s="976"/>
      <c r="D1578" s="976"/>
      <c r="E1578" s="976"/>
      <c r="R1578" s="977"/>
      <c r="S1578" s="977"/>
      <c r="T1578" s="977"/>
      <c r="U1578" s="977"/>
      <c r="V1578" s="977"/>
      <c r="W1578" s="977"/>
      <c r="X1578" s="977"/>
      <c r="Y1578" s="977"/>
    </row>
    <row r="1579" spans="1:25" x14ac:dyDescent="0.2">
      <c r="A1579" s="976"/>
      <c r="B1579" s="976"/>
      <c r="C1579" s="976"/>
      <c r="D1579" s="976"/>
      <c r="E1579" s="976"/>
      <c r="R1579" s="977"/>
      <c r="S1579" s="977"/>
      <c r="T1579" s="977"/>
      <c r="U1579" s="977"/>
      <c r="V1579" s="977"/>
      <c r="W1579" s="977"/>
      <c r="X1579" s="977"/>
      <c r="Y1579" s="977"/>
    </row>
    <row r="1580" spans="1:25" x14ac:dyDescent="0.2">
      <c r="A1580" s="976"/>
      <c r="B1580" s="976"/>
      <c r="C1580" s="976"/>
      <c r="D1580" s="976"/>
      <c r="E1580" s="976"/>
      <c r="R1580" s="977"/>
      <c r="S1580" s="977"/>
      <c r="T1580" s="977"/>
      <c r="U1580" s="977"/>
      <c r="V1580" s="977"/>
      <c r="W1580" s="977"/>
      <c r="X1580" s="977"/>
      <c r="Y1580" s="977"/>
    </row>
    <row r="1581" spans="1:25" x14ac:dyDescent="0.2">
      <c r="A1581" s="976"/>
      <c r="B1581" s="976"/>
      <c r="C1581" s="976"/>
      <c r="D1581" s="976"/>
      <c r="E1581" s="976"/>
      <c r="R1581" s="977"/>
      <c r="S1581" s="977"/>
      <c r="T1581" s="977"/>
      <c r="U1581" s="977"/>
      <c r="V1581" s="977"/>
      <c r="W1581" s="977"/>
      <c r="X1581" s="977"/>
      <c r="Y1581" s="977"/>
    </row>
    <row r="1582" spans="1:25" x14ac:dyDescent="0.2">
      <c r="A1582" s="976"/>
      <c r="B1582" s="976"/>
      <c r="C1582" s="976"/>
      <c r="D1582" s="976"/>
      <c r="E1582" s="976"/>
      <c r="R1582" s="977"/>
      <c r="S1582" s="977"/>
      <c r="T1582" s="977"/>
      <c r="U1582" s="977"/>
      <c r="V1582" s="977"/>
      <c r="W1582" s="977"/>
      <c r="X1582" s="977"/>
      <c r="Y1582" s="977"/>
    </row>
    <row r="1583" spans="1:25" x14ac:dyDescent="0.2">
      <c r="E1583" s="976"/>
      <c r="R1583" s="977"/>
      <c r="S1583" s="977"/>
      <c r="T1583" s="977"/>
      <c r="U1583" s="977"/>
      <c r="V1583" s="977"/>
      <c r="W1583" s="977"/>
      <c r="X1583" s="977"/>
      <c r="Y1583" s="977"/>
    </row>
    <row r="1584" spans="1:25" x14ac:dyDescent="0.2">
      <c r="E1584" s="976"/>
      <c r="R1584" s="977"/>
      <c r="S1584" s="977"/>
      <c r="T1584" s="977"/>
      <c r="U1584" s="977"/>
      <c r="V1584" s="977"/>
      <c r="W1584" s="977"/>
      <c r="X1584" s="977"/>
      <c r="Y1584" s="977"/>
    </row>
  </sheetData>
  <dataConsolidate/>
  <mergeCells count="31">
    <mergeCell ref="A93:B93"/>
    <mergeCell ref="C93:D93"/>
    <mergeCell ref="A125:B125"/>
    <mergeCell ref="C125:D125"/>
    <mergeCell ref="A133:B133"/>
    <mergeCell ref="C133:D133"/>
    <mergeCell ref="A101:B101"/>
    <mergeCell ref="C101:D101"/>
    <mergeCell ref="A109:B109"/>
    <mergeCell ref="C109:D109"/>
    <mergeCell ref="A117:B117"/>
    <mergeCell ref="C117:D117"/>
    <mergeCell ref="C68:D68"/>
    <mergeCell ref="A77:B77"/>
    <mergeCell ref="C77:D77"/>
    <mergeCell ref="A85:B85"/>
    <mergeCell ref="C85:D85"/>
    <mergeCell ref="A49:B49"/>
    <mergeCell ref="C49:D49"/>
    <mergeCell ref="A58:B58"/>
    <mergeCell ref="C58:D58"/>
    <mergeCell ref="C59:D59"/>
    <mergeCell ref="C31:D31"/>
    <mergeCell ref="A40:B40"/>
    <mergeCell ref="C8:D8"/>
    <mergeCell ref="C11:D11"/>
    <mergeCell ref="C13:D13"/>
    <mergeCell ref="A14:B14"/>
    <mergeCell ref="A30:B30"/>
    <mergeCell ref="C30:D30"/>
    <mergeCell ref="C40:D40"/>
  </mergeCells>
  <dataValidations count="2">
    <dataValidation type="whole" allowBlank="1" showInputMessage="1" showErrorMessage="1" sqref="B25:B26 B19:B20" xr:uid="{EB058E01-146E-4E8A-B7FC-76294514732D}">
      <formula1>0</formula1>
      <formula2>9999</formula2>
    </dataValidation>
    <dataValidation type="list" allowBlank="1" showInputMessage="1" showErrorMessage="1" sqref="B5" xr:uid="{00000000-0002-0000-0600-000001000000}">
      <formula1>$P$4:$P$394</formula1>
    </dataValidation>
  </dataValidations>
  <hyperlinks>
    <hyperlink ref="C6" location="_ftn1" display="¹  Grade in terms of the Remuneration of Public Office Bearers Act." xr:uid="{00000000-0004-0000-0600-000000000000}"/>
    <hyperlink ref="B10" r:id="rId1" xr:uid="{282140CA-8292-4A6A-ADD5-17C906E1A65A}"/>
    <hyperlink ref="B12" r:id="rId2" xr:uid="{E994192B-F7F3-4AE5-B9CA-EC179E529AC0}"/>
    <hyperlink ref="D38" r:id="rId3" xr:uid="{1F9F590B-C06E-407B-8A43-121898FA6458}"/>
  </hyperlinks>
  <pageMargins left="0.75" right="0.27" top="1" bottom="1" header="0.5" footer="0.5"/>
  <pageSetup scale="67" orientation="portrait" r:id="rId4"/>
  <headerFooter alignWithMargins="0"/>
  <rowBreaks count="1" manualBreakCount="1">
    <brk id="76" max="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1">
    <tabColor indexed="44"/>
    <pageSetUpPr fitToPage="1"/>
  </sheetPr>
  <dimension ref="A1:P77"/>
  <sheetViews>
    <sheetView showGridLines="0" tabSelected="1" zoomScaleNormal="100" workbookViewId="0">
      <pane xSplit="1" ySplit="5" topLeftCell="B6" activePane="bottomRight" state="frozen"/>
      <selection activeCell="C6" sqref="C6"/>
      <selection pane="topRight" activeCell="C6" sqref="C6"/>
      <selection pane="bottomLeft" activeCell="C6" sqref="C6"/>
      <selection pane="bottomRight" activeCell="H14" sqref="H14"/>
    </sheetView>
  </sheetViews>
  <sheetFormatPr defaultColWidth="9.140625" defaultRowHeight="12.75" x14ac:dyDescent="0.25"/>
  <cols>
    <col min="1" max="1" width="32.85546875" style="5" customWidth="1"/>
    <col min="2" max="12" width="8.5703125" style="5" customWidth="1"/>
    <col min="13" max="13" width="8.5703125" style="5" hidden="1" customWidth="1"/>
    <col min="14" max="16" width="7.5703125" style="5" hidden="1" customWidth="1"/>
    <col min="17" max="27" width="0" style="5" hidden="1" customWidth="1"/>
    <col min="28" max="16384" width="9.140625" style="5"/>
  </cols>
  <sheetData>
    <row r="1" spans="1:12" ht="13.5" x14ac:dyDescent="0.25">
      <c r="A1" s="3" t="str">
        <f>muni&amp;" - "&amp;adjsum&amp;" - "&amp;Date</f>
        <v xml:space="preserve">KZN226 Mkhambathini - Table B1 Adjustments Budget Summary - </v>
      </c>
      <c r="B1" s="4"/>
      <c r="C1" s="4"/>
      <c r="D1" s="4"/>
      <c r="E1" s="4"/>
      <c r="F1" s="4"/>
      <c r="G1" s="4"/>
      <c r="H1" s="4"/>
      <c r="I1" s="4"/>
      <c r="J1" s="4"/>
      <c r="K1" s="4"/>
      <c r="L1" s="4"/>
    </row>
    <row r="2" spans="1:12" ht="38.25" customHeight="1" x14ac:dyDescent="0.25">
      <c r="A2" s="1420" t="str">
        <f>desc</f>
        <v>Description</v>
      </c>
      <c r="B2" s="1417" t="str">
        <f>Head2</f>
        <v>Budget Year 2020/21</v>
      </c>
      <c r="C2" s="1418"/>
      <c r="D2" s="1418"/>
      <c r="E2" s="1418"/>
      <c r="F2" s="1418"/>
      <c r="G2" s="1418"/>
      <c r="H2" s="1418"/>
      <c r="I2" s="1418"/>
      <c r="J2" s="1419"/>
      <c r="K2" s="6" t="str">
        <f>Head10</f>
        <v>Budget Year +1 2021/22</v>
      </c>
      <c r="L2" s="7" t="str">
        <f>Head11</f>
        <v>Budget Year +2 2022/23</v>
      </c>
    </row>
    <row r="3" spans="1:12" ht="25.5" x14ac:dyDescent="0.25">
      <c r="A3" s="1421"/>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421"/>
      <c r="B4" s="14"/>
      <c r="C4" s="15">
        <v>1</v>
      </c>
      <c r="D4" s="15">
        <v>2</v>
      </c>
      <c r="E4" s="15">
        <v>3</v>
      </c>
      <c r="F4" s="15">
        <v>4</v>
      </c>
      <c r="G4" s="15">
        <v>5</v>
      </c>
      <c r="H4" s="15">
        <v>6</v>
      </c>
      <c r="I4" s="15">
        <v>7</v>
      </c>
      <c r="J4" s="15">
        <v>8</v>
      </c>
      <c r="K4" s="16"/>
      <c r="L4" s="17"/>
    </row>
    <row r="5" spans="1:12" x14ac:dyDescent="0.25">
      <c r="A5" s="18" t="s">
        <v>605</v>
      </c>
      <c r="B5" s="19" t="s">
        <v>549</v>
      </c>
      <c r="C5" s="20" t="s">
        <v>550</v>
      </c>
      <c r="D5" s="20" t="s">
        <v>551</v>
      </c>
      <c r="E5" s="21" t="s">
        <v>552</v>
      </c>
      <c r="F5" s="21" t="s">
        <v>553</v>
      </c>
      <c r="G5" s="21" t="s">
        <v>554</v>
      </c>
      <c r="H5" s="22" t="s">
        <v>555</v>
      </c>
      <c r="I5" s="22" t="s">
        <v>556</v>
      </c>
      <c r="J5" s="21" t="s">
        <v>557</v>
      </c>
      <c r="K5" s="23"/>
      <c r="L5" s="24"/>
    </row>
    <row r="6" spans="1:12" ht="12.75" customHeight="1" x14ac:dyDescent="0.25">
      <c r="A6" s="25" t="s">
        <v>558</v>
      </c>
      <c r="B6" s="26"/>
      <c r="C6" s="27"/>
      <c r="D6" s="27"/>
      <c r="E6" s="27"/>
      <c r="F6" s="27"/>
      <c r="G6" s="27"/>
      <c r="H6" s="27"/>
      <c r="I6" s="27"/>
      <c r="J6" s="27"/>
      <c r="K6" s="28"/>
      <c r="L6" s="29"/>
    </row>
    <row r="7" spans="1:12" ht="12.75" customHeight="1" x14ac:dyDescent="0.25">
      <c r="A7" s="30" t="s">
        <v>559</v>
      </c>
      <c r="B7" s="75">
        <f>SUM('B4-FinPerf RE'!C7:C7)</f>
        <v>19781622</v>
      </c>
      <c r="C7" s="75">
        <f>SUM('B4-FinPerf RE'!D7:D7)</f>
        <v>19781622</v>
      </c>
      <c r="D7" s="75">
        <f>SUM('B4-FinPerf RE'!E7:E7)</f>
        <v>0</v>
      </c>
      <c r="E7" s="75">
        <f>SUM('B4-FinPerf RE'!F7:F7)</f>
        <v>0</v>
      </c>
      <c r="F7" s="75">
        <f>SUM('B4-FinPerf RE'!G7:G7)</f>
        <v>0</v>
      </c>
      <c r="G7" s="75">
        <f>SUM('B4-FinPerf RE'!H7:H7)</f>
        <v>0</v>
      </c>
      <c r="H7" s="75">
        <f>SUM('B4-FinPerf RE'!I7:I7)</f>
        <v>0</v>
      </c>
      <c r="I7" s="75">
        <f>SUM(E7:H7)</f>
        <v>0</v>
      </c>
      <c r="J7" s="75">
        <f t="shared" ref="J7:J12" si="0">IF(C7=0,B7+I7,C7+I7)</f>
        <v>19781622</v>
      </c>
      <c r="K7" s="75">
        <f>SUM('B4-FinPerf RE'!L7:L7)</f>
        <v>21042556</v>
      </c>
      <c r="L7" s="76">
        <f>SUM('B4-FinPerf RE'!M7:M7)</f>
        <v>22379146</v>
      </c>
    </row>
    <row r="8" spans="1:12" ht="12.75" customHeight="1" x14ac:dyDescent="0.25">
      <c r="A8" s="30" t="s">
        <v>560</v>
      </c>
      <c r="B8" s="75">
        <f>SUM('B4-FinPerf RE'!C8:C11)</f>
        <v>574287</v>
      </c>
      <c r="C8" s="75">
        <f>SUM('B4-FinPerf RE'!D8:D11)</f>
        <v>574287</v>
      </c>
      <c r="D8" s="75">
        <f>SUM('B4-FinPerf RE'!E8:E11)</f>
        <v>0</v>
      </c>
      <c r="E8" s="75">
        <f>SUM('B4-FinPerf RE'!F8:F11)</f>
        <v>0</v>
      </c>
      <c r="F8" s="75">
        <f>SUM('B4-FinPerf RE'!G8:G11)</f>
        <v>0</v>
      </c>
      <c r="G8" s="75">
        <f>SUM('B4-FinPerf RE'!H8:H11)</f>
        <v>0</v>
      </c>
      <c r="H8" s="75">
        <f>SUM('B4-FinPerf RE'!I8:I11)</f>
        <v>0</v>
      </c>
      <c r="I8" s="75">
        <f>SUM('B4-FinPerf RE'!J8:J11)</f>
        <v>0</v>
      </c>
      <c r="J8" s="75">
        <f>SUM('B4-FinPerf RE'!K8:K11)</f>
        <v>574287</v>
      </c>
      <c r="K8" s="75">
        <f>SUM('B4-FinPerf RE'!L8:L11)</f>
        <v>608744</v>
      </c>
      <c r="L8" s="76">
        <f>SUM('B4-FinPerf RE'!M8:M11)</f>
        <v>645269</v>
      </c>
    </row>
    <row r="9" spans="1:12" ht="12.75" customHeight="1" x14ac:dyDescent="0.25">
      <c r="A9" s="30" t="s">
        <v>561</v>
      </c>
      <c r="B9" s="75">
        <f>'B4-FinPerf RE'!C14</f>
        <v>3850000</v>
      </c>
      <c r="C9" s="75">
        <f>'B4-FinPerf RE'!D14</f>
        <v>3850000</v>
      </c>
      <c r="D9" s="75">
        <f>'B4-FinPerf RE'!E14</f>
        <v>0</v>
      </c>
      <c r="E9" s="75">
        <f>'B4-FinPerf RE'!F14</f>
        <v>0</v>
      </c>
      <c r="F9" s="75">
        <f>'B4-FinPerf RE'!G14</f>
        <v>0</v>
      </c>
      <c r="G9" s="75">
        <f>'B4-FinPerf RE'!H14</f>
        <v>0</v>
      </c>
      <c r="H9" s="75">
        <f>'B4-FinPerf RE'!I14</f>
        <v>0</v>
      </c>
      <c r="I9" s="75">
        <f t="shared" ref="I9:I19" si="1">SUM(E9:H9)</f>
        <v>0</v>
      </c>
      <c r="J9" s="75">
        <f t="shared" si="0"/>
        <v>3850000</v>
      </c>
      <c r="K9" s="75">
        <f>'B4-FinPerf RE'!L14</f>
        <v>4081000</v>
      </c>
      <c r="L9" s="76">
        <f>'B4-FinPerf RE'!M14</f>
        <v>4325860</v>
      </c>
    </row>
    <row r="10" spans="1:12" ht="12.75" customHeight="1" x14ac:dyDescent="0.25">
      <c r="A10" s="630" t="s">
        <v>1098</v>
      </c>
      <c r="B10" s="75">
        <f>'B4-FinPerf RE'!C20</f>
        <v>73462500</v>
      </c>
      <c r="C10" s="75">
        <f>'B4-FinPerf RE'!D20</f>
        <v>85867500</v>
      </c>
      <c r="D10" s="75">
        <f>'B4-FinPerf RE'!E20</f>
        <v>0</v>
      </c>
      <c r="E10" s="75">
        <f>'B4-FinPerf RE'!F20</f>
        <v>0</v>
      </c>
      <c r="F10" s="75">
        <f>'B4-FinPerf RE'!G20</f>
        <v>0</v>
      </c>
      <c r="G10" s="75">
        <f>'B4-FinPerf RE'!H20</f>
        <v>0</v>
      </c>
      <c r="H10" s="75">
        <f>'B4-FinPerf RE'!I20</f>
        <v>-372500</v>
      </c>
      <c r="I10" s="75">
        <f t="shared" si="1"/>
        <v>-372500</v>
      </c>
      <c r="J10" s="75">
        <f t="shared" si="0"/>
        <v>85495000</v>
      </c>
      <c r="K10" s="75">
        <f>'B4-FinPerf RE'!L20</f>
        <v>77240000</v>
      </c>
      <c r="L10" s="76">
        <f>'B4-FinPerf RE'!M20</f>
        <v>81898000</v>
      </c>
    </row>
    <row r="11" spans="1:12" ht="12.75" customHeight="1" x14ac:dyDescent="0.25">
      <c r="A11" s="36" t="s">
        <v>562</v>
      </c>
      <c r="B11" s="75">
        <f>'B4-FinPerf RE'!C13+'B4-FinPerf RE'!C15+'B4-FinPerf RE'!C16+'B4-FinPerf RE'!C17+'B4-FinPerf RE'!C18+'B4-FinPerf RE'!C19+'B4-FinPerf RE'!C21+'B4-FinPerf RE'!C22</f>
        <v>10558046</v>
      </c>
      <c r="C11" s="75">
        <f>'B4-FinPerf RE'!D13+'B4-FinPerf RE'!D15+'B4-FinPerf RE'!D16+'B4-FinPerf RE'!D17+'B4-FinPerf RE'!D18+'B4-FinPerf RE'!D19+'B4-FinPerf RE'!D21+'B4-FinPerf RE'!D22</f>
        <v>10558046</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-355910</v>
      </c>
      <c r="I11" s="75">
        <f t="shared" si="1"/>
        <v>-355910</v>
      </c>
      <c r="J11" s="75">
        <f t="shared" si="0"/>
        <v>10202136</v>
      </c>
      <c r="K11" s="75">
        <f>'B4-FinPerf RE'!L13+'B4-FinPerf RE'!L15+'B4-FinPerf RE'!L16+'B4-FinPerf RE'!L17+'B4-FinPerf RE'!L18+'B4-FinPerf RE'!L19+'B4-FinPerf RE'!L21+'B4-FinPerf RE'!L22</f>
        <v>11139403</v>
      </c>
      <c r="L11" s="76">
        <f>'B4-FinPerf RE'!M13+'B4-FinPerf RE'!M15+'B4-FinPerf RE'!M16+'B4-FinPerf RE'!M17+'B4-FinPerf RE'!M18+'B4-FinPerf RE'!M19+'B4-FinPerf RE'!M21+'B4-FinPerf RE'!M22</f>
        <v>11753598</v>
      </c>
    </row>
    <row r="12" spans="1:12" ht="23.25" customHeight="1" x14ac:dyDescent="0.25">
      <c r="A12" s="631" t="s">
        <v>563</v>
      </c>
      <c r="B12" s="676">
        <f t="shared" ref="B12:L12" si="2">SUM(B7:B11)</f>
        <v>108226455</v>
      </c>
      <c r="C12" s="634">
        <f t="shared" si="2"/>
        <v>120631455</v>
      </c>
      <c r="D12" s="634">
        <f t="shared" si="2"/>
        <v>0</v>
      </c>
      <c r="E12" s="634">
        <f t="shared" si="2"/>
        <v>0</v>
      </c>
      <c r="F12" s="634">
        <f t="shared" si="2"/>
        <v>0</v>
      </c>
      <c r="G12" s="634">
        <f t="shared" si="2"/>
        <v>0</v>
      </c>
      <c r="H12" s="634">
        <f t="shared" si="2"/>
        <v>-728410</v>
      </c>
      <c r="I12" s="634">
        <f t="shared" si="1"/>
        <v>-728410</v>
      </c>
      <c r="J12" s="634">
        <f t="shared" si="0"/>
        <v>119903045</v>
      </c>
      <c r="K12" s="634">
        <f t="shared" si="2"/>
        <v>114111703</v>
      </c>
      <c r="L12" s="635">
        <f t="shared" si="2"/>
        <v>121001873</v>
      </c>
    </row>
    <row r="13" spans="1:12" ht="12.75" customHeight="1" x14ac:dyDescent="0.25">
      <c r="A13" s="36" t="s">
        <v>564</v>
      </c>
      <c r="B13" s="75">
        <f>'B4-FinPerf RE'!C26</f>
        <v>44691585</v>
      </c>
      <c r="C13" s="75">
        <f>'B4-FinPerf RE'!D26</f>
        <v>44691585</v>
      </c>
      <c r="D13" s="75">
        <f>'B4-FinPerf RE'!E26</f>
        <v>0</v>
      </c>
      <c r="E13" s="75">
        <f>'B4-FinPerf RE'!F26</f>
        <v>0</v>
      </c>
      <c r="F13" s="75">
        <f>'B4-FinPerf RE'!G26</f>
        <v>0</v>
      </c>
      <c r="G13" s="75">
        <f>'B4-FinPerf RE'!H26</f>
        <v>0</v>
      </c>
      <c r="H13" s="75">
        <f>'B4-FinPerf RE'!I26</f>
        <v>0</v>
      </c>
      <c r="I13" s="75">
        <f t="shared" si="1"/>
        <v>0</v>
      </c>
      <c r="J13" s="75">
        <f t="shared" ref="J13:J19" si="3">IF(C13=0,B13+I13,C13+I13)</f>
        <v>44691585</v>
      </c>
      <c r="K13" s="75">
        <f>'B4-FinPerf RE'!L26</f>
        <v>50763599</v>
      </c>
      <c r="L13" s="76">
        <f>'B4-FinPerf RE'!M26</f>
        <v>53761056</v>
      </c>
    </row>
    <row r="14" spans="1:12" ht="12.75" customHeight="1" x14ac:dyDescent="0.25">
      <c r="A14" s="36" t="s">
        <v>565</v>
      </c>
      <c r="B14" s="75">
        <f>'B4-FinPerf RE'!C27</f>
        <v>6373921</v>
      </c>
      <c r="C14" s="75">
        <f>'B4-FinPerf RE'!D27</f>
        <v>6373921</v>
      </c>
      <c r="D14" s="75">
        <f>'B4-FinPerf RE'!E27</f>
        <v>0</v>
      </c>
      <c r="E14" s="75">
        <f>'B4-FinPerf RE'!F27</f>
        <v>0</v>
      </c>
      <c r="F14" s="75">
        <f>'B4-FinPerf RE'!G27</f>
        <v>0</v>
      </c>
      <c r="G14" s="75">
        <f>'B4-FinPerf RE'!H27</f>
        <v>0</v>
      </c>
      <c r="H14" s="75">
        <f>'B4-FinPerf RE'!I27</f>
        <v>0</v>
      </c>
      <c r="I14" s="75">
        <f t="shared" si="1"/>
        <v>0</v>
      </c>
      <c r="J14" s="75">
        <f t="shared" si="3"/>
        <v>6373921</v>
      </c>
      <c r="K14" s="75">
        <f>'B4-FinPerf RE'!L27</f>
        <v>3384275</v>
      </c>
      <c r="L14" s="76">
        <f>'B4-FinPerf RE'!M27</f>
        <v>3405956</v>
      </c>
    </row>
    <row r="15" spans="1:12" ht="12.75" customHeight="1" x14ac:dyDescent="0.25">
      <c r="A15" s="36" t="s">
        <v>566</v>
      </c>
      <c r="B15" s="75">
        <f>'B4-FinPerf RE'!C29</f>
        <v>11173339</v>
      </c>
      <c r="C15" s="75">
        <f>'B4-FinPerf RE'!D29</f>
        <v>11173339</v>
      </c>
      <c r="D15" s="75">
        <f>'B4-FinPerf RE'!E29</f>
        <v>0</v>
      </c>
      <c r="E15" s="75">
        <f>'B4-FinPerf RE'!F29</f>
        <v>0</v>
      </c>
      <c r="F15" s="75">
        <f>'B4-FinPerf RE'!G29</f>
        <v>0</v>
      </c>
      <c r="G15" s="75">
        <f>'B4-FinPerf RE'!H29</f>
        <v>0</v>
      </c>
      <c r="H15" s="75">
        <f>'B4-FinPerf RE'!I29</f>
        <v>0</v>
      </c>
      <c r="I15" s="75">
        <f t="shared" si="1"/>
        <v>0</v>
      </c>
      <c r="J15" s="75">
        <f t="shared" si="3"/>
        <v>11173339</v>
      </c>
      <c r="K15" s="75">
        <f>'B4-FinPerf RE'!L29</f>
        <v>12290674</v>
      </c>
      <c r="L15" s="76">
        <f>'B4-FinPerf RE'!M29</f>
        <v>13519740</v>
      </c>
    </row>
    <row r="16" spans="1:12" ht="12.75" customHeight="1" x14ac:dyDescent="0.25">
      <c r="A16" s="36" t="s">
        <v>567</v>
      </c>
      <c r="B16" s="75">
        <f>'B4-FinPerf RE'!C30</f>
        <v>0</v>
      </c>
      <c r="C16" s="75">
        <f>'B4-FinPerf RE'!D30</f>
        <v>0</v>
      </c>
      <c r="D16" s="75">
        <f>'B4-FinPerf RE'!E30</f>
        <v>0</v>
      </c>
      <c r="E16" s="75">
        <f>'B4-FinPerf RE'!F30</f>
        <v>0</v>
      </c>
      <c r="F16" s="75">
        <f>'B4-FinPerf RE'!G30</f>
        <v>0</v>
      </c>
      <c r="G16" s="75">
        <f>'B4-FinPerf RE'!H30</f>
        <v>0</v>
      </c>
      <c r="H16" s="75">
        <f>'B4-FinPerf RE'!I30</f>
        <v>0</v>
      </c>
      <c r="I16" s="75">
        <f t="shared" si="1"/>
        <v>0</v>
      </c>
      <c r="J16" s="75">
        <f t="shared" si="3"/>
        <v>0</v>
      </c>
      <c r="K16" s="75">
        <f>'B4-FinPerf RE'!L30</f>
        <v>0</v>
      </c>
      <c r="L16" s="76">
        <f>'B4-FinPerf RE'!M30</f>
        <v>0</v>
      </c>
    </row>
    <row r="17" spans="1:13" ht="12.75" customHeight="1" x14ac:dyDescent="0.25">
      <c r="A17" s="36" t="s">
        <v>568</v>
      </c>
      <c r="B17" s="75">
        <f>SUM('B4-FinPerf RE'!C31:C32)</f>
        <v>6366500</v>
      </c>
      <c r="C17" s="75">
        <f>SUM('B4-FinPerf RE'!D31:D32)</f>
        <v>6366500</v>
      </c>
      <c r="D17" s="75">
        <f>SUM('B4-FinPerf RE'!E31:E32)</f>
        <v>0</v>
      </c>
      <c r="E17" s="75">
        <f>SUM('B4-FinPerf RE'!F31:F32)</f>
        <v>0</v>
      </c>
      <c r="F17" s="75">
        <f>SUM('B4-FinPerf RE'!G31:G32)</f>
        <v>0</v>
      </c>
      <c r="G17" s="75">
        <f>SUM('B4-FinPerf RE'!H31:H32)</f>
        <v>0</v>
      </c>
      <c r="H17" s="75">
        <f>SUM('B4-FinPerf RE'!I31:I32)</f>
        <v>92000</v>
      </c>
      <c r="I17" s="75">
        <f t="shared" si="1"/>
        <v>92000</v>
      </c>
      <c r="J17" s="75">
        <f t="shared" si="3"/>
        <v>6458500</v>
      </c>
      <c r="K17" s="75">
        <f>SUM('B4-FinPerf RE'!L31:L32)</f>
        <v>5710490</v>
      </c>
      <c r="L17" s="76">
        <f>SUM('B4-FinPerf RE'!M31:M32)</f>
        <v>6109959</v>
      </c>
      <c r="M17" s="126"/>
    </row>
    <row r="18" spans="1:13" ht="12.75" customHeight="1" x14ac:dyDescent="0.25">
      <c r="A18" s="36" t="s">
        <v>657</v>
      </c>
      <c r="B18" s="75">
        <f>'B4-FinPerf RE'!C34</f>
        <v>309425</v>
      </c>
      <c r="C18" s="75">
        <f>'B4-FinPerf RE'!D34</f>
        <v>309425</v>
      </c>
      <c r="D18" s="75">
        <f>'B4-FinPerf RE'!E34</f>
        <v>0</v>
      </c>
      <c r="E18" s="75">
        <f>'B4-FinPerf RE'!F34</f>
        <v>0</v>
      </c>
      <c r="F18" s="75">
        <f>'B4-FinPerf RE'!G34</f>
        <v>0</v>
      </c>
      <c r="G18" s="75">
        <f>'B4-FinPerf RE'!H34</f>
        <v>0</v>
      </c>
      <c r="H18" s="75">
        <f>'B4-FinPerf RE'!I34</f>
        <v>0</v>
      </c>
      <c r="I18" s="75">
        <f t="shared" si="1"/>
        <v>0</v>
      </c>
      <c r="J18" s="75">
        <f t="shared" si="3"/>
        <v>309425</v>
      </c>
      <c r="K18" s="75">
        <f>'B4-FinPerf RE'!L34</f>
        <v>340367</v>
      </c>
      <c r="L18" s="76">
        <f>'B4-FinPerf RE'!M34</f>
        <v>374404</v>
      </c>
      <c r="M18" s="126"/>
    </row>
    <row r="19" spans="1:13" ht="12.75" customHeight="1" x14ac:dyDescent="0.25">
      <c r="A19" s="36" t="s">
        <v>569</v>
      </c>
      <c r="B19" s="75">
        <f>'B4-FinPerf RE'!C37-SUM('B1-Sum'!B13:B18)</f>
        <v>52622132</v>
      </c>
      <c r="C19" s="75">
        <f>'B4-FinPerf RE'!D37-SUM('B1-Sum'!C13:C18)</f>
        <v>52622132</v>
      </c>
      <c r="D19" s="75">
        <f>'B4-FinPerf RE'!E37-SUM('B1-Sum'!D13:D18)</f>
        <v>0</v>
      </c>
      <c r="E19" s="75">
        <f>'B4-FinPerf RE'!F37-SUM('B1-Sum'!E13:E18)</f>
        <v>0</v>
      </c>
      <c r="F19" s="75">
        <f>'B4-FinPerf RE'!G37-SUM('B1-Sum'!F13:F18)</f>
        <v>0</v>
      </c>
      <c r="G19" s="75">
        <f>'B4-FinPerf RE'!H37-SUM('B1-Sum'!G13:G18)</f>
        <v>0</v>
      </c>
      <c r="H19" s="75">
        <f>'B4-FinPerf RE'!I37-SUM('B1-Sum'!H13:H18)</f>
        <v>20990767</v>
      </c>
      <c r="I19" s="75">
        <f t="shared" si="1"/>
        <v>20990767</v>
      </c>
      <c r="J19" s="75">
        <f t="shared" si="3"/>
        <v>73612899</v>
      </c>
      <c r="K19" s="75">
        <f>'B4-FinPerf RE'!L37-SUM('B1-Sum'!K13:K18)</f>
        <v>53064999</v>
      </c>
      <c r="L19" s="76">
        <f>'B4-FinPerf RE'!M37-SUM('B1-Sum'!L13:L18)</f>
        <v>56156335</v>
      </c>
      <c r="M19" s="126"/>
    </row>
    <row r="20" spans="1:13" ht="12.75" customHeight="1" x14ac:dyDescent="0.25">
      <c r="A20" s="37" t="s">
        <v>570</v>
      </c>
      <c r="B20" s="676">
        <f t="shared" ref="B20:L20" si="4">SUM(B13:B19)</f>
        <v>121536902</v>
      </c>
      <c r="C20" s="634">
        <f t="shared" si="4"/>
        <v>121536902</v>
      </c>
      <c r="D20" s="634">
        <f t="shared" si="4"/>
        <v>0</v>
      </c>
      <c r="E20" s="634">
        <f t="shared" si="4"/>
        <v>0</v>
      </c>
      <c r="F20" s="634">
        <f t="shared" si="4"/>
        <v>0</v>
      </c>
      <c r="G20" s="634">
        <f t="shared" si="4"/>
        <v>0</v>
      </c>
      <c r="H20" s="634">
        <f t="shared" si="4"/>
        <v>21082767</v>
      </c>
      <c r="I20" s="634">
        <f>SUM(I13:I19)</f>
        <v>21082767</v>
      </c>
      <c r="J20" s="634">
        <f t="shared" si="4"/>
        <v>142619669</v>
      </c>
      <c r="K20" s="634">
        <f t="shared" si="4"/>
        <v>125554404</v>
      </c>
      <c r="L20" s="635">
        <f t="shared" si="4"/>
        <v>133327450</v>
      </c>
      <c r="M20" s="126"/>
    </row>
    <row r="21" spans="1:13" ht="12.75" customHeight="1" x14ac:dyDescent="0.25">
      <c r="A21" s="38" t="s">
        <v>571</v>
      </c>
      <c r="B21" s="75">
        <f t="shared" ref="B21:L21" si="5">B12-B20</f>
        <v>-13310447</v>
      </c>
      <c r="C21" s="75">
        <f t="shared" si="5"/>
        <v>-905447</v>
      </c>
      <c r="D21" s="75">
        <f t="shared" si="5"/>
        <v>0</v>
      </c>
      <c r="E21" s="75">
        <f t="shared" si="5"/>
        <v>0</v>
      </c>
      <c r="F21" s="75">
        <f t="shared" si="5"/>
        <v>0</v>
      </c>
      <c r="G21" s="75">
        <f t="shared" si="5"/>
        <v>0</v>
      </c>
      <c r="H21" s="75">
        <f t="shared" si="5"/>
        <v>-21811177</v>
      </c>
      <c r="I21" s="75">
        <f t="shared" si="5"/>
        <v>-21811177</v>
      </c>
      <c r="J21" s="75">
        <f t="shared" si="5"/>
        <v>-22716624</v>
      </c>
      <c r="K21" s="75">
        <f t="shared" si="5"/>
        <v>-11442701</v>
      </c>
      <c r="L21" s="76">
        <f t="shared" si="5"/>
        <v>-12325577</v>
      </c>
      <c r="M21" s="126"/>
    </row>
    <row r="22" spans="1:13" ht="22.35" customHeight="1" x14ac:dyDescent="0.25">
      <c r="A22" s="1314" t="str">
        <f>'B4-FinPerf RE'!A40</f>
        <v>Transfers and subsidies - capital (monetary allocations) (National / Provincial and District)</v>
      </c>
      <c r="B22" s="75">
        <f>'B4-FinPerf RE'!C40</f>
        <v>15996000</v>
      </c>
      <c r="C22" s="75">
        <f>'B4-FinPerf RE'!D40</f>
        <v>15996000</v>
      </c>
      <c r="D22" s="75">
        <f>'B4-FinPerf RE'!E40</f>
        <v>0</v>
      </c>
      <c r="E22" s="75">
        <f>'B4-FinPerf RE'!F40</f>
        <v>0</v>
      </c>
      <c r="F22" s="75">
        <f>'B4-FinPerf RE'!G40</f>
        <v>0</v>
      </c>
      <c r="G22" s="75">
        <f>'B4-FinPerf RE'!H40</f>
        <v>0</v>
      </c>
      <c r="H22" s="75">
        <f>'B4-FinPerf RE'!I40</f>
        <v>-196000</v>
      </c>
      <c r="I22" s="75">
        <f>SUM(E22:H22)</f>
        <v>-196000</v>
      </c>
      <c r="J22" s="75">
        <f>IF(C22=0,B22+I22,C22+I22)</f>
        <v>15800000</v>
      </c>
      <c r="K22" s="75">
        <f>'B4-FinPerf RE'!L40</f>
        <v>17027000</v>
      </c>
      <c r="L22" s="76">
        <f>'B4-FinPerf RE'!M40</f>
        <v>17781000</v>
      </c>
      <c r="M22" s="126"/>
    </row>
    <row r="23" spans="1:13" ht="53.45" customHeight="1" x14ac:dyDescent="0.25">
      <c r="A23" s="1314"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SUM(E23:H23)</f>
        <v>0</v>
      </c>
      <c r="J23" s="75">
        <f>IF(C23=0,B23+I23,C23+I23)</f>
        <v>0</v>
      </c>
      <c r="K23" s="75">
        <f>SUM('B4-FinPerf RE'!L41:L42)</f>
        <v>0</v>
      </c>
      <c r="L23" s="76">
        <f>SUM('B4-FinPerf RE'!M41:M42)</f>
        <v>0</v>
      </c>
      <c r="M23" s="126"/>
    </row>
    <row r="24" spans="1:13" ht="25.5" x14ac:dyDescent="0.25">
      <c r="A24" s="40" t="s">
        <v>573</v>
      </c>
      <c r="B24" s="676">
        <f t="shared" ref="B24:L24" si="6">B21+SUM(B22:B23)</f>
        <v>2685553</v>
      </c>
      <c r="C24" s="634">
        <f t="shared" si="6"/>
        <v>15090553</v>
      </c>
      <c r="D24" s="634">
        <f t="shared" si="6"/>
        <v>0</v>
      </c>
      <c r="E24" s="634">
        <f t="shared" si="6"/>
        <v>0</v>
      </c>
      <c r="F24" s="634">
        <f t="shared" si="6"/>
        <v>0</v>
      </c>
      <c r="G24" s="634">
        <f t="shared" si="6"/>
        <v>0</v>
      </c>
      <c r="H24" s="634">
        <f t="shared" si="6"/>
        <v>-22007177</v>
      </c>
      <c r="I24" s="634">
        <f>SUM(E24:H24)</f>
        <v>-22007177</v>
      </c>
      <c r="J24" s="634">
        <f>IF(C24=0,B24+I24,C24+I24)</f>
        <v>-6916624</v>
      </c>
      <c r="K24" s="634">
        <f t="shared" si="6"/>
        <v>5584299</v>
      </c>
      <c r="L24" s="635">
        <f t="shared" si="6"/>
        <v>5455423</v>
      </c>
      <c r="M24" s="126"/>
    </row>
    <row r="25" spans="1:13" ht="12.75" customHeight="1" x14ac:dyDescent="0.25">
      <c r="A25" s="41" t="s">
        <v>574</v>
      </c>
      <c r="B25" s="75">
        <f>'B4-FinPerf RE'!C48</f>
        <v>0</v>
      </c>
      <c r="C25" s="75">
        <f>'B4-FinPerf RE'!D48</f>
        <v>0</v>
      </c>
      <c r="D25" s="75">
        <f>'B4-FinPerf RE'!E48</f>
        <v>0</v>
      </c>
      <c r="E25" s="75">
        <f>'B4-FinPerf RE'!F48</f>
        <v>0</v>
      </c>
      <c r="F25" s="75">
        <f>'B4-FinPerf RE'!G48</f>
        <v>0</v>
      </c>
      <c r="G25" s="75">
        <f>'B4-FinPerf RE'!H48</f>
        <v>0</v>
      </c>
      <c r="H25" s="75">
        <f>'B4-FinPerf RE'!I48</f>
        <v>0</v>
      </c>
      <c r="I25" s="75">
        <f>SUM(E25:H25)</f>
        <v>0</v>
      </c>
      <c r="J25" s="75">
        <f>IF(C25=0,B25+I25,C25+I25)</f>
        <v>0</v>
      </c>
      <c r="K25" s="75">
        <f>'B4-FinPerf RE'!L48</f>
        <v>0</v>
      </c>
      <c r="L25" s="76">
        <f>'B4-FinPerf RE'!M48</f>
        <v>0</v>
      </c>
      <c r="M25" s="126"/>
    </row>
    <row r="26" spans="1:13" ht="12.75" customHeight="1" x14ac:dyDescent="0.25">
      <c r="A26" s="38" t="s">
        <v>575</v>
      </c>
      <c r="B26" s="1068">
        <f t="shared" ref="B26:L26" si="7">B24+B25</f>
        <v>2685553</v>
      </c>
      <c r="C26" s="1069">
        <f t="shared" si="7"/>
        <v>15090553</v>
      </c>
      <c r="D26" s="1069">
        <f t="shared" si="7"/>
        <v>0</v>
      </c>
      <c r="E26" s="1069">
        <f t="shared" si="7"/>
        <v>0</v>
      </c>
      <c r="F26" s="1069">
        <f t="shared" si="7"/>
        <v>0</v>
      </c>
      <c r="G26" s="1069">
        <f t="shared" si="7"/>
        <v>0</v>
      </c>
      <c r="H26" s="1069">
        <f t="shared" si="7"/>
        <v>-22007177</v>
      </c>
      <c r="I26" s="1069">
        <f t="shared" si="7"/>
        <v>-22007177</v>
      </c>
      <c r="J26" s="1069">
        <f t="shared" si="7"/>
        <v>-6916624</v>
      </c>
      <c r="K26" s="1069">
        <f t="shared" si="7"/>
        <v>5584299</v>
      </c>
      <c r="L26" s="1070">
        <f t="shared" si="7"/>
        <v>5455423</v>
      </c>
      <c r="M26" s="126"/>
    </row>
    <row r="27" spans="1:13" ht="5.0999999999999996" customHeight="1" x14ac:dyDescent="0.25">
      <c r="A27" s="42"/>
      <c r="B27" s="43"/>
      <c r="C27" s="44"/>
      <c r="D27" s="44"/>
      <c r="E27" s="44"/>
      <c r="F27" s="44"/>
      <c r="G27" s="44"/>
      <c r="H27" s="44"/>
      <c r="I27" s="44"/>
      <c r="J27" s="44"/>
      <c r="K27" s="45"/>
      <c r="L27" s="46"/>
      <c r="M27" s="126"/>
    </row>
    <row r="28" spans="1:13" ht="12.75" customHeight="1" x14ac:dyDescent="0.25">
      <c r="A28" s="25" t="s">
        <v>576</v>
      </c>
      <c r="B28" s="47"/>
      <c r="C28" s="27"/>
      <c r="D28" s="27"/>
      <c r="E28" s="27"/>
      <c r="F28" s="27"/>
      <c r="G28" s="27"/>
      <c r="H28" s="27"/>
      <c r="I28" s="27"/>
      <c r="J28" s="27"/>
      <c r="K28" s="28"/>
      <c r="L28" s="29"/>
      <c r="M28" s="126"/>
    </row>
    <row r="29" spans="1:13" ht="12.75" customHeight="1" x14ac:dyDescent="0.25">
      <c r="A29" s="51" t="s">
        <v>577</v>
      </c>
      <c r="B29" s="75">
        <f>'B5-Capex'!C42</f>
        <v>25696767</v>
      </c>
      <c r="C29" s="75">
        <f>'B5-Capex'!D42</f>
        <v>33420752</v>
      </c>
      <c r="D29" s="75">
        <f>'B5-Capex'!E42</f>
        <v>0</v>
      </c>
      <c r="E29" s="75">
        <f>'B5-Capex'!F42</f>
        <v>0</v>
      </c>
      <c r="F29" s="75">
        <f>'B5-Capex'!G42</f>
        <v>0</v>
      </c>
      <c r="G29" s="75">
        <f>'B5-Capex'!H42</f>
        <v>0</v>
      </c>
      <c r="H29" s="75">
        <f>'B5-Capex'!I42</f>
        <v>341736</v>
      </c>
      <c r="I29" s="75">
        <f>SUM(E29:H29)</f>
        <v>341736</v>
      </c>
      <c r="J29" s="75">
        <f>IF(C29=0,B29+I29,C29+I29)</f>
        <v>33762488</v>
      </c>
      <c r="K29" s="75">
        <f>'B5-Capex'!L42</f>
        <v>32227000</v>
      </c>
      <c r="L29" s="76">
        <f>'B5-Capex'!M42</f>
        <v>24381000</v>
      </c>
      <c r="M29" s="126"/>
    </row>
    <row r="30" spans="1:13" ht="12.75" customHeight="1" x14ac:dyDescent="0.25">
      <c r="A30" s="30" t="s">
        <v>572</v>
      </c>
      <c r="B30" s="75">
        <f>'B5-Capex'!C72</f>
        <v>15996767</v>
      </c>
      <c r="C30" s="75">
        <f>'B5-Capex'!D72</f>
        <v>15996002</v>
      </c>
      <c r="D30" s="75">
        <f>'B5-Capex'!E72</f>
        <v>0</v>
      </c>
      <c r="E30" s="75">
        <f>'B5-Capex'!F72</f>
        <v>0</v>
      </c>
      <c r="F30" s="75">
        <f>'B5-Capex'!G72</f>
        <v>0</v>
      </c>
      <c r="G30" s="75">
        <f>'B5-Capex'!H72</f>
        <v>0</v>
      </c>
      <c r="H30" s="75">
        <f>'B5-Capex'!I72</f>
        <v>-196000</v>
      </c>
      <c r="I30" s="75">
        <f>SUM(E30:H30)</f>
        <v>-196000</v>
      </c>
      <c r="J30" s="75">
        <f>IF(C30=0,B30+I30,C30+I30)</f>
        <v>15800002</v>
      </c>
      <c r="K30" s="75">
        <f>'B5-Capex'!L72</f>
        <v>17027000</v>
      </c>
      <c r="L30" s="76">
        <f>'B5-Capex'!M72</f>
        <v>17781000</v>
      </c>
      <c r="M30" s="126"/>
    </row>
    <row r="31" spans="1:13" ht="0.95" customHeight="1" x14ac:dyDescent="0.25">
      <c r="A31" s="748"/>
      <c r="B31" s="136"/>
      <c r="C31" s="136"/>
      <c r="D31" s="136"/>
      <c r="E31" s="136"/>
      <c r="F31" s="136"/>
      <c r="G31" s="136"/>
      <c r="H31" s="136"/>
      <c r="I31" s="136"/>
      <c r="J31" s="136"/>
      <c r="K31" s="136"/>
      <c r="L31" s="203"/>
      <c r="M31" s="126"/>
    </row>
    <row r="32" spans="1:13" ht="12.75" customHeight="1" x14ac:dyDescent="0.25">
      <c r="A32" s="30" t="s">
        <v>578</v>
      </c>
      <c r="B32" s="75">
        <f>'B5-Capex'!C74</f>
        <v>0</v>
      </c>
      <c r="C32" s="75">
        <f>'B5-Capex'!D74</f>
        <v>0</v>
      </c>
      <c r="D32" s="75">
        <f>'B5-Capex'!E74</f>
        <v>0</v>
      </c>
      <c r="E32" s="75">
        <f>'B5-Capex'!F74</f>
        <v>0</v>
      </c>
      <c r="F32" s="75">
        <f>'B5-Capex'!G74</f>
        <v>0</v>
      </c>
      <c r="G32" s="75">
        <f>'B5-Capex'!H74</f>
        <v>0</v>
      </c>
      <c r="H32" s="75">
        <f>'B5-Capex'!I74</f>
        <v>0</v>
      </c>
      <c r="I32" s="75">
        <f>SUM(E32:H32)</f>
        <v>0</v>
      </c>
      <c r="J32" s="75">
        <f>IF(C32=0,B32+I32,C32+I32)</f>
        <v>0</v>
      </c>
      <c r="K32" s="75">
        <f>'B5-Capex'!L74</f>
        <v>0</v>
      </c>
      <c r="L32" s="76">
        <f>'B5-Capex'!M74</f>
        <v>0</v>
      </c>
      <c r="M32" s="126"/>
    </row>
    <row r="33" spans="1:13" ht="12.75" customHeight="1" x14ac:dyDescent="0.25">
      <c r="A33" s="30" t="s">
        <v>579</v>
      </c>
      <c r="B33" s="75">
        <f>'B5-Capex'!C75</f>
        <v>9700000</v>
      </c>
      <c r="C33" s="75">
        <f>'B5-Capex'!D75</f>
        <v>17424750</v>
      </c>
      <c r="D33" s="75">
        <f>'B5-Capex'!E75</f>
        <v>0</v>
      </c>
      <c r="E33" s="75">
        <f>'B5-Capex'!F75</f>
        <v>0</v>
      </c>
      <c r="F33" s="75">
        <f>'B5-Capex'!G75</f>
        <v>0</v>
      </c>
      <c r="G33" s="75">
        <f>'B5-Capex'!H75</f>
        <v>0</v>
      </c>
      <c r="H33" s="75">
        <f>'B5-Capex'!I75</f>
        <v>537736</v>
      </c>
      <c r="I33" s="75">
        <f>SUM(E33:H33)</f>
        <v>537736</v>
      </c>
      <c r="J33" s="75">
        <f>IF(C33=0,B33+I33,C33+I33)</f>
        <v>17962486</v>
      </c>
      <c r="K33" s="75">
        <f>'B5-Capex'!L75</f>
        <v>15200000</v>
      </c>
      <c r="L33" s="76">
        <f>'B5-Capex'!M75</f>
        <v>6600000</v>
      </c>
      <c r="M33" s="126"/>
    </row>
    <row r="34" spans="1:13" s="48" customFormat="1" ht="12.75" customHeight="1" x14ac:dyDescent="0.25">
      <c r="A34" s="51" t="s">
        <v>580</v>
      </c>
      <c r="B34" s="139">
        <f>+B30+B32+B33</f>
        <v>25696767</v>
      </c>
      <c r="C34" s="139">
        <f t="shared" ref="C34:L34" si="8">+C30+C32+C33</f>
        <v>33420752</v>
      </c>
      <c r="D34" s="139">
        <f t="shared" si="8"/>
        <v>0</v>
      </c>
      <c r="E34" s="139">
        <f t="shared" si="8"/>
        <v>0</v>
      </c>
      <c r="F34" s="139">
        <f t="shared" si="8"/>
        <v>0</v>
      </c>
      <c r="G34" s="139">
        <f t="shared" si="8"/>
        <v>0</v>
      </c>
      <c r="H34" s="139">
        <f t="shared" si="8"/>
        <v>341736</v>
      </c>
      <c r="I34" s="139">
        <f>SUM(E34:H34)</f>
        <v>341736</v>
      </c>
      <c r="J34" s="139">
        <f>IF(C34=0,B34+I34,C34+I34)</f>
        <v>33762488</v>
      </c>
      <c r="K34" s="139">
        <f t="shared" si="8"/>
        <v>32227000</v>
      </c>
      <c r="L34" s="140">
        <f t="shared" si="8"/>
        <v>24381000</v>
      </c>
      <c r="M34" s="336"/>
    </row>
    <row r="35" spans="1:13" ht="5.0999999999999996" customHeight="1" x14ac:dyDescent="0.25">
      <c r="A35" s="49"/>
      <c r="B35" s="43"/>
      <c r="C35" s="44"/>
      <c r="D35" s="44"/>
      <c r="E35" s="44"/>
      <c r="F35" s="44"/>
      <c r="G35" s="44"/>
      <c r="H35" s="44"/>
      <c r="I35" s="44"/>
      <c r="J35" s="44"/>
      <c r="K35" s="45"/>
      <c r="L35" s="46"/>
      <c r="M35" s="126"/>
    </row>
    <row r="36" spans="1:13" ht="12.75" customHeight="1" x14ac:dyDescent="0.25">
      <c r="A36" s="25" t="s">
        <v>581</v>
      </c>
      <c r="B36" s="47"/>
      <c r="C36" s="27"/>
      <c r="D36" s="27"/>
      <c r="E36" s="27"/>
      <c r="F36" s="27"/>
      <c r="G36" s="27"/>
      <c r="H36" s="27"/>
      <c r="I36" s="27"/>
      <c r="J36" s="27"/>
      <c r="K36" s="28"/>
      <c r="L36" s="29"/>
      <c r="M36" s="126"/>
    </row>
    <row r="37" spans="1:13" ht="12.75" customHeight="1" x14ac:dyDescent="0.25">
      <c r="A37" s="30" t="s">
        <v>582</v>
      </c>
      <c r="B37" s="75">
        <f>'B6-FinPos'!C14</f>
        <v>94496559</v>
      </c>
      <c r="C37" s="75">
        <f>'B6-FinPos'!D14</f>
        <v>94496559</v>
      </c>
      <c r="D37" s="75">
        <f>'B6-FinPos'!E14</f>
        <v>0</v>
      </c>
      <c r="E37" s="75">
        <f>'B6-FinPos'!F14</f>
        <v>0</v>
      </c>
      <c r="F37" s="75">
        <f>'B6-FinPos'!G14</f>
        <v>0</v>
      </c>
      <c r="G37" s="75">
        <f>'B6-FinPos'!H14</f>
        <v>0</v>
      </c>
      <c r="H37" s="75">
        <f>'B6-FinPos'!I14</f>
        <v>-51558469</v>
      </c>
      <c r="I37" s="75">
        <f>SUM(E37:H37)</f>
        <v>-51558469</v>
      </c>
      <c r="J37" s="75">
        <f>IF(C37=0,B37+I37,C37+I37)</f>
        <v>42938090</v>
      </c>
      <c r="K37" s="75">
        <f>'B6-FinPos'!L14</f>
        <v>42938090</v>
      </c>
      <c r="L37" s="76">
        <f>'B6-FinPos'!M14</f>
        <v>42938090</v>
      </c>
      <c r="M37" s="126"/>
    </row>
    <row r="38" spans="1:13" ht="12.75" customHeight="1" x14ac:dyDescent="0.25">
      <c r="A38" s="30" t="s">
        <v>583</v>
      </c>
      <c r="B38" s="75">
        <f>'B6-FinPos'!C26</f>
        <v>170645888</v>
      </c>
      <c r="C38" s="75">
        <f>'B6-FinPos'!D26</f>
        <v>178369873</v>
      </c>
      <c r="D38" s="75">
        <f>'B6-FinPos'!E26</f>
        <v>0</v>
      </c>
      <c r="E38" s="75">
        <f>'B6-FinPos'!F26</f>
        <v>0</v>
      </c>
      <c r="F38" s="75">
        <f>'B6-FinPos'!G26</f>
        <v>0</v>
      </c>
      <c r="G38" s="75">
        <f>'B6-FinPos'!H26</f>
        <v>0</v>
      </c>
      <c r="H38" s="75">
        <f>'B6-FinPos'!I26</f>
        <v>-144607385</v>
      </c>
      <c r="I38" s="75">
        <f>SUM(E38:H38)</f>
        <v>-144607385</v>
      </c>
      <c r="J38" s="75">
        <f>IF(C38=0,B38+I38,C38+I38)</f>
        <v>33762488</v>
      </c>
      <c r="K38" s="75">
        <f>'B6-FinPos'!L26</f>
        <v>32227000</v>
      </c>
      <c r="L38" s="76">
        <f>'B6-FinPos'!M26</f>
        <v>24381000</v>
      </c>
      <c r="M38" s="126"/>
    </row>
    <row r="39" spans="1:13" ht="12.75" customHeight="1" x14ac:dyDescent="0.25">
      <c r="A39" s="30" t="s">
        <v>584</v>
      </c>
      <c r="B39" s="75">
        <f>'B6-FinPos'!C36</f>
        <v>10352812</v>
      </c>
      <c r="C39" s="75">
        <f>'B6-FinPos'!D36</f>
        <v>10352812</v>
      </c>
      <c r="D39" s="75">
        <f>'B6-FinPos'!E36</f>
        <v>0</v>
      </c>
      <c r="E39" s="75">
        <f>'B6-FinPos'!F36</f>
        <v>0</v>
      </c>
      <c r="F39" s="75">
        <f>'B6-FinPos'!G36</f>
        <v>0</v>
      </c>
      <c r="G39" s="75">
        <f>'B6-FinPos'!H36</f>
        <v>0</v>
      </c>
      <c r="H39" s="75">
        <f>'B6-FinPos'!I36</f>
        <v>62455673</v>
      </c>
      <c r="I39" s="75">
        <f>SUM(E39:H39)</f>
        <v>62455673</v>
      </c>
      <c r="J39" s="75">
        <f>IF(C39=0,B39+I39,C39+I39)</f>
        <v>72808485</v>
      </c>
      <c r="K39" s="75">
        <f>'B6-FinPos'!L36</f>
        <v>-120203426</v>
      </c>
      <c r="L39" s="76">
        <f>'B6-FinPos'!M36</f>
        <v>-120219976</v>
      </c>
      <c r="M39" s="126"/>
    </row>
    <row r="40" spans="1:13" ht="12.75" customHeight="1" x14ac:dyDescent="0.25">
      <c r="A40" s="30" t="s">
        <v>585</v>
      </c>
      <c r="B40" s="75">
        <f>'B6-FinPos'!C41</f>
        <v>0</v>
      </c>
      <c r="C40" s="75">
        <f>'B6-FinPos'!D41</f>
        <v>0</v>
      </c>
      <c r="D40" s="75">
        <f>'B6-FinPos'!E41</f>
        <v>0</v>
      </c>
      <c r="E40" s="75">
        <f>'B6-FinPos'!F41</f>
        <v>0</v>
      </c>
      <c r="F40" s="75">
        <f>'B6-FinPos'!G41</f>
        <v>0</v>
      </c>
      <c r="G40" s="75">
        <f>'B6-FinPos'!H41</f>
        <v>0</v>
      </c>
      <c r="H40" s="75">
        <f>'B6-FinPos'!I41</f>
        <v>0</v>
      </c>
      <c r="I40" s="75">
        <f>SUM(E40:H40)</f>
        <v>0</v>
      </c>
      <c r="J40" s="75">
        <f>IF(C40=0,B40+I40,C40+I40)</f>
        <v>0</v>
      </c>
      <c r="K40" s="75">
        <f>'B6-FinPos'!L41</f>
        <v>0</v>
      </c>
      <c r="L40" s="76">
        <f>'B6-FinPos'!M41</f>
        <v>0</v>
      </c>
      <c r="M40" s="126"/>
    </row>
    <row r="41" spans="1:13" ht="12.75" customHeight="1" x14ac:dyDescent="0.25">
      <c r="A41" s="51" t="s">
        <v>1140</v>
      </c>
      <c r="B41" s="139">
        <f>'B6-FinPos'!C50</f>
        <v>240175353</v>
      </c>
      <c r="C41" s="139">
        <f>'B6-FinPos'!D50</f>
        <v>258824588</v>
      </c>
      <c r="D41" s="139">
        <f>'B6-FinPos'!E50</f>
        <v>0</v>
      </c>
      <c r="E41" s="139">
        <f>'B6-FinPos'!F50</f>
        <v>0</v>
      </c>
      <c r="F41" s="139">
        <f>'B6-FinPos'!G50</f>
        <v>0</v>
      </c>
      <c r="G41" s="139">
        <f>'B6-FinPos'!H50</f>
        <v>0</v>
      </c>
      <c r="H41" s="139">
        <f>'B6-FinPos'!I50</f>
        <v>-265741212</v>
      </c>
      <c r="I41" s="139">
        <f>SUM(E41:H41)</f>
        <v>-265741212</v>
      </c>
      <c r="J41" s="139">
        <f>IF(C41=0,B41+I41,C41+I41)</f>
        <v>-6916624</v>
      </c>
      <c r="K41" s="139">
        <f>'B6-FinPos'!L50</f>
        <v>5584299</v>
      </c>
      <c r="L41" s="140">
        <f>'B6-FinPos'!M50</f>
        <v>5455423</v>
      </c>
      <c r="M41" s="126"/>
    </row>
    <row r="42" spans="1:13" ht="5.0999999999999996" customHeight="1" x14ac:dyDescent="0.25">
      <c r="A42" s="42"/>
      <c r="B42" s="43"/>
      <c r="C42" s="44"/>
      <c r="D42" s="44"/>
      <c r="E42" s="44"/>
      <c r="F42" s="44"/>
      <c r="G42" s="44"/>
      <c r="H42" s="44"/>
      <c r="I42" s="44"/>
      <c r="J42" s="44"/>
      <c r="K42" s="45"/>
      <c r="L42" s="46"/>
      <c r="M42" s="126"/>
    </row>
    <row r="43" spans="1:13" ht="12.75" customHeight="1" x14ac:dyDescent="0.25">
      <c r="A43" s="25" t="s">
        <v>586</v>
      </c>
      <c r="B43" s="47"/>
      <c r="C43" s="27"/>
      <c r="D43" s="27"/>
      <c r="E43" s="27"/>
      <c r="F43" s="27"/>
      <c r="G43" s="27"/>
      <c r="H43" s="27"/>
      <c r="I43" s="27"/>
      <c r="J43" s="27"/>
      <c r="K43" s="28"/>
      <c r="L43" s="29"/>
      <c r="M43" s="126"/>
    </row>
    <row r="44" spans="1:13" ht="12.75" customHeight="1" x14ac:dyDescent="0.25">
      <c r="A44" s="30" t="s">
        <v>587</v>
      </c>
      <c r="B44" s="75">
        <f>'B7-CFlow'!C19</f>
        <v>28529808</v>
      </c>
      <c r="C44" s="75">
        <f>'B7-CFlow'!D19</f>
        <v>28529661</v>
      </c>
      <c r="D44" s="75">
        <f>'B7-CFlow'!E19</f>
        <v>0</v>
      </c>
      <c r="E44" s="75">
        <f>'B7-CFlow'!F19</f>
        <v>0</v>
      </c>
      <c r="F44" s="75">
        <f>'B7-CFlow'!G19</f>
        <v>0</v>
      </c>
      <c r="G44" s="75">
        <f>'B7-CFlow'!H19</f>
        <v>0</v>
      </c>
      <c r="H44" s="75">
        <f>'B7-CFlow'!I19</f>
        <v>-25542000</v>
      </c>
      <c r="I44" s="75">
        <f>SUM(E44:H44)</f>
        <v>-25542000</v>
      </c>
      <c r="J44" s="75">
        <f>IF(C44=0,B44+I44,C44+I44)</f>
        <v>2987661</v>
      </c>
      <c r="K44" s="75">
        <f>'B7-CFlow'!L19</f>
        <v>-120203426</v>
      </c>
      <c r="L44" s="76">
        <f>'B7-CFlow'!M19</f>
        <v>-120219976</v>
      </c>
      <c r="M44" s="126"/>
    </row>
    <row r="45" spans="1:13" ht="12.75" customHeight="1" x14ac:dyDescent="0.25">
      <c r="A45" s="30" t="s">
        <v>588</v>
      </c>
      <c r="B45" s="75">
        <f>'B7-CFlow'!C29</f>
        <v>-31941000</v>
      </c>
      <c r="C45" s="75">
        <f>'B7-CFlow'!D29</f>
        <v>-31941000</v>
      </c>
      <c r="D45" s="75">
        <f>'B7-CFlow'!E29</f>
        <v>0</v>
      </c>
      <c r="E45" s="75">
        <f>'B7-CFlow'!F29</f>
        <v>0</v>
      </c>
      <c r="F45" s="75">
        <f>'B7-CFlow'!G29</f>
        <v>0</v>
      </c>
      <c r="G45" s="75">
        <f>'B7-CFlow'!H29</f>
        <v>0</v>
      </c>
      <c r="H45" s="75">
        <f>'B7-CFlow'!I29</f>
        <v>-1731000</v>
      </c>
      <c r="I45" s="75">
        <f>SUM(E45:H45)</f>
        <v>-1731000</v>
      </c>
      <c r="J45" s="75">
        <f>IF(C45=0,B45+I45,C45+I45)</f>
        <v>-33672000</v>
      </c>
      <c r="K45" s="75">
        <f>'B7-CFlow'!L29</f>
        <v>-22516910</v>
      </c>
      <c r="L45" s="76">
        <f>'B7-CFlow'!M29</f>
        <v>-22516910</v>
      </c>
      <c r="M45" s="126"/>
    </row>
    <row r="46" spans="1:13" ht="12.75" customHeight="1" x14ac:dyDescent="0.25">
      <c r="A46" s="30" t="s">
        <v>589</v>
      </c>
      <c r="B46" s="75">
        <f>'B7-CFlow'!C38</f>
        <v>0</v>
      </c>
      <c r="C46" s="75">
        <f>'B7-CFlow'!D38</f>
        <v>0</v>
      </c>
      <c r="D46" s="75">
        <f>'B7-CFlow'!E38</f>
        <v>0</v>
      </c>
      <c r="E46" s="75">
        <f>'B7-CFlow'!F38</f>
        <v>0</v>
      </c>
      <c r="F46" s="75">
        <f>'B7-CFlow'!G38</f>
        <v>0</v>
      </c>
      <c r="G46" s="75">
        <f>'B7-CFlow'!H38</f>
        <v>0</v>
      </c>
      <c r="H46" s="75">
        <f>'B7-CFlow'!I38</f>
        <v>0</v>
      </c>
      <c r="I46" s="75">
        <f>SUM(E46:H46)</f>
        <v>0</v>
      </c>
      <c r="J46" s="75">
        <f>IF(C46=0,B46+I46,C46+I46)</f>
        <v>0</v>
      </c>
      <c r="K46" s="75">
        <f>'B7-CFlow'!L38</f>
        <v>0</v>
      </c>
      <c r="L46" s="76">
        <f>'B7-CFlow'!M38</f>
        <v>0</v>
      </c>
      <c r="M46" s="126"/>
    </row>
    <row r="47" spans="1:13" ht="12.75" customHeight="1" x14ac:dyDescent="0.25">
      <c r="A47" s="51" t="s">
        <v>590</v>
      </c>
      <c r="B47" s="139">
        <f>'B7-CFlow'!C42</f>
        <v>-3411192</v>
      </c>
      <c r="C47" s="139">
        <f>'B7-CFlow'!D42</f>
        <v>62043661</v>
      </c>
      <c r="D47" s="139">
        <f>'B7-CFlow'!E42</f>
        <v>65455000</v>
      </c>
      <c r="E47" s="139">
        <f>'B7-CFlow'!F42</f>
        <v>0</v>
      </c>
      <c r="F47" s="139">
        <f>'B7-CFlow'!G42</f>
        <v>0</v>
      </c>
      <c r="G47" s="139">
        <f>'B7-CFlow'!H42</f>
        <v>0</v>
      </c>
      <c r="H47" s="139">
        <f>'B7-CFlow'!I42</f>
        <v>-27273000</v>
      </c>
      <c r="I47" s="139">
        <f>SUM(E47:H47)</f>
        <v>-27273000</v>
      </c>
      <c r="J47" s="139">
        <f>IF(C47=0,B47+I47,C47+I47)</f>
        <v>34770661</v>
      </c>
      <c r="K47" s="139">
        <f>'B7-CFlow'!L42</f>
        <v>-142720336</v>
      </c>
      <c r="L47" s="140">
        <f>'B7-CFlow'!M42</f>
        <v>-142736886</v>
      </c>
      <c r="M47" s="126"/>
    </row>
    <row r="48" spans="1:13" ht="5.0999999999999996" customHeight="1" x14ac:dyDescent="0.25">
      <c r="A48" s="42"/>
      <c r="B48" s="43"/>
      <c r="C48" s="44"/>
      <c r="D48" s="44"/>
      <c r="E48" s="44"/>
      <c r="F48" s="44"/>
      <c r="G48" s="44"/>
      <c r="H48" s="44"/>
      <c r="I48" s="44"/>
      <c r="J48" s="44"/>
      <c r="K48" s="45"/>
      <c r="L48" s="46"/>
      <c r="M48" s="126"/>
    </row>
    <row r="49" spans="1:16" ht="12.75" customHeight="1" x14ac:dyDescent="0.25">
      <c r="A49" s="52" t="s">
        <v>591</v>
      </c>
      <c r="B49" s="31"/>
      <c r="C49" s="32"/>
      <c r="D49" s="32"/>
      <c r="E49" s="32"/>
      <c r="F49" s="32"/>
      <c r="G49" s="32"/>
      <c r="H49" s="32"/>
      <c r="I49" s="32"/>
      <c r="J49" s="32"/>
      <c r="K49" s="33"/>
      <c r="L49" s="34"/>
      <c r="M49" s="126"/>
    </row>
    <row r="50" spans="1:16" ht="12.75" customHeight="1" x14ac:dyDescent="0.25">
      <c r="A50" s="30" t="s">
        <v>592</v>
      </c>
      <c r="B50" s="75">
        <f>'B8-ResRecon'!C10</f>
        <v>60543564</v>
      </c>
      <c r="C50" s="75">
        <f>'B8-ResRecon'!D10</f>
        <v>60543564</v>
      </c>
      <c r="D50" s="75">
        <f>'B8-ResRecon'!E10</f>
        <v>0</v>
      </c>
      <c r="E50" s="75">
        <f>'B8-ResRecon'!F10</f>
        <v>0</v>
      </c>
      <c r="F50" s="75">
        <f>'B8-ResRecon'!G10</f>
        <v>0</v>
      </c>
      <c r="G50" s="75">
        <f>'B8-ResRecon'!H10</f>
        <v>0</v>
      </c>
      <c r="H50" s="75">
        <f>'B8-ResRecon'!I10</f>
        <v>-17605474</v>
      </c>
      <c r="I50" s="75">
        <f>SUM(E50:H50)</f>
        <v>-17605474</v>
      </c>
      <c r="J50" s="75">
        <f>IF(C50=0,B50+I50,C50+I50)</f>
        <v>42938090</v>
      </c>
      <c r="K50" s="75">
        <f>'B8-ResRecon'!L10</f>
        <v>42938090</v>
      </c>
      <c r="L50" s="76">
        <f>'B8-ResRecon'!M10</f>
        <v>42938090</v>
      </c>
      <c r="M50" s="126"/>
    </row>
    <row r="51" spans="1:16" ht="12.75" customHeight="1" x14ac:dyDescent="0.25">
      <c r="A51" s="30" t="s">
        <v>593</v>
      </c>
      <c r="B51" s="75">
        <f>'B8-ResRecon'!C20</f>
        <v>-18273074</v>
      </c>
      <c r="C51" s="75">
        <f>'B8-ResRecon'!D20</f>
        <v>-18273074</v>
      </c>
      <c r="D51" s="75">
        <f>'B8-ResRecon'!E20</f>
        <v>0</v>
      </c>
      <c r="E51" s="75">
        <f>'B8-ResRecon'!F20</f>
        <v>0</v>
      </c>
      <c r="F51" s="75">
        <f>'B8-ResRecon'!G20</f>
        <v>0</v>
      </c>
      <c r="G51" s="75">
        <f>'B8-ResRecon'!H20</f>
        <v>0</v>
      </c>
      <c r="H51" s="75">
        <f>'B8-ResRecon'!I20</f>
        <v>91081559</v>
      </c>
      <c r="I51" s="75">
        <f>SUM(E51:H51)</f>
        <v>91081559</v>
      </c>
      <c r="J51" s="75">
        <f>IF(C51=0,B51+I51,C51+I51)</f>
        <v>72808485</v>
      </c>
      <c r="K51" s="75">
        <f>'B8-ResRecon'!L20</f>
        <v>-120203426</v>
      </c>
      <c r="L51" s="76">
        <f>'B8-ResRecon'!M20</f>
        <v>-120219976</v>
      </c>
      <c r="M51" s="126"/>
    </row>
    <row r="52" spans="1:16" ht="12.75" customHeight="1" x14ac:dyDescent="0.25">
      <c r="A52" s="51" t="s">
        <v>594</v>
      </c>
      <c r="B52" s="139">
        <f t="shared" ref="B52:L52" si="9">B50-B51</f>
        <v>78816638</v>
      </c>
      <c r="C52" s="139">
        <f t="shared" si="9"/>
        <v>78816638</v>
      </c>
      <c r="D52" s="139">
        <f t="shared" si="9"/>
        <v>0</v>
      </c>
      <c r="E52" s="139">
        <f t="shared" si="9"/>
        <v>0</v>
      </c>
      <c r="F52" s="139">
        <f t="shared" si="9"/>
        <v>0</v>
      </c>
      <c r="G52" s="139">
        <f t="shared" si="9"/>
        <v>0</v>
      </c>
      <c r="H52" s="139">
        <f t="shared" si="9"/>
        <v>-108687033</v>
      </c>
      <c r="I52" s="139">
        <f t="shared" si="9"/>
        <v>-108687033</v>
      </c>
      <c r="J52" s="139">
        <f t="shared" si="9"/>
        <v>-29870395</v>
      </c>
      <c r="K52" s="139">
        <f t="shared" si="9"/>
        <v>163141516</v>
      </c>
      <c r="L52" s="140">
        <f t="shared" si="9"/>
        <v>163158066</v>
      </c>
      <c r="M52" s="126"/>
    </row>
    <row r="53" spans="1:16" ht="5.0999999999999996" customHeight="1" x14ac:dyDescent="0.25">
      <c r="A53" s="42"/>
      <c r="B53" s="43"/>
      <c r="C53" s="44"/>
      <c r="D53" s="44"/>
      <c r="E53" s="44"/>
      <c r="F53" s="44"/>
      <c r="G53" s="44"/>
      <c r="H53" s="44"/>
      <c r="I53" s="44"/>
      <c r="J53" s="44"/>
      <c r="K53" s="45"/>
      <c r="L53" s="46"/>
      <c r="M53" s="126"/>
    </row>
    <row r="54" spans="1:16" ht="12.75" customHeight="1" x14ac:dyDescent="0.25">
      <c r="A54" s="52" t="s">
        <v>595</v>
      </c>
      <c r="B54" s="31"/>
      <c r="C54" s="32"/>
      <c r="D54" s="32"/>
      <c r="E54" s="32"/>
      <c r="F54" s="32"/>
      <c r="G54" s="32"/>
      <c r="H54" s="32"/>
      <c r="I54" s="32"/>
      <c r="J54" s="27"/>
      <c r="K54" s="33"/>
      <c r="L54" s="34"/>
      <c r="M54" s="126"/>
    </row>
    <row r="55" spans="1:16" ht="12.75" customHeight="1" x14ac:dyDescent="0.25">
      <c r="A55" s="30" t="s">
        <v>596</v>
      </c>
      <c r="B55" s="75">
        <f>'B9-Asset'!C167</f>
        <v>148004742</v>
      </c>
      <c r="C55" s="75">
        <f>'B9-Asset'!D167</f>
        <v>154249742</v>
      </c>
      <c r="D55" s="75">
        <f>'B9-Asset'!E167</f>
        <v>0</v>
      </c>
      <c r="E55" s="75">
        <f>'B9-Asset'!F167</f>
        <v>0</v>
      </c>
      <c r="F55" s="75">
        <f>'B9-Asset'!G167</f>
        <v>0</v>
      </c>
      <c r="G55" s="75">
        <f>'B9-Asset'!H167</f>
        <v>0</v>
      </c>
      <c r="H55" s="75">
        <f>'B9-Asset'!I167</f>
        <v>-136229941</v>
      </c>
      <c r="I55" s="75">
        <f>SUM(E55:H55)</f>
        <v>-136229941</v>
      </c>
      <c r="J55" s="75">
        <f>IF(C55=0,B55+I55,C55+I55)</f>
        <v>18019801</v>
      </c>
      <c r="K55" s="75">
        <f>'B9-Asset'!L167</f>
        <v>15200000</v>
      </c>
      <c r="L55" s="76">
        <f>'B9-Asset'!M167</f>
        <v>6600000</v>
      </c>
      <c r="M55" s="126"/>
    </row>
    <row r="56" spans="1:16" ht="12.75" customHeight="1" x14ac:dyDescent="0.25">
      <c r="A56" s="30" t="s">
        <v>566</v>
      </c>
      <c r="B56" s="169">
        <f>'B9-Asset'!C170</f>
        <v>11173339</v>
      </c>
      <c r="C56" s="75">
        <f>'B9-Asset'!D170</f>
        <v>11173339</v>
      </c>
      <c r="D56" s="75">
        <f>'B9-Asset'!E170</f>
        <v>0</v>
      </c>
      <c r="E56" s="75">
        <f>'B9-Asset'!F170</f>
        <v>0</v>
      </c>
      <c r="F56" s="75">
        <f>'B9-Asset'!G170</f>
        <v>0</v>
      </c>
      <c r="G56" s="75">
        <f>'B9-Asset'!H170</f>
        <v>0</v>
      </c>
      <c r="H56" s="75">
        <f>'B9-Asset'!I170</f>
        <v>0</v>
      </c>
      <c r="I56" s="75">
        <f>SUM(E56:H56)</f>
        <v>0</v>
      </c>
      <c r="J56" s="75">
        <f>IF(C56=0,B56+I56,C56+I56)</f>
        <v>11173339</v>
      </c>
      <c r="K56" s="75">
        <f>'B9-Asset'!L170</f>
        <v>12290674</v>
      </c>
      <c r="L56" s="76">
        <f>'B9-Asset'!M170</f>
        <v>13519740</v>
      </c>
      <c r="M56" s="126"/>
    </row>
    <row r="57" spans="1:16" ht="12.75" customHeight="1" x14ac:dyDescent="0.25">
      <c r="A57" s="30" t="s">
        <v>1773</v>
      </c>
      <c r="B57" s="75">
        <f>'B9-Asset'!C39+'B9-Asset'!C71</f>
        <v>1000000</v>
      </c>
      <c r="C57" s="75">
        <f>'B9-Asset'!D39+'B9-Asset'!D71</f>
        <v>1000000</v>
      </c>
      <c r="D57" s="75">
        <f>'B9-Asset'!E39+'B9-Asset'!E71</f>
        <v>0</v>
      </c>
      <c r="E57" s="75">
        <f>'B9-Asset'!F39+'B9-Asset'!F71</f>
        <v>0</v>
      </c>
      <c r="F57" s="75">
        <f>'B9-Asset'!G39+'B9-Asset'!G71</f>
        <v>0</v>
      </c>
      <c r="G57" s="75">
        <f>'B9-Asset'!H39+'B9-Asset'!H71</f>
        <v>0</v>
      </c>
      <c r="H57" s="75">
        <f>'B9-Asset'!I39+'B9-Asset'!I71</f>
        <v>550000</v>
      </c>
      <c r="I57" s="75">
        <f>SUM(E57:H57)</f>
        <v>550000</v>
      </c>
      <c r="J57" s="75">
        <f>IF(C57=0,B57+I57,C57+I57)</f>
        <v>1550000</v>
      </c>
      <c r="K57" s="75">
        <f>'B9-Asset'!L39+'B9-Asset'!L71</f>
        <v>1200000</v>
      </c>
      <c r="L57" s="76">
        <f>'B9-Asset'!M39+'B9-Asset'!M71</f>
        <v>0</v>
      </c>
      <c r="M57" s="126"/>
    </row>
    <row r="58" spans="1:16" ht="12.75" customHeight="1" x14ac:dyDescent="0.25">
      <c r="A58" s="30" t="s">
        <v>597</v>
      </c>
      <c r="B58" s="75">
        <f>'B9-Asset'!C171</f>
        <v>16880000</v>
      </c>
      <c r="C58" s="75">
        <f>'B9-Asset'!D171</f>
        <v>16880000</v>
      </c>
      <c r="D58" s="75">
        <f>'B9-Asset'!E171</f>
        <v>0</v>
      </c>
      <c r="E58" s="75">
        <f>'B9-Asset'!F171</f>
        <v>0</v>
      </c>
      <c r="F58" s="75">
        <f>'B9-Asset'!G171</f>
        <v>0</v>
      </c>
      <c r="G58" s="75">
        <f>'B9-Asset'!H171</f>
        <v>0</v>
      </c>
      <c r="H58" s="75">
        <f>'B9-Asset'!I171</f>
        <v>13950520</v>
      </c>
      <c r="I58" s="75">
        <f>SUM(E58:H58)</f>
        <v>13950520</v>
      </c>
      <c r="J58" s="75">
        <f>IF(C58=0,B58+I58,C58+I58)</f>
        <v>30830520</v>
      </c>
      <c r="K58" s="75">
        <f>'B9-Asset'!L171</f>
        <v>13592800</v>
      </c>
      <c r="L58" s="76">
        <f>'B9-Asset'!M171</f>
        <v>14485968</v>
      </c>
      <c r="M58" s="126"/>
    </row>
    <row r="59" spans="1:16" ht="5.0999999999999996" customHeight="1" x14ac:dyDescent="0.25">
      <c r="A59" s="42"/>
      <c r="B59" s="43"/>
      <c r="C59" s="44"/>
      <c r="D59" s="44"/>
      <c r="E59" s="44"/>
      <c r="F59" s="44"/>
      <c r="G59" s="44"/>
      <c r="H59" s="44"/>
      <c r="I59" s="44"/>
      <c r="J59" s="44"/>
      <c r="K59" s="45"/>
      <c r="L59" s="46"/>
      <c r="M59" s="126"/>
    </row>
    <row r="60" spans="1:16" ht="12.75" customHeight="1" x14ac:dyDescent="0.25">
      <c r="A60" s="52" t="s">
        <v>1023</v>
      </c>
      <c r="B60" s="35"/>
      <c r="C60" s="32"/>
      <c r="D60" s="32"/>
      <c r="E60" s="32"/>
      <c r="F60" s="32"/>
      <c r="G60" s="32"/>
      <c r="H60" s="32"/>
      <c r="I60" s="32"/>
      <c r="J60" s="32"/>
      <c r="K60" s="33"/>
      <c r="L60" s="34"/>
      <c r="M60" s="543"/>
      <c r="N60" s="53"/>
      <c r="O60" s="53"/>
      <c r="P60" s="53"/>
    </row>
    <row r="61" spans="1:16" ht="12.75" customHeight="1" x14ac:dyDescent="0.25">
      <c r="A61" s="30" t="s">
        <v>598</v>
      </c>
      <c r="B61" s="75">
        <f>'B10-SerDel'!C62</f>
        <v>0</v>
      </c>
      <c r="C61" s="75">
        <f>'B10-SerDel'!D62</f>
        <v>0</v>
      </c>
      <c r="D61" s="75">
        <f>'B10-SerDel'!E62</f>
        <v>0</v>
      </c>
      <c r="E61" s="75">
        <f>'B10-SerDel'!F62</f>
        <v>0</v>
      </c>
      <c r="F61" s="75">
        <f>'B10-SerDel'!G62</f>
        <v>0</v>
      </c>
      <c r="G61" s="75">
        <f>'B10-SerDel'!H62</f>
        <v>0</v>
      </c>
      <c r="H61" s="75">
        <f>'B10-SerDel'!I62</f>
        <v>0</v>
      </c>
      <c r="I61" s="75">
        <f>'B10-SerDel'!J62</f>
        <v>0</v>
      </c>
      <c r="J61" s="75">
        <f>'B10-SerDel'!K62</f>
        <v>0</v>
      </c>
      <c r="K61" s="75">
        <f>'B10-SerDel'!L62</f>
        <v>0</v>
      </c>
      <c r="L61" s="76">
        <f>'B10-SerDel'!M62</f>
        <v>0</v>
      </c>
      <c r="M61" s="126"/>
      <c r="N61" s="54"/>
      <c r="O61" s="54"/>
      <c r="P61" s="54"/>
    </row>
    <row r="62" spans="1:16" ht="12.75" customHeight="1" x14ac:dyDescent="0.25">
      <c r="A62" s="36" t="s">
        <v>599</v>
      </c>
      <c r="B62" s="75">
        <f>'B10-SerDel'!C81</f>
        <v>1507430</v>
      </c>
      <c r="C62" s="75">
        <f>'B10-SerDel'!D81</f>
        <v>1507430</v>
      </c>
      <c r="D62" s="75">
        <f>'B10-SerDel'!E81</f>
        <v>0</v>
      </c>
      <c r="E62" s="75">
        <f>'B10-SerDel'!F81</f>
        <v>0</v>
      </c>
      <c r="F62" s="75">
        <f>'B10-SerDel'!G81</f>
        <v>0</v>
      </c>
      <c r="G62" s="75">
        <f>'B10-SerDel'!H81</f>
        <v>0</v>
      </c>
      <c r="H62" s="75">
        <f>'B10-SerDel'!I81</f>
        <v>0</v>
      </c>
      <c r="I62" s="75">
        <f>'B10-SerDel'!J81</f>
        <v>0</v>
      </c>
      <c r="J62" s="75">
        <f>'B10-SerDel'!K81</f>
        <v>1507430</v>
      </c>
      <c r="K62" s="75">
        <f>'B10-SerDel'!L81</f>
        <v>1523840</v>
      </c>
      <c r="L62" s="76">
        <f>'B10-SerDel'!M81</f>
        <v>1541234</v>
      </c>
      <c r="M62" s="836"/>
      <c r="N62" s="54"/>
      <c r="O62" s="54"/>
      <c r="P62" s="54"/>
    </row>
    <row r="63" spans="1:16" ht="12.75" customHeight="1" x14ac:dyDescent="0.25">
      <c r="A63" s="831" t="s">
        <v>1022</v>
      </c>
      <c r="B63" s="35"/>
      <c r="C63" s="32"/>
      <c r="D63" s="32"/>
      <c r="E63" s="32"/>
      <c r="F63" s="32"/>
      <c r="G63" s="32"/>
      <c r="H63" s="32"/>
      <c r="I63" s="32"/>
      <c r="J63" s="32"/>
      <c r="K63" s="33"/>
      <c r="L63" s="34"/>
      <c r="M63" s="836"/>
      <c r="N63" s="54"/>
      <c r="O63" s="54"/>
      <c r="P63" s="54"/>
    </row>
    <row r="64" spans="1:16" ht="12.75" customHeight="1" x14ac:dyDescent="0.25">
      <c r="A64" s="55" t="s">
        <v>600</v>
      </c>
      <c r="B64" s="75">
        <f>'B10-SerDel'!C16</f>
        <v>0</v>
      </c>
      <c r="C64" s="75">
        <f>'B10-SerDel'!D16</f>
        <v>0</v>
      </c>
      <c r="D64" s="75">
        <f>'B10-SerDel'!E16</f>
        <v>0</v>
      </c>
      <c r="E64" s="75">
        <f>'B10-SerDel'!F16</f>
        <v>0</v>
      </c>
      <c r="F64" s="75">
        <f>'B10-SerDel'!G16</f>
        <v>0</v>
      </c>
      <c r="G64" s="75">
        <f>'B10-SerDel'!H16</f>
        <v>0</v>
      </c>
      <c r="H64" s="75">
        <f>'B10-SerDel'!I16</f>
        <v>0</v>
      </c>
      <c r="I64" s="75">
        <f>SUM(E64:H64)</f>
        <v>0</v>
      </c>
      <c r="J64" s="75">
        <f>IF(C64=0,B64+I64,C64+I64)</f>
        <v>0</v>
      </c>
      <c r="K64" s="75">
        <f>'B10-SerDel'!L16</f>
        <v>0</v>
      </c>
      <c r="L64" s="76">
        <f>'B10-SerDel'!M16</f>
        <v>0</v>
      </c>
      <c r="M64" s="54"/>
      <c r="N64" s="54"/>
      <c r="O64" s="54"/>
      <c r="P64" s="54"/>
    </row>
    <row r="65" spans="1:16" ht="12.75" customHeight="1" x14ac:dyDescent="0.25">
      <c r="A65" s="55" t="s">
        <v>601</v>
      </c>
      <c r="B65" s="75">
        <f>'B10-SerDel'!C28</f>
        <v>0</v>
      </c>
      <c r="C65" s="75">
        <f>'B10-SerDel'!D28</f>
        <v>0</v>
      </c>
      <c r="D65" s="75">
        <f>'B10-SerDel'!E28</f>
        <v>0</v>
      </c>
      <c r="E65" s="75">
        <f>'B10-SerDel'!F28</f>
        <v>0</v>
      </c>
      <c r="F65" s="75">
        <f>'B10-SerDel'!G28</f>
        <v>0</v>
      </c>
      <c r="G65" s="75">
        <f>'B10-SerDel'!H28</f>
        <v>0</v>
      </c>
      <c r="H65" s="75">
        <f>'B10-SerDel'!I28</f>
        <v>0</v>
      </c>
      <c r="I65" s="75">
        <f>SUM(E65:H65)</f>
        <v>0</v>
      </c>
      <c r="J65" s="75">
        <f>IF(C65=0,B65+I65,C65+I65)</f>
        <v>0</v>
      </c>
      <c r="K65" s="75">
        <f>'B10-SerDel'!L28</f>
        <v>0</v>
      </c>
      <c r="L65" s="76">
        <f>'B10-SerDel'!M28</f>
        <v>0</v>
      </c>
      <c r="M65" s="53"/>
      <c r="N65" s="53"/>
      <c r="O65" s="53"/>
      <c r="P65" s="53"/>
    </row>
    <row r="66" spans="1:16" ht="12.75" customHeight="1" x14ac:dyDescent="0.25">
      <c r="A66" s="55" t="s">
        <v>602</v>
      </c>
      <c r="B66" s="75">
        <f>'B10-SerDel'!C37</f>
        <v>0</v>
      </c>
      <c r="C66" s="75">
        <f>'B10-SerDel'!D37</f>
        <v>0</v>
      </c>
      <c r="D66" s="75">
        <f>'B10-SerDel'!E37</f>
        <v>0</v>
      </c>
      <c r="E66" s="75">
        <f>'B10-SerDel'!F37</f>
        <v>0</v>
      </c>
      <c r="F66" s="75">
        <f>'B10-SerDel'!G37</f>
        <v>0</v>
      </c>
      <c r="G66" s="75">
        <f>'B10-SerDel'!H37</f>
        <v>0</v>
      </c>
      <c r="H66" s="75">
        <f>'B10-SerDel'!I37</f>
        <v>0</v>
      </c>
      <c r="I66" s="75">
        <f>SUM(E66:H66)</f>
        <v>0</v>
      </c>
      <c r="J66" s="75">
        <f>IF(C66=0,B66+I66,C66+I66)</f>
        <v>0</v>
      </c>
      <c r="K66" s="75">
        <f>'B10-SerDel'!L37</f>
        <v>0</v>
      </c>
      <c r="L66" s="76">
        <f>'B10-SerDel'!M37</f>
        <v>0</v>
      </c>
      <c r="M66" s="54"/>
      <c r="N66" s="54"/>
      <c r="O66" s="54"/>
      <c r="P66" s="53"/>
    </row>
    <row r="67" spans="1:16" ht="12.75" customHeight="1" x14ac:dyDescent="0.25">
      <c r="A67" s="55" t="s">
        <v>603</v>
      </c>
      <c r="B67" s="75">
        <f>'B10-SerDel'!C47</f>
        <v>0</v>
      </c>
      <c r="C67" s="75">
        <f>'B10-SerDel'!D47</f>
        <v>0</v>
      </c>
      <c r="D67" s="75">
        <f>'B10-SerDel'!E47</f>
        <v>0</v>
      </c>
      <c r="E67" s="75">
        <f>'B10-SerDel'!F47</f>
        <v>0</v>
      </c>
      <c r="F67" s="75">
        <f>'B10-SerDel'!G47</f>
        <v>0</v>
      </c>
      <c r="G67" s="75">
        <f>'B10-SerDel'!H47</f>
        <v>0</v>
      </c>
      <c r="H67" s="75">
        <f>'B10-SerDel'!I47</f>
        <v>0</v>
      </c>
      <c r="I67" s="75">
        <f>SUM(E67:H67)</f>
        <v>0</v>
      </c>
      <c r="J67" s="75">
        <f>IF(C67=0,B67+I67,C67+I67)</f>
        <v>0</v>
      </c>
      <c r="K67" s="75">
        <f>'B10-SerDel'!L47</f>
        <v>0</v>
      </c>
      <c r="L67" s="76">
        <f>'B10-SerDel'!M47</f>
        <v>0</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39" t="s">
        <v>521</v>
      </c>
    </row>
    <row r="70" spans="1:16" x14ac:dyDescent="0.25">
      <c r="A70" s="1422" t="s">
        <v>990</v>
      </c>
      <c r="B70" s="1422"/>
      <c r="C70" s="1422"/>
      <c r="D70" s="1422"/>
      <c r="E70" s="1422"/>
      <c r="F70" s="1422"/>
      <c r="G70" s="1422"/>
      <c r="H70" s="1422"/>
      <c r="I70" s="1422"/>
      <c r="J70" s="1422"/>
      <c r="K70" s="1422"/>
      <c r="L70" s="1422"/>
      <c r="M70" s="1422"/>
    </row>
    <row r="71" spans="1:16" x14ac:dyDescent="0.25">
      <c r="A71" s="1422" t="s">
        <v>6</v>
      </c>
      <c r="B71" s="1422"/>
      <c r="C71" s="1422"/>
      <c r="D71" s="1422"/>
      <c r="E71" s="1422"/>
      <c r="F71" s="1422"/>
      <c r="G71" s="1422"/>
      <c r="H71" s="1422"/>
      <c r="I71" s="1422"/>
      <c r="J71" s="1422"/>
      <c r="K71" s="1422"/>
      <c r="L71" s="1422"/>
      <c r="M71" s="1422"/>
    </row>
    <row r="72" spans="1:16" x14ac:dyDescent="0.25">
      <c r="A72" s="1416" t="s">
        <v>7</v>
      </c>
      <c r="B72" s="1416"/>
      <c r="C72" s="1416"/>
      <c r="D72" s="1416"/>
      <c r="E72" s="1416"/>
      <c r="F72" s="1416"/>
      <c r="G72" s="1416"/>
      <c r="H72" s="1416"/>
      <c r="I72" s="1416"/>
      <c r="J72" s="1416"/>
      <c r="K72" s="1416"/>
      <c r="L72" s="1416"/>
      <c r="M72" s="1416"/>
    </row>
    <row r="73" spans="1:16" x14ac:dyDescent="0.25">
      <c r="A73" s="1416" t="s">
        <v>8</v>
      </c>
      <c r="B73" s="1416"/>
      <c r="C73" s="1416"/>
      <c r="D73" s="1416"/>
      <c r="E73" s="1416"/>
      <c r="F73" s="1416"/>
      <c r="G73" s="1416"/>
      <c r="H73" s="1416"/>
      <c r="I73" s="1416"/>
      <c r="J73" s="1416"/>
      <c r="K73" s="1416"/>
      <c r="L73" s="1416"/>
      <c r="M73" s="1416"/>
    </row>
    <row r="74" spans="1:16" x14ac:dyDescent="0.25">
      <c r="A74" s="99" t="s">
        <v>9</v>
      </c>
      <c r="B74" s="93"/>
      <c r="C74" s="96"/>
      <c r="D74" s="96"/>
      <c r="E74" s="96"/>
      <c r="F74" s="96"/>
      <c r="G74" s="96"/>
      <c r="H74" s="96"/>
      <c r="I74" s="96"/>
      <c r="J74" s="96"/>
      <c r="K74" s="96"/>
      <c r="L74" s="96"/>
      <c r="M74" s="96"/>
    </row>
    <row r="75" spans="1:16" x14ac:dyDescent="0.25">
      <c r="A75" s="1416" t="s">
        <v>10</v>
      </c>
      <c r="B75" s="1416"/>
      <c r="C75" s="1416"/>
      <c r="D75" s="1416"/>
      <c r="E75" s="1416"/>
      <c r="F75" s="1416"/>
      <c r="G75" s="1416"/>
      <c r="H75" s="1416"/>
      <c r="I75" s="1416"/>
      <c r="J75" s="1416"/>
      <c r="K75" s="1416"/>
      <c r="L75" s="1416"/>
      <c r="M75" s="1416"/>
    </row>
    <row r="76" spans="1:16" x14ac:dyDescent="0.25">
      <c r="A76" s="99" t="s">
        <v>11</v>
      </c>
      <c r="B76" s="93"/>
      <c r="C76" s="96"/>
      <c r="D76" s="96"/>
      <c r="E76" s="96"/>
      <c r="F76" s="96"/>
      <c r="G76" s="96"/>
      <c r="H76" s="96"/>
      <c r="I76" s="96"/>
      <c r="J76" s="96"/>
      <c r="K76" s="96"/>
      <c r="L76" s="96"/>
      <c r="M76" s="96"/>
    </row>
    <row r="77" spans="1:16" x14ac:dyDescent="0.25">
      <c r="A77" s="1416" t="s">
        <v>12</v>
      </c>
      <c r="B77" s="1416"/>
      <c r="C77" s="1416"/>
      <c r="D77" s="1416"/>
      <c r="E77" s="1416"/>
      <c r="F77" s="1416"/>
      <c r="G77" s="1416"/>
      <c r="H77" s="1416"/>
      <c r="I77" s="1416"/>
      <c r="J77" s="1416"/>
      <c r="K77" s="1416"/>
      <c r="L77" s="1416"/>
      <c r="M77" s="1416"/>
    </row>
  </sheetData>
  <sheetProtection algorithmName="SHA-512" hashValue="Lp0GopuumD8kmm7BehwC0qrTsA04o8BTIgIK838lBpnoOTyKAscCbeWYMoJ8Xbau5kNubzolcBXlK2PGuCuDqA==" saltValue="0wsnOX/ldSTrq10lcVcUNQ==" spinCount="100000" sheet="1" objects="1" scenarios="1"/>
  <mergeCells count="8">
    <mergeCell ref="A75:M75"/>
    <mergeCell ref="A77:M77"/>
    <mergeCell ref="B2:J2"/>
    <mergeCell ref="A2:A4"/>
    <mergeCell ref="A70:M70"/>
    <mergeCell ref="A71:M71"/>
    <mergeCell ref="A72:M72"/>
    <mergeCell ref="A73:M73"/>
  </mergeCells>
  <phoneticPr fontId="4" type="noConversion"/>
  <printOptions horizontalCentered="1"/>
  <pageMargins left="0.35433070866141736" right="0.15748031496062992" top="0.78740157480314965" bottom="0.59055118110236227" header="0.51181102362204722" footer="0.39370078740157483"/>
  <pageSetup paperSize="9" scale="74"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3">
    <tabColor indexed="44"/>
    <pageSetUpPr fitToPage="1"/>
  </sheetPr>
  <dimension ref="A1:N101"/>
  <sheetViews>
    <sheetView showGridLines="0" zoomScaleNormal="100" workbookViewId="0">
      <pane xSplit="2" ySplit="5" topLeftCell="C6" activePane="bottomRight" state="frozen"/>
      <selection activeCell="C141" sqref="C141"/>
      <selection pane="topRight" activeCell="C141" sqref="C141"/>
      <selection pane="bottomLeft" activeCell="C141" sqref="C141"/>
      <selection pane="bottomRight" activeCell="A27" sqref="A27:XFD27"/>
    </sheetView>
  </sheetViews>
  <sheetFormatPr defaultColWidth="9.140625" defaultRowHeight="12.75" x14ac:dyDescent="0.25"/>
  <cols>
    <col min="1" max="1" width="32.5703125" style="5" customWidth="1"/>
    <col min="2" max="2" width="3.42578125" style="58" customWidth="1"/>
    <col min="3" max="13" width="8.570312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27" width="9.140625" style="5" customWidth="1"/>
    <col min="28" max="16384" width="9.140625" style="5"/>
  </cols>
  <sheetData>
    <row r="1" spans="1:14" ht="13.5" x14ac:dyDescent="0.25">
      <c r="A1" s="57" t="str">
        <f>muni&amp;" - "&amp;_ADJ3&amp;" - "&amp;Date</f>
        <v xml:space="preserve">KZN226 Mkhambathini - Table B2 Adjustments Budget Financial Performance (functional classification) - </v>
      </c>
      <c r="B1" s="5"/>
      <c r="C1" s="58"/>
    </row>
    <row r="2" spans="1:14" ht="38.25" x14ac:dyDescent="0.25">
      <c r="A2" s="1423" t="str">
        <f>"Standard "&amp;desc</f>
        <v>Standard Description</v>
      </c>
      <c r="B2" s="1420" t="str">
        <f>head27</f>
        <v>Ref</v>
      </c>
      <c r="C2" s="1417" t="str">
        <f>Head2</f>
        <v>Budget Year 2020/21</v>
      </c>
      <c r="D2" s="1418"/>
      <c r="E2" s="1418"/>
      <c r="F2" s="1418"/>
      <c r="G2" s="1418"/>
      <c r="H2" s="1418"/>
      <c r="I2" s="1418"/>
      <c r="J2" s="1418"/>
      <c r="K2" s="1418"/>
      <c r="L2" s="103" t="str">
        <f>Head10</f>
        <v>Budget Year +1 2021/22</v>
      </c>
      <c r="M2" s="61" t="str">
        <f>Head11</f>
        <v>Budget Year +2 2022/23</v>
      </c>
    </row>
    <row r="3" spans="1:14" ht="25.5" x14ac:dyDescent="0.25">
      <c r="A3" s="1424"/>
      <c r="B3" s="14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605</v>
      </c>
      <c r="B5" s="104" t="s">
        <v>614</v>
      </c>
      <c r="C5" s="67" t="s">
        <v>549</v>
      </c>
      <c r="D5" s="68" t="s">
        <v>550</v>
      </c>
      <c r="E5" s="68" t="s">
        <v>551</v>
      </c>
      <c r="F5" s="69" t="s">
        <v>552</v>
      </c>
      <c r="G5" s="69" t="s">
        <v>553</v>
      </c>
      <c r="H5" s="69" t="s">
        <v>554</v>
      </c>
      <c r="I5" s="70" t="s">
        <v>555</v>
      </c>
      <c r="J5" s="70" t="s">
        <v>556</v>
      </c>
      <c r="K5" s="70" t="s">
        <v>557</v>
      </c>
      <c r="L5" s="70"/>
      <c r="M5" s="71"/>
    </row>
    <row r="6" spans="1:14" ht="12.75" customHeight="1" x14ac:dyDescent="0.25">
      <c r="A6" s="484" t="s">
        <v>1561</v>
      </c>
      <c r="B6" s="105"/>
      <c r="C6" s="106"/>
      <c r="D6" s="75"/>
      <c r="E6" s="75"/>
      <c r="F6" s="75"/>
      <c r="G6" s="75"/>
      <c r="H6" s="75"/>
      <c r="I6" s="75"/>
      <c r="J6" s="75"/>
      <c r="K6" s="75"/>
      <c r="L6" s="75"/>
      <c r="M6" s="76"/>
      <c r="N6" s="126"/>
    </row>
    <row r="7" spans="1:14" ht="12.75" customHeight="1" x14ac:dyDescent="0.25">
      <c r="A7" s="107" t="s">
        <v>615</v>
      </c>
      <c r="B7" s="73"/>
      <c r="C7" s="255">
        <f>SUM(C8:C10)</f>
        <v>113346009</v>
      </c>
      <c r="D7" s="255">
        <f t="shared" ref="D7:I7" si="1">SUM(D8:D10)</f>
        <v>125751009</v>
      </c>
      <c r="E7" s="255">
        <f t="shared" si="1"/>
        <v>0</v>
      </c>
      <c r="F7" s="255">
        <f t="shared" si="1"/>
        <v>0</v>
      </c>
      <c r="G7" s="255">
        <f t="shared" si="1"/>
        <v>0</v>
      </c>
      <c r="H7" s="255">
        <f t="shared" si="1"/>
        <v>0</v>
      </c>
      <c r="I7" s="255">
        <f t="shared" si="1"/>
        <v>-2079321</v>
      </c>
      <c r="J7" s="255">
        <f>SUM(J8:J10)</f>
        <v>-2079321</v>
      </c>
      <c r="K7" s="255">
        <f>SUM(K8:K10)</f>
        <v>123671688</v>
      </c>
      <c r="L7" s="255">
        <f>SUM(L8:L10)</f>
        <v>120122929</v>
      </c>
      <c r="M7" s="699">
        <f>SUM(M8:M10)</f>
        <v>127225032</v>
      </c>
      <c r="N7" s="126"/>
    </row>
    <row r="8" spans="1:14" ht="12.75" customHeight="1" x14ac:dyDescent="0.25">
      <c r="A8" s="108" t="s">
        <v>616</v>
      </c>
      <c r="B8" s="73"/>
      <c r="C8" s="130">
        <f>B2B!C8</f>
        <v>0</v>
      </c>
      <c r="D8" s="130">
        <f>B2B!D8</f>
        <v>0</v>
      </c>
      <c r="E8" s="130">
        <f>B2B!E8</f>
        <v>0</v>
      </c>
      <c r="F8" s="130">
        <f>B2B!F8</f>
        <v>0</v>
      </c>
      <c r="G8" s="130">
        <f>B2B!G8</f>
        <v>0</v>
      </c>
      <c r="H8" s="130">
        <f>B2B!H8</f>
        <v>0</v>
      </c>
      <c r="I8" s="130">
        <f>B2B!I8</f>
        <v>0</v>
      </c>
      <c r="J8" s="169">
        <f>SUM(E8:I8)</f>
        <v>0</v>
      </c>
      <c r="K8" s="169">
        <f>IF(D8=0,C8+J8,D8+J8)</f>
        <v>0</v>
      </c>
      <c r="L8" s="130">
        <f>B2B!L8</f>
        <v>0</v>
      </c>
      <c r="M8" s="131">
        <f>B2B!M8</f>
        <v>0</v>
      </c>
      <c r="N8" s="126"/>
    </row>
    <row r="9" spans="1:14" ht="12.75" customHeight="1" x14ac:dyDescent="0.25">
      <c r="A9" s="108" t="s">
        <v>1480</v>
      </c>
      <c r="B9" s="73"/>
      <c r="C9" s="779">
        <f>B2B!C11</f>
        <v>113346009</v>
      </c>
      <c r="D9" s="779">
        <f>B2B!D11</f>
        <v>125751009</v>
      </c>
      <c r="E9" s="779">
        <f>B2B!E11</f>
        <v>0</v>
      </c>
      <c r="F9" s="779">
        <f>B2B!F11</f>
        <v>0</v>
      </c>
      <c r="G9" s="779">
        <f>B2B!G11</f>
        <v>0</v>
      </c>
      <c r="H9" s="779">
        <f>B2B!H11</f>
        <v>0</v>
      </c>
      <c r="I9" s="779">
        <f>B2B!I11</f>
        <v>-2079321</v>
      </c>
      <c r="J9" s="169">
        <f>SUM(E9:I9)</f>
        <v>-2079321</v>
      </c>
      <c r="K9" s="169">
        <f>IF(D9=0,C9+J9,D9+J9)</f>
        <v>123671688</v>
      </c>
      <c r="L9" s="779">
        <f>B2B!L11</f>
        <v>120122929</v>
      </c>
      <c r="M9" s="780">
        <f>B2B!M11</f>
        <v>127225032</v>
      </c>
      <c r="N9" s="126"/>
    </row>
    <row r="10" spans="1:14" ht="12.75" customHeight="1" x14ac:dyDescent="0.25">
      <c r="A10" s="108" t="s">
        <v>1481</v>
      </c>
      <c r="B10" s="73"/>
      <c r="C10" s="130">
        <f>B2B!C25</f>
        <v>0</v>
      </c>
      <c r="D10" s="130">
        <f>B2B!D25</f>
        <v>0</v>
      </c>
      <c r="E10" s="130">
        <f>B2B!E25</f>
        <v>0</v>
      </c>
      <c r="F10" s="130">
        <f>B2B!F25</f>
        <v>0</v>
      </c>
      <c r="G10" s="130">
        <f>B2B!G25</f>
        <v>0</v>
      </c>
      <c r="H10" s="130">
        <f>B2B!H25</f>
        <v>0</v>
      </c>
      <c r="I10" s="130">
        <f>B2B!I25</f>
        <v>0</v>
      </c>
      <c r="J10" s="169">
        <f>SUM(E10:I10)</f>
        <v>0</v>
      </c>
      <c r="K10" s="169">
        <f>IF(D10=0,C10+J10,D10+J10)</f>
        <v>0</v>
      </c>
      <c r="L10" s="130">
        <f>B2B!L25</f>
        <v>0</v>
      </c>
      <c r="M10" s="131">
        <f>B2B!M25</f>
        <v>0</v>
      </c>
      <c r="N10" s="126"/>
    </row>
    <row r="11" spans="1:14" ht="12.75" customHeight="1" x14ac:dyDescent="0.25">
      <c r="A11" s="107" t="s">
        <v>617</v>
      </c>
      <c r="B11" s="73"/>
      <c r="C11" s="255">
        <f>SUM(C12:C16)</f>
        <v>2212094</v>
      </c>
      <c r="D11" s="255">
        <f t="shared" ref="D11:I11" si="2">SUM(D12:D16)</f>
        <v>2212094</v>
      </c>
      <c r="E11" s="255">
        <f t="shared" si="2"/>
        <v>0</v>
      </c>
      <c r="F11" s="255">
        <f t="shared" si="2"/>
        <v>0</v>
      </c>
      <c r="G11" s="255">
        <f t="shared" si="2"/>
        <v>0</v>
      </c>
      <c r="H11" s="255">
        <f t="shared" si="2"/>
        <v>0</v>
      </c>
      <c r="I11" s="255">
        <f t="shared" si="2"/>
        <v>-372500</v>
      </c>
      <c r="J11" s="255">
        <f>SUM(J12:J16)</f>
        <v>-372500</v>
      </c>
      <c r="K11" s="255">
        <f>SUM(K12:K16)</f>
        <v>1839594</v>
      </c>
      <c r="L11" s="255">
        <f>SUM(L12:L16)</f>
        <v>1840950</v>
      </c>
      <c r="M11" s="699">
        <f>SUM(M12:M16)</f>
        <v>1842387</v>
      </c>
      <c r="N11" s="126"/>
    </row>
    <row r="12" spans="1:14" ht="12.75" customHeight="1" x14ac:dyDescent="0.25">
      <c r="A12" s="108" t="s">
        <v>618</v>
      </c>
      <c r="B12" s="73"/>
      <c r="C12" s="130">
        <f>B2B!C28</f>
        <v>2212094</v>
      </c>
      <c r="D12" s="130">
        <f>B2B!D28</f>
        <v>2212094</v>
      </c>
      <c r="E12" s="130">
        <f>B2B!E28</f>
        <v>0</v>
      </c>
      <c r="F12" s="130">
        <f>B2B!F28</f>
        <v>0</v>
      </c>
      <c r="G12" s="130">
        <f>B2B!G28</f>
        <v>0</v>
      </c>
      <c r="H12" s="130">
        <f>B2B!H28</f>
        <v>0</v>
      </c>
      <c r="I12" s="130">
        <f>B2B!I28</f>
        <v>-372500</v>
      </c>
      <c r="J12" s="169">
        <f>SUM(E12:I12)</f>
        <v>-372500</v>
      </c>
      <c r="K12" s="169">
        <f>IF(D12=0,C12+J12,D12+J12)</f>
        <v>1839594</v>
      </c>
      <c r="L12" s="130">
        <f>B2B!L28</f>
        <v>1840950</v>
      </c>
      <c r="M12" s="131">
        <f>B2B!M28</f>
        <v>1842387</v>
      </c>
      <c r="N12" s="126"/>
    </row>
    <row r="13" spans="1:14" ht="12.75" customHeight="1" x14ac:dyDescent="0.25">
      <c r="A13" s="108" t="s">
        <v>619</v>
      </c>
      <c r="B13" s="73"/>
      <c r="C13" s="130">
        <f>B2B!C50</f>
        <v>0</v>
      </c>
      <c r="D13" s="130">
        <f>B2B!D50</f>
        <v>0</v>
      </c>
      <c r="E13" s="130">
        <f>B2B!E50</f>
        <v>0</v>
      </c>
      <c r="F13" s="130">
        <f>B2B!F50</f>
        <v>0</v>
      </c>
      <c r="G13" s="130">
        <f>B2B!G50</f>
        <v>0</v>
      </c>
      <c r="H13" s="130">
        <f>B2B!H50</f>
        <v>0</v>
      </c>
      <c r="I13" s="130">
        <f>B2B!I50</f>
        <v>0</v>
      </c>
      <c r="J13" s="169">
        <f>SUM(E13:I13)</f>
        <v>0</v>
      </c>
      <c r="K13" s="169">
        <f>IF(D13=0,C13+J13,D13+J13)</f>
        <v>0</v>
      </c>
      <c r="L13" s="130">
        <f>B2B!L50</f>
        <v>0</v>
      </c>
      <c r="M13" s="131">
        <f>B2B!M50</f>
        <v>0</v>
      </c>
      <c r="N13" s="126"/>
    </row>
    <row r="14" spans="1:14" ht="12.75" customHeight="1" x14ac:dyDescent="0.25">
      <c r="A14" s="108" t="s">
        <v>620</v>
      </c>
      <c r="B14" s="73"/>
      <c r="C14" s="130">
        <f>B2B!C56</f>
        <v>0</v>
      </c>
      <c r="D14" s="130">
        <f>B2B!D56</f>
        <v>0</v>
      </c>
      <c r="E14" s="130">
        <f>B2B!E56</f>
        <v>0</v>
      </c>
      <c r="F14" s="130">
        <f>B2B!F56</f>
        <v>0</v>
      </c>
      <c r="G14" s="130">
        <f>B2B!G56</f>
        <v>0</v>
      </c>
      <c r="H14" s="130">
        <f>B2B!H56</f>
        <v>0</v>
      </c>
      <c r="I14" s="130">
        <f>B2B!I56</f>
        <v>0</v>
      </c>
      <c r="J14" s="169">
        <f>SUM(E14:I14)</f>
        <v>0</v>
      </c>
      <c r="K14" s="169">
        <f>IF(D14=0,C14+J14,D14+J14)</f>
        <v>0</v>
      </c>
      <c r="L14" s="130">
        <f>B2B!L56</f>
        <v>0</v>
      </c>
      <c r="M14" s="131">
        <f>B2B!M56</f>
        <v>0</v>
      </c>
      <c r="N14" s="126"/>
    </row>
    <row r="15" spans="1:14" ht="12.75" customHeight="1" x14ac:dyDescent="0.25">
      <c r="A15" s="108" t="s">
        <v>621</v>
      </c>
      <c r="B15" s="73"/>
      <c r="C15" s="130">
        <f>B2B!C65</f>
        <v>0</v>
      </c>
      <c r="D15" s="130">
        <f>B2B!D65</f>
        <v>0</v>
      </c>
      <c r="E15" s="130">
        <f>B2B!E65</f>
        <v>0</v>
      </c>
      <c r="F15" s="130">
        <f>B2B!F65</f>
        <v>0</v>
      </c>
      <c r="G15" s="130">
        <f>B2B!G65</f>
        <v>0</v>
      </c>
      <c r="H15" s="130">
        <f>B2B!H65</f>
        <v>0</v>
      </c>
      <c r="I15" s="130">
        <f>B2B!I65</f>
        <v>0</v>
      </c>
      <c r="J15" s="169">
        <f>SUM(E15:I15)</f>
        <v>0</v>
      </c>
      <c r="K15" s="169">
        <f>IF(D15=0,C15+J15,D15+J15)</f>
        <v>0</v>
      </c>
      <c r="L15" s="130">
        <f>B2B!L65</f>
        <v>0</v>
      </c>
      <c r="M15" s="131">
        <f>B2B!M65</f>
        <v>0</v>
      </c>
      <c r="N15" s="126"/>
    </row>
    <row r="16" spans="1:14" ht="12.75" customHeight="1" x14ac:dyDescent="0.25">
      <c r="A16" s="108" t="s">
        <v>622</v>
      </c>
      <c r="B16" s="73"/>
      <c r="C16" s="779">
        <f>B2B!C68</f>
        <v>0</v>
      </c>
      <c r="D16" s="779">
        <f>B2B!D68</f>
        <v>0</v>
      </c>
      <c r="E16" s="779">
        <f>B2B!E68</f>
        <v>0</v>
      </c>
      <c r="F16" s="779">
        <f>B2B!F68</f>
        <v>0</v>
      </c>
      <c r="G16" s="779">
        <f>B2B!G68</f>
        <v>0</v>
      </c>
      <c r="H16" s="779">
        <f>B2B!H68</f>
        <v>0</v>
      </c>
      <c r="I16" s="779">
        <f>B2B!I68</f>
        <v>0</v>
      </c>
      <c r="J16" s="169">
        <f>SUM(E16:I16)</f>
        <v>0</v>
      </c>
      <c r="K16" s="169">
        <f>IF(D16=0,C16+J16,D16+J16)</f>
        <v>0</v>
      </c>
      <c r="L16" s="779">
        <f>B2B!L68</f>
        <v>0</v>
      </c>
      <c r="M16" s="780">
        <f>B2B!M68</f>
        <v>0</v>
      </c>
      <c r="N16" s="126"/>
    </row>
    <row r="17" spans="1:14" ht="12.75" customHeight="1" x14ac:dyDescent="0.25">
      <c r="A17" s="107" t="s">
        <v>623</v>
      </c>
      <c r="B17" s="73"/>
      <c r="C17" s="255">
        <f>SUM(C18:C20)</f>
        <v>968955</v>
      </c>
      <c r="D17" s="255">
        <f t="shared" ref="D17:I17" si="3">SUM(D18:D20)</f>
        <v>968955</v>
      </c>
      <c r="E17" s="255">
        <f t="shared" si="3"/>
        <v>0</v>
      </c>
      <c r="F17" s="255">
        <f t="shared" si="3"/>
        <v>0</v>
      </c>
      <c r="G17" s="255">
        <f t="shared" si="3"/>
        <v>0</v>
      </c>
      <c r="H17" s="255">
        <f t="shared" si="3"/>
        <v>0</v>
      </c>
      <c r="I17" s="255">
        <f t="shared" si="3"/>
        <v>1526211</v>
      </c>
      <c r="J17" s="255">
        <f>SUM(J18:J20)</f>
        <v>1526211</v>
      </c>
      <c r="K17" s="255">
        <f>SUM(K18:K20)</f>
        <v>2495166</v>
      </c>
      <c r="L17" s="255">
        <f>SUM(L18:L20)</f>
        <v>1017703</v>
      </c>
      <c r="M17" s="699">
        <f>SUM(M18:M20)</f>
        <v>1068906</v>
      </c>
      <c r="N17" s="126"/>
    </row>
    <row r="18" spans="1:14" ht="12.75" customHeight="1" x14ac:dyDescent="0.25">
      <c r="A18" s="108" t="s">
        <v>624</v>
      </c>
      <c r="B18" s="73"/>
      <c r="C18" s="130">
        <f>B2B!C77</f>
        <v>938955</v>
      </c>
      <c r="D18" s="130">
        <f>B2B!D77</f>
        <v>938955</v>
      </c>
      <c r="E18" s="130">
        <f>B2B!E77</f>
        <v>0</v>
      </c>
      <c r="F18" s="130">
        <f>B2B!F77</f>
        <v>0</v>
      </c>
      <c r="G18" s="130">
        <f>B2B!G77</f>
        <v>0</v>
      </c>
      <c r="H18" s="130">
        <f>B2B!H77</f>
        <v>0</v>
      </c>
      <c r="I18" s="130">
        <f>B2B!I77</f>
        <v>1526211</v>
      </c>
      <c r="J18" s="169">
        <f>SUM(E18:I18)</f>
        <v>1526211</v>
      </c>
      <c r="K18" s="169">
        <f>IF(D18=0,C18+J18,D18+J18)</f>
        <v>2465166</v>
      </c>
      <c r="L18" s="130">
        <f>B2B!L77</f>
        <v>985903</v>
      </c>
      <c r="M18" s="131">
        <f>B2B!M77</f>
        <v>1035198</v>
      </c>
      <c r="N18" s="126"/>
    </row>
    <row r="19" spans="1:14" ht="12.75" customHeight="1" x14ac:dyDescent="0.25">
      <c r="A19" s="108" t="s">
        <v>625</v>
      </c>
      <c r="B19" s="73"/>
      <c r="C19" s="130">
        <f>B2B!C88</f>
        <v>30000</v>
      </c>
      <c r="D19" s="130">
        <f>B2B!D88</f>
        <v>30000</v>
      </c>
      <c r="E19" s="130">
        <f>B2B!E88</f>
        <v>0</v>
      </c>
      <c r="F19" s="130">
        <f>B2B!F88</f>
        <v>0</v>
      </c>
      <c r="G19" s="130">
        <f>B2B!G88</f>
        <v>0</v>
      </c>
      <c r="H19" s="130">
        <f>B2B!H88</f>
        <v>0</v>
      </c>
      <c r="I19" s="130">
        <f>B2B!I88</f>
        <v>0</v>
      </c>
      <c r="J19" s="169">
        <f>SUM(E19:I19)</f>
        <v>0</v>
      </c>
      <c r="K19" s="169">
        <f>IF(D19=0,C19+J19,D19+J19)</f>
        <v>30000</v>
      </c>
      <c r="L19" s="130">
        <f>B2B!L88</f>
        <v>31800</v>
      </c>
      <c r="M19" s="131">
        <f>B2B!M88</f>
        <v>33708</v>
      </c>
      <c r="N19" s="126"/>
    </row>
    <row r="20" spans="1:14" ht="12.75" customHeight="1" x14ac:dyDescent="0.25">
      <c r="A20" s="108" t="s">
        <v>626</v>
      </c>
      <c r="B20" s="73"/>
      <c r="C20" s="130">
        <f>B2B!C93</f>
        <v>0</v>
      </c>
      <c r="D20" s="130">
        <f>B2B!D93</f>
        <v>0</v>
      </c>
      <c r="E20" s="130">
        <f>B2B!E93</f>
        <v>0</v>
      </c>
      <c r="F20" s="130">
        <f>B2B!F93</f>
        <v>0</v>
      </c>
      <c r="G20" s="130">
        <f>B2B!G93</f>
        <v>0</v>
      </c>
      <c r="H20" s="130">
        <f>B2B!H93</f>
        <v>0</v>
      </c>
      <c r="I20" s="130">
        <f>B2B!I93</f>
        <v>0</v>
      </c>
      <c r="J20" s="169">
        <f>SUM(E20:I20)</f>
        <v>0</v>
      </c>
      <c r="K20" s="169">
        <f>IF(D20=0,C20+J20,D20+J20)</f>
        <v>0</v>
      </c>
      <c r="L20" s="130">
        <f>B2B!L93</f>
        <v>0</v>
      </c>
      <c r="M20" s="131">
        <f>B2B!M93</f>
        <v>0</v>
      </c>
      <c r="N20" s="126"/>
    </row>
    <row r="21" spans="1:14" ht="12.75" customHeight="1" x14ac:dyDescent="0.25">
      <c r="A21" s="107" t="s">
        <v>627</v>
      </c>
      <c r="B21" s="73"/>
      <c r="C21" s="255">
        <f>SUM(C22:C25)</f>
        <v>574287</v>
      </c>
      <c r="D21" s="255">
        <f t="shared" ref="D21:M21" si="4">SUM(D22:D25)</f>
        <v>574287</v>
      </c>
      <c r="E21" s="255">
        <f t="shared" si="4"/>
        <v>0</v>
      </c>
      <c r="F21" s="255">
        <f t="shared" si="4"/>
        <v>0</v>
      </c>
      <c r="G21" s="255">
        <f t="shared" si="4"/>
        <v>0</v>
      </c>
      <c r="H21" s="255">
        <f t="shared" si="4"/>
        <v>0</v>
      </c>
      <c r="I21" s="255">
        <f t="shared" si="4"/>
        <v>0</v>
      </c>
      <c r="J21" s="255">
        <f t="shared" si="4"/>
        <v>0</v>
      </c>
      <c r="K21" s="255">
        <f t="shared" si="4"/>
        <v>574287</v>
      </c>
      <c r="L21" s="255">
        <f t="shared" si="4"/>
        <v>608744</v>
      </c>
      <c r="M21" s="699">
        <f t="shared" si="4"/>
        <v>645269</v>
      </c>
      <c r="N21" s="126"/>
    </row>
    <row r="22" spans="1:14" ht="12.75" customHeight="1" x14ac:dyDescent="0.25">
      <c r="A22" s="108" t="s">
        <v>1482</v>
      </c>
      <c r="B22" s="73"/>
      <c r="C22" s="130">
        <f>B2B!C101</f>
        <v>0</v>
      </c>
      <c r="D22" s="130">
        <f>B2B!D101</f>
        <v>0</v>
      </c>
      <c r="E22" s="130">
        <f>B2B!E101</f>
        <v>0</v>
      </c>
      <c r="F22" s="130">
        <f>B2B!F101</f>
        <v>0</v>
      </c>
      <c r="G22" s="130">
        <f>B2B!G101</f>
        <v>0</v>
      </c>
      <c r="H22" s="130">
        <f>B2B!H101</f>
        <v>0</v>
      </c>
      <c r="I22" s="130">
        <f>B2B!I101</f>
        <v>0</v>
      </c>
      <c r="J22" s="169">
        <f>SUM(E22:I22)</f>
        <v>0</v>
      </c>
      <c r="K22" s="169">
        <f>IF(D22=0,C22+J22,D22+J22)</f>
        <v>0</v>
      </c>
      <c r="L22" s="130">
        <f>B2B!L101</f>
        <v>0</v>
      </c>
      <c r="M22" s="131">
        <f>B2B!M101</f>
        <v>0</v>
      </c>
      <c r="N22" s="126"/>
    </row>
    <row r="23" spans="1:14" ht="12.75" customHeight="1" x14ac:dyDescent="0.25">
      <c r="A23" s="108" t="s">
        <v>1483</v>
      </c>
      <c r="B23" s="73"/>
      <c r="C23" s="130">
        <f>B2B!C105</f>
        <v>0</v>
      </c>
      <c r="D23" s="130">
        <f>B2B!D105</f>
        <v>0</v>
      </c>
      <c r="E23" s="130">
        <f>B2B!E105</f>
        <v>0</v>
      </c>
      <c r="F23" s="130">
        <f>B2B!F105</f>
        <v>0</v>
      </c>
      <c r="G23" s="130">
        <f>B2B!G105</f>
        <v>0</v>
      </c>
      <c r="H23" s="130">
        <f>B2B!H105</f>
        <v>0</v>
      </c>
      <c r="I23" s="130">
        <f>B2B!I105</f>
        <v>0</v>
      </c>
      <c r="J23" s="169">
        <f>SUM(E23:I23)</f>
        <v>0</v>
      </c>
      <c r="K23" s="169">
        <f>IF(D23=0,C23+J23,D23+J23)</f>
        <v>0</v>
      </c>
      <c r="L23" s="130">
        <f>B2B!L105</f>
        <v>0</v>
      </c>
      <c r="M23" s="131">
        <f>B2B!M105</f>
        <v>0</v>
      </c>
      <c r="N23" s="126"/>
    </row>
    <row r="24" spans="1:14" ht="12.75" customHeight="1" x14ac:dyDescent="0.25">
      <c r="A24" s="108" t="s">
        <v>630</v>
      </c>
      <c r="B24" s="73"/>
      <c r="C24" s="779">
        <f>B2B!C109</f>
        <v>0</v>
      </c>
      <c r="D24" s="779">
        <f>B2B!D109</f>
        <v>0</v>
      </c>
      <c r="E24" s="130">
        <f>B2B!E109</f>
        <v>0</v>
      </c>
      <c r="F24" s="130">
        <f>B2B!F109</f>
        <v>0</v>
      </c>
      <c r="G24" s="130">
        <f>B2B!G109</f>
        <v>0</v>
      </c>
      <c r="H24" s="779">
        <f>B2B!H109</f>
        <v>0</v>
      </c>
      <c r="I24" s="779">
        <f>B2B!I109</f>
        <v>0</v>
      </c>
      <c r="J24" s="169">
        <f>SUM(E24:I24)</f>
        <v>0</v>
      </c>
      <c r="K24" s="169">
        <f>IF(D24=0,C24+J24,D24+J24)</f>
        <v>0</v>
      </c>
      <c r="L24" s="779">
        <f>B2B!L109</f>
        <v>0</v>
      </c>
      <c r="M24" s="780">
        <f>B2B!M109</f>
        <v>0</v>
      </c>
      <c r="N24" s="126"/>
    </row>
    <row r="25" spans="1:14" ht="12.75" customHeight="1" x14ac:dyDescent="0.25">
      <c r="A25" s="108" t="s">
        <v>631</v>
      </c>
      <c r="B25" s="73"/>
      <c r="C25" s="130">
        <f>B2B!C114</f>
        <v>574287</v>
      </c>
      <c r="D25" s="130">
        <f>B2B!D114</f>
        <v>574287</v>
      </c>
      <c r="E25" s="130">
        <f>B2B!E114</f>
        <v>0</v>
      </c>
      <c r="F25" s="130">
        <f>B2B!F114</f>
        <v>0</v>
      </c>
      <c r="G25" s="130">
        <f>B2B!G114</f>
        <v>0</v>
      </c>
      <c r="H25" s="130">
        <f>B2B!H114</f>
        <v>0</v>
      </c>
      <c r="I25" s="130">
        <f>B2B!I114</f>
        <v>0</v>
      </c>
      <c r="J25" s="169">
        <f>SUM(E25:I25)</f>
        <v>0</v>
      </c>
      <c r="K25" s="169">
        <f>IF(D25=0,C25+J25,D25+J25)</f>
        <v>574287</v>
      </c>
      <c r="L25" s="130">
        <f>B2B!L114</f>
        <v>608744</v>
      </c>
      <c r="M25" s="131">
        <f>B2B!M114</f>
        <v>645269</v>
      </c>
      <c r="N25" s="126"/>
    </row>
    <row r="26" spans="1:14" ht="12.75" customHeight="1" x14ac:dyDescent="0.25">
      <c r="A26" s="107" t="s">
        <v>632</v>
      </c>
      <c r="B26" s="73"/>
      <c r="C26" s="255">
        <f>B2B!C119</f>
        <v>7121110</v>
      </c>
      <c r="D26" s="255">
        <f>B2B!D119</f>
        <v>7121110</v>
      </c>
      <c r="E26" s="255">
        <f>B2B!E119</f>
        <v>0</v>
      </c>
      <c r="F26" s="255">
        <f>B2B!F119</f>
        <v>0</v>
      </c>
      <c r="G26" s="255">
        <f>B2B!G119</f>
        <v>0</v>
      </c>
      <c r="H26" s="255">
        <f>B2B!H119</f>
        <v>0</v>
      </c>
      <c r="I26" s="255">
        <f>B2B!I119</f>
        <v>1200</v>
      </c>
      <c r="J26" s="169">
        <f>SUM(E26:I26)</f>
        <v>1200</v>
      </c>
      <c r="K26" s="693">
        <f>IF(D26=0,C26+J26,D26+J26)</f>
        <v>7122310</v>
      </c>
      <c r="L26" s="255">
        <f>B2B!L119</f>
        <v>7548377</v>
      </c>
      <c r="M26" s="699">
        <f>B2B!M119</f>
        <v>8001279</v>
      </c>
      <c r="N26" s="126"/>
    </row>
    <row r="27" spans="1:14" ht="12.75" customHeight="1" x14ac:dyDescent="0.25">
      <c r="A27" s="1210" t="str">
        <f>"Total "&amp;A6</f>
        <v>Total Revenue - Functional</v>
      </c>
      <c r="B27" s="79">
        <v>2</v>
      </c>
      <c r="C27" s="677">
        <f>C7+C11+C17+C21+C26</f>
        <v>124222455</v>
      </c>
      <c r="D27" s="678">
        <f t="shared" ref="D27:M27" si="5">D7+D11+D17+D21+D26</f>
        <v>136627455</v>
      </c>
      <c r="E27" s="678">
        <f t="shared" si="5"/>
        <v>0</v>
      </c>
      <c r="F27" s="678">
        <f t="shared" si="5"/>
        <v>0</v>
      </c>
      <c r="G27" s="678">
        <f t="shared" si="5"/>
        <v>0</v>
      </c>
      <c r="H27" s="678">
        <f t="shared" si="5"/>
        <v>0</v>
      </c>
      <c r="I27" s="678">
        <f t="shared" si="5"/>
        <v>-924410</v>
      </c>
      <c r="J27" s="678">
        <f t="shared" si="5"/>
        <v>-924410</v>
      </c>
      <c r="K27" s="678">
        <f>K7+K11+K17+K21+K26</f>
        <v>135703045</v>
      </c>
      <c r="L27" s="678">
        <f t="shared" si="5"/>
        <v>131138703</v>
      </c>
      <c r="M27" s="679">
        <f t="shared" si="5"/>
        <v>138782873</v>
      </c>
      <c r="N27" s="126"/>
    </row>
    <row r="28" spans="1:14" ht="5.0999999999999996" customHeight="1" x14ac:dyDescent="0.25">
      <c r="A28" s="275"/>
      <c r="B28" s="73"/>
      <c r="C28" s="74"/>
      <c r="D28" s="75"/>
      <c r="E28" s="75"/>
      <c r="F28" s="75"/>
      <c r="G28" s="75"/>
      <c r="H28" s="75"/>
      <c r="I28" s="75"/>
      <c r="J28" s="75"/>
      <c r="K28" s="75"/>
      <c r="L28" s="75"/>
      <c r="M28" s="76"/>
      <c r="N28" s="126"/>
    </row>
    <row r="29" spans="1:14" ht="12.75" customHeight="1" x14ac:dyDescent="0.25">
      <c r="A29" s="253" t="s">
        <v>1562</v>
      </c>
      <c r="B29" s="113"/>
      <c r="C29" s="74"/>
      <c r="D29" s="75"/>
      <c r="E29" s="75"/>
      <c r="F29" s="75"/>
      <c r="G29" s="75"/>
      <c r="H29" s="75"/>
      <c r="I29" s="75"/>
      <c r="J29" s="75"/>
      <c r="K29" s="75"/>
      <c r="L29" s="75"/>
      <c r="M29" s="76"/>
      <c r="N29" s="126"/>
    </row>
    <row r="30" spans="1:14" ht="12.75" customHeight="1" x14ac:dyDescent="0.25">
      <c r="A30" s="107" t="s">
        <v>615</v>
      </c>
      <c r="B30" s="73"/>
      <c r="C30" s="255">
        <f>SUM(C31:C33)</f>
        <v>69553541</v>
      </c>
      <c r="D30" s="255">
        <f t="shared" ref="D30:I30" si="6">SUM(D31:D33)</f>
        <v>69553541</v>
      </c>
      <c r="E30" s="255">
        <f t="shared" si="6"/>
        <v>0</v>
      </c>
      <c r="F30" s="255">
        <f t="shared" si="6"/>
        <v>0</v>
      </c>
      <c r="G30" s="255">
        <f t="shared" si="6"/>
        <v>0</v>
      </c>
      <c r="H30" s="255">
        <f t="shared" si="6"/>
        <v>0</v>
      </c>
      <c r="I30" s="255">
        <f t="shared" si="6"/>
        <v>8965000</v>
      </c>
      <c r="J30" s="255">
        <f>SUM(J31:J33)</f>
        <v>8965000</v>
      </c>
      <c r="K30" s="255">
        <f>SUM(K31:K33)</f>
        <v>78518541</v>
      </c>
      <c r="L30" s="255">
        <f>SUM(L31:L33)</f>
        <v>74873961</v>
      </c>
      <c r="M30" s="699">
        <f>SUM(M31:M33)</f>
        <v>79654696</v>
      </c>
      <c r="N30" s="126"/>
    </row>
    <row r="31" spans="1:14" ht="12.75" customHeight="1" x14ac:dyDescent="0.25">
      <c r="A31" s="108" t="s">
        <v>616</v>
      </c>
      <c r="B31" s="73"/>
      <c r="C31" s="130">
        <f>B2B!C130</f>
        <v>19001756</v>
      </c>
      <c r="D31" s="130">
        <f>B2B!D130</f>
        <v>19001756</v>
      </c>
      <c r="E31" s="130">
        <f>B2B!E130</f>
        <v>0</v>
      </c>
      <c r="F31" s="130">
        <f>B2B!F130</f>
        <v>0</v>
      </c>
      <c r="G31" s="130">
        <f>B2B!G130</f>
        <v>0</v>
      </c>
      <c r="H31" s="130">
        <f>B2B!H130</f>
        <v>0</v>
      </c>
      <c r="I31" s="130">
        <f>B2B!I130</f>
        <v>2400000</v>
      </c>
      <c r="J31" s="169">
        <f>SUM(E31:I31)</f>
        <v>2400000</v>
      </c>
      <c r="K31" s="169">
        <f>IF(D31=0,C31+J31,D31+J31)</f>
        <v>21401756</v>
      </c>
      <c r="L31" s="130">
        <f>B2B!L130</f>
        <v>20458851</v>
      </c>
      <c r="M31" s="131">
        <f>B2B!M130</f>
        <v>21284098</v>
      </c>
      <c r="N31" s="126"/>
    </row>
    <row r="32" spans="1:14" ht="12.75" customHeight="1" x14ac:dyDescent="0.25">
      <c r="A32" s="108" t="s">
        <v>1480</v>
      </c>
      <c r="B32" s="73"/>
      <c r="C32" s="779">
        <f>B2B!C133</f>
        <v>50551785</v>
      </c>
      <c r="D32" s="779">
        <f>B2B!D133</f>
        <v>50551785</v>
      </c>
      <c r="E32" s="779">
        <f>B2B!E133</f>
        <v>0</v>
      </c>
      <c r="F32" s="779">
        <f>B2B!F133</f>
        <v>0</v>
      </c>
      <c r="G32" s="779">
        <f>B2B!G133</f>
        <v>0</v>
      </c>
      <c r="H32" s="779">
        <f>B2B!H133</f>
        <v>0</v>
      </c>
      <c r="I32" s="779">
        <f>B2B!I133</f>
        <v>6565000</v>
      </c>
      <c r="J32" s="169">
        <f>SUM(E32:I32)</f>
        <v>6565000</v>
      </c>
      <c r="K32" s="169">
        <f>IF(D32=0,C32+J32,D32+J32)</f>
        <v>57116785</v>
      </c>
      <c r="L32" s="779">
        <f>B2B!L133</f>
        <v>54415110</v>
      </c>
      <c r="M32" s="780">
        <f>B2B!M133</f>
        <v>58370598</v>
      </c>
      <c r="N32" s="126"/>
    </row>
    <row r="33" spans="1:14" ht="12.75" customHeight="1" x14ac:dyDescent="0.25">
      <c r="A33" s="108" t="s">
        <v>1481</v>
      </c>
      <c r="B33" s="73"/>
      <c r="C33" s="130">
        <f>B2B!C147</f>
        <v>0</v>
      </c>
      <c r="D33" s="130">
        <f>B2B!D147</f>
        <v>0</v>
      </c>
      <c r="E33" s="130">
        <f>B2B!E147</f>
        <v>0</v>
      </c>
      <c r="F33" s="130">
        <f>B2B!F147</f>
        <v>0</v>
      </c>
      <c r="G33" s="130">
        <f>B2B!G147</f>
        <v>0</v>
      </c>
      <c r="H33" s="130">
        <f>B2B!H147</f>
        <v>0</v>
      </c>
      <c r="I33" s="130">
        <f>B2B!I147</f>
        <v>0</v>
      </c>
      <c r="J33" s="169">
        <f>SUM(E33:I33)</f>
        <v>0</v>
      </c>
      <c r="K33" s="169">
        <f>IF(D33=0,C33+J33,D33+J33)</f>
        <v>0</v>
      </c>
      <c r="L33" s="130">
        <f>B2B!L147</f>
        <v>0</v>
      </c>
      <c r="M33" s="131">
        <f>B2B!M147</f>
        <v>0</v>
      </c>
      <c r="N33" s="126"/>
    </row>
    <row r="34" spans="1:14" ht="12.75" customHeight="1" x14ac:dyDescent="0.25">
      <c r="A34" s="107" t="s">
        <v>617</v>
      </c>
      <c r="B34" s="73"/>
      <c r="C34" s="255">
        <f>SUM(C35:C39)</f>
        <v>24955232</v>
      </c>
      <c r="D34" s="255">
        <f t="shared" ref="D34:I34" si="7">SUM(D35:D39)</f>
        <v>24955232</v>
      </c>
      <c r="E34" s="255">
        <f t="shared" si="7"/>
        <v>0</v>
      </c>
      <c r="F34" s="255">
        <f t="shared" si="7"/>
        <v>0</v>
      </c>
      <c r="G34" s="255">
        <f t="shared" si="7"/>
        <v>0</v>
      </c>
      <c r="H34" s="255">
        <f t="shared" si="7"/>
        <v>0</v>
      </c>
      <c r="I34" s="255">
        <f t="shared" si="7"/>
        <v>1620996</v>
      </c>
      <c r="J34" s="255">
        <f>SUM(J35:J39)</f>
        <v>1620996</v>
      </c>
      <c r="K34" s="255">
        <f>SUM(K35:K39)</f>
        <v>26576228</v>
      </c>
      <c r="L34" s="255">
        <f>SUM(L35:L39)</f>
        <v>26463692</v>
      </c>
      <c r="M34" s="699">
        <f>SUM(M35:M39)</f>
        <v>28072262</v>
      </c>
      <c r="N34" s="126"/>
    </row>
    <row r="35" spans="1:14" ht="12.75" customHeight="1" x14ac:dyDescent="0.25">
      <c r="A35" s="108" t="s">
        <v>618</v>
      </c>
      <c r="B35" s="73"/>
      <c r="C35" s="130">
        <f>B2B!C150</f>
        <v>21370232</v>
      </c>
      <c r="D35" s="130">
        <f>B2B!D150</f>
        <v>21370232</v>
      </c>
      <c r="E35" s="130">
        <f>B2B!E150</f>
        <v>0</v>
      </c>
      <c r="F35" s="130">
        <f>B2B!F150</f>
        <v>0</v>
      </c>
      <c r="G35" s="130">
        <f>B2B!G150</f>
        <v>0</v>
      </c>
      <c r="H35" s="130">
        <f>B2B!H150</f>
        <v>0</v>
      </c>
      <c r="I35" s="130">
        <f>B2B!I150</f>
        <v>2658611</v>
      </c>
      <c r="J35" s="169">
        <f>SUM(E35:I35)</f>
        <v>2658611</v>
      </c>
      <c r="K35" s="169">
        <f>IF(D35=0,C35+J35,D35+J35)</f>
        <v>24028843</v>
      </c>
      <c r="L35" s="130">
        <f>B2B!L150</f>
        <v>22603592</v>
      </c>
      <c r="M35" s="131">
        <f>B2B!M150</f>
        <v>23914556</v>
      </c>
      <c r="N35" s="126"/>
    </row>
    <row r="36" spans="1:14" ht="12.75" customHeight="1" x14ac:dyDescent="0.25">
      <c r="A36" s="108" t="s">
        <v>619</v>
      </c>
      <c r="B36" s="73"/>
      <c r="C36" s="130">
        <f>B2B!C172</f>
        <v>3300000</v>
      </c>
      <c r="D36" s="130">
        <f>B2B!D172</f>
        <v>3300000</v>
      </c>
      <c r="E36" s="130">
        <f>B2B!E172</f>
        <v>0</v>
      </c>
      <c r="F36" s="130">
        <f>B2B!F172</f>
        <v>0</v>
      </c>
      <c r="G36" s="130">
        <f>B2B!G172</f>
        <v>0</v>
      </c>
      <c r="H36" s="130">
        <f>B2B!H172</f>
        <v>0</v>
      </c>
      <c r="I36" s="130">
        <f>B2B!I172</f>
        <v>-942500</v>
      </c>
      <c r="J36" s="169">
        <f>SUM(E36:I36)</f>
        <v>-942500</v>
      </c>
      <c r="K36" s="169">
        <f>IF(D36=0,C36+J36,D36+J36)</f>
        <v>2357500</v>
      </c>
      <c r="L36" s="130">
        <f>B2B!L172</f>
        <v>3558000</v>
      </c>
      <c r="M36" s="131">
        <f>B2B!M172</f>
        <v>3837480</v>
      </c>
      <c r="N36" s="126"/>
    </row>
    <row r="37" spans="1:14" ht="12.75" customHeight="1" x14ac:dyDescent="0.25">
      <c r="A37" s="108" t="s">
        <v>620</v>
      </c>
      <c r="B37" s="73"/>
      <c r="C37" s="130">
        <f>B2B!C178</f>
        <v>15000</v>
      </c>
      <c r="D37" s="130">
        <f>B2B!D178</f>
        <v>15000</v>
      </c>
      <c r="E37" s="130">
        <f>B2B!E178</f>
        <v>0</v>
      </c>
      <c r="F37" s="130">
        <f>B2B!F178</f>
        <v>0</v>
      </c>
      <c r="G37" s="130">
        <f>B2B!G178</f>
        <v>0</v>
      </c>
      <c r="H37" s="130">
        <f>B2B!H178</f>
        <v>0</v>
      </c>
      <c r="I37" s="130">
        <f>B2B!I178</f>
        <v>-15000</v>
      </c>
      <c r="J37" s="169">
        <f>SUM(E37:I37)</f>
        <v>-15000</v>
      </c>
      <c r="K37" s="169">
        <f>IF(D37=0,C37+J37,D37+J37)</f>
        <v>0</v>
      </c>
      <c r="L37" s="130">
        <f>B2B!L178</f>
        <v>15900</v>
      </c>
      <c r="M37" s="131">
        <f>B2B!M178</f>
        <v>16854</v>
      </c>
      <c r="N37" s="126"/>
    </row>
    <row r="38" spans="1:14" ht="12.75" customHeight="1" x14ac:dyDescent="0.25">
      <c r="A38" s="108" t="s">
        <v>621</v>
      </c>
      <c r="B38" s="73"/>
      <c r="C38" s="130">
        <f>B2B!C187</f>
        <v>0</v>
      </c>
      <c r="D38" s="130">
        <f>B2B!D187</f>
        <v>0</v>
      </c>
      <c r="E38" s="130">
        <f>B2B!E187</f>
        <v>0</v>
      </c>
      <c r="F38" s="130">
        <f>B2B!F187</f>
        <v>0</v>
      </c>
      <c r="G38" s="130">
        <f>B2B!G187</f>
        <v>0</v>
      </c>
      <c r="H38" s="130">
        <f>B2B!H187</f>
        <v>0</v>
      </c>
      <c r="I38" s="130">
        <f>B2B!I187</f>
        <v>0</v>
      </c>
      <c r="J38" s="169">
        <f>SUM(E38:I38)</f>
        <v>0</v>
      </c>
      <c r="K38" s="169">
        <f>IF(D38=0,C38+J38,D38+J38)</f>
        <v>0</v>
      </c>
      <c r="L38" s="130">
        <f>B2B!L187</f>
        <v>0</v>
      </c>
      <c r="M38" s="131">
        <f>B2B!M187</f>
        <v>0</v>
      </c>
      <c r="N38" s="126"/>
    </row>
    <row r="39" spans="1:14" ht="12.75" customHeight="1" x14ac:dyDescent="0.25">
      <c r="A39" s="108" t="s">
        <v>622</v>
      </c>
      <c r="B39" s="73"/>
      <c r="C39" s="779">
        <f>B2B!C190</f>
        <v>270000</v>
      </c>
      <c r="D39" s="779">
        <f>B2B!D190</f>
        <v>270000</v>
      </c>
      <c r="E39" s="779">
        <f>B2B!E190</f>
        <v>0</v>
      </c>
      <c r="F39" s="779">
        <f>B2B!F190</f>
        <v>0</v>
      </c>
      <c r="G39" s="779">
        <f>B2B!G190</f>
        <v>0</v>
      </c>
      <c r="H39" s="779">
        <f>B2B!H190</f>
        <v>0</v>
      </c>
      <c r="I39" s="779">
        <f>B2B!I190</f>
        <v>-80115</v>
      </c>
      <c r="J39" s="169">
        <f>SUM(E39:I39)</f>
        <v>-80115</v>
      </c>
      <c r="K39" s="169">
        <f>IF(D39=0,C39+J39,D39+J39)</f>
        <v>189885</v>
      </c>
      <c r="L39" s="779">
        <f>B2B!L190</f>
        <v>286200</v>
      </c>
      <c r="M39" s="780">
        <f>B2B!M190</f>
        <v>303372</v>
      </c>
      <c r="N39" s="126"/>
    </row>
    <row r="40" spans="1:14" ht="12.75" customHeight="1" x14ac:dyDescent="0.25">
      <c r="A40" s="107" t="s">
        <v>623</v>
      </c>
      <c r="B40" s="73"/>
      <c r="C40" s="255">
        <f>SUM(C41:C43)</f>
        <v>17956674</v>
      </c>
      <c r="D40" s="255">
        <f t="shared" ref="D40:I40" si="8">SUM(D41:D43)</f>
        <v>17956674</v>
      </c>
      <c r="E40" s="255">
        <f t="shared" si="8"/>
        <v>0</v>
      </c>
      <c r="F40" s="255">
        <f t="shared" si="8"/>
        <v>0</v>
      </c>
      <c r="G40" s="255">
        <f t="shared" si="8"/>
        <v>0</v>
      </c>
      <c r="H40" s="255">
        <f t="shared" si="8"/>
        <v>0</v>
      </c>
      <c r="I40" s="255">
        <f t="shared" si="8"/>
        <v>4529465</v>
      </c>
      <c r="J40" s="255">
        <f>SUM(J41:J43)</f>
        <v>4529465</v>
      </c>
      <c r="K40" s="255">
        <f>SUM(K41:K43)</f>
        <v>22486139</v>
      </c>
      <c r="L40" s="255">
        <f>SUM(L41:L43)</f>
        <v>14598741</v>
      </c>
      <c r="M40" s="699">
        <f>SUM(M41:M43)</f>
        <v>15401519</v>
      </c>
      <c r="N40" s="126"/>
    </row>
    <row r="41" spans="1:14" ht="12.75" customHeight="1" x14ac:dyDescent="0.25">
      <c r="A41" s="108" t="s">
        <v>624</v>
      </c>
      <c r="B41" s="73"/>
      <c r="C41" s="130">
        <f>B2B!C199</f>
        <v>580000</v>
      </c>
      <c r="D41" s="130">
        <f>B2B!D199</f>
        <v>580000</v>
      </c>
      <c r="E41" s="130">
        <f>B2B!E199</f>
        <v>0</v>
      </c>
      <c r="F41" s="130">
        <f>B2B!F199</f>
        <v>0</v>
      </c>
      <c r="G41" s="130">
        <f>B2B!G199</f>
        <v>0</v>
      </c>
      <c r="H41" s="130">
        <f>B2B!H199</f>
        <v>0</v>
      </c>
      <c r="I41" s="130">
        <f>B2B!I199</f>
        <v>-149780</v>
      </c>
      <c r="J41" s="169">
        <f>SUM(E41:I41)</f>
        <v>-149780</v>
      </c>
      <c r="K41" s="169">
        <f>IF(D41=0,C41+J41,D41+J41)</f>
        <v>430220</v>
      </c>
      <c r="L41" s="130">
        <f>B2B!L199</f>
        <v>632400</v>
      </c>
      <c r="M41" s="131">
        <f>B2B!M199</f>
        <v>689704</v>
      </c>
      <c r="N41" s="126"/>
    </row>
    <row r="42" spans="1:14" ht="12.75" customHeight="1" x14ac:dyDescent="0.25">
      <c r="A42" s="108" t="s">
        <v>625</v>
      </c>
      <c r="B42" s="73"/>
      <c r="C42" s="130">
        <f>B2B!C210</f>
        <v>17376674</v>
      </c>
      <c r="D42" s="130">
        <f>B2B!D210</f>
        <v>17376674</v>
      </c>
      <c r="E42" s="130">
        <f>B2B!E210</f>
        <v>0</v>
      </c>
      <c r="F42" s="130">
        <f>B2B!F210</f>
        <v>0</v>
      </c>
      <c r="G42" s="130">
        <f>B2B!G210</f>
        <v>0</v>
      </c>
      <c r="H42" s="130">
        <f>B2B!H210</f>
        <v>0</v>
      </c>
      <c r="I42" s="130">
        <f>B2B!I210</f>
        <v>4679245</v>
      </c>
      <c r="J42" s="169">
        <f>SUM(E42:I42)</f>
        <v>4679245</v>
      </c>
      <c r="K42" s="169">
        <f>IF(D42=0,C42+J42,D42+J42)</f>
        <v>22055919</v>
      </c>
      <c r="L42" s="130">
        <f>B2B!L210</f>
        <v>13966341</v>
      </c>
      <c r="M42" s="131">
        <f>B2B!M210</f>
        <v>14711815</v>
      </c>
      <c r="N42" s="126"/>
    </row>
    <row r="43" spans="1:14" ht="12.75" customHeight="1" x14ac:dyDescent="0.25">
      <c r="A43" s="108" t="s">
        <v>626</v>
      </c>
      <c r="B43" s="73"/>
      <c r="C43" s="130">
        <f>B2B!C215</f>
        <v>0</v>
      </c>
      <c r="D43" s="130">
        <f>B2B!D215</f>
        <v>0</v>
      </c>
      <c r="E43" s="130">
        <f>B2B!E215</f>
        <v>0</v>
      </c>
      <c r="F43" s="130">
        <f>B2B!F215</f>
        <v>0</v>
      </c>
      <c r="G43" s="130">
        <f>B2B!G215</f>
        <v>0</v>
      </c>
      <c r="H43" s="130">
        <f>B2B!H215</f>
        <v>0</v>
      </c>
      <c r="I43" s="130">
        <f>B2B!I215</f>
        <v>0</v>
      </c>
      <c r="J43" s="169">
        <f>SUM(E43:I43)</f>
        <v>0</v>
      </c>
      <c r="K43" s="169">
        <f>IF(D43=0,C43+J43,D43+J43)</f>
        <v>0</v>
      </c>
      <c r="L43" s="130">
        <f>B2B!L215</f>
        <v>0</v>
      </c>
      <c r="M43" s="131">
        <f>B2B!M215</f>
        <v>0</v>
      </c>
      <c r="N43" s="126"/>
    </row>
    <row r="44" spans="1:14" ht="12.75" customHeight="1" x14ac:dyDescent="0.25">
      <c r="A44" s="107" t="s">
        <v>627</v>
      </c>
      <c r="B44" s="73"/>
      <c r="C44" s="255">
        <f>SUM(C45:C48)</f>
        <v>2558000</v>
      </c>
      <c r="D44" s="255">
        <f t="shared" ref="D44:M44" si="9">SUM(D45:D48)</f>
        <v>2558000</v>
      </c>
      <c r="E44" s="255">
        <f t="shared" si="9"/>
        <v>0</v>
      </c>
      <c r="F44" s="255">
        <f t="shared" si="9"/>
        <v>0</v>
      </c>
      <c r="G44" s="255">
        <f t="shared" si="9"/>
        <v>0</v>
      </c>
      <c r="H44" s="255">
        <f t="shared" si="9"/>
        <v>0</v>
      </c>
      <c r="I44" s="255">
        <f t="shared" si="9"/>
        <v>5881606</v>
      </c>
      <c r="J44" s="255">
        <f t="shared" si="9"/>
        <v>5881606</v>
      </c>
      <c r="K44" s="255">
        <f t="shared" si="9"/>
        <v>8439606</v>
      </c>
      <c r="L44" s="255">
        <f t="shared" si="9"/>
        <v>2691480</v>
      </c>
      <c r="M44" s="699">
        <f t="shared" si="9"/>
        <v>2832169</v>
      </c>
      <c r="N44" s="126"/>
    </row>
    <row r="45" spans="1:14" ht="12.75" customHeight="1" x14ac:dyDescent="0.25">
      <c r="A45" s="108" t="s">
        <v>1482</v>
      </c>
      <c r="B45" s="73"/>
      <c r="C45" s="130">
        <f>B2B!C223</f>
        <v>0</v>
      </c>
      <c r="D45" s="130">
        <f>B2B!D223</f>
        <v>0</v>
      </c>
      <c r="E45" s="130">
        <f>B2B!E223</f>
        <v>0</v>
      </c>
      <c r="F45" s="130">
        <f>B2B!F223</f>
        <v>0</v>
      </c>
      <c r="G45" s="130">
        <f>B2B!G223</f>
        <v>0</v>
      </c>
      <c r="H45" s="130">
        <f>B2B!H223</f>
        <v>0</v>
      </c>
      <c r="I45" s="130">
        <f>B2B!I223</f>
        <v>6381606</v>
      </c>
      <c r="J45" s="169">
        <f>SUM(E45:I45)</f>
        <v>6381606</v>
      </c>
      <c r="K45" s="169">
        <f>IF(D45=0,C45+J45,D45+J45)</f>
        <v>6381606</v>
      </c>
      <c r="L45" s="130">
        <f>B2B!L223</f>
        <v>0</v>
      </c>
      <c r="M45" s="131">
        <f>B2B!M223</f>
        <v>0</v>
      </c>
      <c r="N45" s="126"/>
    </row>
    <row r="46" spans="1:14" ht="12.75" customHeight="1" x14ac:dyDescent="0.25">
      <c r="A46" s="108" t="s">
        <v>1483</v>
      </c>
      <c r="B46" s="73"/>
      <c r="C46" s="130">
        <f>B2B!C227</f>
        <v>0</v>
      </c>
      <c r="D46" s="130">
        <f>B2B!D227</f>
        <v>0</v>
      </c>
      <c r="E46" s="130">
        <f>B2B!E227</f>
        <v>0</v>
      </c>
      <c r="F46" s="130">
        <f>B2B!F227</f>
        <v>0</v>
      </c>
      <c r="G46" s="130">
        <f>B2B!G227</f>
        <v>0</v>
      </c>
      <c r="H46" s="130">
        <f>B2B!H227</f>
        <v>0</v>
      </c>
      <c r="I46" s="130">
        <f>B2B!I227</f>
        <v>0</v>
      </c>
      <c r="J46" s="169">
        <f>SUM(E46:I46)</f>
        <v>0</v>
      </c>
      <c r="K46" s="169">
        <f>IF(D46=0,C46+J46,D46+J46)</f>
        <v>0</v>
      </c>
      <c r="L46" s="130">
        <f>B2B!L227</f>
        <v>0</v>
      </c>
      <c r="M46" s="131">
        <f>B2B!M227</f>
        <v>0</v>
      </c>
      <c r="N46" s="126"/>
    </row>
    <row r="47" spans="1:14" ht="12.75" customHeight="1" x14ac:dyDescent="0.25">
      <c r="A47" s="108" t="s">
        <v>630</v>
      </c>
      <c r="B47" s="73"/>
      <c r="C47" s="779">
        <f>B2B!C231</f>
        <v>0</v>
      </c>
      <c r="D47" s="779">
        <f>B2B!D231</f>
        <v>0</v>
      </c>
      <c r="E47" s="130">
        <f>B2B!E231</f>
        <v>0</v>
      </c>
      <c r="F47" s="130">
        <f>B2B!F231</f>
        <v>0</v>
      </c>
      <c r="G47" s="130">
        <f>B2B!G231</f>
        <v>0</v>
      </c>
      <c r="H47" s="779">
        <f>B2B!H231</f>
        <v>0</v>
      </c>
      <c r="I47" s="779">
        <f>B2B!I231</f>
        <v>0</v>
      </c>
      <c r="J47" s="169">
        <f>SUM(E47:I47)</f>
        <v>0</v>
      </c>
      <c r="K47" s="169">
        <f>IF(D47=0,C47+J47,D47+J47)</f>
        <v>0</v>
      </c>
      <c r="L47" s="779">
        <f>B2B!L231</f>
        <v>0</v>
      </c>
      <c r="M47" s="780">
        <f>B2B!M231</f>
        <v>0</v>
      </c>
      <c r="N47" s="126"/>
    </row>
    <row r="48" spans="1:14" ht="12.75" customHeight="1" x14ac:dyDescent="0.25">
      <c r="A48" s="108" t="s">
        <v>631</v>
      </c>
      <c r="B48" s="73"/>
      <c r="C48" s="130">
        <f>B2B!C236</f>
        <v>2558000</v>
      </c>
      <c r="D48" s="130">
        <f>B2B!D236</f>
        <v>2558000</v>
      </c>
      <c r="E48" s="130">
        <f>B2B!E236</f>
        <v>0</v>
      </c>
      <c r="F48" s="130">
        <f>B2B!F236</f>
        <v>0</v>
      </c>
      <c r="G48" s="130">
        <f>B2B!G236</f>
        <v>0</v>
      </c>
      <c r="H48" s="130">
        <f>B2B!H236</f>
        <v>0</v>
      </c>
      <c r="I48" s="130">
        <f>B2B!I236</f>
        <v>-500000</v>
      </c>
      <c r="J48" s="169">
        <f>SUM(E48:I48)</f>
        <v>-500000</v>
      </c>
      <c r="K48" s="169">
        <f>IF(D48=0,C48+J48,D48+J48)</f>
        <v>2058000</v>
      </c>
      <c r="L48" s="130">
        <f>B2B!L236</f>
        <v>2691480</v>
      </c>
      <c r="M48" s="131">
        <f>B2B!M236</f>
        <v>2832169</v>
      </c>
      <c r="N48" s="126"/>
    </row>
    <row r="49" spans="1:14" ht="12.75" customHeight="1" x14ac:dyDescent="0.25">
      <c r="A49" s="107" t="s">
        <v>632</v>
      </c>
      <c r="B49" s="73"/>
      <c r="C49" s="255">
        <f>B2B!C241</f>
        <v>6513455</v>
      </c>
      <c r="D49" s="255">
        <f>B2B!D241</f>
        <v>6513455</v>
      </c>
      <c r="E49" s="255">
        <f>B2B!E241</f>
        <v>0</v>
      </c>
      <c r="F49" s="255">
        <f>B2B!F241</f>
        <v>0</v>
      </c>
      <c r="G49" s="255">
        <f>B2B!G241</f>
        <v>0</v>
      </c>
      <c r="H49" s="255">
        <f>B2B!H241</f>
        <v>0</v>
      </c>
      <c r="I49" s="255">
        <f>B2B!I241</f>
        <v>0</v>
      </c>
      <c r="J49" s="169">
        <f>SUM(E49:I49)</f>
        <v>0</v>
      </c>
      <c r="K49" s="693">
        <f>IF(D49=0,C49+J49,D49+J49)</f>
        <v>6513455</v>
      </c>
      <c r="L49" s="255">
        <f>B2B!L241</f>
        <v>6926530</v>
      </c>
      <c r="M49" s="872">
        <f>B2B!M241</f>
        <v>7366804</v>
      </c>
      <c r="N49" s="126"/>
    </row>
    <row r="50" spans="1:14" ht="12.75" customHeight="1" x14ac:dyDescent="0.25">
      <c r="A50" s="1210" t="str">
        <f>"Total "&amp;A29</f>
        <v>Total Expenditure - Functional</v>
      </c>
      <c r="B50" s="79">
        <v>3</v>
      </c>
      <c r="C50" s="680">
        <f>C30+C34+C40+C44+C49</f>
        <v>121536902</v>
      </c>
      <c r="D50" s="678">
        <f t="shared" ref="D50:M50" si="10">D30+D34+D40+D44+D49</f>
        <v>121536902</v>
      </c>
      <c r="E50" s="678">
        <f t="shared" si="10"/>
        <v>0</v>
      </c>
      <c r="F50" s="678">
        <f t="shared" si="10"/>
        <v>0</v>
      </c>
      <c r="G50" s="678">
        <f t="shared" si="10"/>
        <v>0</v>
      </c>
      <c r="H50" s="678">
        <f t="shared" si="10"/>
        <v>0</v>
      </c>
      <c r="I50" s="678">
        <f t="shared" si="10"/>
        <v>20997067</v>
      </c>
      <c r="J50" s="678">
        <f t="shared" si="10"/>
        <v>20997067</v>
      </c>
      <c r="K50" s="678">
        <f t="shared" si="10"/>
        <v>142533969</v>
      </c>
      <c r="L50" s="678">
        <f t="shared" si="10"/>
        <v>125554404</v>
      </c>
      <c r="M50" s="679">
        <f t="shared" si="10"/>
        <v>133327450</v>
      </c>
      <c r="N50" s="126"/>
    </row>
    <row r="51" spans="1:14" ht="12.75" customHeight="1" x14ac:dyDescent="0.25">
      <c r="A51" s="87" t="s">
        <v>575</v>
      </c>
      <c r="B51" s="88"/>
      <c r="C51" s="114">
        <f t="shared" ref="C51:M51" si="11">C27-C50</f>
        <v>2685553</v>
      </c>
      <c r="D51" s="115">
        <f t="shared" si="11"/>
        <v>15090553</v>
      </c>
      <c r="E51" s="115">
        <f t="shared" si="11"/>
        <v>0</v>
      </c>
      <c r="F51" s="115">
        <f t="shared" si="11"/>
        <v>0</v>
      </c>
      <c r="G51" s="115">
        <f t="shared" si="11"/>
        <v>0</v>
      </c>
      <c r="H51" s="115">
        <f t="shared" si="11"/>
        <v>0</v>
      </c>
      <c r="I51" s="115">
        <f t="shared" si="11"/>
        <v>-21921477</v>
      </c>
      <c r="J51" s="115">
        <f t="shared" si="11"/>
        <v>-21921477</v>
      </c>
      <c r="K51" s="115">
        <f t="shared" si="11"/>
        <v>-6830924</v>
      </c>
      <c r="L51" s="115">
        <f t="shared" si="11"/>
        <v>5584299</v>
      </c>
      <c r="M51" s="116">
        <f t="shared" si="11"/>
        <v>5455423</v>
      </c>
      <c r="N51" s="126"/>
    </row>
    <row r="52" spans="1:14" ht="12.75" customHeight="1" x14ac:dyDescent="0.25">
      <c r="A52" s="117" t="str">
        <f>head27a</f>
        <v>References</v>
      </c>
      <c r="B52" s="93"/>
      <c r="C52" s="96"/>
      <c r="D52" s="96"/>
      <c r="E52" s="96"/>
      <c r="F52" s="96"/>
      <c r="G52" s="96"/>
      <c r="H52" s="96"/>
      <c r="I52" s="96"/>
      <c r="J52" s="96"/>
      <c r="K52" s="96"/>
      <c r="L52" s="96"/>
      <c r="M52" s="96"/>
    </row>
    <row r="53" spans="1:14" ht="12.75" customHeight="1" x14ac:dyDescent="0.25">
      <c r="A53" s="118" t="s">
        <v>633</v>
      </c>
      <c r="B53" s="93"/>
      <c r="C53" s="96"/>
      <c r="D53" s="96"/>
      <c r="E53" s="96"/>
      <c r="F53" s="96"/>
      <c r="G53" s="96"/>
      <c r="H53" s="96"/>
      <c r="I53" s="96"/>
      <c r="J53" s="96"/>
      <c r="K53" s="96"/>
      <c r="L53" s="96"/>
      <c r="M53" s="96"/>
    </row>
    <row r="54" spans="1:14" ht="12.75" customHeight="1" x14ac:dyDescent="0.25">
      <c r="A54" s="95" t="s">
        <v>1024</v>
      </c>
      <c r="B54" s="93"/>
      <c r="C54" s="96"/>
      <c r="D54" s="96"/>
      <c r="E54" s="96"/>
      <c r="F54" s="96"/>
      <c r="G54" s="94"/>
      <c r="H54" s="96"/>
      <c r="I54" s="96"/>
      <c r="J54" s="96"/>
      <c r="K54" s="96"/>
      <c r="L54" s="96"/>
      <c r="M54" s="96"/>
    </row>
    <row r="55" spans="1:14" ht="12.75" customHeight="1" x14ac:dyDescent="0.25">
      <c r="A55" s="1425" t="s">
        <v>1025</v>
      </c>
      <c r="B55" s="1425"/>
      <c r="C55" s="1425"/>
      <c r="D55" s="1426"/>
      <c r="E55" s="1426"/>
      <c r="F55" s="1426"/>
      <c r="G55" s="1426"/>
      <c r="H55" s="1426"/>
      <c r="I55" s="1426"/>
      <c r="J55" s="1426"/>
      <c r="K55" s="1426"/>
      <c r="L55" s="1426"/>
      <c r="M55" s="1426"/>
    </row>
    <row r="56" spans="1:14" ht="24" customHeight="1" x14ac:dyDescent="0.25">
      <c r="A56" s="1427" t="s">
        <v>1026</v>
      </c>
      <c r="B56" s="1427"/>
      <c r="C56" s="1427"/>
      <c r="D56" s="1428"/>
      <c r="E56" s="1428"/>
      <c r="F56" s="1428"/>
      <c r="G56" s="1428"/>
      <c r="H56" s="1428"/>
      <c r="I56" s="1428"/>
      <c r="J56" s="1428"/>
      <c r="K56" s="1428"/>
      <c r="L56" s="681"/>
      <c r="M56" s="681"/>
    </row>
    <row r="57" spans="1:14" ht="12.75" customHeight="1" x14ac:dyDescent="0.25">
      <c r="A57" s="1422" t="s">
        <v>989</v>
      </c>
      <c r="B57" s="1422"/>
      <c r="C57" s="1422"/>
      <c r="D57" s="1422"/>
      <c r="E57" s="1422"/>
      <c r="F57" s="1422"/>
      <c r="G57" s="1422"/>
      <c r="H57" s="1422"/>
      <c r="I57" s="1422"/>
      <c r="J57" s="1422"/>
      <c r="K57" s="1422"/>
      <c r="L57" s="1422"/>
      <c r="M57" s="1422"/>
    </row>
    <row r="58" spans="1:14" ht="26.25" customHeight="1" x14ac:dyDescent="0.25">
      <c r="A58" s="1422" t="s">
        <v>1029</v>
      </c>
      <c r="B58" s="1422"/>
      <c r="C58" s="1422"/>
      <c r="D58" s="1422"/>
      <c r="E58" s="1422"/>
      <c r="F58" s="1422"/>
      <c r="G58" s="1422"/>
      <c r="H58" s="1422"/>
      <c r="I58" s="1422"/>
      <c r="J58" s="1422"/>
      <c r="K58" s="1422"/>
      <c r="L58" s="1422"/>
      <c r="M58" s="1422"/>
    </row>
    <row r="59" spans="1:14" ht="12.75" customHeight="1" x14ac:dyDescent="0.25">
      <c r="A59" s="1416" t="s">
        <v>1030</v>
      </c>
      <c r="B59" s="1416"/>
      <c r="C59" s="1416"/>
      <c r="D59" s="1416"/>
      <c r="E59" s="1416"/>
      <c r="F59" s="1416"/>
      <c r="G59" s="1416"/>
      <c r="H59" s="1416"/>
      <c r="I59" s="1416"/>
      <c r="J59" s="1416"/>
      <c r="K59" s="1416"/>
      <c r="L59" s="1416"/>
      <c r="M59" s="1416"/>
    </row>
    <row r="60" spans="1:14" ht="12.75" customHeight="1" x14ac:dyDescent="0.25">
      <c r="A60" s="1416" t="s">
        <v>1031</v>
      </c>
      <c r="B60" s="1416"/>
      <c r="C60" s="1416"/>
      <c r="D60" s="1416"/>
      <c r="E60" s="1416"/>
      <c r="F60" s="1416"/>
      <c r="G60" s="1416"/>
      <c r="H60" s="1416"/>
      <c r="I60" s="1416"/>
      <c r="J60" s="1416"/>
      <c r="K60" s="1416"/>
      <c r="L60" s="1416"/>
      <c r="M60" s="1416"/>
    </row>
    <row r="61" spans="1:14" ht="12.75" customHeight="1" x14ac:dyDescent="0.25">
      <c r="A61" s="99" t="s">
        <v>1027</v>
      </c>
      <c r="B61" s="93"/>
      <c r="C61" s="96"/>
      <c r="D61" s="96"/>
      <c r="E61" s="96"/>
      <c r="F61" s="96"/>
      <c r="G61" s="96"/>
      <c r="H61" s="96"/>
      <c r="I61" s="96"/>
      <c r="J61" s="96"/>
      <c r="K61" s="96"/>
      <c r="L61" s="96"/>
      <c r="M61" s="96"/>
    </row>
    <row r="62" spans="1:14" ht="25.5" customHeight="1" x14ac:dyDescent="0.25">
      <c r="A62" s="1416" t="s">
        <v>1028</v>
      </c>
      <c r="B62" s="1416"/>
      <c r="C62" s="1416"/>
      <c r="D62" s="1416"/>
      <c r="E62" s="1416"/>
      <c r="F62" s="1416"/>
      <c r="G62" s="1416"/>
      <c r="H62" s="1416"/>
      <c r="I62" s="1416"/>
      <c r="J62" s="1416"/>
      <c r="K62" s="1416"/>
      <c r="L62" s="1416"/>
      <c r="M62" s="1416"/>
    </row>
    <row r="63" spans="1:14" ht="12.75" customHeight="1" x14ac:dyDescent="0.25">
      <c r="A63" s="99" t="s">
        <v>638</v>
      </c>
      <c r="B63" s="93"/>
      <c r="C63" s="96"/>
      <c r="D63" s="96"/>
      <c r="E63" s="96"/>
      <c r="F63" s="96"/>
      <c r="G63" s="96"/>
      <c r="H63" s="96"/>
      <c r="I63" s="96"/>
      <c r="J63" s="96"/>
      <c r="K63" s="96"/>
      <c r="L63" s="96"/>
      <c r="M63" s="96"/>
    </row>
    <row r="64" spans="1:14" ht="12.75" customHeight="1" x14ac:dyDescent="0.25">
      <c r="A64" s="1416" t="s">
        <v>639</v>
      </c>
      <c r="B64" s="1416"/>
      <c r="C64" s="1416"/>
      <c r="D64" s="1416"/>
      <c r="E64" s="1416"/>
      <c r="F64" s="1416"/>
      <c r="G64" s="1416"/>
      <c r="H64" s="1416"/>
      <c r="I64" s="1416"/>
      <c r="J64" s="1416"/>
      <c r="K64" s="1416"/>
      <c r="L64" s="1416"/>
      <c r="M64" s="1416"/>
    </row>
    <row r="65" spans="1:13" ht="12.75" customHeight="1" x14ac:dyDescent="0.25">
      <c r="A65" s="48"/>
      <c r="B65" s="119"/>
      <c r="C65" s="53"/>
      <c r="D65" s="53"/>
      <c r="E65" s="53"/>
      <c r="F65" s="53"/>
      <c r="G65" s="53"/>
      <c r="H65" s="53"/>
      <c r="I65" s="53"/>
      <c r="J65" s="53"/>
      <c r="K65" s="53"/>
      <c r="L65" s="53"/>
      <c r="M65" s="53"/>
    </row>
    <row r="66" spans="1:13" ht="12.75" customHeight="1" x14ac:dyDescent="0.25">
      <c r="A66" s="120"/>
      <c r="B66" s="93"/>
      <c r="C66" s="121"/>
      <c r="D66" s="121"/>
      <c r="E66" s="121"/>
      <c r="F66" s="121"/>
      <c r="G66" s="121"/>
      <c r="H66" s="121"/>
      <c r="I66" s="121"/>
      <c r="J66" s="121"/>
      <c r="K66" s="121"/>
      <c r="L66" s="121"/>
      <c r="M66" s="121"/>
    </row>
    <row r="67" spans="1:13" ht="12.75" customHeight="1" x14ac:dyDescent="0.25">
      <c r="A67" s="120"/>
      <c r="B67" s="93"/>
      <c r="C67" s="121"/>
      <c r="D67" s="121"/>
      <c r="E67" s="121"/>
      <c r="F67" s="121"/>
      <c r="G67" s="121"/>
      <c r="H67" s="121"/>
      <c r="I67" s="121"/>
      <c r="J67" s="121"/>
      <c r="K67" s="121"/>
      <c r="L67" s="121"/>
      <c r="M67" s="121"/>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algorithmName="SHA-512" hashValue="5KR+5Vwa3PTsUUvyqrsOHCOQ07NKgztNg1C5ZI6FXCsVbWiKZQuO4D7+gn+kveuk1o1MtI6qVkFGA67pbQ2Ulw==" saltValue="Y6aRgoeCjTvjrNz+3kk4Fg==" spinCount="100000" sheet="1" objects="1" scenarios="1"/>
  <mergeCells count="11">
    <mergeCell ref="A64:M64"/>
    <mergeCell ref="A59:M59"/>
    <mergeCell ref="A60:M60"/>
    <mergeCell ref="A62:M62"/>
    <mergeCell ref="A2:A3"/>
    <mergeCell ref="B2:B3"/>
    <mergeCell ref="A57:M57"/>
    <mergeCell ref="A58:M58"/>
    <mergeCell ref="A55:M55"/>
    <mergeCell ref="C2:K2"/>
    <mergeCell ref="A56:K56"/>
  </mergeCells>
  <phoneticPr fontId="4" type="noConversion"/>
  <printOptions horizontalCentered="1"/>
  <pageMargins left="0.4" right="0.16" top="0.75" bottom="0.77" header="0.51181102362204722" footer="0.51181102362204722"/>
  <pageSetup paperSize="9" scale="76" orientation="portrait" r:id="rId1"/>
  <headerFooter alignWithMargins="0"/>
  <ignoredErrors>
    <ignoredError sqref="J34 J40 J28:J30 J11 K11:K21 K22:K26 K28:K44 J17 J21 J44"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EC2461-C723-413F-BA3A-937DEFB83B7F}">
  <ds:schemaRefs>
    <ds:schemaRef ds:uri="http://schemas.microsoft.com/sharepoint/v3"/>
    <ds:schemaRef ds:uri="http://purl.org/dc/terms/"/>
    <ds:schemaRef ds:uri="http://schemas.microsoft.com/office/2006/metadata/properties"/>
    <ds:schemaRef ds:uri="http://schemas.microsoft.com/office/infopath/2007/PartnerControls"/>
    <ds:schemaRef ds:uri="http://purl.org/dc/dcmitype/"/>
    <ds:schemaRef ds:uri="http://schemas.microsoft.com/office/2006/documentManagement/types"/>
    <ds:schemaRef ds:uri="http://www.w3.org/XML/1998/namespace"/>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3.xml><?xml version="1.0" encoding="utf-8"?>
<ds:datastoreItem xmlns:ds="http://schemas.openxmlformats.org/officeDocument/2006/customXml" ds:itemID="{4394785F-004F-4CD2-B00A-61AC40D166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472A1BA-82FB-4F57-975A-70E48E23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262</vt:i4>
      </vt:variant>
    </vt:vector>
  </HeadingPairs>
  <TitlesOfParts>
    <vt:vector size="304" baseType="lpstr">
      <vt:lpstr>Sheet1</vt:lpstr>
      <vt:lpstr>START</vt:lpstr>
      <vt:lpstr>Instructions</vt:lpstr>
      <vt:lpstr>Org structure</vt:lpstr>
      <vt:lpstr>Contacts</vt:lpstr>
      <vt:lpstr>B1-Sum</vt:lpstr>
      <vt:lpstr>B2-FinPerf SC</vt:lpstr>
      <vt:lpstr>B2B</vt:lpstr>
      <vt:lpstr>B3B</vt:lpstr>
      <vt:lpstr>B3-FinPerf V</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MainVote</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Sheet1!RawData</vt:lpstr>
      <vt:lpstr>Sheet1!RawDataCols</vt:lpstr>
      <vt:lpstr>result</vt:lpstr>
      <vt:lpstr>Sheet1!S71_A2Code</vt:lpstr>
      <vt:lpstr>Sheet1!S71_A2Description</vt:lpstr>
      <vt:lpstr>Sheet1!S71_A2SubCode</vt:lpstr>
      <vt:lpstr>Sheet1!S71_A2SubDescription</vt:lpstr>
      <vt:lpstr>Sheet1!S71_A4Code</vt:lpstr>
      <vt:lpstr>Sheet1!S71_A4Description</vt:lpstr>
      <vt:lpstr>Sheet1!S71_A4SubCode</vt:lpstr>
      <vt:lpstr>Sheet1!S71_A4SubDescription</vt:lpstr>
      <vt:lpstr>Sheet1!S71_A5CapexCode</vt:lpstr>
      <vt:lpstr>Sheet1!S71_A5GCode</vt:lpstr>
      <vt:lpstr>Sheet1!S71_A5GDescription</vt:lpstr>
      <vt:lpstr>Sheet1!S71_A6Code</vt:lpstr>
      <vt:lpstr>Sheet1!S71_A6Description</vt:lpstr>
      <vt:lpstr>Sheet1!S71_A6SubCode</vt:lpstr>
      <vt:lpstr>Sheet1!S71_A6SubDescription</vt:lpstr>
      <vt:lpstr>Sheet1!S71_A7Code</vt:lpstr>
      <vt:lpstr>Sheet1!S71_A7CodePayments</vt:lpstr>
      <vt:lpstr>Sheet1!S71_A7Description</vt:lpstr>
      <vt:lpstr>Sheet1!S71_A7DescriptionPayments</vt:lpstr>
      <vt:lpstr>Sheet1!S71_A7SubCode</vt:lpstr>
      <vt:lpstr>Sheet1!S71_A7SubCodePayments</vt:lpstr>
      <vt:lpstr>Sheet1!S71_A7SubDescription</vt:lpstr>
      <vt:lpstr>Sheet1!S71_A7SubDescriptionPayments</vt:lpstr>
      <vt:lpstr>Sheet1!S71_A9Code</vt:lpstr>
      <vt:lpstr>Sheet1!S71_A9Description</vt:lpstr>
      <vt:lpstr>Sheet1!S71_A9SubCode</vt:lpstr>
      <vt:lpstr>Sheet1!S71_A9SubDescription</vt:lpstr>
      <vt:lpstr>Sheet1!S71_Account</vt:lpstr>
      <vt:lpstr>Sheet1!S71_AccountExtAccount</vt:lpstr>
      <vt:lpstr>Sheet1!S71_AccountExtensionID</vt:lpstr>
      <vt:lpstr>Sheet1!S71_AccountLink</vt:lpstr>
      <vt:lpstr>Sheet1!S71_AdjustedBudget</vt:lpstr>
      <vt:lpstr>Sheet1!S71_AdjustmentAmount</vt:lpstr>
      <vt:lpstr>Sheet1!S71_CFCode</vt:lpstr>
      <vt:lpstr>Sheet1!S71_DepCode</vt:lpstr>
      <vt:lpstr>Sheet1!S71_FxVoteDescription</vt:lpstr>
      <vt:lpstr>Sheet1!S71_ItemSCOAAccount</vt:lpstr>
      <vt:lpstr>Sheet1!S71_ItemType</vt:lpstr>
      <vt:lpstr>Sheet1!S71_MasterVoteDescription</vt:lpstr>
      <vt:lpstr>Sheet1!S71_MasterVoteMunicipal</vt:lpstr>
      <vt:lpstr>Sheet1!S71_MonthlyOutcomeApr</vt:lpstr>
      <vt:lpstr>Sheet1!S71_MonthlyOutcomeAug</vt:lpstr>
      <vt:lpstr>Sheet1!S71_MonthlyOutcomeDec</vt:lpstr>
      <vt:lpstr>Sheet1!S71_MonthlyOutcomeFeb</vt:lpstr>
      <vt:lpstr>Sheet1!S71_MonthlyOutcomeJan</vt:lpstr>
      <vt:lpstr>Sheet1!S71_MonthlyOutcomeJul</vt:lpstr>
      <vt:lpstr>Sheet1!S71_MonthlyOutcomeJun</vt:lpstr>
      <vt:lpstr>Sheet1!S71_MonthlyOutcomeMar</vt:lpstr>
      <vt:lpstr>Sheet1!S71_MonthlyOutcomeMay</vt:lpstr>
      <vt:lpstr>Sheet1!S71_MonthlyOutcomeNov</vt:lpstr>
      <vt:lpstr>Sheet1!S71_MonthlyOutcomeOct</vt:lpstr>
      <vt:lpstr>Sheet1!S71_MonthlyOutcomeSep</vt:lpstr>
      <vt:lpstr>Sheet1!S71_OriginalBudget</vt:lpstr>
      <vt:lpstr>Sheet1!S71_OY1AdjustedBudget</vt:lpstr>
      <vt:lpstr>Sheet1!S71_OY2AdjustedBudget</vt:lpstr>
      <vt:lpstr>Sheet1!S71_ProjectType</vt:lpstr>
      <vt:lpstr>Sheet1!S71_RepMaintCode</vt:lpstr>
      <vt:lpstr>Sheet1!S71_SA15Ref</vt:lpstr>
      <vt:lpstr>Sheet1!S71_SA17Ref</vt:lpstr>
      <vt:lpstr>Sheet1!S71_SA1SubCode</vt:lpstr>
      <vt:lpstr>Sheet1!S71_SA1SubDescription</vt:lpstr>
      <vt:lpstr>Sheet1!S71_SA30FDSubCode</vt:lpstr>
      <vt:lpstr>Sheet1!S71_SA30FDSubDescription</vt:lpstr>
      <vt:lpstr>Sheet1!S71_SA34aCode</vt:lpstr>
      <vt:lpstr>Sheet1!S71_SA34aCode_2</vt:lpstr>
      <vt:lpstr>Sheet1!S71_SA34aDescription</vt:lpstr>
      <vt:lpstr>Sheet1!S71_SA34aSubDescription</vt:lpstr>
      <vt:lpstr>Sheet1!S71_SA34bSubCode</vt:lpstr>
      <vt:lpstr>Sheet1!S71_SA34bSubDescription</vt:lpstr>
      <vt:lpstr>Sheet1!S71_SA34cCode</vt:lpstr>
      <vt:lpstr>Sheet1!S71_SA34cDescription</vt:lpstr>
      <vt:lpstr>Sheet1!S71_SA34Code</vt:lpstr>
      <vt:lpstr>Sheet1!S71_SA34cSubCode</vt:lpstr>
      <vt:lpstr>Sheet1!S71_SA34cSubDescription</vt:lpstr>
      <vt:lpstr>Sheet1!S71_SA34dCode</vt:lpstr>
      <vt:lpstr>Sheet1!S71_SA34dDescription</vt:lpstr>
      <vt:lpstr>Sheet1!S71_SA34Description</vt:lpstr>
      <vt:lpstr>Sheet1!S71_SA34dSubCode</vt:lpstr>
      <vt:lpstr>Sheet1!S71_SA34dSubDescription</vt:lpstr>
      <vt:lpstr>Sheet1!S71_SA34eCode</vt:lpstr>
      <vt:lpstr>Sheet1!S71_SA34eDescription</vt:lpstr>
      <vt:lpstr>Sheet1!S71_SA34eSubCode</vt:lpstr>
      <vt:lpstr>Sheet1!S71_SA34eSubDescription</vt:lpstr>
      <vt:lpstr>Sheet1!S71_SA3Code</vt:lpstr>
      <vt:lpstr>Sheet1!S71_SA3Description</vt:lpstr>
      <vt:lpstr>Sheet1!S71_SA3SubCode</vt:lpstr>
      <vt:lpstr>Sheet1!S71_SA3SubDescription</vt:lpstr>
      <vt:lpstr>Sheet1!S71_SpecAdjustmentAmount</vt:lpstr>
      <vt:lpstr>Sheet1!S71_SpecialAdjustedBudget</vt:lpstr>
      <vt:lpstr>Sheet1!S71_StaffCode</vt:lpstr>
      <vt:lpstr>Sheet1!S71_SubMunicipalVoteNo</vt:lpstr>
      <vt:lpstr>SFPerf1</vt:lpstr>
      <vt:lpstr>SFPerf2</vt:lpstr>
      <vt:lpstr>SFpos1</vt:lpstr>
      <vt:lpstr>SFpos2</vt:lpstr>
      <vt:lpstr>SubVote</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B_SCHEDULE V_6.9.2_20210305_11_02_49_022.xls</dc:title>
  <dc:creator>Sage Intelligence Reporting</dc:creator>
  <dc:description>Report Parameters_x000d_
Financial Year : 2021_x000d_
Budget Type : Adjusted Budget_x000d_
SCOA Version : mSCOA_V6.4_x000d_
Special Adjustment? : Yes</dc:description>
  <cp:lastModifiedBy>Thuthukani Zondo</cp:lastModifiedBy>
  <cp:lastPrinted>2016-12-14T06:17:31Z</cp:lastPrinted>
  <dcterms:created xsi:type="dcterms:W3CDTF">2009-03-24T13:39:17Z</dcterms:created>
  <dcterms:modified xsi:type="dcterms:W3CDTF">2021-03-08T07:05:55Z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